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slicerCaches/slicerCache6.xml" ContentType="application/vnd.ms-excel.slicerCache+xml"/>
  <Override PartName="/xl/timelineCaches/timelineCache1.xml" ContentType="application/vnd.ms-excel.timelineCache+xml"/>
  <Override PartName="/xl/timelineCaches/timelineCache2.xml" ContentType="application/vnd.ms-excel.timelineCache+xml"/>
  <Override PartName="/xl/timelineCaches/timelineCache3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slicers/slicer1.xml" ContentType="application/vnd.ms-excel.slicer+xml"/>
  <Override PartName="/xl/timelines/timeline1.xml" ContentType="application/vnd.ms-excel.timelin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slicers/slicer2.xml" ContentType="application/vnd.ms-excel.slicer+xml"/>
  <Override PartName="/xl/timelines/timeline2.xml" ContentType="application/vnd.ms-excel.timeline+xml"/>
  <Override PartName="/xl/pivotTables/pivotTable3.xml" ContentType="application/vnd.openxmlformats-officedocument.spreadsheetml.pivotTable+xml"/>
  <Override PartName="/xl/drawings/drawing3.xml" ContentType="application/vnd.openxmlformats-officedocument.drawing+xml"/>
  <Override PartName="/xl/slicers/slicer3.xml" ContentType="application/vnd.ms-excel.slicer+xml"/>
  <Override PartName="/xl/timelines/timeline3.xml" ContentType="application/vnd.ms-excel.timeline+xml"/>
  <Override PartName="/xl/pivotTables/pivotTable4.xml" ContentType="application/vnd.openxmlformats-officedocument.spreadsheetml.pivotTable+xml"/>
  <Override PartName="/xl/drawings/drawing4.xml" ContentType="application/vnd.openxmlformats-officedocument.drawing+xml"/>
  <Override PartName="/xl/slicers/slicer4.xml" ContentType="application/vnd.ms-excel.slicer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drawings/drawing5.xml" ContentType="application/vnd.openxmlformats-officedocument.drawing+xml"/>
  <Override PartName="/xl/slicers/slicer5.xml" ContentType="application/vnd.ms-excel.slicer+xml"/>
  <Override PartName="/xl/drawings/drawing6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rundi\Nutstore\1\AMZ店铺文件\1003 物流发货相关\"/>
    </mc:Choice>
  </mc:AlternateContent>
  <xr:revisionPtr revIDLastSave="0" documentId="13_ncr:1_{629D9A85-52B5-44E4-A35E-E4FF43FF3618}" xr6:coauthVersionLast="47" xr6:coauthVersionMax="47" xr10:uidLastSave="{00000000-0000-0000-0000-000000000000}"/>
  <bookViews>
    <workbookView xWindow="-110" yWindow="-110" windowWidth="19420" windowHeight="11500" tabRatio="850" activeTab="5" xr2:uid="{00000000-000D-0000-FFFF-FFFF00000000}"/>
  </bookViews>
  <sheets>
    <sheet name="各仓头程" sheetId="64" r:id="rId1"/>
    <sheet name="单台头程" sheetId="66" r:id="rId2"/>
    <sheet name="入库配置费" sheetId="62" r:id="rId3"/>
    <sheet name="到港数据回填" sheetId="68" r:id="rId4"/>
    <sheet name="货件总箱数统计" sheetId="65" r:id="rId5"/>
    <sheet name="亚马逊头程2026" sheetId="67" r:id="rId6"/>
    <sheet name="海外仓发货" sheetId="24" r:id="rId7"/>
    <sheet name="其他客户头程" sheetId="63" r:id="rId8"/>
    <sheet name="亚马逊头程2025" sheetId="69" r:id="rId9"/>
    <sheet name="SKU 对应关系" sheetId="58" r:id="rId10"/>
    <sheet name="亚马逊入库配置费" sheetId="47" r:id="rId11"/>
  </sheets>
  <functionGroups builtInGroupCount="19"/>
  <definedNames>
    <definedName name="_xlnm._FilterDatabase" localSheetId="9" hidden="1">'SKU 对应关系'!$A$1:$S$386</definedName>
    <definedName name="_xlnm._FilterDatabase" localSheetId="6" hidden="1">海外仓发货!$A$1:$AA$152</definedName>
    <definedName name="_xlnm._FilterDatabase" localSheetId="7" hidden="1">其他客户头程!$A$1:$AH$1</definedName>
    <definedName name="_xlnm._FilterDatabase" localSheetId="10" hidden="1">亚马逊入库配置费!$A$1:$F$1665</definedName>
    <definedName name="_xlnm._FilterDatabase" localSheetId="8" hidden="1">亚马逊头程2025!$A$1:$AO$1544</definedName>
    <definedName name="_xlnm._FilterDatabase" localSheetId="5" hidden="1">亚马逊头程2026!$A$1:$AN$811</definedName>
    <definedName name="_xleta.T" hidden="1" xlm="1">#NAME?</definedName>
    <definedName name="NativeTimeline_提货日期">#N/A</definedName>
    <definedName name="NativeTimeline_提货日期1">#N/A</definedName>
    <definedName name="NativeTimeline_提货日期10">#N/A</definedName>
    <definedName name="NativeTimeline_提货日期11">#N/A</definedName>
    <definedName name="NativeTimeline_提货日期12">#N/A</definedName>
    <definedName name="NativeTimeline_提货日期13">#N/A</definedName>
    <definedName name="NativeTimeline_提货日期14">#N/A</definedName>
    <definedName name="NativeTimeline_提货日期15">#N/A</definedName>
    <definedName name="NativeTimeline_提货日期16">#N/A</definedName>
    <definedName name="NativeTimeline_提货日期17">#N/A</definedName>
    <definedName name="NativeTimeline_提货日期18">#N/A</definedName>
    <definedName name="NativeTimeline_提货日期19">#N/A</definedName>
    <definedName name="NativeTimeline_提货日期2">#N/A</definedName>
    <definedName name="NativeTimeline_提货日期20">#N/A</definedName>
    <definedName name="NativeTimeline_提货日期21">#N/A</definedName>
    <definedName name="NativeTimeline_提货日期22">#N/A</definedName>
    <definedName name="NativeTimeline_提货日期23">#N/A</definedName>
    <definedName name="NativeTimeline_提货日期24">#N/A</definedName>
    <definedName name="NativeTimeline_提货日期25">#N/A</definedName>
    <definedName name="NativeTimeline_提货日期26">#N/A</definedName>
    <definedName name="NativeTimeline_提货日期27">#N/A</definedName>
    <definedName name="NativeTimeline_提货日期28">#N/A</definedName>
    <definedName name="NativeTimeline_提货日期29">#N/A</definedName>
    <definedName name="NativeTimeline_提货日期3">#N/A</definedName>
    <definedName name="NativeTimeline_提货日期30">#N/A</definedName>
    <definedName name="NativeTimeline_提货日期31">#N/A</definedName>
    <definedName name="NativeTimeline_提货日期4">#N/A</definedName>
    <definedName name="NativeTimeline_提货日期5">#N/A</definedName>
    <definedName name="NativeTimeline_提货日期6">#N/A</definedName>
    <definedName name="NativeTimeline_提货日期7">#N/A</definedName>
    <definedName name="NativeTimeline_提货日期8">#N/A</definedName>
    <definedName name="NativeTimeline_提货日期9">#N/A</definedName>
    <definedName name="NativeTimeline_提货时间">#N/A</definedName>
    <definedName name="NativeTimeline_提货时间1">#N/A</definedName>
    <definedName name="NativeTimeline_提货时间10">#N/A</definedName>
    <definedName name="NativeTimeline_提货时间11">#N/A</definedName>
    <definedName name="NativeTimeline_提货时间12">#N/A</definedName>
    <definedName name="NativeTimeline_提货时间13">#N/A</definedName>
    <definedName name="NativeTimeline_提货时间14">#N/A</definedName>
    <definedName name="NativeTimeline_提货时间2">#N/A</definedName>
    <definedName name="NativeTimeline_提货时间3">#N/A</definedName>
    <definedName name="NativeTimeline_提货时间4">#N/A</definedName>
    <definedName name="NativeTimeline_提货时间5">#N/A</definedName>
    <definedName name="NativeTimeline_提货时间6">#N/A</definedName>
    <definedName name="NativeTimeline_提货时间7">#N/A</definedName>
    <definedName name="NativeTimeline_提货时间8">#N/A</definedName>
    <definedName name="NativeTimeline_提货时间9">#N/A</definedName>
    <definedName name="切片器_父型号_有公式">#N/A</definedName>
    <definedName name="切片器_父型号_有公式1">#N/A</definedName>
    <definedName name="切片器_国家">#N/A</definedName>
    <definedName name="切片器_国家1">#N/A</definedName>
    <definedName name="切片器_货代名称">#N/A</definedName>
    <definedName name="切片器_货代名称1">#N/A</definedName>
  </definedNames>
  <calcPr calcId="191029"/>
  <pivotCaches>
    <pivotCache cacheId="0" r:id="rId12"/>
    <pivotCache cacheId="1" r:id="rId13"/>
    <pivotCache cacheId="2" r:id="rId14"/>
    <pivotCache cacheId="3" r:id="rId15"/>
    <pivotCache cacheId="4" r:id="rId16"/>
  </pivotCaches>
  <extLst>
    <ext xmlns:x14="http://schemas.microsoft.com/office/spreadsheetml/2009/9/main" uri="{BBE1A952-AA13-448e-AADC-164F8A28A991}">
      <x14:slicerCaches>
        <x14:slicerCache r:id="rId17"/>
        <x14:slicerCache r:id="rId18"/>
        <x14:slicerCache r:id="rId19"/>
        <x14:slicerCache r:id="rId20"/>
        <x14:slicerCache r:id="rId21"/>
        <x14:slicerCache r:id="rId22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23"/>
        <x15:timelineCacheRef r:id="rId24"/>
        <x15:timelineCacheRef r:id="rId25"/>
      </x15:timelineCacheRefs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S407" i="58" l="1"/>
  <c r="S406" i="58"/>
  <c r="S405" i="58"/>
  <c r="S404" i="58"/>
  <c r="S403" i="58"/>
  <c r="S402" i="58"/>
  <c r="S401" i="58"/>
  <c r="S400" i="58"/>
  <c r="S399" i="58"/>
  <c r="S398" i="58"/>
  <c r="S397" i="58"/>
  <c r="S396" i="58"/>
  <c r="S395" i="58"/>
  <c r="U791" i="67"/>
  <c r="V791" i="67" s="1"/>
  <c r="W791" i="67" s="1"/>
  <c r="U792" i="67"/>
  <c r="V792" i="67" s="1"/>
  <c r="W792" i="67" s="1"/>
  <c r="U793" i="67"/>
  <c r="V793" i="67" s="1"/>
  <c r="W793" i="67" s="1"/>
  <c r="U794" i="67"/>
  <c r="V794" i="67" s="1"/>
  <c r="W794" i="67" s="1"/>
  <c r="U795" i="67"/>
  <c r="V795" i="67" s="1"/>
  <c r="W795" i="67" s="1"/>
  <c r="U796" i="67"/>
  <c r="V796" i="67" s="1"/>
  <c r="W796" i="67" s="1"/>
  <c r="U797" i="67"/>
  <c r="V797" i="67" s="1"/>
  <c r="W797" i="67" s="1"/>
  <c r="U798" i="67"/>
  <c r="V798" i="67" s="1"/>
  <c r="W798" i="67" s="1"/>
  <c r="U799" i="67"/>
  <c r="V799" i="67" s="1"/>
  <c r="W799" i="67" s="1"/>
  <c r="U800" i="67"/>
  <c r="V800" i="67" s="1"/>
  <c r="W800" i="67" s="1"/>
  <c r="U801" i="67"/>
  <c r="V801" i="67" s="1"/>
  <c r="W801" i="67" s="1"/>
  <c r="U802" i="67"/>
  <c r="V802" i="67" s="1"/>
  <c r="W802" i="67" s="1"/>
  <c r="U803" i="67"/>
  <c r="V803" i="67" s="1"/>
  <c r="W803" i="67" s="1"/>
  <c r="U804" i="67"/>
  <c r="V804" i="67" s="1"/>
  <c r="W804" i="67" s="1"/>
  <c r="U805" i="67"/>
  <c r="V805" i="67" s="1"/>
  <c r="W805" i="67" s="1"/>
  <c r="U806" i="67"/>
  <c r="V806" i="67" s="1"/>
  <c r="W806" i="67" s="1"/>
  <c r="U807" i="67"/>
  <c r="V807" i="67" s="1"/>
  <c r="W807" i="67" s="1"/>
  <c r="U808" i="67"/>
  <c r="V808" i="67" s="1"/>
  <c r="W808" i="67" s="1"/>
  <c r="U809" i="67"/>
  <c r="V809" i="67" s="1"/>
  <c r="W809" i="67" s="1"/>
  <c r="U810" i="67"/>
  <c r="V810" i="67" s="1"/>
  <c r="W810" i="67" s="1"/>
  <c r="U811" i="67"/>
  <c r="V811" i="67" s="1"/>
  <c r="W811" i="67" s="1"/>
  <c r="L791" i="67"/>
  <c r="M791" i="67"/>
  <c r="N791" i="67"/>
  <c r="L792" i="67"/>
  <c r="M792" i="67"/>
  <c r="N792" i="67"/>
  <c r="L793" i="67"/>
  <c r="M793" i="67"/>
  <c r="N793" i="67"/>
  <c r="L794" i="67"/>
  <c r="M794" i="67"/>
  <c r="N794" i="67"/>
  <c r="L795" i="67"/>
  <c r="M795" i="67"/>
  <c r="N795" i="67"/>
  <c r="L796" i="67"/>
  <c r="M796" i="67"/>
  <c r="N796" i="67"/>
  <c r="L797" i="67"/>
  <c r="M797" i="67"/>
  <c r="N797" i="67"/>
  <c r="L798" i="67"/>
  <c r="M798" i="67"/>
  <c r="N798" i="67"/>
  <c r="L799" i="67"/>
  <c r="M799" i="67"/>
  <c r="N799" i="67"/>
  <c r="L800" i="67"/>
  <c r="M800" i="67"/>
  <c r="N800" i="67"/>
  <c r="L801" i="67"/>
  <c r="M801" i="67"/>
  <c r="N801" i="67"/>
  <c r="L802" i="67"/>
  <c r="M802" i="67"/>
  <c r="N802" i="67"/>
  <c r="L803" i="67"/>
  <c r="M803" i="67"/>
  <c r="N803" i="67"/>
  <c r="L804" i="67"/>
  <c r="M804" i="67"/>
  <c r="N804" i="67"/>
  <c r="L805" i="67"/>
  <c r="M805" i="67"/>
  <c r="N805" i="67"/>
  <c r="L806" i="67"/>
  <c r="M806" i="67"/>
  <c r="N806" i="67"/>
  <c r="L807" i="67"/>
  <c r="M807" i="67"/>
  <c r="N807" i="67"/>
  <c r="L808" i="67"/>
  <c r="M808" i="67"/>
  <c r="N808" i="67"/>
  <c r="L809" i="67"/>
  <c r="M809" i="67"/>
  <c r="N809" i="67"/>
  <c r="L810" i="67"/>
  <c r="M810" i="67"/>
  <c r="N810" i="67"/>
  <c r="L811" i="67"/>
  <c r="M811" i="67"/>
  <c r="N811" i="67"/>
  <c r="A791" i="67"/>
  <c r="A792" i="67"/>
  <c r="A793" i="67"/>
  <c r="A794" i="67"/>
  <c r="A795" i="67"/>
  <c r="A796" i="67"/>
  <c r="A797" i="67"/>
  <c r="A798" i="67"/>
  <c r="A799" i="67"/>
  <c r="A800" i="67"/>
  <c r="A801" i="67"/>
  <c r="A802" i="67"/>
  <c r="A803" i="67"/>
  <c r="A804" i="67"/>
  <c r="A805" i="67"/>
  <c r="A806" i="67"/>
  <c r="A807" i="67"/>
  <c r="A808" i="67"/>
  <c r="A809" i="67"/>
  <c r="A810" i="67"/>
  <c r="A811" i="67"/>
  <c r="U738" i="67" l="1"/>
  <c r="V738" i="67" s="1"/>
  <c r="W738" i="67" s="1"/>
  <c r="U739" i="67"/>
  <c r="V739" i="67" s="1"/>
  <c r="W739" i="67" s="1"/>
  <c r="U740" i="67"/>
  <c r="V740" i="67" s="1"/>
  <c r="W740" i="67" s="1"/>
  <c r="U741" i="67"/>
  <c r="V741" i="67" s="1"/>
  <c r="W741" i="67" s="1"/>
  <c r="U742" i="67"/>
  <c r="V742" i="67" s="1"/>
  <c r="W742" i="67" s="1"/>
  <c r="U743" i="67"/>
  <c r="V743" i="67" s="1"/>
  <c r="W743" i="67" s="1"/>
  <c r="U744" i="67"/>
  <c r="V744" i="67" s="1"/>
  <c r="W744" i="67" s="1"/>
  <c r="U745" i="67"/>
  <c r="V745" i="67" s="1"/>
  <c r="W745" i="67" s="1"/>
  <c r="U746" i="67"/>
  <c r="V746" i="67" s="1"/>
  <c r="W746" i="67" s="1"/>
  <c r="U747" i="67"/>
  <c r="V747" i="67" s="1"/>
  <c r="W747" i="67" s="1"/>
  <c r="U748" i="67"/>
  <c r="V748" i="67" s="1"/>
  <c r="W748" i="67" s="1"/>
  <c r="U749" i="67"/>
  <c r="V749" i="67" s="1"/>
  <c r="W749" i="67" s="1"/>
  <c r="U750" i="67"/>
  <c r="V750" i="67" s="1"/>
  <c r="W750" i="67" s="1"/>
  <c r="U751" i="67"/>
  <c r="V751" i="67" s="1"/>
  <c r="W751" i="67" s="1"/>
  <c r="U752" i="67"/>
  <c r="V752" i="67" s="1"/>
  <c r="W752" i="67" s="1"/>
  <c r="U753" i="67"/>
  <c r="V753" i="67" s="1"/>
  <c r="W753" i="67" s="1"/>
  <c r="U754" i="67"/>
  <c r="V754" i="67" s="1"/>
  <c r="W754" i="67" s="1"/>
  <c r="U755" i="67"/>
  <c r="V755" i="67"/>
  <c r="W755" i="67" s="1"/>
  <c r="U756" i="67"/>
  <c r="V756" i="67" s="1"/>
  <c r="W756" i="67" s="1"/>
  <c r="U757" i="67"/>
  <c r="V757" i="67" s="1"/>
  <c r="W757" i="67" s="1"/>
  <c r="U758" i="67"/>
  <c r="V758" i="67" s="1"/>
  <c r="W758" i="67" s="1"/>
  <c r="U759" i="67"/>
  <c r="V759" i="67" s="1"/>
  <c r="W759" i="67" s="1"/>
  <c r="U760" i="67"/>
  <c r="V760" i="67" s="1"/>
  <c r="W760" i="67" s="1"/>
  <c r="U761" i="67"/>
  <c r="V761" i="67" s="1"/>
  <c r="W761" i="67" s="1"/>
  <c r="U762" i="67"/>
  <c r="V762" i="67" s="1"/>
  <c r="W762" i="67" s="1"/>
  <c r="U763" i="67"/>
  <c r="V763" i="67" s="1"/>
  <c r="W763" i="67" s="1"/>
  <c r="U764" i="67"/>
  <c r="V764" i="67" s="1"/>
  <c r="W764" i="67" s="1"/>
  <c r="U765" i="67"/>
  <c r="V765" i="67" s="1"/>
  <c r="W765" i="67" s="1"/>
  <c r="U766" i="67"/>
  <c r="V766" i="67" s="1"/>
  <c r="W766" i="67" s="1"/>
  <c r="U767" i="67"/>
  <c r="V767" i="67" s="1"/>
  <c r="W767" i="67" s="1"/>
  <c r="U768" i="67"/>
  <c r="V768" i="67" s="1"/>
  <c r="W768" i="67" s="1"/>
  <c r="U769" i="67"/>
  <c r="V769" i="67" s="1"/>
  <c r="W769" i="67" s="1"/>
  <c r="U770" i="67"/>
  <c r="V770" i="67" s="1"/>
  <c r="W770" i="67" s="1"/>
  <c r="U771" i="67"/>
  <c r="V771" i="67" s="1"/>
  <c r="W771" i="67" s="1"/>
  <c r="U772" i="67"/>
  <c r="V772" i="67" s="1"/>
  <c r="W772" i="67" s="1"/>
  <c r="U773" i="67"/>
  <c r="V773" i="67" s="1"/>
  <c r="W773" i="67" s="1"/>
  <c r="U774" i="67"/>
  <c r="V774" i="67" s="1"/>
  <c r="W774" i="67" s="1"/>
  <c r="U775" i="67"/>
  <c r="V775" i="67" s="1"/>
  <c r="W775" i="67" s="1"/>
  <c r="U776" i="67"/>
  <c r="V776" i="67" s="1"/>
  <c r="W776" i="67" s="1"/>
  <c r="U777" i="67"/>
  <c r="V777" i="67" s="1"/>
  <c r="W777" i="67" s="1"/>
  <c r="U778" i="67"/>
  <c r="V778" i="67" s="1"/>
  <c r="W778" i="67" s="1"/>
  <c r="U779" i="67"/>
  <c r="V779" i="67" s="1"/>
  <c r="W779" i="67" s="1"/>
  <c r="U780" i="67"/>
  <c r="V780" i="67" s="1"/>
  <c r="W780" i="67" s="1"/>
  <c r="U781" i="67"/>
  <c r="V781" i="67" s="1"/>
  <c r="W781" i="67" s="1"/>
  <c r="U782" i="67"/>
  <c r="V782" i="67" s="1"/>
  <c r="W782" i="67" s="1"/>
  <c r="U783" i="67"/>
  <c r="V783" i="67" s="1"/>
  <c r="W783" i="67" s="1"/>
  <c r="U784" i="67"/>
  <c r="V784" i="67" s="1"/>
  <c r="W784" i="67" s="1"/>
  <c r="U785" i="67"/>
  <c r="V785" i="67" s="1"/>
  <c r="W785" i="67" s="1"/>
  <c r="U786" i="67"/>
  <c r="V786" i="67" s="1"/>
  <c r="W786" i="67" s="1"/>
  <c r="U787" i="67"/>
  <c r="V787" i="67" s="1"/>
  <c r="W787" i="67" s="1"/>
  <c r="U788" i="67"/>
  <c r="V788" i="67" s="1"/>
  <c r="W788" i="67" s="1"/>
  <c r="U789" i="67"/>
  <c r="V789" i="67" s="1"/>
  <c r="W789" i="67" s="1"/>
  <c r="U790" i="67"/>
  <c r="V790" i="67" s="1"/>
  <c r="W790" i="67" s="1"/>
  <c r="S743" i="67" l="1"/>
  <c r="S739" i="67"/>
  <c r="L738" i="67"/>
  <c r="M738" i="67"/>
  <c r="N738" i="67"/>
  <c r="L739" i="67"/>
  <c r="M739" i="67"/>
  <c r="N739" i="67"/>
  <c r="L740" i="67"/>
  <c r="M740" i="67"/>
  <c r="N740" i="67"/>
  <c r="L741" i="67"/>
  <c r="M741" i="67"/>
  <c r="N741" i="67"/>
  <c r="L742" i="67"/>
  <c r="M742" i="67"/>
  <c r="N742" i="67"/>
  <c r="L743" i="67"/>
  <c r="M743" i="67"/>
  <c r="N743" i="67"/>
  <c r="L744" i="67"/>
  <c r="M744" i="67"/>
  <c r="N744" i="67"/>
  <c r="L745" i="67"/>
  <c r="M745" i="67"/>
  <c r="N745" i="67"/>
  <c r="L746" i="67"/>
  <c r="M746" i="67"/>
  <c r="N746" i="67"/>
  <c r="L747" i="67"/>
  <c r="M747" i="67"/>
  <c r="N747" i="67"/>
  <c r="L748" i="67"/>
  <c r="M748" i="67"/>
  <c r="N748" i="67"/>
  <c r="L749" i="67"/>
  <c r="M749" i="67"/>
  <c r="N749" i="67"/>
  <c r="L750" i="67"/>
  <c r="M750" i="67"/>
  <c r="N750" i="67"/>
  <c r="L751" i="67"/>
  <c r="M751" i="67"/>
  <c r="N751" i="67"/>
  <c r="L752" i="67"/>
  <c r="M752" i="67"/>
  <c r="N752" i="67"/>
  <c r="L753" i="67"/>
  <c r="M753" i="67"/>
  <c r="N753" i="67"/>
  <c r="L754" i="67"/>
  <c r="M754" i="67"/>
  <c r="N754" i="67"/>
  <c r="L755" i="67"/>
  <c r="M755" i="67"/>
  <c r="N755" i="67"/>
  <c r="L756" i="67"/>
  <c r="M756" i="67"/>
  <c r="N756" i="67"/>
  <c r="L757" i="67"/>
  <c r="M757" i="67"/>
  <c r="N757" i="67"/>
  <c r="L758" i="67"/>
  <c r="M758" i="67"/>
  <c r="N758" i="67"/>
  <c r="L759" i="67"/>
  <c r="M759" i="67"/>
  <c r="N759" i="67"/>
  <c r="L760" i="67"/>
  <c r="M760" i="67"/>
  <c r="N760" i="67"/>
  <c r="L761" i="67"/>
  <c r="M761" i="67"/>
  <c r="N761" i="67"/>
  <c r="L762" i="67"/>
  <c r="M762" i="67"/>
  <c r="N762" i="67"/>
  <c r="L763" i="67"/>
  <c r="M763" i="67"/>
  <c r="N763" i="67"/>
  <c r="L764" i="67"/>
  <c r="M764" i="67"/>
  <c r="N764" i="67"/>
  <c r="L765" i="67"/>
  <c r="M765" i="67"/>
  <c r="N765" i="67"/>
  <c r="L766" i="67"/>
  <c r="M766" i="67"/>
  <c r="N766" i="67"/>
  <c r="L767" i="67"/>
  <c r="M767" i="67"/>
  <c r="N767" i="67"/>
  <c r="L768" i="67"/>
  <c r="M768" i="67"/>
  <c r="N768" i="67"/>
  <c r="L769" i="67"/>
  <c r="M769" i="67"/>
  <c r="N769" i="67"/>
  <c r="L770" i="67"/>
  <c r="M770" i="67"/>
  <c r="N770" i="67"/>
  <c r="L771" i="67"/>
  <c r="M771" i="67"/>
  <c r="N771" i="67"/>
  <c r="L772" i="67"/>
  <c r="M772" i="67"/>
  <c r="N772" i="67"/>
  <c r="L773" i="67"/>
  <c r="M773" i="67"/>
  <c r="N773" i="67"/>
  <c r="L774" i="67"/>
  <c r="M774" i="67"/>
  <c r="N774" i="67"/>
  <c r="L775" i="67"/>
  <c r="M775" i="67"/>
  <c r="N775" i="67"/>
  <c r="L776" i="67"/>
  <c r="M776" i="67"/>
  <c r="N776" i="67"/>
  <c r="L777" i="67"/>
  <c r="M777" i="67"/>
  <c r="N777" i="67"/>
  <c r="L778" i="67"/>
  <c r="M778" i="67"/>
  <c r="N778" i="67"/>
  <c r="L779" i="67"/>
  <c r="M779" i="67"/>
  <c r="N779" i="67"/>
  <c r="L780" i="67"/>
  <c r="M780" i="67"/>
  <c r="N780" i="67"/>
  <c r="L781" i="67"/>
  <c r="M781" i="67"/>
  <c r="N781" i="67"/>
  <c r="L782" i="67"/>
  <c r="M782" i="67"/>
  <c r="N782" i="67"/>
  <c r="L783" i="67"/>
  <c r="M783" i="67"/>
  <c r="N783" i="67"/>
  <c r="L784" i="67"/>
  <c r="M784" i="67"/>
  <c r="N784" i="67"/>
  <c r="L785" i="67"/>
  <c r="M785" i="67"/>
  <c r="N785" i="67"/>
  <c r="L786" i="67"/>
  <c r="M786" i="67"/>
  <c r="N786" i="67"/>
  <c r="L787" i="67"/>
  <c r="M787" i="67"/>
  <c r="N787" i="67"/>
  <c r="L788" i="67"/>
  <c r="M788" i="67"/>
  <c r="N788" i="67"/>
  <c r="L789" i="67"/>
  <c r="M789" i="67"/>
  <c r="N789" i="67"/>
  <c r="L790" i="67"/>
  <c r="M790" i="67"/>
  <c r="N790" i="67"/>
  <c r="A738" i="67"/>
  <c r="A739" i="67"/>
  <c r="A740" i="67"/>
  <c r="A741" i="67"/>
  <c r="A742" i="67"/>
  <c r="A743" i="67"/>
  <c r="A744" i="67"/>
  <c r="A745" i="67"/>
  <c r="A746" i="67"/>
  <c r="A747" i="67"/>
  <c r="A748" i="67"/>
  <c r="A749" i="67"/>
  <c r="A750" i="67"/>
  <c r="A751" i="67"/>
  <c r="A752" i="67"/>
  <c r="A753" i="67"/>
  <c r="A754" i="67"/>
  <c r="A755" i="67"/>
  <c r="A756" i="67"/>
  <c r="A757" i="67"/>
  <c r="A758" i="67"/>
  <c r="A759" i="67"/>
  <c r="A760" i="67"/>
  <c r="A761" i="67"/>
  <c r="A762" i="67"/>
  <c r="A763" i="67"/>
  <c r="A764" i="67"/>
  <c r="A765" i="67"/>
  <c r="A766" i="67"/>
  <c r="A767" i="67"/>
  <c r="A768" i="67"/>
  <c r="A769" i="67"/>
  <c r="A770" i="67"/>
  <c r="A771" i="67"/>
  <c r="A772" i="67"/>
  <c r="A773" i="67"/>
  <c r="A774" i="67"/>
  <c r="A775" i="67"/>
  <c r="A776" i="67"/>
  <c r="A777" i="67"/>
  <c r="A778" i="67"/>
  <c r="A779" i="67"/>
  <c r="A780" i="67"/>
  <c r="A781" i="67"/>
  <c r="A782" i="67"/>
  <c r="A783" i="67"/>
  <c r="A784" i="67"/>
  <c r="A785" i="67"/>
  <c r="A786" i="67"/>
  <c r="A787" i="67"/>
  <c r="A788" i="67"/>
  <c r="A789" i="67"/>
  <c r="A790" i="67"/>
  <c r="S394" i="58" l="1"/>
  <c r="S393" i="58"/>
  <c r="S392" i="58"/>
  <c r="S391" i="58"/>
  <c r="S390" i="58"/>
  <c r="S389" i="58"/>
  <c r="S388" i="58"/>
  <c r="AG688" i="67" l="1"/>
  <c r="AG689" i="67"/>
  <c r="AG690" i="67"/>
  <c r="AG691" i="67"/>
  <c r="AG692" i="67"/>
  <c r="AG693" i="67"/>
  <c r="AG694" i="67"/>
  <c r="AG695" i="67"/>
  <c r="AG696" i="67"/>
  <c r="AG697" i="67"/>
  <c r="AG698" i="67"/>
  <c r="AG699" i="67"/>
  <c r="AG700" i="67"/>
  <c r="AG701" i="67"/>
  <c r="AG702" i="67"/>
  <c r="AG703" i="67"/>
  <c r="AG704" i="67"/>
  <c r="AG705" i="67"/>
  <c r="AG706" i="67"/>
  <c r="AG707" i="67"/>
  <c r="AG708" i="67"/>
  <c r="AG709" i="67"/>
  <c r="AG710" i="67"/>
  <c r="AG711" i="67"/>
  <c r="AG712" i="67"/>
  <c r="AG713" i="67"/>
  <c r="AG714" i="67"/>
  <c r="AG715" i="67"/>
  <c r="AG716" i="67"/>
  <c r="AG717" i="67"/>
  <c r="AG718" i="67"/>
  <c r="AG719" i="67"/>
  <c r="AG720" i="67"/>
  <c r="AG721" i="67"/>
  <c r="AG722" i="67"/>
  <c r="AG723" i="67"/>
  <c r="AG724" i="67"/>
  <c r="AG725" i="67"/>
  <c r="AG726" i="67"/>
  <c r="AG727" i="67"/>
  <c r="AG728" i="67"/>
  <c r="AG729" i="67"/>
  <c r="AG730" i="67"/>
  <c r="AG731" i="67"/>
  <c r="AG732" i="67"/>
  <c r="AG733" i="67"/>
  <c r="AG734" i="67"/>
  <c r="AG735" i="67"/>
  <c r="AG736" i="67"/>
  <c r="AG737" i="67"/>
  <c r="S147" i="24"/>
  <c r="S148" i="24"/>
  <c r="S149" i="24"/>
  <c r="S150" i="24"/>
  <c r="S151" i="24"/>
  <c r="S152" i="24"/>
  <c r="S153" i="24"/>
  <c r="S154" i="24"/>
  <c r="S155" i="24"/>
  <c r="S156" i="24"/>
  <c r="S157" i="24"/>
  <c r="S158" i="24"/>
  <c r="S159" i="24"/>
  <c r="S160" i="24"/>
  <c r="S161" i="24"/>
  <c r="S146" i="24"/>
  <c r="Q154" i="24"/>
  <c r="Q155" i="24"/>
  <c r="Q156" i="24"/>
  <c r="Q157" i="24"/>
  <c r="Q158" i="24"/>
  <c r="Q159" i="24"/>
  <c r="Q160" i="24"/>
  <c r="Q161" i="24"/>
  <c r="Q153" i="24"/>
  <c r="Q146" i="24"/>
  <c r="Q147" i="24"/>
  <c r="Q148" i="24"/>
  <c r="Q151" i="24"/>
  <c r="Q152" i="24"/>
  <c r="U688" i="67"/>
  <c r="V688" i="67" s="1"/>
  <c r="W688" i="67" s="1"/>
  <c r="U689" i="67"/>
  <c r="V689" i="67" s="1"/>
  <c r="W689" i="67" s="1"/>
  <c r="U690" i="67"/>
  <c r="V690" i="67" s="1"/>
  <c r="W690" i="67" s="1"/>
  <c r="U691" i="67"/>
  <c r="V691" i="67" s="1"/>
  <c r="W691" i="67" s="1"/>
  <c r="U692" i="67"/>
  <c r="V692" i="67" s="1"/>
  <c r="W692" i="67" s="1"/>
  <c r="U693" i="67"/>
  <c r="V693" i="67" s="1"/>
  <c r="W693" i="67" s="1"/>
  <c r="U694" i="67"/>
  <c r="V694" i="67" s="1"/>
  <c r="W694" i="67" s="1"/>
  <c r="U695" i="67"/>
  <c r="V695" i="67" s="1"/>
  <c r="W695" i="67" s="1"/>
  <c r="U696" i="67"/>
  <c r="V696" i="67" s="1"/>
  <c r="W696" i="67" s="1"/>
  <c r="U697" i="67"/>
  <c r="V697" i="67" s="1"/>
  <c r="W697" i="67" s="1"/>
  <c r="U698" i="67"/>
  <c r="V698" i="67" s="1"/>
  <c r="W698" i="67" s="1"/>
  <c r="U699" i="67"/>
  <c r="V699" i="67" s="1"/>
  <c r="W699" i="67" s="1"/>
  <c r="U700" i="67"/>
  <c r="V700" i="67" s="1"/>
  <c r="W700" i="67" s="1"/>
  <c r="U701" i="67"/>
  <c r="V701" i="67" s="1"/>
  <c r="W701" i="67" s="1"/>
  <c r="U702" i="67"/>
  <c r="V702" i="67" s="1"/>
  <c r="W702" i="67" s="1"/>
  <c r="U703" i="67"/>
  <c r="V703" i="67" s="1"/>
  <c r="W703" i="67" s="1"/>
  <c r="U704" i="67"/>
  <c r="V704" i="67" s="1"/>
  <c r="W704" i="67" s="1"/>
  <c r="U705" i="67"/>
  <c r="V705" i="67" s="1"/>
  <c r="W705" i="67" s="1"/>
  <c r="U706" i="67"/>
  <c r="V706" i="67" s="1"/>
  <c r="W706" i="67" s="1"/>
  <c r="U707" i="67"/>
  <c r="V707" i="67" s="1"/>
  <c r="W707" i="67" s="1"/>
  <c r="U708" i="67"/>
  <c r="V708" i="67" s="1"/>
  <c r="W708" i="67" s="1"/>
  <c r="U709" i="67"/>
  <c r="V709" i="67" s="1"/>
  <c r="W709" i="67" s="1"/>
  <c r="U710" i="67"/>
  <c r="V710" i="67" s="1"/>
  <c r="W710" i="67" s="1"/>
  <c r="U711" i="67"/>
  <c r="V711" i="67" s="1"/>
  <c r="W711" i="67" s="1"/>
  <c r="U712" i="67"/>
  <c r="V712" i="67" s="1"/>
  <c r="W712" i="67" s="1"/>
  <c r="U713" i="67"/>
  <c r="V713" i="67" s="1"/>
  <c r="W713" i="67" s="1"/>
  <c r="U714" i="67"/>
  <c r="V714" i="67" s="1"/>
  <c r="W714" i="67" s="1"/>
  <c r="U715" i="67"/>
  <c r="V715" i="67" s="1"/>
  <c r="W715" i="67" s="1"/>
  <c r="U716" i="67"/>
  <c r="V716" i="67" s="1"/>
  <c r="W716" i="67" s="1"/>
  <c r="U717" i="67"/>
  <c r="V717" i="67" s="1"/>
  <c r="W717" i="67" s="1"/>
  <c r="U718" i="67"/>
  <c r="V718" i="67" s="1"/>
  <c r="W718" i="67" s="1"/>
  <c r="U719" i="67"/>
  <c r="V719" i="67" s="1"/>
  <c r="W719" i="67" s="1"/>
  <c r="U720" i="67"/>
  <c r="V720" i="67" s="1"/>
  <c r="W720" i="67" s="1"/>
  <c r="U721" i="67"/>
  <c r="V721" i="67" s="1"/>
  <c r="W721" i="67" s="1"/>
  <c r="U722" i="67"/>
  <c r="V722" i="67" s="1"/>
  <c r="W722" i="67" s="1"/>
  <c r="U723" i="67"/>
  <c r="V723" i="67" s="1"/>
  <c r="W723" i="67" s="1"/>
  <c r="U724" i="67"/>
  <c r="V724" i="67" s="1"/>
  <c r="W724" i="67" s="1"/>
  <c r="U725" i="67"/>
  <c r="V725" i="67" s="1"/>
  <c r="W725" i="67" s="1"/>
  <c r="U726" i="67"/>
  <c r="V726" i="67" s="1"/>
  <c r="W726" i="67" s="1"/>
  <c r="U727" i="67"/>
  <c r="V727" i="67" s="1"/>
  <c r="W727" i="67" s="1"/>
  <c r="U728" i="67"/>
  <c r="V728" i="67" s="1"/>
  <c r="W728" i="67" s="1"/>
  <c r="U729" i="67"/>
  <c r="V729" i="67" s="1"/>
  <c r="W729" i="67" s="1"/>
  <c r="U730" i="67"/>
  <c r="V730" i="67" s="1"/>
  <c r="W730" i="67" s="1"/>
  <c r="U731" i="67"/>
  <c r="V731" i="67" s="1"/>
  <c r="W731" i="67" s="1"/>
  <c r="U732" i="67"/>
  <c r="V732" i="67" s="1"/>
  <c r="W732" i="67" s="1"/>
  <c r="U733" i="67"/>
  <c r="V733" i="67" s="1"/>
  <c r="W733" i="67" s="1"/>
  <c r="U734" i="67"/>
  <c r="V734" i="67" s="1"/>
  <c r="W734" i="67" s="1"/>
  <c r="U735" i="67"/>
  <c r="V735" i="67" s="1"/>
  <c r="W735" i="67" s="1"/>
  <c r="U736" i="67"/>
  <c r="V736" i="67" s="1"/>
  <c r="W736" i="67" s="1"/>
  <c r="U737" i="67"/>
  <c r="V737" i="67" s="1"/>
  <c r="W737" i="67" s="1"/>
  <c r="L688" i="67"/>
  <c r="M688" i="67"/>
  <c r="N688" i="67"/>
  <c r="L689" i="67"/>
  <c r="M689" i="67"/>
  <c r="N689" i="67"/>
  <c r="L690" i="67"/>
  <c r="M690" i="67"/>
  <c r="N690" i="67"/>
  <c r="L691" i="67"/>
  <c r="M691" i="67"/>
  <c r="N691" i="67"/>
  <c r="L692" i="67"/>
  <c r="M692" i="67"/>
  <c r="N692" i="67"/>
  <c r="L693" i="67"/>
  <c r="M693" i="67"/>
  <c r="N693" i="67"/>
  <c r="L694" i="67"/>
  <c r="M694" i="67"/>
  <c r="N694" i="67"/>
  <c r="L695" i="67"/>
  <c r="M695" i="67"/>
  <c r="N695" i="67"/>
  <c r="L696" i="67"/>
  <c r="M696" i="67"/>
  <c r="N696" i="67"/>
  <c r="L697" i="67"/>
  <c r="M697" i="67"/>
  <c r="N697" i="67"/>
  <c r="L698" i="67"/>
  <c r="M698" i="67"/>
  <c r="N698" i="67"/>
  <c r="L699" i="67"/>
  <c r="M699" i="67"/>
  <c r="N699" i="67"/>
  <c r="L700" i="67"/>
  <c r="M700" i="67"/>
  <c r="N700" i="67"/>
  <c r="L701" i="67"/>
  <c r="M701" i="67"/>
  <c r="N701" i="67"/>
  <c r="L702" i="67"/>
  <c r="M702" i="67"/>
  <c r="N702" i="67"/>
  <c r="L703" i="67"/>
  <c r="M703" i="67"/>
  <c r="N703" i="67"/>
  <c r="L704" i="67"/>
  <c r="M704" i="67"/>
  <c r="N704" i="67"/>
  <c r="L705" i="67"/>
  <c r="M705" i="67"/>
  <c r="N705" i="67"/>
  <c r="L706" i="67"/>
  <c r="M706" i="67"/>
  <c r="N706" i="67"/>
  <c r="L707" i="67"/>
  <c r="M707" i="67"/>
  <c r="N707" i="67"/>
  <c r="L708" i="67"/>
  <c r="M708" i="67"/>
  <c r="N708" i="67"/>
  <c r="L709" i="67"/>
  <c r="M709" i="67"/>
  <c r="N709" i="67"/>
  <c r="L710" i="67"/>
  <c r="M710" i="67"/>
  <c r="N710" i="67"/>
  <c r="L711" i="67"/>
  <c r="M711" i="67"/>
  <c r="N711" i="67"/>
  <c r="L712" i="67"/>
  <c r="M712" i="67"/>
  <c r="N712" i="67"/>
  <c r="L713" i="67"/>
  <c r="M713" i="67"/>
  <c r="N713" i="67"/>
  <c r="L714" i="67"/>
  <c r="M714" i="67"/>
  <c r="N714" i="67"/>
  <c r="L715" i="67"/>
  <c r="M715" i="67"/>
  <c r="N715" i="67"/>
  <c r="L716" i="67"/>
  <c r="M716" i="67"/>
  <c r="N716" i="67"/>
  <c r="L717" i="67"/>
  <c r="M717" i="67"/>
  <c r="N717" i="67"/>
  <c r="L718" i="67"/>
  <c r="M718" i="67"/>
  <c r="N718" i="67"/>
  <c r="L719" i="67"/>
  <c r="M719" i="67"/>
  <c r="N719" i="67"/>
  <c r="L720" i="67"/>
  <c r="M720" i="67"/>
  <c r="N720" i="67"/>
  <c r="L721" i="67"/>
  <c r="M721" i="67"/>
  <c r="N721" i="67"/>
  <c r="L722" i="67"/>
  <c r="M722" i="67"/>
  <c r="N722" i="67"/>
  <c r="L723" i="67"/>
  <c r="M723" i="67"/>
  <c r="N723" i="67"/>
  <c r="L724" i="67"/>
  <c r="M724" i="67"/>
  <c r="N724" i="67"/>
  <c r="L725" i="67"/>
  <c r="M725" i="67"/>
  <c r="N725" i="67"/>
  <c r="L726" i="67"/>
  <c r="M726" i="67"/>
  <c r="N726" i="67"/>
  <c r="L727" i="67"/>
  <c r="M727" i="67"/>
  <c r="N727" i="67"/>
  <c r="L728" i="67"/>
  <c r="M728" i="67"/>
  <c r="N728" i="67"/>
  <c r="L729" i="67"/>
  <c r="M729" i="67"/>
  <c r="N729" i="67"/>
  <c r="L730" i="67"/>
  <c r="M730" i="67"/>
  <c r="N730" i="67"/>
  <c r="L731" i="67"/>
  <c r="M731" i="67"/>
  <c r="N731" i="67"/>
  <c r="L732" i="67"/>
  <c r="M732" i="67"/>
  <c r="N732" i="67"/>
  <c r="L733" i="67"/>
  <c r="M733" i="67"/>
  <c r="N733" i="67"/>
  <c r="L734" i="67"/>
  <c r="M734" i="67"/>
  <c r="N734" i="67"/>
  <c r="L735" i="67"/>
  <c r="M735" i="67"/>
  <c r="N735" i="67"/>
  <c r="L736" i="67"/>
  <c r="M736" i="67"/>
  <c r="N736" i="67"/>
  <c r="L737" i="67"/>
  <c r="M737" i="67"/>
  <c r="N737" i="67"/>
  <c r="A688" i="67"/>
  <c r="A689" i="67"/>
  <c r="A690" i="67"/>
  <c r="A691" i="67"/>
  <c r="A692" i="67"/>
  <c r="A693" i="67"/>
  <c r="A694" i="67"/>
  <c r="A695" i="67"/>
  <c r="A696" i="67"/>
  <c r="A697" i="67"/>
  <c r="A698" i="67"/>
  <c r="A699" i="67"/>
  <c r="A700" i="67"/>
  <c r="A701" i="67"/>
  <c r="A702" i="67"/>
  <c r="A703" i="67"/>
  <c r="A704" i="67"/>
  <c r="A705" i="67"/>
  <c r="A706" i="67"/>
  <c r="A707" i="67"/>
  <c r="A708" i="67"/>
  <c r="A709" i="67"/>
  <c r="A710" i="67"/>
  <c r="A711" i="67"/>
  <c r="A712" i="67"/>
  <c r="A713" i="67"/>
  <c r="A714" i="67"/>
  <c r="A715" i="67"/>
  <c r="A716" i="67"/>
  <c r="A717" i="67"/>
  <c r="A718" i="67"/>
  <c r="A719" i="67"/>
  <c r="A720" i="67"/>
  <c r="A721" i="67"/>
  <c r="A722" i="67"/>
  <c r="A723" i="67"/>
  <c r="A724" i="67"/>
  <c r="A725" i="67"/>
  <c r="A726" i="67"/>
  <c r="A727" i="67"/>
  <c r="A728" i="67"/>
  <c r="A729" i="67"/>
  <c r="A730" i="67"/>
  <c r="A731" i="67"/>
  <c r="A732" i="67"/>
  <c r="A733" i="67"/>
  <c r="A734" i="67"/>
  <c r="A735" i="67"/>
  <c r="A736" i="67"/>
  <c r="A737" i="67"/>
  <c r="AG471" i="67" l="1"/>
  <c r="AG472" i="67"/>
  <c r="AG473" i="67"/>
  <c r="AG474" i="67"/>
  <c r="AG475" i="67"/>
  <c r="AG476" i="67"/>
  <c r="AG477" i="67"/>
  <c r="AG478" i="67"/>
  <c r="AG479" i="67"/>
  <c r="AG480" i="67"/>
  <c r="AG481" i="67"/>
  <c r="AG482" i="67"/>
  <c r="AG483" i="67"/>
  <c r="AG484" i="67"/>
  <c r="AG485" i="67"/>
  <c r="AG486" i="67"/>
  <c r="AG487" i="67"/>
  <c r="AG488" i="67"/>
  <c r="AG489" i="67"/>
  <c r="AG490" i="67"/>
  <c r="AG491" i="67"/>
  <c r="AG492" i="67"/>
  <c r="AG493" i="67"/>
  <c r="AG494" i="67"/>
  <c r="AG495" i="67"/>
  <c r="AG496" i="67"/>
  <c r="AG497" i="67"/>
  <c r="AG498" i="67"/>
  <c r="AG499" i="67"/>
  <c r="AG500" i="67"/>
  <c r="AG501" i="67"/>
  <c r="AG502" i="67"/>
  <c r="AG503" i="67"/>
  <c r="AG504" i="67"/>
  <c r="AG505" i="67"/>
  <c r="AG506" i="67"/>
  <c r="AG507" i="67"/>
  <c r="AG508" i="67"/>
  <c r="AG509" i="67"/>
  <c r="AG510" i="67"/>
  <c r="AG511" i="67"/>
  <c r="AG512" i="67"/>
  <c r="AG513" i="67"/>
  <c r="AG514" i="67"/>
  <c r="AG515" i="67"/>
  <c r="AG516" i="67"/>
  <c r="AG517" i="67"/>
  <c r="AG518" i="67"/>
  <c r="AG519" i="67"/>
  <c r="AG520" i="67"/>
  <c r="AG521" i="67"/>
  <c r="AG522" i="67"/>
  <c r="AG523" i="67"/>
  <c r="AG524" i="67"/>
  <c r="AG525" i="67"/>
  <c r="AG526" i="67"/>
  <c r="AG527" i="67"/>
  <c r="AG528" i="67"/>
  <c r="AG529" i="67"/>
  <c r="AG530" i="67"/>
  <c r="AG531" i="67"/>
  <c r="AG532" i="67"/>
  <c r="AG533" i="67"/>
  <c r="AG534" i="67"/>
  <c r="AG535" i="67"/>
  <c r="AG536" i="67"/>
  <c r="AG537" i="67"/>
  <c r="AG538" i="67"/>
  <c r="AG539" i="67"/>
  <c r="AG540" i="67"/>
  <c r="AG541" i="67"/>
  <c r="AG542" i="67"/>
  <c r="AG543" i="67"/>
  <c r="AG544" i="67"/>
  <c r="AG545" i="67"/>
  <c r="AG546" i="67"/>
  <c r="AG547" i="67"/>
  <c r="AG548" i="67"/>
  <c r="AG549" i="67"/>
  <c r="AG550" i="67"/>
  <c r="AG551" i="67"/>
  <c r="AG552" i="67"/>
  <c r="AG553" i="67"/>
  <c r="AG554" i="67"/>
  <c r="AG555" i="67"/>
  <c r="AG556" i="67"/>
  <c r="AG557" i="67"/>
  <c r="AG558" i="67"/>
  <c r="AG559" i="67"/>
  <c r="AG560" i="67"/>
  <c r="AG561" i="67"/>
  <c r="AG562" i="67"/>
  <c r="AG563" i="67"/>
  <c r="AG564" i="67"/>
  <c r="AG565" i="67"/>
  <c r="AG566" i="67"/>
  <c r="AG567" i="67"/>
  <c r="AG568" i="67"/>
  <c r="AG569" i="67"/>
  <c r="AG570" i="67"/>
  <c r="AG571" i="67"/>
  <c r="AG572" i="67"/>
  <c r="AG573" i="67"/>
  <c r="AG574" i="67"/>
  <c r="AG575" i="67"/>
  <c r="AG576" i="67"/>
  <c r="AG577" i="67"/>
  <c r="AG578" i="67"/>
  <c r="AG579" i="67"/>
  <c r="AG580" i="67"/>
  <c r="AG581" i="67"/>
  <c r="AG582" i="67"/>
  <c r="AG583" i="67"/>
  <c r="AG584" i="67"/>
  <c r="AG585" i="67"/>
  <c r="AG586" i="67"/>
  <c r="AG587" i="67"/>
  <c r="AG588" i="67"/>
  <c r="AG589" i="67"/>
  <c r="AG590" i="67"/>
  <c r="AG591" i="67"/>
  <c r="AG592" i="67"/>
  <c r="AG593" i="67"/>
  <c r="AG594" i="67"/>
  <c r="AG595" i="67"/>
  <c r="AG596" i="67"/>
  <c r="AG597" i="67"/>
  <c r="AG598" i="67"/>
  <c r="AG599" i="67"/>
  <c r="AG600" i="67"/>
  <c r="AG601" i="67"/>
  <c r="AG602" i="67"/>
  <c r="AG603" i="67"/>
  <c r="AG604" i="67"/>
  <c r="AG605" i="67"/>
  <c r="AG606" i="67"/>
  <c r="AG607" i="67"/>
  <c r="AG608" i="67"/>
  <c r="AG609" i="67"/>
  <c r="AG610" i="67"/>
  <c r="AG611" i="67"/>
  <c r="AG612" i="67"/>
  <c r="AG613" i="67"/>
  <c r="AG614" i="67"/>
  <c r="AG615" i="67"/>
  <c r="AG616" i="67"/>
  <c r="AG617" i="67"/>
  <c r="AG618" i="67"/>
  <c r="AG619" i="67"/>
  <c r="AG620" i="67"/>
  <c r="AG621" i="67"/>
  <c r="AG622" i="67"/>
  <c r="AG623" i="67"/>
  <c r="AG624" i="67"/>
  <c r="AG625" i="67"/>
  <c r="AG626" i="67"/>
  <c r="AG627" i="67"/>
  <c r="AG628" i="67"/>
  <c r="AG629" i="67"/>
  <c r="AG630" i="67"/>
  <c r="AG631" i="67"/>
  <c r="AG632" i="67"/>
  <c r="AG633" i="67"/>
  <c r="AG634" i="67"/>
  <c r="AG635" i="67"/>
  <c r="AG636" i="67"/>
  <c r="AG637" i="67"/>
  <c r="AG638" i="67"/>
  <c r="AG639" i="67"/>
  <c r="AG640" i="67"/>
  <c r="AG641" i="67"/>
  <c r="AG642" i="67"/>
  <c r="AG643" i="67"/>
  <c r="AG644" i="67"/>
  <c r="AG645" i="67"/>
  <c r="AG646" i="67"/>
  <c r="AG647" i="67"/>
  <c r="AG648" i="67"/>
  <c r="AG649" i="67"/>
  <c r="AG650" i="67"/>
  <c r="AG651" i="67"/>
  <c r="AG652" i="67"/>
  <c r="AG653" i="67"/>
  <c r="AG654" i="67"/>
  <c r="AG655" i="67"/>
  <c r="AG656" i="67"/>
  <c r="AG657" i="67"/>
  <c r="AG658" i="67"/>
  <c r="AG659" i="67"/>
  <c r="AG660" i="67"/>
  <c r="AG661" i="67"/>
  <c r="AG662" i="67"/>
  <c r="AG663" i="67"/>
  <c r="AG664" i="67"/>
  <c r="AG665" i="67"/>
  <c r="AG666" i="67"/>
  <c r="AG667" i="67"/>
  <c r="AG668" i="67"/>
  <c r="AG669" i="67"/>
  <c r="AG670" i="67"/>
  <c r="AG671" i="67"/>
  <c r="AG672" i="67"/>
  <c r="AG673" i="67"/>
  <c r="AG674" i="67"/>
  <c r="AG675" i="67"/>
  <c r="AG676" i="67"/>
  <c r="AG677" i="67"/>
  <c r="AG678" i="67"/>
  <c r="AG679" i="67"/>
  <c r="AG680" i="67"/>
  <c r="AG681" i="67"/>
  <c r="AG682" i="67"/>
  <c r="AG683" i="67"/>
  <c r="AG684" i="67"/>
  <c r="AG685" i="67"/>
  <c r="AG686" i="67"/>
  <c r="AG687" i="67"/>
  <c r="S387" i="58"/>
  <c r="U658" i="67" l="1"/>
  <c r="V658" i="67" s="1"/>
  <c r="W658" i="67" s="1"/>
  <c r="U659" i="67"/>
  <c r="V659" i="67" s="1"/>
  <c r="W659" i="67" s="1"/>
  <c r="U660" i="67"/>
  <c r="V660" i="67" s="1"/>
  <c r="W660" i="67" s="1"/>
  <c r="U661" i="67"/>
  <c r="V661" i="67" s="1"/>
  <c r="W661" i="67" s="1"/>
  <c r="U662" i="67"/>
  <c r="V662" i="67" s="1"/>
  <c r="W662" i="67" s="1"/>
  <c r="U663" i="67"/>
  <c r="V663" i="67" s="1"/>
  <c r="W663" i="67" s="1"/>
  <c r="U664" i="67"/>
  <c r="V664" i="67" s="1"/>
  <c r="W664" i="67" s="1"/>
  <c r="U665" i="67"/>
  <c r="V665" i="67" s="1"/>
  <c r="W665" i="67" s="1"/>
  <c r="U666" i="67"/>
  <c r="V666" i="67" s="1"/>
  <c r="W666" i="67" s="1"/>
  <c r="U667" i="67"/>
  <c r="V667" i="67" s="1"/>
  <c r="W667" i="67" s="1"/>
  <c r="U668" i="67"/>
  <c r="V668" i="67" s="1"/>
  <c r="W668" i="67" s="1"/>
  <c r="U669" i="67"/>
  <c r="V669" i="67" s="1"/>
  <c r="W669" i="67" s="1"/>
  <c r="U670" i="67"/>
  <c r="V670" i="67" s="1"/>
  <c r="W670" i="67" s="1"/>
  <c r="U671" i="67"/>
  <c r="V671" i="67" s="1"/>
  <c r="W671" i="67" s="1"/>
  <c r="U672" i="67"/>
  <c r="V672" i="67" s="1"/>
  <c r="W672" i="67" s="1"/>
  <c r="U673" i="67"/>
  <c r="V673" i="67" s="1"/>
  <c r="W673" i="67" s="1"/>
  <c r="U674" i="67"/>
  <c r="V674" i="67" s="1"/>
  <c r="W674" i="67" s="1"/>
  <c r="U675" i="67"/>
  <c r="V675" i="67" s="1"/>
  <c r="W675" i="67" s="1"/>
  <c r="U676" i="67"/>
  <c r="V676" i="67" s="1"/>
  <c r="W676" i="67" s="1"/>
  <c r="U677" i="67"/>
  <c r="V677" i="67" s="1"/>
  <c r="W677" i="67" s="1"/>
  <c r="U678" i="67"/>
  <c r="V678" i="67" s="1"/>
  <c r="W678" i="67" s="1"/>
  <c r="U679" i="67"/>
  <c r="V679" i="67" s="1"/>
  <c r="W679" i="67" s="1"/>
  <c r="U680" i="67"/>
  <c r="V680" i="67" s="1"/>
  <c r="W680" i="67" s="1"/>
  <c r="U681" i="67"/>
  <c r="V681" i="67" s="1"/>
  <c r="W681" i="67" s="1"/>
  <c r="U682" i="67"/>
  <c r="V682" i="67" s="1"/>
  <c r="W682" i="67" s="1"/>
  <c r="U683" i="67"/>
  <c r="V683" i="67" s="1"/>
  <c r="W683" i="67" s="1"/>
  <c r="U684" i="67"/>
  <c r="V684" i="67" s="1"/>
  <c r="W684" i="67" s="1"/>
  <c r="U685" i="67"/>
  <c r="V685" i="67" s="1"/>
  <c r="W685" i="67" s="1"/>
  <c r="U686" i="67"/>
  <c r="V686" i="67" s="1"/>
  <c r="W686" i="67" s="1"/>
  <c r="U687" i="67"/>
  <c r="V687" i="67" s="1"/>
  <c r="W687" i="67" s="1"/>
  <c r="L658" i="67"/>
  <c r="M658" i="67"/>
  <c r="L659" i="67"/>
  <c r="M659" i="67"/>
  <c r="L660" i="67"/>
  <c r="M660" i="67"/>
  <c r="L661" i="67"/>
  <c r="M661" i="67"/>
  <c r="L662" i="67"/>
  <c r="M662" i="67"/>
  <c r="L663" i="67"/>
  <c r="M663" i="67"/>
  <c r="L664" i="67"/>
  <c r="M664" i="67"/>
  <c r="L665" i="67"/>
  <c r="M665" i="67"/>
  <c r="L666" i="67"/>
  <c r="M666" i="67"/>
  <c r="L667" i="67"/>
  <c r="M667" i="67"/>
  <c r="L668" i="67"/>
  <c r="M668" i="67"/>
  <c r="L669" i="67"/>
  <c r="M669" i="67"/>
  <c r="L670" i="67"/>
  <c r="M670" i="67"/>
  <c r="L671" i="67"/>
  <c r="M671" i="67"/>
  <c r="L672" i="67"/>
  <c r="M672" i="67"/>
  <c r="L673" i="67"/>
  <c r="M673" i="67"/>
  <c r="L674" i="67"/>
  <c r="M674" i="67"/>
  <c r="L675" i="67"/>
  <c r="M675" i="67"/>
  <c r="L676" i="67"/>
  <c r="M676" i="67"/>
  <c r="L677" i="67"/>
  <c r="M677" i="67"/>
  <c r="L678" i="67"/>
  <c r="M678" i="67"/>
  <c r="L679" i="67"/>
  <c r="M679" i="67"/>
  <c r="L680" i="67"/>
  <c r="M680" i="67"/>
  <c r="L681" i="67"/>
  <c r="M681" i="67"/>
  <c r="L682" i="67"/>
  <c r="M682" i="67"/>
  <c r="L683" i="67"/>
  <c r="M683" i="67"/>
  <c r="L684" i="67"/>
  <c r="M684" i="67"/>
  <c r="L685" i="67"/>
  <c r="M685" i="67"/>
  <c r="L686" i="67"/>
  <c r="M686" i="67"/>
  <c r="L687" i="67"/>
  <c r="M687" i="67"/>
  <c r="N658" i="67"/>
  <c r="N659" i="67"/>
  <c r="N660" i="67"/>
  <c r="N661" i="67"/>
  <c r="N662" i="67"/>
  <c r="N663" i="67"/>
  <c r="N664" i="67"/>
  <c r="N665" i="67"/>
  <c r="N666" i="67"/>
  <c r="N667" i="67"/>
  <c r="N668" i="67"/>
  <c r="N669" i="67"/>
  <c r="N670" i="67"/>
  <c r="N671" i="67"/>
  <c r="N672" i="67"/>
  <c r="N673" i="67"/>
  <c r="N674" i="67"/>
  <c r="N675" i="67"/>
  <c r="N676" i="67"/>
  <c r="N677" i="67"/>
  <c r="N678" i="67"/>
  <c r="N679" i="67"/>
  <c r="N680" i="67"/>
  <c r="N681" i="67"/>
  <c r="N682" i="67"/>
  <c r="N683" i="67"/>
  <c r="N684" i="67"/>
  <c r="N685" i="67"/>
  <c r="N686" i="67"/>
  <c r="N687" i="67"/>
  <c r="A658" i="67"/>
  <c r="A659" i="67"/>
  <c r="A660" i="67"/>
  <c r="A661" i="67"/>
  <c r="A662" i="67"/>
  <c r="A663" i="67"/>
  <c r="A664" i="67"/>
  <c r="A665" i="67"/>
  <c r="A666" i="67"/>
  <c r="A667" i="67"/>
  <c r="A668" i="67"/>
  <c r="A669" i="67"/>
  <c r="A670" i="67"/>
  <c r="A671" i="67"/>
  <c r="A672" i="67"/>
  <c r="A673" i="67"/>
  <c r="A674" i="67"/>
  <c r="A675" i="67"/>
  <c r="A676" i="67"/>
  <c r="A677" i="67"/>
  <c r="A678" i="67"/>
  <c r="A679" i="67"/>
  <c r="A680" i="67"/>
  <c r="A681" i="67"/>
  <c r="A682" i="67"/>
  <c r="A683" i="67"/>
  <c r="A684" i="67"/>
  <c r="A685" i="67"/>
  <c r="A686" i="67"/>
  <c r="A687" i="67"/>
  <c r="A1700" i="47" l="1"/>
  <c r="A1701" i="47"/>
  <c r="A1702" i="47"/>
  <c r="A1703" i="47" s="1"/>
  <c r="A1704" i="47" s="1"/>
  <c r="A1705" i="47" s="1"/>
  <c r="A1706" i="47" s="1"/>
  <c r="A1707" i="47" s="1"/>
  <c r="A1708" i="47" s="1"/>
  <c r="A1709" i="47" s="1"/>
  <c r="A1710" i="47" s="1"/>
  <c r="A1711" i="47" s="1"/>
  <c r="A1712" i="47" s="1"/>
  <c r="A1713" i="47" s="1"/>
  <c r="A1714" i="47" s="1"/>
  <c r="A1715" i="47" s="1"/>
  <c r="A1716" i="47" s="1"/>
  <c r="A1717" i="47" s="1"/>
  <c r="A1718" i="47" s="1"/>
  <c r="A1719" i="47" s="1"/>
  <c r="A1720" i="47" s="1"/>
  <c r="A1721" i="47" s="1"/>
  <c r="A1722" i="47" s="1"/>
  <c r="A1723" i="47" s="1"/>
  <c r="A1724" i="47" s="1"/>
  <c r="A1725" i="47" s="1"/>
  <c r="A1726" i="47" s="1"/>
  <c r="A1727" i="47" s="1"/>
  <c r="A1728" i="47" s="1"/>
  <c r="A1729" i="47" s="1"/>
  <c r="A1730" i="47" s="1"/>
  <c r="A1731" i="47" s="1"/>
  <c r="A1732" i="47" s="1"/>
  <c r="A1733" i="47" s="1"/>
  <c r="A1734" i="47" s="1"/>
  <c r="A1735" i="47" s="1"/>
  <c r="A1736" i="47" s="1"/>
  <c r="A1737" i="47" s="1"/>
  <c r="A1738" i="47" s="1"/>
  <c r="A1739" i="47" s="1"/>
  <c r="A1740" i="47" s="1"/>
  <c r="A1741" i="47" s="1"/>
  <c r="A1742" i="47" s="1"/>
  <c r="A1743" i="47" s="1"/>
  <c r="A1744" i="47" s="1"/>
  <c r="A1745" i="47" s="1"/>
  <c r="A1746" i="47" s="1"/>
  <c r="A1747" i="47" s="1"/>
  <c r="A1748" i="47" s="1"/>
  <c r="A1749" i="47" s="1"/>
  <c r="A1750" i="47" s="1"/>
  <c r="A1751" i="47" s="1"/>
  <c r="A1752" i="47" s="1"/>
  <c r="A1753" i="47" s="1"/>
  <c r="A1754" i="47" s="1"/>
  <c r="A1755" i="47" s="1"/>
  <c r="A1756" i="47" s="1"/>
  <c r="A1757" i="47" s="1"/>
  <c r="A1758" i="47" s="1"/>
  <c r="A1759" i="47" s="1"/>
  <c r="A1760" i="47" s="1"/>
  <c r="A1761" i="47" s="1"/>
  <c r="A1762" i="47" s="1"/>
  <c r="A1763" i="47" s="1"/>
  <c r="A1764" i="47" s="1"/>
  <c r="A1765" i="47" s="1"/>
  <c r="A1766" i="47" s="1"/>
  <c r="A1767" i="47" s="1"/>
  <c r="A1768" i="47" s="1"/>
  <c r="A1769" i="47" s="1"/>
  <c r="A1770" i="47" s="1"/>
  <c r="A1771" i="47" s="1"/>
  <c r="A1772" i="47" s="1"/>
  <c r="A1773" i="47" s="1"/>
  <c r="A1774" i="47" s="1"/>
  <c r="A1775" i="47" s="1"/>
  <c r="A1776" i="47" s="1"/>
  <c r="A1777" i="47" s="1"/>
  <c r="A1778" i="47" s="1"/>
  <c r="A1779" i="47" s="1"/>
  <c r="A1780" i="47" s="1"/>
  <c r="A1781" i="47" s="1"/>
  <c r="A1782" i="47" s="1"/>
  <c r="A1783" i="47" s="1"/>
  <c r="A1784" i="47" s="1"/>
  <c r="A1785" i="47" s="1"/>
  <c r="A1786" i="47" s="1"/>
  <c r="A1787" i="47" s="1"/>
  <c r="A1788" i="47" s="1"/>
  <c r="A1789" i="47" s="1"/>
  <c r="A1790" i="47" s="1"/>
  <c r="A1791" i="47" s="1"/>
  <c r="A1792" i="47" s="1"/>
  <c r="A1793" i="47" s="1"/>
  <c r="A1794" i="47" s="1"/>
  <c r="A1795" i="47" s="1"/>
  <c r="A1796" i="47" s="1"/>
  <c r="A1797" i="47" s="1"/>
  <c r="A1798" i="47" s="1"/>
  <c r="A1799" i="47" s="1"/>
  <c r="A1800" i="47" s="1"/>
  <c r="A1801" i="47" s="1"/>
  <c r="A1802" i="47" s="1"/>
  <c r="A1803" i="47" s="1"/>
  <c r="A1804" i="47" s="1"/>
  <c r="A1805" i="47" s="1"/>
  <c r="A1806" i="47" s="1"/>
  <c r="A1807" i="47" s="1"/>
  <c r="A1808" i="47" s="1"/>
  <c r="A1809" i="47" s="1"/>
  <c r="A1810" i="47" s="1"/>
  <c r="A1811" i="47" s="1"/>
  <c r="A1812" i="47" s="1"/>
  <c r="A1813" i="47" s="1"/>
  <c r="A1814" i="47" s="1"/>
  <c r="A1815" i="47" s="1"/>
  <c r="A1816" i="47" s="1"/>
  <c r="A1817" i="47" s="1"/>
  <c r="A1818" i="47" s="1"/>
  <c r="A1819" i="47" s="1"/>
  <c r="A1820" i="47" s="1"/>
  <c r="A1821" i="47" s="1"/>
  <c r="A1822" i="47" s="1"/>
  <c r="A1823" i="47" s="1"/>
  <c r="A1824" i="47" s="1"/>
  <c r="A1825" i="47" s="1"/>
  <c r="A1826" i="47" s="1"/>
  <c r="A1827" i="47" s="1"/>
  <c r="A1828" i="47" s="1"/>
  <c r="A1829" i="47" s="1"/>
  <c r="A1830" i="47" s="1"/>
  <c r="A1831" i="47" s="1"/>
  <c r="A1832" i="47" s="1"/>
  <c r="A1833" i="47" s="1"/>
  <c r="A1834" i="47" s="1"/>
  <c r="AD471" i="67"/>
  <c r="AE471" i="67" s="1"/>
  <c r="AD472" i="67"/>
  <c r="AE472" i="67" s="1"/>
  <c r="AD473" i="67"/>
  <c r="AE473" i="67" s="1"/>
  <c r="AD474" i="67"/>
  <c r="AE474" i="67" s="1"/>
  <c r="AD475" i="67"/>
  <c r="AE475" i="67" s="1"/>
  <c r="AD476" i="67"/>
  <c r="AE476" i="67" s="1"/>
  <c r="AD477" i="67"/>
  <c r="AE477" i="67" s="1"/>
  <c r="AD478" i="67"/>
  <c r="AE478" i="67" s="1"/>
  <c r="AD479" i="67"/>
  <c r="AE479" i="67" s="1"/>
  <c r="AD480" i="67"/>
  <c r="AE480" i="67" s="1"/>
  <c r="AD481" i="67"/>
  <c r="AE481" i="67" s="1"/>
  <c r="AD482" i="67"/>
  <c r="AE482" i="67" s="1"/>
  <c r="AD483" i="67"/>
  <c r="AE483" i="67" s="1"/>
  <c r="AD484" i="67"/>
  <c r="AE484" i="67" s="1"/>
  <c r="AD485" i="67"/>
  <c r="AE485" i="67" s="1"/>
  <c r="AD486" i="67"/>
  <c r="AE486" i="67" s="1"/>
  <c r="AD487" i="67"/>
  <c r="AE487" i="67" s="1"/>
  <c r="AD488" i="67"/>
  <c r="AE488" i="67" s="1"/>
  <c r="AD489" i="67"/>
  <c r="AE489" i="67" s="1"/>
  <c r="AD490" i="67"/>
  <c r="AE490" i="67" s="1"/>
  <c r="AD491" i="67"/>
  <c r="AE491" i="67" s="1"/>
  <c r="AD492" i="67"/>
  <c r="AE492" i="67" s="1"/>
  <c r="AD493" i="67"/>
  <c r="AE493" i="67" s="1"/>
  <c r="AD494" i="67"/>
  <c r="AE494" i="67" s="1"/>
  <c r="AD495" i="67"/>
  <c r="AE495" i="67" s="1"/>
  <c r="AD496" i="67"/>
  <c r="AE496" i="67" s="1"/>
  <c r="AD497" i="67"/>
  <c r="AE497" i="67" s="1"/>
  <c r="AD498" i="67"/>
  <c r="AE498" i="67" s="1"/>
  <c r="AD499" i="67"/>
  <c r="AE499" i="67" s="1"/>
  <c r="AD500" i="67"/>
  <c r="AE500" i="67" s="1"/>
  <c r="AD501" i="67"/>
  <c r="AE501" i="67" s="1"/>
  <c r="AD502" i="67"/>
  <c r="AE502" i="67" s="1"/>
  <c r="AD503" i="67"/>
  <c r="AE503" i="67" s="1"/>
  <c r="AD504" i="67"/>
  <c r="AE504" i="67" s="1"/>
  <c r="AD505" i="67"/>
  <c r="AE505" i="67" s="1"/>
  <c r="AD506" i="67"/>
  <c r="AE506" i="67" s="1"/>
  <c r="AD507" i="67"/>
  <c r="AE507" i="67" s="1"/>
  <c r="AD508" i="67"/>
  <c r="AE508" i="67" s="1"/>
  <c r="AD509" i="67"/>
  <c r="AE509" i="67" s="1"/>
  <c r="AD510" i="67"/>
  <c r="AE510" i="67" s="1"/>
  <c r="AD511" i="67"/>
  <c r="AE511" i="67" s="1"/>
  <c r="AD512" i="67"/>
  <c r="AE512" i="67" s="1"/>
  <c r="AD513" i="67"/>
  <c r="AE513" i="67" s="1"/>
  <c r="AD514" i="67"/>
  <c r="AE514" i="67" s="1"/>
  <c r="AD515" i="67"/>
  <c r="AE515" i="67" s="1"/>
  <c r="AD516" i="67"/>
  <c r="AE516" i="67" s="1"/>
  <c r="AD517" i="67"/>
  <c r="AE517" i="67" s="1"/>
  <c r="AD518" i="67"/>
  <c r="AE518" i="67" s="1"/>
  <c r="AD519" i="67"/>
  <c r="AE519" i="67" s="1"/>
  <c r="AD520" i="67"/>
  <c r="AE520" i="67" s="1"/>
  <c r="AD521" i="67"/>
  <c r="AE521" i="67" s="1"/>
  <c r="AD522" i="67"/>
  <c r="AE522" i="67" s="1"/>
  <c r="AD523" i="67"/>
  <c r="AE523" i="67" s="1"/>
  <c r="AD524" i="67"/>
  <c r="AE524" i="67" s="1"/>
  <c r="AD525" i="67"/>
  <c r="AE525" i="67" s="1"/>
  <c r="AD526" i="67"/>
  <c r="AE526" i="67" s="1"/>
  <c r="AD527" i="67"/>
  <c r="AE527" i="67" s="1"/>
  <c r="AD528" i="67"/>
  <c r="AE528" i="67" s="1"/>
  <c r="AD529" i="67"/>
  <c r="AE529" i="67" s="1"/>
  <c r="AD530" i="67"/>
  <c r="AE530" i="67" s="1"/>
  <c r="AD531" i="67"/>
  <c r="AE531" i="67" s="1"/>
  <c r="AD532" i="67"/>
  <c r="AE532" i="67" s="1"/>
  <c r="AD533" i="67"/>
  <c r="AE533" i="67" s="1"/>
  <c r="AD534" i="67"/>
  <c r="AE534" i="67" s="1"/>
  <c r="AD535" i="67"/>
  <c r="AE535" i="67" s="1"/>
  <c r="AD536" i="67"/>
  <c r="AE536" i="67" s="1"/>
  <c r="AD537" i="67"/>
  <c r="AE537" i="67" s="1"/>
  <c r="AD538" i="67"/>
  <c r="AE538" i="67" s="1"/>
  <c r="AD539" i="67"/>
  <c r="AE539" i="67" s="1"/>
  <c r="AD540" i="67"/>
  <c r="AE540" i="67" s="1"/>
  <c r="AD541" i="67"/>
  <c r="AE541" i="67" s="1"/>
  <c r="AD542" i="67"/>
  <c r="AE542" i="67" s="1"/>
  <c r="AD543" i="67"/>
  <c r="AE543" i="67" s="1"/>
  <c r="AD544" i="67"/>
  <c r="AE544" i="67" s="1"/>
  <c r="AD545" i="67"/>
  <c r="AE545" i="67" s="1"/>
  <c r="AD546" i="67"/>
  <c r="AE546" i="67" s="1"/>
  <c r="AD547" i="67"/>
  <c r="AE547" i="67" s="1"/>
  <c r="AD548" i="67"/>
  <c r="AE548" i="67" s="1"/>
  <c r="AD549" i="67"/>
  <c r="AE549" i="67" s="1"/>
  <c r="AD550" i="67"/>
  <c r="AE550" i="67" s="1"/>
  <c r="AD551" i="67"/>
  <c r="AE551" i="67" s="1"/>
  <c r="AD552" i="67"/>
  <c r="AE552" i="67" s="1"/>
  <c r="AD553" i="67"/>
  <c r="AE553" i="67" s="1"/>
  <c r="AD554" i="67"/>
  <c r="AE554" i="67" s="1"/>
  <c r="AD555" i="67"/>
  <c r="AE555" i="67" s="1"/>
  <c r="AD556" i="67"/>
  <c r="AE556" i="67" s="1"/>
  <c r="AD557" i="67"/>
  <c r="AE557" i="67" s="1"/>
  <c r="AD558" i="67"/>
  <c r="AE558" i="67" s="1"/>
  <c r="AD559" i="67"/>
  <c r="AE559" i="67" s="1"/>
  <c r="AD560" i="67"/>
  <c r="AE560" i="67" s="1"/>
  <c r="AD561" i="67"/>
  <c r="AE561" i="67" s="1"/>
  <c r="AD562" i="67"/>
  <c r="AE562" i="67" s="1"/>
  <c r="AD563" i="67"/>
  <c r="AE563" i="67" s="1"/>
  <c r="AD564" i="67"/>
  <c r="AE564" i="67" s="1"/>
  <c r="AD565" i="67"/>
  <c r="AE565" i="67" s="1"/>
  <c r="AD566" i="67"/>
  <c r="AE566" i="67" s="1"/>
  <c r="AD567" i="67"/>
  <c r="AE567" i="67" s="1"/>
  <c r="AD568" i="67"/>
  <c r="AE568" i="67" s="1"/>
  <c r="AD569" i="67"/>
  <c r="AE569" i="67" s="1"/>
  <c r="AD570" i="67"/>
  <c r="AE570" i="67" s="1"/>
  <c r="AD571" i="67"/>
  <c r="AE571" i="67" s="1"/>
  <c r="AD572" i="67"/>
  <c r="AE572" i="67" s="1"/>
  <c r="AD573" i="67"/>
  <c r="AE573" i="67" s="1"/>
  <c r="AD574" i="67"/>
  <c r="AE574" i="67" s="1"/>
  <c r="AD575" i="67"/>
  <c r="AE575" i="67" s="1"/>
  <c r="AD576" i="67"/>
  <c r="AE576" i="67" s="1"/>
  <c r="AD577" i="67"/>
  <c r="AE577" i="67" s="1"/>
  <c r="AD578" i="67"/>
  <c r="AE578" i="67" s="1"/>
  <c r="AD579" i="67"/>
  <c r="AE579" i="67" s="1"/>
  <c r="AD580" i="67"/>
  <c r="AE580" i="67" s="1"/>
  <c r="AD581" i="67"/>
  <c r="AE581" i="67" s="1"/>
  <c r="AD582" i="67"/>
  <c r="AE582" i="67" s="1"/>
  <c r="AD583" i="67"/>
  <c r="AE583" i="67" s="1"/>
  <c r="AD584" i="67"/>
  <c r="AE584" i="67" s="1"/>
  <c r="AD585" i="67"/>
  <c r="AE585" i="67" s="1"/>
  <c r="AD586" i="67"/>
  <c r="AE586" i="67" s="1"/>
  <c r="AD587" i="67"/>
  <c r="AE587" i="67" s="1"/>
  <c r="AD588" i="67"/>
  <c r="AE588" i="67" s="1"/>
  <c r="AD589" i="67"/>
  <c r="AE589" i="67" s="1"/>
  <c r="AD590" i="67"/>
  <c r="AE590" i="67" s="1"/>
  <c r="AD591" i="67"/>
  <c r="AE591" i="67" s="1"/>
  <c r="AD592" i="67"/>
  <c r="AE592" i="67" s="1"/>
  <c r="AD593" i="67"/>
  <c r="AE593" i="67" s="1"/>
  <c r="AD594" i="67"/>
  <c r="AE594" i="67" s="1"/>
  <c r="AD595" i="67"/>
  <c r="AE595" i="67" s="1"/>
  <c r="AD596" i="67"/>
  <c r="AE596" i="67" s="1"/>
  <c r="AD597" i="67"/>
  <c r="AE597" i="67" s="1"/>
  <c r="AD598" i="67"/>
  <c r="AE598" i="67" s="1"/>
  <c r="AD599" i="67"/>
  <c r="AE599" i="67" s="1"/>
  <c r="AD600" i="67"/>
  <c r="AE600" i="67" s="1"/>
  <c r="AD601" i="67"/>
  <c r="AE601" i="67" s="1"/>
  <c r="AD602" i="67"/>
  <c r="AE602" i="67" s="1"/>
  <c r="AD603" i="67"/>
  <c r="AE603" i="67" s="1"/>
  <c r="AD604" i="67"/>
  <c r="AE604" i="67" s="1"/>
  <c r="AD605" i="67"/>
  <c r="AE605" i="67" s="1"/>
  <c r="AD606" i="67"/>
  <c r="AE606" i="67" s="1"/>
  <c r="AD607" i="67"/>
  <c r="AE607" i="67" s="1"/>
  <c r="AD608" i="67"/>
  <c r="AE608" i="67" s="1"/>
  <c r="AD609" i="67"/>
  <c r="AE609" i="67" s="1"/>
  <c r="AD610" i="67"/>
  <c r="AE610" i="67" s="1"/>
  <c r="AD611" i="67"/>
  <c r="AE611" i="67" s="1"/>
  <c r="AD612" i="67"/>
  <c r="AE612" i="67" s="1"/>
  <c r="AD613" i="67"/>
  <c r="AE613" i="67" s="1"/>
  <c r="AD614" i="67"/>
  <c r="AE614" i="67" s="1"/>
  <c r="AD615" i="67"/>
  <c r="AE615" i="67" s="1"/>
  <c r="AD616" i="67"/>
  <c r="AE616" i="67" s="1"/>
  <c r="AD617" i="67"/>
  <c r="AE617" i="67" s="1"/>
  <c r="AD618" i="67"/>
  <c r="AE618" i="67" s="1"/>
  <c r="AD619" i="67"/>
  <c r="AE619" i="67" s="1"/>
  <c r="AD620" i="67"/>
  <c r="AE620" i="67" s="1"/>
  <c r="AD621" i="67"/>
  <c r="AE621" i="67" s="1"/>
  <c r="AD622" i="67"/>
  <c r="AE622" i="67" s="1"/>
  <c r="AD623" i="67"/>
  <c r="AE623" i="67" s="1"/>
  <c r="AD624" i="67"/>
  <c r="AE624" i="67" s="1"/>
  <c r="AD625" i="67"/>
  <c r="AE625" i="67" s="1"/>
  <c r="AD626" i="67"/>
  <c r="AE626" i="67" s="1"/>
  <c r="AD627" i="67"/>
  <c r="AE627" i="67" s="1"/>
  <c r="AD628" i="67"/>
  <c r="AE628" i="67" s="1"/>
  <c r="AD629" i="67"/>
  <c r="AE629" i="67" s="1"/>
  <c r="AD630" i="67"/>
  <c r="AE630" i="67" s="1"/>
  <c r="AD631" i="67"/>
  <c r="AE631" i="67" s="1"/>
  <c r="AD632" i="67"/>
  <c r="AE632" i="67" s="1"/>
  <c r="AD633" i="67"/>
  <c r="AE633" i="67" s="1"/>
  <c r="AD634" i="67"/>
  <c r="AE634" i="67" s="1"/>
  <c r="AD635" i="67"/>
  <c r="AE635" i="67" s="1"/>
  <c r="AD636" i="67"/>
  <c r="AE636" i="67" s="1"/>
  <c r="AD637" i="67"/>
  <c r="AE637" i="67" s="1"/>
  <c r="AD638" i="67"/>
  <c r="AE638" i="67" s="1"/>
  <c r="AD639" i="67"/>
  <c r="AE639" i="67" s="1"/>
  <c r="AD640" i="67"/>
  <c r="AE640" i="67" s="1"/>
  <c r="AD641" i="67"/>
  <c r="AE641" i="67" s="1"/>
  <c r="AD642" i="67"/>
  <c r="AE642" i="67" s="1"/>
  <c r="AD643" i="67"/>
  <c r="AE643" i="67" s="1"/>
  <c r="AD644" i="67"/>
  <c r="AE644" i="67" s="1"/>
  <c r="AD645" i="67"/>
  <c r="AE645" i="67" s="1"/>
  <c r="AD646" i="67"/>
  <c r="AE646" i="67" s="1"/>
  <c r="AD647" i="67"/>
  <c r="AE647" i="67" s="1"/>
  <c r="AD648" i="67"/>
  <c r="AE648" i="67" s="1"/>
  <c r="AD649" i="67"/>
  <c r="AE649" i="67" s="1"/>
  <c r="AD650" i="67"/>
  <c r="AE650" i="67" s="1"/>
  <c r="AD651" i="67"/>
  <c r="AE651" i="67" s="1"/>
  <c r="AD652" i="67"/>
  <c r="AE652" i="67" s="1"/>
  <c r="AD653" i="67"/>
  <c r="AE653" i="67" s="1"/>
  <c r="AD654" i="67"/>
  <c r="AE654" i="67" s="1"/>
  <c r="AD655" i="67"/>
  <c r="AE655" i="67" s="1"/>
  <c r="AD656" i="67"/>
  <c r="AE656" i="67" s="1"/>
  <c r="AD657" i="67"/>
  <c r="AE657" i="67" s="1"/>
  <c r="U619" i="67" l="1"/>
  <c r="V619" i="67" s="1"/>
  <c r="W619" i="67" s="1"/>
  <c r="U620" i="67"/>
  <c r="V620" i="67" s="1"/>
  <c r="W620" i="67" s="1"/>
  <c r="U621" i="67"/>
  <c r="V621" i="67" s="1"/>
  <c r="W621" i="67" s="1"/>
  <c r="U622" i="67"/>
  <c r="V622" i="67" s="1"/>
  <c r="W622" i="67" s="1"/>
  <c r="U623" i="67"/>
  <c r="V623" i="67" s="1"/>
  <c r="W623" i="67" s="1"/>
  <c r="U624" i="67"/>
  <c r="V624" i="67" s="1"/>
  <c r="W624" i="67" s="1"/>
  <c r="U625" i="67"/>
  <c r="V625" i="67" s="1"/>
  <c r="W625" i="67" s="1"/>
  <c r="U626" i="67"/>
  <c r="V626" i="67" s="1"/>
  <c r="W626" i="67" s="1"/>
  <c r="U627" i="67"/>
  <c r="V627" i="67" s="1"/>
  <c r="W627" i="67" s="1"/>
  <c r="U628" i="67"/>
  <c r="V628" i="67" s="1"/>
  <c r="W628" i="67" s="1"/>
  <c r="U629" i="67"/>
  <c r="V629" i="67" s="1"/>
  <c r="W629" i="67" s="1"/>
  <c r="U630" i="67"/>
  <c r="V630" i="67" s="1"/>
  <c r="W630" i="67" s="1"/>
  <c r="U631" i="67"/>
  <c r="V631" i="67" s="1"/>
  <c r="W631" i="67" s="1"/>
  <c r="U632" i="67"/>
  <c r="V632" i="67" s="1"/>
  <c r="W632" i="67" s="1"/>
  <c r="U633" i="67"/>
  <c r="V633" i="67" s="1"/>
  <c r="W633" i="67" s="1"/>
  <c r="U634" i="67"/>
  <c r="V634" i="67" s="1"/>
  <c r="W634" i="67" s="1"/>
  <c r="U635" i="67"/>
  <c r="V635" i="67" s="1"/>
  <c r="W635" i="67" s="1"/>
  <c r="U636" i="67"/>
  <c r="V636" i="67" s="1"/>
  <c r="W636" i="67" s="1"/>
  <c r="U637" i="67"/>
  <c r="V637" i="67" s="1"/>
  <c r="W637" i="67" s="1"/>
  <c r="U638" i="67"/>
  <c r="V638" i="67" s="1"/>
  <c r="W638" i="67" s="1"/>
  <c r="U639" i="67"/>
  <c r="V639" i="67" s="1"/>
  <c r="W639" i="67" s="1"/>
  <c r="U640" i="67"/>
  <c r="V640" i="67" s="1"/>
  <c r="W640" i="67" s="1"/>
  <c r="U641" i="67"/>
  <c r="V641" i="67" s="1"/>
  <c r="W641" i="67" s="1"/>
  <c r="U642" i="67"/>
  <c r="V642" i="67" s="1"/>
  <c r="W642" i="67" s="1"/>
  <c r="U643" i="67"/>
  <c r="V643" i="67" s="1"/>
  <c r="W643" i="67" s="1"/>
  <c r="U644" i="67"/>
  <c r="V644" i="67" s="1"/>
  <c r="W644" i="67" s="1"/>
  <c r="U645" i="67"/>
  <c r="V645" i="67" s="1"/>
  <c r="W645" i="67" s="1"/>
  <c r="U646" i="67"/>
  <c r="V646" i="67" s="1"/>
  <c r="W646" i="67" s="1"/>
  <c r="U647" i="67"/>
  <c r="V647" i="67" s="1"/>
  <c r="W647" i="67" s="1"/>
  <c r="U648" i="67"/>
  <c r="V648" i="67" s="1"/>
  <c r="W648" i="67" s="1"/>
  <c r="U649" i="67"/>
  <c r="V649" i="67" s="1"/>
  <c r="W649" i="67" s="1"/>
  <c r="U650" i="67"/>
  <c r="V650" i="67" s="1"/>
  <c r="W650" i="67" s="1"/>
  <c r="U651" i="67"/>
  <c r="V651" i="67" s="1"/>
  <c r="W651" i="67" s="1"/>
  <c r="U652" i="67"/>
  <c r="V652" i="67" s="1"/>
  <c r="W652" i="67" s="1"/>
  <c r="U653" i="67"/>
  <c r="V653" i="67" s="1"/>
  <c r="W653" i="67" s="1"/>
  <c r="U654" i="67"/>
  <c r="V654" i="67" s="1"/>
  <c r="W654" i="67" s="1"/>
  <c r="U655" i="67"/>
  <c r="V655" i="67" s="1"/>
  <c r="W655" i="67" s="1"/>
  <c r="U656" i="67"/>
  <c r="V656" i="67" s="1"/>
  <c r="W656" i="67" s="1"/>
  <c r="U657" i="67"/>
  <c r="V657" i="67" s="1"/>
  <c r="W657" i="67" s="1"/>
  <c r="L619" i="67"/>
  <c r="M619" i="67"/>
  <c r="N619" i="67"/>
  <c r="L620" i="67"/>
  <c r="M620" i="67"/>
  <c r="N620" i="67"/>
  <c r="L621" i="67"/>
  <c r="M621" i="67"/>
  <c r="N621" i="67"/>
  <c r="L622" i="67"/>
  <c r="M622" i="67"/>
  <c r="N622" i="67"/>
  <c r="L623" i="67"/>
  <c r="M623" i="67"/>
  <c r="N623" i="67"/>
  <c r="L624" i="67"/>
  <c r="M624" i="67"/>
  <c r="N624" i="67"/>
  <c r="L625" i="67"/>
  <c r="M625" i="67"/>
  <c r="N625" i="67"/>
  <c r="L626" i="67"/>
  <c r="M626" i="67"/>
  <c r="N626" i="67"/>
  <c r="L627" i="67"/>
  <c r="M627" i="67"/>
  <c r="N627" i="67"/>
  <c r="L628" i="67"/>
  <c r="M628" i="67"/>
  <c r="N628" i="67"/>
  <c r="L629" i="67"/>
  <c r="M629" i="67"/>
  <c r="N629" i="67"/>
  <c r="L630" i="67"/>
  <c r="M630" i="67"/>
  <c r="N630" i="67"/>
  <c r="L631" i="67"/>
  <c r="M631" i="67"/>
  <c r="N631" i="67"/>
  <c r="L632" i="67"/>
  <c r="M632" i="67"/>
  <c r="N632" i="67"/>
  <c r="L633" i="67"/>
  <c r="M633" i="67"/>
  <c r="N633" i="67"/>
  <c r="L634" i="67"/>
  <c r="M634" i="67"/>
  <c r="N634" i="67"/>
  <c r="L635" i="67"/>
  <c r="M635" i="67"/>
  <c r="N635" i="67"/>
  <c r="L636" i="67"/>
  <c r="M636" i="67"/>
  <c r="N636" i="67"/>
  <c r="L637" i="67"/>
  <c r="M637" i="67"/>
  <c r="N637" i="67"/>
  <c r="L638" i="67"/>
  <c r="M638" i="67"/>
  <c r="N638" i="67"/>
  <c r="L639" i="67"/>
  <c r="M639" i="67"/>
  <c r="N639" i="67"/>
  <c r="L640" i="67"/>
  <c r="M640" i="67"/>
  <c r="N640" i="67"/>
  <c r="L641" i="67"/>
  <c r="M641" i="67"/>
  <c r="N641" i="67"/>
  <c r="L642" i="67"/>
  <c r="M642" i="67"/>
  <c r="N642" i="67"/>
  <c r="L643" i="67"/>
  <c r="M643" i="67"/>
  <c r="N643" i="67"/>
  <c r="L644" i="67"/>
  <c r="M644" i="67"/>
  <c r="N644" i="67"/>
  <c r="L645" i="67"/>
  <c r="M645" i="67"/>
  <c r="N645" i="67"/>
  <c r="L646" i="67"/>
  <c r="M646" i="67"/>
  <c r="N646" i="67"/>
  <c r="L647" i="67"/>
  <c r="M647" i="67"/>
  <c r="N647" i="67"/>
  <c r="L648" i="67"/>
  <c r="M648" i="67"/>
  <c r="N648" i="67"/>
  <c r="L649" i="67"/>
  <c r="M649" i="67"/>
  <c r="N649" i="67"/>
  <c r="L650" i="67"/>
  <c r="M650" i="67"/>
  <c r="N650" i="67"/>
  <c r="L651" i="67"/>
  <c r="M651" i="67"/>
  <c r="N651" i="67"/>
  <c r="L652" i="67"/>
  <c r="M652" i="67"/>
  <c r="N652" i="67"/>
  <c r="L653" i="67"/>
  <c r="M653" i="67"/>
  <c r="N653" i="67"/>
  <c r="L654" i="67"/>
  <c r="M654" i="67"/>
  <c r="N654" i="67"/>
  <c r="L655" i="67"/>
  <c r="M655" i="67"/>
  <c r="N655" i="67"/>
  <c r="L656" i="67"/>
  <c r="M656" i="67"/>
  <c r="N656" i="67"/>
  <c r="L657" i="67"/>
  <c r="M657" i="67"/>
  <c r="N657" i="67"/>
  <c r="A621" i="67"/>
  <c r="A622" i="67"/>
  <c r="A623" i="67"/>
  <c r="A624" i="67"/>
  <c r="A625" i="67"/>
  <c r="A626" i="67"/>
  <c r="A627" i="67"/>
  <c r="A628" i="67"/>
  <c r="A629" i="67"/>
  <c r="A630" i="67"/>
  <c r="A631" i="67"/>
  <c r="A632" i="67"/>
  <c r="A633" i="67"/>
  <c r="A634" i="67"/>
  <c r="A635" i="67"/>
  <c r="A636" i="67"/>
  <c r="A637" i="67"/>
  <c r="A638" i="67"/>
  <c r="A639" i="67"/>
  <c r="A640" i="67"/>
  <c r="A641" i="67"/>
  <c r="A642" i="67"/>
  <c r="A643" i="67"/>
  <c r="A644" i="67"/>
  <c r="A645" i="67"/>
  <c r="A646" i="67"/>
  <c r="A647" i="67"/>
  <c r="A648" i="67"/>
  <c r="A649" i="67"/>
  <c r="A650" i="67"/>
  <c r="A651" i="67"/>
  <c r="A652" i="67"/>
  <c r="A653" i="67"/>
  <c r="A654" i="67"/>
  <c r="A655" i="67"/>
  <c r="A656" i="67"/>
  <c r="A657" i="67"/>
  <c r="A620" i="67"/>
  <c r="U573" i="67"/>
  <c r="V573" i="67" s="1"/>
  <c r="W573" i="67" s="1"/>
  <c r="U574" i="67"/>
  <c r="V574" i="67" s="1"/>
  <c r="W574" i="67" s="1"/>
  <c r="U575" i="67"/>
  <c r="V575" i="67" s="1"/>
  <c r="W575" i="67" s="1"/>
  <c r="U576" i="67"/>
  <c r="V576" i="67" s="1"/>
  <c r="W576" i="67" s="1"/>
  <c r="U577" i="67"/>
  <c r="V577" i="67" s="1"/>
  <c r="W577" i="67" s="1"/>
  <c r="U578" i="67"/>
  <c r="V578" i="67" s="1"/>
  <c r="W578" i="67" s="1"/>
  <c r="U579" i="67"/>
  <c r="V579" i="67" s="1"/>
  <c r="W579" i="67" s="1"/>
  <c r="U580" i="67"/>
  <c r="V580" i="67" s="1"/>
  <c r="W580" i="67" s="1"/>
  <c r="U581" i="67"/>
  <c r="V581" i="67" s="1"/>
  <c r="W581" i="67" s="1"/>
  <c r="U582" i="67"/>
  <c r="V582" i="67" s="1"/>
  <c r="W582" i="67" s="1"/>
  <c r="U583" i="67"/>
  <c r="V583" i="67" s="1"/>
  <c r="W583" i="67" s="1"/>
  <c r="U584" i="67"/>
  <c r="V584" i="67" s="1"/>
  <c r="W584" i="67" s="1"/>
  <c r="U585" i="67"/>
  <c r="V585" i="67" s="1"/>
  <c r="W585" i="67" s="1"/>
  <c r="U586" i="67"/>
  <c r="V586" i="67" s="1"/>
  <c r="W586" i="67" s="1"/>
  <c r="U587" i="67"/>
  <c r="V587" i="67" s="1"/>
  <c r="W587" i="67" s="1"/>
  <c r="U588" i="67"/>
  <c r="V588" i="67" s="1"/>
  <c r="W588" i="67" s="1"/>
  <c r="U589" i="67"/>
  <c r="V589" i="67" s="1"/>
  <c r="W589" i="67" s="1"/>
  <c r="U590" i="67"/>
  <c r="V590" i="67" s="1"/>
  <c r="W590" i="67" s="1"/>
  <c r="U591" i="67"/>
  <c r="V591" i="67" s="1"/>
  <c r="W591" i="67" s="1"/>
  <c r="U592" i="67"/>
  <c r="V592" i="67" s="1"/>
  <c r="W592" i="67" s="1"/>
  <c r="U593" i="67"/>
  <c r="V593" i="67" s="1"/>
  <c r="W593" i="67" s="1"/>
  <c r="U594" i="67"/>
  <c r="V594" i="67" s="1"/>
  <c r="W594" i="67" s="1"/>
  <c r="U595" i="67"/>
  <c r="V595" i="67" s="1"/>
  <c r="W595" i="67" s="1"/>
  <c r="U596" i="67"/>
  <c r="V596" i="67" s="1"/>
  <c r="W596" i="67" s="1"/>
  <c r="U597" i="67"/>
  <c r="V597" i="67" s="1"/>
  <c r="W597" i="67" s="1"/>
  <c r="U598" i="67"/>
  <c r="V598" i="67" s="1"/>
  <c r="W598" i="67" s="1"/>
  <c r="U599" i="67"/>
  <c r="V599" i="67" s="1"/>
  <c r="W599" i="67" s="1"/>
  <c r="U600" i="67"/>
  <c r="V600" i="67" s="1"/>
  <c r="W600" i="67" s="1"/>
  <c r="U601" i="67"/>
  <c r="V601" i="67" s="1"/>
  <c r="W601" i="67" s="1"/>
  <c r="U602" i="67"/>
  <c r="V602" i="67" s="1"/>
  <c r="W602" i="67" s="1"/>
  <c r="U603" i="67"/>
  <c r="V603" i="67" s="1"/>
  <c r="W603" i="67" s="1"/>
  <c r="U604" i="67"/>
  <c r="V604" i="67" s="1"/>
  <c r="W604" i="67" s="1"/>
  <c r="U605" i="67"/>
  <c r="V605" i="67" s="1"/>
  <c r="W605" i="67" s="1"/>
  <c r="U606" i="67"/>
  <c r="V606" i="67" s="1"/>
  <c r="W606" i="67" s="1"/>
  <c r="U607" i="67"/>
  <c r="V607" i="67" s="1"/>
  <c r="W607" i="67" s="1"/>
  <c r="U608" i="67"/>
  <c r="V608" i="67" s="1"/>
  <c r="W608" i="67" s="1"/>
  <c r="U609" i="67"/>
  <c r="V609" i="67" s="1"/>
  <c r="W609" i="67" s="1"/>
  <c r="U610" i="67"/>
  <c r="V610" i="67" s="1"/>
  <c r="W610" i="67" s="1"/>
  <c r="U611" i="67"/>
  <c r="V611" i="67" s="1"/>
  <c r="W611" i="67" s="1"/>
  <c r="U612" i="67"/>
  <c r="V612" i="67" s="1"/>
  <c r="W612" i="67" s="1"/>
  <c r="U613" i="67"/>
  <c r="V613" i="67" s="1"/>
  <c r="W613" i="67" s="1"/>
  <c r="U614" i="67"/>
  <c r="V614" i="67" s="1"/>
  <c r="W614" i="67" s="1"/>
  <c r="U615" i="67"/>
  <c r="V615" i="67" s="1"/>
  <c r="W615" i="67" s="1"/>
  <c r="U616" i="67"/>
  <c r="V616" i="67" s="1"/>
  <c r="W616" i="67" s="1"/>
  <c r="U617" i="67"/>
  <c r="V617" i="67" s="1"/>
  <c r="W617" i="67" s="1"/>
  <c r="U618" i="67"/>
  <c r="V618" i="67" s="1"/>
  <c r="W618" i="67" s="1"/>
  <c r="L573" i="67"/>
  <c r="M573" i="67"/>
  <c r="N573" i="67"/>
  <c r="L574" i="67"/>
  <c r="M574" i="67"/>
  <c r="N574" i="67"/>
  <c r="L575" i="67"/>
  <c r="M575" i="67"/>
  <c r="N575" i="67"/>
  <c r="L576" i="67"/>
  <c r="M576" i="67"/>
  <c r="N576" i="67"/>
  <c r="L577" i="67"/>
  <c r="M577" i="67"/>
  <c r="N577" i="67"/>
  <c r="L578" i="67"/>
  <c r="M578" i="67"/>
  <c r="N578" i="67"/>
  <c r="L579" i="67"/>
  <c r="M579" i="67"/>
  <c r="N579" i="67"/>
  <c r="L580" i="67"/>
  <c r="M580" i="67"/>
  <c r="N580" i="67"/>
  <c r="L581" i="67"/>
  <c r="M581" i="67"/>
  <c r="N581" i="67"/>
  <c r="L582" i="67"/>
  <c r="M582" i="67"/>
  <c r="N582" i="67"/>
  <c r="L583" i="67"/>
  <c r="M583" i="67"/>
  <c r="N583" i="67"/>
  <c r="L584" i="67"/>
  <c r="M584" i="67"/>
  <c r="N584" i="67"/>
  <c r="L585" i="67"/>
  <c r="M585" i="67"/>
  <c r="N585" i="67"/>
  <c r="L586" i="67"/>
  <c r="M586" i="67"/>
  <c r="N586" i="67"/>
  <c r="L587" i="67"/>
  <c r="M587" i="67"/>
  <c r="N587" i="67"/>
  <c r="L588" i="67"/>
  <c r="M588" i="67"/>
  <c r="N588" i="67"/>
  <c r="L589" i="67"/>
  <c r="M589" i="67"/>
  <c r="N589" i="67"/>
  <c r="L590" i="67"/>
  <c r="M590" i="67"/>
  <c r="N590" i="67"/>
  <c r="L591" i="67"/>
  <c r="M591" i="67"/>
  <c r="N591" i="67"/>
  <c r="L592" i="67"/>
  <c r="M592" i="67"/>
  <c r="N592" i="67"/>
  <c r="L593" i="67"/>
  <c r="M593" i="67"/>
  <c r="N593" i="67"/>
  <c r="L594" i="67"/>
  <c r="M594" i="67"/>
  <c r="N594" i="67"/>
  <c r="L595" i="67"/>
  <c r="M595" i="67"/>
  <c r="N595" i="67"/>
  <c r="L596" i="67"/>
  <c r="M596" i="67"/>
  <c r="N596" i="67"/>
  <c r="L597" i="67"/>
  <c r="M597" i="67"/>
  <c r="N597" i="67"/>
  <c r="L598" i="67"/>
  <c r="M598" i="67"/>
  <c r="N598" i="67"/>
  <c r="L599" i="67"/>
  <c r="M599" i="67"/>
  <c r="N599" i="67"/>
  <c r="L600" i="67"/>
  <c r="M600" i="67"/>
  <c r="N600" i="67"/>
  <c r="L601" i="67"/>
  <c r="M601" i="67"/>
  <c r="N601" i="67"/>
  <c r="L602" i="67"/>
  <c r="M602" i="67"/>
  <c r="N602" i="67"/>
  <c r="L603" i="67"/>
  <c r="M603" i="67"/>
  <c r="N603" i="67"/>
  <c r="L604" i="67"/>
  <c r="M604" i="67"/>
  <c r="N604" i="67"/>
  <c r="L605" i="67"/>
  <c r="M605" i="67"/>
  <c r="N605" i="67"/>
  <c r="L606" i="67"/>
  <c r="M606" i="67"/>
  <c r="N606" i="67"/>
  <c r="L607" i="67"/>
  <c r="M607" i="67"/>
  <c r="N607" i="67"/>
  <c r="L608" i="67"/>
  <c r="M608" i="67"/>
  <c r="N608" i="67"/>
  <c r="L609" i="67"/>
  <c r="M609" i="67"/>
  <c r="N609" i="67"/>
  <c r="L610" i="67"/>
  <c r="M610" i="67"/>
  <c r="N610" i="67"/>
  <c r="L611" i="67"/>
  <c r="M611" i="67"/>
  <c r="N611" i="67"/>
  <c r="L612" i="67"/>
  <c r="M612" i="67"/>
  <c r="N612" i="67"/>
  <c r="L613" i="67"/>
  <c r="M613" i="67"/>
  <c r="N613" i="67"/>
  <c r="L614" i="67"/>
  <c r="M614" i="67"/>
  <c r="N614" i="67"/>
  <c r="L615" i="67"/>
  <c r="M615" i="67"/>
  <c r="N615" i="67"/>
  <c r="L616" i="67"/>
  <c r="M616" i="67"/>
  <c r="N616" i="67"/>
  <c r="L617" i="67"/>
  <c r="M617" i="67"/>
  <c r="N617" i="67"/>
  <c r="L618" i="67"/>
  <c r="M618" i="67"/>
  <c r="N618" i="67"/>
  <c r="AG470" i="67"/>
  <c r="AG469" i="67"/>
  <c r="AG468" i="67"/>
  <c r="AG467" i="67"/>
  <c r="AG466" i="67"/>
  <c r="AG465" i="67"/>
  <c r="AG464" i="67"/>
  <c r="AG463" i="67"/>
  <c r="AG462" i="67"/>
  <c r="AG461" i="67"/>
  <c r="AG460" i="67"/>
  <c r="AG459" i="67"/>
  <c r="AG458" i="67"/>
  <c r="AG457" i="67"/>
  <c r="AG456" i="67"/>
  <c r="AG455" i="67"/>
  <c r="AG454" i="67"/>
  <c r="AG453" i="67"/>
  <c r="AG452" i="67"/>
  <c r="AG451" i="67"/>
  <c r="AG450" i="67"/>
  <c r="AG449" i="67"/>
  <c r="AG448" i="67"/>
  <c r="AG447" i="67"/>
  <c r="AG446" i="67"/>
  <c r="AG445" i="67"/>
  <c r="AG444" i="67"/>
  <c r="AG443" i="67"/>
  <c r="AG442" i="67"/>
  <c r="AG441" i="67"/>
  <c r="AG440" i="67"/>
  <c r="AG439" i="67"/>
  <c r="AG438" i="67"/>
  <c r="AG437" i="67"/>
  <c r="AG436" i="67"/>
  <c r="AG435" i="67"/>
  <c r="AG434" i="67"/>
  <c r="AG433" i="67"/>
  <c r="AG432" i="67"/>
  <c r="AG431" i="67"/>
  <c r="AG430" i="67"/>
  <c r="AG429" i="67"/>
  <c r="AG428" i="67"/>
  <c r="AG427" i="67"/>
  <c r="AG426" i="67"/>
  <c r="AG425" i="67"/>
  <c r="AG424" i="67"/>
  <c r="AG423" i="67"/>
  <c r="AG422" i="67"/>
  <c r="AG421" i="67"/>
  <c r="AG420" i="67"/>
  <c r="AG419" i="67"/>
  <c r="AG418" i="67"/>
  <c r="AG417" i="67"/>
  <c r="AG416" i="67"/>
  <c r="AG415" i="67"/>
  <c r="AG414" i="67"/>
  <c r="AG413" i="67"/>
  <c r="AG412" i="67"/>
  <c r="AG411" i="67"/>
  <c r="AG410" i="67"/>
  <c r="AG409" i="67"/>
  <c r="AG408" i="67"/>
  <c r="AG407" i="67"/>
  <c r="AG406" i="67"/>
  <c r="AG405" i="67"/>
  <c r="AG404" i="67"/>
  <c r="AG403" i="67"/>
  <c r="AG402" i="67"/>
  <c r="AG401" i="67"/>
  <c r="AG400" i="67"/>
  <c r="AG399" i="67"/>
  <c r="AG398" i="67"/>
  <c r="AG397" i="67"/>
  <c r="AG396" i="67"/>
  <c r="AG395" i="67"/>
  <c r="AG394" i="67"/>
  <c r="AG393" i="67"/>
  <c r="AG392" i="67"/>
  <c r="AG391" i="67"/>
  <c r="AG390" i="67"/>
  <c r="AG389" i="67"/>
  <c r="AG388" i="67"/>
  <c r="AG387" i="67"/>
  <c r="AG386" i="67"/>
  <c r="AG385" i="67"/>
  <c r="AG384" i="67"/>
  <c r="AG383" i="67"/>
  <c r="AG382" i="67"/>
  <c r="AG381" i="67"/>
  <c r="AG380" i="67"/>
  <c r="AG379" i="67"/>
  <c r="AG378" i="67"/>
  <c r="AG377" i="67"/>
  <c r="AG376" i="67"/>
  <c r="AG375" i="67"/>
  <c r="AG374" i="67"/>
  <c r="AG373" i="67"/>
  <c r="AG372" i="67"/>
  <c r="AG371" i="67"/>
  <c r="AG370" i="67"/>
  <c r="AG369" i="67"/>
  <c r="AG368" i="67"/>
  <c r="AG367" i="67"/>
  <c r="AG366" i="67"/>
  <c r="AG365" i="67"/>
  <c r="AG364" i="67"/>
  <c r="AG363" i="67"/>
  <c r="AG362" i="67"/>
  <c r="AG361" i="67"/>
  <c r="AG360" i="67"/>
  <c r="AG359" i="67"/>
  <c r="AG358" i="67"/>
  <c r="AG357" i="67"/>
  <c r="AG356" i="67"/>
  <c r="AG355" i="67"/>
  <c r="AG354" i="67"/>
  <c r="AG353" i="67"/>
  <c r="AG352" i="67"/>
  <c r="AG351" i="67"/>
  <c r="AG350" i="67"/>
  <c r="AG349" i="67"/>
  <c r="AG348" i="67"/>
  <c r="AG347" i="67"/>
  <c r="AG346" i="67"/>
  <c r="AG345" i="67"/>
  <c r="AG344" i="67"/>
  <c r="AG343" i="67"/>
  <c r="AG342" i="67"/>
  <c r="AG341" i="67"/>
  <c r="AG340" i="67"/>
  <c r="AG339" i="67"/>
  <c r="AG338" i="67"/>
  <c r="AG337" i="67"/>
  <c r="AG336" i="67"/>
  <c r="AG335" i="67"/>
  <c r="AG334" i="67"/>
  <c r="AG333" i="67"/>
  <c r="AG332" i="67"/>
  <c r="AG331" i="67"/>
  <c r="AG330" i="67"/>
  <c r="AG329" i="67"/>
  <c r="AG328" i="67"/>
  <c r="AG327" i="67"/>
  <c r="AG326" i="67"/>
  <c r="AG325" i="67"/>
  <c r="AG324" i="67"/>
  <c r="AG323" i="67"/>
  <c r="AG322" i="67"/>
  <c r="AG321" i="67"/>
  <c r="AG320" i="67"/>
  <c r="AG319" i="67"/>
  <c r="AG318" i="67"/>
  <c r="AG317" i="67"/>
  <c r="AG316" i="67"/>
  <c r="AG315" i="67"/>
  <c r="AG314" i="67"/>
  <c r="AG313" i="67"/>
  <c r="AG312" i="67"/>
  <c r="AG311" i="67"/>
  <c r="AG310" i="67"/>
  <c r="AG309" i="67"/>
  <c r="AG308" i="67"/>
  <c r="AG307" i="67"/>
  <c r="AG306" i="67"/>
  <c r="AG305" i="67"/>
  <c r="AG304" i="67"/>
  <c r="AG303" i="67"/>
  <c r="AG302" i="67"/>
  <c r="AG301" i="67"/>
  <c r="AG300" i="67"/>
  <c r="AG299" i="67"/>
  <c r="AG298" i="67"/>
  <c r="AG297" i="67"/>
  <c r="AG296" i="67"/>
  <c r="AG295" i="67"/>
  <c r="AG294" i="67"/>
  <c r="AG293" i="67"/>
  <c r="AG292" i="67"/>
  <c r="AG291" i="67"/>
  <c r="AG290" i="67"/>
  <c r="AG289" i="67"/>
  <c r="AG288" i="67"/>
  <c r="AG287" i="67"/>
  <c r="AG286" i="67"/>
  <c r="AG285" i="67"/>
  <c r="AG284" i="67"/>
  <c r="AG283" i="67"/>
  <c r="AG282" i="67"/>
  <c r="AG281" i="67"/>
  <c r="AG280" i="67"/>
  <c r="AG279" i="67"/>
  <c r="AG278" i="67"/>
  <c r="AG277" i="67"/>
  <c r="AG276" i="67"/>
  <c r="AG275" i="67"/>
  <c r="AG274" i="67"/>
  <c r="AG273" i="67"/>
  <c r="AG272" i="67"/>
  <c r="AG271" i="67"/>
  <c r="AG270" i="67"/>
  <c r="AG269" i="67"/>
  <c r="AG268" i="67"/>
  <c r="AG267" i="67"/>
  <c r="AG266" i="67"/>
  <c r="AG265" i="67"/>
  <c r="AG264" i="67"/>
  <c r="AG263" i="67"/>
  <c r="AG262" i="67"/>
  <c r="AG261" i="67"/>
  <c r="AG260" i="67"/>
  <c r="AG259" i="67"/>
  <c r="AG258" i="67"/>
  <c r="AG257" i="67"/>
  <c r="AG256" i="67"/>
  <c r="AG255" i="67"/>
  <c r="AG254" i="67"/>
  <c r="AG253" i="67"/>
  <c r="AG252" i="67"/>
  <c r="AG251" i="67"/>
  <c r="AG250" i="67"/>
  <c r="AG249" i="67"/>
  <c r="AG248" i="67"/>
  <c r="AG247" i="67"/>
  <c r="AG246" i="67"/>
  <c r="AG245" i="67"/>
  <c r="AG244" i="67"/>
  <c r="AG243" i="67"/>
  <c r="AG242" i="67"/>
  <c r="AG241" i="67"/>
  <c r="AG240" i="67"/>
  <c r="AG239" i="67"/>
  <c r="AG238" i="67"/>
  <c r="AG237" i="67"/>
  <c r="AG236" i="67"/>
  <c r="AG235" i="67"/>
  <c r="AG234" i="67"/>
  <c r="AG233" i="67"/>
  <c r="AG232" i="67"/>
  <c r="AG231" i="67"/>
  <c r="AG230" i="67"/>
  <c r="AG229" i="67"/>
  <c r="AG228" i="67"/>
  <c r="AG227" i="67"/>
  <c r="AG226" i="67"/>
  <c r="AG225" i="67"/>
  <c r="AG224" i="67"/>
  <c r="AG223" i="67"/>
  <c r="AG222" i="67"/>
  <c r="AG221" i="67"/>
  <c r="AG220" i="67"/>
  <c r="AG219" i="67"/>
  <c r="AG218" i="67"/>
  <c r="AG217" i="67"/>
  <c r="AG216" i="67"/>
  <c r="AG215" i="67"/>
  <c r="AG214" i="67"/>
  <c r="AG213" i="67"/>
  <c r="AG212" i="67"/>
  <c r="AG211" i="67"/>
  <c r="AG210" i="67"/>
  <c r="AG209" i="67"/>
  <c r="AG208" i="67"/>
  <c r="AG207" i="67"/>
  <c r="AG206" i="67"/>
  <c r="AG205" i="67"/>
  <c r="AG204" i="67"/>
  <c r="AG203" i="67"/>
  <c r="AG202" i="67"/>
  <c r="AG201" i="67"/>
  <c r="AG200" i="67"/>
  <c r="AG199" i="67"/>
  <c r="AG198" i="67"/>
  <c r="AG197" i="67"/>
  <c r="AG196" i="67"/>
  <c r="AG195" i="67"/>
  <c r="AG194" i="67"/>
  <c r="AG193" i="67"/>
  <c r="AG192" i="67"/>
  <c r="AG191" i="67"/>
  <c r="AG190" i="67"/>
  <c r="AG189" i="67"/>
  <c r="AG188" i="67"/>
  <c r="AG187" i="67"/>
  <c r="AG186" i="67"/>
  <c r="AG185" i="67"/>
  <c r="AG184" i="67"/>
  <c r="AG183" i="67"/>
  <c r="AG182" i="67"/>
  <c r="AG181" i="67"/>
  <c r="AG180" i="67"/>
  <c r="AG179" i="67"/>
  <c r="AG178" i="67"/>
  <c r="AG177" i="67"/>
  <c r="AG176" i="67"/>
  <c r="AG175" i="67"/>
  <c r="AG174" i="67"/>
  <c r="AG173" i="67"/>
  <c r="AG172" i="67"/>
  <c r="AG171" i="67"/>
  <c r="AG170" i="67"/>
  <c r="AG169" i="67"/>
  <c r="AG168" i="67"/>
  <c r="AG167" i="67"/>
  <c r="AG166" i="67"/>
  <c r="AG165" i="67"/>
  <c r="AG164" i="67"/>
  <c r="AG163" i="67"/>
  <c r="AG162" i="67"/>
  <c r="AG161" i="67"/>
  <c r="AG160" i="67"/>
  <c r="AG159" i="67"/>
  <c r="AG158" i="67"/>
  <c r="AG157" i="67"/>
  <c r="AG156" i="67"/>
  <c r="AG155" i="67"/>
  <c r="AG154" i="67"/>
  <c r="AG153" i="67"/>
  <c r="AG152" i="67"/>
  <c r="AG151" i="67"/>
  <c r="AG150" i="67"/>
  <c r="AG149" i="67"/>
  <c r="AG148" i="67"/>
  <c r="AG147" i="67"/>
  <c r="AG146" i="67"/>
  <c r="AG145" i="67"/>
  <c r="AG144" i="67"/>
  <c r="AG143" i="67"/>
  <c r="AG142" i="67"/>
  <c r="AG141" i="67"/>
  <c r="AG140" i="67"/>
  <c r="AG139" i="67"/>
  <c r="AG138" i="67"/>
  <c r="AG137" i="67"/>
  <c r="AG136" i="67"/>
  <c r="AG135" i="67"/>
  <c r="AG134" i="67"/>
  <c r="AG133" i="67"/>
  <c r="AG132" i="67"/>
  <c r="AG131" i="67"/>
  <c r="AG130" i="67"/>
  <c r="AG129" i="67"/>
  <c r="AG128" i="67"/>
  <c r="AG127" i="67"/>
  <c r="AG126" i="67"/>
  <c r="AG125" i="67"/>
  <c r="AG124" i="67"/>
  <c r="AG123" i="67"/>
  <c r="AG122" i="67"/>
  <c r="AG121" i="67"/>
  <c r="AG120" i="67"/>
  <c r="AG119" i="67"/>
  <c r="AG118" i="67"/>
  <c r="AG117" i="67"/>
  <c r="AG116" i="67"/>
  <c r="AG115" i="67"/>
  <c r="AG114" i="67"/>
  <c r="AG113" i="67"/>
  <c r="AG112" i="67"/>
  <c r="AG111" i="67"/>
  <c r="AG110" i="67"/>
  <c r="AG109" i="67"/>
  <c r="AG108" i="67"/>
  <c r="AG107" i="67"/>
  <c r="AG106" i="67"/>
  <c r="AG105" i="67"/>
  <c r="AG104" i="67"/>
  <c r="AG103" i="67"/>
  <c r="AG102" i="67"/>
  <c r="AG101" i="67"/>
  <c r="AG100" i="67"/>
  <c r="AG99" i="67"/>
  <c r="AG98" i="67"/>
  <c r="AG97" i="67"/>
  <c r="AG96" i="67"/>
  <c r="AG95" i="67"/>
  <c r="AG94" i="67"/>
  <c r="AG93" i="67"/>
  <c r="AG92" i="67"/>
  <c r="AG91" i="67"/>
  <c r="AG90" i="67"/>
  <c r="AG89" i="67"/>
  <c r="AG88" i="67"/>
  <c r="AG87" i="67"/>
  <c r="AG86" i="67"/>
  <c r="AG85" i="67"/>
  <c r="AG84" i="67"/>
  <c r="AG83" i="67"/>
  <c r="AG82" i="67"/>
  <c r="AG81" i="67"/>
  <c r="AG80" i="67"/>
  <c r="AG79" i="67"/>
  <c r="AG78" i="67"/>
  <c r="AG77" i="67"/>
  <c r="AG76" i="67"/>
  <c r="AG75" i="67"/>
  <c r="AG74" i="67"/>
  <c r="AG73" i="67"/>
  <c r="AG72" i="67"/>
  <c r="AG71" i="67"/>
  <c r="AG70" i="67"/>
  <c r="AG69" i="67"/>
  <c r="AG68" i="67"/>
  <c r="AG67" i="67"/>
  <c r="AG66" i="67"/>
  <c r="AG65" i="67"/>
  <c r="AG64" i="67"/>
  <c r="AG63" i="67"/>
  <c r="AG62" i="67"/>
  <c r="AG61" i="67"/>
  <c r="AG60" i="67"/>
  <c r="AG59" i="67"/>
  <c r="AG58" i="67"/>
  <c r="AG57" i="67"/>
  <c r="AG56" i="67"/>
  <c r="AG55" i="67"/>
  <c r="AG54" i="67"/>
  <c r="AG53" i="67"/>
  <c r="AG52" i="67"/>
  <c r="AG51" i="67"/>
  <c r="AG50" i="67"/>
  <c r="AG49" i="67"/>
  <c r="AG48" i="67"/>
  <c r="AG47" i="67"/>
  <c r="AG46" i="67"/>
  <c r="AG45" i="67"/>
  <c r="AG44" i="67"/>
  <c r="AG43" i="67"/>
  <c r="AG42" i="67"/>
  <c r="AG41" i="67"/>
  <c r="AG40" i="67"/>
  <c r="AG39" i="67"/>
  <c r="AG38" i="67"/>
  <c r="AG37" i="67"/>
  <c r="AG36" i="67"/>
  <c r="AG35" i="67"/>
  <c r="AG34" i="67"/>
  <c r="AG33" i="67"/>
  <c r="AG32" i="67"/>
  <c r="AG31" i="67"/>
  <c r="AG30" i="67"/>
  <c r="AG29" i="67"/>
  <c r="AG28" i="67"/>
  <c r="AG27" i="67"/>
  <c r="AG26" i="67"/>
  <c r="AG25" i="67"/>
  <c r="AG24" i="67"/>
  <c r="AG23" i="67"/>
  <c r="AG22" i="67"/>
  <c r="AG21" i="67"/>
  <c r="AG20" i="67"/>
  <c r="AG19" i="67"/>
  <c r="AG18" i="67"/>
  <c r="AG17" i="67"/>
  <c r="AG16" i="67"/>
  <c r="AG15" i="67"/>
  <c r="AG14" i="67"/>
  <c r="AG13" i="67"/>
  <c r="AG12" i="67"/>
  <c r="AG11" i="67"/>
  <c r="AG10" i="67"/>
  <c r="AG9" i="67"/>
  <c r="AG8" i="67"/>
  <c r="AG7" i="67"/>
  <c r="AG6" i="67"/>
  <c r="AG5" i="67"/>
  <c r="AG4" i="67"/>
  <c r="AG3" i="67"/>
  <c r="AG2" i="67"/>
  <c r="S386" i="58"/>
  <c r="U554" i="67" l="1"/>
  <c r="V554" i="67" s="1"/>
  <c r="W554" i="67" s="1"/>
  <c r="U555" i="67"/>
  <c r="V555" i="67" s="1"/>
  <c r="W555" i="67" s="1"/>
  <c r="U556" i="67"/>
  <c r="V556" i="67" s="1"/>
  <c r="W556" i="67" s="1"/>
  <c r="U557" i="67"/>
  <c r="V557" i="67" s="1"/>
  <c r="W557" i="67" s="1"/>
  <c r="U558" i="67"/>
  <c r="V558" i="67" s="1"/>
  <c r="W558" i="67" s="1"/>
  <c r="U559" i="67"/>
  <c r="V559" i="67" s="1"/>
  <c r="W559" i="67" s="1"/>
  <c r="U560" i="67"/>
  <c r="V560" i="67" s="1"/>
  <c r="W560" i="67" s="1"/>
  <c r="U561" i="67"/>
  <c r="V561" i="67" s="1"/>
  <c r="W561" i="67" s="1"/>
  <c r="U562" i="67"/>
  <c r="V562" i="67" s="1"/>
  <c r="W562" i="67" s="1"/>
  <c r="U563" i="67"/>
  <c r="V563" i="67" s="1"/>
  <c r="W563" i="67" s="1"/>
  <c r="U564" i="67"/>
  <c r="V564" i="67" s="1"/>
  <c r="W564" i="67" s="1"/>
  <c r="U565" i="67"/>
  <c r="V565" i="67" s="1"/>
  <c r="W565" i="67" s="1"/>
  <c r="U566" i="67"/>
  <c r="V566" i="67" s="1"/>
  <c r="W566" i="67" s="1"/>
  <c r="U567" i="67"/>
  <c r="V567" i="67" s="1"/>
  <c r="W567" i="67" s="1"/>
  <c r="U568" i="67"/>
  <c r="V568" i="67" s="1"/>
  <c r="W568" i="67" s="1"/>
  <c r="U569" i="67"/>
  <c r="V569" i="67" s="1"/>
  <c r="W569" i="67" s="1"/>
  <c r="U570" i="67"/>
  <c r="V570" i="67" s="1"/>
  <c r="W570" i="67" s="1"/>
  <c r="U571" i="67"/>
  <c r="V571" i="67" s="1"/>
  <c r="W571" i="67" s="1"/>
  <c r="U572" i="67"/>
  <c r="V572" i="67" s="1"/>
  <c r="W572" i="67" s="1"/>
  <c r="L554" i="67"/>
  <c r="M554" i="67"/>
  <c r="N554" i="67"/>
  <c r="L555" i="67"/>
  <c r="M555" i="67"/>
  <c r="N555" i="67"/>
  <c r="L556" i="67"/>
  <c r="M556" i="67"/>
  <c r="N556" i="67"/>
  <c r="L557" i="67"/>
  <c r="M557" i="67"/>
  <c r="N557" i="67"/>
  <c r="L558" i="67"/>
  <c r="M558" i="67"/>
  <c r="N558" i="67"/>
  <c r="L559" i="67"/>
  <c r="M559" i="67"/>
  <c r="N559" i="67"/>
  <c r="L560" i="67"/>
  <c r="M560" i="67"/>
  <c r="N560" i="67"/>
  <c r="L561" i="67"/>
  <c r="M561" i="67"/>
  <c r="N561" i="67"/>
  <c r="L562" i="67"/>
  <c r="M562" i="67"/>
  <c r="N562" i="67"/>
  <c r="L563" i="67"/>
  <c r="M563" i="67"/>
  <c r="N563" i="67"/>
  <c r="L564" i="67"/>
  <c r="M564" i="67"/>
  <c r="N564" i="67"/>
  <c r="L565" i="67"/>
  <c r="M565" i="67"/>
  <c r="N565" i="67"/>
  <c r="L566" i="67"/>
  <c r="M566" i="67"/>
  <c r="N566" i="67"/>
  <c r="L567" i="67"/>
  <c r="M567" i="67"/>
  <c r="N567" i="67"/>
  <c r="L568" i="67"/>
  <c r="M568" i="67"/>
  <c r="N568" i="67"/>
  <c r="L569" i="67"/>
  <c r="M569" i="67"/>
  <c r="N569" i="67"/>
  <c r="L570" i="67"/>
  <c r="M570" i="67"/>
  <c r="N570" i="67"/>
  <c r="L571" i="67"/>
  <c r="M571" i="67"/>
  <c r="N571" i="67"/>
  <c r="L572" i="67"/>
  <c r="M572" i="67"/>
  <c r="N572" i="67"/>
  <c r="U513" i="67" l="1"/>
  <c r="V513" i="67" s="1"/>
  <c r="W513" i="67" s="1"/>
  <c r="U514" i="67"/>
  <c r="V514" i="67" s="1"/>
  <c r="W514" i="67" s="1"/>
  <c r="U515" i="67"/>
  <c r="V515" i="67" s="1"/>
  <c r="W515" i="67" s="1"/>
  <c r="U516" i="67"/>
  <c r="V516" i="67" s="1"/>
  <c r="W516" i="67" s="1"/>
  <c r="U517" i="67"/>
  <c r="V517" i="67" s="1"/>
  <c r="W517" i="67" s="1"/>
  <c r="U518" i="67"/>
  <c r="V518" i="67" s="1"/>
  <c r="W518" i="67" s="1"/>
  <c r="U519" i="67"/>
  <c r="V519" i="67" s="1"/>
  <c r="W519" i="67" s="1"/>
  <c r="U520" i="67"/>
  <c r="V520" i="67" s="1"/>
  <c r="W520" i="67" s="1"/>
  <c r="U521" i="67"/>
  <c r="V521" i="67" s="1"/>
  <c r="W521" i="67" s="1"/>
  <c r="U522" i="67"/>
  <c r="V522" i="67" s="1"/>
  <c r="W522" i="67" s="1"/>
  <c r="U523" i="67"/>
  <c r="V523" i="67" s="1"/>
  <c r="W523" i="67" s="1"/>
  <c r="U524" i="67"/>
  <c r="V524" i="67" s="1"/>
  <c r="W524" i="67" s="1"/>
  <c r="U525" i="67"/>
  <c r="V525" i="67" s="1"/>
  <c r="W525" i="67" s="1"/>
  <c r="U526" i="67"/>
  <c r="V526" i="67" s="1"/>
  <c r="W526" i="67" s="1"/>
  <c r="U527" i="67"/>
  <c r="V527" i="67" s="1"/>
  <c r="W527" i="67" s="1"/>
  <c r="U528" i="67"/>
  <c r="V528" i="67" s="1"/>
  <c r="W528" i="67" s="1"/>
  <c r="U529" i="67"/>
  <c r="V529" i="67" s="1"/>
  <c r="W529" i="67" s="1"/>
  <c r="U530" i="67"/>
  <c r="V530" i="67" s="1"/>
  <c r="W530" i="67" s="1"/>
  <c r="U531" i="67"/>
  <c r="V531" i="67" s="1"/>
  <c r="W531" i="67" s="1"/>
  <c r="U532" i="67"/>
  <c r="V532" i="67" s="1"/>
  <c r="W532" i="67" s="1"/>
  <c r="U533" i="67"/>
  <c r="V533" i="67" s="1"/>
  <c r="W533" i="67" s="1"/>
  <c r="U534" i="67"/>
  <c r="V534" i="67" s="1"/>
  <c r="W534" i="67" s="1"/>
  <c r="U535" i="67"/>
  <c r="V535" i="67" s="1"/>
  <c r="W535" i="67" s="1"/>
  <c r="U536" i="67"/>
  <c r="V536" i="67" s="1"/>
  <c r="W536" i="67" s="1"/>
  <c r="U537" i="67"/>
  <c r="V537" i="67" s="1"/>
  <c r="W537" i="67" s="1"/>
  <c r="U538" i="67"/>
  <c r="V538" i="67" s="1"/>
  <c r="W538" i="67" s="1"/>
  <c r="U539" i="67"/>
  <c r="V539" i="67" s="1"/>
  <c r="W539" i="67" s="1"/>
  <c r="U540" i="67"/>
  <c r="V540" i="67" s="1"/>
  <c r="W540" i="67" s="1"/>
  <c r="U541" i="67"/>
  <c r="V541" i="67" s="1"/>
  <c r="W541" i="67" s="1"/>
  <c r="U542" i="67"/>
  <c r="V542" i="67" s="1"/>
  <c r="W542" i="67" s="1"/>
  <c r="U543" i="67"/>
  <c r="V543" i="67" s="1"/>
  <c r="W543" i="67" s="1"/>
  <c r="U544" i="67"/>
  <c r="V544" i="67" s="1"/>
  <c r="W544" i="67" s="1"/>
  <c r="U545" i="67"/>
  <c r="V545" i="67" s="1"/>
  <c r="W545" i="67" s="1"/>
  <c r="U546" i="67"/>
  <c r="V546" i="67" s="1"/>
  <c r="W546" i="67" s="1"/>
  <c r="U547" i="67"/>
  <c r="V547" i="67" s="1"/>
  <c r="W547" i="67" s="1"/>
  <c r="U548" i="67"/>
  <c r="V548" i="67" s="1"/>
  <c r="W548" i="67" s="1"/>
  <c r="U549" i="67"/>
  <c r="V549" i="67" s="1"/>
  <c r="W549" i="67" s="1"/>
  <c r="U550" i="67"/>
  <c r="V550" i="67" s="1"/>
  <c r="W550" i="67" s="1"/>
  <c r="U551" i="67"/>
  <c r="V551" i="67" s="1"/>
  <c r="W551" i="67" s="1"/>
  <c r="U552" i="67"/>
  <c r="V552" i="67" s="1"/>
  <c r="W552" i="67" s="1"/>
  <c r="U553" i="67"/>
  <c r="V553" i="67" s="1"/>
  <c r="W553" i="67" s="1"/>
  <c r="L513" i="67"/>
  <c r="M513" i="67"/>
  <c r="N513" i="67"/>
  <c r="L514" i="67"/>
  <c r="M514" i="67"/>
  <c r="N514" i="67"/>
  <c r="L515" i="67"/>
  <c r="M515" i="67"/>
  <c r="N515" i="67"/>
  <c r="L516" i="67"/>
  <c r="M516" i="67"/>
  <c r="N516" i="67"/>
  <c r="L517" i="67"/>
  <c r="M517" i="67"/>
  <c r="N517" i="67"/>
  <c r="L518" i="67"/>
  <c r="M518" i="67"/>
  <c r="N518" i="67"/>
  <c r="L519" i="67"/>
  <c r="M519" i="67"/>
  <c r="N519" i="67"/>
  <c r="L520" i="67"/>
  <c r="M520" i="67"/>
  <c r="N520" i="67"/>
  <c r="L521" i="67"/>
  <c r="M521" i="67"/>
  <c r="N521" i="67"/>
  <c r="L522" i="67"/>
  <c r="M522" i="67"/>
  <c r="N522" i="67"/>
  <c r="L523" i="67"/>
  <c r="M523" i="67"/>
  <c r="N523" i="67"/>
  <c r="L524" i="67"/>
  <c r="M524" i="67"/>
  <c r="N524" i="67"/>
  <c r="L525" i="67"/>
  <c r="M525" i="67"/>
  <c r="N525" i="67"/>
  <c r="L526" i="67"/>
  <c r="M526" i="67"/>
  <c r="N526" i="67"/>
  <c r="L527" i="67"/>
  <c r="M527" i="67"/>
  <c r="N527" i="67"/>
  <c r="L528" i="67"/>
  <c r="M528" i="67"/>
  <c r="N528" i="67"/>
  <c r="L529" i="67"/>
  <c r="M529" i="67"/>
  <c r="N529" i="67"/>
  <c r="L530" i="67"/>
  <c r="M530" i="67"/>
  <c r="N530" i="67"/>
  <c r="L531" i="67"/>
  <c r="M531" i="67"/>
  <c r="N531" i="67"/>
  <c r="L532" i="67"/>
  <c r="M532" i="67"/>
  <c r="N532" i="67"/>
  <c r="L533" i="67"/>
  <c r="M533" i="67"/>
  <c r="N533" i="67"/>
  <c r="L534" i="67"/>
  <c r="M534" i="67"/>
  <c r="N534" i="67"/>
  <c r="L535" i="67"/>
  <c r="M535" i="67"/>
  <c r="N535" i="67"/>
  <c r="L536" i="67"/>
  <c r="M536" i="67"/>
  <c r="N536" i="67"/>
  <c r="L537" i="67"/>
  <c r="M537" i="67"/>
  <c r="N537" i="67"/>
  <c r="L538" i="67"/>
  <c r="M538" i="67"/>
  <c r="N538" i="67"/>
  <c r="L539" i="67"/>
  <c r="M539" i="67"/>
  <c r="N539" i="67"/>
  <c r="L540" i="67"/>
  <c r="M540" i="67"/>
  <c r="N540" i="67"/>
  <c r="L541" i="67"/>
  <c r="M541" i="67"/>
  <c r="N541" i="67"/>
  <c r="L542" i="67"/>
  <c r="M542" i="67"/>
  <c r="N542" i="67"/>
  <c r="L543" i="67"/>
  <c r="M543" i="67"/>
  <c r="N543" i="67"/>
  <c r="L544" i="67"/>
  <c r="M544" i="67"/>
  <c r="N544" i="67"/>
  <c r="L545" i="67"/>
  <c r="M545" i="67"/>
  <c r="N545" i="67"/>
  <c r="L546" i="67"/>
  <c r="M546" i="67"/>
  <c r="N546" i="67"/>
  <c r="L547" i="67"/>
  <c r="M547" i="67"/>
  <c r="N547" i="67"/>
  <c r="L548" i="67"/>
  <c r="M548" i="67"/>
  <c r="N548" i="67"/>
  <c r="L549" i="67"/>
  <c r="M549" i="67"/>
  <c r="N549" i="67"/>
  <c r="L550" i="67"/>
  <c r="M550" i="67"/>
  <c r="N550" i="67"/>
  <c r="L551" i="67"/>
  <c r="M551" i="67"/>
  <c r="N551" i="67"/>
  <c r="L552" i="67"/>
  <c r="M552" i="67"/>
  <c r="N552" i="67"/>
  <c r="L553" i="67"/>
  <c r="M553" i="67"/>
  <c r="N553" i="67"/>
  <c r="U220" i="67" l="1"/>
  <c r="U221" i="67"/>
  <c r="U222" i="67"/>
  <c r="U223" i="67"/>
  <c r="U240" i="67"/>
  <c r="V240" i="67" s="1"/>
  <c r="W240" i="67" s="1"/>
  <c r="U241" i="67"/>
  <c r="V241" i="67" s="1"/>
  <c r="W241" i="67" s="1"/>
  <c r="U235" i="67"/>
  <c r="V235" i="67" s="1"/>
  <c r="W235" i="67" s="1"/>
  <c r="U471" i="67" l="1"/>
  <c r="V471" i="67" s="1"/>
  <c r="W471" i="67" s="1"/>
  <c r="U472" i="67"/>
  <c r="V472" i="67" s="1"/>
  <c r="W472" i="67" s="1"/>
  <c r="U473" i="67"/>
  <c r="V473" i="67" s="1"/>
  <c r="W473" i="67" s="1"/>
  <c r="U474" i="67"/>
  <c r="V474" i="67" s="1"/>
  <c r="W474" i="67" s="1"/>
  <c r="U475" i="67"/>
  <c r="V475" i="67" s="1"/>
  <c r="W475" i="67" s="1"/>
  <c r="U476" i="67"/>
  <c r="V476" i="67" s="1"/>
  <c r="W476" i="67" s="1"/>
  <c r="U477" i="67"/>
  <c r="V477" i="67" s="1"/>
  <c r="W477" i="67" s="1"/>
  <c r="U478" i="67"/>
  <c r="V478" i="67" s="1"/>
  <c r="W478" i="67" s="1"/>
  <c r="U479" i="67"/>
  <c r="V479" i="67" s="1"/>
  <c r="W479" i="67" s="1"/>
  <c r="U480" i="67"/>
  <c r="V480" i="67" s="1"/>
  <c r="W480" i="67" s="1"/>
  <c r="U481" i="67"/>
  <c r="V481" i="67" s="1"/>
  <c r="W481" i="67" s="1"/>
  <c r="U482" i="67"/>
  <c r="V482" i="67" s="1"/>
  <c r="W482" i="67" s="1"/>
  <c r="U483" i="67"/>
  <c r="V483" i="67" s="1"/>
  <c r="W483" i="67" s="1"/>
  <c r="U484" i="67"/>
  <c r="V484" i="67" s="1"/>
  <c r="W484" i="67" s="1"/>
  <c r="U485" i="67"/>
  <c r="V485" i="67" s="1"/>
  <c r="W485" i="67" s="1"/>
  <c r="U486" i="67"/>
  <c r="V486" i="67" s="1"/>
  <c r="W486" i="67" s="1"/>
  <c r="U487" i="67"/>
  <c r="V487" i="67" s="1"/>
  <c r="W487" i="67" s="1"/>
  <c r="U488" i="67"/>
  <c r="V488" i="67" s="1"/>
  <c r="W488" i="67" s="1"/>
  <c r="U489" i="67"/>
  <c r="V489" i="67" s="1"/>
  <c r="W489" i="67" s="1"/>
  <c r="U490" i="67"/>
  <c r="V490" i="67" s="1"/>
  <c r="W490" i="67" s="1"/>
  <c r="U491" i="67"/>
  <c r="V491" i="67" s="1"/>
  <c r="W491" i="67" s="1"/>
  <c r="U492" i="67"/>
  <c r="V492" i="67" s="1"/>
  <c r="W492" i="67" s="1"/>
  <c r="U493" i="67"/>
  <c r="V493" i="67" s="1"/>
  <c r="W493" i="67" s="1"/>
  <c r="U494" i="67"/>
  <c r="V494" i="67" s="1"/>
  <c r="W494" i="67" s="1"/>
  <c r="U495" i="67"/>
  <c r="V495" i="67" s="1"/>
  <c r="W495" i="67" s="1"/>
  <c r="U496" i="67"/>
  <c r="V496" i="67" s="1"/>
  <c r="W496" i="67" s="1"/>
  <c r="U497" i="67"/>
  <c r="V497" i="67" s="1"/>
  <c r="W497" i="67" s="1"/>
  <c r="U498" i="67"/>
  <c r="V498" i="67" s="1"/>
  <c r="W498" i="67" s="1"/>
  <c r="U499" i="67"/>
  <c r="V499" i="67" s="1"/>
  <c r="W499" i="67" s="1"/>
  <c r="U500" i="67"/>
  <c r="V500" i="67" s="1"/>
  <c r="W500" i="67" s="1"/>
  <c r="U501" i="67"/>
  <c r="V501" i="67" s="1"/>
  <c r="W501" i="67" s="1"/>
  <c r="U502" i="67"/>
  <c r="V502" i="67" s="1"/>
  <c r="W502" i="67" s="1"/>
  <c r="U503" i="67"/>
  <c r="V503" i="67" s="1"/>
  <c r="W503" i="67" s="1"/>
  <c r="U504" i="67"/>
  <c r="V504" i="67" s="1"/>
  <c r="W504" i="67" s="1"/>
  <c r="U505" i="67"/>
  <c r="V505" i="67" s="1"/>
  <c r="W505" i="67" s="1"/>
  <c r="U506" i="67"/>
  <c r="V506" i="67" s="1"/>
  <c r="W506" i="67" s="1"/>
  <c r="U507" i="67"/>
  <c r="V507" i="67" s="1"/>
  <c r="W507" i="67" s="1"/>
  <c r="U508" i="67"/>
  <c r="V508" i="67" s="1"/>
  <c r="W508" i="67" s="1"/>
  <c r="U509" i="67"/>
  <c r="V509" i="67" s="1"/>
  <c r="W509" i="67" s="1"/>
  <c r="U510" i="67"/>
  <c r="V510" i="67" s="1"/>
  <c r="W510" i="67" s="1"/>
  <c r="U511" i="67"/>
  <c r="V511" i="67" s="1"/>
  <c r="W511" i="67" s="1"/>
  <c r="U512" i="67"/>
  <c r="V512" i="67" s="1"/>
  <c r="W512" i="67" s="1"/>
  <c r="L471" i="67"/>
  <c r="M471" i="67"/>
  <c r="N471" i="67"/>
  <c r="L472" i="67"/>
  <c r="M472" i="67"/>
  <c r="N472" i="67"/>
  <c r="L473" i="67"/>
  <c r="M473" i="67"/>
  <c r="N473" i="67"/>
  <c r="L474" i="67"/>
  <c r="M474" i="67"/>
  <c r="N474" i="67"/>
  <c r="L475" i="67"/>
  <c r="M475" i="67"/>
  <c r="N475" i="67"/>
  <c r="L476" i="67"/>
  <c r="M476" i="67"/>
  <c r="N476" i="67"/>
  <c r="L477" i="67"/>
  <c r="M477" i="67"/>
  <c r="N477" i="67"/>
  <c r="L478" i="67"/>
  <c r="M478" i="67"/>
  <c r="N478" i="67"/>
  <c r="L479" i="67"/>
  <c r="M479" i="67"/>
  <c r="N479" i="67"/>
  <c r="L480" i="67"/>
  <c r="M480" i="67"/>
  <c r="N480" i="67"/>
  <c r="L481" i="67"/>
  <c r="M481" i="67"/>
  <c r="N481" i="67"/>
  <c r="L482" i="67"/>
  <c r="M482" i="67"/>
  <c r="N482" i="67"/>
  <c r="L483" i="67"/>
  <c r="M483" i="67"/>
  <c r="N483" i="67"/>
  <c r="L484" i="67"/>
  <c r="M484" i="67"/>
  <c r="N484" i="67"/>
  <c r="L485" i="67"/>
  <c r="M485" i="67"/>
  <c r="N485" i="67"/>
  <c r="L486" i="67"/>
  <c r="M486" i="67"/>
  <c r="N486" i="67"/>
  <c r="L487" i="67"/>
  <c r="M487" i="67"/>
  <c r="N487" i="67"/>
  <c r="L488" i="67"/>
  <c r="M488" i="67"/>
  <c r="N488" i="67"/>
  <c r="L489" i="67"/>
  <c r="M489" i="67"/>
  <c r="N489" i="67"/>
  <c r="L490" i="67"/>
  <c r="M490" i="67"/>
  <c r="N490" i="67"/>
  <c r="L491" i="67"/>
  <c r="M491" i="67"/>
  <c r="N491" i="67"/>
  <c r="L492" i="67"/>
  <c r="M492" i="67"/>
  <c r="N492" i="67"/>
  <c r="L493" i="67"/>
  <c r="M493" i="67"/>
  <c r="N493" i="67"/>
  <c r="L494" i="67"/>
  <c r="M494" i="67"/>
  <c r="N494" i="67"/>
  <c r="L495" i="67"/>
  <c r="M495" i="67"/>
  <c r="N495" i="67"/>
  <c r="L496" i="67"/>
  <c r="M496" i="67"/>
  <c r="N496" i="67"/>
  <c r="L497" i="67"/>
  <c r="M497" i="67"/>
  <c r="N497" i="67"/>
  <c r="L498" i="67"/>
  <c r="M498" i="67"/>
  <c r="N498" i="67"/>
  <c r="L499" i="67"/>
  <c r="M499" i="67"/>
  <c r="N499" i="67"/>
  <c r="L500" i="67"/>
  <c r="M500" i="67"/>
  <c r="N500" i="67"/>
  <c r="L501" i="67"/>
  <c r="M501" i="67"/>
  <c r="N501" i="67"/>
  <c r="L502" i="67"/>
  <c r="M502" i="67"/>
  <c r="N502" i="67"/>
  <c r="L503" i="67"/>
  <c r="M503" i="67"/>
  <c r="N503" i="67"/>
  <c r="L504" i="67"/>
  <c r="M504" i="67"/>
  <c r="N504" i="67"/>
  <c r="L505" i="67"/>
  <c r="M505" i="67"/>
  <c r="N505" i="67"/>
  <c r="L506" i="67"/>
  <c r="M506" i="67"/>
  <c r="N506" i="67"/>
  <c r="L507" i="67"/>
  <c r="M507" i="67"/>
  <c r="N507" i="67"/>
  <c r="L508" i="67"/>
  <c r="M508" i="67"/>
  <c r="N508" i="67"/>
  <c r="L509" i="67"/>
  <c r="M509" i="67"/>
  <c r="N509" i="67"/>
  <c r="L510" i="67"/>
  <c r="M510" i="67"/>
  <c r="N510" i="67"/>
  <c r="L511" i="67"/>
  <c r="M511" i="67"/>
  <c r="N511" i="67"/>
  <c r="L512" i="67"/>
  <c r="M512" i="67"/>
  <c r="N512" i="67"/>
  <c r="AD375" i="67" l="1"/>
  <c r="AE375" i="67" s="1"/>
  <c r="AD376" i="67"/>
  <c r="AE376" i="67" s="1"/>
  <c r="AD377" i="67"/>
  <c r="AE377" i="67" s="1"/>
  <c r="AD378" i="67"/>
  <c r="AE378" i="67" s="1"/>
  <c r="AD379" i="67"/>
  <c r="AE379" i="67" s="1"/>
  <c r="AD380" i="67"/>
  <c r="AE380" i="67" s="1"/>
  <c r="AD381" i="67"/>
  <c r="AE381" i="67" s="1"/>
  <c r="AD382" i="67"/>
  <c r="AE382" i="67" s="1"/>
  <c r="AD383" i="67"/>
  <c r="AE383" i="67" s="1"/>
  <c r="AD384" i="67"/>
  <c r="AE384" i="67" s="1"/>
  <c r="AD385" i="67"/>
  <c r="AE385" i="67" s="1"/>
  <c r="AD386" i="67"/>
  <c r="AE386" i="67" s="1"/>
  <c r="AD387" i="67"/>
  <c r="AE387" i="67" s="1"/>
  <c r="AD388" i="67"/>
  <c r="AE388" i="67" s="1"/>
  <c r="AD389" i="67"/>
  <c r="AE389" i="67" s="1"/>
  <c r="AD390" i="67"/>
  <c r="AE390" i="67" s="1"/>
  <c r="AD391" i="67"/>
  <c r="AE391" i="67" s="1"/>
  <c r="AD392" i="67"/>
  <c r="AE392" i="67" s="1"/>
  <c r="AD393" i="67"/>
  <c r="AE393" i="67" s="1"/>
  <c r="AD394" i="67"/>
  <c r="AE394" i="67" s="1"/>
  <c r="AD395" i="67"/>
  <c r="AE395" i="67" s="1"/>
  <c r="AD396" i="67"/>
  <c r="AE396" i="67" s="1"/>
  <c r="AD397" i="67"/>
  <c r="AE397" i="67" s="1"/>
  <c r="AD398" i="67"/>
  <c r="AE398" i="67" s="1"/>
  <c r="AD399" i="67"/>
  <c r="AE399" i="67" s="1"/>
  <c r="AD400" i="67"/>
  <c r="AE400" i="67" s="1"/>
  <c r="AD401" i="67"/>
  <c r="AE401" i="67" s="1"/>
  <c r="AD402" i="67"/>
  <c r="AE402" i="67" s="1"/>
  <c r="AD403" i="67"/>
  <c r="AE403" i="67" s="1"/>
  <c r="AD404" i="67"/>
  <c r="AE404" i="67" s="1"/>
  <c r="AD405" i="67"/>
  <c r="AE405" i="67" s="1"/>
  <c r="AD406" i="67"/>
  <c r="AE406" i="67" s="1"/>
  <c r="AD407" i="67"/>
  <c r="AE407" i="67" s="1"/>
  <c r="AD408" i="67"/>
  <c r="AE408" i="67" s="1"/>
  <c r="AD409" i="67"/>
  <c r="AE409" i="67" s="1"/>
  <c r="AD410" i="67"/>
  <c r="AE410" i="67" s="1"/>
  <c r="AD411" i="67"/>
  <c r="AE411" i="67" s="1"/>
  <c r="AD412" i="67"/>
  <c r="AE412" i="67" s="1"/>
  <c r="AD413" i="67"/>
  <c r="AE413" i="67" s="1"/>
  <c r="AD414" i="67"/>
  <c r="AE414" i="67" s="1"/>
  <c r="AD415" i="67"/>
  <c r="AE415" i="67" s="1"/>
  <c r="AD416" i="67"/>
  <c r="AE416" i="67" s="1"/>
  <c r="AD417" i="67"/>
  <c r="AE417" i="67" s="1"/>
  <c r="AD418" i="67"/>
  <c r="AE418" i="67" s="1"/>
  <c r="AD419" i="67"/>
  <c r="AE419" i="67" s="1"/>
  <c r="AD420" i="67"/>
  <c r="AE420" i="67" s="1"/>
  <c r="AD421" i="67"/>
  <c r="AE421" i="67" s="1"/>
  <c r="AD422" i="67"/>
  <c r="AE422" i="67" s="1"/>
  <c r="AD423" i="67"/>
  <c r="AE423" i="67" s="1"/>
  <c r="AD424" i="67"/>
  <c r="AE424" i="67" s="1"/>
  <c r="AD425" i="67"/>
  <c r="AE425" i="67" s="1"/>
  <c r="AD426" i="67"/>
  <c r="AE426" i="67" s="1"/>
  <c r="AD427" i="67"/>
  <c r="AE427" i="67" s="1"/>
  <c r="AD428" i="67"/>
  <c r="AE428" i="67" s="1"/>
  <c r="AD429" i="67"/>
  <c r="AE429" i="67" s="1"/>
  <c r="AD430" i="67"/>
  <c r="AE430" i="67" s="1"/>
  <c r="AD431" i="67"/>
  <c r="AE431" i="67" s="1"/>
  <c r="AD432" i="67"/>
  <c r="AE432" i="67" s="1"/>
  <c r="AD433" i="67"/>
  <c r="AE433" i="67" s="1"/>
  <c r="AD434" i="67"/>
  <c r="AE434" i="67" s="1"/>
  <c r="AD435" i="67"/>
  <c r="AE435" i="67" s="1"/>
  <c r="AD436" i="67"/>
  <c r="AE436" i="67" s="1"/>
  <c r="AD437" i="67"/>
  <c r="AE437" i="67" s="1"/>
  <c r="AD438" i="67"/>
  <c r="AE438" i="67" s="1"/>
  <c r="AD439" i="67"/>
  <c r="AE439" i="67" s="1"/>
  <c r="AD440" i="67"/>
  <c r="AE440" i="67" s="1"/>
  <c r="AD441" i="67"/>
  <c r="AE441" i="67" s="1"/>
  <c r="AD442" i="67"/>
  <c r="AE442" i="67" s="1"/>
  <c r="AD443" i="67"/>
  <c r="AE443" i="67" s="1"/>
  <c r="AD444" i="67"/>
  <c r="AE444" i="67" s="1"/>
  <c r="AD445" i="67"/>
  <c r="AE445" i="67" s="1"/>
  <c r="AD446" i="67"/>
  <c r="AE446" i="67" s="1"/>
  <c r="AD447" i="67"/>
  <c r="AE447" i="67" s="1"/>
  <c r="AD448" i="67"/>
  <c r="AE448" i="67" s="1"/>
  <c r="AD449" i="67"/>
  <c r="AE449" i="67" s="1"/>
  <c r="AD450" i="67"/>
  <c r="AE450" i="67" s="1"/>
  <c r="AD451" i="67"/>
  <c r="AE451" i="67" s="1"/>
  <c r="AD452" i="67"/>
  <c r="AE452" i="67" s="1"/>
  <c r="AD453" i="67"/>
  <c r="AE453" i="67" s="1"/>
  <c r="AD454" i="67"/>
  <c r="AE454" i="67" s="1"/>
  <c r="AD455" i="67"/>
  <c r="AE455" i="67" s="1"/>
  <c r="AD456" i="67"/>
  <c r="AE456" i="67" s="1"/>
  <c r="AD457" i="67"/>
  <c r="AE457" i="67" s="1"/>
  <c r="AD458" i="67"/>
  <c r="AE458" i="67" s="1"/>
  <c r="AD459" i="67"/>
  <c r="AE459" i="67" s="1"/>
  <c r="AD460" i="67"/>
  <c r="AE460" i="67" s="1"/>
  <c r="AD461" i="67"/>
  <c r="AE461" i="67" s="1"/>
  <c r="AD462" i="67"/>
  <c r="AE462" i="67" s="1"/>
  <c r="AD463" i="67"/>
  <c r="AE463" i="67" s="1"/>
  <c r="AD464" i="67"/>
  <c r="AE464" i="67" s="1"/>
  <c r="AD465" i="67"/>
  <c r="AE465" i="67" s="1"/>
  <c r="AD466" i="67"/>
  <c r="AE466" i="67" s="1"/>
  <c r="AD467" i="67"/>
  <c r="AE467" i="67" s="1"/>
  <c r="AD468" i="67"/>
  <c r="AE468" i="67" s="1"/>
  <c r="AD469" i="67"/>
  <c r="AE469" i="67" s="1"/>
  <c r="AD470" i="67"/>
  <c r="AE470" i="67" s="1"/>
  <c r="AD209" i="67"/>
  <c r="AE209" i="67" s="1"/>
  <c r="AD210" i="67"/>
  <c r="AE210" i="67" s="1"/>
  <c r="AD211" i="67"/>
  <c r="AE211" i="67" s="1"/>
  <c r="AD212" i="67"/>
  <c r="AE212" i="67" s="1"/>
  <c r="AD213" i="67"/>
  <c r="AE213" i="67" s="1"/>
  <c r="AD214" i="67"/>
  <c r="AE214" i="67" s="1"/>
  <c r="AD215" i="67"/>
  <c r="AE215" i="67" s="1"/>
  <c r="AD216" i="67"/>
  <c r="AE216" i="67" s="1"/>
  <c r="AD217" i="67"/>
  <c r="AE217" i="67" s="1"/>
  <c r="AD218" i="67"/>
  <c r="AE218" i="67" s="1"/>
  <c r="AD219" i="67"/>
  <c r="AE219" i="67" s="1"/>
  <c r="AD220" i="67"/>
  <c r="AE220" i="67" s="1"/>
  <c r="AD221" i="67"/>
  <c r="AE221" i="67" s="1"/>
  <c r="AD222" i="67"/>
  <c r="AE222" i="67" s="1"/>
  <c r="AD223" i="67"/>
  <c r="AE223" i="67" s="1"/>
  <c r="AD224" i="67"/>
  <c r="AE224" i="67" s="1"/>
  <c r="AD225" i="67"/>
  <c r="AE225" i="67" s="1"/>
  <c r="AD226" i="67"/>
  <c r="AE226" i="67" s="1"/>
  <c r="AD227" i="67"/>
  <c r="AE227" i="67" s="1"/>
  <c r="AD228" i="67"/>
  <c r="AE228" i="67" s="1"/>
  <c r="AD229" i="67"/>
  <c r="AE229" i="67" s="1"/>
  <c r="AD230" i="67"/>
  <c r="AE230" i="67" s="1"/>
  <c r="AD231" i="67"/>
  <c r="AE231" i="67" s="1"/>
  <c r="AD232" i="67"/>
  <c r="AE232" i="67" s="1"/>
  <c r="AD233" i="67"/>
  <c r="AE233" i="67" s="1"/>
  <c r="AD234" i="67"/>
  <c r="AE234" i="67" s="1"/>
  <c r="AD235" i="67"/>
  <c r="AE235" i="67" s="1"/>
  <c r="AD236" i="67"/>
  <c r="AE236" i="67" s="1"/>
  <c r="AD237" i="67"/>
  <c r="AE237" i="67" s="1"/>
  <c r="AD238" i="67"/>
  <c r="AE238" i="67" s="1"/>
  <c r="AD239" i="67"/>
  <c r="AE239" i="67" s="1"/>
  <c r="AD240" i="67"/>
  <c r="AE240" i="67" s="1"/>
  <c r="AD241" i="67"/>
  <c r="AE241" i="67" s="1"/>
  <c r="AD242" i="67"/>
  <c r="AE242" i="67" s="1"/>
  <c r="AD243" i="67"/>
  <c r="AE243" i="67" s="1"/>
  <c r="AD244" i="67"/>
  <c r="AE244" i="67" s="1"/>
  <c r="AD245" i="67"/>
  <c r="AE245" i="67" s="1"/>
  <c r="AD246" i="67"/>
  <c r="AE246" i="67" s="1"/>
  <c r="AD247" i="67"/>
  <c r="AE247" i="67" s="1"/>
  <c r="AD248" i="67"/>
  <c r="AE248" i="67" s="1"/>
  <c r="AD249" i="67"/>
  <c r="AE249" i="67" s="1"/>
  <c r="AD250" i="67"/>
  <c r="AE250" i="67" s="1"/>
  <c r="AD251" i="67"/>
  <c r="AE251" i="67" s="1"/>
  <c r="AD252" i="67"/>
  <c r="AE252" i="67" s="1"/>
  <c r="AD253" i="67"/>
  <c r="AE253" i="67" s="1"/>
  <c r="AD254" i="67"/>
  <c r="AE254" i="67" s="1"/>
  <c r="AD255" i="67"/>
  <c r="AE255" i="67" s="1"/>
  <c r="AD256" i="67"/>
  <c r="AE256" i="67" s="1"/>
  <c r="AD257" i="67"/>
  <c r="AE257" i="67" s="1"/>
  <c r="AD258" i="67"/>
  <c r="AE258" i="67" s="1"/>
  <c r="AD259" i="67"/>
  <c r="AE259" i="67" s="1"/>
  <c r="AD260" i="67"/>
  <c r="AE260" i="67" s="1"/>
  <c r="AD261" i="67"/>
  <c r="AE261" i="67" s="1"/>
  <c r="AD262" i="67"/>
  <c r="AE262" i="67" s="1"/>
  <c r="AD263" i="67"/>
  <c r="AE263" i="67" s="1"/>
  <c r="AD264" i="67"/>
  <c r="AE264" i="67" s="1"/>
  <c r="AD265" i="67"/>
  <c r="AE265" i="67" s="1"/>
  <c r="AD266" i="67"/>
  <c r="AE266" i="67" s="1"/>
  <c r="AD267" i="67"/>
  <c r="AE267" i="67" s="1"/>
  <c r="AD268" i="67"/>
  <c r="AE268" i="67" s="1"/>
  <c r="AD269" i="67"/>
  <c r="AE269" i="67" s="1"/>
  <c r="AD270" i="67"/>
  <c r="AE270" i="67" s="1"/>
  <c r="AD271" i="67"/>
  <c r="AE271" i="67" s="1"/>
  <c r="AD272" i="67"/>
  <c r="AE272" i="67" s="1"/>
  <c r="AD273" i="67"/>
  <c r="AE273" i="67" s="1"/>
  <c r="AD274" i="67"/>
  <c r="AE274" i="67" s="1"/>
  <c r="AD275" i="67"/>
  <c r="AE275" i="67" s="1"/>
  <c r="AD276" i="67"/>
  <c r="AE276" i="67" s="1"/>
  <c r="AD277" i="67"/>
  <c r="AE277" i="67" s="1"/>
  <c r="AD278" i="67"/>
  <c r="AE278" i="67" s="1"/>
  <c r="AD279" i="67"/>
  <c r="AE279" i="67" s="1"/>
  <c r="AD280" i="67"/>
  <c r="AE280" i="67" s="1"/>
  <c r="AD281" i="67"/>
  <c r="AE281" i="67" s="1"/>
  <c r="AD282" i="67"/>
  <c r="AE282" i="67" s="1"/>
  <c r="AD283" i="67"/>
  <c r="AE283" i="67" s="1"/>
  <c r="AD284" i="67"/>
  <c r="AE284" i="67" s="1"/>
  <c r="AD285" i="67"/>
  <c r="AE285" i="67" s="1"/>
  <c r="AD286" i="67"/>
  <c r="AE286" i="67" s="1"/>
  <c r="AD287" i="67"/>
  <c r="AE287" i="67" s="1"/>
  <c r="AD288" i="67"/>
  <c r="AE288" i="67" s="1"/>
  <c r="AD289" i="67"/>
  <c r="AE289" i="67" s="1"/>
  <c r="AD290" i="67"/>
  <c r="AE290" i="67" s="1"/>
  <c r="AD291" i="67"/>
  <c r="AE291" i="67" s="1"/>
  <c r="AD292" i="67"/>
  <c r="AE292" i="67" s="1"/>
  <c r="AD293" i="67"/>
  <c r="AE293" i="67" s="1"/>
  <c r="AD294" i="67"/>
  <c r="AE294" i="67" s="1"/>
  <c r="AD295" i="67"/>
  <c r="AE295" i="67" s="1"/>
  <c r="AD296" i="67"/>
  <c r="AE296" i="67" s="1"/>
  <c r="AD297" i="67"/>
  <c r="AE297" i="67" s="1"/>
  <c r="AD298" i="67"/>
  <c r="AE298" i="67" s="1"/>
  <c r="AD299" i="67"/>
  <c r="AE299" i="67" s="1"/>
  <c r="AD300" i="67"/>
  <c r="AE300" i="67" s="1"/>
  <c r="AD301" i="67"/>
  <c r="AE301" i="67" s="1"/>
  <c r="AD302" i="67"/>
  <c r="AE302" i="67" s="1"/>
  <c r="AD303" i="67"/>
  <c r="AE303" i="67" s="1"/>
  <c r="AD304" i="67"/>
  <c r="AE304" i="67" s="1"/>
  <c r="AD305" i="67"/>
  <c r="AE305" i="67" s="1"/>
  <c r="AD306" i="67"/>
  <c r="AE306" i="67" s="1"/>
  <c r="AD307" i="67"/>
  <c r="AE307" i="67" s="1"/>
  <c r="AD308" i="67"/>
  <c r="AE308" i="67" s="1"/>
  <c r="AD309" i="67"/>
  <c r="AE309" i="67" s="1"/>
  <c r="AD310" i="67"/>
  <c r="AE310" i="67" s="1"/>
  <c r="AD311" i="67"/>
  <c r="AE311" i="67" s="1"/>
  <c r="AD312" i="67"/>
  <c r="AE312" i="67" s="1"/>
  <c r="AD313" i="67"/>
  <c r="AE313" i="67" s="1"/>
  <c r="AD314" i="67"/>
  <c r="AE314" i="67" s="1"/>
  <c r="AD315" i="67"/>
  <c r="AE315" i="67" s="1"/>
  <c r="AD316" i="67"/>
  <c r="AE316" i="67" s="1"/>
  <c r="AD317" i="67"/>
  <c r="AE317" i="67" s="1"/>
  <c r="AD318" i="67"/>
  <c r="AE318" i="67" s="1"/>
  <c r="AD319" i="67"/>
  <c r="AE319" i="67" s="1"/>
  <c r="AD320" i="67"/>
  <c r="AE320" i="67" s="1"/>
  <c r="AD321" i="67"/>
  <c r="AE321" i="67" s="1"/>
  <c r="AD322" i="67"/>
  <c r="AE322" i="67" s="1"/>
  <c r="AD323" i="67"/>
  <c r="AE323" i="67" s="1"/>
  <c r="AD324" i="67"/>
  <c r="AE324" i="67" s="1"/>
  <c r="AD325" i="67"/>
  <c r="AE325" i="67" s="1"/>
  <c r="AD326" i="67"/>
  <c r="AE326" i="67" s="1"/>
  <c r="AD327" i="67"/>
  <c r="AE327" i="67" s="1"/>
  <c r="AD328" i="67"/>
  <c r="AE328" i="67" s="1"/>
  <c r="AD329" i="67"/>
  <c r="AE329" i="67" s="1"/>
  <c r="AD330" i="67"/>
  <c r="AE330" i="67" s="1"/>
  <c r="AD331" i="67"/>
  <c r="AE331" i="67" s="1"/>
  <c r="AD332" i="67"/>
  <c r="AE332" i="67" s="1"/>
  <c r="AD333" i="67"/>
  <c r="AE333" i="67" s="1"/>
  <c r="AD334" i="67"/>
  <c r="AE334" i="67" s="1"/>
  <c r="AD335" i="67"/>
  <c r="AE335" i="67" s="1"/>
  <c r="AD336" i="67"/>
  <c r="AE336" i="67" s="1"/>
  <c r="AD337" i="67"/>
  <c r="AE337" i="67" s="1"/>
  <c r="AD338" i="67"/>
  <c r="AE338" i="67" s="1"/>
  <c r="AD339" i="67"/>
  <c r="AE339" i="67" s="1"/>
  <c r="AD340" i="67"/>
  <c r="AE340" i="67" s="1"/>
  <c r="AD341" i="67"/>
  <c r="AE341" i="67" s="1"/>
  <c r="AD342" i="67"/>
  <c r="AE342" i="67" s="1"/>
  <c r="AD343" i="67"/>
  <c r="AE343" i="67" s="1"/>
  <c r="AD344" i="67"/>
  <c r="AE344" i="67" s="1"/>
  <c r="AD345" i="67"/>
  <c r="AE345" i="67" s="1"/>
  <c r="AD346" i="67"/>
  <c r="AE346" i="67" s="1"/>
  <c r="AD347" i="67"/>
  <c r="AE347" i="67" s="1"/>
  <c r="AD348" i="67"/>
  <c r="AE348" i="67" s="1"/>
  <c r="AD349" i="67"/>
  <c r="AE349" i="67" s="1"/>
  <c r="AD350" i="67"/>
  <c r="AE350" i="67" s="1"/>
  <c r="AD351" i="67"/>
  <c r="AE351" i="67" s="1"/>
  <c r="AD352" i="67"/>
  <c r="AE352" i="67" s="1"/>
  <c r="AD353" i="67"/>
  <c r="AE353" i="67" s="1"/>
  <c r="AD354" i="67"/>
  <c r="AE354" i="67" s="1"/>
  <c r="AD355" i="67"/>
  <c r="AE355" i="67" s="1"/>
  <c r="AD356" i="67"/>
  <c r="AE356" i="67" s="1"/>
  <c r="AD357" i="67"/>
  <c r="AE357" i="67" s="1"/>
  <c r="AD358" i="67"/>
  <c r="AE358" i="67" s="1"/>
  <c r="AD359" i="67"/>
  <c r="AE359" i="67" s="1"/>
  <c r="AD360" i="67"/>
  <c r="AE360" i="67" s="1"/>
  <c r="AD361" i="67"/>
  <c r="AE361" i="67" s="1"/>
  <c r="AD362" i="67"/>
  <c r="AE362" i="67" s="1"/>
  <c r="AD363" i="67"/>
  <c r="AE363" i="67" s="1"/>
  <c r="AD364" i="67"/>
  <c r="AE364" i="67" s="1"/>
  <c r="AD365" i="67"/>
  <c r="AE365" i="67" s="1"/>
  <c r="AD366" i="67"/>
  <c r="AE366" i="67" s="1"/>
  <c r="AD367" i="67"/>
  <c r="AE367" i="67" s="1"/>
  <c r="AD368" i="67"/>
  <c r="AE368" i="67" s="1"/>
  <c r="AD369" i="67"/>
  <c r="AE369" i="67" s="1"/>
  <c r="AD370" i="67"/>
  <c r="AE370" i="67" s="1"/>
  <c r="AD371" i="67"/>
  <c r="AE371" i="67" s="1"/>
  <c r="AD372" i="67"/>
  <c r="AE372" i="67" s="1"/>
  <c r="AD373" i="67"/>
  <c r="AE373" i="67" s="1"/>
  <c r="AD374" i="67"/>
  <c r="AE374" i="67" s="1"/>
  <c r="S385" i="58"/>
  <c r="S384" i="58"/>
  <c r="S370" i="58"/>
  <c r="S371" i="58"/>
  <c r="S372" i="58"/>
  <c r="S373" i="58"/>
  <c r="S374" i="58"/>
  <c r="S375" i="58"/>
  <c r="S376" i="58"/>
  <c r="S377" i="58"/>
  <c r="S378" i="58"/>
  <c r="S379" i="58"/>
  <c r="S380" i="58"/>
  <c r="S381" i="58"/>
  <c r="S382" i="58"/>
  <c r="S383" i="58"/>
  <c r="AJ3" i="67" l="1"/>
  <c r="AJ4" i="67"/>
  <c r="AJ5" i="67"/>
  <c r="AJ6" i="67"/>
  <c r="AJ7" i="67"/>
  <c r="AJ8" i="67"/>
  <c r="AJ9" i="67"/>
  <c r="AJ10" i="67"/>
  <c r="AJ11" i="67"/>
  <c r="AJ12" i="67"/>
  <c r="AJ13" i="67"/>
  <c r="AJ14" i="67"/>
  <c r="AJ15" i="67"/>
  <c r="AJ16" i="67"/>
  <c r="AJ17" i="67"/>
  <c r="AJ18" i="67"/>
  <c r="AJ19" i="67"/>
  <c r="AJ20" i="67"/>
  <c r="AJ21" i="67"/>
  <c r="AJ22" i="67"/>
  <c r="AJ23" i="67"/>
  <c r="AJ24" i="67"/>
  <c r="AJ25" i="67"/>
  <c r="AJ26" i="67"/>
  <c r="AJ27" i="67"/>
  <c r="AJ28" i="67"/>
  <c r="AJ29" i="67"/>
  <c r="AJ30" i="67"/>
  <c r="AJ31" i="67"/>
  <c r="AJ32" i="67"/>
  <c r="AJ33" i="67"/>
  <c r="AJ34" i="67"/>
  <c r="AJ35" i="67"/>
  <c r="AJ36" i="67"/>
  <c r="AJ37" i="67"/>
  <c r="AJ38" i="67"/>
  <c r="AJ39" i="67"/>
  <c r="AJ40" i="67"/>
  <c r="AJ41" i="67"/>
  <c r="AJ42" i="67"/>
  <c r="AJ43" i="67"/>
  <c r="AJ44" i="67"/>
  <c r="AJ45" i="67"/>
  <c r="AJ46" i="67"/>
  <c r="AJ47" i="67"/>
  <c r="AJ48" i="67"/>
  <c r="AJ49" i="67"/>
  <c r="AJ50" i="67"/>
  <c r="AJ51" i="67"/>
  <c r="AJ52" i="67"/>
  <c r="AJ53" i="67"/>
  <c r="AJ54" i="67"/>
  <c r="AJ55" i="67"/>
  <c r="AJ56" i="67"/>
  <c r="AJ57" i="67"/>
  <c r="AJ58" i="67"/>
  <c r="AJ59" i="67"/>
  <c r="AJ60" i="67"/>
  <c r="AJ61" i="67"/>
  <c r="AJ62" i="67"/>
  <c r="AJ63" i="67"/>
  <c r="AJ64" i="67"/>
  <c r="AJ65" i="67"/>
  <c r="AJ66" i="67"/>
  <c r="AJ67" i="67"/>
  <c r="AJ68" i="67"/>
  <c r="AJ69" i="67"/>
  <c r="AJ70" i="67"/>
  <c r="AJ71" i="67"/>
  <c r="AJ72" i="67"/>
  <c r="AJ73" i="67"/>
  <c r="AJ74" i="67"/>
  <c r="AJ75" i="67"/>
  <c r="AJ76" i="67"/>
  <c r="AJ77" i="67"/>
  <c r="AJ78" i="67"/>
  <c r="AJ79" i="67"/>
  <c r="AJ80" i="67"/>
  <c r="AJ81" i="67"/>
  <c r="AJ82" i="67"/>
  <c r="AJ83" i="67"/>
  <c r="AJ84" i="67"/>
  <c r="AJ85" i="67"/>
  <c r="AJ86" i="67"/>
  <c r="AJ87" i="67"/>
  <c r="AJ88" i="67"/>
  <c r="AJ89" i="67"/>
  <c r="AJ90" i="67"/>
  <c r="AJ91" i="67"/>
  <c r="AJ92" i="67"/>
  <c r="AJ93" i="67"/>
  <c r="AJ94" i="67"/>
  <c r="AJ95" i="67"/>
  <c r="AJ96" i="67"/>
  <c r="AJ97" i="67"/>
  <c r="AJ98" i="67"/>
  <c r="AJ99" i="67"/>
  <c r="AJ100" i="67"/>
  <c r="AJ101" i="67"/>
  <c r="AJ102" i="67"/>
  <c r="AJ103" i="67"/>
  <c r="AJ104" i="67"/>
  <c r="AJ105" i="67"/>
  <c r="AJ106" i="67"/>
  <c r="AJ107" i="67"/>
  <c r="AJ108" i="67"/>
  <c r="AJ109" i="67"/>
  <c r="AJ110" i="67"/>
  <c r="AJ111" i="67"/>
  <c r="AJ112" i="67"/>
  <c r="AJ113" i="67"/>
  <c r="AJ114" i="67"/>
  <c r="AJ115" i="67"/>
  <c r="AJ116" i="67"/>
  <c r="AJ117" i="67"/>
  <c r="AJ118" i="67"/>
  <c r="AJ119" i="67"/>
  <c r="AJ120" i="67"/>
  <c r="AJ121" i="67"/>
  <c r="AJ122" i="67"/>
  <c r="AJ123" i="67"/>
  <c r="AJ124" i="67"/>
  <c r="AJ125" i="67"/>
  <c r="AJ126" i="67"/>
  <c r="AJ127" i="67"/>
  <c r="AJ128" i="67"/>
  <c r="AJ129" i="67"/>
  <c r="AJ130" i="67"/>
  <c r="AJ131" i="67"/>
  <c r="AJ132" i="67"/>
  <c r="AJ133" i="67"/>
  <c r="AJ134" i="67"/>
  <c r="AJ135" i="67"/>
  <c r="AJ136" i="67"/>
  <c r="AJ137" i="67"/>
  <c r="AJ138" i="67"/>
  <c r="AJ139" i="67"/>
  <c r="AJ140" i="67"/>
  <c r="AJ141" i="67"/>
  <c r="AJ142" i="67"/>
  <c r="AJ143" i="67"/>
  <c r="AJ144" i="67"/>
  <c r="AJ145" i="67"/>
  <c r="AJ146" i="67"/>
  <c r="AJ147" i="67"/>
  <c r="AJ148" i="67"/>
  <c r="AJ149" i="67"/>
  <c r="AJ150" i="67"/>
  <c r="AJ151" i="67"/>
  <c r="AJ152" i="67"/>
  <c r="AJ153" i="67"/>
  <c r="AJ154" i="67"/>
  <c r="AJ155" i="67"/>
  <c r="AJ156" i="67"/>
  <c r="AJ157" i="67"/>
  <c r="AJ158" i="67"/>
  <c r="AJ159" i="67"/>
  <c r="AJ160" i="67"/>
  <c r="AJ161" i="67"/>
  <c r="AJ162" i="67"/>
  <c r="AJ163" i="67"/>
  <c r="AJ164" i="67"/>
  <c r="AJ165" i="67"/>
  <c r="AJ166" i="67"/>
  <c r="AJ167" i="67"/>
  <c r="AJ168" i="67"/>
  <c r="AJ169" i="67"/>
  <c r="AJ170" i="67"/>
  <c r="AJ171" i="67"/>
  <c r="AJ172" i="67"/>
  <c r="AJ173" i="67"/>
  <c r="AJ174" i="67"/>
  <c r="AJ175" i="67"/>
  <c r="AJ176" i="67"/>
  <c r="AJ177" i="67"/>
  <c r="AJ178" i="67"/>
  <c r="AJ179" i="67"/>
  <c r="AJ180" i="67"/>
  <c r="AJ181" i="67"/>
  <c r="AJ182" i="67"/>
  <c r="AJ183" i="67"/>
  <c r="AJ184" i="67"/>
  <c r="AJ185" i="67"/>
  <c r="AJ186" i="67"/>
  <c r="AJ187" i="67"/>
  <c r="AJ188" i="67"/>
  <c r="AJ189" i="67"/>
  <c r="AJ190" i="67"/>
  <c r="AJ191" i="67"/>
  <c r="AJ192" i="67"/>
  <c r="AJ193" i="67"/>
  <c r="AJ194" i="67"/>
  <c r="AJ195" i="67"/>
  <c r="AJ196" i="67"/>
  <c r="AJ197" i="67"/>
  <c r="AJ198" i="67"/>
  <c r="AJ199" i="67"/>
  <c r="AJ200" i="67"/>
  <c r="AJ201" i="67"/>
  <c r="AJ202" i="67"/>
  <c r="AJ203" i="67"/>
  <c r="AJ204" i="67"/>
  <c r="AJ205" i="67"/>
  <c r="AJ206" i="67"/>
  <c r="AJ207" i="67"/>
  <c r="AJ208" i="67"/>
  <c r="AJ209" i="67"/>
  <c r="AJ210" i="67"/>
  <c r="AJ211" i="67"/>
  <c r="AJ212" i="67"/>
  <c r="AJ213" i="67"/>
  <c r="AJ214" i="67"/>
  <c r="AJ215" i="67"/>
  <c r="AJ216" i="67"/>
  <c r="AJ217" i="67"/>
  <c r="AJ218" i="67"/>
  <c r="AJ219" i="67"/>
  <c r="AJ220" i="67"/>
  <c r="AJ221" i="67"/>
  <c r="AJ222" i="67"/>
  <c r="AJ223" i="67"/>
  <c r="AJ224" i="67"/>
  <c r="AJ225" i="67"/>
  <c r="AJ226" i="67"/>
  <c r="AJ227" i="67"/>
  <c r="AJ228" i="67"/>
  <c r="AJ229" i="67"/>
  <c r="AJ230" i="67"/>
  <c r="AJ231" i="67"/>
  <c r="AJ232" i="67"/>
  <c r="AJ233" i="67"/>
  <c r="AJ234" i="67"/>
  <c r="AJ235" i="67"/>
  <c r="AJ236" i="67"/>
  <c r="AJ237" i="67"/>
  <c r="AJ238" i="67"/>
  <c r="AJ239" i="67"/>
  <c r="AJ240" i="67"/>
  <c r="AJ241" i="67"/>
  <c r="AJ242" i="67"/>
  <c r="AJ243" i="67"/>
  <c r="AJ244" i="67"/>
  <c r="AJ245" i="67"/>
  <c r="AJ246" i="67"/>
  <c r="AJ247" i="67"/>
  <c r="AJ248" i="67"/>
  <c r="AJ249" i="67"/>
  <c r="AJ250" i="67"/>
  <c r="AJ251" i="67"/>
  <c r="AJ252" i="67"/>
  <c r="AJ253" i="67"/>
  <c r="AJ254" i="67"/>
  <c r="AJ255" i="67"/>
  <c r="AJ256" i="67"/>
  <c r="AJ257" i="67"/>
  <c r="AJ258" i="67"/>
  <c r="AJ259" i="67"/>
  <c r="AJ260" i="67"/>
  <c r="AJ261" i="67"/>
  <c r="AJ262" i="67"/>
  <c r="AJ263" i="67"/>
  <c r="AJ264" i="67"/>
  <c r="AJ265" i="67"/>
  <c r="AJ266" i="67"/>
  <c r="AJ267" i="67"/>
  <c r="AJ268" i="67"/>
  <c r="AJ269" i="67"/>
  <c r="AJ270" i="67"/>
  <c r="AJ271" i="67"/>
  <c r="AJ272" i="67"/>
  <c r="AJ273" i="67"/>
  <c r="AJ274" i="67"/>
  <c r="AJ275" i="67"/>
  <c r="AJ276" i="67"/>
  <c r="AJ277" i="67"/>
  <c r="AJ278" i="67"/>
  <c r="AJ279" i="67"/>
  <c r="AJ280" i="67"/>
  <c r="AJ281" i="67"/>
  <c r="AJ282" i="67"/>
  <c r="AJ283" i="67"/>
  <c r="AJ284" i="67"/>
  <c r="AJ285" i="67"/>
  <c r="AJ286" i="67"/>
  <c r="AJ287" i="67"/>
  <c r="AJ288" i="67"/>
  <c r="AJ289" i="67"/>
  <c r="AJ290" i="67"/>
  <c r="AJ291" i="67"/>
  <c r="AJ292" i="67"/>
  <c r="AJ293" i="67"/>
  <c r="AJ294" i="67"/>
  <c r="AJ295" i="67"/>
  <c r="AJ296" i="67"/>
  <c r="AJ297" i="67"/>
  <c r="AJ298" i="67"/>
  <c r="AJ299" i="67"/>
  <c r="AJ300" i="67"/>
  <c r="AJ301" i="67"/>
  <c r="AJ302" i="67"/>
  <c r="AJ303" i="67"/>
  <c r="AJ304" i="67"/>
  <c r="AJ305" i="67"/>
  <c r="AJ306" i="67"/>
  <c r="AJ307" i="67"/>
  <c r="AJ308" i="67"/>
  <c r="AJ309" i="67"/>
  <c r="AJ310" i="67"/>
  <c r="AJ311" i="67"/>
  <c r="AJ312" i="67"/>
  <c r="AJ313" i="67"/>
  <c r="AJ314" i="67"/>
  <c r="AJ315" i="67"/>
  <c r="AJ316" i="67"/>
  <c r="AJ317" i="67"/>
  <c r="AJ318" i="67"/>
  <c r="AJ319" i="67"/>
  <c r="AJ320" i="67"/>
  <c r="AJ321" i="67"/>
  <c r="AJ322" i="67"/>
  <c r="AJ323" i="67"/>
  <c r="AJ324" i="67"/>
  <c r="AJ325" i="67"/>
  <c r="AJ326" i="67"/>
  <c r="AJ327" i="67"/>
  <c r="AJ328" i="67"/>
  <c r="AJ329" i="67"/>
  <c r="AJ330" i="67"/>
  <c r="AJ331" i="67"/>
  <c r="AJ332" i="67"/>
  <c r="AJ333" i="67"/>
  <c r="AJ334" i="67"/>
  <c r="AJ335" i="67"/>
  <c r="AJ336" i="67"/>
  <c r="AJ337" i="67"/>
  <c r="AJ338" i="67"/>
  <c r="AJ339" i="67"/>
  <c r="AJ2" i="67"/>
  <c r="U414" i="67"/>
  <c r="V414" i="67" s="1"/>
  <c r="W414" i="67" s="1"/>
  <c r="U415" i="67"/>
  <c r="V415" i="67" s="1"/>
  <c r="W415" i="67" s="1"/>
  <c r="U416" i="67"/>
  <c r="V416" i="67" s="1"/>
  <c r="W416" i="67" s="1"/>
  <c r="U417" i="67"/>
  <c r="V417" i="67" s="1"/>
  <c r="W417" i="67" s="1"/>
  <c r="U418" i="67"/>
  <c r="V418" i="67" s="1"/>
  <c r="W418" i="67" s="1"/>
  <c r="U419" i="67"/>
  <c r="V419" i="67" s="1"/>
  <c r="W419" i="67" s="1"/>
  <c r="U420" i="67"/>
  <c r="V420" i="67" s="1"/>
  <c r="W420" i="67" s="1"/>
  <c r="U421" i="67"/>
  <c r="V421" i="67" s="1"/>
  <c r="W421" i="67" s="1"/>
  <c r="U422" i="67"/>
  <c r="V422" i="67" s="1"/>
  <c r="W422" i="67" s="1"/>
  <c r="U423" i="67"/>
  <c r="V423" i="67" s="1"/>
  <c r="W423" i="67" s="1"/>
  <c r="U424" i="67"/>
  <c r="V424" i="67" s="1"/>
  <c r="W424" i="67" s="1"/>
  <c r="U425" i="67"/>
  <c r="V425" i="67" s="1"/>
  <c r="W425" i="67" s="1"/>
  <c r="U426" i="67"/>
  <c r="V426" i="67" s="1"/>
  <c r="W426" i="67" s="1"/>
  <c r="U427" i="67"/>
  <c r="V427" i="67" s="1"/>
  <c r="W427" i="67" s="1"/>
  <c r="U428" i="67"/>
  <c r="V428" i="67" s="1"/>
  <c r="W428" i="67" s="1"/>
  <c r="U429" i="67"/>
  <c r="V429" i="67" s="1"/>
  <c r="W429" i="67" s="1"/>
  <c r="U430" i="67"/>
  <c r="V430" i="67" s="1"/>
  <c r="W430" i="67" s="1"/>
  <c r="U431" i="67"/>
  <c r="V431" i="67" s="1"/>
  <c r="W431" i="67" s="1"/>
  <c r="U432" i="67"/>
  <c r="V432" i="67" s="1"/>
  <c r="W432" i="67" s="1"/>
  <c r="U433" i="67"/>
  <c r="V433" i="67" s="1"/>
  <c r="W433" i="67" s="1"/>
  <c r="U434" i="67"/>
  <c r="V434" i="67" s="1"/>
  <c r="W434" i="67" s="1"/>
  <c r="U435" i="67"/>
  <c r="V435" i="67" s="1"/>
  <c r="W435" i="67" s="1"/>
  <c r="U436" i="67"/>
  <c r="V436" i="67" s="1"/>
  <c r="W436" i="67" s="1"/>
  <c r="U437" i="67"/>
  <c r="V437" i="67" s="1"/>
  <c r="W437" i="67" s="1"/>
  <c r="U438" i="67"/>
  <c r="V438" i="67" s="1"/>
  <c r="W438" i="67" s="1"/>
  <c r="U439" i="67"/>
  <c r="V439" i="67" s="1"/>
  <c r="W439" i="67" s="1"/>
  <c r="U440" i="67"/>
  <c r="V440" i="67" s="1"/>
  <c r="W440" i="67" s="1"/>
  <c r="U441" i="67"/>
  <c r="V441" i="67" s="1"/>
  <c r="W441" i="67" s="1"/>
  <c r="U442" i="67"/>
  <c r="V442" i="67" s="1"/>
  <c r="W442" i="67" s="1"/>
  <c r="U443" i="67"/>
  <c r="V443" i="67" s="1"/>
  <c r="W443" i="67" s="1"/>
  <c r="U444" i="67"/>
  <c r="V444" i="67" s="1"/>
  <c r="W444" i="67" s="1"/>
  <c r="U445" i="67"/>
  <c r="V445" i="67" s="1"/>
  <c r="W445" i="67" s="1"/>
  <c r="U446" i="67"/>
  <c r="V446" i="67" s="1"/>
  <c r="W446" i="67" s="1"/>
  <c r="U447" i="67"/>
  <c r="V447" i="67" s="1"/>
  <c r="W447" i="67" s="1"/>
  <c r="U448" i="67"/>
  <c r="V448" i="67" s="1"/>
  <c r="W448" i="67" s="1"/>
  <c r="U449" i="67"/>
  <c r="V449" i="67" s="1"/>
  <c r="W449" i="67" s="1"/>
  <c r="U450" i="67"/>
  <c r="V450" i="67" s="1"/>
  <c r="W450" i="67" s="1"/>
  <c r="U451" i="67"/>
  <c r="V451" i="67" s="1"/>
  <c r="W451" i="67" s="1"/>
  <c r="U452" i="67"/>
  <c r="V452" i="67" s="1"/>
  <c r="W452" i="67" s="1"/>
  <c r="U453" i="67"/>
  <c r="V453" i="67" s="1"/>
  <c r="W453" i="67" s="1"/>
  <c r="U454" i="67"/>
  <c r="V454" i="67" s="1"/>
  <c r="W454" i="67" s="1"/>
  <c r="U455" i="67"/>
  <c r="V455" i="67" s="1"/>
  <c r="W455" i="67" s="1"/>
  <c r="U456" i="67"/>
  <c r="V456" i="67" s="1"/>
  <c r="W456" i="67" s="1"/>
  <c r="U457" i="67"/>
  <c r="V457" i="67" s="1"/>
  <c r="W457" i="67" s="1"/>
  <c r="U458" i="67"/>
  <c r="V458" i="67" s="1"/>
  <c r="W458" i="67" s="1"/>
  <c r="U459" i="67"/>
  <c r="V459" i="67" s="1"/>
  <c r="W459" i="67" s="1"/>
  <c r="U460" i="67"/>
  <c r="V460" i="67" s="1"/>
  <c r="W460" i="67" s="1"/>
  <c r="U461" i="67"/>
  <c r="V461" i="67" s="1"/>
  <c r="W461" i="67" s="1"/>
  <c r="U462" i="67"/>
  <c r="V462" i="67" s="1"/>
  <c r="W462" i="67" s="1"/>
  <c r="U463" i="67"/>
  <c r="V463" i="67" s="1"/>
  <c r="W463" i="67" s="1"/>
  <c r="U464" i="67"/>
  <c r="V464" i="67" s="1"/>
  <c r="W464" i="67" s="1"/>
  <c r="U465" i="67"/>
  <c r="V465" i="67" s="1"/>
  <c r="W465" i="67" s="1"/>
  <c r="U466" i="67"/>
  <c r="V466" i="67" s="1"/>
  <c r="W466" i="67" s="1"/>
  <c r="U467" i="67"/>
  <c r="V467" i="67" s="1"/>
  <c r="W467" i="67" s="1"/>
  <c r="U468" i="67"/>
  <c r="V468" i="67" s="1"/>
  <c r="W468" i="67" s="1"/>
  <c r="U469" i="67"/>
  <c r="V469" i="67" s="1"/>
  <c r="W469" i="67" s="1"/>
  <c r="U470" i="67"/>
  <c r="V470" i="67" s="1"/>
  <c r="W470" i="67" s="1"/>
  <c r="L414" i="67"/>
  <c r="M414" i="67"/>
  <c r="N414" i="67"/>
  <c r="L415" i="67"/>
  <c r="M415" i="67"/>
  <c r="N415" i="67"/>
  <c r="L416" i="67"/>
  <c r="M416" i="67"/>
  <c r="N416" i="67"/>
  <c r="L417" i="67"/>
  <c r="M417" i="67"/>
  <c r="N417" i="67"/>
  <c r="L418" i="67"/>
  <c r="M418" i="67"/>
  <c r="N418" i="67"/>
  <c r="L419" i="67"/>
  <c r="M419" i="67"/>
  <c r="N419" i="67"/>
  <c r="L420" i="67"/>
  <c r="M420" i="67"/>
  <c r="N420" i="67"/>
  <c r="L421" i="67"/>
  <c r="M421" i="67"/>
  <c r="N421" i="67"/>
  <c r="L422" i="67"/>
  <c r="M422" i="67"/>
  <c r="N422" i="67"/>
  <c r="L423" i="67"/>
  <c r="M423" i="67"/>
  <c r="N423" i="67"/>
  <c r="L424" i="67"/>
  <c r="M424" i="67"/>
  <c r="N424" i="67"/>
  <c r="L425" i="67"/>
  <c r="M425" i="67"/>
  <c r="N425" i="67"/>
  <c r="L426" i="67"/>
  <c r="M426" i="67"/>
  <c r="N426" i="67"/>
  <c r="L427" i="67"/>
  <c r="M427" i="67"/>
  <c r="N427" i="67"/>
  <c r="L428" i="67"/>
  <c r="M428" i="67"/>
  <c r="N428" i="67"/>
  <c r="L429" i="67"/>
  <c r="M429" i="67"/>
  <c r="N429" i="67"/>
  <c r="L430" i="67"/>
  <c r="M430" i="67"/>
  <c r="N430" i="67"/>
  <c r="L431" i="67"/>
  <c r="M431" i="67"/>
  <c r="N431" i="67"/>
  <c r="L432" i="67"/>
  <c r="M432" i="67"/>
  <c r="N432" i="67"/>
  <c r="L433" i="67"/>
  <c r="M433" i="67"/>
  <c r="N433" i="67"/>
  <c r="L434" i="67"/>
  <c r="M434" i="67"/>
  <c r="N434" i="67"/>
  <c r="L435" i="67"/>
  <c r="M435" i="67"/>
  <c r="N435" i="67"/>
  <c r="L436" i="67"/>
  <c r="M436" i="67"/>
  <c r="N436" i="67"/>
  <c r="L437" i="67"/>
  <c r="M437" i="67"/>
  <c r="N437" i="67"/>
  <c r="L438" i="67"/>
  <c r="M438" i="67"/>
  <c r="N438" i="67"/>
  <c r="L439" i="67"/>
  <c r="M439" i="67"/>
  <c r="N439" i="67"/>
  <c r="L440" i="67"/>
  <c r="M440" i="67"/>
  <c r="N440" i="67"/>
  <c r="L441" i="67"/>
  <c r="M441" i="67"/>
  <c r="N441" i="67"/>
  <c r="L442" i="67"/>
  <c r="M442" i="67"/>
  <c r="N442" i="67"/>
  <c r="L443" i="67"/>
  <c r="M443" i="67"/>
  <c r="N443" i="67"/>
  <c r="L444" i="67"/>
  <c r="M444" i="67"/>
  <c r="N444" i="67"/>
  <c r="L445" i="67"/>
  <c r="M445" i="67"/>
  <c r="N445" i="67"/>
  <c r="L446" i="67"/>
  <c r="M446" i="67"/>
  <c r="N446" i="67"/>
  <c r="L447" i="67"/>
  <c r="M447" i="67"/>
  <c r="N447" i="67"/>
  <c r="L448" i="67"/>
  <c r="M448" i="67"/>
  <c r="N448" i="67"/>
  <c r="L449" i="67"/>
  <c r="M449" i="67"/>
  <c r="N449" i="67"/>
  <c r="L450" i="67"/>
  <c r="M450" i="67"/>
  <c r="N450" i="67"/>
  <c r="L451" i="67"/>
  <c r="M451" i="67"/>
  <c r="N451" i="67"/>
  <c r="L452" i="67"/>
  <c r="M452" i="67"/>
  <c r="N452" i="67"/>
  <c r="L453" i="67"/>
  <c r="M453" i="67"/>
  <c r="N453" i="67"/>
  <c r="L454" i="67"/>
  <c r="M454" i="67"/>
  <c r="N454" i="67"/>
  <c r="L455" i="67"/>
  <c r="M455" i="67"/>
  <c r="N455" i="67"/>
  <c r="L456" i="67"/>
  <c r="M456" i="67"/>
  <c r="N456" i="67"/>
  <c r="L457" i="67"/>
  <c r="M457" i="67"/>
  <c r="N457" i="67"/>
  <c r="L458" i="67"/>
  <c r="M458" i="67"/>
  <c r="N458" i="67"/>
  <c r="L459" i="67"/>
  <c r="M459" i="67"/>
  <c r="N459" i="67"/>
  <c r="L460" i="67"/>
  <c r="M460" i="67"/>
  <c r="N460" i="67"/>
  <c r="L461" i="67"/>
  <c r="M461" i="67"/>
  <c r="N461" i="67"/>
  <c r="L462" i="67"/>
  <c r="M462" i="67"/>
  <c r="N462" i="67"/>
  <c r="L463" i="67"/>
  <c r="M463" i="67"/>
  <c r="N463" i="67"/>
  <c r="L464" i="67"/>
  <c r="M464" i="67"/>
  <c r="N464" i="67"/>
  <c r="L465" i="67"/>
  <c r="M465" i="67"/>
  <c r="N465" i="67"/>
  <c r="L466" i="67"/>
  <c r="M466" i="67"/>
  <c r="N466" i="67"/>
  <c r="L467" i="67"/>
  <c r="M467" i="67"/>
  <c r="N467" i="67"/>
  <c r="L468" i="67"/>
  <c r="M468" i="67"/>
  <c r="N468" i="67"/>
  <c r="L469" i="67"/>
  <c r="M469" i="67"/>
  <c r="N469" i="67"/>
  <c r="L470" i="67"/>
  <c r="M470" i="67"/>
  <c r="N470" i="67"/>
  <c r="U375" i="67" l="1"/>
  <c r="V375" i="67" s="1"/>
  <c r="W375" i="67" s="1"/>
  <c r="U376" i="67"/>
  <c r="V376" i="67" s="1"/>
  <c r="W376" i="67" s="1"/>
  <c r="U377" i="67"/>
  <c r="V377" i="67" s="1"/>
  <c r="W377" i="67" s="1"/>
  <c r="U378" i="67"/>
  <c r="V378" i="67" s="1"/>
  <c r="W378" i="67" s="1"/>
  <c r="U379" i="67"/>
  <c r="V379" i="67" s="1"/>
  <c r="W379" i="67" s="1"/>
  <c r="U380" i="67"/>
  <c r="V380" i="67" s="1"/>
  <c r="W380" i="67" s="1"/>
  <c r="U381" i="67"/>
  <c r="V381" i="67" s="1"/>
  <c r="W381" i="67" s="1"/>
  <c r="U382" i="67"/>
  <c r="V382" i="67" s="1"/>
  <c r="W382" i="67" s="1"/>
  <c r="U383" i="67"/>
  <c r="V383" i="67" s="1"/>
  <c r="W383" i="67" s="1"/>
  <c r="U384" i="67"/>
  <c r="V384" i="67" s="1"/>
  <c r="W384" i="67" s="1"/>
  <c r="U385" i="67"/>
  <c r="V385" i="67" s="1"/>
  <c r="W385" i="67" s="1"/>
  <c r="U386" i="67"/>
  <c r="V386" i="67" s="1"/>
  <c r="W386" i="67" s="1"/>
  <c r="U387" i="67"/>
  <c r="V387" i="67" s="1"/>
  <c r="W387" i="67" s="1"/>
  <c r="U388" i="67"/>
  <c r="V388" i="67" s="1"/>
  <c r="W388" i="67" s="1"/>
  <c r="U389" i="67"/>
  <c r="V389" i="67" s="1"/>
  <c r="W389" i="67" s="1"/>
  <c r="U390" i="67"/>
  <c r="V390" i="67" s="1"/>
  <c r="W390" i="67" s="1"/>
  <c r="U391" i="67"/>
  <c r="V391" i="67" s="1"/>
  <c r="W391" i="67" s="1"/>
  <c r="U392" i="67"/>
  <c r="V392" i="67" s="1"/>
  <c r="W392" i="67" s="1"/>
  <c r="U393" i="67"/>
  <c r="V393" i="67" s="1"/>
  <c r="W393" i="67" s="1"/>
  <c r="U394" i="67"/>
  <c r="V394" i="67" s="1"/>
  <c r="W394" i="67" s="1"/>
  <c r="U395" i="67"/>
  <c r="V395" i="67" s="1"/>
  <c r="W395" i="67" s="1"/>
  <c r="U396" i="67"/>
  <c r="V396" i="67" s="1"/>
  <c r="W396" i="67" s="1"/>
  <c r="U397" i="67"/>
  <c r="V397" i="67" s="1"/>
  <c r="W397" i="67" s="1"/>
  <c r="U398" i="67"/>
  <c r="V398" i="67" s="1"/>
  <c r="W398" i="67" s="1"/>
  <c r="U399" i="67"/>
  <c r="V399" i="67" s="1"/>
  <c r="W399" i="67" s="1"/>
  <c r="U400" i="67"/>
  <c r="V400" i="67" s="1"/>
  <c r="W400" i="67" s="1"/>
  <c r="U401" i="67"/>
  <c r="V401" i="67" s="1"/>
  <c r="W401" i="67" s="1"/>
  <c r="U402" i="67"/>
  <c r="V402" i="67" s="1"/>
  <c r="W402" i="67" s="1"/>
  <c r="U403" i="67"/>
  <c r="V403" i="67" s="1"/>
  <c r="W403" i="67" s="1"/>
  <c r="U404" i="67"/>
  <c r="V404" i="67" s="1"/>
  <c r="W404" i="67" s="1"/>
  <c r="U405" i="67"/>
  <c r="V405" i="67" s="1"/>
  <c r="W405" i="67" s="1"/>
  <c r="U406" i="67"/>
  <c r="V406" i="67" s="1"/>
  <c r="W406" i="67" s="1"/>
  <c r="U407" i="67"/>
  <c r="V407" i="67" s="1"/>
  <c r="W407" i="67" s="1"/>
  <c r="U408" i="67"/>
  <c r="V408" i="67" s="1"/>
  <c r="W408" i="67" s="1"/>
  <c r="U409" i="67"/>
  <c r="V409" i="67" s="1"/>
  <c r="W409" i="67" s="1"/>
  <c r="U410" i="67"/>
  <c r="V410" i="67" s="1"/>
  <c r="W410" i="67" s="1"/>
  <c r="U411" i="67"/>
  <c r="V411" i="67" s="1"/>
  <c r="W411" i="67" s="1"/>
  <c r="U412" i="67"/>
  <c r="V412" i="67" s="1"/>
  <c r="W412" i="67" s="1"/>
  <c r="U413" i="67"/>
  <c r="V413" i="67" s="1"/>
  <c r="W413" i="67" s="1"/>
  <c r="M375" i="67"/>
  <c r="N375" i="67"/>
  <c r="M376" i="67"/>
  <c r="N376" i="67"/>
  <c r="M377" i="67"/>
  <c r="N377" i="67"/>
  <c r="M378" i="67"/>
  <c r="N378" i="67"/>
  <c r="M379" i="67"/>
  <c r="N379" i="67"/>
  <c r="M380" i="67"/>
  <c r="N380" i="67"/>
  <c r="M381" i="67"/>
  <c r="N381" i="67"/>
  <c r="M382" i="67"/>
  <c r="N382" i="67"/>
  <c r="M383" i="67"/>
  <c r="N383" i="67"/>
  <c r="M384" i="67"/>
  <c r="N384" i="67"/>
  <c r="M385" i="67"/>
  <c r="N385" i="67"/>
  <c r="M386" i="67"/>
  <c r="N386" i="67"/>
  <c r="M387" i="67"/>
  <c r="N387" i="67"/>
  <c r="M388" i="67"/>
  <c r="N388" i="67"/>
  <c r="M389" i="67"/>
  <c r="N389" i="67"/>
  <c r="M390" i="67"/>
  <c r="N390" i="67"/>
  <c r="M391" i="67"/>
  <c r="N391" i="67"/>
  <c r="M392" i="67"/>
  <c r="N392" i="67"/>
  <c r="M393" i="67"/>
  <c r="N393" i="67"/>
  <c r="M394" i="67"/>
  <c r="N394" i="67"/>
  <c r="M395" i="67"/>
  <c r="N395" i="67"/>
  <c r="M396" i="67"/>
  <c r="N396" i="67"/>
  <c r="M397" i="67"/>
  <c r="N397" i="67"/>
  <c r="M398" i="67"/>
  <c r="N398" i="67"/>
  <c r="M399" i="67"/>
  <c r="N399" i="67"/>
  <c r="M400" i="67"/>
  <c r="N400" i="67"/>
  <c r="M401" i="67"/>
  <c r="N401" i="67"/>
  <c r="M402" i="67"/>
  <c r="N402" i="67"/>
  <c r="M403" i="67"/>
  <c r="N403" i="67"/>
  <c r="M404" i="67"/>
  <c r="N404" i="67"/>
  <c r="M405" i="67"/>
  <c r="N405" i="67"/>
  <c r="M406" i="67"/>
  <c r="N406" i="67"/>
  <c r="M407" i="67"/>
  <c r="N407" i="67"/>
  <c r="M408" i="67"/>
  <c r="N408" i="67"/>
  <c r="M409" i="67"/>
  <c r="N409" i="67"/>
  <c r="M410" i="67"/>
  <c r="N410" i="67"/>
  <c r="M411" i="67"/>
  <c r="N411" i="67"/>
  <c r="M412" i="67"/>
  <c r="N412" i="67"/>
  <c r="M413" i="67"/>
  <c r="N413" i="67"/>
  <c r="L375" i="67"/>
  <c r="L376" i="67"/>
  <c r="L377" i="67"/>
  <c r="L378" i="67"/>
  <c r="L379" i="67"/>
  <c r="L380" i="67"/>
  <c r="L381" i="67"/>
  <c r="L382" i="67"/>
  <c r="L383" i="67"/>
  <c r="L384" i="67"/>
  <c r="L385" i="67"/>
  <c r="L386" i="67"/>
  <c r="L387" i="67"/>
  <c r="L388" i="67"/>
  <c r="L389" i="67"/>
  <c r="L390" i="67"/>
  <c r="L391" i="67"/>
  <c r="L392" i="67"/>
  <c r="L393" i="67"/>
  <c r="L394" i="67"/>
  <c r="L395" i="67"/>
  <c r="L396" i="67"/>
  <c r="L397" i="67"/>
  <c r="L398" i="67"/>
  <c r="L399" i="67"/>
  <c r="L400" i="67"/>
  <c r="L401" i="67"/>
  <c r="L402" i="67"/>
  <c r="L403" i="67"/>
  <c r="L404" i="67"/>
  <c r="L405" i="67"/>
  <c r="L406" i="67"/>
  <c r="L407" i="67"/>
  <c r="L408" i="67"/>
  <c r="L409" i="67"/>
  <c r="L410" i="67"/>
  <c r="L411" i="67"/>
  <c r="L412" i="67"/>
  <c r="L413" i="67"/>
  <c r="S33" i="58"/>
  <c r="S32" i="58"/>
  <c r="S31" i="58"/>
  <c r="S30" i="58"/>
  <c r="S29" i="58"/>
  <c r="S28" i="58"/>
  <c r="S27" i="58"/>
  <c r="S26" i="58"/>
  <c r="S25" i="58"/>
  <c r="S24" i="58"/>
  <c r="S23" i="58"/>
  <c r="S22" i="58"/>
  <c r="S21" i="58"/>
  <c r="S20" i="58"/>
  <c r="S19" i="58"/>
  <c r="S18" i="58"/>
  <c r="S17" i="58"/>
  <c r="S16" i="58"/>
  <c r="S15" i="58"/>
  <c r="S14" i="58"/>
  <c r="S13" i="58"/>
  <c r="S12" i="58"/>
  <c r="S11" i="58"/>
  <c r="S10" i="58"/>
  <c r="S9" i="58"/>
  <c r="S8" i="58"/>
  <c r="S7" i="58"/>
  <c r="S6" i="58"/>
  <c r="S5" i="58"/>
  <c r="S4" i="58"/>
  <c r="S3" i="58"/>
  <c r="S2" i="58"/>
  <c r="S40" i="58"/>
  <c r="S37" i="58"/>
  <c r="S51" i="58"/>
  <c r="S344" i="58"/>
  <c r="S343" i="58"/>
  <c r="S342" i="58"/>
  <c r="S341" i="58"/>
  <c r="S340" i="58"/>
  <c r="S336" i="58"/>
  <c r="L362" i="67"/>
  <c r="S335" i="58"/>
  <c r="S332" i="58"/>
  <c r="S297" i="58"/>
  <c r="S287" i="58"/>
  <c r="S286" i="58"/>
  <c r="S285" i="58"/>
  <c r="S284" i="58"/>
  <c r="S248" i="58"/>
  <c r="S247" i="58"/>
  <c r="S222" i="58"/>
  <c r="S221" i="58"/>
  <c r="S211" i="58"/>
  <c r="S206" i="58"/>
  <c r="S205" i="58"/>
  <c r="S204" i="58"/>
  <c r="S203" i="58"/>
  <c r="S180" i="58"/>
  <c r="S179" i="58"/>
  <c r="S178" i="58"/>
  <c r="S177" i="58"/>
  <c r="S152" i="58"/>
  <c r="S151" i="58"/>
  <c r="S120" i="58"/>
  <c r="L361" i="67"/>
  <c r="S119" i="58"/>
  <c r="L360" i="67"/>
  <c r="S193" i="58"/>
  <c r="S192" i="58"/>
  <c r="S64" i="58"/>
  <c r="S63" i="58"/>
  <c r="S62" i="58"/>
  <c r="S61" i="58"/>
  <c r="S60" i="58"/>
  <c r="S369" i="58"/>
  <c r="S368" i="58"/>
  <c r="S227" i="58"/>
  <c r="S197" i="58"/>
  <c r="S196" i="58"/>
  <c r="S195" i="58"/>
  <c r="S156" i="58"/>
  <c r="S155" i="58"/>
  <c r="S121" i="58"/>
  <c r="S311" i="58"/>
  <c r="S310" i="58"/>
  <c r="S281" i="58"/>
  <c r="S280" i="58"/>
  <c r="S279" i="58"/>
  <c r="S278" i="58"/>
  <c r="S277" i="58"/>
  <c r="S276" i="58"/>
  <c r="S275" i="58"/>
  <c r="S274" i="58"/>
  <c r="S273" i="58"/>
  <c r="S272" i="58"/>
  <c r="S271" i="58"/>
  <c r="S261" i="58"/>
  <c r="S260" i="58"/>
  <c r="L364" i="67"/>
  <c r="S259" i="58"/>
  <c r="S219" i="58"/>
  <c r="S202" i="58"/>
  <c r="S198" i="58"/>
  <c r="L368" i="67"/>
  <c r="S187" i="58"/>
  <c r="S186" i="58"/>
  <c r="S185" i="58"/>
  <c r="S184" i="58"/>
  <c r="S183" i="58"/>
  <c r="S157" i="58"/>
  <c r="L366" i="67"/>
  <c r="S145" i="58"/>
  <c r="S113" i="58"/>
  <c r="L367" i="67"/>
  <c r="S112" i="58"/>
  <c r="S87" i="58"/>
  <c r="S86" i="58"/>
  <c r="S85" i="58"/>
  <c r="S84" i="58"/>
  <c r="S83" i="58"/>
  <c r="S143" i="58"/>
  <c r="S34" i="58"/>
  <c r="S111" i="58"/>
  <c r="S98" i="58"/>
  <c r="S97" i="58"/>
  <c r="S96" i="58"/>
  <c r="S95" i="58"/>
  <c r="S94" i="58"/>
  <c r="S93" i="58"/>
  <c r="S78" i="58"/>
  <c r="S77" i="58"/>
  <c r="S215" i="58"/>
  <c r="S76" i="58"/>
  <c r="S358" i="58"/>
  <c r="S357" i="58"/>
  <c r="S154" i="58"/>
  <c r="S153" i="58"/>
  <c r="S150" i="58"/>
  <c r="S149" i="58"/>
  <c r="S146" i="58"/>
  <c r="S124" i="58"/>
  <c r="S123" i="58"/>
  <c r="S101" i="58"/>
  <c r="S100" i="58"/>
  <c r="S99" i="58"/>
  <c r="S75" i="58"/>
  <c r="S74" i="58"/>
  <c r="S50" i="58"/>
  <c r="S39" i="58"/>
  <c r="S38" i="58"/>
  <c r="S367" i="58"/>
  <c r="S364" i="58"/>
  <c r="S363" i="58"/>
  <c r="S362" i="58"/>
  <c r="S361" i="58"/>
  <c r="S356" i="58"/>
  <c r="S355" i="58"/>
  <c r="S354" i="58"/>
  <c r="S353" i="58"/>
  <c r="S346" i="58"/>
  <c r="S345" i="58"/>
  <c r="S334" i="58"/>
  <c r="S333" i="58"/>
  <c r="S331" i="58"/>
  <c r="S326" i="58"/>
  <c r="S325" i="58"/>
  <c r="S324" i="58"/>
  <c r="S323" i="58"/>
  <c r="S314" i="58"/>
  <c r="S309" i="58"/>
  <c r="S305" i="58"/>
  <c r="S304" i="58"/>
  <c r="S303" i="58"/>
  <c r="S302" i="58"/>
  <c r="S300" i="58"/>
  <c r="S299" i="58"/>
  <c r="S283" i="58"/>
  <c r="S282" i="58"/>
  <c r="S258" i="58"/>
  <c r="S257" i="58"/>
  <c r="S256" i="58"/>
  <c r="L371" i="67"/>
  <c r="S246" i="58"/>
  <c r="S243" i="58"/>
  <c r="S242" i="58"/>
  <c r="S241" i="58"/>
  <c r="S232" i="58"/>
  <c r="S231" i="58"/>
  <c r="S230" i="58"/>
  <c r="S228" i="58"/>
  <c r="S210" i="58"/>
  <c r="S209" i="58"/>
  <c r="S208" i="58"/>
  <c r="S207" i="58"/>
  <c r="S194" i="58"/>
  <c r="S366" i="58"/>
  <c r="S365" i="58"/>
  <c r="S360" i="58"/>
  <c r="S359" i="58"/>
  <c r="S352" i="58"/>
  <c r="S351" i="58"/>
  <c r="S350" i="58"/>
  <c r="S349" i="58"/>
  <c r="S348" i="58"/>
  <c r="S347" i="58"/>
  <c r="S339" i="58"/>
  <c r="S338" i="58"/>
  <c r="S337" i="58"/>
  <c r="S330" i="58"/>
  <c r="S329" i="58"/>
  <c r="S328" i="58"/>
  <c r="S327" i="58"/>
  <c r="S322" i="58"/>
  <c r="S321" i="58"/>
  <c r="S320" i="58"/>
  <c r="S319" i="58"/>
  <c r="S318" i="58"/>
  <c r="L355" i="67"/>
  <c r="S317" i="58"/>
  <c r="S316" i="58"/>
  <c r="S315" i="58"/>
  <c r="L340" i="67"/>
  <c r="S313" i="58"/>
  <c r="L369" i="67"/>
  <c r="S312" i="58"/>
  <c r="S308" i="58"/>
  <c r="S307" i="58"/>
  <c r="S306" i="58"/>
  <c r="S301" i="58"/>
  <c r="S298" i="58"/>
  <c r="S296" i="58"/>
  <c r="S295" i="58"/>
  <c r="S294" i="58"/>
  <c r="S293" i="58"/>
  <c r="S292" i="58"/>
  <c r="S291" i="58"/>
  <c r="S290" i="58"/>
  <c r="S289" i="58"/>
  <c r="S288" i="58"/>
  <c r="S270" i="58"/>
  <c r="S269" i="58"/>
  <c r="S268" i="58"/>
  <c r="S267" i="58"/>
  <c r="S266" i="58"/>
  <c r="S265" i="58"/>
  <c r="L344" i="67"/>
  <c r="S264" i="58"/>
  <c r="S263" i="58"/>
  <c r="S262" i="58"/>
  <c r="S245" i="58"/>
  <c r="S244" i="58"/>
  <c r="S240" i="58"/>
  <c r="S239" i="58"/>
  <c r="S238" i="58"/>
  <c r="S237" i="58"/>
  <c r="S236" i="58"/>
  <c r="S235" i="58"/>
  <c r="S234" i="58"/>
  <c r="S233" i="58"/>
  <c r="S229" i="58"/>
  <c r="S220" i="58"/>
  <c r="S201" i="58"/>
  <c r="S200" i="58"/>
  <c r="S199" i="58"/>
  <c r="L351" i="67"/>
  <c r="S191" i="58"/>
  <c r="S190" i="58"/>
  <c r="S189" i="58"/>
  <c r="S188" i="58"/>
  <c r="S182" i="58"/>
  <c r="S181" i="58"/>
  <c r="S176" i="58"/>
  <c r="S175" i="58"/>
  <c r="S174" i="58"/>
  <c r="S173" i="58"/>
  <c r="S172" i="58"/>
  <c r="S171" i="58"/>
  <c r="S170" i="58"/>
  <c r="S169" i="58"/>
  <c r="S168" i="58"/>
  <c r="S167" i="58"/>
  <c r="S166" i="58"/>
  <c r="S165" i="58"/>
  <c r="S164" i="58"/>
  <c r="S163" i="58"/>
  <c r="S162" i="58"/>
  <c r="S161" i="58"/>
  <c r="S159" i="58"/>
  <c r="S158" i="58"/>
  <c r="S148" i="58"/>
  <c r="S147" i="58"/>
  <c r="S144" i="58"/>
  <c r="S142" i="58"/>
  <c r="S141" i="58"/>
  <c r="S140" i="58"/>
  <c r="S139" i="58"/>
  <c r="S138" i="58"/>
  <c r="S137" i="58"/>
  <c r="S136" i="58"/>
  <c r="S135" i="58"/>
  <c r="S134" i="58"/>
  <c r="S133" i="58"/>
  <c r="S132" i="58"/>
  <c r="L342" i="67"/>
  <c r="S131" i="58"/>
  <c r="S130" i="58"/>
  <c r="S129" i="58"/>
  <c r="S128" i="58"/>
  <c r="S127" i="58"/>
  <c r="S126" i="58"/>
  <c r="L343" i="67"/>
  <c r="S125" i="58"/>
  <c r="S122" i="58"/>
  <c r="S107" i="58"/>
  <c r="S106" i="58"/>
  <c r="S105" i="58"/>
  <c r="S104" i="58"/>
  <c r="L354" i="67"/>
  <c r="S103" i="58"/>
  <c r="S102" i="58"/>
  <c r="S88" i="58"/>
  <c r="S82" i="58"/>
  <c r="S81" i="58"/>
  <c r="S80" i="58"/>
  <c r="S79" i="58"/>
  <c r="S73" i="58"/>
  <c r="S72" i="58"/>
  <c r="S71" i="58"/>
  <c r="S70" i="58"/>
  <c r="S69" i="58"/>
  <c r="S68" i="58"/>
  <c r="S67" i="58"/>
  <c r="S66" i="58"/>
  <c r="S65" i="58"/>
  <c r="S59" i="58"/>
  <c r="S53" i="58"/>
  <c r="S226" i="58"/>
  <c r="S225" i="58"/>
  <c r="S224" i="58"/>
  <c r="S223" i="58"/>
  <c r="S218" i="58"/>
  <c r="S217" i="58"/>
  <c r="S58" i="58"/>
  <c r="S57" i="58"/>
  <c r="S56" i="58"/>
  <c r="L372" i="67"/>
  <c r="S55" i="58"/>
  <c r="S54" i="58"/>
  <c r="S52" i="58"/>
  <c r="S49" i="58"/>
  <c r="S48" i="58"/>
  <c r="S47" i="58"/>
  <c r="S46" i="58"/>
  <c r="S45" i="58"/>
  <c r="S44" i="58"/>
  <c r="S43" i="58"/>
  <c r="S42" i="58"/>
  <c r="S41" i="58"/>
  <c r="S36" i="58"/>
  <c r="S35" i="58"/>
  <c r="S255" i="58"/>
  <c r="S254" i="58"/>
  <c r="S253" i="58"/>
  <c r="S252" i="58"/>
  <c r="S251" i="58"/>
  <c r="S250" i="58"/>
  <c r="S249" i="58"/>
  <c r="S216" i="58"/>
  <c r="S214" i="58"/>
  <c r="S213" i="58"/>
  <c r="L358" i="67"/>
  <c r="S212" i="58"/>
  <c r="L359" i="67"/>
  <c r="S160" i="58"/>
  <c r="S118" i="58"/>
  <c r="S117" i="58"/>
  <c r="S116" i="58"/>
  <c r="S115" i="58"/>
  <c r="S114" i="58"/>
  <c r="S110" i="58"/>
  <c r="S109" i="58"/>
  <c r="S108" i="58"/>
  <c r="S92" i="58"/>
  <c r="S91" i="58"/>
  <c r="S90" i="58"/>
  <c r="S89" i="58"/>
  <c r="L370" i="67"/>
  <c r="L349" i="67"/>
  <c r="L352" i="67"/>
  <c r="L357" i="67"/>
  <c r="L373" i="67"/>
  <c r="U340" i="67"/>
  <c r="V340" i="67" s="1"/>
  <c r="W340" i="67" s="1"/>
  <c r="U341" i="67"/>
  <c r="V341" i="67" s="1"/>
  <c r="W341" i="67" s="1"/>
  <c r="U342" i="67"/>
  <c r="V342" i="67" s="1"/>
  <c r="W342" i="67" s="1"/>
  <c r="U343" i="67"/>
  <c r="V343" i="67" s="1"/>
  <c r="W343" i="67" s="1"/>
  <c r="U344" i="67"/>
  <c r="V344" i="67" s="1"/>
  <c r="W344" i="67" s="1"/>
  <c r="U345" i="67"/>
  <c r="V345" i="67" s="1"/>
  <c r="W345" i="67" s="1"/>
  <c r="U346" i="67"/>
  <c r="V346" i="67" s="1"/>
  <c r="W346" i="67" s="1"/>
  <c r="U347" i="67"/>
  <c r="V347" i="67" s="1"/>
  <c r="W347" i="67" s="1"/>
  <c r="U348" i="67"/>
  <c r="V348" i="67" s="1"/>
  <c r="W348" i="67" s="1"/>
  <c r="U349" i="67"/>
  <c r="V349" i="67" s="1"/>
  <c r="W349" i="67" s="1"/>
  <c r="U350" i="67"/>
  <c r="V350" i="67" s="1"/>
  <c r="W350" i="67" s="1"/>
  <c r="U351" i="67"/>
  <c r="V351" i="67" s="1"/>
  <c r="W351" i="67" s="1"/>
  <c r="U352" i="67"/>
  <c r="V352" i="67" s="1"/>
  <c r="W352" i="67" s="1"/>
  <c r="U353" i="67"/>
  <c r="V353" i="67" s="1"/>
  <c r="W353" i="67" s="1"/>
  <c r="U354" i="67"/>
  <c r="V354" i="67" s="1"/>
  <c r="W354" i="67" s="1"/>
  <c r="U355" i="67"/>
  <c r="V355" i="67" s="1"/>
  <c r="W355" i="67" s="1"/>
  <c r="U356" i="67"/>
  <c r="V356" i="67" s="1"/>
  <c r="W356" i="67" s="1"/>
  <c r="U357" i="67"/>
  <c r="V357" i="67" s="1"/>
  <c r="W357" i="67" s="1"/>
  <c r="U358" i="67"/>
  <c r="V358" i="67" s="1"/>
  <c r="W358" i="67" s="1"/>
  <c r="U359" i="67"/>
  <c r="V359" i="67" s="1"/>
  <c r="W359" i="67" s="1"/>
  <c r="U360" i="67"/>
  <c r="V360" i="67" s="1"/>
  <c r="W360" i="67" s="1"/>
  <c r="U361" i="67"/>
  <c r="V361" i="67" s="1"/>
  <c r="W361" i="67" s="1"/>
  <c r="U362" i="67"/>
  <c r="V362" i="67" s="1"/>
  <c r="W362" i="67" s="1"/>
  <c r="U363" i="67"/>
  <c r="V363" i="67" s="1"/>
  <c r="W363" i="67" s="1"/>
  <c r="U364" i="67"/>
  <c r="V364" i="67" s="1"/>
  <c r="W364" i="67" s="1"/>
  <c r="U365" i="67"/>
  <c r="V365" i="67" s="1"/>
  <c r="W365" i="67" s="1"/>
  <c r="U366" i="67"/>
  <c r="V366" i="67" s="1"/>
  <c r="W366" i="67" s="1"/>
  <c r="U367" i="67"/>
  <c r="V367" i="67" s="1"/>
  <c r="W367" i="67" s="1"/>
  <c r="U368" i="67"/>
  <c r="V368" i="67" s="1"/>
  <c r="W368" i="67" s="1"/>
  <c r="U369" i="67"/>
  <c r="V369" i="67" s="1"/>
  <c r="W369" i="67" s="1"/>
  <c r="U370" i="67"/>
  <c r="V370" i="67" s="1"/>
  <c r="W370" i="67" s="1"/>
  <c r="U371" i="67"/>
  <c r="V371" i="67" s="1"/>
  <c r="W371" i="67" s="1"/>
  <c r="U372" i="67"/>
  <c r="V372" i="67" s="1"/>
  <c r="W372" i="67" s="1"/>
  <c r="U373" i="67"/>
  <c r="V373" i="67" s="1"/>
  <c r="W373" i="67" s="1"/>
  <c r="U374" i="67"/>
  <c r="V374" i="67" s="1"/>
  <c r="W374" i="67" s="1"/>
  <c r="M340" i="67"/>
  <c r="N340" i="67"/>
  <c r="L341" i="67"/>
  <c r="M341" i="67"/>
  <c r="N341" i="67"/>
  <c r="M342" i="67"/>
  <c r="N342" i="67"/>
  <c r="M343" i="67"/>
  <c r="N343" i="67"/>
  <c r="M344" i="67"/>
  <c r="N344" i="67"/>
  <c r="L345" i="67"/>
  <c r="M345" i="67"/>
  <c r="N345" i="67"/>
  <c r="L346" i="67"/>
  <c r="M346" i="67"/>
  <c r="N346" i="67"/>
  <c r="L347" i="67"/>
  <c r="M347" i="67"/>
  <c r="N347" i="67"/>
  <c r="L348" i="67"/>
  <c r="M348" i="67"/>
  <c r="N348" i="67"/>
  <c r="M349" i="67"/>
  <c r="N349" i="67"/>
  <c r="L350" i="67"/>
  <c r="M350" i="67"/>
  <c r="N350" i="67"/>
  <c r="M351" i="67"/>
  <c r="N351" i="67"/>
  <c r="M352" i="67"/>
  <c r="N352" i="67"/>
  <c r="L353" i="67"/>
  <c r="M353" i="67"/>
  <c r="N353" i="67"/>
  <c r="M354" i="67"/>
  <c r="N354" i="67"/>
  <c r="M355" i="67"/>
  <c r="N355" i="67"/>
  <c r="L356" i="67"/>
  <c r="M356" i="67"/>
  <c r="N356" i="67"/>
  <c r="M357" i="67"/>
  <c r="N357" i="67"/>
  <c r="M358" i="67"/>
  <c r="N358" i="67"/>
  <c r="M359" i="67"/>
  <c r="N359" i="67"/>
  <c r="M360" i="67"/>
  <c r="N360" i="67"/>
  <c r="M361" i="67"/>
  <c r="N361" i="67"/>
  <c r="M362" i="67"/>
  <c r="N362" i="67"/>
  <c r="L363" i="67"/>
  <c r="M363" i="67"/>
  <c r="N363" i="67"/>
  <c r="M364" i="67"/>
  <c r="N364" i="67"/>
  <c r="L365" i="67"/>
  <c r="M365" i="67"/>
  <c r="N365" i="67"/>
  <c r="M366" i="67"/>
  <c r="N366" i="67"/>
  <c r="M367" i="67"/>
  <c r="N367" i="67"/>
  <c r="M368" i="67"/>
  <c r="N368" i="67"/>
  <c r="M369" i="67"/>
  <c r="N369" i="67"/>
  <c r="M370" i="67"/>
  <c r="N370" i="67"/>
  <c r="M371" i="67"/>
  <c r="N371" i="67"/>
  <c r="M372" i="67"/>
  <c r="N372" i="67"/>
  <c r="M373" i="67"/>
  <c r="N373" i="67"/>
  <c r="L374" i="67"/>
  <c r="M374" i="67"/>
  <c r="N374" i="67"/>
  <c r="U283" i="67" l="1"/>
  <c r="V283" i="67" s="1"/>
  <c r="W283" i="67" s="1"/>
  <c r="U284" i="67"/>
  <c r="V284" i="67" s="1"/>
  <c r="W284" i="67" s="1"/>
  <c r="U285" i="67"/>
  <c r="V285" i="67" s="1"/>
  <c r="W285" i="67" s="1"/>
  <c r="U286" i="67"/>
  <c r="V286" i="67" s="1"/>
  <c r="W286" i="67" s="1"/>
  <c r="U287" i="67"/>
  <c r="V287" i="67" s="1"/>
  <c r="W287" i="67" s="1"/>
  <c r="U288" i="67"/>
  <c r="V288" i="67" s="1"/>
  <c r="W288" i="67" s="1"/>
  <c r="U289" i="67"/>
  <c r="V289" i="67" s="1"/>
  <c r="W289" i="67" s="1"/>
  <c r="U290" i="67"/>
  <c r="V290" i="67" s="1"/>
  <c r="W290" i="67" s="1"/>
  <c r="U291" i="67"/>
  <c r="V291" i="67" s="1"/>
  <c r="W291" i="67" s="1"/>
  <c r="U292" i="67"/>
  <c r="V292" i="67" s="1"/>
  <c r="W292" i="67" s="1"/>
  <c r="U293" i="67"/>
  <c r="V293" i="67" s="1"/>
  <c r="W293" i="67" s="1"/>
  <c r="U294" i="67"/>
  <c r="V294" i="67" s="1"/>
  <c r="W294" i="67" s="1"/>
  <c r="U295" i="67"/>
  <c r="V295" i="67" s="1"/>
  <c r="W295" i="67" s="1"/>
  <c r="U296" i="67"/>
  <c r="V296" i="67" s="1"/>
  <c r="W296" i="67" s="1"/>
  <c r="U297" i="67"/>
  <c r="V297" i="67" s="1"/>
  <c r="W297" i="67" s="1"/>
  <c r="U298" i="67"/>
  <c r="V298" i="67" s="1"/>
  <c r="W298" i="67" s="1"/>
  <c r="U299" i="67"/>
  <c r="V299" i="67" s="1"/>
  <c r="W299" i="67" s="1"/>
  <c r="U300" i="67"/>
  <c r="V300" i="67" s="1"/>
  <c r="W300" i="67" s="1"/>
  <c r="U301" i="67"/>
  <c r="V301" i="67" s="1"/>
  <c r="W301" i="67" s="1"/>
  <c r="U302" i="67"/>
  <c r="V302" i="67" s="1"/>
  <c r="W302" i="67" s="1"/>
  <c r="U303" i="67"/>
  <c r="V303" i="67" s="1"/>
  <c r="W303" i="67" s="1"/>
  <c r="U304" i="67"/>
  <c r="V304" i="67" s="1"/>
  <c r="W304" i="67" s="1"/>
  <c r="U305" i="67"/>
  <c r="V305" i="67" s="1"/>
  <c r="W305" i="67" s="1"/>
  <c r="U306" i="67"/>
  <c r="V306" i="67" s="1"/>
  <c r="W306" i="67" s="1"/>
  <c r="U307" i="67"/>
  <c r="V307" i="67" s="1"/>
  <c r="W307" i="67" s="1"/>
  <c r="U308" i="67"/>
  <c r="V308" i="67" s="1"/>
  <c r="W308" i="67" s="1"/>
  <c r="U309" i="67"/>
  <c r="V309" i="67" s="1"/>
  <c r="W309" i="67" s="1"/>
  <c r="U310" i="67"/>
  <c r="V310" i="67" s="1"/>
  <c r="W310" i="67" s="1"/>
  <c r="U311" i="67"/>
  <c r="V311" i="67" s="1"/>
  <c r="W311" i="67" s="1"/>
  <c r="U312" i="67"/>
  <c r="V312" i="67" s="1"/>
  <c r="W312" i="67" s="1"/>
  <c r="U313" i="67"/>
  <c r="V313" i="67" s="1"/>
  <c r="W313" i="67" s="1"/>
  <c r="U314" i="67"/>
  <c r="V314" i="67" s="1"/>
  <c r="W314" i="67" s="1"/>
  <c r="U315" i="67"/>
  <c r="V315" i="67" s="1"/>
  <c r="W315" i="67" s="1"/>
  <c r="U316" i="67"/>
  <c r="V316" i="67" s="1"/>
  <c r="W316" i="67" s="1"/>
  <c r="U317" i="67"/>
  <c r="V317" i="67" s="1"/>
  <c r="W317" i="67" s="1"/>
  <c r="U318" i="67"/>
  <c r="V318" i="67" s="1"/>
  <c r="W318" i="67" s="1"/>
  <c r="U319" i="67"/>
  <c r="V319" i="67" s="1"/>
  <c r="W319" i="67" s="1"/>
  <c r="U320" i="67"/>
  <c r="V320" i="67" s="1"/>
  <c r="W320" i="67" s="1"/>
  <c r="U321" i="67"/>
  <c r="V321" i="67" s="1"/>
  <c r="W321" i="67" s="1"/>
  <c r="U322" i="67"/>
  <c r="V322" i="67" s="1"/>
  <c r="W322" i="67" s="1"/>
  <c r="U323" i="67"/>
  <c r="V323" i="67" s="1"/>
  <c r="W323" i="67" s="1"/>
  <c r="U324" i="67"/>
  <c r="V324" i="67" s="1"/>
  <c r="W324" i="67" s="1"/>
  <c r="U325" i="67"/>
  <c r="V325" i="67" s="1"/>
  <c r="W325" i="67" s="1"/>
  <c r="U326" i="67"/>
  <c r="V326" i="67" s="1"/>
  <c r="W326" i="67" s="1"/>
  <c r="U327" i="67"/>
  <c r="V327" i="67" s="1"/>
  <c r="W327" i="67" s="1"/>
  <c r="U328" i="67"/>
  <c r="V328" i="67" s="1"/>
  <c r="W328" i="67" s="1"/>
  <c r="U329" i="67"/>
  <c r="V329" i="67" s="1"/>
  <c r="W329" i="67" s="1"/>
  <c r="U330" i="67"/>
  <c r="V330" i="67" s="1"/>
  <c r="W330" i="67" s="1"/>
  <c r="U331" i="67"/>
  <c r="V331" i="67" s="1"/>
  <c r="W331" i="67" s="1"/>
  <c r="U332" i="67"/>
  <c r="V332" i="67" s="1"/>
  <c r="W332" i="67" s="1"/>
  <c r="U333" i="67"/>
  <c r="V333" i="67" s="1"/>
  <c r="W333" i="67" s="1"/>
  <c r="U334" i="67"/>
  <c r="V334" i="67" s="1"/>
  <c r="W334" i="67" s="1"/>
  <c r="U335" i="67"/>
  <c r="V335" i="67" s="1"/>
  <c r="W335" i="67" s="1"/>
  <c r="U336" i="67"/>
  <c r="V336" i="67" s="1"/>
  <c r="W336" i="67" s="1"/>
  <c r="U337" i="67"/>
  <c r="V337" i="67" s="1"/>
  <c r="W337" i="67" s="1"/>
  <c r="U338" i="67"/>
  <c r="V338" i="67" s="1"/>
  <c r="W338" i="67" s="1"/>
  <c r="U339" i="67"/>
  <c r="V339" i="67" s="1"/>
  <c r="W339" i="67" s="1"/>
  <c r="L283" i="67"/>
  <c r="M283" i="67"/>
  <c r="N283" i="67"/>
  <c r="L284" i="67"/>
  <c r="M284" i="67"/>
  <c r="N284" i="67"/>
  <c r="L285" i="67"/>
  <c r="M285" i="67"/>
  <c r="N285" i="67"/>
  <c r="L286" i="67"/>
  <c r="M286" i="67"/>
  <c r="N286" i="67"/>
  <c r="L287" i="67"/>
  <c r="M287" i="67"/>
  <c r="N287" i="67"/>
  <c r="L288" i="67"/>
  <c r="M288" i="67"/>
  <c r="N288" i="67"/>
  <c r="L289" i="67"/>
  <c r="M289" i="67"/>
  <c r="N289" i="67"/>
  <c r="L290" i="67"/>
  <c r="M290" i="67"/>
  <c r="N290" i="67"/>
  <c r="L291" i="67"/>
  <c r="M291" i="67"/>
  <c r="N291" i="67"/>
  <c r="L292" i="67"/>
  <c r="M292" i="67"/>
  <c r="N292" i="67"/>
  <c r="L293" i="67"/>
  <c r="M293" i="67"/>
  <c r="N293" i="67"/>
  <c r="L294" i="67"/>
  <c r="M294" i="67"/>
  <c r="N294" i="67"/>
  <c r="L295" i="67"/>
  <c r="M295" i="67"/>
  <c r="N295" i="67"/>
  <c r="L296" i="67"/>
  <c r="M296" i="67"/>
  <c r="N296" i="67"/>
  <c r="L297" i="67"/>
  <c r="M297" i="67"/>
  <c r="N297" i="67"/>
  <c r="L298" i="67"/>
  <c r="M298" i="67"/>
  <c r="N298" i="67"/>
  <c r="L299" i="67"/>
  <c r="M299" i="67"/>
  <c r="N299" i="67"/>
  <c r="L300" i="67"/>
  <c r="M300" i="67"/>
  <c r="N300" i="67"/>
  <c r="L301" i="67"/>
  <c r="M301" i="67"/>
  <c r="N301" i="67"/>
  <c r="L302" i="67"/>
  <c r="M302" i="67"/>
  <c r="N302" i="67"/>
  <c r="L303" i="67"/>
  <c r="M303" i="67"/>
  <c r="N303" i="67"/>
  <c r="L304" i="67"/>
  <c r="M304" i="67"/>
  <c r="N304" i="67"/>
  <c r="L305" i="67"/>
  <c r="M305" i="67"/>
  <c r="N305" i="67"/>
  <c r="L306" i="67"/>
  <c r="M306" i="67"/>
  <c r="N306" i="67"/>
  <c r="L307" i="67"/>
  <c r="M307" i="67"/>
  <c r="N307" i="67"/>
  <c r="L308" i="67"/>
  <c r="M308" i="67"/>
  <c r="N308" i="67"/>
  <c r="L309" i="67"/>
  <c r="M309" i="67"/>
  <c r="N309" i="67"/>
  <c r="L310" i="67"/>
  <c r="M310" i="67"/>
  <c r="N310" i="67"/>
  <c r="L311" i="67"/>
  <c r="M311" i="67"/>
  <c r="N311" i="67"/>
  <c r="L312" i="67"/>
  <c r="M312" i="67"/>
  <c r="N312" i="67"/>
  <c r="L313" i="67"/>
  <c r="M313" i="67"/>
  <c r="N313" i="67"/>
  <c r="L314" i="67"/>
  <c r="M314" i="67"/>
  <c r="N314" i="67"/>
  <c r="L315" i="67"/>
  <c r="M315" i="67"/>
  <c r="N315" i="67"/>
  <c r="L316" i="67"/>
  <c r="M316" i="67"/>
  <c r="N316" i="67"/>
  <c r="L317" i="67"/>
  <c r="M317" i="67"/>
  <c r="N317" i="67"/>
  <c r="L318" i="67"/>
  <c r="M318" i="67"/>
  <c r="N318" i="67"/>
  <c r="L319" i="67"/>
  <c r="M319" i="67"/>
  <c r="N319" i="67"/>
  <c r="L320" i="67"/>
  <c r="M320" i="67"/>
  <c r="N320" i="67"/>
  <c r="L321" i="67"/>
  <c r="M321" i="67"/>
  <c r="N321" i="67"/>
  <c r="L322" i="67"/>
  <c r="M322" i="67"/>
  <c r="N322" i="67"/>
  <c r="L323" i="67"/>
  <c r="M323" i="67"/>
  <c r="N323" i="67"/>
  <c r="L324" i="67"/>
  <c r="M324" i="67"/>
  <c r="N324" i="67"/>
  <c r="L325" i="67"/>
  <c r="M325" i="67"/>
  <c r="N325" i="67"/>
  <c r="L326" i="67"/>
  <c r="M326" i="67"/>
  <c r="N326" i="67"/>
  <c r="L327" i="67"/>
  <c r="M327" i="67"/>
  <c r="N327" i="67"/>
  <c r="L328" i="67"/>
  <c r="M328" i="67"/>
  <c r="N328" i="67"/>
  <c r="L329" i="67"/>
  <c r="M329" i="67"/>
  <c r="N329" i="67"/>
  <c r="L330" i="67"/>
  <c r="M330" i="67"/>
  <c r="N330" i="67"/>
  <c r="L331" i="67"/>
  <c r="M331" i="67"/>
  <c r="N331" i="67"/>
  <c r="L332" i="67"/>
  <c r="M332" i="67"/>
  <c r="N332" i="67"/>
  <c r="L333" i="67"/>
  <c r="M333" i="67"/>
  <c r="N333" i="67"/>
  <c r="L334" i="67"/>
  <c r="M334" i="67"/>
  <c r="N334" i="67"/>
  <c r="L335" i="67"/>
  <c r="M335" i="67"/>
  <c r="N335" i="67"/>
  <c r="L336" i="67"/>
  <c r="M336" i="67"/>
  <c r="N336" i="67"/>
  <c r="L337" i="67"/>
  <c r="M337" i="67"/>
  <c r="N337" i="67"/>
  <c r="L338" i="67"/>
  <c r="M338" i="67"/>
  <c r="N338" i="67"/>
  <c r="L339" i="67"/>
  <c r="M339" i="67"/>
  <c r="N339" i="67"/>
  <c r="S249" i="67" l="1"/>
  <c r="U236" i="67"/>
  <c r="V236" i="67" s="1"/>
  <c r="W236" i="67" s="1"/>
  <c r="U237" i="67"/>
  <c r="V237" i="67" s="1"/>
  <c r="W237" i="67" s="1"/>
  <c r="U238" i="67"/>
  <c r="V238" i="67" s="1"/>
  <c r="W238" i="67" s="1"/>
  <c r="U239" i="67"/>
  <c r="V239" i="67" s="1"/>
  <c r="W239" i="67" s="1"/>
  <c r="U242" i="67"/>
  <c r="V242" i="67" s="1"/>
  <c r="W242" i="67" s="1"/>
  <c r="U243" i="67"/>
  <c r="V243" i="67" s="1"/>
  <c r="W243" i="67" s="1"/>
  <c r="U244" i="67"/>
  <c r="V244" i="67" s="1"/>
  <c r="W244" i="67" s="1"/>
  <c r="U245" i="67"/>
  <c r="V245" i="67" s="1"/>
  <c r="W245" i="67" s="1"/>
  <c r="U246" i="67"/>
  <c r="V246" i="67" s="1"/>
  <c r="W246" i="67" s="1"/>
  <c r="U247" i="67"/>
  <c r="V247" i="67" s="1"/>
  <c r="W247" i="67" s="1"/>
  <c r="U248" i="67"/>
  <c r="V248" i="67" s="1"/>
  <c r="W248" i="67" s="1"/>
  <c r="U249" i="67"/>
  <c r="V249" i="67" s="1"/>
  <c r="W249" i="67" s="1"/>
  <c r="U250" i="67"/>
  <c r="V250" i="67" s="1"/>
  <c r="W250" i="67" s="1"/>
  <c r="U251" i="67"/>
  <c r="V251" i="67" s="1"/>
  <c r="W251" i="67" s="1"/>
  <c r="U252" i="67"/>
  <c r="V252" i="67" s="1"/>
  <c r="W252" i="67" s="1"/>
  <c r="U253" i="67"/>
  <c r="V253" i="67" s="1"/>
  <c r="W253" i="67" s="1"/>
  <c r="U254" i="67"/>
  <c r="V254" i="67" s="1"/>
  <c r="W254" i="67" s="1"/>
  <c r="U255" i="67"/>
  <c r="V255" i="67" s="1"/>
  <c r="W255" i="67" s="1"/>
  <c r="U256" i="67"/>
  <c r="V256" i="67" s="1"/>
  <c r="W256" i="67" s="1"/>
  <c r="U257" i="67"/>
  <c r="V257" i="67" s="1"/>
  <c r="W257" i="67" s="1"/>
  <c r="U258" i="67"/>
  <c r="V258" i="67" s="1"/>
  <c r="W258" i="67" s="1"/>
  <c r="U259" i="67"/>
  <c r="V259" i="67" s="1"/>
  <c r="W259" i="67" s="1"/>
  <c r="U260" i="67"/>
  <c r="V260" i="67" s="1"/>
  <c r="W260" i="67" s="1"/>
  <c r="U261" i="67"/>
  <c r="V261" i="67" s="1"/>
  <c r="W261" i="67" s="1"/>
  <c r="U262" i="67"/>
  <c r="V262" i="67" s="1"/>
  <c r="W262" i="67" s="1"/>
  <c r="U263" i="67"/>
  <c r="V263" i="67" s="1"/>
  <c r="W263" i="67" s="1"/>
  <c r="U264" i="67"/>
  <c r="V264" i="67" s="1"/>
  <c r="W264" i="67" s="1"/>
  <c r="U265" i="67"/>
  <c r="V265" i="67" s="1"/>
  <c r="W265" i="67" s="1"/>
  <c r="U266" i="67"/>
  <c r="V266" i="67" s="1"/>
  <c r="W266" i="67" s="1"/>
  <c r="U267" i="67"/>
  <c r="V267" i="67" s="1"/>
  <c r="W267" i="67" s="1"/>
  <c r="U268" i="67"/>
  <c r="V268" i="67" s="1"/>
  <c r="W268" i="67" s="1"/>
  <c r="U269" i="67"/>
  <c r="V269" i="67" s="1"/>
  <c r="W269" i="67" s="1"/>
  <c r="U270" i="67"/>
  <c r="V270" i="67" s="1"/>
  <c r="W270" i="67" s="1"/>
  <c r="U271" i="67"/>
  <c r="V271" i="67" s="1"/>
  <c r="W271" i="67" s="1"/>
  <c r="U272" i="67"/>
  <c r="V272" i="67" s="1"/>
  <c r="W272" i="67" s="1"/>
  <c r="U273" i="67"/>
  <c r="V273" i="67" s="1"/>
  <c r="W273" i="67" s="1"/>
  <c r="U274" i="67"/>
  <c r="V274" i="67" s="1"/>
  <c r="W274" i="67" s="1"/>
  <c r="U275" i="67"/>
  <c r="V275" i="67" s="1"/>
  <c r="W275" i="67" s="1"/>
  <c r="U276" i="67"/>
  <c r="V276" i="67" s="1"/>
  <c r="W276" i="67" s="1"/>
  <c r="U277" i="67"/>
  <c r="V277" i="67" s="1"/>
  <c r="W277" i="67" s="1"/>
  <c r="U278" i="67"/>
  <c r="V278" i="67" s="1"/>
  <c r="W278" i="67" s="1"/>
  <c r="U279" i="67"/>
  <c r="V279" i="67" s="1"/>
  <c r="W279" i="67" s="1"/>
  <c r="U280" i="67"/>
  <c r="V280" i="67" s="1"/>
  <c r="W280" i="67" s="1"/>
  <c r="U281" i="67"/>
  <c r="V281" i="67" s="1"/>
  <c r="W281" i="67" s="1"/>
  <c r="U282" i="67"/>
  <c r="V282" i="67" s="1"/>
  <c r="W282" i="67" s="1"/>
  <c r="S274" i="67" l="1"/>
  <c r="S266" i="67"/>
  <c r="S243" i="67"/>
  <c r="S241" i="67"/>
  <c r="S237" i="67"/>
  <c r="S276" i="67"/>
  <c r="S272" i="67"/>
  <c r="S269" i="67"/>
  <c r="S259" i="67"/>
  <c r="S257" i="67"/>
  <c r="S239" i="67"/>
  <c r="L235" i="67"/>
  <c r="M235" i="67"/>
  <c r="N235" i="67"/>
  <c r="L236" i="67"/>
  <c r="M236" i="67"/>
  <c r="N236" i="67"/>
  <c r="L237" i="67"/>
  <c r="M237" i="67"/>
  <c r="N237" i="67"/>
  <c r="L238" i="67"/>
  <c r="M238" i="67"/>
  <c r="N238" i="67"/>
  <c r="L239" i="67"/>
  <c r="M239" i="67"/>
  <c r="N239" i="67"/>
  <c r="L240" i="67"/>
  <c r="M240" i="67"/>
  <c r="N240" i="67"/>
  <c r="L241" i="67"/>
  <c r="M241" i="67"/>
  <c r="N241" i="67"/>
  <c r="L242" i="67"/>
  <c r="M242" i="67"/>
  <c r="N242" i="67"/>
  <c r="L243" i="67"/>
  <c r="M243" i="67"/>
  <c r="N243" i="67"/>
  <c r="L244" i="67"/>
  <c r="M244" i="67"/>
  <c r="N244" i="67"/>
  <c r="L245" i="67"/>
  <c r="M245" i="67"/>
  <c r="N245" i="67"/>
  <c r="L246" i="67"/>
  <c r="M246" i="67"/>
  <c r="N246" i="67"/>
  <c r="L247" i="67"/>
  <c r="M247" i="67"/>
  <c r="N247" i="67"/>
  <c r="L248" i="67"/>
  <c r="M248" i="67"/>
  <c r="N248" i="67"/>
  <c r="L249" i="67"/>
  <c r="M249" i="67"/>
  <c r="N249" i="67"/>
  <c r="L250" i="67"/>
  <c r="M250" i="67"/>
  <c r="N250" i="67"/>
  <c r="L251" i="67"/>
  <c r="M251" i="67"/>
  <c r="N251" i="67"/>
  <c r="L252" i="67"/>
  <c r="M252" i="67"/>
  <c r="N252" i="67"/>
  <c r="L253" i="67"/>
  <c r="M253" i="67"/>
  <c r="N253" i="67"/>
  <c r="L254" i="67"/>
  <c r="M254" i="67"/>
  <c r="N254" i="67"/>
  <c r="L255" i="67"/>
  <c r="M255" i="67"/>
  <c r="N255" i="67"/>
  <c r="L256" i="67"/>
  <c r="M256" i="67"/>
  <c r="N256" i="67"/>
  <c r="L257" i="67"/>
  <c r="M257" i="67"/>
  <c r="N257" i="67"/>
  <c r="L258" i="67"/>
  <c r="M258" i="67"/>
  <c r="N258" i="67"/>
  <c r="L259" i="67"/>
  <c r="M259" i="67"/>
  <c r="N259" i="67"/>
  <c r="L260" i="67"/>
  <c r="M260" i="67"/>
  <c r="N260" i="67"/>
  <c r="L261" i="67"/>
  <c r="M261" i="67"/>
  <c r="N261" i="67"/>
  <c r="L262" i="67"/>
  <c r="M262" i="67"/>
  <c r="N262" i="67"/>
  <c r="L263" i="67"/>
  <c r="M263" i="67"/>
  <c r="N263" i="67"/>
  <c r="L264" i="67"/>
  <c r="M264" i="67"/>
  <c r="N264" i="67"/>
  <c r="L265" i="67"/>
  <c r="M265" i="67"/>
  <c r="N265" i="67"/>
  <c r="L266" i="67"/>
  <c r="M266" i="67"/>
  <c r="N266" i="67"/>
  <c r="L267" i="67"/>
  <c r="M267" i="67"/>
  <c r="N267" i="67"/>
  <c r="L268" i="67"/>
  <c r="M268" i="67"/>
  <c r="N268" i="67"/>
  <c r="L269" i="67"/>
  <c r="M269" i="67"/>
  <c r="N269" i="67"/>
  <c r="L270" i="67"/>
  <c r="M270" i="67"/>
  <c r="N270" i="67"/>
  <c r="L271" i="67"/>
  <c r="M271" i="67"/>
  <c r="N271" i="67"/>
  <c r="L272" i="67"/>
  <c r="M272" i="67"/>
  <c r="N272" i="67"/>
  <c r="L273" i="67"/>
  <c r="M273" i="67"/>
  <c r="N273" i="67"/>
  <c r="L274" i="67"/>
  <c r="M274" i="67"/>
  <c r="N274" i="67"/>
  <c r="L275" i="67"/>
  <c r="M275" i="67"/>
  <c r="N275" i="67"/>
  <c r="L276" i="67"/>
  <c r="M276" i="67"/>
  <c r="N276" i="67"/>
  <c r="L277" i="67"/>
  <c r="M277" i="67"/>
  <c r="N277" i="67"/>
  <c r="L278" i="67"/>
  <c r="M278" i="67"/>
  <c r="N278" i="67"/>
  <c r="L279" i="67"/>
  <c r="M279" i="67"/>
  <c r="N279" i="67"/>
  <c r="L280" i="67"/>
  <c r="M280" i="67"/>
  <c r="N280" i="67"/>
  <c r="L281" i="67"/>
  <c r="M281" i="67"/>
  <c r="N281" i="67"/>
  <c r="L282" i="67"/>
  <c r="M282" i="67"/>
  <c r="N282" i="67"/>
  <c r="AD180" i="67"/>
  <c r="AE180" i="67" s="1"/>
  <c r="AD181" i="67"/>
  <c r="AE181" i="67" s="1"/>
  <c r="AD182" i="67"/>
  <c r="AE182" i="67" s="1"/>
  <c r="AD183" i="67"/>
  <c r="AE183" i="67" s="1"/>
  <c r="AD184" i="67"/>
  <c r="AE184" i="67" s="1"/>
  <c r="AD185" i="67"/>
  <c r="AE185" i="67" s="1"/>
  <c r="AD186" i="67"/>
  <c r="AE186" i="67" s="1"/>
  <c r="AD187" i="67"/>
  <c r="AE187" i="67" s="1"/>
  <c r="AD188" i="67"/>
  <c r="AE188" i="67" s="1"/>
  <c r="AD189" i="67"/>
  <c r="AE189" i="67" s="1"/>
  <c r="AD190" i="67"/>
  <c r="AE190" i="67" s="1"/>
  <c r="AD191" i="67"/>
  <c r="AE191" i="67" s="1"/>
  <c r="AD192" i="67"/>
  <c r="AE192" i="67" s="1"/>
  <c r="AD193" i="67"/>
  <c r="AE193" i="67" s="1"/>
  <c r="AD194" i="67"/>
  <c r="AE194" i="67" s="1"/>
  <c r="AD195" i="67"/>
  <c r="AE195" i="67" s="1"/>
  <c r="AD196" i="67"/>
  <c r="AE196" i="67" s="1"/>
  <c r="AD197" i="67"/>
  <c r="AE197" i="67" s="1"/>
  <c r="AD198" i="67"/>
  <c r="AE198" i="67" s="1"/>
  <c r="AD199" i="67"/>
  <c r="AE199" i="67" s="1"/>
  <c r="AD200" i="67"/>
  <c r="AE200" i="67" s="1"/>
  <c r="AD201" i="67"/>
  <c r="AE201" i="67" s="1"/>
  <c r="AD202" i="67"/>
  <c r="AE202" i="67" s="1"/>
  <c r="AD203" i="67"/>
  <c r="AE203" i="67" s="1"/>
  <c r="AD204" i="67"/>
  <c r="AE204" i="67" s="1"/>
  <c r="AD205" i="67"/>
  <c r="AE205" i="67" s="1"/>
  <c r="AD206" i="67"/>
  <c r="AE206" i="67" s="1"/>
  <c r="AD207" i="67"/>
  <c r="AE207" i="67" s="1"/>
  <c r="AD208" i="67"/>
  <c r="AE208" i="67" s="1"/>
  <c r="U196" i="67" l="1"/>
  <c r="V196" i="67" s="1"/>
  <c r="W196" i="67" s="1"/>
  <c r="U197" i="67"/>
  <c r="V197" i="67" s="1"/>
  <c r="W197" i="67" s="1"/>
  <c r="U198" i="67"/>
  <c r="V198" i="67" s="1"/>
  <c r="W198" i="67" s="1"/>
  <c r="U199" i="67"/>
  <c r="V199" i="67" s="1"/>
  <c r="W199" i="67" s="1"/>
  <c r="U200" i="67"/>
  <c r="V200" i="67" s="1"/>
  <c r="W200" i="67" s="1"/>
  <c r="U201" i="67"/>
  <c r="V201" i="67" s="1"/>
  <c r="W201" i="67" s="1"/>
  <c r="U202" i="67"/>
  <c r="V202" i="67" s="1"/>
  <c r="W202" i="67" s="1"/>
  <c r="U203" i="67"/>
  <c r="V203" i="67" s="1"/>
  <c r="W203" i="67" s="1"/>
  <c r="U204" i="67"/>
  <c r="V204" i="67" s="1"/>
  <c r="W204" i="67" s="1"/>
  <c r="U205" i="67"/>
  <c r="V205" i="67" s="1"/>
  <c r="W205" i="67" s="1"/>
  <c r="U206" i="67"/>
  <c r="V206" i="67" s="1"/>
  <c r="W206" i="67" s="1"/>
  <c r="U207" i="67"/>
  <c r="V207" i="67" s="1"/>
  <c r="W207" i="67" s="1"/>
  <c r="U208" i="67"/>
  <c r="V208" i="67" s="1"/>
  <c r="W208" i="67" s="1"/>
  <c r="U209" i="67"/>
  <c r="V209" i="67" s="1"/>
  <c r="W209" i="67" s="1"/>
  <c r="U210" i="67"/>
  <c r="V210" i="67" s="1"/>
  <c r="W210" i="67" s="1"/>
  <c r="U211" i="67"/>
  <c r="V211" i="67" s="1"/>
  <c r="W211" i="67" s="1"/>
  <c r="U212" i="67"/>
  <c r="V212" i="67" s="1"/>
  <c r="W212" i="67" s="1"/>
  <c r="U213" i="67"/>
  <c r="V213" i="67" s="1"/>
  <c r="W213" i="67" s="1"/>
  <c r="U214" i="67"/>
  <c r="V214" i="67" s="1"/>
  <c r="W214" i="67" s="1"/>
  <c r="U215" i="67"/>
  <c r="V215" i="67" s="1"/>
  <c r="W215" i="67" s="1"/>
  <c r="U216" i="67"/>
  <c r="V216" i="67" s="1"/>
  <c r="W216" i="67" s="1"/>
  <c r="U217" i="67"/>
  <c r="V217" i="67" s="1"/>
  <c r="W217" i="67" s="1"/>
  <c r="U218" i="67"/>
  <c r="V218" i="67" s="1"/>
  <c r="W218" i="67" s="1"/>
  <c r="U219" i="67"/>
  <c r="V219" i="67" s="1"/>
  <c r="W219" i="67" s="1"/>
  <c r="V220" i="67"/>
  <c r="W220" i="67" s="1"/>
  <c r="V221" i="67"/>
  <c r="W221" i="67" s="1"/>
  <c r="V222" i="67"/>
  <c r="W222" i="67" s="1"/>
  <c r="V223" i="67"/>
  <c r="W223" i="67" s="1"/>
  <c r="U224" i="67"/>
  <c r="V224" i="67" s="1"/>
  <c r="W224" i="67" s="1"/>
  <c r="U225" i="67"/>
  <c r="V225" i="67" s="1"/>
  <c r="W225" i="67" s="1"/>
  <c r="U226" i="67"/>
  <c r="V226" i="67" s="1"/>
  <c r="W226" i="67" s="1"/>
  <c r="U227" i="67"/>
  <c r="V227" i="67" s="1"/>
  <c r="W227" i="67" s="1"/>
  <c r="U228" i="67"/>
  <c r="V228" i="67" s="1"/>
  <c r="W228" i="67" s="1"/>
  <c r="U229" i="67"/>
  <c r="V229" i="67" s="1"/>
  <c r="W229" i="67" s="1"/>
  <c r="U230" i="67"/>
  <c r="V230" i="67" s="1"/>
  <c r="W230" i="67" s="1"/>
  <c r="U231" i="67"/>
  <c r="V231" i="67" s="1"/>
  <c r="W231" i="67" s="1"/>
  <c r="U232" i="67"/>
  <c r="V232" i="67" s="1"/>
  <c r="W232" i="67" s="1"/>
  <c r="U233" i="67"/>
  <c r="V233" i="67" s="1"/>
  <c r="W233" i="67" s="1"/>
  <c r="U234" i="67"/>
  <c r="V234" i="67" s="1"/>
  <c r="W234" i="67" s="1"/>
  <c r="S217" i="67" l="1"/>
  <c r="S233" i="67"/>
  <c r="S225" i="67"/>
  <c r="S221" i="67"/>
  <c r="S207" i="67"/>
  <c r="S203" i="67"/>
  <c r="S200" i="67"/>
  <c r="S198" i="67"/>
  <c r="M196" i="67"/>
  <c r="N196" i="67"/>
  <c r="M197" i="67"/>
  <c r="N197" i="67"/>
  <c r="M198" i="67"/>
  <c r="N198" i="67"/>
  <c r="M199" i="67"/>
  <c r="N199" i="67"/>
  <c r="M200" i="67"/>
  <c r="N200" i="67"/>
  <c r="M201" i="67"/>
  <c r="N201" i="67"/>
  <c r="M202" i="67"/>
  <c r="N202" i="67"/>
  <c r="M203" i="67"/>
  <c r="N203" i="67"/>
  <c r="M204" i="67"/>
  <c r="N204" i="67"/>
  <c r="M205" i="67"/>
  <c r="N205" i="67"/>
  <c r="M206" i="67"/>
  <c r="N206" i="67"/>
  <c r="M207" i="67"/>
  <c r="N207" i="67"/>
  <c r="M208" i="67"/>
  <c r="N208" i="67"/>
  <c r="M209" i="67"/>
  <c r="N209" i="67"/>
  <c r="M210" i="67"/>
  <c r="N210" i="67"/>
  <c r="M211" i="67"/>
  <c r="N211" i="67"/>
  <c r="M212" i="67"/>
  <c r="N212" i="67"/>
  <c r="M213" i="67"/>
  <c r="N213" i="67"/>
  <c r="M214" i="67"/>
  <c r="N214" i="67"/>
  <c r="M215" i="67"/>
  <c r="N215" i="67"/>
  <c r="M216" i="67"/>
  <c r="N216" i="67"/>
  <c r="M217" i="67"/>
  <c r="N217" i="67"/>
  <c r="M218" i="67"/>
  <c r="N218" i="67"/>
  <c r="M219" i="67"/>
  <c r="N219" i="67"/>
  <c r="M220" i="67"/>
  <c r="N220" i="67"/>
  <c r="M221" i="67"/>
  <c r="N221" i="67"/>
  <c r="M222" i="67"/>
  <c r="N222" i="67"/>
  <c r="M223" i="67"/>
  <c r="N223" i="67"/>
  <c r="M224" i="67"/>
  <c r="N224" i="67"/>
  <c r="M225" i="67"/>
  <c r="N225" i="67"/>
  <c r="M226" i="67"/>
  <c r="N226" i="67"/>
  <c r="M227" i="67"/>
  <c r="N227" i="67"/>
  <c r="M228" i="67"/>
  <c r="N228" i="67"/>
  <c r="M229" i="67"/>
  <c r="N229" i="67"/>
  <c r="M230" i="67"/>
  <c r="N230" i="67"/>
  <c r="M231" i="67"/>
  <c r="N231" i="67"/>
  <c r="M232" i="67"/>
  <c r="N232" i="67"/>
  <c r="M233" i="67"/>
  <c r="N233" i="67"/>
  <c r="M234" i="67"/>
  <c r="N234" i="67"/>
  <c r="L196" i="67"/>
  <c r="L197" i="67"/>
  <c r="L198" i="67"/>
  <c r="L199" i="67"/>
  <c r="L200" i="67"/>
  <c r="L201" i="67"/>
  <c r="L202" i="67"/>
  <c r="L203" i="67"/>
  <c r="L204" i="67"/>
  <c r="L205" i="67"/>
  <c r="L206" i="67"/>
  <c r="L207" i="67"/>
  <c r="L208" i="67"/>
  <c r="L209" i="67"/>
  <c r="L210" i="67"/>
  <c r="L211" i="67"/>
  <c r="L212" i="67"/>
  <c r="L213" i="67"/>
  <c r="L214" i="67"/>
  <c r="L215" i="67"/>
  <c r="L216" i="67"/>
  <c r="L217" i="67"/>
  <c r="L218" i="67"/>
  <c r="L219" i="67"/>
  <c r="L220" i="67"/>
  <c r="L221" i="67"/>
  <c r="L222" i="67"/>
  <c r="L223" i="67"/>
  <c r="L224" i="67"/>
  <c r="L225" i="67"/>
  <c r="L226" i="67"/>
  <c r="L227" i="67"/>
  <c r="L228" i="67"/>
  <c r="L229" i="67"/>
  <c r="L230" i="67"/>
  <c r="L231" i="67"/>
  <c r="L232" i="67"/>
  <c r="L233" i="67"/>
  <c r="L234" i="67"/>
  <c r="N187" i="67"/>
  <c r="N186" i="67"/>
  <c r="N183" i="67"/>
  <c r="N180" i="67"/>
  <c r="U180" i="67"/>
  <c r="V180" i="67" s="1"/>
  <c r="W180" i="67" s="1"/>
  <c r="U181" i="67"/>
  <c r="V181" i="67" s="1"/>
  <c r="W181" i="67" s="1"/>
  <c r="U182" i="67"/>
  <c r="V182" i="67" s="1"/>
  <c r="W182" i="67" s="1"/>
  <c r="U183" i="67"/>
  <c r="V183" i="67" s="1"/>
  <c r="W183" i="67" s="1"/>
  <c r="U184" i="67"/>
  <c r="V184" i="67" s="1"/>
  <c r="W184" i="67" s="1"/>
  <c r="U185" i="67"/>
  <c r="V185" i="67" s="1"/>
  <c r="W185" i="67" s="1"/>
  <c r="U186" i="67"/>
  <c r="V186" i="67" s="1"/>
  <c r="W186" i="67" s="1"/>
  <c r="U187" i="67"/>
  <c r="V187" i="67" s="1"/>
  <c r="W187" i="67" s="1"/>
  <c r="U188" i="67"/>
  <c r="V188" i="67" s="1"/>
  <c r="W188" i="67" s="1"/>
  <c r="U189" i="67"/>
  <c r="V189" i="67" s="1"/>
  <c r="W189" i="67" s="1"/>
  <c r="U190" i="67"/>
  <c r="V190" i="67" s="1"/>
  <c r="W190" i="67" s="1"/>
  <c r="U191" i="67"/>
  <c r="V191" i="67" s="1"/>
  <c r="W191" i="67" s="1"/>
  <c r="U192" i="67"/>
  <c r="V192" i="67" s="1"/>
  <c r="W192" i="67" s="1"/>
  <c r="U193" i="67"/>
  <c r="V193" i="67" s="1"/>
  <c r="W193" i="67" s="1"/>
  <c r="U194" i="67"/>
  <c r="V194" i="67" s="1"/>
  <c r="W194" i="67" s="1"/>
  <c r="U195" i="67"/>
  <c r="V195" i="67" s="1"/>
  <c r="W195" i="67" s="1"/>
  <c r="S181" i="67"/>
  <c r="S191" i="67"/>
  <c r="L180" i="67"/>
  <c r="M180" i="67"/>
  <c r="L181" i="67"/>
  <c r="M181" i="67"/>
  <c r="L182" i="67"/>
  <c r="M182" i="67"/>
  <c r="N182" i="67"/>
  <c r="L183" i="67"/>
  <c r="M183" i="67"/>
  <c r="L184" i="67"/>
  <c r="M184" i="67"/>
  <c r="N184" i="67"/>
  <c r="L185" i="67"/>
  <c r="M185" i="67"/>
  <c r="N185" i="67"/>
  <c r="L186" i="67"/>
  <c r="M186" i="67"/>
  <c r="L187" i="67"/>
  <c r="M187" i="67"/>
  <c r="L188" i="67"/>
  <c r="M188" i="67"/>
  <c r="N188" i="67"/>
  <c r="L189" i="67"/>
  <c r="M189" i="67"/>
  <c r="N189" i="67"/>
  <c r="L190" i="67"/>
  <c r="M190" i="67"/>
  <c r="N190" i="67"/>
  <c r="L191" i="67"/>
  <c r="M191" i="67"/>
  <c r="L192" i="67"/>
  <c r="M192" i="67"/>
  <c r="N192" i="67"/>
  <c r="L193" i="67"/>
  <c r="M193" i="67"/>
  <c r="N193" i="67"/>
  <c r="L194" i="67"/>
  <c r="M194" i="67"/>
  <c r="N194" i="67"/>
  <c r="L195" i="67"/>
  <c r="M195" i="67"/>
  <c r="N195" i="67"/>
  <c r="AD148" i="67"/>
  <c r="AE148" i="67" s="1"/>
  <c r="AD149" i="67"/>
  <c r="AE149" i="67" s="1"/>
  <c r="AD150" i="67"/>
  <c r="AE150" i="67" s="1"/>
  <c r="AD151" i="67"/>
  <c r="AE151" i="67" s="1"/>
  <c r="AD152" i="67"/>
  <c r="AE152" i="67" s="1"/>
  <c r="AD153" i="67"/>
  <c r="AE153" i="67" s="1"/>
  <c r="AD154" i="67"/>
  <c r="AE154" i="67" s="1"/>
  <c r="AD155" i="67"/>
  <c r="AE155" i="67" s="1"/>
  <c r="AD156" i="67"/>
  <c r="AE156" i="67" s="1"/>
  <c r="AD157" i="67"/>
  <c r="AE157" i="67" s="1"/>
  <c r="AD158" i="67"/>
  <c r="AE158" i="67" s="1"/>
  <c r="AD159" i="67"/>
  <c r="AE159" i="67" s="1"/>
  <c r="AD160" i="67"/>
  <c r="AE160" i="67" s="1"/>
  <c r="AD161" i="67"/>
  <c r="AE161" i="67" s="1"/>
  <c r="AD162" i="67"/>
  <c r="AE162" i="67" s="1"/>
  <c r="AD163" i="67"/>
  <c r="AE163" i="67" s="1"/>
  <c r="AD164" i="67"/>
  <c r="AE164" i="67" s="1"/>
  <c r="AD165" i="67"/>
  <c r="AE165" i="67" s="1"/>
  <c r="AD166" i="67"/>
  <c r="AE166" i="67" s="1"/>
  <c r="AD167" i="67"/>
  <c r="AE167" i="67" s="1"/>
  <c r="AD168" i="67"/>
  <c r="AE168" i="67" s="1"/>
  <c r="AD169" i="67"/>
  <c r="AE169" i="67" s="1"/>
  <c r="AD170" i="67"/>
  <c r="AE170" i="67" s="1"/>
  <c r="AD171" i="67"/>
  <c r="AE171" i="67" s="1"/>
  <c r="AD172" i="67"/>
  <c r="AE172" i="67" s="1"/>
  <c r="AD173" i="67"/>
  <c r="AE173" i="67" s="1"/>
  <c r="AD174" i="67"/>
  <c r="AE174" i="67" s="1"/>
  <c r="AD175" i="67"/>
  <c r="AE175" i="67" s="1"/>
  <c r="AD176" i="67"/>
  <c r="AE176" i="67" s="1"/>
  <c r="AD177" i="67"/>
  <c r="AE177" i="67" s="1"/>
  <c r="AD178" i="67"/>
  <c r="AE178" i="67" s="1"/>
  <c r="AD179" i="67"/>
  <c r="AE179" i="67" s="1"/>
  <c r="N191" i="67" l="1"/>
  <c r="N181" i="67"/>
  <c r="U115" i="67"/>
  <c r="S65" i="67" l="1"/>
  <c r="S31" i="67"/>
  <c r="S27" i="67"/>
  <c r="S29" i="67"/>
  <c r="U55" i="67"/>
  <c r="U54" i="67"/>
  <c r="AK1544" i="69" l="1"/>
  <c r="AG1544" i="69"/>
  <c r="AD1544" i="69"/>
  <c r="AE1544" i="69" s="1"/>
  <c r="P1544" i="69"/>
  <c r="U1544" i="69" s="1"/>
  <c r="V1544" i="69" s="1"/>
  <c r="W1544" i="69" s="1"/>
  <c r="AK1543" i="69"/>
  <c r="AG1543" i="69"/>
  <c r="AD1543" i="69"/>
  <c r="AE1543" i="69" s="1"/>
  <c r="P1543" i="69"/>
  <c r="U1543" i="69" s="1"/>
  <c r="V1543" i="69" s="1"/>
  <c r="W1543" i="69" s="1"/>
  <c r="AK1542" i="69"/>
  <c r="AG1542" i="69"/>
  <c r="AD1542" i="69"/>
  <c r="AE1542" i="69" s="1"/>
  <c r="P1542" i="69"/>
  <c r="U1542" i="69" s="1"/>
  <c r="V1542" i="69" s="1"/>
  <c r="W1542" i="69" s="1"/>
  <c r="AK1541" i="69"/>
  <c r="AG1541" i="69"/>
  <c r="AD1541" i="69"/>
  <c r="AE1541" i="69" s="1"/>
  <c r="P1541" i="69"/>
  <c r="U1541" i="69" s="1"/>
  <c r="V1541" i="69" s="1"/>
  <c r="W1541" i="69" s="1"/>
  <c r="AK1540" i="69"/>
  <c r="AG1540" i="69"/>
  <c r="AD1540" i="69"/>
  <c r="AE1540" i="69" s="1"/>
  <c r="P1540" i="69"/>
  <c r="U1540" i="69" s="1"/>
  <c r="V1540" i="69" s="1"/>
  <c r="W1540" i="69" s="1"/>
  <c r="AK1539" i="69"/>
  <c r="AG1539" i="69"/>
  <c r="AD1539" i="69"/>
  <c r="AE1539" i="69" s="1"/>
  <c r="P1539" i="69"/>
  <c r="U1539" i="69" s="1"/>
  <c r="V1539" i="69" s="1"/>
  <c r="W1539" i="69" s="1"/>
  <c r="AK1538" i="69"/>
  <c r="AG1538" i="69"/>
  <c r="AD1538" i="69"/>
  <c r="AE1538" i="69" s="1"/>
  <c r="P1538" i="69"/>
  <c r="U1538" i="69" s="1"/>
  <c r="V1538" i="69" s="1"/>
  <c r="W1538" i="69" s="1"/>
  <c r="AK1537" i="69"/>
  <c r="AG1537" i="69"/>
  <c r="AD1537" i="69"/>
  <c r="AE1537" i="69" s="1"/>
  <c r="P1537" i="69"/>
  <c r="U1537" i="69" s="1"/>
  <c r="V1537" i="69" s="1"/>
  <c r="W1537" i="69" s="1"/>
  <c r="AK1536" i="69"/>
  <c r="AG1536" i="69"/>
  <c r="AD1536" i="69"/>
  <c r="AE1536" i="69" s="1"/>
  <c r="P1536" i="69"/>
  <c r="U1536" i="69" s="1"/>
  <c r="V1536" i="69" s="1"/>
  <c r="W1536" i="69" s="1"/>
  <c r="AK1535" i="69"/>
  <c r="AG1535" i="69"/>
  <c r="AD1535" i="69"/>
  <c r="AE1535" i="69" s="1"/>
  <c r="P1535" i="69"/>
  <c r="U1535" i="69" s="1"/>
  <c r="V1535" i="69" s="1"/>
  <c r="W1535" i="69" s="1"/>
  <c r="AK1534" i="69"/>
  <c r="AG1534" i="69"/>
  <c r="AD1534" i="69"/>
  <c r="AE1534" i="69" s="1"/>
  <c r="P1534" i="69"/>
  <c r="U1534" i="69" s="1"/>
  <c r="V1534" i="69" s="1"/>
  <c r="W1534" i="69" s="1"/>
  <c r="AK1533" i="69"/>
  <c r="AG1533" i="69"/>
  <c r="AD1533" i="69"/>
  <c r="AE1533" i="69" s="1"/>
  <c r="P1533" i="69"/>
  <c r="U1533" i="69" s="1"/>
  <c r="V1533" i="69" s="1"/>
  <c r="W1533" i="69" s="1"/>
  <c r="AK1532" i="69"/>
  <c r="AG1532" i="69"/>
  <c r="AD1532" i="69"/>
  <c r="AE1532" i="69" s="1"/>
  <c r="S1532" i="69"/>
  <c r="P1532" i="69"/>
  <c r="U1532" i="69" s="1"/>
  <c r="V1532" i="69" s="1"/>
  <c r="W1532" i="69" s="1"/>
  <c r="AK1531" i="69"/>
  <c r="AG1531" i="69"/>
  <c r="AD1531" i="69"/>
  <c r="AE1531" i="69" s="1"/>
  <c r="P1531" i="69"/>
  <c r="U1531" i="69" s="1"/>
  <c r="V1531" i="69" s="1"/>
  <c r="W1531" i="69" s="1"/>
  <c r="AK1530" i="69"/>
  <c r="AG1530" i="69"/>
  <c r="AD1530" i="69"/>
  <c r="AE1530" i="69" s="1"/>
  <c r="P1530" i="69"/>
  <c r="U1530" i="69" s="1"/>
  <c r="V1530" i="69" s="1"/>
  <c r="W1530" i="69" s="1"/>
  <c r="AK1529" i="69"/>
  <c r="AG1529" i="69"/>
  <c r="AD1529" i="69"/>
  <c r="AE1529" i="69" s="1"/>
  <c r="P1529" i="69"/>
  <c r="U1529" i="69" s="1"/>
  <c r="V1529" i="69" s="1"/>
  <c r="W1529" i="69" s="1"/>
  <c r="AK1528" i="69"/>
  <c r="AG1528" i="69"/>
  <c r="AD1528" i="69"/>
  <c r="AE1528" i="69" s="1"/>
  <c r="P1528" i="69"/>
  <c r="U1528" i="69" s="1"/>
  <c r="V1528" i="69" s="1"/>
  <c r="W1528" i="69" s="1"/>
  <c r="AK1527" i="69"/>
  <c r="AG1527" i="69"/>
  <c r="AD1527" i="69"/>
  <c r="AE1527" i="69" s="1"/>
  <c r="P1527" i="69"/>
  <c r="U1527" i="69" s="1"/>
  <c r="V1527" i="69" s="1"/>
  <c r="W1527" i="69" s="1"/>
  <c r="AK1526" i="69"/>
  <c r="AG1526" i="69"/>
  <c r="AD1526" i="69"/>
  <c r="AE1526" i="69" s="1"/>
  <c r="P1526" i="69"/>
  <c r="U1526" i="69" s="1"/>
  <c r="V1526" i="69" s="1"/>
  <c r="W1526" i="69" s="1"/>
  <c r="AK1525" i="69"/>
  <c r="AG1525" i="69"/>
  <c r="AD1525" i="69"/>
  <c r="AE1525" i="69" s="1"/>
  <c r="P1525" i="69"/>
  <c r="U1525" i="69" s="1"/>
  <c r="V1525" i="69" s="1"/>
  <c r="W1525" i="69" s="1"/>
  <c r="AK1524" i="69"/>
  <c r="AG1524" i="69"/>
  <c r="AD1524" i="69"/>
  <c r="AE1524" i="69" s="1"/>
  <c r="P1524" i="69"/>
  <c r="U1524" i="69" s="1"/>
  <c r="V1524" i="69" s="1"/>
  <c r="W1524" i="69" s="1"/>
  <c r="AK1523" i="69"/>
  <c r="AG1523" i="69"/>
  <c r="AD1523" i="69"/>
  <c r="AE1523" i="69" s="1"/>
  <c r="P1523" i="69"/>
  <c r="U1523" i="69" s="1"/>
  <c r="V1523" i="69" s="1"/>
  <c r="W1523" i="69" s="1"/>
  <c r="AK1522" i="69"/>
  <c r="AG1522" i="69"/>
  <c r="AD1522" i="69"/>
  <c r="AE1522" i="69" s="1"/>
  <c r="P1522" i="69"/>
  <c r="U1522" i="69" s="1"/>
  <c r="V1522" i="69" s="1"/>
  <c r="W1522" i="69" s="1"/>
  <c r="AK1521" i="69"/>
  <c r="AG1521" i="69"/>
  <c r="AD1521" i="69"/>
  <c r="AE1521" i="69" s="1"/>
  <c r="P1521" i="69"/>
  <c r="U1521" i="69" s="1"/>
  <c r="V1521" i="69" s="1"/>
  <c r="W1521" i="69" s="1"/>
  <c r="AK1520" i="69"/>
  <c r="AG1520" i="69"/>
  <c r="AD1520" i="69"/>
  <c r="AE1520" i="69" s="1"/>
  <c r="P1520" i="69"/>
  <c r="U1520" i="69" s="1"/>
  <c r="V1520" i="69" s="1"/>
  <c r="W1520" i="69" s="1"/>
  <c r="AK1519" i="69"/>
  <c r="AG1519" i="69"/>
  <c r="AD1519" i="69"/>
  <c r="AE1519" i="69" s="1"/>
  <c r="P1519" i="69"/>
  <c r="U1519" i="69" s="1"/>
  <c r="V1519" i="69" s="1"/>
  <c r="W1519" i="69" s="1"/>
  <c r="AK1518" i="69"/>
  <c r="AG1518" i="69"/>
  <c r="AD1518" i="69"/>
  <c r="AE1518" i="69" s="1"/>
  <c r="S1518" i="69"/>
  <c r="P1518" i="69"/>
  <c r="U1518" i="69" s="1"/>
  <c r="V1518" i="69" s="1"/>
  <c r="W1518" i="69" s="1"/>
  <c r="AK1517" i="69"/>
  <c r="AG1517" i="69"/>
  <c r="AD1517" i="69"/>
  <c r="AE1517" i="69" s="1"/>
  <c r="P1517" i="69"/>
  <c r="U1517" i="69" s="1"/>
  <c r="V1517" i="69" s="1"/>
  <c r="W1517" i="69" s="1"/>
  <c r="AK1516" i="69"/>
  <c r="AG1516" i="69"/>
  <c r="AD1516" i="69"/>
  <c r="AE1516" i="69" s="1"/>
  <c r="U1516" i="69"/>
  <c r="V1516" i="69" s="1"/>
  <c r="W1516" i="69" s="1"/>
  <c r="AK1515" i="69"/>
  <c r="AG1515" i="69"/>
  <c r="AD1515" i="69"/>
  <c r="AE1515" i="69" s="1"/>
  <c r="U1515" i="69"/>
  <c r="V1515" i="69" s="1"/>
  <c r="W1515" i="69" s="1"/>
  <c r="AK1514" i="69"/>
  <c r="AG1514" i="69"/>
  <c r="AD1514" i="69"/>
  <c r="AE1514" i="69" s="1"/>
  <c r="U1514" i="69"/>
  <c r="V1514" i="69" s="1"/>
  <c r="W1514" i="69" s="1"/>
  <c r="AK1513" i="69"/>
  <c r="AG1513" i="69"/>
  <c r="AD1513" i="69"/>
  <c r="AE1513" i="69" s="1"/>
  <c r="U1513" i="69"/>
  <c r="V1513" i="69" s="1"/>
  <c r="W1513" i="69" s="1"/>
  <c r="AK1512" i="69"/>
  <c r="AG1512" i="69"/>
  <c r="AD1512" i="69"/>
  <c r="AE1512" i="69" s="1"/>
  <c r="U1512" i="69"/>
  <c r="V1512" i="69" s="1"/>
  <c r="W1512" i="69" s="1"/>
  <c r="AK1511" i="69"/>
  <c r="AG1511" i="69"/>
  <c r="AD1511" i="69"/>
  <c r="AE1511" i="69" s="1"/>
  <c r="P1511" i="69"/>
  <c r="U1511" i="69" s="1"/>
  <c r="V1511" i="69" s="1"/>
  <c r="W1511" i="69" s="1"/>
  <c r="AK1510" i="69"/>
  <c r="AG1510" i="69"/>
  <c r="AD1510" i="69"/>
  <c r="AE1510" i="69" s="1"/>
  <c r="P1510" i="69"/>
  <c r="U1510" i="69" s="1"/>
  <c r="V1510" i="69" s="1"/>
  <c r="W1510" i="69" s="1"/>
  <c r="AK1509" i="69"/>
  <c r="AG1509" i="69"/>
  <c r="AD1509" i="69"/>
  <c r="AE1509" i="69" s="1"/>
  <c r="P1509" i="69"/>
  <c r="U1509" i="69" s="1"/>
  <c r="V1509" i="69" s="1"/>
  <c r="W1509" i="69" s="1"/>
  <c r="AK1508" i="69"/>
  <c r="AG1508" i="69"/>
  <c r="AD1508" i="69"/>
  <c r="AE1508" i="69" s="1"/>
  <c r="P1508" i="69"/>
  <c r="U1508" i="69" s="1"/>
  <c r="V1508" i="69" s="1"/>
  <c r="W1508" i="69" s="1"/>
  <c r="AK1507" i="69"/>
  <c r="AG1507" i="69"/>
  <c r="AD1507" i="69"/>
  <c r="AE1507" i="69" s="1"/>
  <c r="P1507" i="69"/>
  <c r="U1507" i="69" s="1"/>
  <c r="V1507" i="69" s="1"/>
  <c r="W1507" i="69" s="1"/>
  <c r="AK1506" i="69"/>
  <c r="AG1506" i="69"/>
  <c r="AD1506" i="69"/>
  <c r="AE1506" i="69" s="1"/>
  <c r="U1506" i="69"/>
  <c r="V1506" i="69" s="1"/>
  <c r="W1506" i="69" s="1"/>
  <c r="AK1505" i="69"/>
  <c r="AG1505" i="69"/>
  <c r="AD1505" i="69"/>
  <c r="AE1505" i="69" s="1"/>
  <c r="U1505" i="69"/>
  <c r="V1505" i="69" s="1"/>
  <c r="W1505" i="69" s="1"/>
  <c r="AK1504" i="69"/>
  <c r="AG1504" i="69"/>
  <c r="AD1504" i="69"/>
  <c r="AE1504" i="69" s="1"/>
  <c r="U1504" i="69"/>
  <c r="V1504" i="69" s="1"/>
  <c r="W1504" i="69" s="1"/>
  <c r="AK1503" i="69"/>
  <c r="AG1503" i="69"/>
  <c r="AD1503" i="69"/>
  <c r="AE1503" i="69" s="1"/>
  <c r="U1503" i="69"/>
  <c r="V1503" i="69" s="1"/>
  <c r="W1503" i="69" s="1"/>
  <c r="AK1502" i="69"/>
  <c r="AG1502" i="69"/>
  <c r="AD1502" i="69"/>
  <c r="AE1502" i="69" s="1"/>
  <c r="U1502" i="69"/>
  <c r="V1502" i="69" s="1"/>
  <c r="W1502" i="69" s="1"/>
  <c r="AK1501" i="69"/>
  <c r="AG1501" i="69"/>
  <c r="AD1501" i="69"/>
  <c r="AE1501" i="69" s="1"/>
  <c r="U1501" i="69"/>
  <c r="V1501" i="69" s="1"/>
  <c r="W1501" i="69" s="1"/>
  <c r="AK1500" i="69"/>
  <c r="AG1500" i="69"/>
  <c r="AD1500" i="69"/>
  <c r="AE1500" i="69" s="1"/>
  <c r="U1500" i="69"/>
  <c r="V1500" i="69" s="1"/>
  <c r="W1500" i="69" s="1"/>
  <c r="AK1499" i="69"/>
  <c r="AG1499" i="69"/>
  <c r="AD1499" i="69"/>
  <c r="AE1499" i="69" s="1"/>
  <c r="U1499" i="69"/>
  <c r="V1499" i="69" s="1"/>
  <c r="W1499" i="69" s="1"/>
  <c r="AK1498" i="69"/>
  <c r="AG1498" i="69"/>
  <c r="AD1498" i="69"/>
  <c r="AE1498" i="69" s="1"/>
  <c r="U1498" i="69"/>
  <c r="V1498" i="69" s="1"/>
  <c r="W1498" i="69" s="1"/>
  <c r="AK1497" i="69"/>
  <c r="AG1497" i="69"/>
  <c r="AD1497" i="69"/>
  <c r="AE1497" i="69" s="1"/>
  <c r="U1497" i="69"/>
  <c r="V1497" i="69" s="1"/>
  <c r="W1497" i="69" s="1"/>
  <c r="S1497" i="69"/>
  <c r="AK1496" i="69"/>
  <c r="AG1496" i="69"/>
  <c r="AD1496" i="69"/>
  <c r="AE1496" i="69" s="1"/>
  <c r="U1496" i="69"/>
  <c r="V1496" i="69" s="1"/>
  <c r="W1496" i="69" s="1"/>
  <c r="AK1495" i="69"/>
  <c r="AG1495" i="69"/>
  <c r="AD1495" i="69"/>
  <c r="AE1495" i="69" s="1"/>
  <c r="U1495" i="69"/>
  <c r="V1495" i="69" s="1"/>
  <c r="W1495" i="69" s="1"/>
  <c r="AK1494" i="69"/>
  <c r="AG1494" i="69"/>
  <c r="AD1494" i="69"/>
  <c r="AE1494" i="69" s="1"/>
  <c r="U1494" i="69"/>
  <c r="V1494" i="69" s="1"/>
  <c r="W1494" i="69" s="1"/>
  <c r="AK1493" i="69"/>
  <c r="AG1493" i="69"/>
  <c r="AD1493" i="69"/>
  <c r="AE1493" i="69" s="1"/>
  <c r="U1493" i="69"/>
  <c r="V1493" i="69" s="1"/>
  <c r="W1493" i="69" s="1"/>
  <c r="AK1492" i="69"/>
  <c r="AG1492" i="69"/>
  <c r="AD1492" i="69"/>
  <c r="AE1492" i="69" s="1"/>
  <c r="U1492" i="69"/>
  <c r="V1492" i="69" s="1"/>
  <c r="W1492" i="69" s="1"/>
  <c r="AK1491" i="69"/>
  <c r="AG1491" i="69"/>
  <c r="AD1491" i="69"/>
  <c r="AE1491" i="69" s="1"/>
  <c r="U1491" i="69"/>
  <c r="V1491" i="69" s="1"/>
  <c r="W1491" i="69" s="1"/>
  <c r="AK1490" i="69"/>
  <c r="AG1490" i="69"/>
  <c r="AD1490" i="69"/>
  <c r="AE1490" i="69" s="1"/>
  <c r="U1490" i="69"/>
  <c r="V1490" i="69" s="1"/>
  <c r="W1490" i="69" s="1"/>
  <c r="AK1489" i="69"/>
  <c r="AG1489" i="69"/>
  <c r="AD1489" i="69"/>
  <c r="AE1489" i="69" s="1"/>
  <c r="U1489" i="69"/>
  <c r="V1489" i="69" s="1"/>
  <c r="W1489" i="69" s="1"/>
  <c r="AK1488" i="69"/>
  <c r="AG1488" i="69"/>
  <c r="AD1488" i="69"/>
  <c r="AE1488" i="69" s="1"/>
  <c r="U1488" i="69"/>
  <c r="V1488" i="69" s="1"/>
  <c r="W1488" i="69" s="1"/>
  <c r="AK1487" i="69"/>
  <c r="AG1487" i="69"/>
  <c r="AD1487" i="69"/>
  <c r="AE1487" i="69" s="1"/>
  <c r="U1487" i="69"/>
  <c r="V1487" i="69" s="1"/>
  <c r="W1487" i="69" s="1"/>
  <c r="AK1486" i="69"/>
  <c r="AG1486" i="69"/>
  <c r="AD1486" i="69"/>
  <c r="AE1486" i="69" s="1"/>
  <c r="U1486" i="69"/>
  <c r="V1486" i="69" s="1"/>
  <c r="W1486" i="69" s="1"/>
  <c r="S1486" i="69"/>
  <c r="AK1485" i="69"/>
  <c r="AG1485" i="69"/>
  <c r="AD1485" i="69"/>
  <c r="AE1485" i="69" s="1"/>
  <c r="U1485" i="69"/>
  <c r="V1485" i="69" s="1"/>
  <c r="W1485" i="69" s="1"/>
  <c r="AK1484" i="69"/>
  <c r="AG1484" i="69"/>
  <c r="AD1484" i="69"/>
  <c r="AE1484" i="69" s="1"/>
  <c r="U1484" i="69"/>
  <c r="V1484" i="69" s="1"/>
  <c r="W1484" i="69" s="1"/>
  <c r="AK1483" i="69"/>
  <c r="AG1483" i="69"/>
  <c r="AD1483" i="69"/>
  <c r="AE1483" i="69" s="1"/>
  <c r="U1483" i="69"/>
  <c r="V1483" i="69" s="1"/>
  <c r="W1483" i="69" s="1"/>
  <c r="AK1482" i="69"/>
  <c r="AG1482" i="69"/>
  <c r="AD1482" i="69"/>
  <c r="AE1482" i="69" s="1"/>
  <c r="U1482" i="69"/>
  <c r="V1482" i="69" s="1"/>
  <c r="W1482" i="69" s="1"/>
  <c r="AK1481" i="69"/>
  <c r="AG1481" i="69"/>
  <c r="AD1481" i="69"/>
  <c r="AE1481" i="69" s="1"/>
  <c r="U1481" i="69"/>
  <c r="V1481" i="69" s="1"/>
  <c r="W1481" i="69" s="1"/>
  <c r="AK1480" i="69"/>
  <c r="AG1480" i="69"/>
  <c r="AD1480" i="69"/>
  <c r="AE1480" i="69" s="1"/>
  <c r="U1480" i="69"/>
  <c r="V1480" i="69" s="1"/>
  <c r="W1480" i="69" s="1"/>
  <c r="AK1479" i="69"/>
  <c r="AG1479" i="69"/>
  <c r="AD1479" i="69"/>
  <c r="AE1479" i="69" s="1"/>
  <c r="U1479" i="69"/>
  <c r="V1479" i="69" s="1"/>
  <c r="W1479" i="69" s="1"/>
  <c r="AK1478" i="69"/>
  <c r="AG1478" i="69"/>
  <c r="AD1478" i="69"/>
  <c r="AE1478" i="69" s="1"/>
  <c r="U1478" i="69"/>
  <c r="V1478" i="69" s="1"/>
  <c r="W1478" i="69" s="1"/>
  <c r="S1478" i="69"/>
  <c r="AK1477" i="69"/>
  <c r="AG1477" i="69"/>
  <c r="AD1477" i="69"/>
  <c r="AE1477" i="69" s="1"/>
  <c r="U1477" i="69"/>
  <c r="V1477" i="69" s="1"/>
  <c r="W1477" i="69" s="1"/>
  <c r="AK1476" i="69"/>
  <c r="AG1476" i="69"/>
  <c r="AD1476" i="69"/>
  <c r="AE1476" i="69" s="1"/>
  <c r="U1476" i="69"/>
  <c r="V1476" i="69" s="1"/>
  <c r="W1476" i="69" s="1"/>
  <c r="AK1475" i="69"/>
  <c r="AG1475" i="69"/>
  <c r="AD1475" i="69"/>
  <c r="AE1475" i="69" s="1"/>
  <c r="U1475" i="69"/>
  <c r="V1475" i="69" s="1"/>
  <c r="W1475" i="69" s="1"/>
  <c r="AK1474" i="69"/>
  <c r="AG1474" i="69"/>
  <c r="AD1474" i="69"/>
  <c r="AE1474" i="69" s="1"/>
  <c r="U1474" i="69"/>
  <c r="V1474" i="69" s="1"/>
  <c r="W1474" i="69" s="1"/>
  <c r="AK1473" i="69"/>
  <c r="AG1473" i="69"/>
  <c r="AD1473" i="69"/>
  <c r="AE1473" i="69" s="1"/>
  <c r="U1473" i="69"/>
  <c r="V1473" i="69" s="1"/>
  <c r="W1473" i="69" s="1"/>
  <c r="AK1472" i="69"/>
  <c r="AG1472" i="69"/>
  <c r="AD1472" i="69"/>
  <c r="AE1472" i="69" s="1"/>
  <c r="U1472" i="69"/>
  <c r="V1472" i="69" s="1"/>
  <c r="W1472" i="69" s="1"/>
  <c r="AK1471" i="69"/>
  <c r="AG1471" i="69"/>
  <c r="AD1471" i="69"/>
  <c r="AE1471" i="69" s="1"/>
  <c r="U1471" i="69"/>
  <c r="V1471" i="69" s="1"/>
  <c r="W1471" i="69" s="1"/>
  <c r="AK1470" i="69"/>
  <c r="AG1470" i="69"/>
  <c r="AD1470" i="69"/>
  <c r="AE1470" i="69" s="1"/>
  <c r="U1470" i="69"/>
  <c r="V1470" i="69" s="1"/>
  <c r="W1470" i="69" s="1"/>
  <c r="S1470" i="69"/>
  <c r="AK1469" i="69"/>
  <c r="AG1469" i="69"/>
  <c r="AD1469" i="69"/>
  <c r="AE1469" i="69" s="1"/>
  <c r="U1469" i="69"/>
  <c r="V1469" i="69" s="1"/>
  <c r="W1469" i="69" s="1"/>
  <c r="AK1468" i="69"/>
  <c r="AG1468" i="69"/>
  <c r="AD1468" i="69"/>
  <c r="AE1468" i="69" s="1"/>
  <c r="P1468" i="69"/>
  <c r="U1468" i="69" s="1"/>
  <c r="V1468" i="69" s="1"/>
  <c r="W1468" i="69" s="1"/>
  <c r="AK1467" i="69"/>
  <c r="AG1467" i="69"/>
  <c r="AD1467" i="69"/>
  <c r="AE1467" i="69" s="1"/>
  <c r="S1467" i="69"/>
  <c r="P1467" i="69"/>
  <c r="U1467" i="69" s="1"/>
  <c r="V1467" i="69" s="1"/>
  <c r="W1467" i="69" s="1"/>
  <c r="AK1466" i="69"/>
  <c r="AG1466" i="69"/>
  <c r="AD1466" i="69"/>
  <c r="AE1466" i="69" s="1"/>
  <c r="P1466" i="69"/>
  <c r="U1466" i="69" s="1"/>
  <c r="V1466" i="69" s="1"/>
  <c r="W1466" i="69" s="1"/>
  <c r="AK1465" i="69"/>
  <c r="AG1465" i="69"/>
  <c r="AD1465" i="69"/>
  <c r="AE1465" i="69" s="1"/>
  <c r="U1465" i="69"/>
  <c r="V1465" i="69" s="1"/>
  <c r="W1465" i="69" s="1"/>
  <c r="AK1464" i="69"/>
  <c r="AG1464" i="69"/>
  <c r="AD1464" i="69"/>
  <c r="AE1464" i="69" s="1"/>
  <c r="U1464" i="69"/>
  <c r="V1464" i="69" s="1"/>
  <c r="W1464" i="69" s="1"/>
  <c r="AK1463" i="69"/>
  <c r="AG1463" i="69"/>
  <c r="AD1463" i="69"/>
  <c r="AE1463" i="69" s="1"/>
  <c r="U1463" i="69"/>
  <c r="V1463" i="69" s="1"/>
  <c r="W1463" i="69" s="1"/>
  <c r="S1463" i="69"/>
  <c r="AK1462" i="69"/>
  <c r="AG1462" i="69"/>
  <c r="AD1462" i="69"/>
  <c r="AE1462" i="69" s="1"/>
  <c r="U1462" i="69"/>
  <c r="V1462" i="69" s="1"/>
  <c r="W1462" i="69" s="1"/>
  <c r="AK1461" i="69"/>
  <c r="AG1461" i="69"/>
  <c r="AD1461" i="69"/>
  <c r="AE1461" i="69" s="1"/>
  <c r="U1461" i="69"/>
  <c r="V1461" i="69" s="1"/>
  <c r="W1461" i="69" s="1"/>
  <c r="AK1460" i="69"/>
  <c r="AG1460" i="69"/>
  <c r="AD1460" i="69"/>
  <c r="AE1460" i="69" s="1"/>
  <c r="U1460" i="69"/>
  <c r="V1460" i="69" s="1"/>
  <c r="W1460" i="69" s="1"/>
  <c r="AK1459" i="69"/>
  <c r="AG1459" i="69"/>
  <c r="AD1459" i="69"/>
  <c r="AE1459" i="69" s="1"/>
  <c r="U1459" i="69"/>
  <c r="V1459" i="69" s="1"/>
  <c r="W1459" i="69" s="1"/>
  <c r="AK1458" i="69"/>
  <c r="AG1458" i="69"/>
  <c r="AD1458" i="69"/>
  <c r="AE1458" i="69" s="1"/>
  <c r="U1458" i="69"/>
  <c r="V1458" i="69" s="1"/>
  <c r="W1458" i="69" s="1"/>
  <c r="AK1457" i="69"/>
  <c r="AG1457" i="69"/>
  <c r="AD1457" i="69"/>
  <c r="AE1457" i="69" s="1"/>
  <c r="U1457" i="69"/>
  <c r="V1457" i="69" s="1"/>
  <c r="W1457" i="69" s="1"/>
  <c r="AK1456" i="69"/>
  <c r="AG1456" i="69"/>
  <c r="AD1456" i="69"/>
  <c r="AE1456" i="69" s="1"/>
  <c r="U1456" i="69"/>
  <c r="V1456" i="69" s="1"/>
  <c r="W1456" i="69" s="1"/>
  <c r="S1456" i="69"/>
  <c r="AK1455" i="69"/>
  <c r="AG1455" i="69"/>
  <c r="AD1455" i="69"/>
  <c r="AE1455" i="69" s="1"/>
  <c r="U1455" i="69"/>
  <c r="V1455" i="69" s="1"/>
  <c r="W1455" i="69" s="1"/>
  <c r="AK1454" i="69"/>
  <c r="AG1454" i="69"/>
  <c r="AD1454" i="69"/>
  <c r="AE1454" i="69" s="1"/>
  <c r="U1454" i="69"/>
  <c r="V1454" i="69" s="1"/>
  <c r="W1454" i="69" s="1"/>
  <c r="AK1453" i="69"/>
  <c r="AG1453" i="69"/>
  <c r="AD1453" i="69"/>
  <c r="AE1453" i="69" s="1"/>
  <c r="U1453" i="69"/>
  <c r="V1453" i="69" s="1"/>
  <c r="W1453" i="69" s="1"/>
  <c r="AK1452" i="69"/>
  <c r="AG1452" i="69"/>
  <c r="AD1452" i="69"/>
  <c r="AE1452" i="69" s="1"/>
  <c r="U1452" i="69"/>
  <c r="V1452" i="69" s="1"/>
  <c r="W1452" i="69" s="1"/>
  <c r="AK1451" i="69"/>
  <c r="AG1451" i="69"/>
  <c r="AD1451" i="69"/>
  <c r="AE1451" i="69" s="1"/>
  <c r="U1451" i="69"/>
  <c r="V1451" i="69" s="1"/>
  <c r="W1451" i="69" s="1"/>
  <c r="S1451" i="69"/>
  <c r="AK1450" i="69"/>
  <c r="AG1450" i="69"/>
  <c r="AD1450" i="69"/>
  <c r="AE1450" i="69" s="1"/>
  <c r="U1450" i="69"/>
  <c r="V1450" i="69" s="1"/>
  <c r="W1450" i="69" s="1"/>
  <c r="AK1449" i="69"/>
  <c r="AG1449" i="69"/>
  <c r="AD1449" i="69"/>
  <c r="AE1449" i="69" s="1"/>
  <c r="U1449" i="69"/>
  <c r="V1449" i="69" s="1"/>
  <c r="W1449" i="69" s="1"/>
  <c r="AK1448" i="69"/>
  <c r="AG1448" i="69"/>
  <c r="AD1448" i="69"/>
  <c r="AE1448" i="69" s="1"/>
  <c r="U1448" i="69"/>
  <c r="V1448" i="69" s="1"/>
  <c r="W1448" i="69" s="1"/>
  <c r="S1448" i="69"/>
  <c r="AK1447" i="69"/>
  <c r="AG1447" i="69"/>
  <c r="AD1447" i="69"/>
  <c r="AE1447" i="69" s="1"/>
  <c r="U1447" i="69"/>
  <c r="V1447" i="69" s="1"/>
  <c r="W1447" i="69" s="1"/>
  <c r="AK1446" i="69"/>
  <c r="AG1446" i="69"/>
  <c r="AD1446" i="69"/>
  <c r="AE1446" i="69" s="1"/>
  <c r="U1446" i="69"/>
  <c r="V1446" i="69" s="1"/>
  <c r="W1446" i="69" s="1"/>
  <c r="AK1445" i="69"/>
  <c r="AG1445" i="69"/>
  <c r="AD1445" i="69"/>
  <c r="AE1445" i="69" s="1"/>
  <c r="U1445" i="69"/>
  <c r="V1445" i="69" s="1"/>
  <c r="W1445" i="69" s="1"/>
  <c r="AK1444" i="69"/>
  <c r="AG1444" i="69"/>
  <c r="AD1444" i="69"/>
  <c r="AE1444" i="69" s="1"/>
  <c r="U1444" i="69"/>
  <c r="V1444" i="69" s="1"/>
  <c r="W1444" i="69" s="1"/>
  <c r="S1444" i="69"/>
  <c r="AK1443" i="69"/>
  <c r="AG1443" i="69"/>
  <c r="AD1443" i="69"/>
  <c r="AE1443" i="69" s="1"/>
  <c r="U1443" i="69"/>
  <c r="V1443" i="69" s="1"/>
  <c r="W1443" i="69" s="1"/>
  <c r="AK1442" i="69"/>
  <c r="AG1442" i="69"/>
  <c r="AD1442" i="69"/>
  <c r="AE1442" i="69" s="1"/>
  <c r="U1442" i="69"/>
  <c r="V1442" i="69" s="1"/>
  <c r="W1442" i="69" s="1"/>
  <c r="AK1441" i="69"/>
  <c r="AG1441" i="69"/>
  <c r="AD1441" i="69"/>
  <c r="AE1441" i="69" s="1"/>
  <c r="U1441" i="69"/>
  <c r="V1441" i="69" s="1"/>
  <c r="W1441" i="69" s="1"/>
  <c r="AK1440" i="69"/>
  <c r="AG1440" i="69"/>
  <c r="AD1440" i="69"/>
  <c r="AE1440" i="69" s="1"/>
  <c r="U1440" i="69"/>
  <c r="V1440" i="69" s="1"/>
  <c r="W1440" i="69" s="1"/>
  <c r="AK1439" i="69"/>
  <c r="AG1439" i="69"/>
  <c r="AD1439" i="69"/>
  <c r="AE1439" i="69" s="1"/>
  <c r="U1439" i="69"/>
  <c r="V1439" i="69" s="1"/>
  <c r="W1439" i="69" s="1"/>
  <c r="AK1438" i="69"/>
  <c r="AG1438" i="69"/>
  <c r="AD1438" i="69"/>
  <c r="AE1438" i="69" s="1"/>
  <c r="U1438" i="69"/>
  <c r="V1438" i="69" s="1"/>
  <c r="W1438" i="69" s="1"/>
  <c r="S1438" i="69"/>
  <c r="AK1437" i="69"/>
  <c r="AG1437" i="69"/>
  <c r="AD1437" i="69"/>
  <c r="AE1437" i="69" s="1"/>
  <c r="U1437" i="69"/>
  <c r="V1437" i="69" s="1"/>
  <c r="W1437" i="69" s="1"/>
  <c r="AK1436" i="69"/>
  <c r="AG1436" i="69"/>
  <c r="AD1436" i="69"/>
  <c r="AE1436" i="69" s="1"/>
  <c r="U1436" i="69"/>
  <c r="V1436" i="69" s="1"/>
  <c r="W1436" i="69" s="1"/>
  <c r="AK1435" i="69"/>
  <c r="AG1435" i="69"/>
  <c r="AD1435" i="69"/>
  <c r="AE1435" i="69" s="1"/>
  <c r="U1435" i="69"/>
  <c r="V1435" i="69" s="1"/>
  <c r="W1435" i="69" s="1"/>
  <c r="AK1434" i="69"/>
  <c r="AG1434" i="69"/>
  <c r="AD1434" i="69"/>
  <c r="AE1434" i="69" s="1"/>
  <c r="U1434" i="69"/>
  <c r="V1434" i="69" s="1"/>
  <c r="W1434" i="69" s="1"/>
  <c r="AK1433" i="69"/>
  <c r="AG1433" i="69"/>
  <c r="AD1433" i="69"/>
  <c r="AE1433" i="69" s="1"/>
  <c r="U1433" i="69"/>
  <c r="V1433" i="69" s="1"/>
  <c r="W1433" i="69" s="1"/>
  <c r="AK1432" i="69"/>
  <c r="AG1432" i="69"/>
  <c r="AD1432" i="69"/>
  <c r="AE1432" i="69" s="1"/>
  <c r="U1432" i="69"/>
  <c r="V1432" i="69" s="1"/>
  <c r="W1432" i="69" s="1"/>
  <c r="AK1431" i="69"/>
  <c r="AG1431" i="69"/>
  <c r="AD1431" i="69"/>
  <c r="AE1431" i="69" s="1"/>
  <c r="U1431" i="69"/>
  <c r="V1431" i="69" s="1"/>
  <c r="W1431" i="69" s="1"/>
  <c r="AK1430" i="69"/>
  <c r="AG1430" i="69"/>
  <c r="AD1430" i="69"/>
  <c r="AE1430" i="69" s="1"/>
  <c r="U1430" i="69"/>
  <c r="V1430" i="69" s="1"/>
  <c r="W1430" i="69" s="1"/>
  <c r="AK1429" i="69"/>
  <c r="AG1429" i="69"/>
  <c r="AD1429" i="69"/>
  <c r="AE1429" i="69" s="1"/>
  <c r="U1429" i="69"/>
  <c r="V1429" i="69" s="1"/>
  <c r="W1429" i="69" s="1"/>
  <c r="AK1428" i="69"/>
  <c r="AG1428" i="69"/>
  <c r="AD1428" i="69"/>
  <c r="AE1428" i="69" s="1"/>
  <c r="U1428" i="69"/>
  <c r="V1428" i="69" s="1"/>
  <c r="W1428" i="69" s="1"/>
  <c r="AK1427" i="69"/>
  <c r="AG1427" i="69"/>
  <c r="AD1427" i="69"/>
  <c r="AE1427" i="69" s="1"/>
  <c r="U1427" i="69"/>
  <c r="V1427" i="69" s="1"/>
  <c r="W1427" i="69" s="1"/>
  <c r="S1427" i="69"/>
  <c r="AK1426" i="69"/>
  <c r="AG1426" i="69"/>
  <c r="AD1426" i="69"/>
  <c r="AE1426" i="69" s="1"/>
  <c r="U1426" i="69"/>
  <c r="V1426" i="69" s="1"/>
  <c r="W1426" i="69" s="1"/>
  <c r="AK1425" i="69"/>
  <c r="AG1425" i="69"/>
  <c r="AD1425" i="69"/>
  <c r="AE1425" i="69" s="1"/>
  <c r="U1425" i="69"/>
  <c r="V1425" i="69" s="1"/>
  <c r="W1425" i="69" s="1"/>
  <c r="AK1424" i="69"/>
  <c r="AG1424" i="69"/>
  <c r="AD1424" i="69"/>
  <c r="AE1424" i="69" s="1"/>
  <c r="U1424" i="69"/>
  <c r="V1424" i="69" s="1"/>
  <c r="W1424" i="69" s="1"/>
  <c r="AK1423" i="69"/>
  <c r="AG1423" i="69"/>
  <c r="AD1423" i="69"/>
  <c r="AE1423" i="69" s="1"/>
  <c r="U1423" i="69"/>
  <c r="V1423" i="69" s="1"/>
  <c r="W1423" i="69" s="1"/>
  <c r="AK1422" i="69"/>
  <c r="AG1422" i="69"/>
  <c r="AD1422" i="69"/>
  <c r="AE1422" i="69" s="1"/>
  <c r="U1422" i="69"/>
  <c r="V1422" i="69" s="1"/>
  <c r="W1422" i="69" s="1"/>
  <c r="AK1421" i="69"/>
  <c r="AG1421" i="69"/>
  <c r="AD1421" i="69"/>
  <c r="AE1421" i="69" s="1"/>
  <c r="U1421" i="69"/>
  <c r="V1421" i="69" s="1"/>
  <c r="W1421" i="69" s="1"/>
  <c r="AK1420" i="69"/>
  <c r="AG1420" i="69"/>
  <c r="AD1420" i="69"/>
  <c r="AE1420" i="69" s="1"/>
  <c r="U1420" i="69"/>
  <c r="V1420" i="69" s="1"/>
  <c r="W1420" i="69" s="1"/>
  <c r="AK1419" i="69"/>
  <c r="AG1419" i="69"/>
  <c r="AD1419" i="69"/>
  <c r="AE1419" i="69" s="1"/>
  <c r="U1419" i="69"/>
  <c r="V1419" i="69" s="1"/>
  <c r="W1419" i="69" s="1"/>
  <c r="AK1418" i="69"/>
  <c r="AG1418" i="69"/>
  <c r="AD1418" i="69"/>
  <c r="AE1418" i="69" s="1"/>
  <c r="U1418" i="69"/>
  <c r="V1418" i="69" s="1"/>
  <c r="W1418" i="69" s="1"/>
  <c r="AK1417" i="69"/>
  <c r="AG1417" i="69"/>
  <c r="AD1417" i="69"/>
  <c r="AE1417" i="69" s="1"/>
  <c r="U1417" i="69"/>
  <c r="V1417" i="69" s="1"/>
  <c r="W1417" i="69" s="1"/>
  <c r="AK1416" i="69"/>
  <c r="AG1416" i="69"/>
  <c r="AD1416" i="69"/>
  <c r="AE1416" i="69" s="1"/>
  <c r="U1416" i="69"/>
  <c r="V1416" i="69" s="1"/>
  <c r="W1416" i="69" s="1"/>
  <c r="AK1415" i="69"/>
  <c r="AG1415" i="69"/>
  <c r="AD1415" i="69"/>
  <c r="AE1415" i="69" s="1"/>
  <c r="U1415" i="69"/>
  <c r="V1415" i="69" s="1"/>
  <c r="W1415" i="69" s="1"/>
  <c r="S1415" i="69"/>
  <c r="AK1414" i="69"/>
  <c r="AG1414" i="69"/>
  <c r="AD1414" i="69"/>
  <c r="AE1414" i="69" s="1"/>
  <c r="U1414" i="69"/>
  <c r="V1414" i="69" s="1"/>
  <c r="W1414" i="69" s="1"/>
  <c r="AK1413" i="69"/>
  <c r="AG1413" i="69"/>
  <c r="AD1413" i="69"/>
  <c r="AE1413" i="69" s="1"/>
  <c r="U1413" i="69"/>
  <c r="V1413" i="69" s="1"/>
  <c r="W1413" i="69" s="1"/>
  <c r="AK1412" i="69"/>
  <c r="AG1412" i="69"/>
  <c r="AD1412" i="69"/>
  <c r="AE1412" i="69" s="1"/>
  <c r="U1412" i="69"/>
  <c r="V1412" i="69" s="1"/>
  <c r="W1412" i="69" s="1"/>
  <c r="AK1411" i="69"/>
  <c r="AG1411" i="69"/>
  <c r="AD1411" i="69"/>
  <c r="AE1411" i="69" s="1"/>
  <c r="U1411" i="69"/>
  <c r="V1411" i="69" s="1"/>
  <c r="W1411" i="69" s="1"/>
  <c r="AK1410" i="69"/>
  <c r="AG1410" i="69"/>
  <c r="AD1410" i="69"/>
  <c r="AE1410" i="69" s="1"/>
  <c r="U1410" i="69"/>
  <c r="V1410" i="69" s="1"/>
  <c r="W1410" i="69" s="1"/>
  <c r="AK1409" i="69"/>
  <c r="AG1409" i="69"/>
  <c r="AD1409" i="69"/>
  <c r="AE1409" i="69" s="1"/>
  <c r="U1409" i="69"/>
  <c r="V1409" i="69" s="1"/>
  <c r="W1409" i="69" s="1"/>
  <c r="S1409" i="69"/>
  <c r="AK1408" i="69"/>
  <c r="AG1408" i="69"/>
  <c r="AD1408" i="69"/>
  <c r="AE1408" i="69" s="1"/>
  <c r="U1408" i="69"/>
  <c r="V1408" i="69" s="1"/>
  <c r="W1408" i="69" s="1"/>
  <c r="AK1407" i="69"/>
  <c r="AG1407" i="69"/>
  <c r="AD1407" i="69"/>
  <c r="AE1407" i="69" s="1"/>
  <c r="U1407" i="69"/>
  <c r="V1407" i="69" s="1"/>
  <c r="W1407" i="69" s="1"/>
  <c r="AK1406" i="69"/>
  <c r="AG1406" i="69"/>
  <c r="AD1406" i="69"/>
  <c r="AE1406" i="69" s="1"/>
  <c r="U1406" i="69"/>
  <c r="V1406" i="69" s="1"/>
  <c r="W1406" i="69" s="1"/>
  <c r="AK1405" i="69"/>
  <c r="AG1405" i="69"/>
  <c r="AD1405" i="69"/>
  <c r="AE1405" i="69" s="1"/>
  <c r="U1405" i="69"/>
  <c r="V1405" i="69" s="1"/>
  <c r="W1405" i="69" s="1"/>
  <c r="S1405" i="69"/>
  <c r="AK1404" i="69"/>
  <c r="AG1404" i="69"/>
  <c r="AD1404" i="69"/>
  <c r="AE1404" i="69" s="1"/>
  <c r="U1404" i="69"/>
  <c r="V1404" i="69" s="1"/>
  <c r="W1404" i="69" s="1"/>
  <c r="AK1403" i="69"/>
  <c r="AG1403" i="69"/>
  <c r="AD1403" i="69"/>
  <c r="AE1403" i="69" s="1"/>
  <c r="U1403" i="69"/>
  <c r="V1403" i="69" s="1"/>
  <c r="W1403" i="69" s="1"/>
  <c r="AK1402" i="69"/>
  <c r="AG1402" i="69"/>
  <c r="AD1402" i="69"/>
  <c r="AE1402" i="69" s="1"/>
  <c r="U1402" i="69"/>
  <c r="V1402" i="69" s="1"/>
  <c r="W1402" i="69" s="1"/>
  <c r="AK1401" i="69"/>
  <c r="AG1401" i="69"/>
  <c r="AD1401" i="69"/>
  <c r="AE1401" i="69" s="1"/>
  <c r="U1401" i="69"/>
  <c r="V1401" i="69" s="1"/>
  <c r="W1401" i="69" s="1"/>
  <c r="AK1400" i="69"/>
  <c r="AG1400" i="69"/>
  <c r="AD1400" i="69"/>
  <c r="AE1400" i="69" s="1"/>
  <c r="U1400" i="69"/>
  <c r="V1400" i="69" s="1"/>
  <c r="W1400" i="69" s="1"/>
  <c r="AK1399" i="69"/>
  <c r="AG1399" i="69"/>
  <c r="AD1399" i="69"/>
  <c r="AE1399" i="69" s="1"/>
  <c r="U1399" i="69"/>
  <c r="V1399" i="69" s="1"/>
  <c r="W1399" i="69" s="1"/>
  <c r="AK1398" i="69"/>
  <c r="AG1398" i="69"/>
  <c r="AD1398" i="69"/>
  <c r="AE1398" i="69" s="1"/>
  <c r="U1398" i="69"/>
  <c r="V1398" i="69" s="1"/>
  <c r="W1398" i="69" s="1"/>
  <c r="S1398" i="69"/>
  <c r="AK1397" i="69"/>
  <c r="AG1397" i="69"/>
  <c r="AD1397" i="69"/>
  <c r="AE1397" i="69" s="1"/>
  <c r="U1397" i="69"/>
  <c r="V1397" i="69" s="1"/>
  <c r="W1397" i="69" s="1"/>
  <c r="AK1396" i="69"/>
  <c r="AG1396" i="69"/>
  <c r="AD1396" i="69"/>
  <c r="AE1396" i="69" s="1"/>
  <c r="P1396" i="69"/>
  <c r="U1396" i="69" s="1"/>
  <c r="V1396" i="69" s="1"/>
  <c r="W1396" i="69" s="1"/>
  <c r="AK1395" i="69"/>
  <c r="AG1395" i="69"/>
  <c r="AD1395" i="69"/>
  <c r="AE1395" i="69" s="1"/>
  <c r="P1395" i="69"/>
  <c r="U1395" i="69" s="1"/>
  <c r="V1395" i="69" s="1"/>
  <c r="W1395" i="69" s="1"/>
  <c r="AK1394" i="69"/>
  <c r="AG1394" i="69"/>
  <c r="AD1394" i="69"/>
  <c r="AE1394" i="69" s="1"/>
  <c r="P1394" i="69"/>
  <c r="U1394" i="69" s="1"/>
  <c r="V1394" i="69" s="1"/>
  <c r="W1394" i="69" s="1"/>
  <c r="AK1393" i="69"/>
  <c r="AG1393" i="69"/>
  <c r="AD1393" i="69"/>
  <c r="AE1393" i="69" s="1"/>
  <c r="P1393" i="69"/>
  <c r="U1393" i="69" s="1"/>
  <c r="V1393" i="69" s="1"/>
  <c r="W1393" i="69" s="1"/>
  <c r="AK1392" i="69"/>
  <c r="AG1392" i="69"/>
  <c r="AD1392" i="69"/>
  <c r="AE1392" i="69" s="1"/>
  <c r="S1392" i="69"/>
  <c r="P1392" i="69"/>
  <c r="U1392" i="69" s="1"/>
  <c r="V1392" i="69" s="1"/>
  <c r="W1392" i="69" s="1"/>
  <c r="AK1391" i="69"/>
  <c r="AG1391" i="69"/>
  <c r="AD1391" i="69"/>
  <c r="AE1391" i="69" s="1"/>
  <c r="P1391" i="69"/>
  <c r="U1391" i="69" s="1"/>
  <c r="V1391" i="69" s="1"/>
  <c r="W1391" i="69" s="1"/>
  <c r="AK1390" i="69"/>
  <c r="AG1390" i="69"/>
  <c r="AD1390" i="69"/>
  <c r="AE1390" i="69" s="1"/>
  <c r="U1390" i="69"/>
  <c r="V1390" i="69" s="1"/>
  <c r="W1390" i="69" s="1"/>
  <c r="AK1389" i="69"/>
  <c r="AG1389" i="69"/>
  <c r="AD1389" i="69"/>
  <c r="AE1389" i="69" s="1"/>
  <c r="U1389" i="69"/>
  <c r="V1389" i="69" s="1"/>
  <c r="W1389" i="69" s="1"/>
  <c r="AK1388" i="69"/>
  <c r="AG1388" i="69"/>
  <c r="AD1388" i="69"/>
  <c r="AE1388" i="69" s="1"/>
  <c r="U1388" i="69"/>
  <c r="V1388" i="69" s="1"/>
  <c r="W1388" i="69" s="1"/>
  <c r="S1388" i="69"/>
  <c r="AK1387" i="69"/>
  <c r="AG1387" i="69"/>
  <c r="AD1387" i="69"/>
  <c r="AE1387" i="69" s="1"/>
  <c r="U1387" i="69"/>
  <c r="V1387" i="69" s="1"/>
  <c r="W1387" i="69" s="1"/>
  <c r="AK1386" i="69"/>
  <c r="AG1386" i="69"/>
  <c r="AD1386" i="69"/>
  <c r="AE1386" i="69" s="1"/>
  <c r="U1386" i="69"/>
  <c r="V1386" i="69" s="1"/>
  <c r="W1386" i="69" s="1"/>
  <c r="AK1385" i="69"/>
  <c r="AG1385" i="69"/>
  <c r="AD1385" i="69"/>
  <c r="AE1385" i="69" s="1"/>
  <c r="U1385" i="69"/>
  <c r="V1385" i="69" s="1"/>
  <c r="W1385" i="69" s="1"/>
  <c r="AK1384" i="69"/>
  <c r="AG1384" i="69"/>
  <c r="AD1384" i="69"/>
  <c r="AE1384" i="69" s="1"/>
  <c r="U1384" i="69"/>
  <c r="V1384" i="69" s="1"/>
  <c r="W1384" i="69" s="1"/>
  <c r="AK1383" i="69"/>
  <c r="AG1383" i="69"/>
  <c r="AD1383" i="69"/>
  <c r="AE1383" i="69" s="1"/>
  <c r="U1383" i="69"/>
  <c r="V1383" i="69" s="1"/>
  <c r="W1383" i="69" s="1"/>
  <c r="AK1382" i="69"/>
  <c r="AG1382" i="69"/>
  <c r="AD1382" i="69"/>
  <c r="AE1382" i="69" s="1"/>
  <c r="U1382" i="69"/>
  <c r="V1382" i="69" s="1"/>
  <c r="W1382" i="69" s="1"/>
  <c r="AK1381" i="69"/>
  <c r="AG1381" i="69"/>
  <c r="AD1381" i="69"/>
  <c r="AE1381" i="69" s="1"/>
  <c r="U1381" i="69"/>
  <c r="V1381" i="69" s="1"/>
  <c r="W1381" i="69" s="1"/>
  <c r="AK1380" i="69"/>
  <c r="AG1380" i="69"/>
  <c r="AD1380" i="69"/>
  <c r="AE1380" i="69" s="1"/>
  <c r="U1380" i="69"/>
  <c r="V1380" i="69" s="1"/>
  <c r="W1380" i="69" s="1"/>
  <c r="AK1379" i="69"/>
  <c r="AG1379" i="69"/>
  <c r="AD1379" i="69"/>
  <c r="AE1379" i="69" s="1"/>
  <c r="U1379" i="69"/>
  <c r="V1379" i="69" s="1"/>
  <c r="W1379" i="69" s="1"/>
  <c r="AK1378" i="69"/>
  <c r="AG1378" i="69"/>
  <c r="AD1378" i="69"/>
  <c r="AE1378" i="69" s="1"/>
  <c r="U1378" i="69"/>
  <c r="V1378" i="69" s="1"/>
  <c r="W1378" i="69" s="1"/>
  <c r="AK1377" i="69"/>
  <c r="AG1377" i="69"/>
  <c r="AD1377" i="69"/>
  <c r="AE1377" i="69" s="1"/>
  <c r="U1377" i="69"/>
  <c r="V1377" i="69" s="1"/>
  <c r="W1377" i="69" s="1"/>
  <c r="AK1376" i="69"/>
  <c r="AG1376" i="69"/>
  <c r="AD1376" i="69"/>
  <c r="AE1376" i="69" s="1"/>
  <c r="U1376" i="69"/>
  <c r="V1376" i="69" s="1"/>
  <c r="W1376" i="69" s="1"/>
  <c r="AK1375" i="69"/>
  <c r="AG1375" i="69"/>
  <c r="AD1375" i="69"/>
  <c r="AE1375" i="69" s="1"/>
  <c r="U1375" i="69"/>
  <c r="V1375" i="69" s="1"/>
  <c r="W1375" i="69" s="1"/>
  <c r="AK1374" i="69"/>
  <c r="AG1374" i="69"/>
  <c r="AD1374" i="69"/>
  <c r="AE1374" i="69" s="1"/>
  <c r="U1374" i="69"/>
  <c r="V1374" i="69" s="1"/>
  <c r="W1374" i="69" s="1"/>
  <c r="AK1373" i="69"/>
  <c r="AG1373" i="69"/>
  <c r="AD1373" i="69"/>
  <c r="AE1373" i="69" s="1"/>
  <c r="U1373" i="69"/>
  <c r="V1373" i="69" s="1"/>
  <c r="W1373" i="69" s="1"/>
  <c r="AK1372" i="69"/>
  <c r="AG1372" i="69"/>
  <c r="AD1372" i="69"/>
  <c r="AE1372" i="69" s="1"/>
  <c r="U1372" i="69"/>
  <c r="V1372" i="69" s="1"/>
  <c r="W1372" i="69" s="1"/>
  <c r="AK1371" i="69"/>
  <c r="AG1371" i="69"/>
  <c r="AD1371" i="69"/>
  <c r="AE1371" i="69" s="1"/>
  <c r="U1371" i="69"/>
  <c r="V1371" i="69" s="1"/>
  <c r="W1371" i="69" s="1"/>
  <c r="AK1370" i="69"/>
  <c r="AG1370" i="69"/>
  <c r="AD1370" i="69"/>
  <c r="AE1370" i="69" s="1"/>
  <c r="U1370" i="69"/>
  <c r="V1370" i="69" s="1"/>
  <c r="W1370" i="69" s="1"/>
  <c r="AK1369" i="69"/>
  <c r="AG1369" i="69"/>
  <c r="AD1369" i="69"/>
  <c r="AE1369" i="69" s="1"/>
  <c r="U1369" i="69"/>
  <c r="V1369" i="69" s="1"/>
  <c r="W1369" i="69" s="1"/>
  <c r="AK1368" i="69"/>
  <c r="AG1368" i="69"/>
  <c r="AD1368" i="69"/>
  <c r="AE1368" i="69" s="1"/>
  <c r="U1368" i="69"/>
  <c r="V1368" i="69" s="1"/>
  <c r="W1368" i="69" s="1"/>
  <c r="AK1367" i="69"/>
  <c r="AG1367" i="69"/>
  <c r="AD1367" i="69"/>
  <c r="AE1367" i="69" s="1"/>
  <c r="U1367" i="69"/>
  <c r="V1367" i="69" s="1"/>
  <c r="W1367" i="69" s="1"/>
  <c r="S1367" i="69"/>
  <c r="AK1366" i="69"/>
  <c r="AG1366" i="69"/>
  <c r="AD1366" i="69"/>
  <c r="AE1366" i="69" s="1"/>
  <c r="U1366" i="69"/>
  <c r="V1366" i="69" s="1"/>
  <c r="W1366" i="69" s="1"/>
  <c r="AK1365" i="69"/>
  <c r="AG1365" i="69"/>
  <c r="AD1365" i="69"/>
  <c r="AE1365" i="69" s="1"/>
  <c r="U1365" i="69"/>
  <c r="V1365" i="69" s="1"/>
  <c r="W1365" i="69" s="1"/>
  <c r="AK1364" i="69"/>
  <c r="AG1364" i="69"/>
  <c r="AD1364" i="69"/>
  <c r="AE1364" i="69" s="1"/>
  <c r="U1364" i="69"/>
  <c r="V1364" i="69" s="1"/>
  <c r="W1364" i="69" s="1"/>
  <c r="AK1363" i="69"/>
  <c r="AG1363" i="69"/>
  <c r="AD1363" i="69"/>
  <c r="AE1363" i="69" s="1"/>
  <c r="U1363" i="69"/>
  <c r="V1363" i="69" s="1"/>
  <c r="W1363" i="69" s="1"/>
  <c r="AK1362" i="69"/>
  <c r="AG1362" i="69"/>
  <c r="AD1362" i="69"/>
  <c r="AE1362" i="69" s="1"/>
  <c r="U1362" i="69"/>
  <c r="V1362" i="69" s="1"/>
  <c r="W1362" i="69" s="1"/>
  <c r="AK1361" i="69"/>
  <c r="AG1361" i="69"/>
  <c r="AD1361" i="69"/>
  <c r="AE1361" i="69" s="1"/>
  <c r="U1361" i="69"/>
  <c r="V1361" i="69" s="1"/>
  <c r="W1361" i="69" s="1"/>
  <c r="S1361" i="69"/>
  <c r="AK1360" i="69"/>
  <c r="AG1360" i="69"/>
  <c r="AD1360" i="69"/>
  <c r="AE1360" i="69" s="1"/>
  <c r="U1360" i="69"/>
  <c r="V1360" i="69" s="1"/>
  <c r="W1360" i="69" s="1"/>
  <c r="AK1359" i="69"/>
  <c r="AG1359" i="69"/>
  <c r="AD1359" i="69"/>
  <c r="AE1359" i="69" s="1"/>
  <c r="U1359" i="69"/>
  <c r="V1359" i="69" s="1"/>
  <c r="W1359" i="69" s="1"/>
  <c r="S1359" i="69"/>
  <c r="AK1358" i="69"/>
  <c r="AG1358" i="69"/>
  <c r="AD1358" i="69"/>
  <c r="AE1358" i="69" s="1"/>
  <c r="U1358" i="69"/>
  <c r="V1358" i="69" s="1"/>
  <c r="W1358" i="69" s="1"/>
  <c r="AK1357" i="69"/>
  <c r="AG1357" i="69"/>
  <c r="AD1357" i="69"/>
  <c r="AE1357" i="69" s="1"/>
  <c r="U1357" i="69"/>
  <c r="V1357" i="69" s="1"/>
  <c r="W1357" i="69" s="1"/>
  <c r="AK1356" i="69"/>
  <c r="AG1356" i="69"/>
  <c r="AD1356" i="69"/>
  <c r="AE1356" i="69" s="1"/>
  <c r="U1356" i="69"/>
  <c r="V1356" i="69" s="1"/>
  <c r="W1356" i="69" s="1"/>
  <c r="AK1355" i="69"/>
  <c r="AG1355" i="69"/>
  <c r="AD1355" i="69"/>
  <c r="AE1355" i="69" s="1"/>
  <c r="U1355" i="69"/>
  <c r="V1355" i="69" s="1"/>
  <c r="W1355" i="69" s="1"/>
  <c r="AK1354" i="69"/>
  <c r="AG1354" i="69"/>
  <c r="AD1354" i="69"/>
  <c r="AE1354" i="69" s="1"/>
  <c r="U1354" i="69"/>
  <c r="V1354" i="69" s="1"/>
  <c r="W1354" i="69" s="1"/>
  <c r="S1354" i="69"/>
  <c r="AK1353" i="69"/>
  <c r="AG1353" i="69"/>
  <c r="AD1353" i="69"/>
  <c r="AE1353" i="69" s="1"/>
  <c r="U1353" i="69"/>
  <c r="V1353" i="69" s="1"/>
  <c r="W1353" i="69" s="1"/>
  <c r="AK1352" i="69"/>
  <c r="AG1352" i="69"/>
  <c r="AD1352" i="69"/>
  <c r="AE1352" i="69" s="1"/>
  <c r="P1352" i="69"/>
  <c r="U1352" i="69" s="1"/>
  <c r="V1352" i="69" s="1"/>
  <c r="W1352" i="69" s="1"/>
  <c r="AK1351" i="69"/>
  <c r="AG1351" i="69"/>
  <c r="AD1351" i="69"/>
  <c r="AE1351" i="69" s="1"/>
  <c r="P1351" i="69"/>
  <c r="U1351" i="69" s="1"/>
  <c r="V1351" i="69" s="1"/>
  <c r="W1351" i="69" s="1"/>
  <c r="AK1350" i="69"/>
  <c r="AG1350" i="69"/>
  <c r="AD1350" i="69"/>
  <c r="AE1350" i="69" s="1"/>
  <c r="P1350" i="69"/>
  <c r="U1350" i="69" s="1"/>
  <c r="V1350" i="69" s="1"/>
  <c r="W1350" i="69" s="1"/>
  <c r="AK1349" i="69"/>
  <c r="AG1349" i="69"/>
  <c r="AD1349" i="69"/>
  <c r="AE1349" i="69" s="1"/>
  <c r="P1349" i="69"/>
  <c r="U1349" i="69" s="1"/>
  <c r="V1349" i="69" s="1"/>
  <c r="W1349" i="69" s="1"/>
  <c r="AK1348" i="69"/>
  <c r="AG1348" i="69"/>
  <c r="AD1348" i="69"/>
  <c r="AE1348" i="69" s="1"/>
  <c r="P1348" i="69"/>
  <c r="U1348" i="69" s="1"/>
  <c r="V1348" i="69" s="1"/>
  <c r="W1348" i="69" s="1"/>
  <c r="AK1347" i="69"/>
  <c r="AG1347" i="69"/>
  <c r="AD1347" i="69"/>
  <c r="AE1347" i="69" s="1"/>
  <c r="P1347" i="69"/>
  <c r="U1347" i="69" s="1"/>
  <c r="V1347" i="69" s="1"/>
  <c r="W1347" i="69" s="1"/>
  <c r="AK1346" i="69"/>
  <c r="AG1346" i="69"/>
  <c r="AD1346" i="69"/>
  <c r="AE1346" i="69" s="1"/>
  <c r="P1346" i="69"/>
  <c r="U1346" i="69" s="1"/>
  <c r="V1346" i="69" s="1"/>
  <c r="W1346" i="69" s="1"/>
  <c r="AK1345" i="69"/>
  <c r="AG1345" i="69"/>
  <c r="AD1345" i="69"/>
  <c r="AE1345" i="69" s="1"/>
  <c r="P1345" i="69"/>
  <c r="U1345" i="69" s="1"/>
  <c r="V1345" i="69" s="1"/>
  <c r="W1345" i="69" s="1"/>
  <c r="AK1344" i="69"/>
  <c r="AG1344" i="69"/>
  <c r="AD1344" i="69"/>
  <c r="AE1344" i="69" s="1"/>
  <c r="P1344" i="69"/>
  <c r="U1344" i="69" s="1"/>
  <c r="V1344" i="69" s="1"/>
  <c r="W1344" i="69" s="1"/>
  <c r="AK1343" i="69"/>
  <c r="AG1343" i="69"/>
  <c r="AD1343" i="69"/>
  <c r="AE1343" i="69" s="1"/>
  <c r="P1343" i="69"/>
  <c r="U1343" i="69" s="1"/>
  <c r="V1343" i="69" s="1"/>
  <c r="W1343" i="69" s="1"/>
  <c r="AK1342" i="69"/>
  <c r="AG1342" i="69"/>
  <c r="AD1342" i="69"/>
  <c r="AE1342" i="69" s="1"/>
  <c r="P1342" i="69"/>
  <c r="U1342" i="69" s="1"/>
  <c r="V1342" i="69" s="1"/>
  <c r="W1342" i="69" s="1"/>
  <c r="AK1341" i="69"/>
  <c r="AG1341" i="69"/>
  <c r="AD1341" i="69"/>
  <c r="AE1341" i="69" s="1"/>
  <c r="U1341" i="69"/>
  <c r="V1341" i="69" s="1"/>
  <c r="W1341" i="69" s="1"/>
  <c r="AK1340" i="69"/>
  <c r="AG1340" i="69"/>
  <c r="AD1340" i="69"/>
  <c r="AE1340" i="69" s="1"/>
  <c r="U1340" i="69"/>
  <c r="V1340" i="69" s="1"/>
  <c r="W1340" i="69" s="1"/>
  <c r="AK1339" i="69"/>
  <c r="AG1339" i="69"/>
  <c r="AD1339" i="69"/>
  <c r="AE1339" i="69" s="1"/>
  <c r="U1339" i="69"/>
  <c r="V1339" i="69" s="1"/>
  <c r="W1339" i="69" s="1"/>
  <c r="S1339" i="69"/>
  <c r="AK1338" i="69"/>
  <c r="AG1338" i="69"/>
  <c r="AD1338" i="69"/>
  <c r="AE1338" i="69" s="1"/>
  <c r="U1338" i="69"/>
  <c r="V1338" i="69" s="1"/>
  <c r="W1338" i="69" s="1"/>
  <c r="AK1337" i="69"/>
  <c r="AG1337" i="69"/>
  <c r="AD1337" i="69"/>
  <c r="AE1337" i="69" s="1"/>
  <c r="U1337" i="69"/>
  <c r="V1337" i="69" s="1"/>
  <c r="W1337" i="69" s="1"/>
  <c r="S1337" i="69"/>
  <c r="AK1336" i="69"/>
  <c r="AG1336" i="69"/>
  <c r="AD1336" i="69"/>
  <c r="AE1336" i="69" s="1"/>
  <c r="U1336" i="69"/>
  <c r="V1336" i="69" s="1"/>
  <c r="W1336" i="69" s="1"/>
  <c r="AK1335" i="69"/>
  <c r="AG1335" i="69"/>
  <c r="AD1335" i="69"/>
  <c r="AE1335" i="69" s="1"/>
  <c r="S1335" i="69"/>
  <c r="P1335" i="69"/>
  <c r="U1335" i="69" s="1"/>
  <c r="V1335" i="69" s="1"/>
  <c r="W1335" i="69" s="1"/>
  <c r="AK1334" i="69"/>
  <c r="AG1334" i="69"/>
  <c r="AD1334" i="69"/>
  <c r="AE1334" i="69" s="1"/>
  <c r="P1334" i="69"/>
  <c r="U1334" i="69" s="1"/>
  <c r="V1334" i="69" s="1"/>
  <c r="W1334" i="69" s="1"/>
  <c r="AK1333" i="69"/>
  <c r="AG1333" i="69"/>
  <c r="AD1333" i="69"/>
  <c r="AE1333" i="69" s="1"/>
  <c r="P1333" i="69"/>
  <c r="U1333" i="69" s="1"/>
  <c r="V1333" i="69" s="1"/>
  <c r="W1333" i="69" s="1"/>
  <c r="AK1332" i="69"/>
  <c r="AG1332" i="69"/>
  <c r="AD1332" i="69"/>
  <c r="AE1332" i="69" s="1"/>
  <c r="S1332" i="69"/>
  <c r="P1332" i="69"/>
  <c r="U1332" i="69" s="1"/>
  <c r="V1332" i="69" s="1"/>
  <c r="W1332" i="69" s="1"/>
  <c r="AK1331" i="69"/>
  <c r="AG1331" i="69"/>
  <c r="AD1331" i="69"/>
  <c r="AE1331" i="69" s="1"/>
  <c r="P1331" i="69"/>
  <c r="U1331" i="69" s="1"/>
  <c r="V1331" i="69" s="1"/>
  <c r="W1331" i="69" s="1"/>
  <c r="AK1330" i="69"/>
  <c r="AG1330" i="69"/>
  <c r="AD1330" i="69"/>
  <c r="AE1330" i="69" s="1"/>
  <c r="U1330" i="69"/>
  <c r="V1330" i="69" s="1"/>
  <c r="W1330" i="69" s="1"/>
  <c r="AK1329" i="69"/>
  <c r="AG1329" i="69"/>
  <c r="AD1329" i="69"/>
  <c r="AE1329" i="69" s="1"/>
  <c r="U1329" i="69"/>
  <c r="V1329" i="69" s="1"/>
  <c r="W1329" i="69" s="1"/>
  <c r="AK1328" i="69"/>
  <c r="AG1328" i="69"/>
  <c r="AD1328" i="69"/>
  <c r="AE1328" i="69" s="1"/>
  <c r="U1328" i="69"/>
  <c r="V1328" i="69" s="1"/>
  <c r="W1328" i="69" s="1"/>
  <c r="AK1327" i="69"/>
  <c r="AG1327" i="69"/>
  <c r="AD1327" i="69"/>
  <c r="AE1327" i="69" s="1"/>
  <c r="U1327" i="69"/>
  <c r="V1327" i="69" s="1"/>
  <c r="W1327" i="69" s="1"/>
  <c r="S1327" i="69"/>
  <c r="AK1326" i="69"/>
  <c r="AG1326" i="69"/>
  <c r="AD1326" i="69"/>
  <c r="AE1326" i="69" s="1"/>
  <c r="U1326" i="69"/>
  <c r="V1326" i="69" s="1"/>
  <c r="W1326" i="69" s="1"/>
  <c r="AK1325" i="69"/>
  <c r="AG1325" i="69"/>
  <c r="AD1325" i="69"/>
  <c r="AE1325" i="69" s="1"/>
  <c r="U1325" i="69"/>
  <c r="V1325" i="69" s="1"/>
  <c r="W1325" i="69" s="1"/>
  <c r="AK1324" i="69"/>
  <c r="AG1324" i="69"/>
  <c r="AD1324" i="69"/>
  <c r="AE1324" i="69" s="1"/>
  <c r="U1324" i="69"/>
  <c r="V1324" i="69" s="1"/>
  <c r="W1324" i="69" s="1"/>
  <c r="AK1323" i="69"/>
  <c r="AG1323" i="69"/>
  <c r="AD1323" i="69"/>
  <c r="AE1323" i="69" s="1"/>
  <c r="U1323" i="69"/>
  <c r="V1323" i="69" s="1"/>
  <c r="W1323" i="69" s="1"/>
  <c r="S1323" i="69"/>
  <c r="AK1322" i="69"/>
  <c r="AG1322" i="69"/>
  <c r="AD1322" i="69"/>
  <c r="AE1322" i="69" s="1"/>
  <c r="U1322" i="69"/>
  <c r="V1322" i="69" s="1"/>
  <c r="W1322" i="69" s="1"/>
  <c r="AK1321" i="69"/>
  <c r="AG1321" i="69"/>
  <c r="AD1321" i="69"/>
  <c r="AE1321" i="69" s="1"/>
  <c r="U1321" i="69"/>
  <c r="V1321" i="69" s="1"/>
  <c r="W1321" i="69" s="1"/>
  <c r="AK1320" i="69"/>
  <c r="AG1320" i="69"/>
  <c r="AD1320" i="69"/>
  <c r="AE1320" i="69" s="1"/>
  <c r="U1320" i="69"/>
  <c r="V1320" i="69" s="1"/>
  <c r="W1320" i="69" s="1"/>
  <c r="AK1319" i="69"/>
  <c r="AG1319" i="69"/>
  <c r="AD1319" i="69"/>
  <c r="AE1319" i="69" s="1"/>
  <c r="U1319" i="69"/>
  <c r="V1319" i="69" s="1"/>
  <c r="W1319" i="69" s="1"/>
  <c r="AK1318" i="69"/>
  <c r="AG1318" i="69"/>
  <c r="AD1318" i="69"/>
  <c r="AE1318" i="69" s="1"/>
  <c r="U1318" i="69"/>
  <c r="V1318" i="69" s="1"/>
  <c r="W1318" i="69" s="1"/>
  <c r="AK1317" i="69"/>
  <c r="AG1317" i="69"/>
  <c r="AD1317" i="69"/>
  <c r="AE1317" i="69" s="1"/>
  <c r="U1317" i="69"/>
  <c r="V1317" i="69" s="1"/>
  <c r="W1317" i="69" s="1"/>
  <c r="AK1316" i="69"/>
  <c r="AG1316" i="69"/>
  <c r="AD1316" i="69"/>
  <c r="AE1316" i="69" s="1"/>
  <c r="U1316" i="69"/>
  <c r="V1316" i="69" s="1"/>
  <c r="W1316" i="69" s="1"/>
  <c r="AK1315" i="69"/>
  <c r="AG1315" i="69"/>
  <c r="AD1315" i="69"/>
  <c r="AE1315" i="69" s="1"/>
  <c r="U1315" i="69"/>
  <c r="V1315" i="69" s="1"/>
  <c r="W1315" i="69" s="1"/>
  <c r="AK1314" i="69"/>
  <c r="AG1314" i="69"/>
  <c r="AD1314" i="69"/>
  <c r="AE1314" i="69" s="1"/>
  <c r="U1314" i="69"/>
  <c r="V1314" i="69" s="1"/>
  <c r="W1314" i="69" s="1"/>
  <c r="AK1313" i="69"/>
  <c r="AG1313" i="69"/>
  <c r="AD1313" i="69"/>
  <c r="AE1313" i="69" s="1"/>
  <c r="U1313" i="69"/>
  <c r="V1313" i="69" s="1"/>
  <c r="W1313" i="69" s="1"/>
  <c r="AK1312" i="69"/>
  <c r="AG1312" i="69"/>
  <c r="AD1312" i="69"/>
  <c r="AE1312" i="69" s="1"/>
  <c r="U1312" i="69"/>
  <c r="V1312" i="69" s="1"/>
  <c r="W1312" i="69" s="1"/>
  <c r="AK1311" i="69"/>
  <c r="AG1311" i="69"/>
  <c r="AD1311" i="69"/>
  <c r="AE1311" i="69" s="1"/>
  <c r="U1311" i="69"/>
  <c r="V1311" i="69" s="1"/>
  <c r="W1311" i="69" s="1"/>
  <c r="AK1310" i="69"/>
  <c r="AG1310" i="69"/>
  <c r="AD1310" i="69"/>
  <c r="AE1310" i="69" s="1"/>
  <c r="U1310" i="69"/>
  <c r="V1310" i="69" s="1"/>
  <c r="W1310" i="69" s="1"/>
  <c r="AK1309" i="69"/>
  <c r="AG1309" i="69"/>
  <c r="AD1309" i="69"/>
  <c r="AE1309" i="69" s="1"/>
  <c r="U1309" i="69"/>
  <c r="V1309" i="69" s="1"/>
  <c r="W1309" i="69" s="1"/>
  <c r="AK1308" i="69"/>
  <c r="AG1308" i="69"/>
  <c r="AD1308" i="69"/>
  <c r="AE1308" i="69" s="1"/>
  <c r="U1308" i="69"/>
  <c r="V1308" i="69" s="1"/>
  <c r="W1308" i="69" s="1"/>
  <c r="AK1307" i="69"/>
  <c r="AG1307" i="69"/>
  <c r="AD1307" i="69"/>
  <c r="AE1307" i="69" s="1"/>
  <c r="U1307" i="69"/>
  <c r="V1307" i="69" s="1"/>
  <c r="W1307" i="69" s="1"/>
  <c r="AK1306" i="69"/>
  <c r="AG1306" i="69"/>
  <c r="AD1306" i="69"/>
  <c r="AE1306" i="69" s="1"/>
  <c r="U1306" i="69"/>
  <c r="V1306" i="69" s="1"/>
  <c r="W1306" i="69" s="1"/>
  <c r="S1306" i="69"/>
  <c r="AK1305" i="69"/>
  <c r="AG1305" i="69"/>
  <c r="AD1305" i="69"/>
  <c r="AE1305" i="69" s="1"/>
  <c r="U1305" i="69"/>
  <c r="V1305" i="69" s="1"/>
  <c r="W1305" i="69" s="1"/>
  <c r="AK1304" i="69"/>
  <c r="AG1304" i="69"/>
  <c r="AD1304" i="69"/>
  <c r="AE1304" i="69" s="1"/>
  <c r="U1304" i="69"/>
  <c r="V1304" i="69" s="1"/>
  <c r="W1304" i="69" s="1"/>
  <c r="AK1303" i="69"/>
  <c r="AG1303" i="69"/>
  <c r="AD1303" i="69"/>
  <c r="AE1303" i="69" s="1"/>
  <c r="U1303" i="69"/>
  <c r="V1303" i="69" s="1"/>
  <c r="W1303" i="69" s="1"/>
  <c r="AK1302" i="69"/>
  <c r="AG1302" i="69"/>
  <c r="AD1302" i="69"/>
  <c r="AE1302" i="69" s="1"/>
  <c r="U1302" i="69"/>
  <c r="V1302" i="69" s="1"/>
  <c r="W1302" i="69" s="1"/>
  <c r="S1302" i="69"/>
  <c r="AK1301" i="69"/>
  <c r="AG1301" i="69"/>
  <c r="AD1301" i="69"/>
  <c r="AE1301" i="69" s="1"/>
  <c r="U1301" i="69"/>
  <c r="V1301" i="69" s="1"/>
  <c r="W1301" i="69" s="1"/>
  <c r="AK1300" i="69"/>
  <c r="AG1300" i="69"/>
  <c r="AD1300" i="69"/>
  <c r="AE1300" i="69" s="1"/>
  <c r="U1300" i="69"/>
  <c r="V1300" i="69" s="1"/>
  <c r="W1300" i="69" s="1"/>
  <c r="AK1299" i="69"/>
  <c r="AG1299" i="69"/>
  <c r="AD1299" i="69"/>
  <c r="AE1299" i="69" s="1"/>
  <c r="U1299" i="69"/>
  <c r="V1299" i="69" s="1"/>
  <c r="W1299" i="69" s="1"/>
  <c r="AK1298" i="69"/>
  <c r="AG1298" i="69"/>
  <c r="AD1298" i="69"/>
  <c r="AE1298" i="69" s="1"/>
  <c r="U1298" i="69"/>
  <c r="V1298" i="69" s="1"/>
  <c r="W1298" i="69" s="1"/>
  <c r="AK1297" i="69"/>
  <c r="AG1297" i="69"/>
  <c r="AD1297" i="69"/>
  <c r="AE1297" i="69" s="1"/>
  <c r="U1297" i="69"/>
  <c r="V1297" i="69" s="1"/>
  <c r="W1297" i="69" s="1"/>
  <c r="AK1296" i="69"/>
  <c r="AG1296" i="69"/>
  <c r="AD1296" i="69"/>
  <c r="AE1296" i="69" s="1"/>
  <c r="R1296" i="69"/>
  <c r="P1296" i="69"/>
  <c r="AK1295" i="69"/>
  <c r="AG1295" i="69"/>
  <c r="AD1295" i="69"/>
  <c r="AE1295" i="69" s="1"/>
  <c r="R1295" i="69"/>
  <c r="P1295" i="69"/>
  <c r="AK1294" i="69"/>
  <c r="AG1294" i="69"/>
  <c r="AD1294" i="69"/>
  <c r="AE1294" i="69" s="1"/>
  <c r="R1294" i="69"/>
  <c r="P1294" i="69"/>
  <c r="AK1293" i="69"/>
  <c r="AG1293" i="69"/>
  <c r="AD1293" i="69"/>
  <c r="AE1293" i="69" s="1"/>
  <c r="R1293" i="69"/>
  <c r="P1293" i="69"/>
  <c r="AK1292" i="69"/>
  <c r="AG1292" i="69"/>
  <c r="AD1292" i="69"/>
  <c r="AE1292" i="69" s="1"/>
  <c r="R1292" i="69"/>
  <c r="P1292" i="69"/>
  <c r="AK1291" i="69"/>
  <c r="AG1291" i="69"/>
  <c r="AD1291" i="69"/>
  <c r="AE1291" i="69" s="1"/>
  <c r="U1291" i="69"/>
  <c r="V1291" i="69" s="1"/>
  <c r="W1291" i="69" s="1"/>
  <c r="AK1290" i="69"/>
  <c r="AG1290" i="69"/>
  <c r="AD1290" i="69"/>
  <c r="AE1290" i="69" s="1"/>
  <c r="U1290" i="69"/>
  <c r="V1290" i="69" s="1"/>
  <c r="W1290" i="69" s="1"/>
  <c r="AK1289" i="69"/>
  <c r="AG1289" i="69"/>
  <c r="AD1289" i="69"/>
  <c r="AE1289" i="69" s="1"/>
  <c r="U1289" i="69"/>
  <c r="V1289" i="69" s="1"/>
  <c r="W1289" i="69" s="1"/>
  <c r="AK1288" i="69"/>
  <c r="AG1288" i="69"/>
  <c r="AD1288" i="69"/>
  <c r="AE1288" i="69" s="1"/>
  <c r="U1288" i="69"/>
  <c r="V1288" i="69" s="1"/>
  <c r="W1288" i="69" s="1"/>
  <c r="AK1287" i="69"/>
  <c r="AG1287" i="69"/>
  <c r="AD1287" i="69"/>
  <c r="AE1287" i="69" s="1"/>
  <c r="U1287" i="69"/>
  <c r="V1287" i="69" s="1"/>
  <c r="W1287" i="69" s="1"/>
  <c r="AK1286" i="69"/>
  <c r="AG1286" i="69"/>
  <c r="AD1286" i="69"/>
  <c r="AE1286" i="69" s="1"/>
  <c r="U1286" i="69"/>
  <c r="V1286" i="69" s="1"/>
  <c r="W1286" i="69" s="1"/>
  <c r="AK1285" i="69"/>
  <c r="AG1285" i="69"/>
  <c r="AD1285" i="69"/>
  <c r="AE1285" i="69" s="1"/>
  <c r="U1285" i="69"/>
  <c r="V1285" i="69" s="1"/>
  <c r="W1285" i="69" s="1"/>
  <c r="AK1284" i="69"/>
  <c r="AG1284" i="69"/>
  <c r="AD1284" i="69"/>
  <c r="AE1284" i="69" s="1"/>
  <c r="U1284" i="69"/>
  <c r="V1284" i="69" s="1"/>
  <c r="W1284" i="69" s="1"/>
  <c r="AK1283" i="69"/>
  <c r="AG1283" i="69"/>
  <c r="AD1283" i="69"/>
  <c r="AE1283" i="69" s="1"/>
  <c r="U1283" i="69"/>
  <c r="V1283" i="69" s="1"/>
  <c r="W1283" i="69" s="1"/>
  <c r="AK1282" i="69"/>
  <c r="AG1282" i="69"/>
  <c r="AD1282" i="69"/>
  <c r="AE1282" i="69" s="1"/>
  <c r="U1282" i="69"/>
  <c r="V1282" i="69" s="1"/>
  <c r="W1282" i="69" s="1"/>
  <c r="AK1281" i="69"/>
  <c r="AG1281" i="69"/>
  <c r="AD1281" i="69"/>
  <c r="AE1281" i="69" s="1"/>
  <c r="U1281" i="69"/>
  <c r="V1281" i="69" s="1"/>
  <c r="W1281" i="69" s="1"/>
  <c r="AK1280" i="69"/>
  <c r="AG1280" i="69"/>
  <c r="AD1280" i="69"/>
  <c r="AE1280" i="69" s="1"/>
  <c r="U1280" i="69"/>
  <c r="V1280" i="69" s="1"/>
  <c r="W1280" i="69" s="1"/>
  <c r="AK1279" i="69"/>
  <c r="AG1279" i="69"/>
  <c r="AD1279" i="69"/>
  <c r="AE1279" i="69" s="1"/>
  <c r="U1279" i="69"/>
  <c r="V1279" i="69" s="1"/>
  <c r="W1279" i="69" s="1"/>
  <c r="AK1278" i="69"/>
  <c r="AG1278" i="69"/>
  <c r="AD1278" i="69"/>
  <c r="AE1278" i="69" s="1"/>
  <c r="U1278" i="69"/>
  <c r="V1278" i="69" s="1"/>
  <c r="W1278" i="69" s="1"/>
  <c r="AK1277" i="69"/>
  <c r="AG1277" i="69"/>
  <c r="AD1277" i="69"/>
  <c r="AE1277" i="69" s="1"/>
  <c r="U1277" i="69"/>
  <c r="V1277" i="69" s="1"/>
  <c r="W1277" i="69" s="1"/>
  <c r="AK1276" i="69"/>
  <c r="AG1276" i="69"/>
  <c r="AD1276" i="69"/>
  <c r="AE1276" i="69" s="1"/>
  <c r="U1276" i="69"/>
  <c r="V1276" i="69" s="1"/>
  <c r="W1276" i="69" s="1"/>
  <c r="S1276" i="69"/>
  <c r="AK1275" i="69"/>
  <c r="AG1275" i="69"/>
  <c r="AD1275" i="69"/>
  <c r="AE1275" i="69" s="1"/>
  <c r="U1275" i="69"/>
  <c r="V1275" i="69" s="1"/>
  <c r="W1275" i="69" s="1"/>
  <c r="AK1274" i="69"/>
  <c r="AG1274" i="69"/>
  <c r="AD1274" i="69"/>
  <c r="AE1274" i="69" s="1"/>
  <c r="T1274" i="69"/>
  <c r="R1274" i="69"/>
  <c r="P1274" i="69"/>
  <c r="AK1273" i="69"/>
  <c r="AG1273" i="69"/>
  <c r="AD1273" i="69"/>
  <c r="AE1273" i="69" s="1"/>
  <c r="T1273" i="69"/>
  <c r="R1273" i="69"/>
  <c r="P1273" i="69"/>
  <c r="AK1272" i="69"/>
  <c r="AG1272" i="69"/>
  <c r="AD1272" i="69"/>
  <c r="AE1272" i="69" s="1"/>
  <c r="T1272" i="69"/>
  <c r="R1272" i="69"/>
  <c r="P1272" i="69"/>
  <c r="AK1271" i="69"/>
  <c r="AG1271" i="69"/>
  <c r="AD1271" i="69"/>
  <c r="AE1271" i="69" s="1"/>
  <c r="T1271" i="69"/>
  <c r="R1271" i="69"/>
  <c r="P1271" i="69"/>
  <c r="AK1270" i="69"/>
  <c r="AG1270" i="69"/>
  <c r="AD1270" i="69"/>
  <c r="AE1270" i="69" s="1"/>
  <c r="T1270" i="69"/>
  <c r="R1270" i="69"/>
  <c r="P1270" i="69"/>
  <c r="AK1269" i="69"/>
  <c r="AG1269" i="69"/>
  <c r="AD1269" i="69"/>
  <c r="AE1269" i="69" s="1"/>
  <c r="T1269" i="69"/>
  <c r="R1269" i="69"/>
  <c r="P1269" i="69"/>
  <c r="AK1268" i="69"/>
  <c r="AG1268" i="69"/>
  <c r="AD1268" i="69"/>
  <c r="AE1268" i="69" s="1"/>
  <c r="T1268" i="69"/>
  <c r="R1268" i="69"/>
  <c r="P1268" i="69"/>
  <c r="AK1267" i="69"/>
  <c r="AG1267" i="69"/>
  <c r="AD1267" i="69"/>
  <c r="AE1267" i="69" s="1"/>
  <c r="U1267" i="69"/>
  <c r="V1267" i="69" s="1"/>
  <c r="W1267" i="69" s="1"/>
  <c r="AK1266" i="69"/>
  <c r="AG1266" i="69"/>
  <c r="AD1266" i="69"/>
  <c r="AE1266" i="69" s="1"/>
  <c r="U1266" i="69"/>
  <c r="V1266" i="69" s="1"/>
  <c r="W1266" i="69" s="1"/>
  <c r="AK1265" i="69"/>
  <c r="AG1265" i="69"/>
  <c r="AD1265" i="69"/>
  <c r="AE1265" i="69" s="1"/>
  <c r="T1265" i="69"/>
  <c r="R1265" i="69"/>
  <c r="P1265" i="69"/>
  <c r="AK1264" i="69"/>
  <c r="AG1264" i="69"/>
  <c r="AD1264" i="69"/>
  <c r="AE1264" i="69" s="1"/>
  <c r="T1264" i="69"/>
  <c r="R1264" i="69"/>
  <c r="P1264" i="69"/>
  <c r="AK1263" i="69"/>
  <c r="AG1263" i="69"/>
  <c r="AD1263" i="69"/>
  <c r="AE1263" i="69" s="1"/>
  <c r="T1263" i="69"/>
  <c r="R1263" i="69"/>
  <c r="P1263" i="69"/>
  <c r="AK1262" i="69"/>
  <c r="AG1262" i="69"/>
  <c r="AD1262" i="69"/>
  <c r="AE1262" i="69" s="1"/>
  <c r="T1262" i="69"/>
  <c r="R1262" i="69"/>
  <c r="P1262" i="69"/>
  <c r="AK1261" i="69"/>
  <c r="AG1261" i="69"/>
  <c r="AD1261" i="69"/>
  <c r="AE1261" i="69" s="1"/>
  <c r="T1261" i="69"/>
  <c r="R1261" i="69"/>
  <c r="P1261" i="69"/>
  <c r="AK1260" i="69"/>
  <c r="AG1260" i="69"/>
  <c r="AD1260" i="69"/>
  <c r="AE1260" i="69" s="1"/>
  <c r="U1260" i="69"/>
  <c r="V1260" i="69" s="1"/>
  <c r="W1260" i="69" s="1"/>
  <c r="AK1259" i="69"/>
  <c r="AG1259" i="69"/>
  <c r="AD1259" i="69"/>
  <c r="AE1259" i="69" s="1"/>
  <c r="U1259" i="69"/>
  <c r="V1259" i="69" s="1"/>
  <c r="W1259" i="69" s="1"/>
  <c r="AK1258" i="69"/>
  <c r="AG1258" i="69"/>
  <c r="AD1258" i="69"/>
  <c r="AE1258" i="69" s="1"/>
  <c r="U1258" i="69"/>
  <c r="V1258" i="69" s="1"/>
  <c r="W1258" i="69" s="1"/>
  <c r="AK1257" i="69"/>
  <c r="AG1257" i="69"/>
  <c r="AD1257" i="69"/>
  <c r="AE1257" i="69" s="1"/>
  <c r="U1257" i="69"/>
  <c r="V1257" i="69" s="1"/>
  <c r="W1257" i="69" s="1"/>
  <c r="AK1256" i="69"/>
  <c r="AG1256" i="69"/>
  <c r="AD1256" i="69"/>
  <c r="AE1256" i="69" s="1"/>
  <c r="U1256" i="69"/>
  <c r="V1256" i="69" s="1"/>
  <c r="W1256" i="69" s="1"/>
  <c r="AK1255" i="69"/>
  <c r="AG1255" i="69"/>
  <c r="AD1255" i="69"/>
  <c r="AE1255" i="69" s="1"/>
  <c r="U1255" i="69"/>
  <c r="V1255" i="69" s="1"/>
  <c r="W1255" i="69" s="1"/>
  <c r="AK1254" i="69"/>
  <c r="AG1254" i="69"/>
  <c r="AD1254" i="69"/>
  <c r="AE1254" i="69" s="1"/>
  <c r="U1254" i="69"/>
  <c r="V1254" i="69" s="1"/>
  <c r="W1254" i="69" s="1"/>
  <c r="AK1253" i="69"/>
  <c r="AG1253" i="69"/>
  <c r="AD1253" i="69"/>
  <c r="AE1253" i="69" s="1"/>
  <c r="U1253" i="69"/>
  <c r="V1253" i="69" s="1"/>
  <c r="W1253" i="69" s="1"/>
  <c r="AK1252" i="69"/>
  <c r="AG1252" i="69"/>
  <c r="AD1252" i="69"/>
  <c r="AE1252" i="69" s="1"/>
  <c r="U1252" i="69"/>
  <c r="V1252" i="69" s="1"/>
  <c r="W1252" i="69" s="1"/>
  <c r="S1252" i="69"/>
  <c r="AK1251" i="69"/>
  <c r="AG1251" i="69"/>
  <c r="AD1251" i="69"/>
  <c r="AE1251" i="69" s="1"/>
  <c r="U1251" i="69"/>
  <c r="V1251" i="69" s="1"/>
  <c r="W1251" i="69" s="1"/>
  <c r="AK1250" i="69"/>
  <c r="AG1250" i="69"/>
  <c r="AD1250" i="69"/>
  <c r="AE1250" i="69" s="1"/>
  <c r="U1250" i="69"/>
  <c r="V1250" i="69" s="1"/>
  <c r="W1250" i="69" s="1"/>
  <c r="AK1249" i="69"/>
  <c r="AG1249" i="69"/>
  <c r="AD1249" i="69"/>
  <c r="AE1249" i="69" s="1"/>
  <c r="U1249" i="69"/>
  <c r="V1249" i="69" s="1"/>
  <c r="W1249" i="69" s="1"/>
  <c r="AK1248" i="69"/>
  <c r="AG1248" i="69"/>
  <c r="AD1248" i="69"/>
  <c r="AE1248" i="69" s="1"/>
  <c r="U1248" i="69"/>
  <c r="V1248" i="69" s="1"/>
  <c r="W1248" i="69" s="1"/>
  <c r="AK1247" i="69"/>
  <c r="AG1247" i="69"/>
  <c r="AD1247" i="69"/>
  <c r="AE1247" i="69" s="1"/>
  <c r="U1247" i="69"/>
  <c r="V1247" i="69" s="1"/>
  <c r="W1247" i="69" s="1"/>
  <c r="S1247" i="69"/>
  <c r="AK1246" i="69"/>
  <c r="AG1246" i="69"/>
  <c r="AD1246" i="69"/>
  <c r="AE1246" i="69" s="1"/>
  <c r="U1246" i="69"/>
  <c r="V1246" i="69" s="1"/>
  <c r="W1246" i="69" s="1"/>
  <c r="AK1245" i="69"/>
  <c r="AG1245" i="69"/>
  <c r="AD1245" i="69"/>
  <c r="AE1245" i="69" s="1"/>
  <c r="U1245" i="69"/>
  <c r="V1245" i="69" s="1"/>
  <c r="W1245" i="69" s="1"/>
  <c r="AK1244" i="69"/>
  <c r="AG1244" i="69"/>
  <c r="AD1244" i="69"/>
  <c r="AE1244" i="69" s="1"/>
  <c r="S1244" i="69"/>
  <c r="R1244" i="69"/>
  <c r="P1244" i="69"/>
  <c r="AK1243" i="69"/>
  <c r="AG1243" i="69"/>
  <c r="AD1243" i="69"/>
  <c r="AE1243" i="69" s="1"/>
  <c r="R1243" i="69"/>
  <c r="P1243" i="69"/>
  <c r="AK1242" i="69"/>
  <c r="AG1242" i="69"/>
  <c r="AD1242" i="69"/>
  <c r="AE1242" i="69" s="1"/>
  <c r="U1242" i="69"/>
  <c r="V1242" i="69" s="1"/>
  <c r="W1242" i="69" s="1"/>
  <c r="AK1241" i="69"/>
  <c r="AG1241" i="69"/>
  <c r="AD1241" i="69"/>
  <c r="AE1241" i="69" s="1"/>
  <c r="U1241" i="69"/>
  <c r="V1241" i="69" s="1"/>
  <c r="W1241" i="69" s="1"/>
  <c r="AK1240" i="69"/>
  <c r="AG1240" i="69"/>
  <c r="AD1240" i="69"/>
  <c r="AE1240" i="69" s="1"/>
  <c r="U1240" i="69"/>
  <c r="V1240" i="69" s="1"/>
  <c r="W1240" i="69" s="1"/>
  <c r="AK1239" i="69"/>
  <c r="AG1239" i="69"/>
  <c r="AD1239" i="69"/>
  <c r="AE1239" i="69" s="1"/>
  <c r="U1239" i="69"/>
  <c r="V1239" i="69" s="1"/>
  <c r="W1239" i="69" s="1"/>
  <c r="AK1238" i="69"/>
  <c r="AG1238" i="69"/>
  <c r="AD1238" i="69"/>
  <c r="AE1238" i="69" s="1"/>
  <c r="U1238" i="69"/>
  <c r="V1238" i="69" s="1"/>
  <c r="W1238" i="69" s="1"/>
  <c r="AK1237" i="69"/>
  <c r="AG1237" i="69"/>
  <c r="AD1237" i="69"/>
  <c r="AE1237" i="69" s="1"/>
  <c r="U1237" i="69"/>
  <c r="V1237" i="69" s="1"/>
  <c r="W1237" i="69" s="1"/>
  <c r="AK1236" i="69"/>
  <c r="AG1236" i="69"/>
  <c r="AD1236" i="69"/>
  <c r="AE1236" i="69" s="1"/>
  <c r="U1236" i="69"/>
  <c r="V1236" i="69" s="1"/>
  <c r="W1236" i="69" s="1"/>
  <c r="AK1235" i="69"/>
  <c r="AG1235" i="69"/>
  <c r="AD1235" i="69"/>
  <c r="AE1235" i="69" s="1"/>
  <c r="U1235" i="69"/>
  <c r="V1235" i="69" s="1"/>
  <c r="W1235" i="69" s="1"/>
  <c r="S1235" i="69"/>
  <c r="AK1234" i="69"/>
  <c r="AG1234" i="69"/>
  <c r="AD1234" i="69"/>
  <c r="AE1234" i="69" s="1"/>
  <c r="U1234" i="69"/>
  <c r="V1234" i="69" s="1"/>
  <c r="W1234" i="69" s="1"/>
  <c r="AK1233" i="69"/>
  <c r="AG1233" i="69"/>
  <c r="AD1233" i="69"/>
  <c r="AE1233" i="69" s="1"/>
  <c r="U1233" i="69"/>
  <c r="V1233" i="69" s="1"/>
  <c r="W1233" i="69" s="1"/>
  <c r="AK1232" i="69"/>
  <c r="AG1232" i="69"/>
  <c r="AD1232" i="69"/>
  <c r="AE1232" i="69" s="1"/>
  <c r="U1232" i="69"/>
  <c r="V1232" i="69" s="1"/>
  <c r="W1232" i="69" s="1"/>
  <c r="AK1231" i="69"/>
  <c r="AG1231" i="69"/>
  <c r="AD1231" i="69"/>
  <c r="AE1231" i="69" s="1"/>
  <c r="U1231" i="69"/>
  <c r="V1231" i="69" s="1"/>
  <c r="W1231" i="69" s="1"/>
  <c r="AK1230" i="69"/>
  <c r="AG1230" i="69"/>
  <c r="AD1230" i="69"/>
  <c r="AE1230" i="69" s="1"/>
  <c r="U1230" i="69"/>
  <c r="V1230" i="69" s="1"/>
  <c r="W1230" i="69" s="1"/>
  <c r="AK1229" i="69"/>
  <c r="AG1229" i="69"/>
  <c r="AD1229" i="69"/>
  <c r="AE1229" i="69" s="1"/>
  <c r="U1229" i="69"/>
  <c r="V1229" i="69" s="1"/>
  <c r="W1229" i="69" s="1"/>
  <c r="AK1228" i="69"/>
  <c r="AG1228" i="69"/>
  <c r="AD1228" i="69"/>
  <c r="AE1228" i="69" s="1"/>
  <c r="U1228" i="69"/>
  <c r="V1228" i="69" s="1"/>
  <c r="W1228" i="69" s="1"/>
  <c r="AK1227" i="69"/>
  <c r="AG1227" i="69"/>
  <c r="AD1227" i="69"/>
  <c r="AE1227" i="69" s="1"/>
  <c r="U1227" i="69"/>
  <c r="V1227" i="69" s="1"/>
  <c r="W1227" i="69" s="1"/>
  <c r="AK1226" i="69"/>
  <c r="AG1226" i="69"/>
  <c r="AD1226" i="69"/>
  <c r="AE1226" i="69" s="1"/>
  <c r="U1226" i="69"/>
  <c r="V1226" i="69" s="1"/>
  <c r="W1226" i="69" s="1"/>
  <c r="AK1225" i="69"/>
  <c r="AG1225" i="69"/>
  <c r="AD1225" i="69"/>
  <c r="AE1225" i="69" s="1"/>
  <c r="U1225" i="69"/>
  <c r="V1225" i="69" s="1"/>
  <c r="W1225" i="69" s="1"/>
  <c r="AK1224" i="69"/>
  <c r="AG1224" i="69"/>
  <c r="AD1224" i="69"/>
  <c r="AE1224" i="69" s="1"/>
  <c r="U1224" i="69"/>
  <c r="V1224" i="69" s="1"/>
  <c r="W1224" i="69" s="1"/>
  <c r="S1224" i="69"/>
  <c r="AK1223" i="69"/>
  <c r="AG1223" i="69"/>
  <c r="AD1223" i="69"/>
  <c r="AE1223" i="69" s="1"/>
  <c r="U1223" i="69"/>
  <c r="V1223" i="69" s="1"/>
  <c r="W1223" i="69" s="1"/>
  <c r="AK1222" i="69"/>
  <c r="AG1222" i="69"/>
  <c r="AD1222" i="69"/>
  <c r="AE1222" i="69" s="1"/>
  <c r="U1222" i="69"/>
  <c r="V1222" i="69" s="1"/>
  <c r="W1222" i="69" s="1"/>
  <c r="AK1221" i="69"/>
  <c r="AG1221" i="69"/>
  <c r="AD1221" i="69"/>
  <c r="AE1221" i="69" s="1"/>
  <c r="U1221" i="69"/>
  <c r="V1221" i="69" s="1"/>
  <c r="W1221" i="69" s="1"/>
  <c r="AK1220" i="69"/>
  <c r="AG1220" i="69"/>
  <c r="AD1220" i="69"/>
  <c r="AE1220" i="69" s="1"/>
  <c r="U1220" i="69"/>
  <c r="V1220" i="69" s="1"/>
  <c r="W1220" i="69" s="1"/>
  <c r="AK1219" i="69"/>
  <c r="AG1219" i="69"/>
  <c r="AD1219" i="69"/>
  <c r="AE1219" i="69" s="1"/>
  <c r="U1219" i="69"/>
  <c r="V1219" i="69" s="1"/>
  <c r="W1219" i="69" s="1"/>
  <c r="AK1218" i="69"/>
  <c r="AG1218" i="69"/>
  <c r="AD1218" i="69"/>
  <c r="AE1218" i="69" s="1"/>
  <c r="U1218" i="69"/>
  <c r="V1218" i="69" s="1"/>
  <c r="W1218" i="69" s="1"/>
  <c r="AK1217" i="69"/>
  <c r="AG1217" i="69"/>
  <c r="AD1217" i="69"/>
  <c r="AE1217" i="69" s="1"/>
  <c r="U1217" i="69"/>
  <c r="V1217" i="69" s="1"/>
  <c r="W1217" i="69" s="1"/>
  <c r="AK1216" i="69"/>
  <c r="AG1216" i="69"/>
  <c r="AD1216" i="69"/>
  <c r="AE1216" i="69" s="1"/>
  <c r="U1216" i="69"/>
  <c r="V1216" i="69" s="1"/>
  <c r="W1216" i="69" s="1"/>
  <c r="AK1215" i="69"/>
  <c r="AG1215" i="69"/>
  <c r="AD1215" i="69"/>
  <c r="AE1215" i="69" s="1"/>
  <c r="U1215" i="69"/>
  <c r="V1215" i="69" s="1"/>
  <c r="W1215" i="69" s="1"/>
  <c r="AK1214" i="69"/>
  <c r="AG1214" i="69"/>
  <c r="AD1214" i="69"/>
  <c r="AE1214" i="69" s="1"/>
  <c r="U1214" i="69"/>
  <c r="V1214" i="69" s="1"/>
  <c r="W1214" i="69" s="1"/>
  <c r="AK1213" i="69"/>
  <c r="AG1213" i="69"/>
  <c r="AD1213" i="69"/>
  <c r="AE1213" i="69" s="1"/>
  <c r="U1213" i="69"/>
  <c r="V1213" i="69" s="1"/>
  <c r="W1213" i="69" s="1"/>
  <c r="AK1212" i="69"/>
  <c r="AG1212" i="69"/>
  <c r="AD1212" i="69"/>
  <c r="AE1212" i="69" s="1"/>
  <c r="U1212" i="69"/>
  <c r="V1212" i="69" s="1"/>
  <c r="W1212" i="69" s="1"/>
  <c r="AK1211" i="69"/>
  <c r="AG1211" i="69"/>
  <c r="AD1211" i="69"/>
  <c r="AE1211" i="69" s="1"/>
  <c r="U1211" i="69"/>
  <c r="V1211" i="69" s="1"/>
  <c r="W1211" i="69" s="1"/>
  <c r="AK1210" i="69"/>
  <c r="AG1210" i="69"/>
  <c r="AD1210" i="69"/>
  <c r="AE1210" i="69" s="1"/>
  <c r="U1210" i="69"/>
  <c r="V1210" i="69" s="1"/>
  <c r="W1210" i="69" s="1"/>
  <c r="S1210" i="69"/>
  <c r="AK1209" i="69"/>
  <c r="AG1209" i="69"/>
  <c r="AD1209" i="69"/>
  <c r="AE1209" i="69" s="1"/>
  <c r="U1209" i="69"/>
  <c r="V1209" i="69" s="1"/>
  <c r="W1209" i="69" s="1"/>
  <c r="AK1208" i="69"/>
  <c r="AG1208" i="69"/>
  <c r="AD1208" i="69"/>
  <c r="AE1208" i="69" s="1"/>
  <c r="S1208" i="69"/>
  <c r="P1208" i="69"/>
  <c r="U1208" i="69" s="1"/>
  <c r="V1208" i="69" s="1"/>
  <c r="W1208" i="69" s="1"/>
  <c r="AK1207" i="69"/>
  <c r="AG1207" i="69"/>
  <c r="AD1207" i="69"/>
  <c r="AE1207" i="69" s="1"/>
  <c r="P1207" i="69"/>
  <c r="U1207" i="69" s="1"/>
  <c r="V1207" i="69" s="1"/>
  <c r="W1207" i="69" s="1"/>
  <c r="AK1206" i="69"/>
  <c r="AG1206" i="69"/>
  <c r="AD1206" i="69"/>
  <c r="AE1206" i="69" s="1"/>
  <c r="P1206" i="69"/>
  <c r="U1206" i="69" s="1"/>
  <c r="V1206" i="69" s="1"/>
  <c r="W1206" i="69" s="1"/>
  <c r="AK1205" i="69"/>
  <c r="AG1205" i="69"/>
  <c r="AD1205" i="69"/>
  <c r="AE1205" i="69" s="1"/>
  <c r="P1205" i="69"/>
  <c r="U1205" i="69" s="1"/>
  <c r="V1205" i="69" s="1"/>
  <c r="W1205" i="69" s="1"/>
  <c r="AK1204" i="69"/>
  <c r="AG1204" i="69"/>
  <c r="AD1204" i="69"/>
  <c r="AE1204" i="69" s="1"/>
  <c r="P1204" i="69"/>
  <c r="U1204" i="69" s="1"/>
  <c r="V1204" i="69" s="1"/>
  <c r="W1204" i="69" s="1"/>
  <c r="AK1203" i="69"/>
  <c r="AG1203" i="69"/>
  <c r="AD1203" i="69"/>
  <c r="AE1203" i="69" s="1"/>
  <c r="P1203" i="69"/>
  <c r="U1203" i="69" s="1"/>
  <c r="V1203" i="69" s="1"/>
  <c r="W1203" i="69" s="1"/>
  <c r="AK1202" i="69"/>
  <c r="AG1202" i="69"/>
  <c r="AD1202" i="69"/>
  <c r="AE1202" i="69" s="1"/>
  <c r="P1202" i="69"/>
  <c r="U1202" i="69" s="1"/>
  <c r="V1202" i="69" s="1"/>
  <c r="W1202" i="69" s="1"/>
  <c r="AK1201" i="69"/>
  <c r="AG1201" i="69"/>
  <c r="AD1201" i="69"/>
  <c r="AE1201" i="69" s="1"/>
  <c r="P1201" i="69"/>
  <c r="U1201" i="69" s="1"/>
  <c r="V1201" i="69" s="1"/>
  <c r="W1201" i="69" s="1"/>
  <c r="AK1200" i="69"/>
  <c r="AG1200" i="69"/>
  <c r="AD1200" i="69"/>
  <c r="AE1200" i="69" s="1"/>
  <c r="P1200" i="69"/>
  <c r="U1200" i="69" s="1"/>
  <c r="V1200" i="69" s="1"/>
  <c r="W1200" i="69" s="1"/>
  <c r="AK1199" i="69"/>
  <c r="AG1199" i="69"/>
  <c r="AD1199" i="69"/>
  <c r="AE1199" i="69" s="1"/>
  <c r="P1199" i="69"/>
  <c r="U1199" i="69" s="1"/>
  <c r="V1199" i="69" s="1"/>
  <c r="W1199" i="69" s="1"/>
  <c r="AK1198" i="69"/>
  <c r="AG1198" i="69"/>
  <c r="AD1198" i="69"/>
  <c r="AE1198" i="69" s="1"/>
  <c r="P1198" i="69"/>
  <c r="U1198" i="69" s="1"/>
  <c r="V1198" i="69" s="1"/>
  <c r="W1198" i="69" s="1"/>
  <c r="AK1197" i="69"/>
  <c r="AG1197" i="69"/>
  <c r="AD1197" i="69"/>
  <c r="AE1197" i="69" s="1"/>
  <c r="P1197" i="69"/>
  <c r="U1197" i="69" s="1"/>
  <c r="V1197" i="69" s="1"/>
  <c r="W1197" i="69" s="1"/>
  <c r="AK1196" i="69"/>
  <c r="AG1196" i="69"/>
  <c r="AD1196" i="69"/>
  <c r="AE1196" i="69" s="1"/>
  <c r="P1196" i="69"/>
  <c r="U1196" i="69" s="1"/>
  <c r="V1196" i="69" s="1"/>
  <c r="W1196" i="69" s="1"/>
  <c r="AK1195" i="69"/>
  <c r="AG1195" i="69"/>
  <c r="AD1195" i="69"/>
  <c r="AE1195" i="69" s="1"/>
  <c r="P1195" i="69"/>
  <c r="U1195" i="69" s="1"/>
  <c r="V1195" i="69" s="1"/>
  <c r="W1195" i="69" s="1"/>
  <c r="AK1194" i="69"/>
  <c r="AG1194" i="69"/>
  <c r="AD1194" i="69"/>
  <c r="AE1194" i="69" s="1"/>
  <c r="P1194" i="69"/>
  <c r="U1194" i="69" s="1"/>
  <c r="V1194" i="69" s="1"/>
  <c r="W1194" i="69" s="1"/>
  <c r="AK1193" i="69"/>
  <c r="AG1193" i="69"/>
  <c r="AD1193" i="69"/>
  <c r="AE1193" i="69" s="1"/>
  <c r="P1193" i="69"/>
  <c r="U1193" i="69" s="1"/>
  <c r="V1193" i="69" s="1"/>
  <c r="W1193" i="69" s="1"/>
  <c r="AK1192" i="69"/>
  <c r="AG1192" i="69"/>
  <c r="AD1192" i="69"/>
  <c r="AE1192" i="69" s="1"/>
  <c r="P1192" i="69"/>
  <c r="U1192" i="69" s="1"/>
  <c r="V1192" i="69" s="1"/>
  <c r="W1192" i="69" s="1"/>
  <c r="AK1191" i="69"/>
  <c r="AG1191" i="69"/>
  <c r="AD1191" i="69"/>
  <c r="AE1191" i="69" s="1"/>
  <c r="P1191" i="69"/>
  <c r="U1191" i="69" s="1"/>
  <c r="V1191" i="69" s="1"/>
  <c r="W1191" i="69" s="1"/>
  <c r="AK1190" i="69"/>
  <c r="AG1190" i="69"/>
  <c r="AD1190" i="69"/>
  <c r="AE1190" i="69" s="1"/>
  <c r="U1190" i="69"/>
  <c r="V1190" i="69" s="1"/>
  <c r="W1190" i="69" s="1"/>
  <c r="S1190" i="69"/>
  <c r="AK1189" i="69"/>
  <c r="AG1189" i="69"/>
  <c r="AD1189" i="69"/>
  <c r="AE1189" i="69" s="1"/>
  <c r="U1189" i="69"/>
  <c r="V1189" i="69" s="1"/>
  <c r="W1189" i="69" s="1"/>
  <c r="AK1188" i="69"/>
  <c r="AG1188" i="69"/>
  <c r="AD1188" i="69"/>
  <c r="AE1188" i="69" s="1"/>
  <c r="U1188" i="69"/>
  <c r="V1188" i="69" s="1"/>
  <c r="W1188" i="69" s="1"/>
  <c r="AK1187" i="69"/>
  <c r="AG1187" i="69"/>
  <c r="AD1187" i="69"/>
  <c r="AE1187" i="69" s="1"/>
  <c r="U1187" i="69"/>
  <c r="V1187" i="69" s="1"/>
  <c r="W1187" i="69" s="1"/>
  <c r="AK1186" i="69"/>
  <c r="AG1186" i="69"/>
  <c r="AD1186" i="69"/>
  <c r="AE1186" i="69" s="1"/>
  <c r="U1186" i="69"/>
  <c r="V1186" i="69" s="1"/>
  <c r="W1186" i="69" s="1"/>
  <c r="AK1185" i="69"/>
  <c r="AG1185" i="69"/>
  <c r="AD1185" i="69"/>
  <c r="AE1185" i="69" s="1"/>
  <c r="U1185" i="69"/>
  <c r="V1185" i="69" s="1"/>
  <c r="W1185" i="69" s="1"/>
  <c r="AK1184" i="69"/>
  <c r="AG1184" i="69"/>
  <c r="AD1184" i="69"/>
  <c r="AE1184" i="69" s="1"/>
  <c r="U1184" i="69"/>
  <c r="V1184" i="69" s="1"/>
  <c r="W1184" i="69" s="1"/>
  <c r="AK1183" i="69"/>
  <c r="AG1183" i="69"/>
  <c r="AD1183" i="69"/>
  <c r="AE1183" i="69" s="1"/>
  <c r="U1183" i="69"/>
  <c r="V1183" i="69" s="1"/>
  <c r="W1183" i="69" s="1"/>
  <c r="AK1182" i="69"/>
  <c r="AG1182" i="69"/>
  <c r="AD1182" i="69"/>
  <c r="AE1182" i="69" s="1"/>
  <c r="U1182" i="69"/>
  <c r="V1182" i="69" s="1"/>
  <c r="W1182" i="69" s="1"/>
  <c r="AK1181" i="69"/>
  <c r="AG1181" i="69"/>
  <c r="AD1181" i="69"/>
  <c r="AE1181" i="69" s="1"/>
  <c r="U1181" i="69"/>
  <c r="V1181" i="69" s="1"/>
  <c r="W1181" i="69" s="1"/>
  <c r="S1181" i="69"/>
  <c r="AK1180" i="69"/>
  <c r="AG1180" i="69"/>
  <c r="AD1180" i="69"/>
  <c r="AE1180" i="69" s="1"/>
  <c r="U1180" i="69"/>
  <c r="V1180" i="69" s="1"/>
  <c r="W1180" i="69" s="1"/>
  <c r="AK1179" i="69"/>
  <c r="AG1179" i="69"/>
  <c r="AD1179" i="69"/>
  <c r="AE1179" i="69" s="1"/>
  <c r="U1179" i="69"/>
  <c r="V1179" i="69" s="1"/>
  <c r="W1179" i="69" s="1"/>
  <c r="AK1178" i="69"/>
  <c r="AG1178" i="69"/>
  <c r="AD1178" i="69"/>
  <c r="AE1178" i="69" s="1"/>
  <c r="U1178" i="69"/>
  <c r="V1178" i="69" s="1"/>
  <c r="W1178" i="69" s="1"/>
  <c r="AK1177" i="69"/>
  <c r="AG1177" i="69"/>
  <c r="AD1177" i="69"/>
  <c r="AE1177" i="69" s="1"/>
  <c r="U1177" i="69"/>
  <c r="V1177" i="69" s="1"/>
  <c r="W1177" i="69" s="1"/>
  <c r="AK1176" i="69"/>
  <c r="AG1176" i="69"/>
  <c r="AD1176" i="69"/>
  <c r="AE1176" i="69" s="1"/>
  <c r="U1176" i="69"/>
  <c r="V1176" i="69" s="1"/>
  <c r="W1176" i="69" s="1"/>
  <c r="AK1175" i="69"/>
  <c r="AG1175" i="69"/>
  <c r="AD1175" i="69"/>
  <c r="AE1175" i="69" s="1"/>
  <c r="U1175" i="69"/>
  <c r="V1175" i="69" s="1"/>
  <c r="W1175" i="69" s="1"/>
  <c r="AK1174" i="69"/>
  <c r="AG1174" i="69"/>
  <c r="AD1174" i="69"/>
  <c r="AE1174" i="69" s="1"/>
  <c r="U1174" i="69"/>
  <c r="V1174" i="69" s="1"/>
  <c r="W1174" i="69" s="1"/>
  <c r="AK1173" i="69"/>
  <c r="AG1173" i="69"/>
  <c r="AD1173" i="69"/>
  <c r="AE1173" i="69" s="1"/>
  <c r="U1173" i="69"/>
  <c r="V1173" i="69" s="1"/>
  <c r="W1173" i="69" s="1"/>
  <c r="AK1172" i="69"/>
  <c r="AG1172" i="69"/>
  <c r="AD1172" i="69"/>
  <c r="AE1172" i="69" s="1"/>
  <c r="U1172" i="69"/>
  <c r="V1172" i="69" s="1"/>
  <c r="W1172" i="69" s="1"/>
  <c r="AK1171" i="69"/>
  <c r="AG1171" i="69"/>
  <c r="AD1171" i="69"/>
  <c r="AE1171" i="69" s="1"/>
  <c r="U1171" i="69"/>
  <c r="V1171" i="69" s="1"/>
  <c r="W1171" i="69" s="1"/>
  <c r="AK1170" i="69"/>
  <c r="AG1170" i="69"/>
  <c r="AD1170" i="69"/>
  <c r="AE1170" i="69" s="1"/>
  <c r="P1170" i="69"/>
  <c r="U1170" i="69" s="1"/>
  <c r="V1170" i="69" s="1"/>
  <c r="W1170" i="69" s="1"/>
  <c r="AK1169" i="69"/>
  <c r="AG1169" i="69"/>
  <c r="AD1169" i="69"/>
  <c r="AE1169" i="69" s="1"/>
  <c r="P1169" i="69"/>
  <c r="U1169" i="69" s="1"/>
  <c r="V1169" i="69" s="1"/>
  <c r="W1169" i="69" s="1"/>
  <c r="AK1168" i="69"/>
  <c r="AG1168" i="69"/>
  <c r="AD1168" i="69"/>
  <c r="AE1168" i="69" s="1"/>
  <c r="P1168" i="69"/>
  <c r="U1168" i="69" s="1"/>
  <c r="V1168" i="69" s="1"/>
  <c r="W1168" i="69" s="1"/>
  <c r="AK1167" i="69"/>
  <c r="AG1167" i="69"/>
  <c r="AD1167" i="69"/>
  <c r="AE1167" i="69" s="1"/>
  <c r="P1167" i="69"/>
  <c r="U1167" i="69" s="1"/>
  <c r="V1167" i="69" s="1"/>
  <c r="W1167" i="69" s="1"/>
  <c r="AK1166" i="69"/>
  <c r="AG1166" i="69"/>
  <c r="AD1166" i="69"/>
  <c r="AE1166" i="69" s="1"/>
  <c r="P1166" i="69"/>
  <c r="U1166" i="69" s="1"/>
  <c r="V1166" i="69" s="1"/>
  <c r="W1166" i="69" s="1"/>
  <c r="AK1165" i="69"/>
  <c r="AG1165" i="69"/>
  <c r="AD1165" i="69"/>
  <c r="AE1165" i="69" s="1"/>
  <c r="P1165" i="69"/>
  <c r="U1165" i="69" s="1"/>
  <c r="V1165" i="69" s="1"/>
  <c r="W1165" i="69" s="1"/>
  <c r="AK1164" i="69"/>
  <c r="AG1164" i="69"/>
  <c r="AD1164" i="69"/>
  <c r="AE1164" i="69" s="1"/>
  <c r="P1164" i="69"/>
  <c r="U1164" i="69" s="1"/>
  <c r="V1164" i="69" s="1"/>
  <c r="W1164" i="69" s="1"/>
  <c r="AK1163" i="69"/>
  <c r="AG1163" i="69"/>
  <c r="AD1163" i="69"/>
  <c r="AE1163" i="69" s="1"/>
  <c r="P1163" i="69"/>
  <c r="U1163" i="69" s="1"/>
  <c r="V1163" i="69" s="1"/>
  <c r="W1163" i="69" s="1"/>
  <c r="AK1162" i="69"/>
  <c r="AG1162" i="69"/>
  <c r="AD1162" i="69"/>
  <c r="AE1162" i="69" s="1"/>
  <c r="P1162" i="69"/>
  <c r="U1162" i="69" s="1"/>
  <c r="V1162" i="69" s="1"/>
  <c r="W1162" i="69" s="1"/>
  <c r="AK1161" i="69"/>
  <c r="AG1161" i="69"/>
  <c r="AD1161" i="69"/>
  <c r="AE1161" i="69" s="1"/>
  <c r="P1161" i="69"/>
  <c r="U1161" i="69" s="1"/>
  <c r="V1161" i="69" s="1"/>
  <c r="W1161" i="69" s="1"/>
  <c r="AK1160" i="69"/>
  <c r="AG1160" i="69"/>
  <c r="AD1160" i="69"/>
  <c r="AE1160" i="69" s="1"/>
  <c r="P1160" i="69"/>
  <c r="U1160" i="69" s="1"/>
  <c r="V1160" i="69" s="1"/>
  <c r="W1160" i="69" s="1"/>
  <c r="AK1159" i="69"/>
  <c r="AG1159" i="69"/>
  <c r="AD1159" i="69"/>
  <c r="AE1159" i="69" s="1"/>
  <c r="P1159" i="69"/>
  <c r="U1159" i="69" s="1"/>
  <c r="V1159" i="69" s="1"/>
  <c r="W1159" i="69" s="1"/>
  <c r="AK1158" i="69"/>
  <c r="AG1158" i="69"/>
  <c r="AD1158" i="69"/>
  <c r="AE1158" i="69" s="1"/>
  <c r="P1158" i="69"/>
  <c r="U1158" i="69" s="1"/>
  <c r="V1158" i="69" s="1"/>
  <c r="W1158" i="69" s="1"/>
  <c r="AK1157" i="69"/>
  <c r="AG1157" i="69"/>
  <c r="AD1157" i="69"/>
  <c r="AE1157" i="69" s="1"/>
  <c r="P1157" i="69"/>
  <c r="U1157" i="69" s="1"/>
  <c r="V1157" i="69" s="1"/>
  <c r="W1157" i="69" s="1"/>
  <c r="AK1156" i="69"/>
  <c r="AG1156" i="69"/>
  <c r="AD1156" i="69"/>
  <c r="AE1156" i="69" s="1"/>
  <c r="P1156" i="69"/>
  <c r="U1156" i="69" s="1"/>
  <c r="V1156" i="69" s="1"/>
  <c r="W1156" i="69" s="1"/>
  <c r="AK1155" i="69"/>
  <c r="AG1155" i="69"/>
  <c r="AD1155" i="69"/>
  <c r="AE1155" i="69" s="1"/>
  <c r="P1155" i="69"/>
  <c r="U1155" i="69" s="1"/>
  <c r="V1155" i="69" s="1"/>
  <c r="W1155" i="69" s="1"/>
  <c r="AK1154" i="69"/>
  <c r="AG1154" i="69"/>
  <c r="AD1154" i="69"/>
  <c r="AE1154" i="69" s="1"/>
  <c r="P1154" i="69"/>
  <c r="U1154" i="69" s="1"/>
  <c r="V1154" i="69" s="1"/>
  <c r="W1154" i="69" s="1"/>
  <c r="AK1153" i="69"/>
  <c r="AG1153" i="69"/>
  <c r="AD1153" i="69"/>
  <c r="AE1153" i="69" s="1"/>
  <c r="P1153" i="69"/>
  <c r="U1153" i="69" s="1"/>
  <c r="V1153" i="69" s="1"/>
  <c r="W1153" i="69" s="1"/>
  <c r="AK1152" i="69"/>
  <c r="AG1152" i="69"/>
  <c r="AD1152" i="69"/>
  <c r="AE1152" i="69" s="1"/>
  <c r="P1152" i="69"/>
  <c r="U1152" i="69" s="1"/>
  <c r="V1152" i="69" s="1"/>
  <c r="W1152" i="69" s="1"/>
  <c r="AK1151" i="69"/>
  <c r="AG1151" i="69"/>
  <c r="AD1151" i="69"/>
  <c r="AE1151" i="69" s="1"/>
  <c r="P1151" i="69"/>
  <c r="U1151" i="69" s="1"/>
  <c r="V1151" i="69" s="1"/>
  <c r="W1151" i="69" s="1"/>
  <c r="AK1150" i="69"/>
  <c r="AG1150" i="69"/>
  <c r="AD1150" i="69"/>
  <c r="AE1150" i="69" s="1"/>
  <c r="P1150" i="69"/>
  <c r="U1150" i="69" s="1"/>
  <c r="V1150" i="69" s="1"/>
  <c r="W1150" i="69" s="1"/>
  <c r="AK1149" i="69"/>
  <c r="AG1149" i="69"/>
  <c r="AD1149" i="69"/>
  <c r="AE1149" i="69" s="1"/>
  <c r="P1149" i="69"/>
  <c r="U1149" i="69" s="1"/>
  <c r="V1149" i="69" s="1"/>
  <c r="W1149" i="69" s="1"/>
  <c r="AK1148" i="69"/>
  <c r="AG1148" i="69"/>
  <c r="AD1148" i="69"/>
  <c r="AE1148" i="69" s="1"/>
  <c r="P1148" i="69"/>
  <c r="U1148" i="69" s="1"/>
  <c r="V1148" i="69" s="1"/>
  <c r="W1148" i="69" s="1"/>
  <c r="AK1147" i="69"/>
  <c r="AG1147" i="69"/>
  <c r="AD1147" i="69"/>
  <c r="AE1147" i="69" s="1"/>
  <c r="P1147" i="69"/>
  <c r="U1147" i="69" s="1"/>
  <c r="V1147" i="69" s="1"/>
  <c r="W1147" i="69" s="1"/>
  <c r="AK1146" i="69"/>
  <c r="AG1146" i="69"/>
  <c r="AD1146" i="69"/>
  <c r="AE1146" i="69" s="1"/>
  <c r="P1146" i="69"/>
  <c r="U1146" i="69" s="1"/>
  <c r="V1146" i="69" s="1"/>
  <c r="W1146" i="69" s="1"/>
  <c r="AK1145" i="69"/>
  <c r="AG1145" i="69"/>
  <c r="AD1145" i="69"/>
  <c r="AE1145" i="69" s="1"/>
  <c r="P1145" i="69"/>
  <c r="U1145" i="69" s="1"/>
  <c r="V1145" i="69" s="1"/>
  <c r="W1145" i="69" s="1"/>
  <c r="AK1144" i="69"/>
  <c r="AG1144" i="69"/>
  <c r="AD1144" i="69"/>
  <c r="AE1144" i="69" s="1"/>
  <c r="P1144" i="69"/>
  <c r="U1144" i="69" s="1"/>
  <c r="V1144" i="69" s="1"/>
  <c r="W1144" i="69" s="1"/>
  <c r="AK1143" i="69"/>
  <c r="AG1143" i="69"/>
  <c r="AD1143" i="69"/>
  <c r="AE1143" i="69" s="1"/>
  <c r="P1143" i="69"/>
  <c r="U1143" i="69" s="1"/>
  <c r="V1143" i="69" s="1"/>
  <c r="W1143" i="69" s="1"/>
  <c r="AK1142" i="69"/>
  <c r="AG1142" i="69"/>
  <c r="AD1142" i="69"/>
  <c r="AE1142" i="69" s="1"/>
  <c r="P1142" i="69"/>
  <c r="U1142" i="69" s="1"/>
  <c r="V1142" i="69" s="1"/>
  <c r="W1142" i="69" s="1"/>
  <c r="AK1141" i="69"/>
  <c r="AG1141" i="69"/>
  <c r="AD1141" i="69"/>
  <c r="AE1141" i="69" s="1"/>
  <c r="P1141" i="69"/>
  <c r="U1141" i="69" s="1"/>
  <c r="V1141" i="69" s="1"/>
  <c r="W1141" i="69" s="1"/>
  <c r="AK1140" i="69"/>
  <c r="AG1140" i="69"/>
  <c r="AD1140" i="69"/>
  <c r="AE1140" i="69" s="1"/>
  <c r="P1140" i="69"/>
  <c r="U1140" i="69" s="1"/>
  <c r="V1140" i="69" s="1"/>
  <c r="W1140" i="69" s="1"/>
  <c r="AK1139" i="69"/>
  <c r="AG1139" i="69"/>
  <c r="AD1139" i="69"/>
  <c r="AE1139" i="69" s="1"/>
  <c r="P1139" i="69"/>
  <c r="U1139" i="69" s="1"/>
  <c r="V1139" i="69" s="1"/>
  <c r="W1139" i="69" s="1"/>
  <c r="AK1138" i="69"/>
  <c r="AG1138" i="69"/>
  <c r="AD1138" i="69"/>
  <c r="AE1138" i="69" s="1"/>
  <c r="P1138" i="69"/>
  <c r="U1138" i="69" s="1"/>
  <c r="V1138" i="69" s="1"/>
  <c r="W1138" i="69" s="1"/>
  <c r="AK1137" i="69"/>
  <c r="AG1137" i="69"/>
  <c r="AD1137" i="69"/>
  <c r="AE1137" i="69" s="1"/>
  <c r="P1137" i="69"/>
  <c r="U1137" i="69" s="1"/>
  <c r="V1137" i="69" s="1"/>
  <c r="W1137" i="69" s="1"/>
  <c r="AK1136" i="69"/>
  <c r="AG1136" i="69"/>
  <c r="AD1136" i="69"/>
  <c r="AE1136" i="69" s="1"/>
  <c r="P1136" i="69"/>
  <c r="U1136" i="69" s="1"/>
  <c r="V1136" i="69" s="1"/>
  <c r="W1136" i="69" s="1"/>
  <c r="AK1135" i="69"/>
  <c r="AG1135" i="69"/>
  <c r="AD1135" i="69"/>
  <c r="AE1135" i="69" s="1"/>
  <c r="P1135" i="69"/>
  <c r="U1135" i="69" s="1"/>
  <c r="V1135" i="69" s="1"/>
  <c r="W1135" i="69" s="1"/>
  <c r="AK1134" i="69"/>
  <c r="AG1134" i="69"/>
  <c r="AD1134" i="69"/>
  <c r="AE1134" i="69" s="1"/>
  <c r="P1134" i="69"/>
  <c r="U1134" i="69" s="1"/>
  <c r="V1134" i="69" s="1"/>
  <c r="W1134" i="69" s="1"/>
  <c r="AK1133" i="69"/>
  <c r="AG1133" i="69"/>
  <c r="AD1133" i="69"/>
  <c r="AE1133" i="69" s="1"/>
  <c r="P1133" i="69"/>
  <c r="U1133" i="69" s="1"/>
  <c r="V1133" i="69" s="1"/>
  <c r="W1133" i="69" s="1"/>
  <c r="AK1132" i="69"/>
  <c r="AG1132" i="69"/>
  <c r="AD1132" i="69"/>
  <c r="AE1132" i="69" s="1"/>
  <c r="P1132" i="69"/>
  <c r="U1132" i="69" s="1"/>
  <c r="V1132" i="69" s="1"/>
  <c r="W1132" i="69" s="1"/>
  <c r="AK1131" i="69"/>
  <c r="AG1131" i="69"/>
  <c r="AD1131" i="69"/>
  <c r="AE1131" i="69" s="1"/>
  <c r="P1131" i="69"/>
  <c r="U1131" i="69" s="1"/>
  <c r="V1131" i="69" s="1"/>
  <c r="W1131" i="69" s="1"/>
  <c r="AK1130" i="69"/>
  <c r="AG1130" i="69"/>
  <c r="AD1130" i="69"/>
  <c r="AE1130" i="69" s="1"/>
  <c r="P1130" i="69"/>
  <c r="U1130" i="69" s="1"/>
  <c r="V1130" i="69" s="1"/>
  <c r="W1130" i="69" s="1"/>
  <c r="AK1129" i="69"/>
  <c r="AG1129" i="69"/>
  <c r="AD1129" i="69"/>
  <c r="AE1129" i="69" s="1"/>
  <c r="P1129" i="69"/>
  <c r="U1129" i="69" s="1"/>
  <c r="V1129" i="69" s="1"/>
  <c r="W1129" i="69" s="1"/>
  <c r="AK1128" i="69"/>
  <c r="AG1128" i="69"/>
  <c r="AD1128" i="69"/>
  <c r="AE1128" i="69" s="1"/>
  <c r="P1128" i="69"/>
  <c r="U1128" i="69" s="1"/>
  <c r="V1128" i="69" s="1"/>
  <c r="W1128" i="69" s="1"/>
  <c r="AK1127" i="69"/>
  <c r="AG1127" i="69"/>
  <c r="AD1127" i="69"/>
  <c r="AE1127" i="69" s="1"/>
  <c r="P1127" i="69"/>
  <c r="U1127" i="69" s="1"/>
  <c r="V1127" i="69" s="1"/>
  <c r="W1127" i="69" s="1"/>
  <c r="AK1126" i="69"/>
  <c r="AG1126" i="69"/>
  <c r="AD1126" i="69"/>
  <c r="AE1126" i="69" s="1"/>
  <c r="P1126" i="69"/>
  <c r="U1126" i="69" s="1"/>
  <c r="V1126" i="69" s="1"/>
  <c r="W1126" i="69" s="1"/>
  <c r="AK1125" i="69"/>
  <c r="AG1125" i="69"/>
  <c r="AD1125" i="69"/>
  <c r="AE1125" i="69" s="1"/>
  <c r="P1125" i="69"/>
  <c r="U1125" i="69" s="1"/>
  <c r="V1125" i="69" s="1"/>
  <c r="W1125" i="69" s="1"/>
  <c r="AK1124" i="69"/>
  <c r="AG1124" i="69"/>
  <c r="AD1124" i="69"/>
  <c r="AE1124" i="69" s="1"/>
  <c r="P1124" i="69"/>
  <c r="U1124" i="69" s="1"/>
  <c r="V1124" i="69" s="1"/>
  <c r="W1124" i="69" s="1"/>
  <c r="AK1123" i="69"/>
  <c r="AG1123" i="69"/>
  <c r="AD1123" i="69"/>
  <c r="AE1123" i="69" s="1"/>
  <c r="P1123" i="69"/>
  <c r="U1123" i="69" s="1"/>
  <c r="V1123" i="69" s="1"/>
  <c r="W1123" i="69" s="1"/>
  <c r="AK1122" i="69"/>
  <c r="AG1122" i="69"/>
  <c r="AD1122" i="69"/>
  <c r="AE1122" i="69" s="1"/>
  <c r="P1122" i="69"/>
  <c r="U1122" i="69" s="1"/>
  <c r="V1122" i="69" s="1"/>
  <c r="W1122" i="69" s="1"/>
  <c r="AK1121" i="69"/>
  <c r="AG1121" i="69"/>
  <c r="AD1121" i="69"/>
  <c r="AE1121" i="69" s="1"/>
  <c r="P1121" i="69"/>
  <c r="U1121" i="69" s="1"/>
  <c r="V1121" i="69" s="1"/>
  <c r="W1121" i="69" s="1"/>
  <c r="AK1120" i="69"/>
  <c r="AG1120" i="69"/>
  <c r="AD1120" i="69"/>
  <c r="AE1120" i="69" s="1"/>
  <c r="P1120" i="69"/>
  <c r="U1120" i="69" s="1"/>
  <c r="V1120" i="69" s="1"/>
  <c r="W1120" i="69" s="1"/>
  <c r="AK1119" i="69"/>
  <c r="AG1119" i="69"/>
  <c r="AD1119" i="69"/>
  <c r="AE1119" i="69" s="1"/>
  <c r="P1119" i="69"/>
  <c r="U1119" i="69" s="1"/>
  <c r="V1119" i="69" s="1"/>
  <c r="W1119" i="69" s="1"/>
  <c r="AK1118" i="69"/>
  <c r="AG1118" i="69"/>
  <c r="AD1118" i="69"/>
  <c r="AE1118" i="69" s="1"/>
  <c r="P1118" i="69"/>
  <c r="U1118" i="69" s="1"/>
  <c r="V1118" i="69" s="1"/>
  <c r="W1118" i="69" s="1"/>
  <c r="AK1117" i="69"/>
  <c r="AG1117" i="69"/>
  <c r="AD1117" i="69"/>
  <c r="AE1117" i="69" s="1"/>
  <c r="P1117" i="69"/>
  <c r="U1117" i="69" s="1"/>
  <c r="V1117" i="69" s="1"/>
  <c r="W1117" i="69" s="1"/>
  <c r="AK1116" i="69"/>
  <c r="AG1116" i="69"/>
  <c r="AD1116" i="69"/>
  <c r="AE1116" i="69" s="1"/>
  <c r="P1116" i="69"/>
  <c r="U1116" i="69" s="1"/>
  <c r="V1116" i="69" s="1"/>
  <c r="W1116" i="69" s="1"/>
  <c r="AK1115" i="69"/>
  <c r="AG1115" i="69"/>
  <c r="AD1115" i="69"/>
  <c r="AE1115" i="69" s="1"/>
  <c r="P1115" i="69"/>
  <c r="U1115" i="69" s="1"/>
  <c r="V1115" i="69" s="1"/>
  <c r="W1115" i="69" s="1"/>
  <c r="AK1114" i="69"/>
  <c r="AG1114" i="69"/>
  <c r="AD1114" i="69"/>
  <c r="AE1114" i="69" s="1"/>
  <c r="P1114" i="69"/>
  <c r="U1114" i="69" s="1"/>
  <c r="V1114" i="69" s="1"/>
  <c r="W1114" i="69" s="1"/>
  <c r="AK1113" i="69"/>
  <c r="AG1113" i="69"/>
  <c r="AD1113" i="69"/>
  <c r="AE1113" i="69" s="1"/>
  <c r="P1113" i="69"/>
  <c r="U1113" i="69" s="1"/>
  <c r="V1113" i="69" s="1"/>
  <c r="W1113" i="69" s="1"/>
  <c r="AK1112" i="69"/>
  <c r="AG1112" i="69"/>
  <c r="AD1112" i="69"/>
  <c r="AE1112" i="69" s="1"/>
  <c r="P1112" i="69"/>
  <c r="U1112" i="69" s="1"/>
  <c r="V1112" i="69" s="1"/>
  <c r="W1112" i="69" s="1"/>
  <c r="AK1111" i="69"/>
  <c r="AG1111" i="69"/>
  <c r="AD1111" i="69"/>
  <c r="AE1111" i="69" s="1"/>
  <c r="P1111" i="69"/>
  <c r="U1111" i="69" s="1"/>
  <c r="V1111" i="69" s="1"/>
  <c r="W1111" i="69" s="1"/>
  <c r="AK1110" i="69"/>
  <c r="AG1110" i="69"/>
  <c r="AD1110" i="69"/>
  <c r="AE1110" i="69" s="1"/>
  <c r="P1110" i="69"/>
  <c r="U1110" i="69" s="1"/>
  <c r="V1110" i="69" s="1"/>
  <c r="W1110" i="69" s="1"/>
  <c r="AK1109" i="69"/>
  <c r="AG1109" i="69"/>
  <c r="AD1109" i="69"/>
  <c r="AE1109" i="69" s="1"/>
  <c r="P1109" i="69"/>
  <c r="U1109" i="69" s="1"/>
  <c r="V1109" i="69" s="1"/>
  <c r="W1109" i="69" s="1"/>
  <c r="AK1108" i="69"/>
  <c r="AG1108" i="69"/>
  <c r="AD1108" i="69"/>
  <c r="AE1108" i="69" s="1"/>
  <c r="P1108" i="69"/>
  <c r="U1108" i="69" s="1"/>
  <c r="V1108" i="69" s="1"/>
  <c r="W1108" i="69" s="1"/>
  <c r="AK1107" i="69"/>
  <c r="AG1107" i="69"/>
  <c r="AD1107" i="69"/>
  <c r="AE1107" i="69" s="1"/>
  <c r="P1107" i="69"/>
  <c r="U1107" i="69" s="1"/>
  <c r="V1107" i="69" s="1"/>
  <c r="W1107" i="69" s="1"/>
  <c r="AK1106" i="69"/>
  <c r="AG1106" i="69"/>
  <c r="AD1106" i="69"/>
  <c r="AE1106" i="69" s="1"/>
  <c r="P1106" i="69"/>
  <c r="U1106" i="69" s="1"/>
  <c r="V1106" i="69" s="1"/>
  <c r="W1106" i="69" s="1"/>
  <c r="AK1105" i="69"/>
  <c r="AG1105" i="69"/>
  <c r="AD1105" i="69"/>
  <c r="AE1105" i="69" s="1"/>
  <c r="P1105" i="69"/>
  <c r="U1105" i="69" s="1"/>
  <c r="V1105" i="69" s="1"/>
  <c r="W1105" i="69" s="1"/>
  <c r="AK1104" i="69"/>
  <c r="AG1104" i="69"/>
  <c r="AD1104" i="69"/>
  <c r="AE1104" i="69" s="1"/>
  <c r="P1104" i="69"/>
  <c r="U1104" i="69" s="1"/>
  <c r="V1104" i="69" s="1"/>
  <c r="W1104" i="69" s="1"/>
  <c r="AK1103" i="69"/>
  <c r="AG1103" i="69"/>
  <c r="AD1103" i="69"/>
  <c r="AE1103" i="69" s="1"/>
  <c r="P1103" i="69"/>
  <c r="U1103" i="69" s="1"/>
  <c r="V1103" i="69" s="1"/>
  <c r="W1103" i="69" s="1"/>
  <c r="AK1102" i="69"/>
  <c r="AG1102" i="69"/>
  <c r="AD1102" i="69"/>
  <c r="AE1102" i="69" s="1"/>
  <c r="P1102" i="69"/>
  <c r="U1102" i="69" s="1"/>
  <c r="V1102" i="69" s="1"/>
  <c r="W1102" i="69" s="1"/>
  <c r="AK1101" i="69"/>
  <c r="AG1101" i="69"/>
  <c r="AD1101" i="69"/>
  <c r="AE1101" i="69" s="1"/>
  <c r="P1101" i="69"/>
  <c r="U1101" i="69" s="1"/>
  <c r="V1101" i="69" s="1"/>
  <c r="W1101" i="69" s="1"/>
  <c r="AK1100" i="69"/>
  <c r="AG1100" i="69"/>
  <c r="AD1100" i="69"/>
  <c r="AE1100" i="69" s="1"/>
  <c r="P1100" i="69"/>
  <c r="U1100" i="69" s="1"/>
  <c r="V1100" i="69" s="1"/>
  <c r="W1100" i="69" s="1"/>
  <c r="AK1099" i="69"/>
  <c r="AG1099" i="69"/>
  <c r="AD1099" i="69"/>
  <c r="AE1099" i="69" s="1"/>
  <c r="P1099" i="69"/>
  <c r="U1099" i="69" s="1"/>
  <c r="V1099" i="69" s="1"/>
  <c r="W1099" i="69" s="1"/>
  <c r="AK1098" i="69"/>
  <c r="AG1098" i="69"/>
  <c r="AD1098" i="69"/>
  <c r="AE1098" i="69" s="1"/>
  <c r="P1098" i="69"/>
  <c r="U1098" i="69" s="1"/>
  <c r="V1098" i="69" s="1"/>
  <c r="W1098" i="69" s="1"/>
  <c r="AK1097" i="69"/>
  <c r="AG1097" i="69"/>
  <c r="AD1097" i="69"/>
  <c r="AE1097" i="69" s="1"/>
  <c r="P1097" i="69"/>
  <c r="U1097" i="69" s="1"/>
  <c r="V1097" i="69" s="1"/>
  <c r="W1097" i="69" s="1"/>
  <c r="AK1096" i="69"/>
  <c r="AG1096" i="69"/>
  <c r="AD1096" i="69"/>
  <c r="AE1096" i="69" s="1"/>
  <c r="P1096" i="69"/>
  <c r="U1096" i="69" s="1"/>
  <c r="V1096" i="69" s="1"/>
  <c r="W1096" i="69" s="1"/>
  <c r="AK1095" i="69"/>
  <c r="AG1095" i="69"/>
  <c r="AD1095" i="69"/>
  <c r="AE1095" i="69" s="1"/>
  <c r="P1095" i="69"/>
  <c r="U1095" i="69" s="1"/>
  <c r="V1095" i="69" s="1"/>
  <c r="W1095" i="69" s="1"/>
  <c r="AK1094" i="69"/>
  <c r="AG1094" i="69"/>
  <c r="AD1094" i="69"/>
  <c r="AE1094" i="69" s="1"/>
  <c r="P1094" i="69"/>
  <c r="U1094" i="69" s="1"/>
  <c r="V1094" i="69" s="1"/>
  <c r="W1094" i="69" s="1"/>
  <c r="AK1093" i="69"/>
  <c r="AG1093" i="69"/>
  <c r="AD1093" i="69"/>
  <c r="AE1093" i="69" s="1"/>
  <c r="P1093" i="69"/>
  <c r="U1093" i="69" s="1"/>
  <c r="V1093" i="69" s="1"/>
  <c r="W1093" i="69" s="1"/>
  <c r="AK1092" i="69"/>
  <c r="AG1092" i="69"/>
  <c r="AD1092" i="69"/>
  <c r="AE1092" i="69" s="1"/>
  <c r="P1092" i="69"/>
  <c r="U1092" i="69" s="1"/>
  <c r="V1092" i="69" s="1"/>
  <c r="W1092" i="69" s="1"/>
  <c r="AK1091" i="69"/>
  <c r="AG1091" i="69"/>
  <c r="AD1091" i="69"/>
  <c r="AE1091" i="69" s="1"/>
  <c r="P1091" i="69"/>
  <c r="U1091" i="69" s="1"/>
  <c r="V1091" i="69" s="1"/>
  <c r="W1091" i="69" s="1"/>
  <c r="AK1090" i="69"/>
  <c r="AG1090" i="69"/>
  <c r="AD1090" i="69"/>
  <c r="AE1090" i="69" s="1"/>
  <c r="P1090" i="69"/>
  <c r="U1090" i="69" s="1"/>
  <c r="V1090" i="69" s="1"/>
  <c r="W1090" i="69" s="1"/>
  <c r="AK1089" i="69"/>
  <c r="AG1089" i="69"/>
  <c r="AD1089" i="69"/>
  <c r="AE1089" i="69" s="1"/>
  <c r="P1089" i="69"/>
  <c r="U1089" i="69" s="1"/>
  <c r="V1089" i="69" s="1"/>
  <c r="W1089" i="69" s="1"/>
  <c r="AK1088" i="69"/>
  <c r="AG1088" i="69"/>
  <c r="AD1088" i="69"/>
  <c r="AE1088" i="69" s="1"/>
  <c r="P1088" i="69"/>
  <c r="U1088" i="69" s="1"/>
  <c r="V1088" i="69" s="1"/>
  <c r="W1088" i="69" s="1"/>
  <c r="AK1087" i="69"/>
  <c r="AG1087" i="69"/>
  <c r="AD1087" i="69"/>
  <c r="AE1087" i="69" s="1"/>
  <c r="P1087" i="69"/>
  <c r="U1087" i="69" s="1"/>
  <c r="V1087" i="69" s="1"/>
  <c r="W1087" i="69" s="1"/>
  <c r="AK1086" i="69"/>
  <c r="AG1086" i="69"/>
  <c r="AD1086" i="69"/>
  <c r="AE1086" i="69" s="1"/>
  <c r="P1086" i="69"/>
  <c r="U1086" i="69" s="1"/>
  <c r="V1086" i="69" s="1"/>
  <c r="W1086" i="69" s="1"/>
  <c r="AK1085" i="69"/>
  <c r="AG1085" i="69"/>
  <c r="AD1085" i="69"/>
  <c r="AE1085" i="69" s="1"/>
  <c r="P1085" i="69"/>
  <c r="U1085" i="69" s="1"/>
  <c r="V1085" i="69" s="1"/>
  <c r="W1085" i="69" s="1"/>
  <c r="AK1084" i="69"/>
  <c r="AG1084" i="69"/>
  <c r="AD1084" i="69"/>
  <c r="AE1084" i="69" s="1"/>
  <c r="P1084" i="69"/>
  <c r="U1084" i="69" s="1"/>
  <c r="V1084" i="69" s="1"/>
  <c r="W1084" i="69" s="1"/>
  <c r="AK1083" i="69"/>
  <c r="AG1083" i="69"/>
  <c r="AD1083" i="69"/>
  <c r="AE1083" i="69" s="1"/>
  <c r="P1083" i="69"/>
  <c r="U1083" i="69" s="1"/>
  <c r="V1083" i="69" s="1"/>
  <c r="W1083" i="69" s="1"/>
  <c r="AK1082" i="69"/>
  <c r="AG1082" i="69"/>
  <c r="AD1082" i="69"/>
  <c r="AE1082" i="69" s="1"/>
  <c r="P1082" i="69"/>
  <c r="U1082" i="69" s="1"/>
  <c r="V1082" i="69" s="1"/>
  <c r="W1082" i="69" s="1"/>
  <c r="AK1081" i="69"/>
  <c r="AG1081" i="69"/>
  <c r="AD1081" i="69"/>
  <c r="AE1081" i="69" s="1"/>
  <c r="P1081" i="69"/>
  <c r="U1081" i="69" s="1"/>
  <c r="V1081" i="69" s="1"/>
  <c r="W1081" i="69" s="1"/>
  <c r="AK1080" i="69"/>
  <c r="AG1080" i="69"/>
  <c r="AD1080" i="69"/>
  <c r="AE1080" i="69" s="1"/>
  <c r="P1080" i="69"/>
  <c r="U1080" i="69" s="1"/>
  <c r="V1080" i="69" s="1"/>
  <c r="W1080" i="69" s="1"/>
  <c r="AK1079" i="69"/>
  <c r="AG1079" i="69"/>
  <c r="AD1079" i="69"/>
  <c r="AE1079" i="69" s="1"/>
  <c r="P1079" i="69"/>
  <c r="U1079" i="69" s="1"/>
  <c r="V1079" i="69" s="1"/>
  <c r="W1079" i="69" s="1"/>
  <c r="AK1078" i="69"/>
  <c r="AG1078" i="69"/>
  <c r="AD1078" i="69"/>
  <c r="AE1078" i="69" s="1"/>
  <c r="P1078" i="69"/>
  <c r="U1078" i="69" s="1"/>
  <c r="V1078" i="69" s="1"/>
  <c r="W1078" i="69" s="1"/>
  <c r="AK1077" i="69"/>
  <c r="AG1077" i="69"/>
  <c r="AD1077" i="69"/>
  <c r="AE1077" i="69" s="1"/>
  <c r="U1077" i="69"/>
  <c r="V1077" i="69" s="1"/>
  <c r="W1077" i="69" s="1"/>
  <c r="AK1076" i="69"/>
  <c r="AG1076" i="69"/>
  <c r="AD1076" i="69"/>
  <c r="AE1076" i="69" s="1"/>
  <c r="P1076" i="69"/>
  <c r="U1076" i="69" s="1"/>
  <c r="V1076" i="69" s="1"/>
  <c r="W1076" i="69" s="1"/>
  <c r="AK1075" i="69"/>
  <c r="AG1075" i="69"/>
  <c r="AD1075" i="69"/>
  <c r="AE1075" i="69" s="1"/>
  <c r="P1075" i="69"/>
  <c r="U1075" i="69" s="1"/>
  <c r="V1075" i="69" s="1"/>
  <c r="W1075" i="69" s="1"/>
  <c r="AK1074" i="69"/>
  <c r="AG1074" i="69"/>
  <c r="AD1074" i="69"/>
  <c r="AE1074" i="69" s="1"/>
  <c r="P1074" i="69"/>
  <c r="U1074" i="69" s="1"/>
  <c r="V1074" i="69" s="1"/>
  <c r="W1074" i="69" s="1"/>
  <c r="AK1073" i="69"/>
  <c r="AG1073" i="69"/>
  <c r="AD1073" i="69"/>
  <c r="AE1073" i="69" s="1"/>
  <c r="P1073" i="69"/>
  <c r="U1073" i="69" s="1"/>
  <c r="V1073" i="69" s="1"/>
  <c r="W1073" i="69" s="1"/>
  <c r="AK1072" i="69"/>
  <c r="AG1072" i="69"/>
  <c r="AD1072" i="69"/>
  <c r="AE1072" i="69" s="1"/>
  <c r="P1072" i="69"/>
  <c r="U1072" i="69" s="1"/>
  <c r="V1072" i="69" s="1"/>
  <c r="W1072" i="69" s="1"/>
  <c r="AK1071" i="69"/>
  <c r="AG1071" i="69"/>
  <c r="AD1071" i="69"/>
  <c r="AE1071" i="69" s="1"/>
  <c r="P1071" i="69"/>
  <c r="U1071" i="69" s="1"/>
  <c r="V1071" i="69" s="1"/>
  <c r="W1071" i="69" s="1"/>
  <c r="AK1070" i="69"/>
  <c r="AG1070" i="69"/>
  <c r="AD1070" i="69"/>
  <c r="AE1070" i="69" s="1"/>
  <c r="P1070" i="69"/>
  <c r="U1070" i="69" s="1"/>
  <c r="V1070" i="69" s="1"/>
  <c r="W1070" i="69" s="1"/>
  <c r="AK1069" i="69"/>
  <c r="AG1069" i="69"/>
  <c r="AD1069" i="69"/>
  <c r="AE1069" i="69" s="1"/>
  <c r="P1069" i="69"/>
  <c r="U1069" i="69" s="1"/>
  <c r="V1069" i="69" s="1"/>
  <c r="W1069" i="69" s="1"/>
  <c r="AK1068" i="69"/>
  <c r="AG1068" i="69"/>
  <c r="AD1068" i="69"/>
  <c r="AE1068" i="69" s="1"/>
  <c r="P1068" i="69"/>
  <c r="U1068" i="69" s="1"/>
  <c r="V1068" i="69" s="1"/>
  <c r="W1068" i="69" s="1"/>
  <c r="AK1067" i="69"/>
  <c r="AG1067" i="69"/>
  <c r="AD1067" i="69"/>
  <c r="AE1067" i="69" s="1"/>
  <c r="U1067" i="69"/>
  <c r="V1067" i="69" s="1"/>
  <c r="W1067" i="69" s="1"/>
  <c r="AK1066" i="69"/>
  <c r="AG1066" i="69"/>
  <c r="AD1066" i="69"/>
  <c r="AE1066" i="69" s="1"/>
  <c r="P1066" i="69"/>
  <c r="U1066" i="69" s="1"/>
  <c r="V1066" i="69" s="1"/>
  <c r="W1066" i="69" s="1"/>
  <c r="AK1065" i="69"/>
  <c r="AG1065" i="69"/>
  <c r="AD1065" i="69"/>
  <c r="AE1065" i="69" s="1"/>
  <c r="P1065" i="69"/>
  <c r="U1065" i="69" s="1"/>
  <c r="V1065" i="69" s="1"/>
  <c r="W1065" i="69" s="1"/>
  <c r="AK1064" i="69"/>
  <c r="AG1064" i="69"/>
  <c r="AD1064" i="69"/>
  <c r="AE1064" i="69" s="1"/>
  <c r="P1064" i="69"/>
  <c r="U1064" i="69" s="1"/>
  <c r="V1064" i="69" s="1"/>
  <c r="W1064" i="69" s="1"/>
  <c r="AK1063" i="69"/>
  <c r="AG1063" i="69"/>
  <c r="AD1063" i="69"/>
  <c r="AE1063" i="69" s="1"/>
  <c r="P1063" i="69"/>
  <c r="U1063" i="69" s="1"/>
  <c r="V1063" i="69" s="1"/>
  <c r="W1063" i="69" s="1"/>
  <c r="AK1062" i="69"/>
  <c r="AG1062" i="69"/>
  <c r="AD1062" i="69"/>
  <c r="AE1062" i="69" s="1"/>
  <c r="P1062" i="69"/>
  <c r="U1062" i="69" s="1"/>
  <c r="V1062" i="69" s="1"/>
  <c r="W1062" i="69" s="1"/>
  <c r="AK1061" i="69"/>
  <c r="AG1061" i="69"/>
  <c r="AD1061" i="69"/>
  <c r="AE1061" i="69" s="1"/>
  <c r="P1061" i="69"/>
  <c r="U1061" i="69" s="1"/>
  <c r="V1061" i="69" s="1"/>
  <c r="W1061" i="69" s="1"/>
  <c r="AK1060" i="69"/>
  <c r="AG1060" i="69"/>
  <c r="AD1060" i="69"/>
  <c r="AE1060" i="69" s="1"/>
  <c r="P1060" i="69"/>
  <c r="U1060" i="69" s="1"/>
  <c r="V1060" i="69" s="1"/>
  <c r="W1060" i="69" s="1"/>
  <c r="AK1059" i="69"/>
  <c r="AG1059" i="69"/>
  <c r="AD1059" i="69"/>
  <c r="AE1059" i="69" s="1"/>
  <c r="P1059" i="69"/>
  <c r="U1059" i="69" s="1"/>
  <c r="V1059" i="69" s="1"/>
  <c r="W1059" i="69" s="1"/>
  <c r="AK1058" i="69"/>
  <c r="AG1058" i="69"/>
  <c r="AD1058" i="69"/>
  <c r="AE1058" i="69" s="1"/>
  <c r="P1058" i="69"/>
  <c r="U1058" i="69" s="1"/>
  <c r="V1058" i="69" s="1"/>
  <c r="W1058" i="69" s="1"/>
  <c r="AK1057" i="69"/>
  <c r="AG1057" i="69"/>
  <c r="AD1057" i="69"/>
  <c r="AE1057" i="69" s="1"/>
  <c r="P1057" i="69"/>
  <c r="U1057" i="69" s="1"/>
  <c r="V1057" i="69" s="1"/>
  <c r="W1057" i="69" s="1"/>
  <c r="AK1056" i="69"/>
  <c r="AG1056" i="69"/>
  <c r="AD1056" i="69"/>
  <c r="AE1056" i="69" s="1"/>
  <c r="P1056" i="69"/>
  <c r="U1056" i="69" s="1"/>
  <c r="V1056" i="69" s="1"/>
  <c r="W1056" i="69" s="1"/>
  <c r="AK1055" i="69"/>
  <c r="AG1055" i="69"/>
  <c r="AD1055" i="69"/>
  <c r="AE1055" i="69" s="1"/>
  <c r="P1055" i="69"/>
  <c r="U1055" i="69" s="1"/>
  <c r="V1055" i="69" s="1"/>
  <c r="W1055" i="69" s="1"/>
  <c r="AK1054" i="69"/>
  <c r="AG1054" i="69"/>
  <c r="AD1054" i="69"/>
  <c r="AE1054" i="69" s="1"/>
  <c r="P1054" i="69"/>
  <c r="U1054" i="69" s="1"/>
  <c r="V1054" i="69" s="1"/>
  <c r="W1054" i="69" s="1"/>
  <c r="AK1053" i="69"/>
  <c r="AG1053" i="69"/>
  <c r="AD1053" i="69"/>
  <c r="AE1053" i="69" s="1"/>
  <c r="U1053" i="69"/>
  <c r="V1053" i="69" s="1"/>
  <c r="W1053" i="69" s="1"/>
  <c r="AK1052" i="69"/>
  <c r="AG1052" i="69"/>
  <c r="AD1052" i="69"/>
  <c r="AE1052" i="69" s="1"/>
  <c r="U1052" i="69"/>
  <c r="V1052" i="69" s="1"/>
  <c r="W1052" i="69" s="1"/>
  <c r="AK1051" i="69"/>
  <c r="AG1051" i="69"/>
  <c r="AD1051" i="69"/>
  <c r="AE1051" i="69" s="1"/>
  <c r="U1051" i="69"/>
  <c r="V1051" i="69" s="1"/>
  <c r="W1051" i="69" s="1"/>
  <c r="AK1050" i="69"/>
  <c r="AG1050" i="69"/>
  <c r="AD1050" i="69"/>
  <c r="AE1050" i="69" s="1"/>
  <c r="U1050" i="69"/>
  <c r="V1050" i="69" s="1"/>
  <c r="W1050" i="69" s="1"/>
  <c r="AK1049" i="69"/>
  <c r="AG1049" i="69"/>
  <c r="AD1049" i="69"/>
  <c r="AE1049" i="69" s="1"/>
  <c r="Y1049" i="69"/>
  <c r="U1049" i="69" s="1"/>
  <c r="V1049" i="69" s="1"/>
  <c r="W1049" i="69" s="1"/>
  <c r="AK1048" i="69"/>
  <c r="AG1048" i="69"/>
  <c r="AD1048" i="69"/>
  <c r="AE1048" i="69" s="1"/>
  <c r="Y1048" i="69"/>
  <c r="U1048" i="69" s="1"/>
  <c r="V1048" i="69" s="1"/>
  <c r="W1048" i="69" s="1"/>
  <c r="AK1047" i="69"/>
  <c r="AG1047" i="69"/>
  <c r="AD1047" i="69"/>
  <c r="AE1047" i="69" s="1"/>
  <c r="Y1047" i="69"/>
  <c r="U1047" i="69" s="1"/>
  <c r="V1047" i="69" s="1"/>
  <c r="W1047" i="69" s="1"/>
  <c r="AK1046" i="69"/>
  <c r="AG1046" i="69"/>
  <c r="AD1046" i="69"/>
  <c r="AE1046" i="69" s="1"/>
  <c r="Y1046" i="69"/>
  <c r="U1046" i="69" s="1"/>
  <c r="V1046" i="69" s="1"/>
  <c r="W1046" i="69" s="1"/>
  <c r="AK1045" i="69"/>
  <c r="AG1045" i="69"/>
  <c r="AD1045" i="69"/>
  <c r="AE1045" i="69" s="1"/>
  <c r="Y1045" i="69"/>
  <c r="U1045" i="69" s="1"/>
  <c r="V1045" i="69" s="1"/>
  <c r="W1045" i="69" s="1"/>
  <c r="AK1044" i="69"/>
  <c r="AG1044" i="69"/>
  <c r="AD1044" i="69"/>
  <c r="AE1044" i="69" s="1"/>
  <c r="P1044" i="69"/>
  <c r="U1044" i="69" s="1"/>
  <c r="V1044" i="69" s="1"/>
  <c r="W1044" i="69" s="1"/>
  <c r="AK1043" i="69"/>
  <c r="AG1043" i="69"/>
  <c r="AD1043" i="69"/>
  <c r="AE1043" i="69" s="1"/>
  <c r="P1043" i="69"/>
  <c r="U1043" i="69" s="1"/>
  <c r="V1043" i="69" s="1"/>
  <c r="W1043" i="69" s="1"/>
  <c r="AK1042" i="69"/>
  <c r="AG1042" i="69"/>
  <c r="AD1042" i="69"/>
  <c r="AE1042" i="69" s="1"/>
  <c r="P1042" i="69"/>
  <c r="U1042" i="69" s="1"/>
  <c r="V1042" i="69" s="1"/>
  <c r="W1042" i="69" s="1"/>
  <c r="AK1041" i="69"/>
  <c r="AG1041" i="69"/>
  <c r="AD1041" i="69"/>
  <c r="AE1041" i="69" s="1"/>
  <c r="P1041" i="69"/>
  <c r="U1041" i="69" s="1"/>
  <c r="V1041" i="69" s="1"/>
  <c r="W1041" i="69" s="1"/>
  <c r="AK1040" i="69"/>
  <c r="AG1040" i="69"/>
  <c r="AD1040" i="69"/>
  <c r="AE1040" i="69" s="1"/>
  <c r="P1040" i="69"/>
  <c r="U1040" i="69" s="1"/>
  <c r="V1040" i="69" s="1"/>
  <c r="W1040" i="69" s="1"/>
  <c r="AK1039" i="69"/>
  <c r="AG1039" i="69"/>
  <c r="AD1039" i="69"/>
  <c r="AE1039" i="69" s="1"/>
  <c r="U1039" i="69"/>
  <c r="V1039" i="69" s="1"/>
  <c r="W1039" i="69" s="1"/>
  <c r="AK1038" i="69"/>
  <c r="AG1038" i="69"/>
  <c r="AD1038" i="69"/>
  <c r="AE1038" i="69" s="1"/>
  <c r="P1038" i="69"/>
  <c r="U1038" i="69" s="1"/>
  <c r="V1038" i="69" s="1"/>
  <c r="W1038" i="69" s="1"/>
  <c r="AK1037" i="69"/>
  <c r="AG1037" i="69"/>
  <c r="AD1037" i="69"/>
  <c r="AE1037" i="69" s="1"/>
  <c r="P1037" i="69"/>
  <c r="U1037" i="69" s="1"/>
  <c r="V1037" i="69" s="1"/>
  <c r="W1037" i="69" s="1"/>
  <c r="AK1036" i="69"/>
  <c r="AG1036" i="69"/>
  <c r="AD1036" i="69"/>
  <c r="AE1036" i="69" s="1"/>
  <c r="P1036" i="69"/>
  <c r="U1036" i="69" s="1"/>
  <c r="V1036" i="69" s="1"/>
  <c r="W1036" i="69" s="1"/>
  <c r="AK1035" i="69"/>
  <c r="AG1035" i="69"/>
  <c r="AD1035" i="69"/>
  <c r="AE1035" i="69" s="1"/>
  <c r="P1035" i="69"/>
  <c r="U1035" i="69" s="1"/>
  <c r="V1035" i="69" s="1"/>
  <c r="W1035" i="69" s="1"/>
  <c r="AK1034" i="69"/>
  <c r="AG1034" i="69"/>
  <c r="AD1034" i="69"/>
  <c r="AE1034" i="69" s="1"/>
  <c r="P1034" i="69"/>
  <c r="U1034" i="69" s="1"/>
  <c r="V1034" i="69" s="1"/>
  <c r="W1034" i="69" s="1"/>
  <c r="AK1033" i="69"/>
  <c r="AG1033" i="69"/>
  <c r="AD1033" i="69"/>
  <c r="AE1033" i="69" s="1"/>
  <c r="P1033" i="69"/>
  <c r="U1033" i="69" s="1"/>
  <c r="V1033" i="69" s="1"/>
  <c r="W1033" i="69" s="1"/>
  <c r="AK1032" i="69"/>
  <c r="AG1032" i="69"/>
  <c r="AD1032" i="69"/>
  <c r="AE1032" i="69" s="1"/>
  <c r="P1032" i="69"/>
  <c r="U1032" i="69" s="1"/>
  <c r="V1032" i="69" s="1"/>
  <c r="W1032" i="69" s="1"/>
  <c r="AK1031" i="69"/>
  <c r="AG1031" i="69"/>
  <c r="AD1031" i="69"/>
  <c r="AE1031" i="69" s="1"/>
  <c r="P1031" i="69"/>
  <c r="U1031" i="69" s="1"/>
  <c r="V1031" i="69" s="1"/>
  <c r="W1031" i="69" s="1"/>
  <c r="AK1030" i="69"/>
  <c r="AG1030" i="69"/>
  <c r="AD1030" i="69"/>
  <c r="AE1030" i="69" s="1"/>
  <c r="P1030" i="69"/>
  <c r="U1030" i="69" s="1"/>
  <c r="V1030" i="69" s="1"/>
  <c r="W1030" i="69" s="1"/>
  <c r="AK1029" i="69"/>
  <c r="AG1029" i="69"/>
  <c r="AD1029" i="69"/>
  <c r="AE1029" i="69" s="1"/>
  <c r="P1029" i="69"/>
  <c r="U1029" i="69" s="1"/>
  <c r="V1029" i="69" s="1"/>
  <c r="W1029" i="69" s="1"/>
  <c r="AK1028" i="69"/>
  <c r="AG1028" i="69"/>
  <c r="AD1028" i="69"/>
  <c r="AE1028" i="69" s="1"/>
  <c r="P1028" i="69"/>
  <c r="U1028" i="69" s="1"/>
  <c r="V1028" i="69" s="1"/>
  <c r="W1028" i="69" s="1"/>
  <c r="AK1027" i="69"/>
  <c r="AG1027" i="69"/>
  <c r="AD1027" i="69"/>
  <c r="AE1027" i="69" s="1"/>
  <c r="P1027" i="69"/>
  <c r="U1027" i="69" s="1"/>
  <c r="V1027" i="69" s="1"/>
  <c r="W1027" i="69" s="1"/>
  <c r="AK1026" i="69"/>
  <c r="AG1026" i="69"/>
  <c r="AD1026" i="69"/>
  <c r="AE1026" i="69" s="1"/>
  <c r="P1026" i="69"/>
  <c r="U1026" i="69" s="1"/>
  <c r="V1026" i="69" s="1"/>
  <c r="W1026" i="69" s="1"/>
  <c r="AK1025" i="69"/>
  <c r="AG1025" i="69"/>
  <c r="AD1025" i="69"/>
  <c r="AE1025" i="69" s="1"/>
  <c r="P1025" i="69"/>
  <c r="U1025" i="69" s="1"/>
  <c r="V1025" i="69" s="1"/>
  <c r="W1025" i="69" s="1"/>
  <c r="AK1024" i="69"/>
  <c r="AG1024" i="69"/>
  <c r="AD1024" i="69"/>
  <c r="AE1024" i="69" s="1"/>
  <c r="P1024" i="69"/>
  <c r="U1024" i="69" s="1"/>
  <c r="V1024" i="69" s="1"/>
  <c r="W1024" i="69" s="1"/>
  <c r="AK1023" i="69"/>
  <c r="AG1023" i="69"/>
  <c r="AD1023" i="69"/>
  <c r="AE1023" i="69" s="1"/>
  <c r="P1023" i="69"/>
  <c r="U1023" i="69" s="1"/>
  <c r="V1023" i="69" s="1"/>
  <c r="W1023" i="69" s="1"/>
  <c r="AK1022" i="69"/>
  <c r="AG1022" i="69"/>
  <c r="AD1022" i="69"/>
  <c r="AE1022" i="69" s="1"/>
  <c r="P1022" i="69"/>
  <c r="U1022" i="69" s="1"/>
  <c r="V1022" i="69" s="1"/>
  <c r="W1022" i="69" s="1"/>
  <c r="AK1021" i="69"/>
  <c r="AG1021" i="69"/>
  <c r="AD1021" i="69"/>
  <c r="AE1021" i="69" s="1"/>
  <c r="P1021" i="69"/>
  <c r="U1021" i="69" s="1"/>
  <c r="V1021" i="69" s="1"/>
  <c r="W1021" i="69" s="1"/>
  <c r="AK1020" i="69"/>
  <c r="AG1020" i="69"/>
  <c r="AD1020" i="69"/>
  <c r="AE1020" i="69" s="1"/>
  <c r="P1020" i="69"/>
  <c r="U1020" i="69" s="1"/>
  <c r="V1020" i="69" s="1"/>
  <c r="W1020" i="69" s="1"/>
  <c r="AK1019" i="69"/>
  <c r="AG1019" i="69"/>
  <c r="AD1019" i="69"/>
  <c r="AE1019" i="69" s="1"/>
  <c r="P1019" i="69"/>
  <c r="U1019" i="69" s="1"/>
  <c r="V1019" i="69" s="1"/>
  <c r="W1019" i="69" s="1"/>
  <c r="AK1018" i="69"/>
  <c r="AG1018" i="69"/>
  <c r="AD1018" i="69"/>
  <c r="AE1018" i="69" s="1"/>
  <c r="P1018" i="69"/>
  <c r="U1018" i="69" s="1"/>
  <c r="V1018" i="69" s="1"/>
  <c r="W1018" i="69" s="1"/>
  <c r="AK1017" i="69"/>
  <c r="AG1017" i="69"/>
  <c r="AD1017" i="69"/>
  <c r="AE1017" i="69" s="1"/>
  <c r="P1017" i="69"/>
  <c r="U1017" i="69" s="1"/>
  <c r="V1017" i="69" s="1"/>
  <c r="W1017" i="69" s="1"/>
  <c r="AK1016" i="69"/>
  <c r="AG1016" i="69"/>
  <c r="AD1016" i="69"/>
  <c r="AE1016" i="69" s="1"/>
  <c r="P1016" i="69"/>
  <c r="U1016" i="69" s="1"/>
  <c r="V1016" i="69" s="1"/>
  <c r="W1016" i="69" s="1"/>
  <c r="AK1015" i="69"/>
  <c r="AG1015" i="69"/>
  <c r="AD1015" i="69"/>
  <c r="AE1015" i="69" s="1"/>
  <c r="P1015" i="69"/>
  <c r="U1015" i="69" s="1"/>
  <c r="V1015" i="69" s="1"/>
  <c r="W1015" i="69" s="1"/>
  <c r="AK1014" i="69"/>
  <c r="AG1014" i="69"/>
  <c r="AD1014" i="69"/>
  <c r="AE1014" i="69" s="1"/>
  <c r="P1014" i="69"/>
  <c r="U1014" i="69" s="1"/>
  <c r="V1014" i="69" s="1"/>
  <c r="W1014" i="69" s="1"/>
  <c r="AK1013" i="69"/>
  <c r="AG1013" i="69"/>
  <c r="AD1013" i="69"/>
  <c r="AE1013" i="69" s="1"/>
  <c r="P1013" i="69"/>
  <c r="U1013" i="69" s="1"/>
  <c r="V1013" i="69" s="1"/>
  <c r="W1013" i="69" s="1"/>
  <c r="AK1012" i="69"/>
  <c r="AG1012" i="69"/>
  <c r="AD1012" i="69"/>
  <c r="AE1012" i="69" s="1"/>
  <c r="P1012" i="69"/>
  <c r="U1012" i="69" s="1"/>
  <c r="V1012" i="69" s="1"/>
  <c r="W1012" i="69" s="1"/>
  <c r="AK1011" i="69"/>
  <c r="AG1011" i="69"/>
  <c r="AD1011" i="69"/>
  <c r="AE1011" i="69" s="1"/>
  <c r="P1011" i="69"/>
  <c r="U1011" i="69" s="1"/>
  <c r="V1011" i="69" s="1"/>
  <c r="W1011" i="69" s="1"/>
  <c r="AK1010" i="69"/>
  <c r="AG1010" i="69"/>
  <c r="AD1010" i="69"/>
  <c r="AE1010" i="69" s="1"/>
  <c r="P1010" i="69"/>
  <c r="U1010" i="69" s="1"/>
  <c r="V1010" i="69" s="1"/>
  <c r="W1010" i="69" s="1"/>
  <c r="AK1009" i="69"/>
  <c r="AG1009" i="69"/>
  <c r="AD1009" i="69"/>
  <c r="AE1009" i="69" s="1"/>
  <c r="P1009" i="69"/>
  <c r="U1009" i="69" s="1"/>
  <c r="V1009" i="69" s="1"/>
  <c r="W1009" i="69" s="1"/>
  <c r="AK1008" i="69"/>
  <c r="AG1008" i="69"/>
  <c r="AD1008" i="69"/>
  <c r="AE1008" i="69" s="1"/>
  <c r="P1008" i="69"/>
  <c r="U1008" i="69" s="1"/>
  <c r="V1008" i="69" s="1"/>
  <c r="W1008" i="69" s="1"/>
  <c r="AK1007" i="69"/>
  <c r="AG1007" i="69"/>
  <c r="AD1007" i="69"/>
  <c r="AE1007" i="69" s="1"/>
  <c r="P1007" i="69"/>
  <c r="U1007" i="69" s="1"/>
  <c r="V1007" i="69" s="1"/>
  <c r="W1007" i="69" s="1"/>
  <c r="AK1006" i="69"/>
  <c r="AG1006" i="69"/>
  <c r="AD1006" i="69"/>
  <c r="AE1006" i="69" s="1"/>
  <c r="P1006" i="69"/>
  <c r="U1006" i="69" s="1"/>
  <c r="V1006" i="69" s="1"/>
  <c r="W1006" i="69" s="1"/>
  <c r="AK1005" i="69"/>
  <c r="AG1005" i="69"/>
  <c r="AD1005" i="69"/>
  <c r="AE1005" i="69" s="1"/>
  <c r="P1005" i="69"/>
  <c r="U1005" i="69" s="1"/>
  <c r="V1005" i="69" s="1"/>
  <c r="W1005" i="69" s="1"/>
  <c r="AK1004" i="69"/>
  <c r="AG1004" i="69"/>
  <c r="AD1004" i="69"/>
  <c r="AE1004" i="69" s="1"/>
  <c r="P1004" i="69"/>
  <c r="U1004" i="69" s="1"/>
  <c r="V1004" i="69" s="1"/>
  <c r="W1004" i="69" s="1"/>
  <c r="AK1003" i="69"/>
  <c r="AG1003" i="69"/>
  <c r="AD1003" i="69"/>
  <c r="AE1003" i="69" s="1"/>
  <c r="P1003" i="69"/>
  <c r="U1003" i="69" s="1"/>
  <c r="V1003" i="69" s="1"/>
  <c r="W1003" i="69" s="1"/>
  <c r="AK1002" i="69"/>
  <c r="AG1002" i="69"/>
  <c r="AD1002" i="69"/>
  <c r="AE1002" i="69" s="1"/>
  <c r="P1002" i="69"/>
  <c r="U1002" i="69" s="1"/>
  <c r="V1002" i="69" s="1"/>
  <c r="W1002" i="69" s="1"/>
  <c r="AK1001" i="69"/>
  <c r="AG1001" i="69"/>
  <c r="AD1001" i="69"/>
  <c r="AE1001" i="69" s="1"/>
  <c r="P1001" i="69"/>
  <c r="U1001" i="69" s="1"/>
  <c r="V1001" i="69" s="1"/>
  <c r="W1001" i="69" s="1"/>
  <c r="AK1000" i="69"/>
  <c r="AG1000" i="69"/>
  <c r="AD1000" i="69"/>
  <c r="AE1000" i="69" s="1"/>
  <c r="P1000" i="69"/>
  <c r="U1000" i="69" s="1"/>
  <c r="V1000" i="69" s="1"/>
  <c r="W1000" i="69" s="1"/>
  <c r="AK999" i="69"/>
  <c r="AG999" i="69"/>
  <c r="AD999" i="69"/>
  <c r="AE999" i="69" s="1"/>
  <c r="P999" i="69"/>
  <c r="U999" i="69" s="1"/>
  <c r="V999" i="69" s="1"/>
  <c r="W999" i="69" s="1"/>
  <c r="AK998" i="69"/>
  <c r="AG998" i="69"/>
  <c r="AD998" i="69"/>
  <c r="AE998" i="69" s="1"/>
  <c r="P998" i="69"/>
  <c r="U998" i="69" s="1"/>
  <c r="V998" i="69" s="1"/>
  <c r="W998" i="69" s="1"/>
  <c r="AK997" i="69"/>
  <c r="AG997" i="69"/>
  <c r="AD997" i="69"/>
  <c r="AE997" i="69" s="1"/>
  <c r="P997" i="69"/>
  <c r="U997" i="69" s="1"/>
  <c r="V997" i="69" s="1"/>
  <c r="W997" i="69" s="1"/>
  <c r="AK996" i="69"/>
  <c r="AG996" i="69"/>
  <c r="AD996" i="69"/>
  <c r="AE996" i="69" s="1"/>
  <c r="P996" i="69"/>
  <c r="U996" i="69" s="1"/>
  <c r="V996" i="69" s="1"/>
  <c r="W996" i="69" s="1"/>
  <c r="AK995" i="69"/>
  <c r="AG995" i="69"/>
  <c r="AD995" i="69"/>
  <c r="AE995" i="69" s="1"/>
  <c r="P995" i="69"/>
  <c r="U995" i="69" s="1"/>
  <c r="V995" i="69" s="1"/>
  <c r="W995" i="69" s="1"/>
  <c r="AK994" i="69"/>
  <c r="AG994" i="69"/>
  <c r="AD994" i="69"/>
  <c r="AE994" i="69" s="1"/>
  <c r="P994" i="69"/>
  <c r="U994" i="69" s="1"/>
  <c r="V994" i="69" s="1"/>
  <c r="W994" i="69" s="1"/>
  <c r="AK993" i="69"/>
  <c r="AG993" i="69"/>
  <c r="AD993" i="69"/>
  <c r="AE993" i="69" s="1"/>
  <c r="P993" i="69"/>
  <c r="U993" i="69" s="1"/>
  <c r="V993" i="69" s="1"/>
  <c r="W993" i="69" s="1"/>
  <c r="AK992" i="69"/>
  <c r="AG992" i="69"/>
  <c r="AD992" i="69"/>
  <c r="AE992" i="69" s="1"/>
  <c r="P992" i="69"/>
  <c r="U992" i="69" s="1"/>
  <c r="V992" i="69" s="1"/>
  <c r="W992" i="69" s="1"/>
  <c r="AK991" i="69"/>
  <c r="AG991" i="69"/>
  <c r="AD991" i="69"/>
  <c r="AE991" i="69" s="1"/>
  <c r="U991" i="69"/>
  <c r="V991" i="69" s="1"/>
  <c r="W991" i="69" s="1"/>
  <c r="AK990" i="69"/>
  <c r="AG990" i="69"/>
  <c r="AD990" i="69"/>
  <c r="AE990" i="69" s="1"/>
  <c r="U990" i="69"/>
  <c r="V990" i="69" s="1"/>
  <c r="W990" i="69" s="1"/>
  <c r="AK989" i="69"/>
  <c r="AG989" i="69"/>
  <c r="AD989" i="69"/>
  <c r="AE989" i="69" s="1"/>
  <c r="P989" i="69"/>
  <c r="U989" i="69" s="1"/>
  <c r="V989" i="69" s="1"/>
  <c r="W989" i="69" s="1"/>
  <c r="AK988" i="69"/>
  <c r="AG988" i="69"/>
  <c r="AD988" i="69"/>
  <c r="AE988" i="69" s="1"/>
  <c r="P988" i="69"/>
  <c r="U988" i="69" s="1"/>
  <c r="V988" i="69" s="1"/>
  <c r="W988" i="69" s="1"/>
  <c r="AK987" i="69"/>
  <c r="AG987" i="69"/>
  <c r="AD987" i="69"/>
  <c r="AE987" i="69" s="1"/>
  <c r="P987" i="69"/>
  <c r="U987" i="69" s="1"/>
  <c r="V987" i="69" s="1"/>
  <c r="W987" i="69" s="1"/>
  <c r="AK986" i="69"/>
  <c r="AG986" i="69"/>
  <c r="AD986" i="69"/>
  <c r="AE986" i="69" s="1"/>
  <c r="P986" i="69"/>
  <c r="U986" i="69" s="1"/>
  <c r="V986" i="69" s="1"/>
  <c r="W986" i="69" s="1"/>
  <c r="AK985" i="69"/>
  <c r="AG985" i="69"/>
  <c r="AD985" i="69"/>
  <c r="AE985" i="69" s="1"/>
  <c r="P985" i="69"/>
  <c r="U985" i="69" s="1"/>
  <c r="V985" i="69" s="1"/>
  <c r="W985" i="69" s="1"/>
  <c r="AK984" i="69"/>
  <c r="AG984" i="69"/>
  <c r="AD984" i="69"/>
  <c r="AE984" i="69" s="1"/>
  <c r="P984" i="69"/>
  <c r="U984" i="69" s="1"/>
  <c r="V984" i="69" s="1"/>
  <c r="W984" i="69" s="1"/>
  <c r="AK983" i="69"/>
  <c r="AG983" i="69"/>
  <c r="AD983" i="69"/>
  <c r="AE983" i="69" s="1"/>
  <c r="P983" i="69"/>
  <c r="U983" i="69" s="1"/>
  <c r="V983" i="69" s="1"/>
  <c r="W983" i="69" s="1"/>
  <c r="AK982" i="69"/>
  <c r="AG982" i="69"/>
  <c r="AD982" i="69"/>
  <c r="AE982" i="69" s="1"/>
  <c r="P982" i="69"/>
  <c r="U982" i="69" s="1"/>
  <c r="V982" i="69" s="1"/>
  <c r="W982" i="69" s="1"/>
  <c r="AK981" i="69"/>
  <c r="AG981" i="69"/>
  <c r="AD981" i="69"/>
  <c r="AE981" i="69" s="1"/>
  <c r="P981" i="69"/>
  <c r="U981" i="69" s="1"/>
  <c r="V981" i="69" s="1"/>
  <c r="W981" i="69" s="1"/>
  <c r="AK980" i="69"/>
  <c r="AG980" i="69"/>
  <c r="AD980" i="69"/>
  <c r="AE980" i="69" s="1"/>
  <c r="P980" i="69"/>
  <c r="U980" i="69" s="1"/>
  <c r="V980" i="69" s="1"/>
  <c r="W980" i="69" s="1"/>
  <c r="AK979" i="69"/>
  <c r="AG979" i="69"/>
  <c r="AD979" i="69"/>
  <c r="AE979" i="69" s="1"/>
  <c r="P979" i="69"/>
  <c r="U979" i="69" s="1"/>
  <c r="V979" i="69" s="1"/>
  <c r="W979" i="69" s="1"/>
  <c r="AK978" i="69"/>
  <c r="AG978" i="69"/>
  <c r="AD978" i="69"/>
  <c r="AE978" i="69" s="1"/>
  <c r="P978" i="69"/>
  <c r="U978" i="69" s="1"/>
  <c r="V978" i="69" s="1"/>
  <c r="W978" i="69" s="1"/>
  <c r="AK977" i="69"/>
  <c r="AG977" i="69"/>
  <c r="AD977" i="69"/>
  <c r="AE977" i="69" s="1"/>
  <c r="P977" i="69"/>
  <c r="U977" i="69" s="1"/>
  <c r="V977" i="69" s="1"/>
  <c r="W977" i="69" s="1"/>
  <c r="AK976" i="69"/>
  <c r="AG976" i="69"/>
  <c r="AD976" i="69"/>
  <c r="AE976" i="69" s="1"/>
  <c r="P976" i="69"/>
  <c r="U976" i="69" s="1"/>
  <c r="V976" i="69" s="1"/>
  <c r="W976" i="69" s="1"/>
  <c r="AK975" i="69"/>
  <c r="AG975" i="69"/>
  <c r="AD975" i="69"/>
  <c r="AE975" i="69" s="1"/>
  <c r="P975" i="69"/>
  <c r="U975" i="69" s="1"/>
  <c r="V975" i="69" s="1"/>
  <c r="W975" i="69" s="1"/>
  <c r="AK974" i="69"/>
  <c r="AG974" i="69"/>
  <c r="AD974" i="69"/>
  <c r="AE974" i="69" s="1"/>
  <c r="P974" i="69"/>
  <c r="U974" i="69" s="1"/>
  <c r="V974" i="69" s="1"/>
  <c r="W974" i="69" s="1"/>
  <c r="AK973" i="69"/>
  <c r="AG973" i="69"/>
  <c r="AD973" i="69"/>
  <c r="AE973" i="69" s="1"/>
  <c r="P973" i="69"/>
  <c r="U973" i="69" s="1"/>
  <c r="V973" i="69" s="1"/>
  <c r="W973" i="69" s="1"/>
  <c r="AK972" i="69"/>
  <c r="AG972" i="69"/>
  <c r="AD972" i="69"/>
  <c r="AE972" i="69" s="1"/>
  <c r="P972" i="69"/>
  <c r="U972" i="69" s="1"/>
  <c r="V972" i="69" s="1"/>
  <c r="W972" i="69" s="1"/>
  <c r="AK971" i="69"/>
  <c r="AG971" i="69"/>
  <c r="AD971" i="69"/>
  <c r="AE971" i="69" s="1"/>
  <c r="P971" i="69"/>
  <c r="U971" i="69" s="1"/>
  <c r="V971" i="69" s="1"/>
  <c r="W971" i="69" s="1"/>
  <c r="AK970" i="69"/>
  <c r="AG970" i="69"/>
  <c r="AD970" i="69"/>
  <c r="AE970" i="69" s="1"/>
  <c r="P970" i="69"/>
  <c r="U970" i="69" s="1"/>
  <c r="V970" i="69" s="1"/>
  <c r="W970" i="69" s="1"/>
  <c r="AK969" i="69"/>
  <c r="AG969" i="69"/>
  <c r="AD969" i="69"/>
  <c r="AE969" i="69" s="1"/>
  <c r="P969" i="69"/>
  <c r="U969" i="69" s="1"/>
  <c r="V969" i="69" s="1"/>
  <c r="W969" i="69" s="1"/>
  <c r="AK968" i="69"/>
  <c r="AG968" i="69"/>
  <c r="AD968" i="69"/>
  <c r="AE968" i="69" s="1"/>
  <c r="P968" i="69"/>
  <c r="U968" i="69" s="1"/>
  <c r="V968" i="69" s="1"/>
  <c r="W968" i="69" s="1"/>
  <c r="AK967" i="69"/>
  <c r="AG967" i="69"/>
  <c r="AD967" i="69"/>
  <c r="AE967" i="69" s="1"/>
  <c r="P967" i="69"/>
  <c r="U967" i="69" s="1"/>
  <c r="V967" i="69" s="1"/>
  <c r="W967" i="69" s="1"/>
  <c r="AK966" i="69"/>
  <c r="AG966" i="69"/>
  <c r="AD966" i="69"/>
  <c r="AE966" i="69" s="1"/>
  <c r="P966" i="69"/>
  <c r="U966" i="69" s="1"/>
  <c r="V966" i="69" s="1"/>
  <c r="W966" i="69" s="1"/>
  <c r="AK965" i="69"/>
  <c r="AG965" i="69"/>
  <c r="AD965" i="69"/>
  <c r="AE965" i="69" s="1"/>
  <c r="P965" i="69"/>
  <c r="U965" i="69" s="1"/>
  <c r="V965" i="69" s="1"/>
  <c r="W965" i="69" s="1"/>
  <c r="AK964" i="69"/>
  <c r="AG964" i="69"/>
  <c r="AD964" i="69"/>
  <c r="AE964" i="69" s="1"/>
  <c r="P964" i="69"/>
  <c r="U964" i="69" s="1"/>
  <c r="V964" i="69" s="1"/>
  <c r="W964" i="69" s="1"/>
  <c r="AK963" i="69"/>
  <c r="AG963" i="69"/>
  <c r="AD963" i="69"/>
  <c r="AE963" i="69" s="1"/>
  <c r="P963" i="69"/>
  <c r="U963" i="69" s="1"/>
  <c r="V963" i="69" s="1"/>
  <c r="W963" i="69" s="1"/>
  <c r="AK962" i="69"/>
  <c r="AG962" i="69"/>
  <c r="AD962" i="69"/>
  <c r="AE962" i="69" s="1"/>
  <c r="P962" i="69"/>
  <c r="U962" i="69" s="1"/>
  <c r="V962" i="69" s="1"/>
  <c r="W962" i="69" s="1"/>
  <c r="AK961" i="69"/>
  <c r="AG961" i="69"/>
  <c r="AD961" i="69"/>
  <c r="AE961" i="69" s="1"/>
  <c r="P961" i="69"/>
  <c r="U961" i="69" s="1"/>
  <c r="V961" i="69" s="1"/>
  <c r="W961" i="69" s="1"/>
  <c r="AK960" i="69"/>
  <c r="AG960" i="69"/>
  <c r="AD960" i="69"/>
  <c r="AE960" i="69" s="1"/>
  <c r="P960" i="69"/>
  <c r="U960" i="69" s="1"/>
  <c r="V960" i="69" s="1"/>
  <c r="W960" i="69" s="1"/>
  <c r="AK959" i="69"/>
  <c r="AG959" i="69"/>
  <c r="AD959" i="69"/>
  <c r="AE959" i="69" s="1"/>
  <c r="P959" i="69"/>
  <c r="U959" i="69" s="1"/>
  <c r="V959" i="69" s="1"/>
  <c r="W959" i="69" s="1"/>
  <c r="AK958" i="69"/>
  <c r="AG958" i="69"/>
  <c r="AD958" i="69"/>
  <c r="AE958" i="69" s="1"/>
  <c r="P958" i="69"/>
  <c r="U958" i="69" s="1"/>
  <c r="V958" i="69" s="1"/>
  <c r="W958" i="69" s="1"/>
  <c r="AK957" i="69"/>
  <c r="AG957" i="69"/>
  <c r="AD957" i="69"/>
  <c r="AE957" i="69" s="1"/>
  <c r="P957" i="69"/>
  <c r="U957" i="69" s="1"/>
  <c r="V957" i="69" s="1"/>
  <c r="W957" i="69" s="1"/>
  <c r="AK956" i="69"/>
  <c r="AG956" i="69"/>
  <c r="AD956" i="69"/>
  <c r="AE956" i="69" s="1"/>
  <c r="P956" i="69"/>
  <c r="U956" i="69" s="1"/>
  <c r="V956" i="69" s="1"/>
  <c r="W956" i="69" s="1"/>
  <c r="AK955" i="69"/>
  <c r="AG955" i="69"/>
  <c r="AD955" i="69"/>
  <c r="AE955" i="69" s="1"/>
  <c r="P955" i="69"/>
  <c r="U955" i="69" s="1"/>
  <c r="V955" i="69" s="1"/>
  <c r="W955" i="69" s="1"/>
  <c r="AK954" i="69"/>
  <c r="AG954" i="69"/>
  <c r="AD954" i="69"/>
  <c r="AE954" i="69" s="1"/>
  <c r="P954" i="69"/>
  <c r="U954" i="69" s="1"/>
  <c r="V954" i="69" s="1"/>
  <c r="W954" i="69" s="1"/>
  <c r="AK953" i="69"/>
  <c r="AG953" i="69"/>
  <c r="AD953" i="69"/>
  <c r="AE953" i="69" s="1"/>
  <c r="P953" i="69"/>
  <c r="U953" i="69" s="1"/>
  <c r="V953" i="69" s="1"/>
  <c r="W953" i="69" s="1"/>
  <c r="AK952" i="69"/>
  <c r="AG952" i="69"/>
  <c r="AD952" i="69"/>
  <c r="AE952" i="69" s="1"/>
  <c r="P952" i="69"/>
  <c r="U952" i="69" s="1"/>
  <c r="V952" i="69" s="1"/>
  <c r="W952" i="69" s="1"/>
  <c r="AK951" i="69"/>
  <c r="AG951" i="69"/>
  <c r="AD951" i="69"/>
  <c r="AE951" i="69" s="1"/>
  <c r="P951" i="69"/>
  <c r="U951" i="69" s="1"/>
  <c r="V951" i="69" s="1"/>
  <c r="W951" i="69" s="1"/>
  <c r="AK950" i="69"/>
  <c r="AG950" i="69"/>
  <c r="AD950" i="69"/>
  <c r="AE950" i="69" s="1"/>
  <c r="P950" i="69"/>
  <c r="U950" i="69" s="1"/>
  <c r="V950" i="69" s="1"/>
  <c r="W950" i="69" s="1"/>
  <c r="AK949" i="69"/>
  <c r="AG949" i="69"/>
  <c r="AD949" i="69"/>
  <c r="AE949" i="69" s="1"/>
  <c r="P949" i="69"/>
  <c r="U949" i="69" s="1"/>
  <c r="V949" i="69" s="1"/>
  <c r="W949" i="69" s="1"/>
  <c r="AK948" i="69"/>
  <c r="AG948" i="69"/>
  <c r="AD948" i="69"/>
  <c r="AE948" i="69" s="1"/>
  <c r="P948" i="69"/>
  <c r="U948" i="69" s="1"/>
  <c r="V948" i="69" s="1"/>
  <c r="W948" i="69" s="1"/>
  <c r="AK947" i="69"/>
  <c r="AG947" i="69"/>
  <c r="AD947" i="69"/>
  <c r="AE947" i="69" s="1"/>
  <c r="P947" i="69"/>
  <c r="U947" i="69" s="1"/>
  <c r="V947" i="69" s="1"/>
  <c r="W947" i="69" s="1"/>
  <c r="AK946" i="69"/>
  <c r="AG946" i="69"/>
  <c r="AD946" i="69"/>
  <c r="AE946" i="69" s="1"/>
  <c r="P946" i="69"/>
  <c r="U946" i="69" s="1"/>
  <c r="V946" i="69" s="1"/>
  <c r="W946" i="69" s="1"/>
  <c r="AK945" i="69"/>
  <c r="AG945" i="69"/>
  <c r="AD945" i="69"/>
  <c r="AE945" i="69" s="1"/>
  <c r="P945" i="69"/>
  <c r="U945" i="69" s="1"/>
  <c r="V945" i="69" s="1"/>
  <c r="W945" i="69" s="1"/>
  <c r="AK944" i="69"/>
  <c r="AG944" i="69"/>
  <c r="AD944" i="69"/>
  <c r="AE944" i="69" s="1"/>
  <c r="Y944" i="69"/>
  <c r="P944" i="69"/>
  <c r="U944" i="69" s="1"/>
  <c r="V944" i="69" s="1"/>
  <c r="W944" i="69" s="1"/>
  <c r="AK943" i="69"/>
  <c r="AG943" i="69"/>
  <c r="AD943" i="69"/>
  <c r="AE943" i="69" s="1"/>
  <c r="Y943" i="69"/>
  <c r="P943" i="69"/>
  <c r="U943" i="69" s="1"/>
  <c r="V943" i="69" s="1"/>
  <c r="W943" i="69" s="1"/>
  <c r="AK942" i="69"/>
  <c r="AG942" i="69"/>
  <c r="AD942" i="69"/>
  <c r="AE942" i="69" s="1"/>
  <c r="P942" i="69"/>
  <c r="U942" i="69" s="1"/>
  <c r="V942" i="69" s="1"/>
  <c r="W942" i="69" s="1"/>
  <c r="AK941" i="69"/>
  <c r="AG941" i="69"/>
  <c r="AD941" i="69"/>
  <c r="AE941" i="69" s="1"/>
  <c r="P941" i="69"/>
  <c r="U941" i="69" s="1"/>
  <c r="V941" i="69" s="1"/>
  <c r="W941" i="69" s="1"/>
  <c r="AK940" i="69"/>
  <c r="AG940" i="69"/>
  <c r="AD940" i="69"/>
  <c r="AE940" i="69" s="1"/>
  <c r="P940" i="69"/>
  <c r="U940" i="69" s="1"/>
  <c r="V940" i="69" s="1"/>
  <c r="W940" i="69" s="1"/>
  <c r="AK939" i="69"/>
  <c r="AG939" i="69"/>
  <c r="AD939" i="69"/>
  <c r="AE939" i="69" s="1"/>
  <c r="P939" i="69"/>
  <c r="U939" i="69" s="1"/>
  <c r="V939" i="69" s="1"/>
  <c r="W939" i="69" s="1"/>
  <c r="AK938" i="69"/>
  <c r="AG938" i="69"/>
  <c r="AD938" i="69"/>
  <c r="AE938" i="69" s="1"/>
  <c r="P938" i="69"/>
  <c r="U938" i="69" s="1"/>
  <c r="V938" i="69" s="1"/>
  <c r="W938" i="69" s="1"/>
  <c r="AK937" i="69"/>
  <c r="AG937" i="69"/>
  <c r="AD937" i="69"/>
  <c r="AE937" i="69" s="1"/>
  <c r="P937" i="69"/>
  <c r="U937" i="69" s="1"/>
  <c r="V937" i="69" s="1"/>
  <c r="W937" i="69" s="1"/>
  <c r="AK936" i="69"/>
  <c r="AG936" i="69"/>
  <c r="AD936" i="69"/>
  <c r="AE936" i="69" s="1"/>
  <c r="P936" i="69"/>
  <c r="U936" i="69" s="1"/>
  <c r="V936" i="69" s="1"/>
  <c r="W936" i="69" s="1"/>
  <c r="AK935" i="69"/>
  <c r="AG935" i="69"/>
  <c r="AD935" i="69"/>
  <c r="AE935" i="69" s="1"/>
  <c r="P935" i="69"/>
  <c r="U935" i="69" s="1"/>
  <c r="V935" i="69" s="1"/>
  <c r="W935" i="69" s="1"/>
  <c r="AK934" i="69"/>
  <c r="AG934" i="69"/>
  <c r="AD934" i="69"/>
  <c r="AE934" i="69" s="1"/>
  <c r="P934" i="69"/>
  <c r="U934" i="69" s="1"/>
  <c r="V934" i="69" s="1"/>
  <c r="W934" i="69" s="1"/>
  <c r="AK933" i="69"/>
  <c r="AG933" i="69"/>
  <c r="AD933" i="69"/>
  <c r="AE933" i="69" s="1"/>
  <c r="P933" i="69"/>
  <c r="U933" i="69" s="1"/>
  <c r="V933" i="69" s="1"/>
  <c r="W933" i="69" s="1"/>
  <c r="AK932" i="69"/>
  <c r="AG932" i="69"/>
  <c r="AD932" i="69"/>
  <c r="AE932" i="69" s="1"/>
  <c r="P932" i="69"/>
  <c r="U932" i="69" s="1"/>
  <c r="V932" i="69" s="1"/>
  <c r="W932" i="69" s="1"/>
  <c r="AK931" i="69"/>
  <c r="AG931" i="69"/>
  <c r="AD931" i="69"/>
  <c r="AE931" i="69" s="1"/>
  <c r="U931" i="69"/>
  <c r="V931" i="69" s="1"/>
  <c r="W931" i="69" s="1"/>
  <c r="AK930" i="69"/>
  <c r="AG930" i="69"/>
  <c r="AD930" i="69"/>
  <c r="AE930" i="69" s="1"/>
  <c r="P930" i="69"/>
  <c r="U930" i="69" s="1"/>
  <c r="V930" i="69" s="1"/>
  <c r="W930" i="69" s="1"/>
  <c r="AK929" i="69"/>
  <c r="AG929" i="69"/>
  <c r="AD929" i="69"/>
  <c r="AE929" i="69" s="1"/>
  <c r="P929" i="69"/>
  <c r="U929" i="69" s="1"/>
  <c r="V929" i="69" s="1"/>
  <c r="W929" i="69" s="1"/>
  <c r="AK928" i="69"/>
  <c r="AG928" i="69"/>
  <c r="AD928" i="69"/>
  <c r="AE928" i="69" s="1"/>
  <c r="P928" i="69"/>
  <c r="U928" i="69" s="1"/>
  <c r="V928" i="69" s="1"/>
  <c r="W928" i="69" s="1"/>
  <c r="AK927" i="69"/>
  <c r="AG927" i="69"/>
  <c r="AD927" i="69"/>
  <c r="AE927" i="69" s="1"/>
  <c r="P927" i="69"/>
  <c r="U927" i="69" s="1"/>
  <c r="V927" i="69" s="1"/>
  <c r="W927" i="69" s="1"/>
  <c r="AK926" i="69"/>
  <c r="AG926" i="69"/>
  <c r="AD926" i="69"/>
  <c r="AE926" i="69" s="1"/>
  <c r="P926" i="69"/>
  <c r="U926" i="69" s="1"/>
  <c r="V926" i="69" s="1"/>
  <c r="W926" i="69" s="1"/>
  <c r="AK925" i="69"/>
  <c r="AG925" i="69"/>
  <c r="AD925" i="69"/>
  <c r="AE925" i="69" s="1"/>
  <c r="P925" i="69"/>
  <c r="U925" i="69" s="1"/>
  <c r="V925" i="69" s="1"/>
  <c r="W925" i="69" s="1"/>
  <c r="AK924" i="69"/>
  <c r="AG924" i="69"/>
  <c r="AD924" i="69"/>
  <c r="AE924" i="69" s="1"/>
  <c r="P924" i="69"/>
  <c r="U924" i="69" s="1"/>
  <c r="V924" i="69" s="1"/>
  <c r="W924" i="69" s="1"/>
  <c r="AK923" i="69"/>
  <c r="AG923" i="69"/>
  <c r="AD923" i="69"/>
  <c r="AE923" i="69" s="1"/>
  <c r="P923" i="69"/>
  <c r="U923" i="69" s="1"/>
  <c r="V923" i="69" s="1"/>
  <c r="W923" i="69" s="1"/>
  <c r="AK922" i="69"/>
  <c r="AG922" i="69"/>
  <c r="AD922" i="69"/>
  <c r="AE922" i="69" s="1"/>
  <c r="P922" i="69"/>
  <c r="U922" i="69" s="1"/>
  <c r="V922" i="69" s="1"/>
  <c r="W922" i="69" s="1"/>
  <c r="AK921" i="69"/>
  <c r="AG921" i="69"/>
  <c r="AD921" i="69"/>
  <c r="AE921" i="69" s="1"/>
  <c r="P921" i="69"/>
  <c r="U921" i="69" s="1"/>
  <c r="V921" i="69" s="1"/>
  <c r="W921" i="69" s="1"/>
  <c r="AK920" i="69"/>
  <c r="AG920" i="69"/>
  <c r="AD920" i="69"/>
  <c r="AE920" i="69" s="1"/>
  <c r="P920" i="69"/>
  <c r="U920" i="69" s="1"/>
  <c r="V920" i="69" s="1"/>
  <c r="W920" i="69" s="1"/>
  <c r="AK919" i="69"/>
  <c r="AG919" i="69"/>
  <c r="AD919" i="69"/>
  <c r="AE919" i="69" s="1"/>
  <c r="P919" i="69"/>
  <c r="U919" i="69" s="1"/>
  <c r="V919" i="69" s="1"/>
  <c r="W919" i="69" s="1"/>
  <c r="AK918" i="69"/>
  <c r="AG918" i="69"/>
  <c r="AD918" i="69"/>
  <c r="AE918" i="69" s="1"/>
  <c r="P918" i="69"/>
  <c r="U918" i="69" s="1"/>
  <c r="V918" i="69" s="1"/>
  <c r="W918" i="69" s="1"/>
  <c r="AK917" i="69"/>
  <c r="AG917" i="69"/>
  <c r="AD917" i="69"/>
  <c r="AE917" i="69" s="1"/>
  <c r="P917" i="69"/>
  <c r="U917" i="69" s="1"/>
  <c r="V917" i="69" s="1"/>
  <c r="W917" i="69" s="1"/>
  <c r="AK916" i="69"/>
  <c r="AG916" i="69"/>
  <c r="AD916" i="69"/>
  <c r="AE916" i="69" s="1"/>
  <c r="P916" i="69"/>
  <c r="U916" i="69" s="1"/>
  <c r="V916" i="69" s="1"/>
  <c r="W916" i="69" s="1"/>
  <c r="AK915" i="69"/>
  <c r="AG915" i="69"/>
  <c r="AD915" i="69"/>
  <c r="AE915" i="69" s="1"/>
  <c r="P915" i="69"/>
  <c r="U915" i="69" s="1"/>
  <c r="V915" i="69" s="1"/>
  <c r="W915" i="69" s="1"/>
  <c r="AK914" i="69"/>
  <c r="AG914" i="69"/>
  <c r="AD914" i="69"/>
  <c r="AE914" i="69" s="1"/>
  <c r="U914" i="69"/>
  <c r="V914" i="69" s="1"/>
  <c r="W914" i="69" s="1"/>
  <c r="AK913" i="69"/>
  <c r="AG913" i="69"/>
  <c r="AD913" i="69"/>
  <c r="AE913" i="69" s="1"/>
  <c r="U913" i="69"/>
  <c r="V913" i="69" s="1"/>
  <c r="W913" i="69" s="1"/>
  <c r="AK912" i="69"/>
  <c r="AG912" i="69"/>
  <c r="AD912" i="69"/>
  <c r="AE912" i="69" s="1"/>
  <c r="U912" i="69"/>
  <c r="V912" i="69" s="1"/>
  <c r="W912" i="69" s="1"/>
  <c r="AK911" i="69"/>
  <c r="AG911" i="69"/>
  <c r="AD911" i="69"/>
  <c r="AE911" i="69" s="1"/>
  <c r="U911" i="69"/>
  <c r="V911" i="69" s="1"/>
  <c r="W911" i="69" s="1"/>
  <c r="AK910" i="69"/>
  <c r="AG910" i="69"/>
  <c r="AD910" i="69"/>
  <c r="AE910" i="69" s="1"/>
  <c r="U910" i="69"/>
  <c r="V910" i="69" s="1"/>
  <c r="W910" i="69" s="1"/>
  <c r="AK909" i="69"/>
  <c r="AG909" i="69"/>
  <c r="AD909" i="69"/>
  <c r="AE909" i="69" s="1"/>
  <c r="U909" i="69"/>
  <c r="V909" i="69" s="1"/>
  <c r="W909" i="69" s="1"/>
  <c r="AK908" i="69"/>
  <c r="AG908" i="69"/>
  <c r="AD908" i="69"/>
  <c r="AE908" i="69" s="1"/>
  <c r="U908" i="69"/>
  <c r="V908" i="69" s="1"/>
  <c r="W908" i="69" s="1"/>
  <c r="AK907" i="69"/>
  <c r="AG907" i="69"/>
  <c r="AD907" i="69"/>
  <c r="AE907" i="69" s="1"/>
  <c r="U907" i="69"/>
  <c r="V907" i="69" s="1"/>
  <c r="W907" i="69" s="1"/>
  <c r="AK906" i="69"/>
  <c r="AG906" i="69"/>
  <c r="AD906" i="69"/>
  <c r="AE906" i="69" s="1"/>
  <c r="U906" i="69"/>
  <c r="V906" i="69" s="1"/>
  <c r="W906" i="69" s="1"/>
  <c r="AK905" i="69"/>
  <c r="AG905" i="69"/>
  <c r="AD905" i="69"/>
  <c r="AE905" i="69" s="1"/>
  <c r="U905" i="69"/>
  <c r="V905" i="69" s="1"/>
  <c r="W905" i="69" s="1"/>
  <c r="AK904" i="69"/>
  <c r="AG904" i="69"/>
  <c r="AD904" i="69"/>
  <c r="AE904" i="69" s="1"/>
  <c r="P904" i="69"/>
  <c r="U904" i="69" s="1"/>
  <c r="V904" i="69" s="1"/>
  <c r="W904" i="69" s="1"/>
  <c r="AK903" i="69"/>
  <c r="AG903" i="69"/>
  <c r="AD903" i="69"/>
  <c r="AE903" i="69" s="1"/>
  <c r="P903" i="69"/>
  <c r="U903" i="69" s="1"/>
  <c r="V903" i="69" s="1"/>
  <c r="W903" i="69" s="1"/>
  <c r="AK902" i="69"/>
  <c r="AG902" i="69"/>
  <c r="AD902" i="69"/>
  <c r="AE902" i="69" s="1"/>
  <c r="P902" i="69"/>
  <c r="U902" i="69" s="1"/>
  <c r="V902" i="69" s="1"/>
  <c r="W902" i="69" s="1"/>
  <c r="AK901" i="69"/>
  <c r="AG901" i="69"/>
  <c r="AD901" i="69"/>
  <c r="AE901" i="69" s="1"/>
  <c r="P901" i="69"/>
  <c r="U901" i="69" s="1"/>
  <c r="V901" i="69" s="1"/>
  <c r="W901" i="69" s="1"/>
  <c r="AK900" i="69"/>
  <c r="AG900" i="69"/>
  <c r="AD900" i="69"/>
  <c r="AE900" i="69" s="1"/>
  <c r="P900" i="69"/>
  <c r="U900" i="69" s="1"/>
  <c r="V900" i="69" s="1"/>
  <c r="W900" i="69" s="1"/>
  <c r="AK899" i="69"/>
  <c r="AG899" i="69"/>
  <c r="AD899" i="69"/>
  <c r="AE899" i="69" s="1"/>
  <c r="P899" i="69"/>
  <c r="U899" i="69" s="1"/>
  <c r="V899" i="69" s="1"/>
  <c r="W899" i="69" s="1"/>
  <c r="AK898" i="69"/>
  <c r="AG898" i="69"/>
  <c r="AD898" i="69"/>
  <c r="AE898" i="69" s="1"/>
  <c r="Y898" i="69"/>
  <c r="P898" i="69"/>
  <c r="U898" i="69" s="1"/>
  <c r="V898" i="69" s="1"/>
  <c r="W898" i="69" s="1"/>
  <c r="AK897" i="69"/>
  <c r="AG897" i="69"/>
  <c r="AD897" i="69"/>
  <c r="AE897" i="69" s="1"/>
  <c r="Y897" i="69"/>
  <c r="P897" i="69"/>
  <c r="U897" i="69" s="1"/>
  <c r="V897" i="69" s="1"/>
  <c r="W897" i="69" s="1"/>
  <c r="AK896" i="69"/>
  <c r="AG896" i="69"/>
  <c r="AD896" i="69"/>
  <c r="AE896" i="69" s="1"/>
  <c r="Y896" i="69"/>
  <c r="P896" i="69"/>
  <c r="U896" i="69" s="1"/>
  <c r="V896" i="69" s="1"/>
  <c r="W896" i="69" s="1"/>
  <c r="AK895" i="69"/>
  <c r="AG895" i="69"/>
  <c r="AD895" i="69"/>
  <c r="AE895" i="69" s="1"/>
  <c r="Y895" i="69"/>
  <c r="P895" i="69"/>
  <c r="U895" i="69" s="1"/>
  <c r="V895" i="69" s="1"/>
  <c r="W895" i="69" s="1"/>
  <c r="AK894" i="69"/>
  <c r="AG894" i="69"/>
  <c r="AD894" i="69"/>
  <c r="AE894" i="69" s="1"/>
  <c r="Y894" i="69"/>
  <c r="P894" i="69"/>
  <c r="U894" i="69" s="1"/>
  <c r="V894" i="69" s="1"/>
  <c r="W894" i="69" s="1"/>
  <c r="AK893" i="69"/>
  <c r="AG893" i="69"/>
  <c r="AD893" i="69"/>
  <c r="AE893" i="69" s="1"/>
  <c r="Y893" i="69"/>
  <c r="P893" i="69"/>
  <c r="U893" i="69" s="1"/>
  <c r="V893" i="69" s="1"/>
  <c r="W893" i="69" s="1"/>
  <c r="AK892" i="69"/>
  <c r="AG892" i="69"/>
  <c r="AD892" i="69"/>
  <c r="AE892" i="69" s="1"/>
  <c r="Y892" i="69"/>
  <c r="P892" i="69"/>
  <c r="U892" i="69" s="1"/>
  <c r="V892" i="69" s="1"/>
  <c r="W892" i="69" s="1"/>
  <c r="AK891" i="69"/>
  <c r="AG891" i="69"/>
  <c r="AD891" i="69"/>
  <c r="AE891" i="69" s="1"/>
  <c r="P891" i="69"/>
  <c r="U891" i="69" s="1"/>
  <c r="V891" i="69" s="1"/>
  <c r="W891" i="69" s="1"/>
  <c r="AK890" i="69"/>
  <c r="AG890" i="69"/>
  <c r="AD890" i="69"/>
  <c r="AE890" i="69" s="1"/>
  <c r="P890" i="69"/>
  <c r="U890" i="69" s="1"/>
  <c r="V890" i="69" s="1"/>
  <c r="W890" i="69" s="1"/>
  <c r="AK889" i="69"/>
  <c r="AG889" i="69"/>
  <c r="AD889" i="69"/>
  <c r="AE889" i="69" s="1"/>
  <c r="U889" i="69"/>
  <c r="V889" i="69" s="1"/>
  <c r="W889" i="69" s="1"/>
  <c r="AK888" i="69"/>
  <c r="AG888" i="69"/>
  <c r="AD888" i="69"/>
  <c r="AE888" i="69" s="1"/>
  <c r="U888" i="69"/>
  <c r="V888" i="69" s="1"/>
  <c r="W888" i="69" s="1"/>
  <c r="AK887" i="69"/>
  <c r="AG887" i="69"/>
  <c r="AD887" i="69"/>
  <c r="AE887" i="69" s="1"/>
  <c r="U887" i="69"/>
  <c r="V887" i="69" s="1"/>
  <c r="W887" i="69" s="1"/>
  <c r="AK886" i="69"/>
  <c r="AG886" i="69"/>
  <c r="AD886" i="69"/>
  <c r="AE886" i="69" s="1"/>
  <c r="U886" i="69"/>
  <c r="V886" i="69" s="1"/>
  <c r="W886" i="69" s="1"/>
  <c r="AK885" i="69"/>
  <c r="AG885" i="69"/>
  <c r="AD885" i="69"/>
  <c r="AE885" i="69" s="1"/>
  <c r="U885" i="69"/>
  <c r="V885" i="69" s="1"/>
  <c r="W885" i="69" s="1"/>
  <c r="AK884" i="69"/>
  <c r="AG884" i="69"/>
  <c r="AD884" i="69"/>
  <c r="AE884" i="69" s="1"/>
  <c r="U884" i="69"/>
  <c r="V884" i="69" s="1"/>
  <c r="W884" i="69" s="1"/>
  <c r="AK883" i="69"/>
  <c r="AG883" i="69"/>
  <c r="AD883" i="69"/>
  <c r="AE883" i="69" s="1"/>
  <c r="U883" i="69"/>
  <c r="V883" i="69" s="1"/>
  <c r="W883" i="69" s="1"/>
  <c r="AK882" i="69"/>
  <c r="AG882" i="69"/>
  <c r="AD882" i="69"/>
  <c r="AE882" i="69" s="1"/>
  <c r="U882" i="69"/>
  <c r="V882" i="69" s="1"/>
  <c r="W882" i="69" s="1"/>
  <c r="AK881" i="69"/>
  <c r="AG881" i="69"/>
  <c r="AD881" i="69"/>
  <c r="AE881" i="69" s="1"/>
  <c r="P881" i="69"/>
  <c r="U881" i="69" s="1"/>
  <c r="V881" i="69" s="1"/>
  <c r="W881" i="69" s="1"/>
  <c r="AK880" i="69"/>
  <c r="AG880" i="69"/>
  <c r="AD880" i="69"/>
  <c r="AE880" i="69" s="1"/>
  <c r="P880" i="69"/>
  <c r="U880" i="69" s="1"/>
  <c r="V880" i="69" s="1"/>
  <c r="W880" i="69" s="1"/>
  <c r="AK879" i="69"/>
  <c r="AG879" i="69"/>
  <c r="AD879" i="69"/>
  <c r="AE879" i="69" s="1"/>
  <c r="P879" i="69"/>
  <c r="U879" i="69" s="1"/>
  <c r="V879" i="69" s="1"/>
  <c r="W879" i="69" s="1"/>
  <c r="AK878" i="69"/>
  <c r="AG878" i="69"/>
  <c r="AD878" i="69"/>
  <c r="AE878" i="69" s="1"/>
  <c r="P878" i="69"/>
  <c r="U878" i="69" s="1"/>
  <c r="V878" i="69" s="1"/>
  <c r="W878" i="69" s="1"/>
  <c r="AK877" i="69"/>
  <c r="AG877" i="69"/>
  <c r="AD877" i="69"/>
  <c r="AE877" i="69" s="1"/>
  <c r="P877" i="69"/>
  <c r="U877" i="69" s="1"/>
  <c r="V877" i="69" s="1"/>
  <c r="W877" i="69" s="1"/>
  <c r="AK876" i="69"/>
  <c r="AG876" i="69"/>
  <c r="AD876" i="69"/>
  <c r="AE876" i="69" s="1"/>
  <c r="P876" i="69"/>
  <c r="U876" i="69" s="1"/>
  <c r="V876" i="69" s="1"/>
  <c r="W876" i="69" s="1"/>
  <c r="AK875" i="69"/>
  <c r="AG875" i="69"/>
  <c r="AD875" i="69"/>
  <c r="AE875" i="69" s="1"/>
  <c r="P875" i="69"/>
  <c r="U875" i="69" s="1"/>
  <c r="V875" i="69" s="1"/>
  <c r="W875" i="69" s="1"/>
  <c r="AK874" i="69"/>
  <c r="AG874" i="69"/>
  <c r="AD874" i="69"/>
  <c r="AE874" i="69" s="1"/>
  <c r="P874" i="69"/>
  <c r="U874" i="69" s="1"/>
  <c r="V874" i="69" s="1"/>
  <c r="W874" i="69" s="1"/>
  <c r="AK873" i="69"/>
  <c r="AG873" i="69"/>
  <c r="AD873" i="69"/>
  <c r="AE873" i="69" s="1"/>
  <c r="P873" i="69"/>
  <c r="U873" i="69" s="1"/>
  <c r="V873" i="69" s="1"/>
  <c r="W873" i="69" s="1"/>
  <c r="AK872" i="69"/>
  <c r="AG872" i="69"/>
  <c r="AD872" i="69"/>
  <c r="AE872" i="69" s="1"/>
  <c r="P872" i="69"/>
  <c r="U872" i="69" s="1"/>
  <c r="V872" i="69" s="1"/>
  <c r="W872" i="69" s="1"/>
  <c r="AK871" i="69"/>
  <c r="AG871" i="69"/>
  <c r="AD871" i="69"/>
  <c r="AE871" i="69" s="1"/>
  <c r="P871" i="69"/>
  <c r="U871" i="69" s="1"/>
  <c r="V871" i="69" s="1"/>
  <c r="W871" i="69" s="1"/>
  <c r="AK870" i="69"/>
  <c r="AG870" i="69"/>
  <c r="AD870" i="69"/>
  <c r="AE870" i="69" s="1"/>
  <c r="P870" i="69"/>
  <c r="U870" i="69" s="1"/>
  <c r="V870" i="69" s="1"/>
  <c r="W870" i="69" s="1"/>
  <c r="AK869" i="69"/>
  <c r="AG869" i="69"/>
  <c r="AD869" i="69"/>
  <c r="AE869" i="69" s="1"/>
  <c r="P869" i="69"/>
  <c r="U869" i="69" s="1"/>
  <c r="V869" i="69" s="1"/>
  <c r="W869" i="69" s="1"/>
  <c r="AK868" i="69"/>
  <c r="AG868" i="69"/>
  <c r="AD868" i="69"/>
  <c r="AE868" i="69" s="1"/>
  <c r="P868" i="69"/>
  <c r="U868" i="69" s="1"/>
  <c r="V868" i="69" s="1"/>
  <c r="W868" i="69" s="1"/>
  <c r="AK867" i="69"/>
  <c r="AG867" i="69"/>
  <c r="AD867" i="69"/>
  <c r="AE867" i="69" s="1"/>
  <c r="P867" i="69"/>
  <c r="U867" i="69" s="1"/>
  <c r="V867" i="69" s="1"/>
  <c r="W867" i="69" s="1"/>
  <c r="AK866" i="69"/>
  <c r="AG866" i="69"/>
  <c r="AD866" i="69"/>
  <c r="AE866" i="69" s="1"/>
  <c r="P866" i="69"/>
  <c r="U866" i="69" s="1"/>
  <c r="V866" i="69" s="1"/>
  <c r="W866" i="69" s="1"/>
  <c r="AK865" i="69"/>
  <c r="AG865" i="69"/>
  <c r="AD865" i="69"/>
  <c r="AE865" i="69" s="1"/>
  <c r="P865" i="69"/>
  <c r="U865" i="69" s="1"/>
  <c r="V865" i="69" s="1"/>
  <c r="W865" i="69" s="1"/>
  <c r="AK864" i="69"/>
  <c r="AG864" i="69"/>
  <c r="AD864" i="69"/>
  <c r="AE864" i="69" s="1"/>
  <c r="P864" i="69"/>
  <c r="U864" i="69" s="1"/>
  <c r="V864" i="69" s="1"/>
  <c r="W864" i="69" s="1"/>
  <c r="AK863" i="69"/>
  <c r="AG863" i="69"/>
  <c r="AD863" i="69"/>
  <c r="AE863" i="69" s="1"/>
  <c r="P863" i="69"/>
  <c r="U863" i="69" s="1"/>
  <c r="V863" i="69" s="1"/>
  <c r="W863" i="69" s="1"/>
  <c r="AK862" i="69"/>
  <c r="AG862" i="69"/>
  <c r="AD862" i="69"/>
  <c r="AE862" i="69" s="1"/>
  <c r="P862" i="69"/>
  <c r="U862" i="69" s="1"/>
  <c r="V862" i="69" s="1"/>
  <c r="W862" i="69" s="1"/>
  <c r="AK861" i="69"/>
  <c r="AG861" i="69"/>
  <c r="AD861" i="69"/>
  <c r="AE861" i="69" s="1"/>
  <c r="P861" i="69"/>
  <c r="U861" i="69" s="1"/>
  <c r="V861" i="69" s="1"/>
  <c r="W861" i="69" s="1"/>
  <c r="AK860" i="69"/>
  <c r="AG860" i="69"/>
  <c r="AD860" i="69"/>
  <c r="AE860" i="69" s="1"/>
  <c r="P860" i="69"/>
  <c r="U860" i="69" s="1"/>
  <c r="V860" i="69" s="1"/>
  <c r="W860" i="69" s="1"/>
  <c r="AK859" i="69"/>
  <c r="AG859" i="69"/>
  <c r="AD859" i="69"/>
  <c r="AE859" i="69" s="1"/>
  <c r="P859" i="69"/>
  <c r="U859" i="69" s="1"/>
  <c r="V859" i="69" s="1"/>
  <c r="W859" i="69" s="1"/>
  <c r="AK858" i="69"/>
  <c r="AG858" i="69"/>
  <c r="AD858" i="69"/>
  <c r="AE858" i="69" s="1"/>
  <c r="P858" i="69"/>
  <c r="U858" i="69" s="1"/>
  <c r="V858" i="69" s="1"/>
  <c r="W858" i="69" s="1"/>
  <c r="AK857" i="69"/>
  <c r="AG857" i="69"/>
  <c r="AD857" i="69"/>
  <c r="AE857" i="69" s="1"/>
  <c r="P857" i="69"/>
  <c r="U857" i="69" s="1"/>
  <c r="V857" i="69" s="1"/>
  <c r="W857" i="69" s="1"/>
  <c r="AK856" i="69"/>
  <c r="AG856" i="69"/>
  <c r="AD856" i="69"/>
  <c r="AE856" i="69" s="1"/>
  <c r="P856" i="69"/>
  <c r="U856" i="69" s="1"/>
  <c r="V856" i="69" s="1"/>
  <c r="W856" i="69" s="1"/>
  <c r="AK855" i="69"/>
  <c r="AG855" i="69"/>
  <c r="AD855" i="69"/>
  <c r="AE855" i="69" s="1"/>
  <c r="P855" i="69"/>
  <c r="U855" i="69" s="1"/>
  <c r="V855" i="69" s="1"/>
  <c r="W855" i="69" s="1"/>
  <c r="AK854" i="69"/>
  <c r="AG854" i="69"/>
  <c r="AD854" i="69"/>
  <c r="AE854" i="69" s="1"/>
  <c r="P854" i="69"/>
  <c r="U854" i="69" s="1"/>
  <c r="V854" i="69" s="1"/>
  <c r="W854" i="69" s="1"/>
  <c r="AK853" i="69"/>
  <c r="AG853" i="69"/>
  <c r="AD853" i="69"/>
  <c r="AE853" i="69" s="1"/>
  <c r="P853" i="69"/>
  <c r="U853" i="69" s="1"/>
  <c r="V853" i="69" s="1"/>
  <c r="W853" i="69" s="1"/>
  <c r="AK852" i="69"/>
  <c r="AG852" i="69"/>
  <c r="AD852" i="69"/>
  <c r="AE852" i="69" s="1"/>
  <c r="P852" i="69"/>
  <c r="U852" i="69" s="1"/>
  <c r="V852" i="69" s="1"/>
  <c r="W852" i="69" s="1"/>
  <c r="AK851" i="69"/>
  <c r="AG851" i="69"/>
  <c r="AD851" i="69"/>
  <c r="AE851" i="69" s="1"/>
  <c r="P851" i="69"/>
  <c r="U851" i="69" s="1"/>
  <c r="V851" i="69" s="1"/>
  <c r="W851" i="69" s="1"/>
  <c r="AK850" i="69"/>
  <c r="AG850" i="69"/>
  <c r="AD850" i="69"/>
  <c r="AE850" i="69" s="1"/>
  <c r="P850" i="69"/>
  <c r="U850" i="69" s="1"/>
  <c r="V850" i="69" s="1"/>
  <c r="W850" i="69" s="1"/>
  <c r="AK849" i="69"/>
  <c r="AG849" i="69"/>
  <c r="AD849" i="69"/>
  <c r="AE849" i="69" s="1"/>
  <c r="P849" i="69"/>
  <c r="U849" i="69" s="1"/>
  <c r="V849" i="69" s="1"/>
  <c r="W849" i="69" s="1"/>
  <c r="AK848" i="69"/>
  <c r="AG848" i="69"/>
  <c r="AD848" i="69"/>
  <c r="AE848" i="69" s="1"/>
  <c r="P848" i="69"/>
  <c r="U848" i="69" s="1"/>
  <c r="V848" i="69" s="1"/>
  <c r="W848" i="69" s="1"/>
  <c r="AK847" i="69"/>
  <c r="AG847" i="69"/>
  <c r="AD847" i="69"/>
  <c r="AE847" i="69" s="1"/>
  <c r="P847" i="69"/>
  <c r="U847" i="69" s="1"/>
  <c r="V847" i="69" s="1"/>
  <c r="W847" i="69" s="1"/>
  <c r="AK846" i="69"/>
  <c r="AG846" i="69"/>
  <c r="AD846" i="69"/>
  <c r="AE846" i="69" s="1"/>
  <c r="P846" i="69"/>
  <c r="U846" i="69" s="1"/>
  <c r="V846" i="69" s="1"/>
  <c r="W846" i="69" s="1"/>
  <c r="AK845" i="69"/>
  <c r="AG845" i="69"/>
  <c r="AD845" i="69"/>
  <c r="AE845" i="69" s="1"/>
  <c r="P845" i="69"/>
  <c r="U845" i="69" s="1"/>
  <c r="V845" i="69" s="1"/>
  <c r="W845" i="69" s="1"/>
  <c r="AK844" i="69"/>
  <c r="AG844" i="69"/>
  <c r="AD844" i="69"/>
  <c r="AE844" i="69" s="1"/>
  <c r="P844" i="69"/>
  <c r="U844" i="69" s="1"/>
  <c r="V844" i="69" s="1"/>
  <c r="W844" i="69" s="1"/>
  <c r="AK843" i="69"/>
  <c r="AG843" i="69"/>
  <c r="AD843" i="69"/>
  <c r="AE843" i="69" s="1"/>
  <c r="P843" i="69"/>
  <c r="U843" i="69" s="1"/>
  <c r="V843" i="69" s="1"/>
  <c r="W843" i="69" s="1"/>
  <c r="AK842" i="69"/>
  <c r="AG842" i="69"/>
  <c r="AD842" i="69"/>
  <c r="AE842" i="69" s="1"/>
  <c r="P842" i="69"/>
  <c r="U842" i="69" s="1"/>
  <c r="V842" i="69" s="1"/>
  <c r="W842" i="69" s="1"/>
  <c r="AK841" i="69"/>
  <c r="AG841" i="69"/>
  <c r="AD841" i="69"/>
  <c r="AE841" i="69" s="1"/>
  <c r="P841" i="69"/>
  <c r="U841" i="69" s="1"/>
  <c r="V841" i="69" s="1"/>
  <c r="W841" i="69" s="1"/>
  <c r="AK840" i="69"/>
  <c r="AG840" i="69"/>
  <c r="AD840" i="69"/>
  <c r="AE840" i="69" s="1"/>
  <c r="P840" i="69"/>
  <c r="U840" i="69" s="1"/>
  <c r="V840" i="69" s="1"/>
  <c r="W840" i="69" s="1"/>
  <c r="AK839" i="69"/>
  <c r="AG839" i="69"/>
  <c r="AD839" i="69"/>
  <c r="AE839" i="69" s="1"/>
  <c r="P839" i="69"/>
  <c r="U839" i="69" s="1"/>
  <c r="V839" i="69" s="1"/>
  <c r="W839" i="69" s="1"/>
  <c r="AK838" i="69"/>
  <c r="AG838" i="69"/>
  <c r="AD838" i="69"/>
  <c r="AE838" i="69" s="1"/>
  <c r="P838" i="69"/>
  <c r="U838" i="69" s="1"/>
  <c r="V838" i="69" s="1"/>
  <c r="W838" i="69" s="1"/>
  <c r="AK837" i="69"/>
  <c r="AG837" i="69"/>
  <c r="AD837" i="69"/>
  <c r="AE837" i="69" s="1"/>
  <c r="P837" i="69"/>
  <c r="U837" i="69" s="1"/>
  <c r="V837" i="69" s="1"/>
  <c r="W837" i="69" s="1"/>
  <c r="AK836" i="69"/>
  <c r="AG836" i="69"/>
  <c r="AD836" i="69"/>
  <c r="AE836" i="69" s="1"/>
  <c r="P836" i="69"/>
  <c r="U836" i="69" s="1"/>
  <c r="V836" i="69" s="1"/>
  <c r="W836" i="69" s="1"/>
  <c r="AK835" i="69"/>
  <c r="AG835" i="69"/>
  <c r="AD835" i="69"/>
  <c r="AE835" i="69" s="1"/>
  <c r="U835" i="69"/>
  <c r="V835" i="69" s="1"/>
  <c r="W835" i="69" s="1"/>
  <c r="AK834" i="69"/>
  <c r="AG834" i="69"/>
  <c r="AD834" i="69"/>
  <c r="AE834" i="69" s="1"/>
  <c r="U834" i="69"/>
  <c r="V834" i="69" s="1"/>
  <c r="W834" i="69" s="1"/>
  <c r="AK833" i="69"/>
  <c r="AG833" i="69"/>
  <c r="AD833" i="69"/>
  <c r="AE833" i="69" s="1"/>
  <c r="U833" i="69"/>
  <c r="V833" i="69" s="1"/>
  <c r="W833" i="69" s="1"/>
  <c r="AK832" i="69"/>
  <c r="AG832" i="69"/>
  <c r="AD832" i="69"/>
  <c r="AE832" i="69" s="1"/>
  <c r="U832" i="69"/>
  <c r="V832" i="69" s="1"/>
  <c r="W832" i="69" s="1"/>
  <c r="AK831" i="69"/>
  <c r="AG831" i="69"/>
  <c r="AD831" i="69"/>
  <c r="AE831" i="69" s="1"/>
  <c r="U831" i="69"/>
  <c r="V831" i="69" s="1"/>
  <c r="W831" i="69" s="1"/>
  <c r="AK830" i="69"/>
  <c r="AG830" i="69"/>
  <c r="AD830" i="69"/>
  <c r="AE830" i="69" s="1"/>
  <c r="U830" i="69"/>
  <c r="V830" i="69" s="1"/>
  <c r="W830" i="69" s="1"/>
  <c r="AK829" i="69"/>
  <c r="AG829" i="69"/>
  <c r="AD829" i="69"/>
  <c r="AE829" i="69" s="1"/>
  <c r="U829" i="69"/>
  <c r="V829" i="69" s="1"/>
  <c r="W829" i="69" s="1"/>
  <c r="AK828" i="69"/>
  <c r="AG828" i="69"/>
  <c r="AD828" i="69"/>
  <c r="AE828" i="69" s="1"/>
  <c r="U828" i="69"/>
  <c r="V828" i="69" s="1"/>
  <c r="W828" i="69" s="1"/>
  <c r="AK827" i="69"/>
  <c r="AG827" i="69"/>
  <c r="AD827" i="69"/>
  <c r="AE827" i="69" s="1"/>
  <c r="U827" i="69"/>
  <c r="V827" i="69" s="1"/>
  <c r="W827" i="69" s="1"/>
  <c r="AK826" i="69"/>
  <c r="AG826" i="69"/>
  <c r="AD826" i="69"/>
  <c r="AE826" i="69" s="1"/>
  <c r="P826" i="69"/>
  <c r="U826" i="69" s="1"/>
  <c r="V826" i="69" s="1"/>
  <c r="W826" i="69" s="1"/>
  <c r="AK825" i="69"/>
  <c r="AG825" i="69"/>
  <c r="AD825" i="69"/>
  <c r="AE825" i="69" s="1"/>
  <c r="P825" i="69"/>
  <c r="U825" i="69" s="1"/>
  <c r="V825" i="69" s="1"/>
  <c r="W825" i="69" s="1"/>
  <c r="AK824" i="69"/>
  <c r="AG824" i="69"/>
  <c r="AD824" i="69"/>
  <c r="AE824" i="69" s="1"/>
  <c r="P824" i="69"/>
  <c r="U824" i="69" s="1"/>
  <c r="V824" i="69" s="1"/>
  <c r="W824" i="69" s="1"/>
  <c r="AK823" i="69"/>
  <c r="AG823" i="69"/>
  <c r="AD823" i="69"/>
  <c r="AE823" i="69" s="1"/>
  <c r="P823" i="69"/>
  <c r="U823" i="69" s="1"/>
  <c r="V823" i="69" s="1"/>
  <c r="W823" i="69" s="1"/>
  <c r="AK822" i="69"/>
  <c r="AG822" i="69"/>
  <c r="AD822" i="69"/>
  <c r="AE822" i="69" s="1"/>
  <c r="P822" i="69"/>
  <c r="U822" i="69" s="1"/>
  <c r="V822" i="69" s="1"/>
  <c r="W822" i="69" s="1"/>
  <c r="AK821" i="69"/>
  <c r="AG821" i="69"/>
  <c r="AD821" i="69"/>
  <c r="AE821" i="69" s="1"/>
  <c r="P821" i="69"/>
  <c r="U821" i="69" s="1"/>
  <c r="V821" i="69" s="1"/>
  <c r="W821" i="69" s="1"/>
  <c r="AK820" i="69"/>
  <c r="AG820" i="69"/>
  <c r="AD820" i="69"/>
  <c r="AE820" i="69" s="1"/>
  <c r="P820" i="69"/>
  <c r="U820" i="69" s="1"/>
  <c r="V820" i="69" s="1"/>
  <c r="W820" i="69" s="1"/>
  <c r="AK819" i="69"/>
  <c r="AG819" i="69"/>
  <c r="AD819" i="69"/>
  <c r="AE819" i="69" s="1"/>
  <c r="P819" i="69"/>
  <c r="U819" i="69" s="1"/>
  <c r="V819" i="69" s="1"/>
  <c r="W819" i="69" s="1"/>
  <c r="AK818" i="69"/>
  <c r="AG818" i="69"/>
  <c r="AD818" i="69"/>
  <c r="AE818" i="69" s="1"/>
  <c r="P818" i="69"/>
  <c r="U818" i="69" s="1"/>
  <c r="V818" i="69" s="1"/>
  <c r="W818" i="69" s="1"/>
  <c r="AK817" i="69"/>
  <c r="AG817" i="69"/>
  <c r="AD817" i="69"/>
  <c r="AE817" i="69" s="1"/>
  <c r="P817" i="69"/>
  <c r="U817" i="69" s="1"/>
  <c r="V817" i="69" s="1"/>
  <c r="W817" i="69" s="1"/>
  <c r="AK816" i="69"/>
  <c r="AG816" i="69"/>
  <c r="AD816" i="69"/>
  <c r="AE816" i="69" s="1"/>
  <c r="O816" i="69"/>
  <c r="P816" i="69" s="1"/>
  <c r="U816" i="69" s="1"/>
  <c r="V816" i="69" s="1"/>
  <c r="W816" i="69" s="1"/>
  <c r="AK815" i="69"/>
  <c r="AG815" i="69"/>
  <c r="AD815" i="69"/>
  <c r="AE815" i="69" s="1"/>
  <c r="O815" i="69"/>
  <c r="Y815" i="69" s="1"/>
  <c r="AK814" i="69"/>
  <c r="AG814" i="69"/>
  <c r="AD814" i="69"/>
  <c r="AE814" i="69" s="1"/>
  <c r="Y814" i="69"/>
  <c r="P814" i="69"/>
  <c r="U814" i="69" s="1"/>
  <c r="V814" i="69" s="1"/>
  <c r="W814" i="69" s="1"/>
  <c r="AK813" i="69"/>
  <c r="AG813" i="69"/>
  <c r="AD813" i="69"/>
  <c r="AE813" i="69" s="1"/>
  <c r="Y813" i="69"/>
  <c r="P813" i="69"/>
  <c r="U813" i="69" s="1"/>
  <c r="V813" i="69" s="1"/>
  <c r="W813" i="69" s="1"/>
  <c r="AK812" i="69"/>
  <c r="AG812" i="69"/>
  <c r="AD812" i="69"/>
  <c r="AE812" i="69" s="1"/>
  <c r="P812" i="69"/>
  <c r="U812" i="69" s="1"/>
  <c r="V812" i="69" s="1"/>
  <c r="W812" i="69" s="1"/>
  <c r="AK811" i="69"/>
  <c r="AG811" i="69"/>
  <c r="AD811" i="69"/>
  <c r="AE811" i="69" s="1"/>
  <c r="P811" i="69"/>
  <c r="U811" i="69" s="1"/>
  <c r="V811" i="69" s="1"/>
  <c r="W811" i="69" s="1"/>
  <c r="AK810" i="69"/>
  <c r="AG810" i="69"/>
  <c r="AD810" i="69"/>
  <c r="AE810" i="69" s="1"/>
  <c r="U810" i="69"/>
  <c r="V810" i="69" s="1"/>
  <c r="W810" i="69" s="1"/>
  <c r="AK809" i="69"/>
  <c r="AG809" i="69"/>
  <c r="AD809" i="69"/>
  <c r="AE809" i="69" s="1"/>
  <c r="P809" i="69"/>
  <c r="U809" i="69" s="1"/>
  <c r="V809" i="69" s="1"/>
  <c r="W809" i="69" s="1"/>
  <c r="AK808" i="69"/>
  <c r="AG808" i="69"/>
  <c r="AD808" i="69"/>
  <c r="AE808" i="69" s="1"/>
  <c r="P808" i="69"/>
  <c r="U808" i="69" s="1"/>
  <c r="V808" i="69" s="1"/>
  <c r="W808" i="69" s="1"/>
  <c r="AK807" i="69"/>
  <c r="AG807" i="69"/>
  <c r="AD807" i="69"/>
  <c r="AE807" i="69" s="1"/>
  <c r="P807" i="69"/>
  <c r="U807" i="69" s="1"/>
  <c r="V807" i="69" s="1"/>
  <c r="W807" i="69" s="1"/>
  <c r="AK806" i="69"/>
  <c r="AG806" i="69"/>
  <c r="AD806" i="69"/>
  <c r="AE806" i="69" s="1"/>
  <c r="P806" i="69"/>
  <c r="U806" i="69" s="1"/>
  <c r="V806" i="69" s="1"/>
  <c r="W806" i="69" s="1"/>
  <c r="AK805" i="69"/>
  <c r="AG805" i="69"/>
  <c r="AD805" i="69"/>
  <c r="AE805" i="69" s="1"/>
  <c r="P805" i="69"/>
  <c r="U805" i="69" s="1"/>
  <c r="V805" i="69" s="1"/>
  <c r="W805" i="69" s="1"/>
  <c r="AK804" i="69"/>
  <c r="AG804" i="69"/>
  <c r="AD804" i="69"/>
  <c r="AE804" i="69" s="1"/>
  <c r="U804" i="69"/>
  <c r="V804" i="69" s="1"/>
  <c r="W804" i="69" s="1"/>
  <c r="AK803" i="69"/>
  <c r="AG803" i="69"/>
  <c r="AD803" i="69"/>
  <c r="AE803" i="69" s="1"/>
  <c r="P803" i="69"/>
  <c r="U803" i="69" s="1"/>
  <c r="V803" i="69" s="1"/>
  <c r="W803" i="69" s="1"/>
  <c r="AK802" i="69"/>
  <c r="AG802" i="69"/>
  <c r="AD802" i="69"/>
  <c r="AE802" i="69" s="1"/>
  <c r="P802" i="69"/>
  <c r="U802" i="69" s="1"/>
  <c r="V802" i="69" s="1"/>
  <c r="W802" i="69" s="1"/>
  <c r="AK801" i="69"/>
  <c r="AG801" i="69"/>
  <c r="AD801" i="69"/>
  <c r="AE801" i="69" s="1"/>
  <c r="P801" i="69"/>
  <c r="U801" i="69" s="1"/>
  <c r="V801" i="69" s="1"/>
  <c r="W801" i="69" s="1"/>
  <c r="AK800" i="69"/>
  <c r="AG800" i="69"/>
  <c r="AD800" i="69"/>
  <c r="AE800" i="69" s="1"/>
  <c r="P800" i="69"/>
  <c r="U800" i="69" s="1"/>
  <c r="V800" i="69" s="1"/>
  <c r="W800" i="69" s="1"/>
  <c r="AK799" i="69"/>
  <c r="AG799" i="69"/>
  <c r="AD799" i="69"/>
  <c r="AE799" i="69" s="1"/>
  <c r="P799" i="69"/>
  <c r="U799" i="69" s="1"/>
  <c r="V799" i="69" s="1"/>
  <c r="W799" i="69" s="1"/>
  <c r="AK798" i="69"/>
  <c r="AG798" i="69"/>
  <c r="AD798" i="69"/>
  <c r="AE798" i="69" s="1"/>
  <c r="P798" i="69"/>
  <c r="U798" i="69" s="1"/>
  <c r="V798" i="69" s="1"/>
  <c r="W798" i="69" s="1"/>
  <c r="AK797" i="69"/>
  <c r="AG797" i="69"/>
  <c r="AD797" i="69"/>
  <c r="AE797" i="69" s="1"/>
  <c r="P797" i="69"/>
  <c r="U797" i="69" s="1"/>
  <c r="V797" i="69" s="1"/>
  <c r="W797" i="69" s="1"/>
  <c r="AK796" i="69"/>
  <c r="AG796" i="69"/>
  <c r="AD796" i="69"/>
  <c r="AE796" i="69" s="1"/>
  <c r="P796" i="69"/>
  <c r="U796" i="69" s="1"/>
  <c r="V796" i="69" s="1"/>
  <c r="W796" i="69" s="1"/>
  <c r="AK795" i="69"/>
  <c r="AG795" i="69"/>
  <c r="AD795" i="69"/>
  <c r="AE795" i="69" s="1"/>
  <c r="P795" i="69"/>
  <c r="U795" i="69" s="1"/>
  <c r="V795" i="69" s="1"/>
  <c r="W795" i="69" s="1"/>
  <c r="AK794" i="69"/>
  <c r="AG794" i="69"/>
  <c r="AD794" i="69"/>
  <c r="AE794" i="69" s="1"/>
  <c r="P794" i="69"/>
  <c r="U794" i="69" s="1"/>
  <c r="V794" i="69" s="1"/>
  <c r="W794" i="69" s="1"/>
  <c r="AK793" i="69"/>
  <c r="AG793" i="69"/>
  <c r="AD793" i="69"/>
  <c r="AE793" i="69" s="1"/>
  <c r="P793" i="69"/>
  <c r="U793" i="69" s="1"/>
  <c r="V793" i="69" s="1"/>
  <c r="W793" i="69" s="1"/>
  <c r="AK792" i="69"/>
  <c r="AG792" i="69"/>
  <c r="AD792" i="69"/>
  <c r="AE792" i="69" s="1"/>
  <c r="P792" i="69"/>
  <c r="U792" i="69" s="1"/>
  <c r="V792" i="69" s="1"/>
  <c r="W792" i="69" s="1"/>
  <c r="AK791" i="69"/>
  <c r="AG791" i="69"/>
  <c r="AD791" i="69"/>
  <c r="AE791" i="69" s="1"/>
  <c r="P791" i="69"/>
  <c r="U791" i="69" s="1"/>
  <c r="V791" i="69" s="1"/>
  <c r="W791" i="69" s="1"/>
  <c r="AK790" i="69"/>
  <c r="AG790" i="69"/>
  <c r="AD790" i="69"/>
  <c r="AE790" i="69" s="1"/>
  <c r="O790" i="69"/>
  <c r="P790" i="69" s="1"/>
  <c r="U790" i="69" s="1"/>
  <c r="V790" i="69" s="1"/>
  <c r="W790" i="69" s="1"/>
  <c r="AK789" i="69"/>
  <c r="AG789" i="69"/>
  <c r="AD789" i="69"/>
  <c r="AE789" i="69" s="1"/>
  <c r="O789" i="69"/>
  <c r="P789" i="69" s="1"/>
  <c r="U789" i="69" s="1"/>
  <c r="V789" i="69" s="1"/>
  <c r="W789" i="69" s="1"/>
  <c r="AK788" i="69"/>
  <c r="AG788" i="69"/>
  <c r="AD788" i="69"/>
  <c r="AE788" i="69" s="1"/>
  <c r="P788" i="69"/>
  <c r="U788" i="69" s="1"/>
  <c r="V788" i="69" s="1"/>
  <c r="W788" i="69" s="1"/>
  <c r="AK787" i="69"/>
  <c r="AG787" i="69"/>
  <c r="AD787" i="69"/>
  <c r="AE787" i="69" s="1"/>
  <c r="P787" i="69"/>
  <c r="U787" i="69" s="1"/>
  <c r="V787" i="69" s="1"/>
  <c r="W787" i="69" s="1"/>
  <c r="AK786" i="69"/>
  <c r="AG786" i="69"/>
  <c r="AD786" i="69"/>
  <c r="AE786" i="69" s="1"/>
  <c r="P786" i="69"/>
  <c r="U786" i="69" s="1"/>
  <c r="V786" i="69" s="1"/>
  <c r="W786" i="69" s="1"/>
  <c r="AK785" i="69"/>
  <c r="AG785" i="69"/>
  <c r="AD785" i="69"/>
  <c r="AE785" i="69" s="1"/>
  <c r="P785" i="69"/>
  <c r="U785" i="69" s="1"/>
  <c r="V785" i="69" s="1"/>
  <c r="W785" i="69" s="1"/>
  <c r="AK784" i="69"/>
  <c r="AG784" i="69"/>
  <c r="AD784" i="69"/>
  <c r="AE784" i="69" s="1"/>
  <c r="P784" i="69"/>
  <c r="U784" i="69" s="1"/>
  <c r="V784" i="69" s="1"/>
  <c r="W784" i="69" s="1"/>
  <c r="AK783" i="69"/>
  <c r="AG783" i="69"/>
  <c r="AD783" i="69"/>
  <c r="AE783" i="69" s="1"/>
  <c r="P783" i="69"/>
  <c r="U783" i="69" s="1"/>
  <c r="V783" i="69" s="1"/>
  <c r="W783" i="69" s="1"/>
  <c r="AK782" i="69"/>
  <c r="AG782" i="69"/>
  <c r="AD782" i="69"/>
  <c r="AE782" i="69" s="1"/>
  <c r="P782" i="69"/>
  <c r="U782" i="69" s="1"/>
  <c r="V782" i="69" s="1"/>
  <c r="W782" i="69" s="1"/>
  <c r="AK781" i="69"/>
  <c r="AG781" i="69"/>
  <c r="AD781" i="69"/>
  <c r="AE781" i="69" s="1"/>
  <c r="P781" i="69"/>
  <c r="U781" i="69" s="1"/>
  <c r="V781" i="69" s="1"/>
  <c r="W781" i="69" s="1"/>
  <c r="AK780" i="69"/>
  <c r="AG780" i="69"/>
  <c r="AD780" i="69"/>
  <c r="AE780" i="69" s="1"/>
  <c r="P780" i="69"/>
  <c r="U780" i="69" s="1"/>
  <c r="V780" i="69" s="1"/>
  <c r="W780" i="69" s="1"/>
  <c r="AK779" i="69"/>
  <c r="AG779" i="69"/>
  <c r="AD779" i="69"/>
  <c r="AE779" i="69" s="1"/>
  <c r="P779" i="69"/>
  <c r="U779" i="69" s="1"/>
  <c r="V779" i="69" s="1"/>
  <c r="W779" i="69" s="1"/>
  <c r="AK778" i="69"/>
  <c r="AG778" i="69"/>
  <c r="AD778" i="69"/>
  <c r="AE778" i="69" s="1"/>
  <c r="P778" i="69"/>
  <c r="U778" i="69" s="1"/>
  <c r="V778" i="69" s="1"/>
  <c r="W778" i="69" s="1"/>
  <c r="AK777" i="69"/>
  <c r="AG777" i="69"/>
  <c r="AD777" i="69"/>
  <c r="AE777" i="69" s="1"/>
  <c r="P777" i="69"/>
  <c r="U777" i="69" s="1"/>
  <c r="V777" i="69" s="1"/>
  <c r="W777" i="69" s="1"/>
  <c r="AK776" i="69"/>
  <c r="AG776" i="69"/>
  <c r="AD776" i="69"/>
  <c r="AE776" i="69" s="1"/>
  <c r="P776" i="69"/>
  <c r="U776" i="69" s="1"/>
  <c r="V776" i="69" s="1"/>
  <c r="W776" i="69" s="1"/>
  <c r="AK775" i="69"/>
  <c r="AG775" i="69"/>
  <c r="AD775" i="69"/>
  <c r="AE775" i="69" s="1"/>
  <c r="P775" i="69"/>
  <c r="U775" i="69" s="1"/>
  <c r="V775" i="69" s="1"/>
  <c r="W775" i="69" s="1"/>
  <c r="AK774" i="69"/>
  <c r="AG774" i="69"/>
  <c r="AD774" i="69"/>
  <c r="AE774" i="69" s="1"/>
  <c r="P774" i="69"/>
  <c r="U774" i="69" s="1"/>
  <c r="V774" i="69" s="1"/>
  <c r="W774" i="69" s="1"/>
  <c r="AK773" i="69"/>
  <c r="AG773" i="69"/>
  <c r="AD773" i="69"/>
  <c r="AE773" i="69" s="1"/>
  <c r="P773" i="69"/>
  <c r="U773" i="69" s="1"/>
  <c r="V773" i="69" s="1"/>
  <c r="W773" i="69" s="1"/>
  <c r="AK772" i="69"/>
  <c r="AG772" i="69"/>
  <c r="AD772" i="69"/>
  <c r="AE772" i="69" s="1"/>
  <c r="P772" i="69"/>
  <c r="U772" i="69" s="1"/>
  <c r="V772" i="69" s="1"/>
  <c r="W772" i="69" s="1"/>
  <c r="AK771" i="69"/>
  <c r="AG771" i="69"/>
  <c r="AD771" i="69"/>
  <c r="AE771" i="69" s="1"/>
  <c r="P771" i="69"/>
  <c r="U771" i="69" s="1"/>
  <c r="V771" i="69" s="1"/>
  <c r="W771" i="69" s="1"/>
  <c r="AK770" i="69"/>
  <c r="AG770" i="69"/>
  <c r="AD770" i="69"/>
  <c r="AE770" i="69" s="1"/>
  <c r="P770" i="69"/>
  <c r="U770" i="69" s="1"/>
  <c r="V770" i="69" s="1"/>
  <c r="W770" i="69" s="1"/>
  <c r="AK769" i="69"/>
  <c r="AG769" i="69"/>
  <c r="AD769" i="69"/>
  <c r="AE769" i="69" s="1"/>
  <c r="P769" i="69"/>
  <c r="U769" i="69" s="1"/>
  <c r="V769" i="69" s="1"/>
  <c r="W769" i="69" s="1"/>
  <c r="AK768" i="69"/>
  <c r="AG768" i="69"/>
  <c r="AD768" i="69"/>
  <c r="AE768" i="69" s="1"/>
  <c r="P768" i="69"/>
  <c r="U768" i="69" s="1"/>
  <c r="V768" i="69" s="1"/>
  <c r="W768" i="69" s="1"/>
  <c r="AK767" i="69"/>
  <c r="AG767" i="69"/>
  <c r="AD767" i="69"/>
  <c r="AE767" i="69" s="1"/>
  <c r="P767" i="69"/>
  <c r="U767" i="69" s="1"/>
  <c r="V767" i="69" s="1"/>
  <c r="W767" i="69" s="1"/>
  <c r="AK766" i="69"/>
  <c r="AG766" i="69"/>
  <c r="AD766" i="69"/>
  <c r="AE766" i="69" s="1"/>
  <c r="P766" i="69"/>
  <c r="U766" i="69" s="1"/>
  <c r="V766" i="69" s="1"/>
  <c r="W766" i="69" s="1"/>
  <c r="AK765" i="69"/>
  <c r="AG765" i="69"/>
  <c r="AD765" i="69"/>
  <c r="AE765" i="69" s="1"/>
  <c r="P765" i="69"/>
  <c r="U765" i="69" s="1"/>
  <c r="V765" i="69" s="1"/>
  <c r="W765" i="69" s="1"/>
  <c r="AK764" i="69"/>
  <c r="AG764" i="69"/>
  <c r="AD764" i="69"/>
  <c r="AE764" i="69" s="1"/>
  <c r="U764" i="69"/>
  <c r="V764" i="69" s="1"/>
  <c r="W764" i="69" s="1"/>
  <c r="AK763" i="69"/>
  <c r="AG763" i="69"/>
  <c r="AD763" i="69"/>
  <c r="AE763" i="69" s="1"/>
  <c r="U763" i="69"/>
  <c r="V763" i="69" s="1"/>
  <c r="W763" i="69" s="1"/>
  <c r="AK762" i="69"/>
  <c r="AG762" i="69"/>
  <c r="AD762" i="69"/>
  <c r="AE762" i="69" s="1"/>
  <c r="P762" i="69"/>
  <c r="U762" i="69" s="1"/>
  <c r="V762" i="69" s="1"/>
  <c r="W762" i="69" s="1"/>
  <c r="AK761" i="69"/>
  <c r="AG761" i="69"/>
  <c r="AD761" i="69"/>
  <c r="AE761" i="69" s="1"/>
  <c r="P761" i="69"/>
  <c r="U761" i="69" s="1"/>
  <c r="V761" i="69" s="1"/>
  <c r="W761" i="69" s="1"/>
  <c r="AK760" i="69"/>
  <c r="AG760" i="69"/>
  <c r="AD760" i="69"/>
  <c r="AE760" i="69" s="1"/>
  <c r="P760" i="69"/>
  <c r="U760" i="69" s="1"/>
  <c r="V760" i="69" s="1"/>
  <c r="W760" i="69" s="1"/>
  <c r="AK759" i="69"/>
  <c r="AG759" i="69"/>
  <c r="AD759" i="69"/>
  <c r="AE759" i="69" s="1"/>
  <c r="U759" i="69"/>
  <c r="V759" i="69" s="1"/>
  <c r="W759" i="69" s="1"/>
  <c r="AK758" i="69"/>
  <c r="AG758" i="69"/>
  <c r="AD758" i="69"/>
  <c r="AE758" i="69" s="1"/>
  <c r="U758" i="69"/>
  <c r="V758" i="69" s="1"/>
  <c r="W758" i="69" s="1"/>
  <c r="AK757" i="69"/>
  <c r="AG757" i="69"/>
  <c r="AD757" i="69"/>
  <c r="AE757" i="69" s="1"/>
  <c r="U757" i="69"/>
  <c r="V757" i="69" s="1"/>
  <c r="W757" i="69" s="1"/>
  <c r="AK756" i="69"/>
  <c r="AG756" i="69"/>
  <c r="AD756" i="69"/>
  <c r="AE756" i="69" s="1"/>
  <c r="U756" i="69"/>
  <c r="V756" i="69" s="1"/>
  <c r="W756" i="69" s="1"/>
  <c r="AK755" i="69"/>
  <c r="AG755" i="69"/>
  <c r="AD755" i="69"/>
  <c r="AE755" i="69" s="1"/>
  <c r="U755" i="69"/>
  <c r="V755" i="69" s="1"/>
  <c r="W755" i="69" s="1"/>
  <c r="AK754" i="69"/>
  <c r="AG754" i="69"/>
  <c r="AD754" i="69"/>
  <c r="AE754" i="69" s="1"/>
  <c r="U754" i="69"/>
  <c r="V754" i="69" s="1"/>
  <c r="W754" i="69" s="1"/>
  <c r="AK753" i="69"/>
  <c r="AG753" i="69"/>
  <c r="AD753" i="69"/>
  <c r="AE753" i="69" s="1"/>
  <c r="U753" i="69"/>
  <c r="V753" i="69" s="1"/>
  <c r="W753" i="69" s="1"/>
  <c r="AK752" i="69"/>
  <c r="AG752" i="69"/>
  <c r="AD752" i="69"/>
  <c r="AE752" i="69" s="1"/>
  <c r="U752" i="69"/>
  <c r="V752" i="69" s="1"/>
  <c r="W752" i="69" s="1"/>
  <c r="AK751" i="69"/>
  <c r="AG751" i="69"/>
  <c r="AD751" i="69"/>
  <c r="AE751" i="69" s="1"/>
  <c r="U751" i="69"/>
  <c r="V751" i="69" s="1"/>
  <c r="W751" i="69" s="1"/>
  <c r="AK750" i="69"/>
  <c r="AG750" i="69"/>
  <c r="AD750" i="69"/>
  <c r="AE750" i="69" s="1"/>
  <c r="U750" i="69"/>
  <c r="V750" i="69" s="1"/>
  <c r="W750" i="69" s="1"/>
  <c r="AK749" i="69"/>
  <c r="AG749" i="69"/>
  <c r="AD749" i="69"/>
  <c r="AE749" i="69" s="1"/>
  <c r="P749" i="69"/>
  <c r="U749" i="69" s="1"/>
  <c r="V749" i="69" s="1"/>
  <c r="W749" i="69" s="1"/>
  <c r="AK748" i="69"/>
  <c r="AG748" i="69"/>
  <c r="AD748" i="69"/>
  <c r="AE748" i="69" s="1"/>
  <c r="P748" i="69"/>
  <c r="U748" i="69" s="1"/>
  <c r="V748" i="69" s="1"/>
  <c r="W748" i="69" s="1"/>
  <c r="AK747" i="69"/>
  <c r="AG747" i="69"/>
  <c r="AD747" i="69"/>
  <c r="AE747" i="69" s="1"/>
  <c r="P747" i="69"/>
  <c r="U747" i="69" s="1"/>
  <c r="V747" i="69" s="1"/>
  <c r="W747" i="69" s="1"/>
  <c r="AK746" i="69"/>
  <c r="AG746" i="69"/>
  <c r="AD746" i="69"/>
  <c r="AE746" i="69" s="1"/>
  <c r="P746" i="69"/>
  <c r="U746" i="69" s="1"/>
  <c r="V746" i="69" s="1"/>
  <c r="W746" i="69" s="1"/>
  <c r="AK745" i="69"/>
  <c r="AG745" i="69"/>
  <c r="AD745" i="69"/>
  <c r="AE745" i="69" s="1"/>
  <c r="P745" i="69"/>
  <c r="U745" i="69" s="1"/>
  <c r="V745" i="69" s="1"/>
  <c r="W745" i="69" s="1"/>
  <c r="AK744" i="69"/>
  <c r="AG744" i="69"/>
  <c r="AD744" i="69"/>
  <c r="AE744" i="69" s="1"/>
  <c r="P744" i="69"/>
  <c r="U744" i="69" s="1"/>
  <c r="V744" i="69" s="1"/>
  <c r="W744" i="69" s="1"/>
  <c r="AK743" i="69"/>
  <c r="AG743" i="69"/>
  <c r="AD743" i="69"/>
  <c r="AE743" i="69" s="1"/>
  <c r="P743" i="69"/>
  <c r="U743" i="69" s="1"/>
  <c r="V743" i="69" s="1"/>
  <c r="W743" i="69" s="1"/>
  <c r="AK742" i="69"/>
  <c r="AG742" i="69"/>
  <c r="AD742" i="69"/>
  <c r="AE742" i="69" s="1"/>
  <c r="P742" i="69"/>
  <c r="U742" i="69" s="1"/>
  <c r="V742" i="69" s="1"/>
  <c r="W742" i="69" s="1"/>
  <c r="AK741" i="69"/>
  <c r="AG741" i="69"/>
  <c r="AD741" i="69"/>
  <c r="AE741" i="69" s="1"/>
  <c r="P741" i="69"/>
  <c r="U741" i="69" s="1"/>
  <c r="V741" i="69" s="1"/>
  <c r="W741" i="69" s="1"/>
  <c r="AK740" i="69"/>
  <c r="AG740" i="69"/>
  <c r="AD740" i="69"/>
  <c r="AE740" i="69" s="1"/>
  <c r="P740" i="69"/>
  <c r="U740" i="69" s="1"/>
  <c r="V740" i="69" s="1"/>
  <c r="W740" i="69" s="1"/>
  <c r="AK739" i="69"/>
  <c r="AG739" i="69"/>
  <c r="AD739" i="69"/>
  <c r="AE739" i="69" s="1"/>
  <c r="P739" i="69"/>
  <c r="U739" i="69" s="1"/>
  <c r="V739" i="69" s="1"/>
  <c r="W739" i="69" s="1"/>
  <c r="AK738" i="69"/>
  <c r="AG738" i="69"/>
  <c r="AD738" i="69"/>
  <c r="AE738" i="69" s="1"/>
  <c r="P738" i="69"/>
  <c r="U738" i="69" s="1"/>
  <c r="V738" i="69" s="1"/>
  <c r="W738" i="69" s="1"/>
  <c r="AK737" i="69"/>
  <c r="AG737" i="69"/>
  <c r="AD737" i="69"/>
  <c r="AE737" i="69" s="1"/>
  <c r="Y737" i="69"/>
  <c r="P737" i="69"/>
  <c r="U737" i="69" s="1"/>
  <c r="V737" i="69" s="1"/>
  <c r="W737" i="69" s="1"/>
  <c r="AK736" i="69"/>
  <c r="AG736" i="69"/>
  <c r="AD736" i="69"/>
  <c r="AE736" i="69" s="1"/>
  <c r="Y736" i="69"/>
  <c r="P736" i="69"/>
  <c r="U736" i="69" s="1"/>
  <c r="V736" i="69" s="1"/>
  <c r="W736" i="69" s="1"/>
  <c r="AK735" i="69"/>
  <c r="AG735" i="69"/>
  <c r="AD735" i="69"/>
  <c r="AE735" i="69" s="1"/>
  <c r="Y735" i="69"/>
  <c r="P735" i="69"/>
  <c r="U735" i="69" s="1"/>
  <c r="V735" i="69" s="1"/>
  <c r="W735" i="69" s="1"/>
  <c r="AK734" i="69"/>
  <c r="AG734" i="69"/>
  <c r="AD734" i="69"/>
  <c r="AE734" i="69" s="1"/>
  <c r="Y734" i="69"/>
  <c r="P734" i="69"/>
  <c r="U734" i="69" s="1"/>
  <c r="V734" i="69" s="1"/>
  <c r="W734" i="69" s="1"/>
  <c r="AK733" i="69"/>
  <c r="AG733" i="69"/>
  <c r="AD733" i="69"/>
  <c r="AE733" i="69" s="1"/>
  <c r="Y733" i="69"/>
  <c r="P733" i="69"/>
  <c r="U733" i="69" s="1"/>
  <c r="V733" i="69" s="1"/>
  <c r="W733" i="69" s="1"/>
  <c r="AK732" i="69"/>
  <c r="AG732" i="69"/>
  <c r="AD732" i="69"/>
  <c r="AE732" i="69" s="1"/>
  <c r="Y732" i="69"/>
  <c r="P732" i="69"/>
  <c r="U732" i="69" s="1"/>
  <c r="V732" i="69" s="1"/>
  <c r="W732" i="69" s="1"/>
  <c r="AK731" i="69"/>
  <c r="AG731" i="69"/>
  <c r="AD731" i="69"/>
  <c r="AE731" i="69" s="1"/>
  <c r="Y731" i="69"/>
  <c r="P731" i="69"/>
  <c r="U731" i="69" s="1"/>
  <c r="V731" i="69" s="1"/>
  <c r="W731" i="69" s="1"/>
  <c r="AK730" i="69"/>
  <c r="AG730" i="69"/>
  <c r="AD730" i="69"/>
  <c r="AE730" i="69" s="1"/>
  <c r="P730" i="69"/>
  <c r="U730" i="69" s="1"/>
  <c r="V730" i="69" s="1"/>
  <c r="W730" i="69" s="1"/>
  <c r="AK729" i="69"/>
  <c r="AG729" i="69"/>
  <c r="AD729" i="69"/>
  <c r="AE729" i="69" s="1"/>
  <c r="P729" i="69"/>
  <c r="U729" i="69" s="1"/>
  <c r="V729" i="69" s="1"/>
  <c r="W729" i="69" s="1"/>
  <c r="AK728" i="69"/>
  <c r="AG728" i="69"/>
  <c r="AD728" i="69"/>
  <c r="AE728" i="69" s="1"/>
  <c r="P728" i="69"/>
  <c r="U728" i="69" s="1"/>
  <c r="V728" i="69" s="1"/>
  <c r="W728" i="69" s="1"/>
  <c r="AK727" i="69"/>
  <c r="AG727" i="69"/>
  <c r="AD727" i="69"/>
  <c r="AE727" i="69" s="1"/>
  <c r="P727" i="69"/>
  <c r="U727" i="69" s="1"/>
  <c r="V727" i="69" s="1"/>
  <c r="W727" i="69" s="1"/>
  <c r="AK726" i="69"/>
  <c r="AG726" i="69"/>
  <c r="AD726" i="69"/>
  <c r="AE726" i="69" s="1"/>
  <c r="P726" i="69"/>
  <c r="U726" i="69" s="1"/>
  <c r="V726" i="69" s="1"/>
  <c r="W726" i="69" s="1"/>
  <c r="AK725" i="69"/>
  <c r="AG725" i="69"/>
  <c r="AD725" i="69"/>
  <c r="AE725" i="69" s="1"/>
  <c r="P725" i="69"/>
  <c r="U725" i="69" s="1"/>
  <c r="V725" i="69" s="1"/>
  <c r="W725" i="69" s="1"/>
  <c r="AK724" i="69"/>
  <c r="AG724" i="69"/>
  <c r="AD724" i="69"/>
  <c r="AE724" i="69" s="1"/>
  <c r="P724" i="69"/>
  <c r="U724" i="69" s="1"/>
  <c r="V724" i="69" s="1"/>
  <c r="W724" i="69" s="1"/>
  <c r="AK723" i="69"/>
  <c r="AG723" i="69"/>
  <c r="AD723" i="69"/>
  <c r="AE723" i="69" s="1"/>
  <c r="P723" i="69"/>
  <c r="U723" i="69" s="1"/>
  <c r="V723" i="69" s="1"/>
  <c r="W723" i="69" s="1"/>
  <c r="AK722" i="69"/>
  <c r="AG722" i="69"/>
  <c r="AD722" i="69"/>
  <c r="AE722" i="69" s="1"/>
  <c r="P722" i="69"/>
  <c r="U722" i="69" s="1"/>
  <c r="V722" i="69" s="1"/>
  <c r="W722" i="69" s="1"/>
  <c r="AK721" i="69"/>
  <c r="AG721" i="69"/>
  <c r="AD721" i="69"/>
  <c r="AE721" i="69" s="1"/>
  <c r="P721" i="69"/>
  <c r="U721" i="69" s="1"/>
  <c r="V721" i="69" s="1"/>
  <c r="W721" i="69" s="1"/>
  <c r="AK720" i="69"/>
  <c r="AG720" i="69"/>
  <c r="AD720" i="69"/>
  <c r="AE720" i="69" s="1"/>
  <c r="P720" i="69"/>
  <c r="U720" i="69" s="1"/>
  <c r="V720" i="69" s="1"/>
  <c r="W720" i="69" s="1"/>
  <c r="AK719" i="69"/>
  <c r="AG719" i="69"/>
  <c r="AD719" i="69"/>
  <c r="AE719" i="69" s="1"/>
  <c r="P719" i="69"/>
  <c r="U719" i="69" s="1"/>
  <c r="V719" i="69" s="1"/>
  <c r="W719" i="69" s="1"/>
  <c r="AK718" i="69"/>
  <c r="AG718" i="69"/>
  <c r="AD718" i="69"/>
  <c r="AE718" i="69" s="1"/>
  <c r="P718" i="69"/>
  <c r="U718" i="69" s="1"/>
  <c r="V718" i="69" s="1"/>
  <c r="W718" i="69" s="1"/>
  <c r="AK717" i="69"/>
  <c r="AG717" i="69"/>
  <c r="AD717" i="69"/>
  <c r="AE717" i="69" s="1"/>
  <c r="P717" i="69"/>
  <c r="U717" i="69" s="1"/>
  <c r="V717" i="69" s="1"/>
  <c r="W717" i="69" s="1"/>
  <c r="AK716" i="69"/>
  <c r="AG716" i="69"/>
  <c r="AD716" i="69"/>
  <c r="AE716" i="69" s="1"/>
  <c r="P716" i="69"/>
  <c r="U716" i="69" s="1"/>
  <c r="V716" i="69" s="1"/>
  <c r="W716" i="69" s="1"/>
  <c r="AK715" i="69"/>
  <c r="AG715" i="69"/>
  <c r="AD715" i="69"/>
  <c r="AE715" i="69" s="1"/>
  <c r="P715" i="69"/>
  <c r="U715" i="69" s="1"/>
  <c r="V715" i="69" s="1"/>
  <c r="W715" i="69" s="1"/>
  <c r="AK714" i="69"/>
  <c r="AG714" i="69"/>
  <c r="AD714" i="69"/>
  <c r="AE714" i="69" s="1"/>
  <c r="P714" i="69"/>
  <c r="U714" i="69" s="1"/>
  <c r="V714" i="69" s="1"/>
  <c r="W714" i="69" s="1"/>
  <c r="AK713" i="69"/>
  <c r="AG713" i="69"/>
  <c r="AD713" i="69"/>
  <c r="AE713" i="69" s="1"/>
  <c r="P713" i="69"/>
  <c r="U713" i="69" s="1"/>
  <c r="V713" i="69" s="1"/>
  <c r="W713" i="69" s="1"/>
  <c r="AK712" i="69"/>
  <c r="AG712" i="69"/>
  <c r="AD712" i="69"/>
  <c r="AE712" i="69" s="1"/>
  <c r="P712" i="69"/>
  <c r="U712" i="69" s="1"/>
  <c r="V712" i="69" s="1"/>
  <c r="W712" i="69" s="1"/>
  <c r="AK711" i="69"/>
  <c r="AG711" i="69"/>
  <c r="AD711" i="69"/>
  <c r="AE711" i="69" s="1"/>
  <c r="P711" i="69"/>
  <c r="U711" i="69" s="1"/>
  <c r="V711" i="69" s="1"/>
  <c r="W711" i="69" s="1"/>
  <c r="AK710" i="69"/>
  <c r="AG710" i="69"/>
  <c r="AD710" i="69"/>
  <c r="AE710" i="69" s="1"/>
  <c r="P710" i="69"/>
  <c r="U710" i="69" s="1"/>
  <c r="V710" i="69" s="1"/>
  <c r="W710" i="69" s="1"/>
  <c r="AK709" i="69"/>
  <c r="AG709" i="69"/>
  <c r="AD709" i="69"/>
  <c r="AE709" i="69" s="1"/>
  <c r="P709" i="69"/>
  <c r="U709" i="69" s="1"/>
  <c r="V709" i="69" s="1"/>
  <c r="W709" i="69" s="1"/>
  <c r="AK708" i="69"/>
  <c r="AG708" i="69"/>
  <c r="AD708" i="69"/>
  <c r="AE708" i="69" s="1"/>
  <c r="P708" i="69"/>
  <c r="U708" i="69" s="1"/>
  <c r="V708" i="69" s="1"/>
  <c r="W708" i="69" s="1"/>
  <c r="AK707" i="69"/>
  <c r="AG707" i="69"/>
  <c r="AD707" i="69"/>
  <c r="AE707" i="69" s="1"/>
  <c r="P707" i="69"/>
  <c r="U707" i="69" s="1"/>
  <c r="V707" i="69" s="1"/>
  <c r="W707" i="69" s="1"/>
  <c r="AK706" i="69"/>
  <c r="AG706" i="69"/>
  <c r="AD706" i="69"/>
  <c r="AE706" i="69" s="1"/>
  <c r="P706" i="69"/>
  <c r="U706" i="69" s="1"/>
  <c r="V706" i="69" s="1"/>
  <c r="W706" i="69" s="1"/>
  <c r="AK705" i="69"/>
  <c r="AG705" i="69"/>
  <c r="AD705" i="69"/>
  <c r="AE705" i="69" s="1"/>
  <c r="P705" i="69"/>
  <c r="U705" i="69" s="1"/>
  <c r="V705" i="69" s="1"/>
  <c r="W705" i="69" s="1"/>
  <c r="AK704" i="69"/>
  <c r="AG704" i="69"/>
  <c r="AD704" i="69"/>
  <c r="AE704" i="69" s="1"/>
  <c r="P704" i="69"/>
  <c r="U704" i="69" s="1"/>
  <c r="V704" i="69" s="1"/>
  <c r="W704" i="69" s="1"/>
  <c r="AK703" i="69"/>
  <c r="AG703" i="69"/>
  <c r="AD703" i="69"/>
  <c r="AE703" i="69" s="1"/>
  <c r="P703" i="69"/>
  <c r="U703" i="69" s="1"/>
  <c r="V703" i="69" s="1"/>
  <c r="W703" i="69" s="1"/>
  <c r="AK702" i="69"/>
  <c r="AG702" i="69"/>
  <c r="AD702" i="69"/>
  <c r="AE702" i="69" s="1"/>
  <c r="P702" i="69"/>
  <c r="U702" i="69" s="1"/>
  <c r="V702" i="69" s="1"/>
  <c r="W702" i="69" s="1"/>
  <c r="AK701" i="69"/>
  <c r="AG701" i="69"/>
  <c r="AD701" i="69"/>
  <c r="AE701" i="69" s="1"/>
  <c r="P701" i="69"/>
  <c r="U701" i="69" s="1"/>
  <c r="V701" i="69" s="1"/>
  <c r="W701" i="69" s="1"/>
  <c r="AK700" i="69"/>
  <c r="AG700" i="69"/>
  <c r="AD700" i="69"/>
  <c r="AE700" i="69" s="1"/>
  <c r="P700" i="69"/>
  <c r="U700" i="69" s="1"/>
  <c r="V700" i="69" s="1"/>
  <c r="W700" i="69" s="1"/>
  <c r="AK699" i="69"/>
  <c r="AG699" i="69"/>
  <c r="AD699" i="69"/>
  <c r="AE699" i="69" s="1"/>
  <c r="P699" i="69"/>
  <c r="U699" i="69" s="1"/>
  <c r="V699" i="69" s="1"/>
  <c r="W699" i="69" s="1"/>
  <c r="AK698" i="69"/>
  <c r="AG698" i="69"/>
  <c r="AD698" i="69"/>
  <c r="AE698" i="69" s="1"/>
  <c r="P698" i="69"/>
  <c r="U698" i="69" s="1"/>
  <c r="V698" i="69" s="1"/>
  <c r="W698" i="69" s="1"/>
  <c r="AK697" i="69"/>
  <c r="AG697" i="69"/>
  <c r="AD697" i="69"/>
  <c r="AE697" i="69" s="1"/>
  <c r="P697" i="69"/>
  <c r="U697" i="69" s="1"/>
  <c r="V697" i="69" s="1"/>
  <c r="W697" i="69" s="1"/>
  <c r="AK696" i="69"/>
  <c r="AG696" i="69"/>
  <c r="AD696" i="69"/>
  <c r="AE696" i="69" s="1"/>
  <c r="P696" i="69"/>
  <c r="U696" i="69" s="1"/>
  <c r="V696" i="69" s="1"/>
  <c r="W696" i="69" s="1"/>
  <c r="AK695" i="69"/>
  <c r="AG695" i="69"/>
  <c r="AD695" i="69"/>
  <c r="AE695" i="69" s="1"/>
  <c r="P695" i="69"/>
  <c r="U695" i="69" s="1"/>
  <c r="V695" i="69" s="1"/>
  <c r="W695" i="69" s="1"/>
  <c r="AK694" i="69"/>
  <c r="AG694" i="69"/>
  <c r="AD694" i="69"/>
  <c r="AE694" i="69" s="1"/>
  <c r="P694" i="69"/>
  <c r="U694" i="69" s="1"/>
  <c r="V694" i="69" s="1"/>
  <c r="W694" i="69" s="1"/>
  <c r="AK693" i="69"/>
  <c r="AG693" i="69"/>
  <c r="AD693" i="69"/>
  <c r="AE693" i="69" s="1"/>
  <c r="P693" i="69"/>
  <c r="U693" i="69" s="1"/>
  <c r="V693" i="69" s="1"/>
  <c r="W693" i="69" s="1"/>
  <c r="AK692" i="69"/>
  <c r="AG692" i="69"/>
  <c r="AD692" i="69"/>
  <c r="AE692" i="69" s="1"/>
  <c r="P692" i="69"/>
  <c r="U692" i="69" s="1"/>
  <c r="V692" i="69" s="1"/>
  <c r="W692" i="69" s="1"/>
  <c r="AK691" i="69"/>
  <c r="AG691" i="69"/>
  <c r="AD691" i="69"/>
  <c r="AE691" i="69" s="1"/>
  <c r="P691" i="69"/>
  <c r="U691" i="69" s="1"/>
  <c r="V691" i="69" s="1"/>
  <c r="W691" i="69" s="1"/>
  <c r="AK690" i="69"/>
  <c r="AG690" i="69"/>
  <c r="AD690" i="69"/>
  <c r="AE690" i="69" s="1"/>
  <c r="P690" i="69"/>
  <c r="U690" i="69" s="1"/>
  <c r="V690" i="69" s="1"/>
  <c r="W690" i="69" s="1"/>
  <c r="AK689" i="69"/>
  <c r="AG689" i="69"/>
  <c r="AD689" i="69"/>
  <c r="AE689" i="69" s="1"/>
  <c r="P689" i="69"/>
  <c r="U689" i="69" s="1"/>
  <c r="V689" i="69" s="1"/>
  <c r="W689" i="69" s="1"/>
  <c r="AK688" i="69"/>
  <c r="AG688" i="69"/>
  <c r="AD688" i="69"/>
  <c r="AE688" i="69" s="1"/>
  <c r="P688" i="69"/>
  <c r="U688" i="69" s="1"/>
  <c r="V688" i="69" s="1"/>
  <c r="W688" i="69" s="1"/>
  <c r="AK687" i="69"/>
  <c r="AG687" i="69"/>
  <c r="AD687" i="69"/>
  <c r="AE687" i="69" s="1"/>
  <c r="P687" i="69"/>
  <c r="U687" i="69" s="1"/>
  <c r="V687" i="69" s="1"/>
  <c r="W687" i="69" s="1"/>
  <c r="AK686" i="69"/>
  <c r="AG686" i="69"/>
  <c r="AD686" i="69"/>
  <c r="AE686" i="69" s="1"/>
  <c r="P686" i="69"/>
  <c r="U686" i="69" s="1"/>
  <c r="V686" i="69" s="1"/>
  <c r="W686" i="69" s="1"/>
  <c r="AK685" i="69"/>
  <c r="AG685" i="69"/>
  <c r="AD685" i="69"/>
  <c r="AE685" i="69" s="1"/>
  <c r="P685" i="69"/>
  <c r="U685" i="69" s="1"/>
  <c r="V685" i="69" s="1"/>
  <c r="W685" i="69" s="1"/>
  <c r="AK684" i="69"/>
  <c r="AG684" i="69"/>
  <c r="AD684" i="69"/>
  <c r="AE684" i="69" s="1"/>
  <c r="P684" i="69"/>
  <c r="U684" i="69" s="1"/>
  <c r="V684" i="69" s="1"/>
  <c r="W684" i="69" s="1"/>
  <c r="AK683" i="69"/>
  <c r="AG683" i="69"/>
  <c r="AD683" i="69"/>
  <c r="AE683" i="69" s="1"/>
  <c r="P683" i="69"/>
  <c r="U683" i="69" s="1"/>
  <c r="V683" i="69" s="1"/>
  <c r="W683" i="69" s="1"/>
  <c r="AK682" i="69"/>
  <c r="AG682" i="69"/>
  <c r="AD682" i="69"/>
  <c r="AE682" i="69" s="1"/>
  <c r="P682" i="69"/>
  <c r="U682" i="69" s="1"/>
  <c r="V682" i="69" s="1"/>
  <c r="W682" i="69" s="1"/>
  <c r="AK681" i="69"/>
  <c r="AG681" i="69"/>
  <c r="AD681" i="69"/>
  <c r="AE681" i="69" s="1"/>
  <c r="P681" i="69"/>
  <c r="U681" i="69" s="1"/>
  <c r="V681" i="69" s="1"/>
  <c r="W681" i="69" s="1"/>
  <c r="AK680" i="69"/>
  <c r="AG680" i="69"/>
  <c r="AD680" i="69"/>
  <c r="AE680" i="69" s="1"/>
  <c r="P680" i="69"/>
  <c r="U680" i="69" s="1"/>
  <c r="V680" i="69" s="1"/>
  <c r="W680" i="69" s="1"/>
  <c r="AK679" i="69"/>
  <c r="AG679" i="69"/>
  <c r="AD679" i="69"/>
  <c r="AE679" i="69" s="1"/>
  <c r="P679" i="69"/>
  <c r="U679" i="69" s="1"/>
  <c r="V679" i="69" s="1"/>
  <c r="W679" i="69" s="1"/>
  <c r="AK678" i="69"/>
  <c r="AG678" i="69"/>
  <c r="AD678" i="69"/>
  <c r="AE678" i="69" s="1"/>
  <c r="P678" i="69"/>
  <c r="U678" i="69" s="1"/>
  <c r="V678" i="69" s="1"/>
  <c r="W678" i="69" s="1"/>
  <c r="AK677" i="69"/>
  <c r="AG677" i="69"/>
  <c r="AD677" i="69"/>
  <c r="AE677" i="69" s="1"/>
  <c r="P677" i="69"/>
  <c r="U677" i="69" s="1"/>
  <c r="V677" i="69" s="1"/>
  <c r="W677" i="69" s="1"/>
  <c r="AK676" i="69"/>
  <c r="AG676" i="69"/>
  <c r="AD676" i="69"/>
  <c r="AE676" i="69" s="1"/>
  <c r="P676" i="69"/>
  <c r="U676" i="69" s="1"/>
  <c r="V676" i="69" s="1"/>
  <c r="W676" i="69" s="1"/>
  <c r="AK675" i="69"/>
  <c r="AG675" i="69"/>
  <c r="AD675" i="69"/>
  <c r="AE675" i="69" s="1"/>
  <c r="P675" i="69"/>
  <c r="U675" i="69" s="1"/>
  <c r="V675" i="69" s="1"/>
  <c r="W675" i="69" s="1"/>
  <c r="AK674" i="69"/>
  <c r="AG674" i="69"/>
  <c r="AD674" i="69"/>
  <c r="AE674" i="69" s="1"/>
  <c r="P674" i="69"/>
  <c r="U674" i="69" s="1"/>
  <c r="V674" i="69" s="1"/>
  <c r="W674" i="69" s="1"/>
  <c r="AK673" i="69"/>
  <c r="AG673" i="69"/>
  <c r="AD673" i="69"/>
  <c r="AE673" i="69" s="1"/>
  <c r="P673" i="69"/>
  <c r="U673" i="69" s="1"/>
  <c r="V673" i="69" s="1"/>
  <c r="W673" i="69" s="1"/>
  <c r="AK672" i="69"/>
  <c r="AG672" i="69"/>
  <c r="AD672" i="69"/>
  <c r="AE672" i="69" s="1"/>
  <c r="P672" i="69"/>
  <c r="U672" i="69" s="1"/>
  <c r="V672" i="69" s="1"/>
  <c r="W672" i="69" s="1"/>
  <c r="AK671" i="69"/>
  <c r="AG671" i="69"/>
  <c r="AD671" i="69"/>
  <c r="AE671" i="69" s="1"/>
  <c r="P671" i="69"/>
  <c r="U671" i="69" s="1"/>
  <c r="V671" i="69" s="1"/>
  <c r="W671" i="69" s="1"/>
  <c r="AK670" i="69"/>
  <c r="AG670" i="69"/>
  <c r="AD670" i="69"/>
  <c r="AE670" i="69" s="1"/>
  <c r="P670" i="69"/>
  <c r="U670" i="69" s="1"/>
  <c r="V670" i="69" s="1"/>
  <c r="W670" i="69" s="1"/>
  <c r="AK669" i="69"/>
  <c r="AG669" i="69"/>
  <c r="AD669" i="69"/>
  <c r="AE669" i="69" s="1"/>
  <c r="P669" i="69"/>
  <c r="U669" i="69" s="1"/>
  <c r="V669" i="69" s="1"/>
  <c r="W669" i="69" s="1"/>
  <c r="AK668" i="69"/>
  <c r="AG668" i="69"/>
  <c r="AD668" i="69"/>
  <c r="AE668" i="69" s="1"/>
  <c r="P668" i="69"/>
  <c r="U668" i="69" s="1"/>
  <c r="V668" i="69" s="1"/>
  <c r="W668" i="69" s="1"/>
  <c r="AK667" i="69"/>
  <c r="AG667" i="69"/>
  <c r="AD667" i="69"/>
  <c r="AE667" i="69" s="1"/>
  <c r="P667" i="69"/>
  <c r="U667" i="69" s="1"/>
  <c r="V667" i="69" s="1"/>
  <c r="W667" i="69" s="1"/>
  <c r="AK666" i="69"/>
  <c r="AG666" i="69"/>
  <c r="AD666" i="69"/>
  <c r="AE666" i="69" s="1"/>
  <c r="P666" i="69"/>
  <c r="U666" i="69" s="1"/>
  <c r="V666" i="69" s="1"/>
  <c r="W666" i="69" s="1"/>
  <c r="AK665" i="69"/>
  <c r="AG665" i="69"/>
  <c r="AD665" i="69"/>
  <c r="AE665" i="69" s="1"/>
  <c r="P665" i="69"/>
  <c r="U665" i="69" s="1"/>
  <c r="V665" i="69" s="1"/>
  <c r="W665" i="69" s="1"/>
  <c r="AK664" i="69"/>
  <c r="AG664" i="69"/>
  <c r="AD664" i="69"/>
  <c r="AE664" i="69" s="1"/>
  <c r="P664" i="69"/>
  <c r="U664" i="69" s="1"/>
  <c r="V664" i="69" s="1"/>
  <c r="W664" i="69" s="1"/>
  <c r="AK663" i="69"/>
  <c r="AG663" i="69"/>
  <c r="AD663" i="69"/>
  <c r="AE663" i="69" s="1"/>
  <c r="P663" i="69"/>
  <c r="U663" i="69" s="1"/>
  <c r="V663" i="69" s="1"/>
  <c r="W663" i="69" s="1"/>
  <c r="AK662" i="69"/>
  <c r="AG662" i="69"/>
  <c r="AD662" i="69"/>
  <c r="AE662" i="69" s="1"/>
  <c r="P662" i="69"/>
  <c r="U662" i="69" s="1"/>
  <c r="V662" i="69" s="1"/>
  <c r="W662" i="69" s="1"/>
  <c r="AK661" i="69"/>
  <c r="AG661" i="69"/>
  <c r="AD661" i="69"/>
  <c r="AE661" i="69" s="1"/>
  <c r="P661" i="69"/>
  <c r="U661" i="69" s="1"/>
  <c r="V661" i="69" s="1"/>
  <c r="W661" i="69" s="1"/>
  <c r="AK660" i="69"/>
  <c r="AG660" i="69"/>
  <c r="AD660" i="69"/>
  <c r="AE660" i="69" s="1"/>
  <c r="P660" i="69"/>
  <c r="U660" i="69" s="1"/>
  <c r="V660" i="69" s="1"/>
  <c r="W660" i="69" s="1"/>
  <c r="AK659" i="69"/>
  <c r="AG659" i="69"/>
  <c r="AD659" i="69"/>
  <c r="AE659" i="69" s="1"/>
  <c r="P659" i="69"/>
  <c r="U659" i="69" s="1"/>
  <c r="V659" i="69" s="1"/>
  <c r="W659" i="69" s="1"/>
  <c r="AK658" i="69"/>
  <c r="AG658" i="69"/>
  <c r="AD658" i="69"/>
  <c r="AE658" i="69" s="1"/>
  <c r="P658" i="69"/>
  <c r="U658" i="69" s="1"/>
  <c r="V658" i="69" s="1"/>
  <c r="W658" i="69" s="1"/>
  <c r="AK657" i="69"/>
  <c r="AG657" i="69"/>
  <c r="AD657" i="69"/>
  <c r="AE657" i="69" s="1"/>
  <c r="P657" i="69"/>
  <c r="U657" i="69" s="1"/>
  <c r="V657" i="69" s="1"/>
  <c r="W657" i="69" s="1"/>
  <c r="AK656" i="69"/>
  <c r="AG656" i="69"/>
  <c r="AD656" i="69"/>
  <c r="AE656" i="69" s="1"/>
  <c r="P656" i="69"/>
  <c r="U656" i="69" s="1"/>
  <c r="V656" i="69" s="1"/>
  <c r="W656" i="69" s="1"/>
  <c r="AK655" i="69"/>
  <c r="AG655" i="69"/>
  <c r="AD655" i="69"/>
  <c r="AE655" i="69" s="1"/>
  <c r="P655" i="69"/>
  <c r="U655" i="69" s="1"/>
  <c r="V655" i="69" s="1"/>
  <c r="W655" i="69" s="1"/>
  <c r="AK654" i="69"/>
  <c r="AG654" i="69"/>
  <c r="AD654" i="69"/>
  <c r="AE654" i="69" s="1"/>
  <c r="P654" i="69"/>
  <c r="U654" i="69" s="1"/>
  <c r="V654" i="69" s="1"/>
  <c r="W654" i="69" s="1"/>
  <c r="AK653" i="69"/>
  <c r="AG653" i="69"/>
  <c r="AD653" i="69"/>
  <c r="AE653" i="69" s="1"/>
  <c r="P653" i="69"/>
  <c r="U653" i="69" s="1"/>
  <c r="V653" i="69" s="1"/>
  <c r="W653" i="69" s="1"/>
  <c r="AK652" i="69"/>
  <c r="AG652" i="69"/>
  <c r="AD652" i="69"/>
  <c r="AE652" i="69" s="1"/>
  <c r="P652" i="69"/>
  <c r="U652" i="69" s="1"/>
  <c r="V652" i="69" s="1"/>
  <c r="W652" i="69" s="1"/>
  <c r="AK651" i="69"/>
  <c r="AG651" i="69"/>
  <c r="AD651" i="69"/>
  <c r="AE651" i="69" s="1"/>
  <c r="P651" i="69"/>
  <c r="U651" i="69" s="1"/>
  <c r="V651" i="69" s="1"/>
  <c r="W651" i="69" s="1"/>
  <c r="AK650" i="69"/>
  <c r="AG650" i="69"/>
  <c r="AD650" i="69"/>
  <c r="AE650" i="69" s="1"/>
  <c r="P650" i="69"/>
  <c r="U650" i="69" s="1"/>
  <c r="V650" i="69" s="1"/>
  <c r="W650" i="69" s="1"/>
  <c r="AK649" i="69"/>
  <c r="AG649" i="69"/>
  <c r="AD649" i="69"/>
  <c r="AE649" i="69" s="1"/>
  <c r="P649" i="69"/>
  <c r="U649" i="69" s="1"/>
  <c r="V649" i="69" s="1"/>
  <c r="W649" i="69" s="1"/>
  <c r="AK648" i="69"/>
  <c r="AG648" i="69"/>
  <c r="AD648" i="69"/>
  <c r="AE648" i="69" s="1"/>
  <c r="P648" i="69"/>
  <c r="U648" i="69" s="1"/>
  <c r="V648" i="69" s="1"/>
  <c r="W648" i="69" s="1"/>
  <c r="AK647" i="69"/>
  <c r="AG647" i="69"/>
  <c r="AD647" i="69"/>
  <c r="AE647" i="69" s="1"/>
  <c r="P647" i="69"/>
  <c r="U647" i="69" s="1"/>
  <c r="V647" i="69" s="1"/>
  <c r="W647" i="69" s="1"/>
  <c r="AK646" i="69"/>
  <c r="AG646" i="69"/>
  <c r="AD646" i="69"/>
  <c r="AE646" i="69" s="1"/>
  <c r="P646" i="69"/>
  <c r="U646" i="69" s="1"/>
  <c r="V646" i="69" s="1"/>
  <c r="W646" i="69" s="1"/>
  <c r="AK645" i="69"/>
  <c r="AG645" i="69"/>
  <c r="AD645" i="69"/>
  <c r="AE645" i="69" s="1"/>
  <c r="P645" i="69"/>
  <c r="U645" i="69" s="1"/>
  <c r="V645" i="69" s="1"/>
  <c r="W645" i="69" s="1"/>
  <c r="AK644" i="69"/>
  <c r="AG644" i="69"/>
  <c r="AD644" i="69"/>
  <c r="AE644" i="69" s="1"/>
  <c r="P644" i="69"/>
  <c r="U644" i="69" s="1"/>
  <c r="V644" i="69" s="1"/>
  <c r="W644" i="69" s="1"/>
  <c r="AK643" i="69"/>
  <c r="AG643" i="69"/>
  <c r="AD643" i="69"/>
  <c r="AE643" i="69" s="1"/>
  <c r="P643" i="69"/>
  <c r="U643" i="69" s="1"/>
  <c r="V643" i="69" s="1"/>
  <c r="W643" i="69" s="1"/>
  <c r="AK642" i="69"/>
  <c r="AG642" i="69"/>
  <c r="AD642" i="69"/>
  <c r="AE642" i="69" s="1"/>
  <c r="P642" i="69"/>
  <c r="U642" i="69" s="1"/>
  <c r="V642" i="69" s="1"/>
  <c r="W642" i="69" s="1"/>
  <c r="AK641" i="69"/>
  <c r="AG641" i="69"/>
  <c r="AD641" i="69"/>
  <c r="AE641" i="69" s="1"/>
  <c r="P641" i="69"/>
  <c r="U641" i="69" s="1"/>
  <c r="V641" i="69" s="1"/>
  <c r="W641" i="69" s="1"/>
  <c r="AK640" i="69"/>
  <c r="AG640" i="69"/>
  <c r="AD640" i="69"/>
  <c r="AE640" i="69" s="1"/>
  <c r="P640" i="69"/>
  <c r="U640" i="69" s="1"/>
  <c r="V640" i="69" s="1"/>
  <c r="W640" i="69" s="1"/>
  <c r="AK639" i="69"/>
  <c r="AG639" i="69"/>
  <c r="AD639" i="69"/>
  <c r="AE639" i="69" s="1"/>
  <c r="P639" i="69"/>
  <c r="U639" i="69" s="1"/>
  <c r="V639" i="69" s="1"/>
  <c r="W639" i="69" s="1"/>
  <c r="AK638" i="69"/>
  <c r="AG638" i="69"/>
  <c r="AD638" i="69"/>
  <c r="AE638" i="69" s="1"/>
  <c r="P638" i="69"/>
  <c r="U638" i="69" s="1"/>
  <c r="V638" i="69" s="1"/>
  <c r="W638" i="69" s="1"/>
  <c r="AK637" i="69"/>
  <c r="AG637" i="69"/>
  <c r="AD637" i="69"/>
  <c r="AE637" i="69" s="1"/>
  <c r="Y637" i="69"/>
  <c r="P637" i="69"/>
  <c r="U637" i="69" s="1"/>
  <c r="V637" i="69" s="1"/>
  <c r="W637" i="69" s="1"/>
  <c r="AK636" i="69"/>
  <c r="AG636" i="69"/>
  <c r="AD636" i="69"/>
  <c r="AE636" i="69" s="1"/>
  <c r="Y636" i="69"/>
  <c r="P636" i="69"/>
  <c r="U636" i="69" s="1"/>
  <c r="V636" i="69" s="1"/>
  <c r="W636" i="69" s="1"/>
  <c r="AK635" i="69"/>
  <c r="AG635" i="69"/>
  <c r="AD635" i="69"/>
  <c r="AE635" i="69" s="1"/>
  <c r="Y635" i="69"/>
  <c r="P635" i="69"/>
  <c r="U635" i="69" s="1"/>
  <c r="V635" i="69" s="1"/>
  <c r="W635" i="69" s="1"/>
  <c r="AK634" i="69"/>
  <c r="AG634" i="69"/>
  <c r="AD634" i="69"/>
  <c r="AE634" i="69" s="1"/>
  <c r="Y634" i="69"/>
  <c r="P634" i="69"/>
  <c r="U634" i="69" s="1"/>
  <c r="V634" i="69" s="1"/>
  <c r="W634" i="69" s="1"/>
  <c r="AK633" i="69"/>
  <c r="AG633" i="69"/>
  <c r="AD633" i="69"/>
  <c r="AE633" i="69" s="1"/>
  <c r="Y633" i="69"/>
  <c r="P633" i="69"/>
  <c r="U633" i="69" s="1"/>
  <c r="V633" i="69" s="1"/>
  <c r="W633" i="69" s="1"/>
  <c r="AK632" i="69"/>
  <c r="AG632" i="69"/>
  <c r="AD632" i="69"/>
  <c r="AE632" i="69" s="1"/>
  <c r="Y632" i="69"/>
  <c r="P632" i="69"/>
  <c r="U632" i="69" s="1"/>
  <c r="V632" i="69" s="1"/>
  <c r="W632" i="69" s="1"/>
  <c r="AK631" i="69"/>
  <c r="AG631" i="69"/>
  <c r="AD631" i="69"/>
  <c r="AE631" i="69" s="1"/>
  <c r="Y631" i="69"/>
  <c r="P631" i="69"/>
  <c r="U631" i="69" s="1"/>
  <c r="V631" i="69" s="1"/>
  <c r="W631" i="69" s="1"/>
  <c r="AK630" i="69"/>
  <c r="AG630" i="69"/>
  <c r="AD630" i="69"/>
  <c r="AE630" i="69" s="1"/>
  <c r="Y630" i="69"/>
  <c r="P630" i="69"/>
  <c r="U630" i="69" s="1"/>
  <c r="V630" i="69" s="1"/>
  <c r="W630" i="69" s="1"/>
  <c r="AK629" i="69"/>
  <c r="AG629" i="69"/>
  <c r="AD629" i="69"/>
  <c r="AE629" i="69" s="1"/>
  <c r="Y629" i="69"/>
  <c r="P629" i="69"/>
  <c r="U629" i="69" s="1"/>
  <c r="V629" i="69" s="1"/>
  <c r="W629" i="69" s="1"/>
  <c r="AK628" i="69"/>
  <c r="AG628" i="69"/>
  <c r="AD628" i="69"/>
  <c r="AE628" i="69" s="1"/>
  <c r="Y628" i="69"/>
  <c r="P628" i="69"/>
  <c r="U628" i="69" s="1"/>
  <c r="V628" i="69" s="1"/>
  <c r="W628" i="69" s="1"/>
  <c r="AK627" i="69"/>
  <c r="AG627" i="69"/>
  <c r="AD627" i="69"/>
  <c r="AE627" i="69" s="1"/>
  <c r="P627" i="69"/>
  <c r="U627" i="69" s="1"/>
  <c r="V627" i="69" s="1"/>
  <c r="W627" i="69" s="1"/>
  <c r="AK626" i="69"/>
  <c r="AG626" i="69"/>
  <c r="AD626" i="69"/>
  <c r="AE626" i="69" s="1"/>
  <c r="P626" i="69"/>
  <c r="U626" i="69" s="1"/>
  <c r="V626" i="69" s="1"/>
  <c r="W626" i="69" s="1"/>
  <c r="AK625" i="69"/>
  <c r="AG625" i="69"/>
  <c r="AD625" i="69"/>
  <c r="AE625" i="69" s="1"/>
  <c r="P625" i="69"/>
  <c r="U625" i="69" s="1"/>
  <c r="V625" i="69" s="1"/>
  <c r="W625" i="69" s="1"/>
  <c r="AK624" i="69"/>
  <c r="AG624" i="69"/>
  <c r="AD624" i="69"/>
  <c r="AE624" i="69" s="1"/>
  <c r="P624" i="69"/>
  <c r="U624" i="69" s="1"/>
  <c r="V624" i="69" s="1"/>
  <c r="W624" i="69" s="1"/>
  <c r="AK623" i="69"/>
  <c r="AG623" i="69"/>
  <c r="AD623" i="69"/>
  <c r="AE623" i="69" s="1"/>
  <c r="P623" i="69"/>
  <c r="U623" i="69" s="1"/>
  <c r="V623" i="69" s="1"/>
  <c r="W623" i="69" s="1"/>
  <c r="AK622" i="69"/>
  <c r="AG622" i="69"/>
  <c r="AD622" i="69"/>
  <c r="AE622" i="69" s="1"/>
  <c r="P622" i="69"/>
  <c r="U622" i="69" s="1"/>
  <c r="V622" i="69" s="1"/>
  <c r="W622" i="69" s="1"/>
  <c r="AK621" i="69"/>
  <c r="AG621" i="69"/>
  <c r="AD621" i="69"/>
  <c r="AE621" i="69" s="1"/>
  <c r="P621" i="69"/>
  <c r="U621" i="69" s="1"/>
  <c r="V621" i="69" s="1"/>
  <c r="W621" i="69" s="1"/>
  <c r="AK620" i="69"/>
  <c r="AG620" i="69"/>
  <c r="AD620" i="69"/>
  <c r="AE620" i="69" s="1"/>
  <c r="P620" i="69"/>
  <c r="U620" i="69" s="1"/>
  <c r="V620" i="69" s="1"/>
  <c r="W620" i="69" s="1"/>
  <c r="AK619" i="69"/>
  <c r="AG619" i="69"/>
  <c r="AD619" i="69"/>
  <c r="AE619" i="69" s="1"/>
  <c r="Y619" i="69"/>
  <c r="P619" i="69"/>
  <c r="U619" i="69" s="1"/>
  <c r="V619" i="69" s="1"/>
  <c r="W619" i="69" s="1"/>
  <c r="AK618" i="69"/>
  <c r="AG618" i="69"/>
  <c r="AD618" i="69"/>
  <c r="AE618" i="69" s="1"/>
  <c r="Y618" i="69"/>
  <c r="P618" i="69"/>
  <c r="U618" i="69" s="1"/>
  <c r="V618" i="69" s="1"/>
  <c r="W618" i="69" s="1"/>
  <c r="AK617" i="69"/>
  <c r="AG617" i="69"/>
  <c r="AD617" i="69"/>
  <c r="AE617" i="69" s="1"/>
  <c r="Y617" i="69"/>
  <c r="P617" i="69"/>
  <c r="U617" i="69" s="1"/>
  <c r="V617" i="69" s="1"/>
  <c r="W617" i="69" s="1"/>
  <c r="AK616" i="69"/>
  <c r="AG616" i="69"/>
  <c r="AD616" i="69"/>
  <c r="AE616" i="69" s="1"/>
  <c r="Y616" i="69"/>
  <c r="P616" i="69"/>
  <c r="U616" i="69" s="1"/>
  <c r="V616" i="69" s="1"/>
  <c r="W616" i="69" s="1"/>
  <c r="AK615" i="69"/>
  <c r="AG615" i="69"/>
  <c r="AD615" i="69"/>
  <c r="AE615" i="69" s="1"/>
  <c r="Y615" i="69"/>
  <c r="P615" i="69"/>
  <c r="U615" i="69" s="1"/>
  <c r="V615" i="69" s="1"/>
  <c r="W615" i="69" s="1"/>
  <c r="AK614" i="69"/>
  <c r="AG614" i="69"/>
  <c r="AD614" i="69"/>
  <c r="AE614" i="69" s="1"/>
  <c r="Y614" i="69"/>
  <c r="P614" i="69"/>
  <c r="U614" i="69" s="1"/>
  <c r="V614" i="69" s="1"/>
  <c r="W614" i="69" s="1"/>
  <c r="AK613" i="69"/>
  <c r="AG613" i="69"/>
  <c r="AD613" i="69"/>
  <c r="AE613" i="69" s="1"/>
  <c r="Y613" i="69"/>
  <c r="P613" i="69"/>
  <c r="U613" i="69" s="1"/>
  <c r="V613" i="69" s="1"/>
  <c r="W613" i="69" s="1"/>
  <c r="AK612" i="69"/>
  <c r="AG612" i="69"/>
  <c r="AD612" i="69"/>
  <c r="AE612" i="69" s="1"/>
  <c r="Y612" i="69"/>
  <c r="P612" i="69"/>
  <c r="U612" i="69" s="1"/>
  <c r="V612" i="69" s="1"/>
  <c r="W612" i="69" s="1"/>
  <c r="AK611" i="69"/>
  <c r="AG611" i="69"/>
  <c r="AD611" i="69"/>
  <c r="AE611" i="69" s="1"/>
  <c r="Y611" i="69"/>
  <c r="P611" i="69"/>
  <c r="U611" i="69" s="1"/>
  <c r="V611" i="69" s="1"/>
  <c r="W611" i="69" s="1"/>
  <c r="AK610" i="69"/>
  <c r="AG610" i="69"/>
  <c r="AD610" i="69"/>
  <c r="AE610" i="69" s="1"/>
  <c r="P610" i="69"/>
  <c r="U610" i="69" s="1"/>
  <c r="V610" i="69" s="1"/>
  <c r="W610" i="69" s="1"/>
  <c r="AK609" i="69"/>
  <c r="AG609" i="69"/>
  <c r="AD609" i="69"/>
  <c r="AE609" i="69" s="1"/>
  <c r="P609" i="69"/>
  <c r="U609" i="69" s="1"/>
  <c r="V609" i="69" s="1"/>
  <c r="W609" i="69" s="1"/>
  <c r="AK608" i="69"/>
  <c r="AG608" i="69"/>
  <c r="AD608" i="69"/>
  <c r="AE608" i="69" s="1"/>
  <c r="P608" i="69"/>
  <c r="U608" i="69" s="1"/>
  <c r="V608" i="69" s="1"/>
  <c r="W608" i="69" s="1"/>
  <c r="AK607" i="69"/>
  <c r="AG607" i="69"/>
  <c r="AD607" i="69"/>
  <c r="AE607" i="69" s="1"/>
  <c r="P607" i="69"/>
  <c r="U607" i="69" s="1"/>
  <c r="V607" i="69" s="1"/>
  <c r="W607" i="69" s="1"/>
  <c r="AK606" i="69"/>
  <c r="AG606" i="69"/>
  <c r="AD606" i="69"/>
  <c r="AE606" i="69" s="1"/>
  <c r="P606" i="69"/>
  <c r="U606" i="69" s="1"/>
  <c r="V606" i="69" s="1"/>
  <c r="W606" i="69" s="1"/>
  <c r="AK605" i="69"/>
  <c r="AG605" i="69"/>
  <c r="AD605" i="69"/>
  <c r="AE605" i="69" s="1"/>
  <c r="P605" i="69"/>
  <c r="U605" i="69" s="1"/>
  <c r="V605" i="69" s="1"/>
  <c r="W605" i="69" s="1"/>
  <c r="AK604" i="69"/>
  <c r="AG604" i="69"/>
  <c r="AD604" i="69"/>
  <c r="AE604" i="69" s="1"/>
  <c r="P604" i="69"/>
  <c r="U604" i="69" s="1"/>
  <c r="V604" i="69" s="1"/>
  <c r="W604" i="69" s="1"/>
  <c r="AK603" i="69"/>
  <c r="AG603" i="69"/>
  <c r="AD603" i="69"/>
  <c r="AE603" i="69" s="1"/>
  <c r="P603" i="69"/>
  <c r="U603" i="69" s="1"/>
  <c r="V603" i="69" s="1"/>
  <c r="W603" i="69" s="1"/>
  <c r="AK602" i="69"/>
  <c r="AG602" i="69"/>
  <c r="AD602" i="69"/>
  <c r="AE602" i="69" s="1"/>
  <c r="P602" i="69"/>
  <c r="U602" i="69" s="1"/>
  <c r="V602" i="69" s="1"/>
  <c r="W602" i="69" s="1"/>
  <c r="AK601" i="69"/>
  <c r="AG601" i="69"/>
  <c r="AD601" i="69"/>
  <c r="AE601" i="69" s="1"/>
  <c r="P601" i="69"/>
  <c r="U601" i="69" s="1"/>
  <c r="V601" i="69" s="1"/>
  <c r="W601" i="69" s="1"/>
  <c r="AK600" i="69"/>
  <c r="AG600" i="69"/>
  <c r="AD600" i="69"/>
  <c r="AE600" i="69" s="1"/>
  <c r="P600" i="69"/>
  <c r="U600" i="69" s="1"/>
  <c r="V600" i="69" s="1"/>
  <c r="W600" i="69" s="1"/>
  <c r="AK599" i="69"/>
  <c r="AG599" i="69"/>
  <c r="AD599" i="69"/>
  <c r="AE599" i="69" s="1"/>
  <c r="P599" i="69"/>
  <c r="U599" i="69" s="1"/>
  <c r="V599" i="69" s="1"/>
  <c r="W599" i="69" s="1"/>
  <c r="AK598" i="69"/>
  <c r="AG598" i="69"/>
  <c r="AD598" i="69"/>
  <c r="AE598" i="69" s="1"/>
  <c r="P598" i="69"/>
  <c r="U598" i="69" s="1"/>
  <c r="V598" i="69" s="1"/>
  <c r="W598" i="69" s="1"/>
  <c r="AK597" i="69"/>
  <c r="AG597" i="69"/>
  <c r="AD597" i="69"/>
  <c r="AE597" i="69" s="1"/>
  <c r="P597" i="69"/>
  <c r="U597" i="69" s="1"/>
  <c r="V597" i="69" s="1"/>
  <c r="W597" i="69" s="1"/>
  <c r="AK596" i="69"/>
  <c r="AG596" i="69"/>
  <c r="AD596" i="69"/>
  <c r="AE596" i="69" s="1"/>
  <c r="P596" i="69"/>
  <c r="U596" i="69" s="1"/>
  <c r="V596" i="69" s="1"/>
  <c r="W596" i="69" s="1"/>
  <c r="AK595" i="69"/>
  <c r="AG595" i="69"/>
  <c r="AD595" i="69"/>
  <c r="AE595" i="69" s="1"/>
  <c r="P595" i="69"/>
  <c r="U595" i="69" s="1"/>
  <c r="V595" i="69" s="1"/>
  <c r="W595" i="69" s="1"/>
  <c r="AK594" i="69"/>
  <c r="AG594" i="69"/>
  <c r="AD594" i="69"/>
  <c r="AE594" i="69" s="1"/>
  <c r="P594" i="69"/>
  <c r="U594" i="69" s="1"/>
  <c r="V594" i="69" s="1"/>
  <c r="W594" i="69" s="1"/>
  <c r="AK593" i="69"/>
  <c r="AG593" i="69"/>
  <c r="AD593" i="69"/>
  <c r="AE593" i="69" s="1"/>
  <c r="P593" i="69"/>
  <c r="U593" i="69" s="1"/>
  <c r="V593" i="69" s="1"/>
  <c r="W593" i="69" s="1"/>
  <c r="AK592" i="69"/>
  <c r="AG592" i="69"/>
  <c r="AD592" i="69"/>
  <c r="AE592" i="69" s="1"/>
  <c r="P592" i="69"/>
  <c r="U592" i="69" s="1"/>
  <c r="V592" i="69" s="1"/>
  <c r="W592" i="69" s="1"/>
  <c r="AK591" i="69"/>
  <c r="AG591" i="69"/>
  <c r="AD591" i="69"/>
  <c r="AE591" i="69" s="1"/>
  <c r="AB591" i="69"/>
  <c r="P591" i="69"/>
  <c r="U591" i="69" s="1"/>
  <c r="V591" i="69" s="1"/>
  <c r="W591" i="69" s="1"/>
  <c r="AK590" i="69"/>
  <c r="AG590" i="69"/>
  <c r="AD590" i="69"/>
  <c r="AE590" i="69" s="1"/>
  <c r="AB590" i="69"/>
  <c r="P590" i="69"/>
  <c r="U590" i="69" s="1"/>
  <c r="V590" i="69" s="1"/>
  <c r="W590" i="69" s="1"/>
  <c r="AK589" i="69"/>
  <c r="AG589" i="69"/>
  <c r="AD589" i="69"/>
  <c r="AE589" i="69" s="1"/>
  <c r="AB589" i="69"/>
  <c r="P589" i="69"/>
  <c r="U589" i="69" s="1"/>
  <c r="V589" i="69" s="1"/>
  <c r="W589" i="69" s="1"/>
  <c r="AK588" i="69"/>
  <c r="AG588" i="69"/>
  <c r="AD588" i="69"/>
  <c r="AE588" i="69" s="1"/>
  <c r="AB588" i="69"/>
  <c r="P588" i="69"/>
  <c r="U588" i="69" s="1"/>
  <c r="V588" i="69" s="1"/>
  <c r="W588" i="69" s="1"/>
  <c r="AK587" i="69"/>
  <c r="AG587" i="69"/>
  <c r="AD587" i="69"/>
  <c r="AE587" i="69" s="1"/>
  <c r="AB587" i="69"/>
  <c r="P587" i="69"/>
  <c r="U587" i="69" s="1"/>
  <c r="V587" i="69" s="1"/>
  <c r="W587" i="69" s="1"/>
  <c r="AK586" i="69"/>
  <c r="AG586" i="69"/>
  <c r="AD586" i="69"/>
  <c r="AE586" i="69" s="1"/>
  <c r="P586" i="69"/>
  <c r="U586" i="69" s="1"/>
  <c r="V586" i="69" s="1"/>
  <c r="W586" i="69" s="1"/>
  <c r="AK585" i="69"/>
  <c r="AG585" i="69"/>
  <c r="AD585" i="69"/>
  <c r="AE585" i="69" s="1"/>
  <c r="P585" i="69"/>
  <c r="U585" i="69" s="1"/>
  <c r="V585" i="69" s="1"/>
  <c r="W585" i="69" s="1"/>
  <c r="AK584" i="69"/>
  <c r="AG584" i="69"/>
  <c r="AD584" i="69"/>
  <c r="AE584" i="69" s="1"/>
  <c r="P584" i="69"/>
  <c r="U584" i="69" s="1"/>
  <c r="V584" i="69" s="1"/>
  <c r="W584" i="69" s="1"/>
  <c r="AK583" i="69"/>
  <c r="AG583" i="69"/>
  <c r="AD583" i="69"/>
  <c r="AE583" i="69" s="1"/>
  <c r="P583" i="69"/>
  <c r="U583" i="69" s="1"/>
  <c r="V583" i="69" s="1"/>
  <c r="W583" i="69" s="1"/>
  <c r="AK582" i="69"/>
  <c r="AG582" i="69"/>
  <c r="AD582" i="69"/>
  <c r="AE582" i="69" s="1"/>
  <c r="P582" i="69"/>
  <c r="U582" i="69" s="1"/>
  <c r="V582" i="69" s="1"/>
  <c r="W582" i="69" s="1"/>
  <c r="AK581" i="69"/>
  <c r="AG581" i="69"/>
  <c r="AD581" i="69"/>
  <c r="AE581" i="69" s="1"/>
  <c r="P581" i="69"/>
  <c r="U581" i="69" s="1"/>
  <c r="V581" i="69" s="1"/>
  <c r="W581" i="69" s="1"/>
  <c r="AK580" i="69"/>
  <c r="AG580" i="69"/>
  <c r="AD580" i="69"/>
  <c r="AE580" i="69" s="1"/>
  <c r="P580" i="69"/>
  <c r="U580" i="69" s="1"/>
  <c r="V580" i="69" s="1"/>
  <c r="W580" i="69" s="1"/>
  <c r="AK579" i="69"/>
  <c r="AG579" i="69"/>
  <c r="AD579" i="69"/>
  <c r="AE579" i="69" s="1"/>
  <c r="P579" i="69"/>
  <c r="U579" i="69" s="1"/>
  <c r="V579" i="69" s="1"/>
  <c r="W579" i="69" s="1"/>
  <c r="AK578" i="69"/>
  <c r="AG578" i="69"/>
  <c r="AD578" i="69"/>
  <c r="AE578" i="69" s="1"/>
  <c r="P578" i="69"/>
  <c r="U578" i="69" s="1"/>
  <c r="V578" i="69" s="1"/>
  <c r="W578" i="69" s="1"/>
  <c r="AK577" i="69"/>
  <c r="AG577" i="69"/>
  <c r="AD577" i="69"/>
  <c r="AE577" i="69" s="1"/>
  <c r="P577" i="69"/>
  <c r="U577" i="69" s="1"/>
  <c r="V577" i="69" s="1"/>
  <c r="W577" i="69" s="1"/>
  <c r="AK576" i="69"/>
  <c r="AG576" i="69"/>
  <c r="AD576" i="69"/>
  <c r="AE576" i="69" s="1"/>
  <c r="P576" i="69"/>
  <c r="U576" i="69" s="1"/>
  <c r="V576" i="69" s="1"/>
  <c r="W576" i="69" s="1"/>
  <c r="AK575" i="69"/>
  <c r="AG575" i="69"/>
  <c r="AD575" i="69"/>
  <c r="AE575" i="69" s="1"/>
  <c r="P575" i="69"/>
  <c r="U575" i="69" s="1"/>
  <c r="V575" i="69" s="1"/>
  <c r="W575" i="69" s="1"/>
  <c r="AK574" i="69"/>
  <c r="AG574" i="69"/>
  <c r="AD574" i="69"/>
  <c r="AE574" i="69" s="1"/>
  <c r="P574" i="69"/>
  <c r="U574" i="69" s="1"/>
  <c r="V574" i="69" s="1"/>
  <c r="W574" i="69" s="1"/>
  <c r="AK573" i="69"/>
  <c r="AG573" i="69"/>
  <c r="AD573" i="69"/>
  <c r="AE573" i="69" s="1"/>
  <c r="P573" i="69"/>
  <c r="U573" i="69" s="1"/>
  <c r="V573" i="69" s="1"/>
  <c r="W573" i="69" s="1"/>
  <c r="AK572" i="69"/>
  <c r="AG572" i="69"/>
  <c r="AD572" i="69"/>
  <c r="AE572" i="69" s="1"/>
  <c r="P572" i="69"/>
  <c r="U572" i="69" s="1"/>
  <c r="V572" i="69" s="1"/>
  <c r="W572" i="69" s="1"/>
  <c r="AK571" i="69"/>
  <c r="AG571" i="69"/>
  <c r="AD571" i="69"/>
  <c r="AE571" i="69" s="1"/>
  <c r="P571" i="69"/>
  <c r="U571" i="69" s="1"/>
  <c r="V571" i="69" s="1"/>
  <c r="W571" i="69" s="1"/>
  <c r="AK570" i="69"/>
  <c r="AG570" i="69"/>
  <c r="AD570" i="69"/>
  <c r="AE570" i="69" s="1"/>
  <c r="P570" i="69"/>
  <c r="U570" i="69" s="1"/>
  <c r="V570" i="69" s="1"/>
  <c r="W570" i="69" s="1"/>
  <c r="AK569" i="69"/>
  <c r="AG569" i="69"/>
  <c r="AD569" i="69"/>
  <c r="AE569" i="69" s="1"/>
  <c r="R569" i="69"/>
  <c r="P569" i="69"/>
  <c r="AK568" i="69"/>
  <c r="AG568" i="69"/>
  <c r="AD568" i="69"/>
  <c r="AE568" i="69" s="1"/>
  <c r="R568" i="69"/>
  <c r="P568" i="69"/>
  <c r="AK567" i="69"/>
  <c r="AG567" i="69"/>
  <c r="AD567" i="69"/>
  <c r="AE567" i="69" s="1"/>
  <c r="R567" i="69"/>
  <c r="P567" i="69"/>
  <c r="AK566" i="69"/>
  <c r="AG566" i="69"/>
  <c r="AD566" i="69"/>
  <c r="AE566" i="69" s="1"/>
  <c r="R566" i="69"/>
  <c r="P566" i="69"/>
  <c r="AK565" i="69"/>
  <c r="AG565" i="69"/>
  <c r="AD565" i="69"/>
  <c r="AE565" i="69" s="1"/>
  <c r="R565" i="69"/>
  <c r="P565" i="69"/>
  <c r="AK564" i="69"/>
  <c r="AG564" i="69"/>
  <c r="AD564" i="69"/>
  <c r="AE564" i="69" s="1"/>
  <c r="R564" i="69"/>
  <c r="P564" i="69"/>
  <c r="AK563" i="69"/>
  <c r="AG563" i="69"/>
  <c r="AD563" i="69"/>
  <c r="AE563" i="69" s="1"/>
  <c r="R563" i="69"/>
  <c r="P563" i="69"/>
  <c r="AK562" i="69"/>
  <c r="AG562" i="69"/>
  <c r="AD562" i="69"/>
  <c r="AE562" i="69" s="1"/>
  <c r="R562" i="69"/>
  <c r="P562" i="69"/>
  <c r="AK561" i="69"/>
  <c r="AG561" i="69"/>
  <c r="AD561" i="69"/>
  <c r="AE561" i="69" s="1"/>
  <c r="R561" i="69"/>
  <c r="P561" i="69"/>
  <c r="AK560" i="69"/>
  <c r="AG560" i="69"/>
  <c r="AD560" i="69"/>
  <c r="AE560" i="69" s="1"/>
  <c r="R560" i="69"/>
  <c r="P560" i="69"/>
  <c r="AK559" i="69"/>
  <c r="AG559" i="69"/>
  <c r="AD559" i="69"/>
  <c r="AE559" i="69" s="1"/>
  <c r="R559" i="69"/>
  <c r="P559" i="69"/>
  <c r="U559" i="69" s="1"/>
  <c r="V559" i="69" s="1"/>
  <c r="W559" i="69" s="1"/>
  <c r="AK558" i="69"/>
  <c r="AG558" i="69"/>
  <c r="AD558" i="69"/>
  <c r="AE558" i="69" s="1"/>
  <c r="R558" i="69"/>
  <c r="P558" i="69"/>
  <c r="AK557" i="69"/>
  <c r="AG557" i="69"/>
  <c r="AD557" i="69"/>
  <c r="AE557" i="69" s="1"/>
  <c r="P557" i="69"/>
  <c r="U557" i="69" s="1"/>
  <c r="V557" i="69" s="1"/>
  <c r="W557" i="69" s="1"/>
  <c r="AK556" i="69"/>
  <c r="AG556" i="69"/>
  <c r="AD556" i="69"/>
  <c r="AE556" i="69" s="1"/>
  <c r="P556" i="69"/>
  <c r="U556" i="69" s="1"/>
  <c r="V556" i="69" s="1"/>
  <c r="W556" i="69" s="1"/>
  <c r="AK555" i="69"/>
  <c r="AG555" i="69"/>
  <c r="AD555" i="69"/>
  <c r="AE555" i="69" s="1"/>
  <c r="P555" i="69"/>
  <c r="U555" i="69" s="1"/>
  <c r="V555" i="69" s="1"/>
  <c r="W555" i="69" s="1"/>
  <c r="AK554" i="69"/>
  <c r="AG554" i="69"/>
  <c r="AD554" i="69"/>
  <c r="AE554" i="69" s="1"/>
  <c r="P554" i="69"/>
  <c r="U554" i="69" s="1"/>
  <c r="V554" i="69" s="1"/>
  <c r="W554" i="69" s="1"/>
  <c r="AK553" i="69"/>
  <c r="AG553" i="69"/>
  <c r="AD553" i="69"/>
  <c r="AE553" i="69" s="1"/>
  <c r="P553" i="69"/>
  <c r="U553" i="69" s="1"/>
  <c r="V553" i="69" s="1"/>
  <c r="W553" i="69" s="1"/>
  <c r="AK552" i="69"/>
  <c r="AG552" i="69"/>
  <c r="AD552" i="69"/>
  <c r="AE552" i="69" s="1"/>
  <c r="P552" i="69"/>
  <c r="U552" i="69" s="1"/>
  <c r="V552" i="69" s="1"/>
  <c r="W552" i="69" s="1"/>
  <c r="AK551" i="69"/>
  <c r="AG551" i="69"/>
  <c r="AD551" i="69"/>
  <c r="AE551" i="69" s="1"/>
  <c r="P551" i="69"/>
  <c r="U551" i="69" s="1"/>
  <c r="V551" i="69" s="1"/>
  <c r="W551" i="69" s="1"/>
  <c r="AK550" i="69"/>
  <c r="AG550" i="69"/>
  <c r="AD550" i="69"/>
  <c r="AE550" i="69" s="1"/>
  <c r="P550" i="69"/>
  <c r="U550" i="69" s="1"/>
  <c r="V550" i="69" s="1"/>
  <c r="W550" i="69" s="1"/>
  <c r="AK549" i="69"/>
  <c r="AG549" i="69"/>
  <c r="AD549" i="69"/>
  <c r="AE549" i="69" s="1"/>
  <c r="P549" i="69"/>
  <c r="U549" i="69" s="1"/>
  <c r="V549" i="69" s="1"/>
  <c r="W549" i="69" s="1"/>
  <c r="AK548" i="69"/>
  <c r="AG548" i="69"/>
  <c r="AD548" i="69"/>
  <c r="AE548" i="69" s="1"/>
  <c r="P548" i="69"/>
  <c r="U548" i="69" s="1"/>
  <c r="V548" i="69" s="1"/>
  <c r="W548" i="69" s="1"/>
  <c r="AK547" i="69"/>
  <c r="AG547" i="69"/>
  <c r="AD547" i="69"/>
  <c r="AE547" i="69" s="1"/>
  <c r="P547" i="69"/>
  <c r="U547" i="69" s="1"/>
  <c r="V547" i="69" s="1"/>
  <c r="W547" i="69" s="1"/>
  <c r="AK546" i="69"/>
  <c r="AG546" i="69"/>
  <c r="AD546" i="69"/>
  <c r="AE546" i="69" s="1"/>
  <c r="P546" i="69"/>
  <c r="U546" i="69" s="1"/>
  <c r="V546" i="69" s="1"/>
  <c r="W546" i="69" s="1"/>
  <c r="AK545" i="69"/>
  <c r="AG545" i="69"/>
  <c r="AD545" i="69"/>
  <c r="AE545" i="69" s="1"/>
  <c r="P545" i="69"/>
  <c r="U545" i="69" s="1"/>
  <c r="V545" i="69" s="1"/>
  <c r="W545" i="69" s="1"/>
  <c r="AK544" i="69"/>
  <c r="AG544" i="69"/>
  <c r="AD544" i="69"/>
  <c r="AE544" i="69" s="1"/>
  <c r="P544" i="69"/>
  <c r="U544" i="69" s="1"/>
  <c r="V544" i="69" s="1"/>
  <c r="W544" i="69" s="1"/>
  <c r="AK543" i="69"/>
  <c r="AG543" i="69"/>
  <c r="AD543" i="69"/>
  <c r="AE543" i="69" s="1"/>
  <c r="P543" i="69"/>
  <c r="U543" i="69" s="1"/>
  <c r="V543" i="69" s="1"/>
  <c r="W543" i="69" s="1"/>
  <c r="AK542" i="69"/>
  <c r="AG542" i="69"/>
  <c r="AD542" i="69"/>
  <c r="AE542" i="69" s="1"/>
  <c r="P542" i="69"/>
  <c r="U542" i="69" s="1"/>
  <c r="V542" i="69" s="1"/>
  <c r="W542" i="69" s="1"/>
  <c r="AK541" i="69"/>
  <c r="AG541" i="69"/>
  <c r="AD541" i="69"/>
  <c r="AE541" i="69" s="1"/>
  <c r="P541" i="69"/>
  <c r="U541" i="69" s="1"/>
  <c r="V541" i="69" s="1"/>
  <c r="W541" i="69" s="1"/>
  <c r="AK540" i="69"/>
  <c r="AG540" i="69"/>
  <c r="AD540" i="69"/>
  <c r="AE540" i="69" s="1"/>
  <c r="P540" i="69"/>
  <c r="U540" i="69" s="1"/>
  <c r="V540" i="69" s="1"/>
  <c r="W540" i="69" s="1"/>
  <c r="AK539" i="69"/>
  <c r="AG539" i="69"/>
  <c r="AD539" i="69"/>
  <c r="AE539" i="69" s="1"/>
  <c r="P539" i="69"/>
  <c r="U539" i="69" s="1"/>
  <c r="V539" i="69" s="1"/>
  <c r="W539" i="69" s="1"/>
  <c r="AK538" i="69"/>
  <c r="AG538" i="69"/>
  <c r="AD538" i="69"/>
  <c r="AE538" i="69" s="1"/>
  <c r="P538" i="69"/>
  <c r="U538" i="69" s="1"/>
  <c r="V538" i="69" s="1"/>
  <c r="W538" i="69" s="1"/>
  <c r="AK537" i="69"/>
  <c r="AG537" i="69"/>
  <c r="AD537" i="69"/>
  <c r="AE537" i="69" s="1"/>
  <c r="P537" i="69"/>
  <c r="U537" i="69" s="1"/>
  <c r="V537" i="69" s="1"/>
  <c r="W537" i="69" s="1"/>
  <c r="AK536" i="69"/>
  <c r="AG536" i="69"/>
  <c r="AD536" i="69"/>
  <c r="AE536" i="69" s="1"/>
  <c r="P536" i="69"/>
  <c r="U536" i="69" s="1"/>
  <c r="V536" i="69" s="1"/>
  <c r="W536" i="69" s="1"/>
  <c r="AK535" i="69"/>
  <c r="AG535" i="69"/>
  <c r="AD535" i="69"/>
  <c r="AE535" i="69" s="1"/>
  <c r="P535" i="69"/>
  <c r="U535" i="69" s="1"/>
  <c r="V535" i="69" s="1"/>
  <c r="W535" i="69" s="1"/>
  <c r="AK534" i="69"/>
  <c r="AG534" i="69"/>
  <c r="AD534" i="69"/>
  <c r="AE534" i="69" s="1"/>
  <c r="P534" i="69"/>
  <c r="U534" i="69" s="1"/>
  <c r="V534" i="69" s="1"/>
  <c r="W534" i="69" s="1"/>
  <c r="AK533" i="69"/>
  <c r="AG533" i="69"/>
  <c r="AD533" i="69"/>
  <c r="AE533" i="69" s="1"/>
  <c r="P533" i="69"/>
  <c r="U533" i="69" s="1"/>
  <c r="V533" i="69" s="1"/>
  <c r="W533" i="69" s="1"/>
  <c r="AK532" i="69"/>
  <c r="AG532" i="69"/>
  <c r="AD532" i="69"/>
  <c r="AE532" i="69" s="1"/>
  <c r="P532" i="69"/>
  <c r="U532" i="69" s="1"/>
  <c r="V532" i="69" s="1"/>
  <c r="W532" i="69" s="1"/>
  <c r="AK531" i="69"/>
  <c r="AG531" i="69"/>
  <c r="AD531" i="69"/>
  <c r="AE531" i="69" s="1"/>
  <c r="P531" i="69"/>
  <c r="U531" i="69" s="1"/>
  <c r="V531" i="69" s="1"/>
  <c r="W531" i="69" s="1"/>
  <c r="AK530" i="69"/>
  <c r="AG530" i="69"/>
  <c r="AD530" i="69"/>
  <c r="AE530" i="69" s="1"/>
  <c r="P530" i="69"/>
  <c r="U530" i="69" s="1"/>
  <c r="V530" i="69" s="1"/>
  <c r="W530" i="69" s="1"/>
  <c r="AK529" i="69"/>
  <c r="AG529" i="69"/>
  <c r="AD529" i="69"/>
  <c r="AE529" i="69" s="1"/>
  <c r="P529" i="69"/>
  <c r="U529" i="69" s="1"/>
  <c r="V529" i="69" s="1"/>
  <c r="W529" i="69" s="1"/>
  <c r="AK528" i="69"/>
  <c r="AG528" i="69"/>
  <c r="AD528" i="69"/>
  <c r="AE528" i="69" s="1"/>
  <c r="P528" i="69"/>
  <c r="U528" i="69" s="1"/>
  <c r="V528" i="69" s="1"/>
  <c r="W528" i="69" s="1"/>
  <c r="AK527" i="69"/>
  <c r="AG527" i="69"/>
  <c r="AD527" i="69"/>
  <c r="AE527" i="69" s="1"/>
  <c r="P527" i="69"/>
  <c r="U527" i="69" s="1"/>
  <c r="V527" i="69" s="1"/>
  <c r="W527" i="69" s="1"/>
  <c r="AK526" i="69"/>
  <c r="AG526" i="69"/>
  <c r="AD526" i="69"/>
  <c r="AE526" i="69" s="1"/>
  <c r="P526" i="69"/>
  <c r="U526" i="69" s="1"/>
  <c r="V526" i="69" s="1"/>
  <c r="W526" i="69" s="1"/>
  <c r="AK525" i="69"/>
  <c r="AG525" i="69"/>
  <c r="AD525" i="69"/>
  <c r="AE525" i="69" s="1"/>
  <c r="P525" i="69"/>
  <c r="U525" i="69" s="1"/>
  <c r="V525" i="69" s="1"/>
  <c r="W525" i="69" s="1"/>
  <c r="AK524" i="69"/>
  <c r="AG524" i="69"/>
  <c r="AD524" i="69"/>
  <c r="AE524" i="69" s="1"/>
  <c r="P524" i="69"/>
  <c r="U524" i="69" s="1"/>
  <c r="V524" i="69" s="1"/>
  <c r="W524" i="69" s="1"/>
  <c r="AK523" i="69"/>
  <c r="AG523" i="69"/>
  <c r="AD523" i="69"/>
  <c r="AE523" i="69" s="1"/>
  <c r="P523" i="69"/>
  <c r="U523" i="69" s="1"/>
  <c r="V523" i="69" s="1"/>
  <c r="W523" i="69" s="1"/>
  <c r="AK522" i="69"/>
  <c r="AG522" i="69"/>
  <c r="AD522" i="69"/>
  <c r="AE522" i="69" s="1"/>
  <c r="R522" i="69"/>
  <c r="P522" i="69"/>
  <c r="AK521" i="69"/>
  <c r="AG521" i="69"/>
  <c r="AD521" i="69"/>
  <c r="AE521" i="69" s="1"/>
  <c r="R521" i="69"/>
  <c r="P521" i="69"/>
  <c r="AK520" i="69"/>
  <c r="AG520" i="69"/>
  <c r="AD520" i="69"/>
  <c r="AE520" i="69" s="1"/>
  <c r="R520" i="69"/>
  <c r="P520" i="69"/>
  <c r="U520" i="69" s="1"/>
  <c r="V520" i="69" s="1"/>
  <c r="W520" i="69" s="1"/>
  <c r="AK519" i="69"/>
  <c r="AG519" i="69"/>
  <c r="AD519" i="69"/>
  <c r="AE519" i="69" s="1"/>
  <c r="R519" i="69"/>
  <c r="P519" i="69"/>
  <c r="AK518" i="69"/>
  <c r="AG518" i="69"/>
  <c r="AD518" i="69"/>
  <c r="AE518" i="69" s="1"/>
  <c r="R518" i="69"/>
  <c r="P518" i="69"/>
  <c r="AK517" i="69"/>
  <c r="AG517" i="69"/>
  <c r="AD517" i="69"/>
  <c r="AE517" i="69" s="1"/>
  <c r="R517" i="69"/>
  <c r="P517" i="69"/>
  <c r="AK516" i="69"/>
  <c r="AG516" i="69"/>
  <c r="AD516" i="69"/>
  <c r="AE516" i="69" s="1"/>
  <c r="R516" i="69"/>
  <c r="P516" i="69"/>
  <c r="U516" i="69" s="1"/>
  <c r="V516" i="69" s="1"/>
  <c r="W516" i="69" s="1"/>
  <c r="AK515" i="69"/>
  <c r="AG515" i="69"/>
  <c r="AD515" i="69"/>
  <c r="AE515" i="69" s="1"/>
  <c r="R515" i="69"/>
  <c r="P515" i="69"/>
  <c r="AK514" i="69"/>
  <c r="AG514" i="69"/>
  <c r="AD514" i="69"/>
  <c r="AE514" i="69" s="1"/>
  <c r="R514" i="69"/>
  <c r="P514" i="69"/>
  <c r="AK513" i="69"/>
  <c r="AG513" i="69"/>
  <c r="AD513" i="69"/>
  <c r="AE513" i="69" s="1"/>
  <c r="R513" i="69"/>
  <c r="P513" i="69"/>
  <c r="AK512" i="69"/>
  <c r="AG512" i="69"/>
  <c r="AD512" i="69"/>
  <c r="AE512" i="69" s="1"/>
  <c r="R512" i="69"/>
  <c r="P512" i="69"/>
  <c r="AK511" i="69"/>
  <c r="AG511" i="69"/>
  <c r="AD511" i="69"/>
  <c r="AE511" i="69" s="1"/>
  <c r="R511" i="69"/>
  <c r="P511" i="69"/>
  <c r="AK510" i="69"/>
  <c r="AG510" i="69"/>
  <c r="AD510" i="69"/>
  <c r="AE510" i="69" s="1"/>
  <c r="R510" i="69"/>
  <c r="P510" i="69"/>
  <c r="AK509" i="69"/>
  <c r="AG509" i="69"/>
  <c r="AD509" i="69"/>
  <c r="AE509" i="69" s="1"/>
  <c r="P509" i="69"/>
  <c r="U509" i="69" s="1"/>
  <c r="V509" i="69" s="1"/>
  <c r="W509" i="69" s="1"/>
  <c r="AK508" i="69"/>
  <c r="AG508" i="69"/>
  <c r="AD508" i="69"/>
  <c r="AE508" i="69" s="1"/>
  <c r="P508" i="69"/>
  <c r="U508" i="69" s="1"/>
  <c r="V508" i="69" s="1"/>
  <c r="W508" i="69" s="1"/>
  <c r="AK507" i="69"/>
  <c r="AG507" i="69"/>
  <c r="AD507" i="69"/>
  <c r="AE507" i="69" s="1"/>
  <c r="R507" i="69"/>
  <c r="P507" i="69"/>
  <c r="AK506" i="69"/>
  <c r="AG506" i="69"/>
  <c r="AD506" i="69"/>
  <c r="AE506" i="69" s="1"/>
  <c r="R506" i="69"/>
  <c r="P506" i="69"/>
  <c r="AK505" i="69"/>
  <c r="AG505" i="69"/>
  <c r="AD505" i="69"/>
  <c r="AE505" i="69" s="1"/>
  <c r="R505" i="69"/>
  <c r="P505" i="69"/>
  <c r="AK504" i="69"/>
  <c r="AG504" i="69"/>
  <c r="AD504" i="69"/>
  <c r="AE504" i="69" s="1"/>
  <c r="R504" i="69"/>
  <c r="P504" i="69"/>
  <c r="AK503" i="69"/>
  <c r="AG503" i="69"/>
  <c r="AD503" i="69"/>
  <c r="AE503" i="69" s="1"/>
  <c r="R503" i="69"/>
  <c r="P503" i="69"/>
  <c r="AK502" i="69"/>
  <c r="AG502" i="69"/>
  <c r="AD502" i="69"/>
  <c r="AE502" i="69" s="1"/>
  <c r="R502" i="69"/>
  <c r="P502" i="69"/>
  <c r="AK501" i="69"/>
  <c r="AG501" i="69"/>
  <c r="AD501" i="69"/>
  <c r="AE501" i="69" s="1"/>
  <c r="R501" i="69"/>
  <c r="P501" i="69"/>
  <c r="AK500" i="69"/>
  <c r="AG500" i="69"/>
  <c r="AD500" i="69"/>
  <c r="AE500" i="69" s="1"/>
  <c r="R500" i="69"/>
  <c r="P500" i="69"/>
  <c r="AK499" i="69"/>
  <c r="AG499" i="69"/>
  <c r="AD499" i="69"/>
  <c r="AE499" i="69" s="1"/>
  <c r="R499" i="69"/>
  <c r="P499" i="69"/>
  <c r="AK498" i="69"/>
  <c r="AG498" i="69"/>
  <c r="AD498" i="69"/>
  <c r="AE498" i="69" s="1"/>
  <c r="R498" i="69"/>
  <c r="P498" i="69"/>
  <c r="AK497" i="69"/>
  <c r="AG497" i="69"/>
  <c r="AD497" i="69"/>
  <c r="AE497" i="69" s="1"/>
  <c r="R497" i="69"/>
  <c r="P497" i="69"/>
  <c r="AK496" i="69"/>
  <c r="AG496" i="69"/>
  <c r="AD496" i="69"/>
  <c r="AE496" i="69" s="1"/>
  <c r="R496" i="69"/>
  <c r="P496" i="69"/>
  <c r="AK495" i="69"/>
  <c r="AG495" i="69"/>
  <c r="AD495" i="69"/>
  <c r="AE495" i="69" s="1"/>
  <c r="R495" i="69"/>
  <c r="P495" i="69"/>
  <c r="AK494" i="69"/>
  <c r="AG494" i="69"/>
  <c r="AD494" i="69"/>
  <c r="AE494" i="69" s="1"/>
  <c r="R494" i="69"/>
  <c r="P494" i="69"/>
  <c r="AK493" i="69"/>
  <c r="AG493" i="69"/>
  <c r="AD493" i="69"/>
  <c r="AE493" i="69" s="1"/>
  <c r="R493" i="69"/>
  <c r="P493" i="69"/>
  <c r="AK492" i="69"/>
  <c r="AG492" i="69"/>
  <c r="AD492" i="69"/>
  <c r="AE492" i="69" s="1"/>
  <c r="R492" i="69"/>
  <c r="P492" i="69"/>
  <c r="AK491" i="69"/>
  <c r="AG491" i="69"/>
  <c r="AD491" i="69"/>
  <c r="AE491" i="69" s="1"/>
  <c r="R491" i="69"/>
  <c r="P491" i="69"/>
  <c r="AK490" i="69"/>
  <c r="AG490" i="69"/>
  <c r="AD490" i="69"/>
  <c r="AE490" i="69" s="1"/>
  <c r="P490" i="69"/>
  <c r="U490" i="69" s="1"/>
  <c r="V490" i="69" s="1"/>
  <c r="W490" i="69" s="1"/>
  <c r="AK489" i="69"/>
  <c r="AG489" i="69"/>
  <c r="AD489" i="69"/>
  <c r="AE489" i="69" s="1"/>
  <c r="P489" i="69"/>
  <c r="U489" i="69" s="1"/>
  <c r="V489" i="69" s="1"/>
  <c r="W489" i="69" s="1"/>
  <c r="AK488" i="69"/>
  <c r="AG488" i="69"/>
  <c r="AD488" i="69"/>
  <c r="AE488" i="69" s="1"/>
  <c r="P488" i="69"/>
  <c r="U488" i="69" s="1"/>
  <c r="V488" i="69" s="1"/>
  <c r="W488" i="69" s="1"/>
  <c r="AK487" i="69"/>
  <c r="AG487" i="69"/>
  <c r="AD487" i="69"/>
  <c r="AE487" i="69" s="1"/>
  <c r="P487" i="69"/>
  <c r="U487" i="69" s="1"/>
  <c r="V487" i="69" s="1"/>
  <c r="W487" i="69" s="1"/>
  <c r="AK486" i="69"/>
  <c r="AG486" i="69"/>
  <c r="AD486" i="69"/>
  <c r="AE486" i="69" s="1"/>
  <c r="P486" i="69"/>
  <c r="U486" i="69" s="1"/>
  <c r="V486" i="69" s="1"/>
  <c r="W486" i="69" s="1"/>
  <c r="AK485" i="69"/>
  <c r="AG485" i="69"/>
  <c r="AD485" i="69"/>
  <c r="AE485" i="69" s="1"/>
  <c r="P485" i="69"/>
  <c r="U485" i="69" s="1"/>
  <c r="V485" i="69" s="1"/>
  <c r="W485" i="69" s="1"/>
  <c r="AK484" i="69"/>
  <c r="AG484" i="69"/>
  <c r="AD484" i="69"/>
  <c r="AE484" i="69" s="1"/>
  <c r="P484" i="69"/>
  <c r="U484" i="69" s="1"/>
  <c r="V484" i="69" s="1"/>
  <c r="W484" i="69" s="1"/>
  <c r="AK483" i="69"/>
  <c r="AG483" i="69"/>
  <c r="AD483" i="69"/>
  <c r="AE483" i="69" s="1"/>
  <c r="P483" i="69"/>
  <c r="U483" i="69" s="1"/>
  <c r="V483" i="69" s="1"/>
  <c r="W483" i="69" s="1"/>
  <c r="AK482" i="69"/>
  <c r="AG482" i="69"/>
  <c r="AD482" i="69"/>
  <c r="AE482" i="69" s="1"/>
  <c r="P482" i="69"/>
  <c r="U482" i="69" s="1"/>
  <c r="V482" i="69" s="1"/>
  <c r="W482" i="69" s="1"/>
  <c r="AK481" i="69"/>
  <c r="AG481" i="69"/>
  <c r="AD481" i="69"/>
  <c r="AE481" i="69" s="1"/>
  <c r="P481" i="69"/>
  <c r="U481" i="69" s="1"/>
  <c r="V481" i="69" s="1"/>
  <c r="W481" i="69" s="1"/>
  <c r="AK480" i="69"/>
  <c r="AG480" i="69"/>
  <c r="AD480" i="69"/>
  <c r="AE480" i="69" s="1"/>
  <c r="P480" i="69"/>
  <c r="U480" i="69" s="1"/>
  <c r="V480" i="69" s="1"/>
  <c r="W480" i="69" s="1"/>
  <c r="AK479" i="69"/>
  <c r="AG479" i="69"/>
  <c r="AD479" i="69"/>
  <c r="AE479" i="69" s="1"/>
  <c r="P479" i="69"/>
  <c r="U479" i="69" s="1"/>
  <c r="V479" i="69" s="1"/>
  <c r="W479" i="69" s="1"/>
  <c r="AK478" i="69"/>
  <c r="AG478" i="69"/>
  <c r="AD478" i="69"/>
  <c r="AE478" i="69" s="1"/>
  <c r="P478" i="69"/>
  <c r="U478" i="69" s="1"/>
  <c r="V478" i="69" s="1"/>
  <c r="W478" i="69" s="1"/>
  <c r="AK477" i="69"/>
  <c r="AG477" i="69"/>
  <c r="AD477" i="69"/>
  <c r="AE477" i="69" s="1"/>
  <c r="P477" i="69"/>
  <c r="U477" i="69" s="1"/>
  <c r="V477" i="69" s="1"/>
  <c r="W477" i="69" s="1"/>
  <c r="AK476" i="69"/>
  <c r="AG476" i="69"/>
  <c r="AD476" i="69"/>
  <c r="AE476" i="69" s="1"/>
  <c r="P476" i="69"/>
  <c r="U476" i="69" s="1"/>
  <c r="V476" i="69" s="1"/>
  <c r="W476" i="69" s="1"/>
  <c r="AK475" i="69"/>
  <c r="AG475" i="69"/>
  <c r="AD475" i="69"/>
  <c r="AE475" i="69" s="1"/>
  <c r="P475" i="69"/>
  <c r="U475" i="69" s="1"/>
  <c r="V475" i="69" s="1"/>
  <c r="W475" i="69" s="1"/>
  <c r="AK474" i="69"/>
  <c r="AG474" i="69"/>
  <c r="AD474" i="69"/>
  <c r="AE474" i="69" s="1"/>
  <c r="P474" i="69"/>
  <c r="U474" i="69" s="1"/>
  <c r="V474" i="69" s="1"/>
  <c r="W474" i="69" s="1"/>
  <c r="AK473" i="69"/>
  <c r="AG473" i="69"/>
  <c r="AD473" i="69"/>
  <c r="AE473" i="69" s="1"/>
  <c r="P473" i="69"/>
  <c r="U473" i="69" s="1"/>
  <c r="V473" i="69" s="1"/>
  <c r="W473" i="69" s="1"/>
  <c r="AK472" i="69"/>
  <c r="AG472" i="69"/>
  <c r="AD472" i="69"/>
  <c r="AE472" i="69" s="1"/>
  <c r="P472" i="69"/>
  <c r="U472" i="69" s="1"/>
  <c r="V472" i="69" s="1"/>
  <c r="W472" i="69" s="1"/>
  <c r="AK471" i="69"/>
  <c r="AG471" i="69"/>
  <c r="AD471" i="69"/>
  <c r="AE471" i="69" s="1"/>
  <c r="P471" i="69"/>
  <c r="U471" i="69" s="1"/>
  <c r="V471" i="69" s="1"/>
  <c r="W471" i="69" s="1"/>
  <c r="AK470" i="69"/>
  <c r="AG470" i="69"/>
  <c r="AD470" i="69"/>
  <c r="AE470" i="69" s="1"/>
  <c r="P470" i="69"/>
  <c r="U470" i="69" s="1"/>
  <c r="V470" i="69" s="1"/>
  <c r="W470" i="69" s="1"/>
  <c r="AK469" i="69"/>
  <c r="AG469" i="69"/>
  <c r="AD469" i="69"/>
  <c r="AE469" i="69" s="1"/>
  <c r="P469" i="69"/>
  <c r="U469" i="69" s="1"/>
  <c r="V469" i="69" s="1"/>
  <c r="W469" i="69" s="1"/>
  <c r="AK468" i="69"/>
  <c r="AG468" i="69"/>
  <c r="AD468" i="69"/>
  <c r="AE468" i="69" s="1"/>
  <c r="P468" i="69"/>
  <c r="U468" i="69" s="1"/>
  <c r="V468" i="69" s="1"/>
  <c r="W468" i="69" s="1"/>
  <c r="AK467" i="69"/>
  <c r="AG467" i="69"/>
  <c r="AD467" i="69"/>
  <c r="AE467" i="69" s="1"/>
  <c r="P467" i="69"/>
  <c r="U467" i="69" s="1"/>
  <c r="V467" i="69" s="1"/>
  <c r="W467" i="69" s="1"/>
  <c r="AK466" i="69"/>
  <c r="AG466" i="69"/>
  <c r="AD466" i="69"/>
  <c r="AE466" i="69" s="1"/>
  <c r="P466" i="69"/>
  <c r="U466" i="69" s="1"/>
  <c r="V466" i="69" s="1"/>
  <c r="W466" i="69" s="1"/>
  <c r="AK465" i="69"/>
  <c r="AG465" i="69"/>
  <c r="AD465" i="69"/>
  <c r="AE465" i="69" s="1"/>
  <c r="P465" i="69"/>
  <c r="U465" i="69" s="1"/>
  <c r="V465" i="69" s="1"/>
  <c r="W465" i="69" s="1"/>
  <c r="AK464" i="69"/>
  <c r="AG464" i="69"/>
  <c r="AD464" i="69"/>
  <c r="AE464" i="69" s="1"/>
  <c r="P464" i="69"/>
  <c r="U464" i="69" s="1"/>
  <c r="V464" i="69" s="1"/>
  <c r="W464" i="69" s="1"/>
  <c r="AK463" i="69"/>
  <c r="AG463" i="69"/>
  <c r="AD463" i="69"/>
  <c r="AE463" i="69" s="1"/>
  <c r="P463" i="69"/>
  <c r="U463" i="69" s="1"/>
  <c r="V463" i="69" s="1"/>
  <c r="W463" i="69" s="1"/>
  <c r="AK462" i="69"/>
  <c r="AG462" i="69"/>
  <c r="AD462" i="69"/>
  <c r="AE462" i="69" s="1"/>
  <c r="P462" i="69"/>
  <c r="U462" i="69" s="1"/>
  <c r="V462" i="69" s="1"/>
  <c r="W462" i="69" s="1"/>
  <c r="AK461" i="69"/>
  <c r="AG461" i="69"/>
  <c r="AD461" i="69"/>
  <c r="AE461" i="69" s="1"/>
  <c r="P461" i="69"/>
  <c r="U461" i="69" s="1"/>
  <c r="V461" i="69" s="1"/>
  <c r="W461" i="69" s="1"/>
  <c r="AK460" i="69"/>
  <c r="AG460" i="69"/>
  <c r="AD460" i="69"/>
  <c r="AE460" i="69" s="1"/>
  <c r="O460" i="69"/>
  <c r="P460" i="69" s="1"/>
  <c r="U460" i="69" s="1"/>
  <c r="AK459" i="69"/>
  <c r="AG459" i="69"/>
  <c r="AD459" i="69"/>
  <c r="AE459" i="69" s="1"/>
  <c r="O459" i="69"/>
  <c r="P459" i="69" s="1"/>
  <c r="U459" i="69" s="1"/>
  <c r="AK458" i="69"/>
  <c r="AG458" i="69"/>
  <c r="AD458" i="69"/>
  <c r="AE458" i="69" s="1"/>
  <c r="O458" i="69"/>
  <c r="P458" i="69" s="1"/>
  <c r="U458" i="69" s="1"/>
  <c r="V458" i="69" s="1"/>
  <c r="W458" i="69" s="1"/>
  <c r="AK457" i="69"/>
  <c r="AG457" i="69"/>
  <c r="AD457" i="69"/>
  <c r="AE457" i="69" s="1"/>
  <c r="P457" i="69"/>
  <c r="U457" i="69" s="1"/>
  <c r="V457" i="69" s="1"/>
  <c r="W457" i="69" s="1"/>
  <c r="AK456" i="69"/>
  <c r="AG456" i="69"/>
  <c r="AD456" i="69"/>
  <c r="AE456" i="69" s="1"/>
  <c r="P456" i="69"/>
  <c r="U456" i="69" s="1"/>
  <c r="V456" i="69" s="1"/>
  <c r="W456" i="69" s="1"/>
  <c r="AK455" i="69"/>
  <c r="AG455" i="69"/>
  <c r="AD455" i="69"/>
  <c r="AE455" i="69" s="1"/>
  <c r="P455" i="69"/>
  <c r="U455" i="69" s="1"/>
  <c r="V455" i="69" s="1"/>
  <c r="W455" i="69" s="1"/>
  <c r="AK454" i="69"/>
  <c r="AG454" i="69"/>
  <c r="AD454" i="69"/>
  <c r="AE454" i="69" s="1"/>
  <c r="P454" i="69"/>
  <c r="U454" i="69" s="1"/>
  <c r="V454" i="69" s="1"/>
  <c r="W454" i="69" s="1"/>
  <c r="AK453" i="69"/>
  <c r="AG453" i="69"/>
  <c r="AD453" i="69"/>
  <c r="AE453" i="69" s="1"/>
  <c r="P453" i="69"/>
  <c r="U453" i="69" s="1"/>
  <c r="V453" i="69" s="1"/>
  <c r="W453" i="69" s="1"/>
  <c r="AK452" i="69"/>
  <c r="AG452" i="69"/>
  <c r="AD452" i="69"/>
  <c r="AE452" i="69" s="1"/>
  <c r="P452" i="69"/>
  <c r="U452" i="69" s="1"/>
  <c r="V452" i="69" s="1"/>
  <c r="W452" i="69" s="1"/>
  <c r="AK451" i="69"/>
  <c r="AG451" i="69"/>
  <c r="AD451" i="69"/>
  <c r="AE451" i="69" s="1"/>
  <c r="P451" i="69"/>
  <c r="U451" i="69" s="1"/>
  <c r="V451" i="69" s="1"/>
  <c r="W451" i="69" s="1"/>
  <c r="AK450" i="69"/>
  <c r="AG450" i="69"/>
  <c r="AD450" i="69"/>
  <c r="AE450" i="69" s="1"/>
  <c r="P450" i="69"/>
  <c r="U450" i="69" s="1"/>
  <c r="V450" i="69" s="1"/>
  <c r="W450" i="69" s="1"/>
  <c r="AK449" i="69"/>
  <c r="AG449" i="69"/>
  <c r="AD449" i="69"/>
  <c r="AE449" i="69" s="1"/>
  <c r="P449" i="69"/>
  <c r="U449" i="69" s="1"/>
  <c r="V449" i="69" s="1"/>
  <c r="W449" i="69" s="1"/>
  <c r="AK448" i="69"/>
  <c r="AG448" i="69"/>
  <c r="AD448" i="69"/>
  <c r="AE448" i="69" s="1"/>
  <c r="P448" i="69"/>
  <c r="U448" i="69" s="1"/>
  <c r="V448" i="69" s="1"/>
  <c r="W448" i="69" s="1"/>
  <c r="AK447" i="69"/>
  <c r="AG447" i="69"/>
  <c r="AD447" i="69"/>
  <c r="AE447" i="69" s="1"/>
  <c r="P447" i="69"/>
  <c r="U447" i="69" s="1"/>
  <c r="V447" i="69" s="1"/>
  <c r="W447" i="69" s="1"/>
  <c r="AK446" i="69"/>
  <c r="AG446" i="69"/>
  <c r="AD446" i="69"/>
  <c r="AE446" i="69" s="1"/>
  <c r="P446" i="69"/>
  <c r="U446" i="69" s="1"/>
  <c r="V446" i="69" s="1"/>
  <c r="W446" i="69" s="1"/>
  <c r="AK445" i="69"/>
  <c r="AG445" i="69"/>
  <c r="AD445" i="69"/>
  <c r="AE445" i="69" s="1"/>
  <c r="P445" i="69"/>
  <c r="U445" i="69" s="1"/>
  <c r="V445" i="69" s="1"/>
  <c r="W445" i="69" s="1"/>
  <c r="AK444" i="69"/>
  <c r="AG444" i="69"/>
  <c r="AD444" i="69"/>
  <c r="AE444" i="69" s="1"/>
  <c r="P444" i="69"/>
  <c r="U444" i="69" s="1"/>
  <c r="V444" i="69" s="1"/>
  <c r="W444" i="69" s="1"/>
  <c r="AK443" i="69"/>
  <c r="AG443" i="69"/>
  <c r="AD443" i="69"/>
  <c r="AE443" i="69" s="1"/>
  <c r="P443" i="69"/>
  <c r="U443" i="69" s="1"/>
  <c r="V443" i="69" s="1"/>
  <c r="W443" i="69" s="1"/>
  <c r="AK442" i="69"/>
  <c r="AG442" i="69"/>
  <c r="AD442" i="69"/>
  <c r="AE442" i="69" s="1"/>
  <c r="P442" i="69"/>
  <c r="U442" i="69" s="1"/>
  <c r="V442" i="69" s="1"/>
  <c r="W442" i="69" s="1"/>
  <c r="AK441" i="69"/>
  <c r="AG441" i="69"/>
  <c r="AD441" i="69"/>
  <c r="AE441" i="69" s="1"/>
  <c r="P441" i="69"/>
  <c r="U441" i="69" s="1"/>
  <c r="V441" i="69" s="1"/>
  <c r="W441" i="69" s="1"/>
  <c r="AK440" i="69"/>
  <c r="AG440" i="69"/>
  <c r="AD440" i="69"/>
  <c r="AE440" i="69" s="1"/>
  <c r="P440" i="69"/>
  <c r="U440" i="69" s="1"/>
  <c r="V440" i="69" s="1"/>
  <c r="W440" i="69" s="1"/>
  <c r="AK439" i="69"/>
  <c r="AG439" i="69"/>
  <c r="AD439" i="69"/>
  <c r="AE439" i="69" s="1"/>
  <c r="P439" i="69"/>
  <c r="U439" i="69" s="1"/>
  <c r="V439" i="69" s="1"/>
  <c r="W439" i="69" s="1"/>
  <c r="AK438" i="69"/>
  <c r="AG438" i="69"/>
  <c r="AD438" i="69"/>
  <c r="AE438" i="69" s="1"/>
  <c r="P438" i="69"/>
  <c r="U438" i="69" s="1"/>
  <c r="V438" i="69" s="1"/>
  <c r="W438" i="69" s="1"/>
  <c r="AK437" i="69"/>
  <c r="AG437" i="69"/>
  <c r="AD437" i="69"/>
  <c r="AE437" i="69" s="1"/>
  <c r="U437" i="69"/>
  <c r="V437" i="69" s="1"/>
  <c r="W437" i="69" s="1"/>
  <c r="AK436" i="69"/>
  <c r="AG436" i="69"/>
  <c r="AD436" i="69"/>
  <c r="AE436" i="69" s="1"/>
  <c r="Y436" i="69"/>
  <c r="P436" i="69"/>
  <c r="U436" i="69" s="1"/>
  <c r="V436" i="69" s="1"/>
  <c r="W436" i="69" s="1"/>
  <c r="AK435" i="69"/>
  <c r="AG435" i="69"/>
  <c r="AD435" i="69"/>
  <c r="AE435" i="69" s="1"/>
  <c r="Y435" i="69"/>
  <c r="P435" i="69"/>
  <c r="U435" i="69" s="1"/>
  <c r="V435" i="69" s="1"/>
  <c r="W435" i="69" s="1"/>
  <c r="AK434" i="69"/>
  <c r="AG434" i="69"/>
  <c r="AD434" i="69"/>
  <c r="AE434" i="69" s="1"/>
  <c r="Y434" i="69"/>
  <c r="P434" i="69"/>
  <c r="U434" i="69" s="1"/>
  <c r="V434" i="69" s="1"/>
  <c r="W434" i="69" s="1"/>
  <c r="AK433" i="69"/>
  <c r="AG433" i="69"/>
  <c r="AD433" i="69"/>
  <c r="AE433" i="69" s="1"/>
  <c r="Y433" i="69"/>
  <c r="P433" i="69"/>
  <c r="U433" i="69" s="1"/>
  <c r="V433" i="69" s="1"/>
  <c r="W433" i="69" s="1"/>
  <c r="AK432" i="69"/>
  <c r="AG432" i="69"/>
  <c r="AD432" i="69"/>
  <c r="AE432" i="69" s="1"/>
  <c r="Y432" i="69"/>
  <c r="P432" i="69"/>
  <c r="U432" i="69" s="1"/>
  <c r="V432" i="69" s="1"/>
  <c r="W432" i="69" s="1"/>
  <c r="AK431" i="69"/>
  <c r="AG431" i="69"/>
  <c r="AD431" i="69"/>
  <c r="AE431" i="69" s="1"/>
  <c r="Y431" i="69"/>
  <c r="P431" i="69"/>
  <c r="U431" i="69" s="1"/>
  <c r="V431" i="69" s="1"/>
  <c r="W431" i="69" s="1"/>
  <c r="AK430" i="69"/>
  <c r="AG430" i="69"/>
  <c r="AD430" i="69"/>
  <c r="AE430" i="69" s="1"/>
  <c r="Y430" i="69"/>
  <c r="P430" i="69"/>
  <c r="U430" i="69" s="1"/>
  <c r="V430" i="69" s="1"/>
  <c r="W430" i="69" s="1"/>
  <c r="AK429" i="69"/>
  <c r="AG429" i="69"/>
  <c r="AD429" i="69"/>
  <c r="AE429" i="69" s="1"/>
  <c r="P429" i="69"/>
  <c r="U429" i="69" s="1"/>
  <c r="V429" i="69" s="1"/>
  <c r="W429" i="69" s="1"/>
  <c r="AK428" i="69"/>
  <c r="AG428" i="69"/>
  <c r="AD428" i="69"/>
  <c r="AE428" i="69" s="1"/>
  <c r="R428" i="69"/>
  <c r="P428" i="69"/>
  <c r="AK427" i="69"/>
  <c r="AG427" i="69"/>
  <c r="AD427" i="69"/>
  <c r="AE427" i="69" s="1"/>
  <c r="R427" i="69"/>
  <c r="P427" i="69"/>
  <c r="U427" i="69" s="1"/>
  <c r="V427" i="69" s="1"/>
  <c r="W427" i="69" s="1"/>
  <c r="AK426" i="69"/>
  <c r="AG426" i="69"/>
  <c r="AD426" i="69"/>
  <c r="AE426" i="69" s="1"/>
  <c r="R426" i="69"/>
  <c r="P426" i="69"/>
  <c r="AK425" i="69"/>
  <c r="AG425" i="69"/>
  <c r="AD425" i="69"/>
  <c r="AE425" i="69" s="1"/>
  <c r="R425" i="69"/>
  <c r="P425" i="69"/>
  <c r="U425" i="69" s="1"/>
  <c r="V425" i="69" s="1"/>
  <c r="W425" i="69" s="1"/>
  <c r="AK424" i="69"/>
  <c r="AG424" i="69"/>
  <c r="AD424" i="69"/>
  <c r="AE424" i="69" s="1"/>
  <c r="R424" i="69"/>
  <c r="P424" i="69"/>
  <c r="AK423" i="69"/>
  <c r="AG423" i="69"/>
  <c r="AD423" i="69"/>
  <c r="AE423" i="69" s="1"/>
  <c r="R423" i="69"/>
  <c r="P423" i="69"/>
  <c r="U423" i="69" s="1"/>
  <c r="V423" i="69" s="1"/>
  <c r="W423" i="69" s="1"/>
  <c r="AK422" i="69"/>
  <c r="AG422" i="69"/>
  <c r="AD422" i="69"/>
  <c r="AE422" i="69" s="1"/>
  <c r="R422" i="69"/>
  <c r="P422" i="69"/>
  <c r="AK421" i="69"/>
  <c r="AG421" i="69"/>
  <c r="AD421" i="69"/>
  <c r="AE421" i="69" s="1"/>
  <c r="R421" i="69"/>
  <c r="P421" i="69"/>
  <c r="AK420" i="69"/>
  <c r="AG420" i="69"/>
  <c r="AD420" i="69"/>
  <c r="AE420" i="69" s="1"/>
  <c r="R420" i="69"/>
  <c r="P420" i="69"/>
  <c r="AK419" i="69"/>
  <c r="AG419" i="69"/>
  <c r="AD419" i="69"/>
  <c r="AE419" i="69" s="1"/>
  <c r="R419" i="69"/>
  <c r="P419" i="69"/>
  <c r="AK418" i="69"/>
  <c r="AG418" i="69"/>
  <c r="AD418" i="69"/>
  <c r="AE418" i="69" s="1"/>
  <c r="R418" i="69"/>
  <c r="P418" i="69"/>
  <c r="AK417" i="69"/>
  <c r="AG417" i="69"/>
  <c r="AD417" i="69"/>
  <c r="AE417" i="69" s="1"/>
  <c r="R417" i="69"/>
  <c r="P417" i="69"/>
  <c r="AK416" i="69"/>
  <c r="AG416" i="69"/>
  <c r="AD416" i="69"/>
  <c r="AE416" i="69" s="1"/>
  <c r="R416" i="69"/>
  <c r="P416" i="69"/>
  <c r="AK415" i="69"/>
  <c r="AG415" i="69"/>
  <c r="AD415" i="69"/>
  <c r="AE415" i="69" s="1"/>
  <c r="R415" i="69"/>
  <c r="P415" i="69"/>
  <c r="AK414" i="69"/>
  <c r="AG414" i="69"/>
  <c r="AD414" i="69"/>
  <c r="AE414" i="69" s="1"/>
  <c r="P414" i="69"/>
  <c r="U414" i="69" s="1"/>
  <c r="V414" i="69" s="1"/>
  <c r="W414" i="69" s="1"/>
  <c r="AK413" i="69"/>
  <c r="AG413" i="69"/>
  <c r="AD413" i="69"/>
  <c r="AE413" i="69" s="1"/>
  <c r="P413" i="69"/>
  <c r="U413" i="69" s="1"/>
  <c r="V413" i="69" s="1"/>
  <c r="W413" i="69" s="1"/>
  <c r="AK412" i="69"/>
  <c r="AG412" i="69"/>
  <c r="AD412" i="69"/>
  <c r="AE412" i="69" s="1"/>
  <c r="P412" i="69"/>
  <c r="U412" i="69" s="1"/>
  <c r="V412" i="69" s="1"/>
  <c r="W412" i="69" s="1"/>
  <c r="AK411" i="69"/>
  <c r="AG411" i="69"/>
  <c r="AD411" i="69"/>
  <c r="AE411" i="69" s="1"/>
  <c r="P411" i="69"/>
  <c r="U411" i="69" s="1"/>
  <c r="V411" i="69" s="1"/>
  <c r="W411" i="69" s="1"/>
  <c r="AK410" i="69"/>
  <c r="AG410" i="69"/>
  <c r="AD410" i="69"/>
  <c r="AE410" i="69" s="1"/>
  <c r="P410" i="69"/>
  <c r="U410" i="69" s="1"/>
  <c r="V410" i="69" s="1"/>
  <c r="W410" i="69" s="1"/>
  <c r="AK409" i="69"/>
  <c r="AG409" i="69"/>
  <c r="AD409" i="69"/>
  <c r="AE409" i="69" s="1"/>
  <c r="P409" i="69"/>
  <c r="U409" i="69" s="1"/>
  <c r="V409" i="69" s="1"/>
  <c r="W409" i="69" s="1"/>
  <c r="AK408" i="69"/>
  <c r="AG408" i="69"/>
  <c r="AD408" i="69"/>
  <c r="AE408" i="69" s="1"/>
  <c r="P408" i="69"/>
  <c r="U408" i="69" s="1"/>
  <c r="V408" i="69" s="1"/>
  <c r="W408" i="69" s="1"/>
  <c r="AK407" i="69"/>
  <c r="AG407" i="69"/>
  <c r="AD407" i="69"/>
  <c r="AE407" i="69" s="1"/>
  <c r="P407" i="69"/>
  <c r="U407" i="69" s="1"/>
  <c r="V407" i="69" s="1"/>
  <c r="W407" i="69" s="1"/>
  <c r="AK406" i="69"/>
  <c r="AG406" i="69"/>
  <c r="AD406" i="69"/>
  <c r="AE406" i="69" s="1"/>
  <c r="P406" i="69"/>
  <c r="U406" i="69" s="1"/>
  <c r="V406" i="69" s="1"/>
  <c r="W406" i="69" s="1"/>
  <c r="AK405" i="69"/>
  <c r="AG405" i="69"/>
  <c r="AD405" i="69"/>
  <c r="AE405" i="69" s="1"/>
  <c r="P405" i="69"/>
  <c r="U405" i="69" s="1"/>
  <c r="V405" i="69" s="1"/>
  <c r="W405" i="69" s="1"/>
  <c r="AK404" i="69"/>
  <c r="AG404" i="69"/>
  <c r="AD404" i="69"/>
  <c r="AE404" i="69" s="1"/>
  <c r="P404" i="69"/>
  <c r="U404" i="69" s="1"/>
  <c r="V404" i="69" s="1"/>
  <c r="W404" i="69" s="1"/>
  <c r="AK403" i="69"/>
  <c r="AG403" i="69"/>
  <c r="AD403" i="69"/>
  <c r="AE403" i="69" s="1"/>
  <c r="P403" i="69"/>
  <c r="U403" i="69" s="1"/>
  <c r="V403" i="69" s="1"/>
  <c r="W403" i="69" s="1"/>
  <c r="AK402" i="69"/>
  <c r="AG402" i="69"/>
  <c r="AD402" i="69"/>
  <c r="AE402" i="69" s="1"/>
  <c r="P402" i="69"/>
  <c r="U402" i="69" s="1"/>
  <c r="V402" i="69" s="1"/>
  <c r="W402" i="69" s="1"/>
  <c r="AK401" i="69"/>
  <c r="AG401" i="69"/>
  <c r="AD401" i="69"/>
  <c r="AE401" i="69" s="1"/>
  <c r="P401" i="69"/>
  <c r="U401" i="69" s="1"/>
  <c r="V401" i="69" s="1"/>
  <c r="W401" i="69" s="1"/>
  <c r="AK400" i="69"/>
  <c r="AG400" i="69"/>
  <c r="AD400" i="69"/>
  <c r="AE400" i="69" s="1"/>
  <c r="P400" i="69"/>
  <c r="U400" i="69" s="1"/>
  <c r="V400" i="69" s="1"/>
  <c r="W400" i="69" s="1"/>
  <c r="AK399" i="69"/>
  <c r="AG399" i="69"/>
  <c r="AD399" i="69"/>
  <c r="AE399" i="69" s="1"/>
  <c r="P399" i="69"/>
  <c r="U399" i="69" s="1"/>
  <c r="V399" i="69" s="1"/>
  <c r="W399" i="69" s="1"/>
  <c r="AK398" i="69"/>
  <c r="AG398" i="69"/>
  <c r="AD398" i="69"/>
  <c r="AE398" i="69" s="1"/>
  <c r="P398" i="69"/>
  <c r="U398" i="69" s="1"/>
  <c r="V398" i="69" s="1"/>
  <c r="W398" i="69" s="1"/>
  <c r="AK397" i="69"/>
  <c r="AG397" i="69"/>
  <c r="AD397" i="69"/>
  <c r="AE397" i="69" s="1"/>
  <c r="P397" i="69"/>
  <c r="U397" i="69" s="1"/>
  <c r="V397" i="69" s="1"/>
  <c r="W397" i="69" s="1"/>
  <c r="AK396" i="69"/>
  <c r="AG396" i="69"/>
  <c r="AD396" i="69"/>
  <c r="AE396" i="69" s="1"/>
  <c r="P396" i="69"/>
  <c r="U396" i="69" s="1"/>
  <c r="V396" i="69" s="1"/>
  <c r="W396" i="69" s="1"/>
  <c r="AK395" i="69"/>
  <c r="AG395" i="69"/>
  <c r="AD395" i="69"/>
  <c r="AE395" i="69" s="1"/>
  <c r="P395" i="69"/>
  <c r="U395" i="69" s="1"/>
  <c r="V395" i="69" s="1"/>
  <c r="W395" i="69" s="1"/>
  <c r="AK394" i="69"/>
  <c r="AG394" i="69"/>
  <c r="AD394" i="69"/>
  <c r="AE394" i="69" s="1"/>
  <c r="P394" i="69"/>
  <c r="U394" i="69" s="1"/>
  <c r="V394" i="69" s="1"/>
  <c r="W394" i="69" s="1"/>
  <c r="AK393" i="69"/>
  <c r="AG393" i="69"/>
  <c r="AD393" i="69"/>
  <c r="AE393" i="69" s="1"/>
  <c r="P393" i="69"/>
  <c r="U393" i="69" s="1"/>
  <c r="V393" i="69" s="1"/>
  <c r="W393" i="69" s="1"/>
  <c r="AK392" i="69"/>
  <c r="AG392" i="69"/>
  <c r="AD392" i="69"/>
  <c r="AE392" i="69" s="1"/>
  <c r="P392" i="69"/>
  <c r="U392" i="69" s="1"/>
  <c r="V392" i="69" s="1"/>
  <c r="W392" i="69" s="1"/>
  <c r="AK391" i="69"/>
  <c r="AG391" i="69"/>
  <c r="AD391" i="69"/>
  <c r="AE391" i="69" s="1"/>
  <c r="P391" i="69"/>
  <c r="U391" i="69" s="1"/>
  <c r="V391" i="69" s="1"/>
  <c r="W391" i="69" s="1"/>
  <c r="AK390" i="69"/>
  <c r="AG390" i="69"/>
  <c r="AD390" i="69"/>
  <c r="AE390" i="69" s="1"/>
  <c r="U390" i="69"/>
  <c r="V390" i="69" s="1"/>
  <c r="W390" i="69" s="1"/>
  <c r="AK389" i="69"/>
  <c r="AG389" i="69"/>
  <c r="AD389" i="69"/>
  <c r="AE389" i="69" s="1"/>
  <c r="P389" i="69"/>
  <c r="U389" i="69" s="1"/>
  <c r="V389" i="69" s="1"/>
  <c r="W389" i="69" s="1"/>
  <c r="AK388" i="69"/>
  <c r="AG388" i="69"/>
  <c r="AD388" i="69"/>
  <c r="AE388" i="69" s="1"/>
  <c r="P388" i="69"/>
  <c r="U388" i="69" s="1"/>
  <c r="V388" i="69" s="1"/>
  <c r="W388" i="69" s="1"/>
  <c r="AK387" i="69"/>
  <c r="AG387" i="69"/>
  <c r="AD387" i="69"/>
  <c r="AE387" i="69" s="1"/>
  <c r="P387" i="69"/>
  <c r="U387" i="69" s="1"/>
  <c r="V387" i="69" s="1"/>
  <c r="W387" i="69" s="1"/>
  <c r="AK386" i="69"/>
  <c r="AG386" i="69"/>
  <c r="AD386" i="69"/>
  <c r="AE386" i="69" s="1"/>
  <c r="P386" i="69"/>
  <c r="U386" i="69" s="1"/>
  <c r="V386" i="69" s="1"/>
  <c r="W386" i="69" s="1"/>
  <c r="AK385" i="69"/>
  <c r="AG385" i="69"/>
  <c r="AD385" i="69"/>
  <c r="AE385" i="69" s="1"/>
  <c r="P385" i="69"/>
  <c r="U385" i="69" s="1"/>
  <c r="V385" i="69" s="1"/>
  <c r="W385" i="69" s="1"/>
  <c r="AK384" i="69"/>
  <c r="AG384" i="69"/>
  <c r="AD384" i="69"/>
  <c r="AE384" i="69" s="1"/>
  <c r="P384" i="69"/>
  <c r="U384" i="69" s="1"/>
  <c r="V384" i="69" s="1"/>
  <c r="W384" i="69" s="1"/>
  <c r="AK383" i="69"/>
  <c r="AG383" i="69"/>
  <c r="AD383" i="69"/>
  <c r="AE383" i="69" s="1"/>
  <c r="P383" i="69"/>
  <c r="U383" i="69" s="1"/>
  <c r="V383" i="69" s="1"/>
  <c r="W383" i="69" s="1"/>
  <c r="AK382" i="69"/>
  <c r="AG382" i="69"/>
  <c r="AD382" i="69"/>
  <c r="AE382" i="69" s="1"/>
  <c r="P382" i="69"/>
  <c r="U382" i="69" s="1"/>
  <c r="V382" i="69" s="1"/>
  <c r="W382" i="69" s="1"/>
  <c r="AK381" i="69"/>
  <c r="AG381" i="69"/>
  <c r="AD381" i="69"/>
  <c r="AE381" i="69" s="1"/>
  <c r="P381" i="69"/>
  <c r="U381" i="69" s="1"/>
  <c r="V381" i="69" s="1"/>
  <c r="W381" i="69" s="1"/>
  <c r="AK380" i="69"/>
  <c r="AG380" i="69"/>
  <c r="AD380" i="69"/>
  <c r="AE380" i="69" s="1"/>
  <c r="P380" i="69"/>
  <c r="U380" i="69" s="1"/>
  <c r="V380" i="69" s="1"/>
  <c r="W380" i="69" s="1"/>
  <c r="AK379" i="69"/>
  <c r="AG379" i="69"/>
  <c r="AD379" i="69"/>
  <c r="AE379" i="69" s="1"/>
  <c r="P379" i="69"/>
  <c r="U379" i="69" s="1"/>
  <c r="V379" i="69" s="1"/>
  <c r="W379" i="69" s="1"/>
  <c r="AK378" i="69"/>
  <c r="AG378" i="69"/>
  <c r="AD378" i="69"/>
  <c r="AE378" i="69" s="1"/>
  <c r="P378" i="69"/>
  <c r="U378" i="69" s="1"/>
  <c r="V378" i="69" s="1"/>
  <c r="W378" i="69" s="1"/>
  <c r="AK377" i="69"/>
  <c r="AG377" i="69"/>
  <c r="AD377" i="69"/>
  <c r="AE377" i="69" s="1"/>
  <c r="P377" i="69"/>
  <c r="U377" i="69" s="1"/>
  <c r="V377" i="69" s="1"/>
  <c r="W377" i="69" s="1"/>
  <c r="AK376" i="69"/>
  <c r="AG376" i="69"/>
  <c r="AD376" i="69"/>
  <c r="AE376" i="69" s="1"/>
  <c r="P376" i="69"/>
  <c r="U376" i="69" s="1"/>
  <c r="V376" i="69" s="1"/>
  <c r="W376" i="69" s="1"/>
  <c r="AK375" i="69"/>
  <c r="AG375" i="69"/>
  <c r="AD375" i="69"/>
  <c r="AE375" i="69" s="1"/>
  <c r="P375" i="69"/>
  <c r="U375" i="69" s="1"/>
  <c r="V375" i="69" s="1"/>
  <c r="W375" i="69" s="1"/>
  <c r="AK374" i="69"/>
  <c r="AG374" i="69"/>
  <c r="AD374" i="69"/>
  <c r="AE374" i="69" s="1"/>
  <c r="P374" i="69"/>
  <c r="U374" i="69" s="1"/>
  <c r="V374" i="69" s="1"/>
  <c r="W374" i="69" s="1"/>
  <c r="AK373" i="69"/>
  <c r="AG373" i="69"/>
  <c r="AD373" i="69"/>
  <c r="AE373" i="69" s="1"/>
  <c r="P373" i="69"/>
  <c r="U373" i="69" s="1"/>
  <c r="V373" i="69" s="1"/>
  <c r="W373" i="69" s="1"/>
  <c r="AK372" i="69"/>
  <c r="AG372" i="69"/>
  <c r="AD372" i="69"/>
  <c r="AE372" i="69" s="1"/>
  <c r="P372" i="69"/>
  <c r="U372" i="69" s="1"/>
  <c r="V372" i="69" s="1"/>
  <c r="W372" i="69" s="1"/>
  <c r="AK371" i="69"/>
  <c r="AG371" i="69"/>
  <c r="AD371" i="69"/>
  <c r="AE371" i="69" s="1"/>
  <c r="P371" i="69"/>
  <c r="U371" i="69" s="1"/>
  <c r="V371" i="69" s="1"/>
  <c r="W371" i="69" s="1"/>
  <c r="AK370" i="69"/>
  <c r="AG370" i="69"/>
  <c r="AD370" i="69"/>
  <c r="AE370" i="69" s="1"/>
  <c r="P370" i="69"/>
  <c r="U370" i="69" s="1"/>
  <c r="V370" i="69" s="1"/>
  <c r="W370" i="69" s="1"/>
  <c r="AK369" i="69"/>
  <c r="AG369" i="69"/>
  <c r="AD369" i="69"/>
  <c r="AE369" i="69" s="1"/>
  <c r="P369" i="69"/>
  <c r="U369" i="69" s="1"/>
  <c r="V369" i="69" s="1"/>
  <c r="W369" i="69" s="1"/>
  <c r="AK368" i="69"/>
  <c r="AG368" i="69"/>
  <c r="AD368" i="69"/>
  <c r="AE368" i="69" s="1"/>
  <c r="P368" i="69"/>
  <c r="U368" i="69" s="1"/>
  <c r="V368" i="69" s="1"/>
  <c r="W368" i="69" s="1"/>
  <c r="AK367" i="69"/>
  <c r="AG367" i="69"/>
  <c r="AD367" i="69"/>
  <c r="AE367" i="69" s="1"/>
  <c r="P367" i="69"/>
  <c r="U367" i="69" s="1"/>
  <c r="V367" i="69" s="1"/>
  <c r="W367" i="69" s="1"/>
  <c r="AK366" i="69"/>
  <c r="AG366" i="69"/>
  <c r="AD366" i="69"/>
  <c r="AE366" i="69" s="1"/>
  <c r="P366" i="69"/>
  <c r="U366" i="69" s="1"/>
  <c r="V366" i="69" s="1"/>
  <c r="W366" i="69" s="1"/>
  <c r="AK365" i="69"/>
  <c r="AG365" i="69"/>
  <c r="AD365" i="69"/>
  <c r="AE365" i="69" s="1"/>
  <c r="P365" i="69"/>
  <c r="U365" i="69" s="1"/>
  <c r="V365" i="69" s="1"/>
  <c r="W365" i="69" s="1"/>
  <c r="AK364" i="69"/>
  <c r="AG364" i="69"/>
  <c r="AD364" i="69"/>
  <c r="AE364" i="69" s="1"/>
  <c r="P364" i="69"/>
  <c r="U364" i="69" s="1"/>
  <c r="V364" i="69" s="1"/>
  <c r="W364" i="69" s="1"/>
  <c r="AK363" i="69"/>
  <c r="AG363" i="69"/>
  <c r="AD363" i="69"/>
  <c r="AE363" i="69" s="1"/>
  <c r="P363" i="69"/>
  <c r="U363" i="69" s="1"/>
  <c r="V363" i="69" s="1"/>
  <c r="W363" i="69" s="1"/>
  <c r="AK362" i="69"/>
  <c r="AG362" i="69"/>
  <c r="AD362" i="69"/>
  <c r="AE362" i="69" s="1"/>
  <c r="P362" i="69"/>
  <c r="U362" i="69" s="1"/>
  <c r="V362" i="69" s="1"/>
  <c r="W362" i="69" s="1"/>
  <c r="AK361" i="69"/>
  <c r="AG361" i="69"/>
  <c r="AD361" i="69"/>
  <c r="AE361" i="69" s="1"/>
  <c r="P361" i="69"/>
  <c r="U361" i="69" s="1"/>
  <c r="V361" i="69" s="1"/>
  <c r="W361" i="69" s="1"/>
  <c r="AK360" i="69"/>
  <c r="AG360" i="69"/>
  <c r="AD360" i="69"/>
  <c r="AE360" i="69" s="1"/>
  <c r="P360" i="69"/>
  <c r="U360" i="69" s="1"/>
  <c r="V360" i="69" s="1"/>
  <c r="W360" i="69" s="1"/>
  <c r="AK359" i="69"/>
  <c r="AG359" i="69"/>
  <c r="AD359" i="69"/>
  <c r="AE359" i="69" s="1"/>
  <c r="P359" i="69"/>
  <c r="U359" i="69" s="1"/>
  <c r="V359" i="69" s="1"/>
  <c r="W359" i="69" s="1"/>
  <c r="AK358" i="69"/>
  <c r="AG358" i="69"/>
  <c r="AD358" i="69"/>
  <c r="AE358" i="69" s="1"/>
  <c r="P358" i="69"/>
  <c r="U358" i="69" s="1"/>
  <c r="V358" i="69" s="1"/>
  <c r="W358" i="69" s="1"/>
  <c r="AK357" i="69"/>
  <c r="AG357" i="69"/>
  <c r="AD357" i="69"/>
  <c r="AE357" i="69" s="1"/>
  <c r="P357" i="69"/>
  <c r="U357" i="69" s="1"/>
  <c r="V357" i="69" s="1"/>
  <c r="W357" i="69" s="1"/>
  <c r="AK356" i="69"/>
  <c r="AG356" i="69"/>
  <c r="AD356" i="69"/>
  <c r="AE356" i="69" s="1"/>
  <c r="P356" i="69"/>
  <c r="U356" i="69" s="1"/>
  <c r="V356" i="69" s="1"/>
  <c r="W356" i="69" s="1"/>
  <c r="AK355" i="69"/>
  <c r="AG355" i="69"/>
  <c r="AD355" i="69"/>
  <c r="AE355" i="69" s="1"/>
  <c r="P355" i="69"/>
  <c r="U355" i="69" s="1"/>
  <c r="V355" i="69" s="1"/>
  <c r="W355" i="69" s="1"/>
  <c r="AK354" i="69"/>
  <c r="AG354" i="69"/>
  <c r="AD354" i="69"/>
  <c r="AE354" i="69" s="1"/>
  <c r="P354" i="69"/>
  <c r="U354" i="69" s="1"/>
  <c r="V354" i="69" s="1"/>
  <c r="W354" i="69" s="1"/>
  <c r="AK353" i="69"/>
  <c r="AG353" i="69"/>
  <c r="AD353" i="69"/>
  <c r="AE353" i="69" s="1"/>
  <c r="P353" i="69"/>
  <c r="U353" i="69" s="1"/>
  <c r="V353" i="69" s="1"/>
  <c r="W353" i="69" s="1"/>
  <c r="AK352" i="69"/>
  <c r="AG352" i="69"/>
  <c r="AD352" i="69"/>
  <c r="AE352" i="69" s="1"/>
  <c r="P352" i="69"/>
  <c r="U352" i="69" s="1"/>
  <c r="V352" i="69" s="1"/>
  <c r="W352" i="69" s="1"/>
  <c r="AK351" i="69"/>
  <c r="AG351" i="69"/>
  <c r="AD351" i="69"/>
  <c r="AE351" i="69" s="1"/>
  <c r="Y351" i="69"/>
  <c r="P351" i="69"/>
  <c r="U351" i="69" s="1"/>
  <c r="V351" i="69" s="1"/>
  <c r="W351" i="69" s="1"/>
  <c r="AK350" i="69"/>
  <c r="AG350" i="69"/>
  <c r="AD350" i="69"/>
  <c r="AE350" i="69" s="1"/>
  <c r="Y350" i="69"/>
  <c r="P350" i="69"/>
  <c r="U350" i="69" s="1"/>
  <c r="V350" i="69" s="1"/>
  <c r="W350" i="69" s="1"/>
  <c r="AK349" i="69"/>
  <c r="AG349" i="69"/>
  <c r="AD349" i="69"/>
  <c r="AE349" i="69" s="1"/>
  <c r="Y349" i="69"/>
  <c r="P349" i="69"/>
  <c r="U349" i="69" s="1"/>
  <c r="V349" i="69" s="1"/>
  <c r="W349" i="69" s="1"/>
  <c r="AK348" i="69"/>
  <c r="AG348" i="69"/>
  <c r="AD348" i="69"/>
  <c r="AE348" i="69" s="1"/>
  <c r="Y348" i="69"/>
  <c r="P348" i="69"/>
  <c r="U348" i="69" s="1"/>
  <c r="V348" i="69" s="1"/>
  <c r="W348" i="69" s="1"/>
  <c r="AK347" i="69"/>
  <c r="AG347" i="69"/>
  <c r="AD347" i="69"/>
  <c r="AE347" i="69" s="1"/>
  <c r="Y347" i="69"/>
  <c r="P347" i="69"/>
  <c r="U347" i="69" s="1"/>
  <c r="V347" i="69" s="1"/>
  <c r="W347" i="69" s="1"/>
  <c r="AK346" i="69"/>
  <c r="AG346" i="69"/>
  <c r="AD346" i="69"/>
  <c r="AE346" i="69" s="1"/>
  <c r="P346" i="69"/>
  <c r="U346" i="69" s="1"/>
  <c r="V346" i="69" s="1"/>
  <c r="W346" i="69" s="1"/>
  <c r="AK345" i="69"/>
  <c r="AG345" i="69"/>
  <c r="AD345" i="69"/>
  <c r="AE345" i="69" s="1"/>
  <c r="P345" i="69"/>
  <c r="U345" i="69" s="1"/>
  <c r="V345" i="69" s="1"/>
  <c r="W345" i="69" s="1"/>
  <c r="AK344" i="69"/>
  <c r="AG344" i="69"/>
  <c r="AD344" i="69"/>
  <c r="AE344" i="69" s="1"/>
  <c r="P344" i="69"/>
  <c r="U344" i="69" s="1"/>
  <c r="V344" i="69" s="1"/>
  <c r="W344" i="69" s="1"/>
  <c r="AK343" i="69"/>
  <c r="AG343" i="69"/>
  <c r="AD343" i="69"/>
  <c r="AE343" i="69" s="1"/>
  <c r="P343" i="69"/>
  <c r="U343" i="69" s="1"/>
  <c r="V343" i="69" s="1"/>
  <c r="W343" i="69" s="1"/>
  <c r="AK342" i="69"/>
  <c r="AG342" i="69"/>
  <c r="AD342" i="69"/>
  <c r="AE342" i="69" s="1"/>
  <c r="P342" i="69"/>
  <c r="U342" i="69" s="1"/>
  <c r="V342" i="69" s="1"/>
  <c r="W342" i="69" s="1"/>
  <c r="AK341" i="69"/>
  <c r="AG341" i="69"/>
  <c r="AD341" i="69"/>
  <c r="AE341" i="69" s="1"/>
  <c r="P341" i="69"/>
  <c r="U341" i="69" s="1"/>
  <c r="V341" i="69" s="1"/>
  <c r="W341" i="69" s="1"/>
  <c r="AK340" i="69"/>
  <c r="AG340" i="69"/>
  <c r="AD340" i="69"/>
  <c r="AE340" i="69" s="1"/>
  <c r="P340" i="69"/>
  <c r="U340" i="69" s="1"/>
  <c r="V340" i="69" s="1"/>
  <c r="W340" i="69" s="1"/>
  <c r="AK339" i="69"/>
  <c r="AG339" i="69"/>
  <c r="AD339" i="69"/>
  <c r="AE339" i="69" s="1"/>
  <c r="P339" i="69"/>
  <c r="U339" i="69" s="1"/>
  <c r="V339" i="69" s="1"/>
  <c r="W339" i="69" s="1"/>
  <c r="AK338" i="69"/>
  <c r="AG338" i="69"/>
  <c r="AD338" i="69"/>
  <c r="AE338" i="69" s="1"/>
  <c r="P338" i="69"/>
  <c r="U338" i="69" s="1"/>
  <c r="V338" i="69" s="1"/>
  <c r="W338" i="69" s="1"/>
  <c r="AK337" i="69"/>
  <c r="AG337" i="69"/>
  <c r="AD337" i="69"/>
  <c r="AE337" i="69" s="1"/>
  <c r="P337" i="69"/>
  <c r="U337" i="69" s="1"/>
  <c r="V337" i="69" s="1"/>
  <c r="W337" i="69" s="1"/>
  <c r="AK336" i="69"/>
  <c r="AG336" i="69"/>
  <c r="AD336" i="69"/>
  <c r="AE336" i="69" s="1"/>
  <c r="P336" i="69"/>
  <c r="U336" i="69" s="1"/>
  <c r="V336" i="69" s="1"/>
  <c r="W336" i="69" s="1"/>
  <c r="AK335" i="69"/>
  <c r="AG335" i="69"/>
  <c r="AD335" i="69"/>
  <c r="AE335" i="69" s="1"/>
  <c r="P335" i="69"/>
  <c r="U335" i="69" s="1"/>
  <c r="V335" i="69" s="1"/>
  <c r="W335" i="69" s="1"/>
  <c r="AK334" i="69"/>
  <c r="AG334" i="69"/>
  <c r="AD334" i="69"/>
  <c r="AE334" i="69" s="1"/>
  <c r="P334" i="69"/>
  <c r="U334" i="69" s="1"/>
  <c r="V334" i="69" s="1"/>
  <c r="W334" i="69" s="1"/>
  <c r="AK333" i="69"/>
  <c r="AG333" i="69"/>
  <c r="AD333" i="69"/>
  <c r="AE333" i="69" s="1"/>
  <c r="P333" i="69"/>
  <c r="U333" i="69" s="1"/>
  <c r="V333" i="69" s="1"/>
  <c r="W333" i="69" s="1"/>
  <c r="AK332" i="69"/>
  <c r="AG332" i="69"/>
  <c r="AD332" i="69"/>
  <c r="AE332" i="69" s="1"/>
  <c r="P332" i="69"/>
  <c r="U332" i="69" s="1"/>
  <c r="V332" i="69" s="1"/>
  <c r="W332" i="69" s="1"/>
  <c r="AK331" i="69"/>
  <c r="AG331" i="69"/>
  <c r="AD331" i="69"/>
  <c r="AE331" i="69" s="1"/>
  <c r="P331" i="69"/>
  <c r="U331" i="69" s="1"/>
  <c r="V331" i="69" s="1"/>
  <c r="W331" i="69" s="1"/>
  <c r="AK330" i="69"/>
  <c r="AG330" i="69"/>
  <c r="AD330" i="69"/>
  <c r="AE330" i="69" s="1"/>
  <c r="P330" i="69"/>
  <c r="U330" i="69" s="1"/>
  <c r="V330" i="69" s="1"/>
  <c r="W330" i="69" s="1"/>
  <c r="AK329" i="69"/>
  <c r="AG329" i="69"/>
  <c r="AD329" i="69"/>
  <c r="AE329" i="69" s="1"/>
  <c r="P329" i="69"/>
  <c r="U329" i="69" s="1"/>
  <c r="V329" i="69" s="1"/>
  <c r="W329" i="69" s="1"/>
  <c r="AK328" i="69"/>
  <c r="AG328" i="69"/>
  <c r="AD328" i="69"/>
  <c r="AE328" i="69" s="1"/>
  <c r="P328" i="69"/>
  <c r="U328" i="69" s="1"/>
  <c r="V328" i="69" s="1"/>
  <c r="W328" i="69" s="1"/>
  <c r="AK327" i="69"/>
  <c r="AG327" i="69"/>
  <c r="AD327" i="69"/>
  <c r="AE327" i="69" s="1"/>
  <c r="P327" i="69"/>
  <c r="U327" i="69" s="1"/>
  <c r="V327" i="69" s="1"/>
  <c r="W327" i="69" s="1"/>
  <c r="AK326" i="69"/>
  <c r="AG326" i="69"/>
  <c r="AD326" i="69"/>
  <c r="AE326" i="69" s="1"/>
  <c r="P326" i="69"/>
  <c r="U326" i="69" s="1"/>
  <c r="V326" i="69" s="1"/>
  <c r="W326" i="69" s="1"/>
  <c r="AK325" i="69"/>
  <c r="AG325" i="69"/>
  <c r="AD325" i="69"/>
  <c r="AE325" i="69" s="1"/>
  <c r="P325" i="69"/>
  <c r="U325" i="69" s="1"/>
  <c r="V325" i="69" s="1"/>
  <c r="W325" i="69" s="1"/>
  <c r="AK324" i="69"/>
  <c r="AG324" i="69"/>
  <c r="AD324" i="69"/>
  <c r="AE324" i="69" s="1"/>
  <c r="P324" i="69"/>
  <c r="U324" i="69" s="1"/>
  <c r="V324" i="69" s="1"/>
  <c r="W324" i="69" s="1"/>
  <c r="AK323" i="69"/>
  <c r="AG323" i="69"/>
  <c r="AD323" i="69"/>
  <c r="AE323" i="69" s="1"/>
  <c r="P323" i="69"/>
  <c r="U323" i="69" s="1"/>
  <c r="V323" i="69" s="1"/>
  <c r="W323" i="69" s="1"/>
  <c r="AK322" i="69"/>
  <c r="AG322" i="69"/>
  <c r="AD322" i="69"/>
  <c r="AE322" i="69" s="1"/>
  <c r="P322" i="69"/>
  <c r="U322" i="69" s="1"/>
  <c r="V322" i="69" s="1"/>
  <c r="W322" i="69" s="1"/>
  <c r="AK321" i="69"/>
  <c r="AG321" i="69"/>
  <c r="AD321" i="69"/>
  <c r="AE321" i="69" s="1"/>
  <c r="P321" i="69"/>
  <c r="U321" i="69" s="1"/>
  <c r="V321" i="69" s="1"/>
  <c r="W321" i="69" s="1"/>
  <c r="AK320" i="69"/>
  <c r="AG320" i="69"/>
  <c r="AD320" i="69"/>
  <c r="AE320" i="69" s="1"/>
  <c r="P320" i="69"/>
  <c r="U320" i="69" s="1"/>
  <c r="V320" i="69" s="1"/>
  <c r="W320" i="69" s="1"/>
  <c r="AK319" i="69"/>
  <c r="AG319" i="69"/>
  <c r="AD319" i="69"/>
  <c r="AE319" i="69" s="1"/>
  <c r="P319" i="69"/>
  <c r="U319" i="69" s="1"/>
  <c r="V319" i="69" s="1"/>
  <c r="W319" i="69" s="1"/>
  <c r="AK318" i="69"/>
  <c r="AG318" i="69"/>
  <c r="AD318" i="69"/>
  <c r="AE318" i="69" s="1"/>
  <c r="P318" i="69"/>
  <c r="U318" i="69" s="1"/>
  <c r="V318" i="69" s="1"/>
  <c r="W318" i="69" s="1"/>
  <c r="AK317" i="69"/>
  <c r="AG317" i="69"/>
  <c r="AD317" i="69"/>
  <c r="AE317" i="69" s="1"/>
  <c r="P317" i="69"/>
  <c r="U317" i="69" s="1"/>
  <c r="V317" i="69" s="1"/>
  <c r="W317" i="69" s="1"/>
  <c r="AK316" i="69"/>
  <c r="AG316" i="69"/>
  <c r="AD316" i="69"/>
  <c r="AE316" i="69" s="1"/>
  <c r="P316" i="69"/>
  <c r="U316" i="69" s="1"/>
  <c r="V316" i="69" s="1"/>
  <c r="W316" i="69" s="1"/>
  <c r="AK315" i="69"/>
  <c r="AG315" i="69"/>
  <c r="AD315" i="69"/>
  <c r="AE315" i="69" s="1"/>
  <c r="P315" i="69"/>
  <c r="U315" i="69" s="1"/>
  <c r="V315" i="69" s="1"/>
  <c r="W315" i="69" s="1"/>
  <c r="AK314" i="69"/>
  <c r="AG314" i="69"/>
  <c r="AD314" i="69"/>
  <c r="AE314" i="69" s="1"/>
  <c r="P314" i="69"/>
  <c r="U314" i="69" s="1"/>
  <c r="V314" i="69" s="1"/>
  <c r="W314" i="69" s="1"/>
  <c r="AK313" i="69"/>
  <c r="AG313" i="69"/>
  <c r="AD313" i="69"/>
  <c r="AE313" i="69" s="1"/>
  <c r="P313" i="69"/>
  <c r="U313" i="69" s="1"/>
  <c r="V313" i="69" s="1"/>
  <c r="W313" i="69" s="1"/>
  <c r="AK312" i="69"/>
  <c r="AG312" i="69"/>
  <c r="AD312" i="69"/>
  <c r="AE312" i="69" s="1"/>
  <c r="P312" i="69"/>
  <c r="U312" i="69" s="1"/>
  <c r="V312" i="69" s="1"/>
  <c r="W312" i="69" s="1"/>
  <c r="AK311" i="69"/>
  <c r="AG311" i="69"/>
  <c r="AD311" i="69"/>
  <c r="AE311" i="69" s="1"/>
  <c r="P311" i="69"/>
  <c r="U311" i="69" s="1"/>
  <c r="V311" i="69" s="1"/>
  <c r="W311" i="69" s="1"/>
  <c r="AK310" i="69"/>
  <c r="AG310" i="69"/>
  <c r="AD310" i="69"/>
  <c r="AE310" i="69" s="1"/>
  <c r="P310" i="69"/>
  <c r="U310" i="69" s="1"/>
  <c r="V310" i="69" s="1"/>
  <c r="W310" i="69" s="1"/>
  <c r="AK309" i="69"/>
  <c r="AG309" i="69"/>
  <c r="AD309" i="69"/>
  <c r="AE309" i="69" s="1"/>
  <c r="P309" i="69"/>
  <c r="U309" i="69" s="1"/>
  <c r="V309" i="69" s="1"/>
  <c r="W309" i="69" s="1"/>
  <c r="AK308" i="69"/>
  <c r="AG308" i="69"/>
  <c r="AD308" i="69"/>
  <c r="AE308" i="69" s="1"/>
  <c r="P308" i="69"/>
  <c r="U308" i="69" s="1"/>
  <c r="V308" i="69" s="1"/>
  <c r="W308" i="69" s="1"/>
  <c r="AK307" i="69"/>
  <c r="AG307" i="69"/>
  <c r="AD307" i="69"/>
  <c r="AE307" i="69" s="1"/>
  <c r="P307" i="69"/>
  <c r="U307" i="69" s="1"/>
  <c r="V307" i="69" s="1"/>
  <c r="W307" i="69" s="1"/>
  <c r="AK306" i="69"/>
  <c r="AG306" i="69"/>
  <c r="AD306" i="69"/>
  <c r="AE306" i="69" s="1"/>
  <c r="P306" i="69"/>
  <c r="U306" i="69" s="1"/>
  <c r="V306" i="69" s="1"/>
  <c r="W306" i="69" s="1"/>
  <c r="AK305" i="69"/>
  <c r="AG305" i="69"/>
  <c r="AD305" i="69"/>
  <c r="AE305" i="69" s="1"/>
  <c r="P305" i="69"/>
  <c r="U305" i="69" s="1"/>
  <c r="V305" i="69" s="1"/>
  <c r="W305" i="69" s="1"/>
  <c r="AK304" i="69"/>
  <c r="AG304" i="69"/>
  <c r="AD304" i="69"/>
  <c r="AE304" i="69" s="1"/>
  <c r="P304" i="69"/>
  <c r="U304" i="69" s="1"/>
  <c r="V304" i="69" s="1"/>
  <c r="W304" i="69" s="1"/>
  <c r="AK303" i="69"/>
  <c r="AG303" i="69"/>
  <c r="AD303" i="69"/>
  <c r="AE303" i="69" s="1"/>
  <c r="P303" i="69"/>
  <c r="U303" i="69" s="1"/>
  <c r="V303" i="69" s="1"/>
  <c r="W303" i="69" s="1"/>
  <c r="AK302" i="69"/>
  <c r="AG302" i="69"/>
  <c r="AD302" i="69"/>
  <c r="AE302" i="69" s="1"/>
  <c r="P302" i="69"/>
  <c r="U302" i="69" s="1"/>
  <c r="V302" i="69" s="1"/>
  <c r="W302" i="69" s="1"/>
  <c r="AK301" i="69"/>
  <c r="AG301" i="69"/>
  <c r="AD301" i="69"/>
  <c r="AE301" i="69" s="1"/>
  <c r="P301" i="69"/>
  <c r="U301" i="69" s="1"/>
  <c r="V301" i="69" s="1"/>
  <c r="W301" i="69" s="1"/>
  <c r="AK300" i="69"/>
  <c r="AG300" i="69"/>
  <c r="AD300" i="69"/>
  <c r="AE300" i="69" s="1"/>
  <c r="P300" i="69"/>
  <c r="U300" i="69" s="1"/>
  <c r="V300" i="69" s="1"/>
  <c r="W300" i="69" s="1"/>
  <c r="AK299" i="69"/>
  <c r="AG299" i="69"/>
  <c r="AD299" i="69"/>
  <c r="AE299" i="69" s="1"/>
  <c r="U299" i="69"/>
  <c r="V299" i="69" s="1"/>
  <c r="W299" i="69" s="1"/>
  <c r="AK298" i="69"/>
  <c r="AG298" i="69"/>
  <c r="AD298" i="69"/>
  <c r="AE298" i="69" s="1"/>
  <c r="U298" i="69"/>
  <c r="V298" i="69" s="1"/>
  <c r="W298" i="69" s="1"/>
  <c r="AK297" i="69"/>
  <c r="AG297" i="69"/>
  <c r="AD297" i="69"/>
  <c r="AE297" i="69" s="1"/>
  <c r="U297" i="69"/>
  <c r="V297" i="69" s="1"/>
  <c r="W297" i="69" s="1"/>
  <c r="AK296" i="69"/>
  <c r="AG296" i="69"/>
  <c r="AD296" i="69"/>
  <c r="AE296" i="69" s="1"/>
  <c r="U296" i="69"/>
  <c r="V296" i="69" s="1"/>
  <c r="W296" i="69" s="1"/>
  <c r="AK295" i="69"/>
  <c r="AG295" i="69"/>
  <c r="AD295" i="69"/>
  <c r="AE295" i="69" s="1"/>
  <c r="U295" i="69"/>
  <c r="V295" i="69" s="1"/>
  <c r="W295" i="69" s="1"/>
  <c r="AK294" i="69"/>
  <c r="AG294" i="69"/>
  <c r="AD294" i="69"/>
  <c r="AE294" i="69" s="1"/>
  <c r="U294" i="69"/>
  <c r="V294" i="69" s="1"/>
  <c r="W294" i="69" s="1"/>
  <c r="AK293" i="69"/>
  <c r="AG293" i="69"/>
  <c r="AD293" i="69"/>
  <c r="AE293" i="69" s="1"/>
  <c r="U293" i="69"/>
  <c r="V293" i="69" s="1"/>
  <c r="W293" i="69" s="1"/>
  <c r="AK292" i="69"/>
  <c r="AG292" i="69"/>
  <c r="AD292" i="69"/>
  <c r="AE292" i="69" s="1"/>
  <c r="U292" i="69"/>
  <c r="V292" i="69" s="1"/>
  <c r="W292" i="69" s="1"/>
  <c r="AK291" i="69"/>
  <c r="AG291" i="69"/>
  <c r="AD291" i="69"/>
  <c r="AE291" i="69" s="1"/>
  <c r="U291" i="69"/>
  <c r="V291" i="69" s="1"/>
  <c r="W291" i="69" s="1"/>
  <c r="AK290" i="69"/>
  <c r="AG290" i="69"/>
  <c r="AD290" i="69"/>
  <c r="AE290" i="69" s="1"/>
  <c r="U290" i="69"/>
  <c r="V290" i="69" s="1"/>
  <c r="W290" i="69" s="1"/>
  <c r="AK289" i="69"/>
  <c r="AG289" i="69"/>
  <c r="AD289" i="69"/>
  <c r="AE289" i="69" s="1"/>
  <c r="U289" i="69"/>
  <c r="V289" i="69" s="1"/>
  <c r="W289" i="69" s="1"/>
  <c r="AK288" i="69"/>
  <c r="AG288" i="69"/>
  <c r="AD288" i="69"/>
  <c r="AE288" i="69" s="1"/>
  <c r="U288" i="69"/>
  <c r="V288" i="69" s="1"/>
  <c r="W288" i="69" s="1"/>
  <c r="AK287" i="69"/>
  <c r="AG287" i="69"/>
  <c r="AD287" i="69"/>
  <c r="AE287" i="69" s="1"/>
  <c r="U287" i="69"/>
  <c r="V287" i="69" s="1"/>
  <c r="W287" i="69" s="1"/>
  <c r="AK286" i="69"/>
  <c r="AG286" i="69"/>
  <c r="AD286" i="69"/>
  <c r="AE286" i="69" s="1"/>
  <c r="U286" i="69"/>
  <c r="V286" i="69" s="1"/>
  <c r="W286" i="69" s="1"/>
  <c r="AK285" i="69"/>
  <c r="AG285" i="69"/>
  <c r="AD285" i="69"/>
  <c r="AE285" i="69" s="1"/>
  <c r="U285" i="69"/>
  <c r="V285" i="69" s="1"/>
  <c r="W285" i="69" s="1"/>
  <c r="AK284" i="69"/>
  <c r="AG284" i="69"/>
  <c r="AD284" i="69"/>
  <c r="AE284" i="69" s="1"/>
  <c r="P284" i="69"/>
  <c r="U284" i="69" s="1"/>
  <c r="V284" i="69" s="1"/>
  <c r="W284" i="69" s="1"/>
  <c r="AK283" i="69"/>
  <c r="AG283" i="69"/>
  <c r="AD283" i="69"/>
  <c r="AE283" i="69" s="1"/>
  <c r="P283" i="69"/>
  <c r="U283" i="69" s="1"/>
  <c r="V283" i="69" s="1"/>
  <c r="W283" i="69" s="1"/>
  <c r="AK282" i="69"/>
  <c r="AG282" i="69"/>
  <c r="AD282" i="69"/>
  <c r="AE282" i="69" s="1"/>
  <c r="P282" i="69"/>
  <c r="U282" i="69" s="1"/>
  <c r="V282" i="69" s="1"/>
  <c r="W282" i="69" s="1"/>
  <c r="AK281" i="69"/>
  <c r="AG281" i="69"/>
  <c r="AD281" i="69"/>
  <c r="AE281" i="69" s="1"/>
  <c r="P281" i="69"/>
  <c r="U281" i="69" s="1"/>
  <c r="V281" i="69" s="1"/>
  <c r="W281" i="69" s="1"/>
  <c r="AK280" i="69"/>
  <c r="AG280" i="69"/>
  <c r="AD280" i="69"/>
  <c r="AE280" i="69" s="1"/>
  <c r="P280" i="69"/>
  <c r="U280" i="69" s="1"/>
  <c r="V280" i="69" s="1"/>
  <c r="W280" i="69" s="1"/>
  <c r="AK279" i="69"/>
  <c r="AG279" i="69"/>
  <c r="AD279" i="69"/>
  <c r="AE279" i="69" s="1"/>
  <c r="P279" i="69"/>
  <c r="U279" i="69" s="1"/>
  <c r="V279" i="69" s="1"/>
  <c r="W279" i="69" s="1"/>
  <c r="AK278" i="69"/>
  <c r="AG278" i="69"/>
  <c r="AD278" i="69"/>
  <c r="AE278" i="69" s="1"/>
  <c r="P278" i="69"/>
  <c r="U278" i="69" s="1"/>
  <c r="V278" i="69" s="1"/>
  <c r="W278" i="69" s="1"/>
  <c r="AK277" i="69"/>
  <c r="AG277" i="69"/>
  <c r="AD277" i="69"/>
  <c r="AE277" i="69" s="1"/>
  <c r="P277" i="69"/>
  <c r="U277" i="69" s="1"/>
  <c r="V277" i="69" s="1"/>
  <c r="W277" i="69" s="1"/>
  <c r="AK276" i="69"/>
  <c r="AG276" i="69"/>
  <c r="AD276" i="69"/>
  <c r="AE276" i="69" s="1"/>
  <c r="P276" i="69"/>
  <c r="U276" i="69" s="1"/>
  <c r="V276" i="69" s="1"/>
  <c r="W276" i="69" s="1"/>
  <c r="AK275" i="69"/>
  <c r="AG275" i="69"/>
  <c r="AD275" i="69"/>
  <c r="AE275" i="69" s="1"/>
  <c r="P275" i="69"/>
  <c r="U275" i="69" s="1"/>
  <c r="V275" i="69" s="1"/>
  <c r="W275" i="69" s="1"/>
  <c r="AK274" i="69"/>
  <c r="AG274" i="69"/>
  <c r="AD274" i="69"/>
  <c r="AE274" i="69" s="1"/>
  <c r="P274" i="69"/>
  <c r="U274" i="69" s="1"/>
  <c r="V274" i="69" s="1"/>
  <c r="W274" i="69" s="1"/>
  <c r="AK273" i="69"/>
  <c r="AG273" i="69"/>
  <c r="AD273" i="69"/>
  <c r="AE273" i="69" s="1"/>
  <c r="Y273" i="69"/>
  <c r="P273" i="69"/>
  <c r="U273" i="69" s="1"/>
  <c r="V273" i="69" s="1"/>
  <c r="W273" i="69" s="1"/>
  <c r="AK272" i="69"/>
  <c r="AG272" i="69"/>
  <c r="AD272" i="69"/>
  <c r="AE272" i="69" s="1"/>
  <c r="Y272" i="69"/>
  <c r="P272" i="69"/>
  <c r="U272" i="69" s="1"/>
  <c r="V272" i="69" s="1"/>
  <c r="W272" i="69" s="1"/>
  <c r="AK271" i="69"/>
  <c r="AG271" i="69"/>
  <c r="AD271" i="69"/>
  <c r="AE271" i="69" s="1"/>
  <c r="Y271" i="69"/>
  <c r="P271" i="69"/>
  <c r="U271" i="69" s="1"/>
  <c r="V271" i="69" s="1"/>
  <c r="W271" i="69" s="1"/>
  <c r="AK270" i="69"/>
  <c r="AG270" i="69"/>
  <c r="AD270" i="69"/>
  <c r="AE270" i="69" s="1"/>
  <c r="Y270" i="69"/>
  <c r="P270" i="69"/>
  <c r="U270" i="69" s="1"/>
  <c r="V270" i="69" s="1"/>
  <c r="W270" i="69" s="1"/>
  <c r="AK269" i="69"/>
  <c r="AG269" i="69"/>
  <c r="AD269" i="69"/>
  <c r="AE269" i="69" s="1"/>
  <c r="Y269" i="69"/>
  <c r="P269" i="69"/>
  <c r="U269" i="69" s="1"/>
  <c r="V269" i="69" s="1"/>
  <c r="W269" i="69" s="1"/>
  <c r="AK268" i="69"/>
  <c r="AG268" i="69"/>
  <c r="AD268" i="69"/>
  <c r="AE268" i="69" s="1"/>
  <c r="Y268" i="69"/>
  <c r="P268" i="69"/>
  <c r="U268" i="69" s="1"/>
  <c r="V268" i="69" s="1"/>
  <c r="W268" i="69" s="1"/>
  <c r="AK267" i="69"/>
  <c r="AG267" i="69"/>
  <c r="AD267" i="69"/>
  <c r="AE267" i="69" s="1"/>
  <c r="Y267" i="69"/>
  <c r="P267" i="69"/>
  <c r="U267" i="69" s="1"/>
  <c r="V267" i="69" s="1"/>
  <c r="W267" i="69" s="1"/>
  <c r="AK266" i="69"/>
  <c r="AG266" i="69"/>
  <c r="AD266" i="69"/>
  <c r="AE266" i="69" s="1"/>
  <c r="Y266" i="69"/>
  <c r="P266" i="69"/>
  <c r="U266" i="69" s="1"/>
  <c r="V266" i="69" s="1"/>
  <c r="W266" i="69" s="1"/>
  <c r="AK265" i="69"/>
  <c r="AG265" i="69"/>
  <c r="AD265" i="69"/>
  <c r="AE265" i="69" s="1"/>
  <c r="Y265" i="69"/>
  <c r="P265" i="69"/>
  <c r="U265" i="69" s="1"/>
  <c r="V265" i="69" s="1"/>
  <c r="W265" i="69" s="1"/>
  <c r="AK264" i="69"/>
  <c r="AG264" i="69"/>
  <c r="AD264" i="69"/>
  <c r="AE264" i="69" s="1"/>
  <c r="Y264" i="69"/>
  <c r="P264" i="69"/>
  <c r="U264" i="69" s="1"/>
  <c r="V264" i="69" s="1"/>
  <c r="W264" i="69" s="1"/>
  <c r="AK263" i="69"/>
  <c r="AG263" i="69"/>
  <c r="AD263" i="69"/>
  <c r="AE263" i="69" s="1"/>
  <c r="P263" i="69"/>
  <c r="U263" i="69" s="1"/>
  <c r="V263" i="69" s="1"/>
  <c r="W263" i="69" s="1"/>
  <c r="AK262" i="69"/>
  <c r="AG262" i="69"/>
  <c r="AD262" i="69"/>
  <c r="AE262" i="69" s="1"/>
  <c r="P262" i="69"/>
  <c r="U262" i="69" s="1"/>
  <c r="V262" i="69" s="1"/>
  <c r="W262" i="69" s="1"/>
  <c r="AK261" i="69"/>
  <c r="AG261" i="69"/>
  <c r="AD261" i="69"/>
  <c r="AE261" i="69" s="1"/>
  <c r="U261" i="69"/>
  <c r="V261" i="69" s="1"/>
  <c r="W261" i="69" s="1"/>
  <c r="AK260" i="69"/>
  <c r="AG260" i="69"/>
  <c r="AD260" i="69"/>
  <c r="AE260" i="69" s="1"/>
  <c r="U260" i="69"/>
  <c r="V260" i="69" s="1"/>
  <c r="W260" i="69" s="1"/>
  <c r="AK259" i="69"/>
  <c r="AG259" i="69"/>
  <c r="AD259" i="69"/>
  <c r="AE259" i="69" s="1"/>
  <c r="P259" i="69"/>
  <c r="U259" i="69" s="1"/>
  <c r="V259" i="69" s="1"/>
  <c r="W259" i="69" s="1"/>
  <c r="AK258" i="69"/>
  <c r="AG258" i="69"/>
  <c r="AD258" i="69"/>
  <c r="AE258" i="69" s="1"/>
  <c r="P258" i="69"/>
  <c r="U258" i="69" s="1"/>
  <c r="V258" i="69" s="1"/>
  <c r="W258" i="69" s="1"/>
  <c r="AK257" i="69"/>
  <c r="AG257" i="69"/>
  <c r="AD257" i="69"/>
  <c r="AE257" i="69" s="1"/>
  <c r="P257" i="69"/>
  <c r="U257" i="69" s="1"/>
  <c r="V257" i="69" s="1"/>
  <c r="W257" i="69" s="1"/>
  <c r="AK256" i="69"/>
  <c r="AG256" i="69"/>
  <c r="AD256" i="69"/>
  <c r="AE256" i="69" s="1"/>
  <c r="P256" i="69"/>
  <c r="U256" i="69" s="1"/>
  <c r="V256" i="69" s="1"/>
  <c r="W256" i="69" s="1"/>
  <c r="AK255" i="69"/>
  <c r="AG255" i="69"/>
  <c r="AD255" i="69"/>
  <c r="AE255" i="69" s="1"/>
  <c r="U255" i="69"/>
  <c r="V255" i="69" s="1"/>
  <c r="W255" i="69" s="1"/>
  <c r="AK254" i="69"/>
  <c r="AG254" i="69"/>
  <c r="AD254" i="69"/>
  <c r="AE254" i="69" s="1"/>
  <c r="U254" i="69"/>
  <c r="V254" i="69" s="1"/>
  <c r="W254" i="69" s="1"/>
  <c r="AK253" i="69"/>
  <c r="AG253" i="69"/>
  <c r="AD253" i="69"/>
  <c r="AE253" i="69" s="1"/>
  <c r="P253" i="69"/>
  <c r="U253" i="69" s="1"/>
  <c r="V253" i="69" s="1"/>
  <c r="W253" i="69" s="1"/>
  <c r="AK252" i="69"/>
  <c r="AG252" i="69"/>
  <c r="AD252" i="69"/>
  <c r="AE252" i="69" s="1"/>
  <c r="P252" i="69"/>
  <c r="U252" i="69" s="1"/>
  <c r="V252" i="69" s="1"/>
  <c r="W252" i="69" s="1"/>
  <c r="AK251" i="69"/>
  <c r="AG251" i="69"/>
  <c r="AD251" i="69"/>
  <c r="AE251" i="69" s="1"/>
  <c r="P251" i="69"/>
  <c r="U251" i="69" s="1"/>
  <c r="V251" i="69" s="1"/>
  <c r="W251" i="69" s="1"/>
  <c r="AK250" i="69"/>
  <c r="AG250" i="69"/>
  <c r="AD250" i="69"/>
  <c r="AE250" i="69" s="1"/>
  <c r="P250" i="69"/>
  <c r="U250" i="69" s="1"/>
  <c r="V250" i="69" s="1"/>
  <c r="W250" i="69" s="1"/>
  <c r="AK249" i="69"/>
  <c r="AG249" i="69"/>
  <c r="AD249" i="69"/>
  <c r="AE249" i="69" s="1"/>
  <c r="P249" i="69"/>
  <c r="U249" i="69" s="1"/>
  <c r="V249" i="69" s="1"/>
  <c r="W249" i="69" s="1"/>
  <c r="AK248" i="69"/>
  <c r="AG248" i="69"/>
  <c r="AD248" i="69"/>
  <c r="AE248" i="69" s="1"/>
  <c r="P248" i="69"/>
  <c r="U248" i="69" s="1"/>
  <c r="V248" i="69" s="1"/>
  <c r="W248" i="69" s="1"/>
  <c r="AK247" i="69"/>
  <c r="AG247" i="69"/>
  <c r="AD247" i="69"/>
  <c r="AE247" i="69" s="1"/>
  <c r="P247" i="69"/>
  <c r="U247" i="69" s="1"/>
  <c r="V247" i="69" s="1"/>
  <c r="W247" i="69" s="1"/>
  <c r="AK246" i="69"/>
  <c r="AG246" i="69"/>
  <c r="AD246" i="69"/>
  <c r="AE246" i="69" s="1"/>
  <c r="P246" i="69"/>
  <c r="U246" i="69" s="1"/>
  <c r="V246" i="69" s="1"/>
  <c r="W246" i="69" s="1"/>
  <c r="AK245" i="69"/>
  <c r="AG245" i="69"/>
  <c r="AD245" i="69"/>
  <c r="AE245" i="69" s="1"/>
  <c r="P245" i="69"/>
  <c r="U245" i="69" s="1"/>
  <c r="V245" i="69" s="1"/>
  <c r="W245" i="69" s="1"/>
  <c r="AK244" i="69"/>
  <c r="AG244" i="69"/>
  <c r="AD244" i="69"/>
  <c r="AE244" i="69" s="1"/>
  <c r="P244" i="69"/>
  <c r="U244" i="69" s="1"/>
  <c r="V244" i="69" s="1"/>
  <c r="W244" i="69" s="1"/>
  <c r="AK243" i="69"/>
  <c r="AG243" i="69"/>
  <c r="AD243" i="69"/>
  <c r="AE243" i="69" s="1"/>
  <c r="P243" i="69"/>
  <c r="U243" i="69" s="1"/>
  <c r="V243" i="69" s="1"/>
  <c r="W243" i="69" s="1"/>
  <c r="AK242" i="69"/>
  <c r="AG242" i="69"/>
  <c r="AD242" i="69"/>
  <c r="AE242" i="69" s="1"/>
  <c r="P242" i="69"/>
  <c r="U242" i="69" s="1"/>
  <c r="V242" i="69" s="1"/>
  <c r="W242" i="69" s="1"/>
  <c r="AK241" i="69"/>
  <c r="AG241" i="69"/>
  <c r="AD241" i="69"/>
  <c r="AE241" i="69" s="1"/>
  <c r="P241" i="69"/>
  <c r="U241" i="69" s="1"/>
  <c r="V241" i="69" s="1"/>
  <c r="W241" i="69" s="1"/>
  <c r="AK240" i="69"/>
  <c r="AG240" i="69"/>
  <c r="AD240" i="69"/>
  <c r="AE240" i="69" s="1"/>
  <c r="P240" i="69"/>
  <c r="U240" i="69" s="1"/>
  <c r="V240" i="69" s="1"/>
  <c r="W240" i="69" s="1"/>
  <c r="AK239" i="69"/>
  <c r="AG239" i="69"/>
  <c r="AD239" i="69"/>
  <c r="AE239" i="69" s="1"/>
  <c r="P239" i="69"/>
  <c r="U239" i="69" s="1"/>
  <c r="V239" i="69" s="1"/>
  <c r="W239" i="69" s="1"/>
  <c r="AK238" i="69"/>
  <c r="AG238" i="69"/>
  <c r="AD238" i="69"/>
  <c r="AE238" i="69" s="1"/>
  <c r="P238" i="69"/>
  <c r="U238" i="69" s="1"/>
  <c r="V238" i="69" s="1"/>
  <c r="W238" i="69" s="1"/>
  <c r="AK237" i="69"/>
  <c r="AG237" i="69"/>
  <c r="AD237" i="69"/>
  <c r="AE237" i="69" s="1"/>
  <c r="P237" i="69"/>
  <c r="U237" i="69" s="1"/>
  <c r="V237" i="69" s="1"/>
  <c r="W237" i="69" s="1"/>
  <c r="AK236" i="69"/>
  <c r="AG236" i="69"/>
  <c r="AD236" i="69"/>
  <c r="AE236" i="69" s="1"/>
  <c r="P236" i="69"/>
  <c r="U236" i="69" s="1"/>
  <c r="V236" i="69" s="1"/>
  <c r="W236" i="69" s="1"/>
  <c r="AK235" i="69"/>
  <c r="AG235" i="69"/>
  <c r="AD235" i="69"/>
  <c r="AE235" i="69" s="1"/>
  <c r="Y235" i="69"/>
  <c r="P235" i="69"/>
  <c r="U235" i="69" s="1"/>
  <c r="V235" i="69" s="1"/>
  <c r="W235" i="69" s="1"/>
  <c r="AK234" i="69"/>
  <c r="AG234" i="69"/>
  <c r="AD234" i="69"/>
  <c r="AE234" i="69" s="1"/>
  <c r="Y234" i="69"/>
  <c r="P234" i="69"/>
  <c r="U234" i="69" s="1"/>
  <c r="V234" i="69" s="1"/>
  <c r="W234" i="69" s="1"/>
  <c r="AK233" i="69"/>
  <c r="AG233" i="69"/>
  <c r="AD233" i="69"/>
  <c r="AE233" i="69" s="1"/>
  <c r="Y233" i="69"/>
  <c r="P233" i="69"/>
  <c r="U233" i="69" s="1"/>
  <c r="V233" i="69" s="1"/>
  <c r="W233" i="69" s="1"/>
  <c r="AK232" i="69"/>
  <c r="AG232" i="69"/>
  <c r="AD232" i="69"/>
  <c r="AE232" i="69" s="1"/>
  <c r="Y232" i="69"/>
  <c r="P232" i="69"/>
  <c r="U232" i="69" s="1"/>
  <c r="V232" i="69" s="1"/>
  <c r="W232" i="69" s="1"/>
  <c r="AK231" i="69"/>
  <c r="AG231" i="69"/>
  <c r="AD231" i="69"/>
  <c r="AE231" i="69" s="1"/>
  <c r="Y231" i="69"/>
  <c r="P231" i="69"/>
  <c r="U231" i="69" s="1"/>
  <c r="V231" i="69" s="1"/>
  <c r="W231" i="69" s="1"/>
  <c r="AK230" i="69"/>
  <c r="AG230" i="69"/>
  <c r="AD230" i="69"/>
  <c r="AE230" i="69" s="1"/>
  <c r="O230" i="69"/>
  <c r="P230" i="69" s="1"/>
  <c r="U230" i="69" s="1"/>
  <c r="V230" i="69" s="1"/>
  <c r="W230" i="69" s="1"/>
  <c r="AK229" i="69"/>
  <c r="AG229" i="69"/>
  <c r="AD229" i="69"/>
  <c r="AE229" i="69" s="1"/>
  <c r="O229" i="69"/>
  <c r="P229" i="69" s="1"/>
  <c r="U229" i="69" s="1"/>
  <c r="V229" i="69" s="1"/>
  <c r="W229" i="69" s="1"/>
  <c r="AK228" i="69"/>
  <c r="AG228" i="69"/>
  <c r="AD228" i="69"/>
  <c r="AE228" i="69" s="1"/>
  <c r="P228" i="69"/>
  <c r="U228" i="69" s="1"/>
  <c r="V228" i="69" s="1"/>
  <c r="W228" i="69" s="1"/>
  <c r="AK227" i="69"/>
  <c r="AG227" i="69"/>
  <c r="AD227" i="69"/>
  <c r="AE227" i="69" s="1"/>
  <c r="P227" i="69"/>
  <c r="U227" i="69" s="1"/>
  <c r="V227" i="69" s="1"/>
  <c r="W227" i="69" s="1"/>
  <c r="AK226" i="69"/>
  <c r="AG226" i="69"/>
  <c r="AD226" i="69"/>
  <c r="AE226" i="69" s="1"/>
  <c r="O226" i="69"/>
  <c r="P226" i="69" s="1"/>
  <c r="U226" i="69" s="1"/>
  <c r="V226" i="69" s="1"/>
  <c r="W226" i="69" s="1"/>
  <c r="AK225" i="69"/>
  <c r="AG225" i="69"/>
  <c r="AD225" i="69"/>
  <c r="AE225" i="69" s="1"/>
  <c r="O225" i="69"/>
  <c r="P225" i="69" s="1"/>
  <c r="U225" i="69" s="1"/>
  <c r="V225" i="69" s="1"/>
  <c r="W225" i="69" s="1"/>
  <c r="AK224" i="69"/>
  <c r="AG224" i="69"/>
  <c r="AD224" i="69"/>
  <c r="AE224" i="69" s="1"/>
  <c r="P224" i="69"/>
  <c r="U224" i="69" s="1"/>
  <c r="V224" i="69" s="1"/>
  <c r="W224" i="69" s="1"/>
  <c r="AK223" i="69"/>
  <c r="AG223" i="69"/>
  <c r="AD223" i="69"/>
  <c r="AE223" i="69" s="1"/>
  <c r="P223" i="69"/>
  <c r="U223" i="69" s="1"/>
  <c r="V223" i="69" s="1"/>
  <c r="W223" i="69" s="1"/>
  <c r="AK222" i="69"/>
  <c r="AG222" i="69"/>
  <c r="AD222" i="69"/>
  <c r="AE222" i="69" s="1"/>
  <c r="P222" i="69"/>
  <c r="U222" i="69" s="1"/>
  <c r="V222" i="69" s="1"/>
  <c r="W222" i="69" s="1"/>
  <c r="AK221" i="69"/>
  <c r="AG221" i="69"/>
  <c r="AD221" i="69"/>
  <c r="AE221" i="69" s="1"/>
  <c r="P221" i="69"/>
  <c r="U221" i="69" s="1"/>
  <c r="V221" i="69" s="1"/>
  <c r="W221" i="69" s="1"/>
  <c r="AK220" i="69"/>
  <c r="AG220" i="69"/>
  <c r="AD220" i="69"/>
  <c r="AE220" i="69" s="1"/>
  <c r="P220" i="69"/>
  <c r="U220" i="69" s="1"/>
  <c r="V220" i="69" s="1"/>
  <c r="W220" i="69" s="1"/>
  <c r="AK219" i="69"/>
  <c r="AG219" i="69"/>
  <c r="AD219" i="69"/>
  <c r="AE219" i="69" s="1"/>
  <c r="P219" i="69"/>
  <c r="U219" i="69" s="1"/>
  <c r="V219" i="69" s="1"/>
  <c r="W219" i="69" s="1"/>
  <c r="AK218" i="69"/>
  <c r="AG218" i="69"/>
  <c r="AD218" i="69"/>
  <c r="AE218" i="69" s="1"/>
  <c r="P218" i="69"/>
  <c r="U218" i="69" s="1"/>
  <c r="V218" i="69" s="1"/>
  <c r="W218" i="69" s="1"/>
  <c r="AK217" i="69"/>
  <c r="AG217" i="69"/>
  <c r="AD217" i="69"/>
  <c r="AE217" i="69" s="1"/>
  <c r="P217" i="69"/>
  <c r="U217" i="69" s="1"/>
  <c r="V217" i="69" s="1"/>
  <c r="W217" i="69" s="1"/>
  <c r="AK216" i="69"/>
  <c r="AG216" i="69"/>
  <c r="AD216" i="69"/>
  <c r="AE216" i="69" s="1"/>
  <c r="P216" i="69"/>
  <c r="U216" i="69" s="1"/>
  <c r="V216" i="69" s="1"/>
  <c r="W216" i="69" s="1"/>
  <c r="AK215" i="69"/>
  <c r="AG215" i="69"/>
  <c r="AD215" i="69"/>
  <c r="AE215" i="69" s="1"/>
  <c r="P215" i="69"/>
  <c r="U215" i="69" s="1"/>
  <c r="V215" i="69" s="1"/>
  <c r="W215" i="69" s="1"/>
  <c r="AK214" i="69"/>
  <c r="AG214" i="69"/>
  <c r="AD214" i="69"/>
  <c r="AE214" i="69" s="1"/>
  <c r="P214" i="69"/>
  <c r="U214" i="69" s="1"/>
  <c r="V214" i="69" s="1"/>
  <c r="W214" i="69" s="1"/>
  <c r="AK213" i="69"/>
  <c r="AG213" i="69"/>
  <c r="AD213" i="69"/>
  <c r="AE213" i="69" s="1"/>
  <c r="P213" i="69"/>
  <c r="U213" i="69" s="1"/>
  <c r="V213" i="69" s="1"/>
  <c r="W213" i="69" s="1"/>
  <c r="AK212" i="69"/>
  <c r="AG212" i="69"/>
  <c r="AD212" i="69"/>
  <c r="AE212" i="69" s="1"/>
  <c r="P212" i="69"/>
  <c r="U212" i="69" s="1"/>
  <c r="V212" i="69" s="1"/>
  <c r="W212" i="69" s="1"/>
  <c r="AK211" i="69"/>
  <c r="AG211" i="69"/>
  <c r="AD211" i="69"/>
  <c r="AE211" i="69" s="1"/>
  <c r="P211" i="69"/>
  <c r="U211" i="69" s="1"/>
  <c r="V211" i="69" s="1"/>
  <c r="W211" i="69" s="1"/>
  <c r="AK210" i="69"/>
  <c r="AG210" i="69"/>
  <c r="AD210" i="69"/>
  <c r="AE210" i="69" s="1"/>
  <c r="P210" i="69"/>
  <c r="U210" i="69" s="1"/>
  <c r="V210" i="69" s="1"/>
  <c r="W210" i="69" s="1"/>
  <c r="AK209" i="69"/>
  <c r="AG209" i="69"/>
  <c r="AD209" i="69"/>
  <c r="AE209" i="69" s="1"/>
  <c r="P209" i="69"/>
  <c r="U209" i="69" s="1"/>
  <c r="V209" i="69" s="1"/>
  <c r="W209" i="69" s="1"/>
  <c r="AK208" i="69"/>
  <c r="AG208" i="69"/>
  <c r="AD208" i="69"/>
  <c r="AE208" i="69" s="1"/>
  <c r="P208" i="69"/>
  <c r="U208" i="69" s="1"/>
  <c r="V208" i="69" s="1"/>
  <c r="W208" i="69" s="1"/>
  <c r="AK207" i="69"/>
  <c r="AG207" i="69"/>
  <c r="AD207" i="69"/>
  <c r="AE207" i="69" s="1"/>
  <c r="P207" i="69"/>
  <c r="U207" i="69" s="1"/>
  <c r="V207" i="69" s="1"/>
  <c r="W207" i="69" s="1"/>
  <c r="AK206" i="69"/>
  <c r="AG206" i="69"/>
  <c r="AD206" i="69"/>
  <c r="AE206" i="69" s="1"/>
  <c r="P206" i="69"/>
  <c r="U206" i="69" s="1"/>
  <c r="V206" i="69" s="1"/>
  <c r="W206" i="69" s="1"/>
  <c r="AK205" i="69"/>
  <c r="AG205" i="69"/>
  <c r="AD205" i="69"/>
  <c r="AE205" i="69" s="1"/>
  <c r="P205" i="69"/>
  <c r="U205" i="69" s="1"/>
  <c r="V205" i="69" s="1"/>
  <c r="W205" i="69" s="1"/>
  <c r="AK204" i="69"/>
  <c r="AG204" i="69"/>
  <c r="AD204" i="69"/>
  <c r="AE204" i="69" s="1"/>
  <c r="P204" i="69"/>
  <c r="U204" i="69" s="1"/>
  <c r="V204" i="69" s="1"/>
  <c r="W204" i="69" s="1"/>
  <c r="AK203" i="69"/>
  <c r="AG203" i="69"/>
  <c r="AD203" i="69"/>
  <c r="AE203" i="69" s="1"/>
  <c r="P203" i="69"/>
  <c r="U203" i="69" s="1"/>
  <c r="V203" i="69" s="1"/>
  <c r="W203" i="69" s="1"/>
  <c r="AK202" i="69"/>
  <c r="AG202" i="69"/>
  <c r="AD202" i="69"/>
  <c r="AE202" i="69" s="1"/>
  <c r="P202" i="69"/>
  <c r="U202" i="69" s="1"/>
  <c r="V202" i="69" s="1"/>
  <c r="W202" i="69" s="1"/>
  <c r="AK201" i="69"/>
  <c r="AG201" i="69"/>
  <c r="AD201" i="69"/>
  <c r="AE201" i="69" s="1"/>
  <c r="P201" i="69"/>
  <c r="U201" i="69" s="1"/>
  <c r="V201" i="69" s="1"/>
  <c r="W201" i="69" s="1"/>
  <c r="AK200" i="69"/>
  <c r="AG200" i="69"/>
  <c r="AD200" i="69"/>
  <c r="AE200" i="69" s="1"/>
  <c r="P200" i="69"/>
  <c r="U200" i="69" s="1"/>
  <c r="V200" i="69" s="1"/>
  <c r="W200" i="69" s="1"/>
  <c r="AK199" i="69"/>
  <c r="AG199" i="69"/>
  <c r="AD199" i="69"/>
  <c r="AE199" i="69" s="1"/>
  <c r="P199" i="69"/>
  <c r="U199" i="69" s="1"/>
  <c r="V199" i="69" s="1"/>
  <c r="W199" i="69" s="1"/>
  <c r="AK198" i="69"/>
  <c r="AG198" i="69"/>
  <c r="AD198" i="69"/>
  <c r="AE198" i="69" s="1"/>
  <c r="P198" i="69"/>
  <c r="U198" i="69" s="1"/>
  <c r="V198" i="69" s="1"/>
  <c r="W198" i="69" s="1"/>
  <c r="AK197" i="69"/>
  <c r="AG197" i="69"/>
  <c r="AD197" i="69"/>
  <c r="AE197" i="69" s="1"/>
  <c r="Y197" i="69"/>
  <c r="P197" i="69"/>
  <c r="U197" i="69" s="1"/>
  <c r="V197" i="69" s="1"/>
  <c r="W197" i="69" s="1"/>
  <c r="AK196" i="69"/>
  <c r="AG196" i="69"/>
  <c r="AD196" i="69"/>
  <c r="AE196" i="69" s="1"/>
  <c r="Y196" i="69"/>
  <c r="P196" i="69"/>
  <c r="U196" i="69" s="1"/>
  <c r="V196" i="69" s="1"/>
  <c r="W196" i="69" s="1"/>
  <c r="AK195" i="69"/>
  <c r="AG195" i="69"/>
  <c r="AD195" i="69"/>
  <c r="AE195" i="69" s="1"/>
  <c r="P195" i="69"/>
  <c r="U195" i="69" s="1"/>
  <c r="V195" i="69" s="1"/>
  <c r="W195" i="69" s="1"/>
  <c r="AK194" i="69"/>
  <c r="AG194" i="69"/>
  <c r="AD194" i="69"/>
  <c r="AE194" i="69" s="1"/>
  <c r="P194" i="69"/>
  <c r="U194" i="69" s="1"/>
  <c r="V194" i="69" s="1"/>
  <c r="W194" i="69" s="1"/>
  <c r="AK193" i="69"/>
  <c r="AG193" i="69"/>
  <c r="AD193" i="69"/>
  <c r="AE193" i="69" s="1"/>
  <c r="P193" i="69"/>
  <c r="U193" i="69" s="1"/>
  <c r="V193" i="69" s="1"/>
  <c r="W193" i="69" s="1"/>
  <c r="AK192" i="69"/>
  <c r="AG192" i="69"/>
  <c r="AD192" i="69"/>
  <c r="AE192" i="69" s="1"/>
  <c r="P192" i="69"/>
  <c r="U192" i="69" s="1"/>
  <c r="V192" i="69" s="1"/>
  <c r="W192" i="69" s="1"/>
  <c r="AK191" i="69"/>
  <c r="AG191" i="69"/>
  <c r="AD191" i="69"/>
  <c r="AE191" i="69" s="1"/>
  <c r="P191" i="69"/>
  <c r="U191" i="69" s="1"/>
  <c r="V191" i="69" s="1"/>
  <c r="W191" i="69" s="1"/>
  <c r="AK190" i="69"/>
  <c r="AG190" i="69"/>
  <c r="AD190" i="69"/>
  <c r="AE190" i="69" s="1"/>
  <c r="P190" i="69"/>
  <c r="U190" i="69" s="1"/>
  <c r="V190" i="69" s="1"/>
  <c r="W190" i="69" s="1"/>
  <c r="AK189" i="69"/>
  <c r="AG189" i="69"/>
  <c r="AD189" i="69"/>
  <c r="AE189" i="69" s="1"/>
  <c r="P189" i="69"/>
  <c r="U189" i="69" s="1"/>
  <c r="V189" i="69" s="1"/>
  <c r="W189" i="69" s="1"/>
  <c r="AK188" i="69"/>
  <c r="AG188" i="69"/>
  <c r="AD188" i="69"/>
  <c r="AE188" i="69" s="1"/>
  <c r="P188" i="69"/>
  <c r="U188" i="69" s="1"/>
  <c r="V188" i="69" s="1"/>
  <c r="W188" i="69" s="1"/>
  <c r="AK187" i="69"/>
  <c r="AG187" i="69"/>
  <c r="AD187" i="69"/>
  <c r="AE187" i="69" s="1"/>
  <c r="P187" i="69"/>
  <c r="U187" i="69" s="1"/>
  <c r="V187" i="69" s="1"/>
  <c r="W187" i="69" s="1"/>
  <c r="AK186" i="69"/>
  <c r="AG186" i="69"/>
  <c r="AD186" i="69"/>
  <c r="AE186" i="69" s="1"/>
  <c r="Y186" i="69"/>
  <c r="P186" i="69"/>
  <c r="U186" i="69" s="1"/>
  <c r="V186" i="69" s="1"/>
  <c r="W186" i="69" s="1"/>
  <c r="AK185" i="69"/>
  <c r="AG185" i="69"/>
  <c r="AD185" i="69"/>
  <c r="AE185" i="69" s="1"/>
  <c r="Y185" i="69"/>
  <c r="P185" i="69"/>
  <c r="U185" i="69" s="1"/>
  <c r="V185" i="69" s="1"/>
  <c r="W185" i="69" s="1"/>
  <c r="AK184" i="69"/>
  <c r="AG184" i="69"/>
  <c r="AD184" i="69"/>
  <c r="AE184" i="69" s="1"/>
  <c r="Y184" i="69"/>
  <c r="P184" i="69"/>
  <c r="U184" i="69" s="1"/>
  <c r="V184" i="69" s="1"/>
  <c r="W184" i="69" s="1"/>
  <c r="AK183" i="69"/>
  <c r="AG183" i="69"/>
  <c r="AD183" i="69"/>
  <c r="AE183" i="69" s="1"/>
  <c r="Y183" i="69"/>
  <c r="P183" i="69"/>
  <c r="U183" i="69" s="1"/>
  <c r="V183" i="69" s="1"/>
  <c r="W183" i="69" s="1"/>
  <c r="AK182" i="69"/>
  <c r="AG182" i="69"/>
  <c r="AD182" i="69"/>
  <c r="AE182" i="69" s="1"/>
  <c r="P182" i="69"/>
  <c r="U182" i="69" s="1"/>
  <c r="V182" i="69" s="1"/>
  <c r="W182" i="69" s="1"/>
  <c r="AK181" i="69"/>
  <c r="AG181" i="69"/>
  <c r="AD181" i="69"/>
  <c r="AE181" i="69" s="1"/>
  <c r="P181" i="69"/>
  <c r="U181" i="69" s="1"/>
  <c r="V181" i="69" s="1"/>
  <c r="W181" i="69" s="1"/>
  <c r="AK180" i="69"/>
  <c r="AG180" i="69"/>
  <c r="AD180" i="69"/>
  <c r="AE180" i="69" s="1"/>
  <c r="P180" i="69"/>
  <c r="U180" i="69" s="1"/>
  <c r="V180" i="69" s="1"/>
  <c r="W180" i="69" s="1"/>
  <c r="AK179" i="69"/>
  <c r="AG179" i="69"/>
  <c r="AD179" i="69"/>
  <c r="AE179" i="69" s="1"/>
  <c r="P179" i="69"/>
  <c r="U179" i="69" s="1"/>
  <c r="V179" i="69" s="1"/>
  <c r="W179" i="69" s="1"/>
  <c r="AK178" i="69"/>
  <c r="AG178" i="69"/>
  <c r="AD178" i="69"/>
  <c r="AE178" i="69" s="1"/>
  <c r="P178" i="69"/>
  <c r="U178" i="69" s="1"/>
  <c r="V178" i="69" s="1"/>
  <c r="W178" i="69" s="1"/>
  <c r="AK177" i="69"/>
  <c r="AG177" i="69"/>
  <c r="AD177" i="69"/>
  <c r="AE177" i="69" s="1"/>
  <c r="U177" i="69"/>
  <c r="V177" i="69" s="1"/>
  <c r="W177" i="69" s="1"/>
  <c r="AK176" i="69"/>
  <c r="AG176" i="69"/>
  <c r="AD176" i="69"/>
  <c r="AE176" i="69" s="1"/>
  <c r="P176" i="69"/>
  <c r="U176" i="69" s="1"/>
  <c r="V176" i="69" s="1"/>
  <c r="W176" i="69" s="1"/>
  <c r="AK175" i="69"/>
  <c r="AG175" i="69"/>
  <c r="AD175" i="69"/>
  <c r="AE175" i="69" s="1"/>
  <c r="P175" i="69"/>
  <c r="U175" i="69" s="1"/>
  <c r="V175" i="69" s="1"/>
  <c r="W175" i="69" s="1"/>
  <c r="AK174" i="69"/>
  <c r="AG174" i="69"/>
  <c r="AD174" i="69"/>
  <c r="AE174" i="69" s="1"/>
  <c r="P174" i="69"/>
  <c r="U174" i="69" s="1"/>
  <c r="V174" i="69" s="1"/>
  <c r="W174" i="69" s="1"/>
  <c r="AK173" i="69"/>
  <c r="AG173" i="69"/>
  <c r="AD173" i="69"/>
  <c r="AE173" i="69" s="1"/>
  <c r="P173" i="69"/>
  <c r="U173" i="69" s="1"/>
  <c r="V173" i="69" s="1"/>
  <c r="W173" i="69" s="1"/>
  <c r="AK172" i="69"/>
  <c r="AG172" i="69"/>
  <c r="AD172" i="69"/>
  <c r="AE172" i="69" s="1"/>
  <c r="P172" i="69"/>
  <c r="U172" i="69" s="1"/>
  <c r="V172" i="69" s="1"/>
  <c r="W172" i="69" s="1"/>
  <c r="AK171" i="69"/>
  <c r="AG171" i="69"/>
  <c r="AD171" i="69"/>
  <c r="AE171" i="69" s="1"/>
  <c r="P171" i="69"/>
  <c r="U171" i="69" s="1"/>
  <c r="V171" i="69" s="1"/>
  <c r="W171" i="69" s="1"/>
  <c r="AK170" i="69"/>
  <c r="AG170" i="69"/>
  <c r="AD170" i="69"/>
  <c r="AE170" i="69" s="1"/>
  <c r="P170" i="69"/>
  <c r="U170" i="69" s="1"/>
  <c r="V170" i="69" s="1"/>
  <c r="W170" i="69" s="1"/>
  <c r="AK169" i="69"/>
  <c r="AG169" i="69"/>
  <c r="AD169" i="69"/>
  <c r="AE169" i="69" s="1"/>
  <c r="P169" i="69"/>
  <c r="U169" i="69" s="1"/>
  <c r="V169" i="69" s="1"/>
  <c r="W169" i="69" s="1"/>
  <c r="AK168" i="69"/>
  <c r="AG168" i="69"/>
  <c r="AD168" i="69"/>
  <c r="AE168" i="69" s="1"/>
  <c r="P168" i="69"/>
  <c r="U168" i="69" s="1"/>
  <c r="V168" i="69" s="1"/>
  <c r="W168" i="69" s="1"/>
  <c r="AK167" i="69"/>
  <c r="AG167" i="69"/>
  <c r="AD167" i="69"/>
  <c r="AE167" i="69" s="1"/>
  <c r="P167" i="69"/>
  <c r="U167" i="69" s="1"/>
  <c r="V167" i="69" s="1"/>
  <c r="W167" i="69" s="1"/>
  <c r="AK166" i="69"/>
  <c r="AG166" i="69"/>
  <c r="AD166" i="69"/>
  <c r="AE166" i="69" s="1"/>
  <c r="P166" i="69"/>
  <c r="U166" i="69" s="1"/>
  <c r="V166" i="69" s="1"/>
  <c r="W166" i="69" s="1"/>
  <c r="AK165" i="69"/>
  <c r="AG165" i="69"/>
  <c r="AD165" i="69"/>
  <c r="AE165" i="69" s="1"/>
  <c r="P165" i="69"/>
  <c r="U165" i="69" s="1"/>
  <c r="V165" i="69" s="1"/>
  <c r="W165" i="69" s="1"/>
  <c r="AK164" i="69"/>
  <c r="AG164" i="69"/>
  <c r="AD164" i="69"/>
  <c r="AE164" i="69" s="1"/>
  <c r="P164" i="69"/>
  <c r="U164" i="69" s="1"/>
  <c r="V164" i="69" s="1"/>
  <c r="W164" i="69" s="1"/>
  <c r="AK163" i="69"/>
  <c r="AG163" i="69"/>
  <c r="AD163" i="69"/>
  <c r="AE163" i="69" s="1"/>
  <c r="P163" i="69"/>
  <c r="U163" i="69" s="1"/>
  <c r="V163" i="69" s="1"/>
  <c r="W163" i="69" s="1"/>
  <c r="AK162" i="69"/>
  <c r="AG162" i="69"/>
  <c r="AD162" i="69"/>
  <c r="AE162" i="69" s="1"/>
  <c r="P162" i="69"/>
  <c r="U162" i="69" s="1"/>
  <c r="V162" i="69" s="1"/>
  <c r="W162" i="69" s="1"/>
  <c r="AK161" i="69"/>
  <c r="AG161" i="69"/>
  <c r="AD161" i="69"/>
  <c r="AE161" i="69" s="1"/>
  <c r="P161" i="69"/>
  <c r="U161" i="69" s="1"/>
  <c r="V161" i="69" s="1"/>
  <c r="W161" i="69" s="1"/>
  <c r="AK160" i="69"/>
  <c r="AG160" i="69"/>
  <c r="AD160" i="69"/>
  <c r="AE160" i="69" s="1"/>
  <c r="P160" i="69"/>
  <c r="U160" i="69" s="1"/>
  <c r="V160" i="69" s="1"/>
  <c r="W160" i="69" s="1"/>
  <c r="AK159" i="69"/>
  <c r="AG159" i="69"/>
  <c r="AD159" i="69"/>
  <c r="AE159" i="69" s="1"/>
  <c r="P159" i="69"/>
  <c r="U159" i="69" s="1"/>
  <c r="V159" i="69" s="1"/>
  <c r="W159" i="69" s="1"/>
  <c r="AK158" i="69"/>
  <c r="AG158" i="69"/>
  <c r="AD158" i="69"/>
  <c r="AE158" i="69" s="1"/>
  <c r="P158" i="69"/>
  <c r="U158" i="69" s="1"/>
  <c r="V158" i="69" s="1"/>
  <c r="W158" i="69" s="1"/>
  <c r="AK157" i="69"/>
  <c r="AG157" i="69"/>
  <c r="AD157" i="69"/>
  <c r="AE157" i="69" s="1"/>
  <c r="P157" i="69"/>
  <c r="U157" i="69" s="1"/>
  <c r="V157" i="69" s="1"/>
  <c r="W157" i="69" s="1"/>
  <c r="AK156" i="69"/>
  <c r="AG156" i="69"/>
  <c r="AD156" i="69"/>
  <c r="AE156" i="69" s="1"/>
  <c r="P156" i="69"/>
  <c r="U156" i="69" s="1"/>
  <c r="V156" i="69" s="1"/>
  <c r="W156" i="69" s="1"/>
  <c r="AK155" i="69"/>
  <c r="AG155" i="69"/>
  <c r="AD155" i="69"/>
  <c r="AE155" i="69" s="1"/>
  <c r="P155" i="69"/>
  <c r="U155" i="69" s="1"/>
  <c r="V155" i="69" s="1"/>
  <c r="W155" i="69" s="1"/>
  <c r="AK154" i="69"/>
  <c r="AG154" i="69"/>
  <c r="AD154" i="69"/>
  <c r="AE154" i="69" s="1"/>
  <c r="P154" i="69"/>
  <c r="U154" i="69" s="1"/>
  <c r="V154" i="69" s="1"/>
  <c r="W154" i="69" s="1"/>
  <c r="AK153" i="69"/>
  <c r="AG153" i="69"/>
  <c r="AD153" i="69"/>
  <c r="AE153" i="69" s="1"/>
  <c r="P153" i="69"/>
  <c r="U153" i="69" s="1"/>
  <c r="V153" i="69" s="1"/>
  <c r="W153" i="69" s="1"/>
  <c r="AK152" i="69"/>
  <c r="AG152" i="69"/>
  <c r="AD152" i="69"/>
  <c r="AE152" i="69" s="1"/>
  <c r="P152" i="69"/>
  <c r="U152" i="69" s="1"/>
  <c r="V152" i="69" s="1"/>
  <c r="W152" i="69" s="1"/>
  <c r="AK151" i="69"/>
  <c r="AG151" i="69"/>
  <c r="AD151" i="69"/>
  <c r="AE151" i="69" s="1"/>
  <c r="P151" i="69"/>
  <c r="U151" i="69" s="1"/>
  <c r="V151" i="69" s="1"/>
  <c r="W151" i="69" s="1"/>
  <c r="AK150" i="69"/>
  <c r="AG150" i="69"/>
  <c r="AD150" i="69"/>
  <c r="AE150" i="69" s="1"/>
  <c r="P150" i="69"/>
  <c r="U150" i="69" s="1"/>
  <c r="V150" i="69" s="1"/>
  <c r="W150" i="69" s="1"/>
  <c r="AK149" i="69"/>
  <c r="AG149" i="69"/>
  <c r="AD149" i="69"/>
  <c r="AE149" i="69" s="1"/>
  <c r="P149" i="69"/>
  <c r="U149" i="69" s="1"/>
  <c r="V149" i="69" s="1"/>
  <c r="W149" i="69" s="1"/>
  <c r="AK148" i="69"/>
  <c r="AG148" i="69"/>
  <c r="AD148" i="69"/>
  <c r="AE148" i="69" s="1"/>
  <c r="P148" i="69"/>
  <c r="U148" i="69" s="1"/>
  <c r="V148" i="69" s="1"/>
  <c r="W148" i="69" s="1"/>
  <c r="AK147" i="69"/>
  <c r="AG147" i="69"/>
  <c r="AD147" i="69"/>
  <c r="AE147" i="69" s="1"/>
  <c r="P147" i="69"/>
  <c r="U147" i="69" s="1"/>
  <c r="V147" i="69" s="1"/>
  <c r="W147" i="69" s="1"/>
  <c r="AK146" i="69"/>
  <c r="AG146" i="69"/>
  <c r="AD146" i="69"/>
  <c r="AE146" i="69" s="1"/>
  <c r="P146" i="69"/>
  <c r="U146" i="69" s="1"/>
  <c r="V146" i="69" s="1"/>
  <c r="W146" i="69" s="1"/>
  <c r="AK145" i="69"/>
  <c r="AG145" i="69"/>
  <c r="AD145" i="69"/>
  <c r="AE145" i="69" s="1"/>
  <c r="P145" i="69"/>
  <c r="U145" i="69" s="1"/>
  <c r="V145" i="69" s="1"/>
  <c r="W145" i="69" s="1"/>
  <c r="AK144" i="69"/>
  <c r="AG144" i="69"/>
  <c r="AD144" i="69"/>
  <c r="AE144" i="69" s="1"/>
  <c r="P144" i="69"/>
  <c r="U144" i="69" s="1"/>
  <c r="V144" i="69" s="1"/>
  <c r="W144" i="69" s="1"/>
  <c r="AK143" i="69"/>
  <c r="AG143" i="69"/>
  <c r="AD143" i="69"/>
  <c r="AE143" i="69" s="1"/>
  <c r="P143" i="69"/>
  <c r="U143" i="69" s="1"/>
  <c r="V143" i="69" s="1"/>
  <c r="W143" i="69" s="1"/>
  <c r="AK142" i="69"/>
  <c r="AG142" i="69"/>
  <c r="AD142" i="69"/>
  <c r="AE142" i="69" s="1"/>
  <c r="P142" i="69"/>
  <c r="U142" i="69" s="1"/>
  <c r="V142" i="69" s="1"/>
  <c r="W142" i="69" s="1"/>
  <c r="AK141" i="69"/>
  <c r="AG141" i="69"/>
  <c r="AD141" i="69"/>
  <c r="AE141" i="69" s="1"/>
  <c r="P141" i="69"/>
  <c r="U141" i="69" s="1"/>
  <c r="V141" i="69" s="1"/>
  <c r="W141" i="69" s="1"/>
  <c r="AK140" i="69"/>
  <c r="AG140" i="69"/>
  <c r="AD140" i="69"/>
  <c r="AE140" i="69" s="1"/>
  <c r="P140" i="69"/>
  <c r="U140" i="69" s="1"/>
  <c r="V140" i="69" s="1"/>
  <c r="W140" i="69" s="1"/>
  <c r="AK139" i="69"/>
  <c r="AG139" i="69"/>
  <c r="AD139" i="69"/>
  <c r="AE139" i="69" s="1"/>
  <c r="P139" i="69"/>
  <c r="U139" i="69" s="1"/>
  <c r="V139" i="69" s="1"/>
  <c r="W139" i="69" s="1"/>
  <c r="AK138" i="69"/>
  <c r="AG138" i="69"/>
  <c r="AD138" i="69"/>
  <c r="AE138" i="69" s="1"/>
  <c r="P138" i="69"/>
  <c r="U138" i="69" s="1"/>
  <c r="V138" i="69" s="1"/>
  <c r="W138" i="69" s="1"/>
  <c r="AK137" i="69"/>
  <c r="AG137" i="69"/>
  <c r="AD137" i="69"/>
  <c r="AE137" i="69" s="1"/>
  <c r="Y137" i="69"/>
  <c r="P137" i="69"/>
  <c r="U137" i="69" s="1"/>
  <c r="V137" i="69" s="1"/>
  <c r="W137" i="69" s="1"/>
  <c r="AK136" i="69"/>
  <c r="AG136" i="69"/>
  <c r="AD136" i="69"/>
  <c r="AE136" i="69" s="1"/>
  <c r="Y136" i="69"/>
  <c r="P136" i="69"/>
  <c r="U136" i="69" s="1"/>
  <c r="V136" i="69" s="1"/>
  <c r="W136" i="69" s="1"/>
  <c r="AK135" i="69"/>
  <c r="AG135" i="69"/>
  <c r="AD135" i="69"/>
  <c r="AE135" i="69" s="1"/>
  <c r="Y135" i="69"/>
  <c r="P135" i="69"/>
  <c r="U135" i="69" s="1"/>
  <c r="V135" i="69" s="1"/>
  <c r="W135" i="69" s="1"/>
  <c r="AK134" i="69"/>
  <c r="AG134" i="69"/>
  <c r="AD134" i="69"/>
  <c r="AE134" i="69" s="1"/>
  <c r="Y134" i="69"/>
  <c r="P134" i="69"/>
  <c r="U134" i="69" s="1"/>
  <c r="V134" i="69" s="1"/>
  <c r="W134" i="69" s="1"/>
  <c r="AK133" i="69"/>
  <c r="AG133" i="69"/>
  <c r="AD133" i="69"/>
  <c r="AE133" i="69" s="1"/>
  <c r="Y133" i="69"/>
  <c r="P133" i="69"/>
  <c r="U133" i="69" s="1"/>
  <c r="V133" i="69" s="1"/>
  <c r="W133" i="69" s="1"/>
  <c r="AK132" i="69"/>
  <c r="AG132" i="69"/>
  <c r="AD132" i="69"/>
  <c r="AE132" i="69" s="1"/>
  <c r="Y132" i="69"/>
  <c r="P132" i="69"/>
  <c r="U132" i="69" s="1"/>
  <c r="V132" i="69" s="1"/>
  <c r="W132" i="69" s="1"/>
  <c r="AK131" i="69"/>
  <c r="AG131" i="69"/>
  <c r="AD131" i="69"/>
  <c r="AE131" i="69" s="1"/>
  <c r="Y131" i="69"/>
  <c r="P131" i="69"/>
  <c r="U131" i="69" s="1"/>
  <c r="V131" i="69" s="1"/>
  <c r="W131" i="69" s="1"/>
  <c r="AK130" i="69"/>
  <c r="AG130" i="69"/>
  <c r="AD130" i="69"/>
  <c r="AE130" i="69" s="1"/>
  <c r="Y130" i="69"/>
  <c r="P130" i="69"/>
  <c r="U130" i="69" s="1"/>
  <c r="V130" i="69" s="1"/>
  <c r="W130" i="69" s="1"/>
  <c r="AK129" i="69"/>
  <c r="AG129" i="69"/>
  <c r="AD129" i="69"/>
  <c r="AE129" i="69" s="1"/>
  <c r="Y129" i="69"/>
  <c r="P129" i="69"/>
  <c r="U129" i="69" s="1"/>
  <c r="V129" i="69" s="1"/>
  <c r="W129" i="69" s="1"/>
  <c r="AK128" i="69"/>
  <c r="AG128" i="69"/>
  <c r="AD128" i="69"/>
  <c r="AE128" i="69" s="1"/>
  <c r="U128" i="69"/>
  <c r="V128" i="69" s="1"/>
  <c r="W128" i="69" s="1"/>
  <c r="AK127" i="69"/>
  <c r="AG127" i="69"/>
  <c r="AD127" i="69"/>
  <c r="AE127" i="69" s="1"/>
  <c r="U127" i="69"/>
  <c r="V127" i="69" s="1"/>
  <c r="W127" i="69" s="1"/>
  <c r="AK126" i="69"/>
  <c r="AG126" i="69"/>
  <c r="AD126" i="69"/>
  <c r="AE126" i="69" s="1"/>
  <c r="U126" i="69"/>
  <c r="V126" i="69" s="1"/>
  <c r="W126" i="69" s="1"/>
  <c r="AK125" i="69"/>
  <c r="AG125" i="69"/>
  <c r="AD125" i="69"/>
  <c r="AE125" i="69" s="1"/>
  <c r="U125" i="69"/>
  <c r="V125" i="69" s="1"/>
  <c r="W125" i="69" s="1"/>
  <c r="AK124" i="69"/>
  <c r="AG124" i="69"/>
  <c r="AD124" i="69"/>
  <c r="AE124" i="69" s="1"/>
  <c r="U124" i="69"/>
  <c r="V124" i="69" s="1"/>
  <c r="W124" i="69" s="1"/>
  <c r="AK123" i="69"/>
  <c r="AG123" i="69"/>
  <c r="AD123" i="69"/>
  <c r="AE123" i="69" s="1"/>
  <c r="P123" i="69"/>
  <c r="U123" i="69" s="1"/>
  <c r="V123" i="69" s="1"/>
  <c r="W123" i="69" s="1"/>
  <c r="AK122" i="69"/>
  <c r="AG122" i="69"/>
  <c r="AD122" i="69"/>
  <c r="AE122" i="69" s="1"/>
  <c r="P122" i="69"/>
  <c r="U122" i="69" s="1"/>
  <c r="V122" i="69" s="1"/>
  <c r="W122" i="69" s="1"/>
  <c r="AK121" i="69"/>
  <c r="AG121" i="69"/>
  <c r="AD121" i="69"/>
  <c r="AE121" i="69" s="1"/>
  <c r="P121" i="69"/>
  <c r="U121" i="69" s="1"/>
  <c r="V121" i="69" s="1"/>
  <c r="W121" i="69" s="1"/>
  <c r="AK120" i="69"/>
  <c r="AG120" i="69"/>
  <c r="AD120" i="69"/>
  <c r="AE120" i="69" s="1"/>
  <c r="P120" i="69"/>
  <c r="U120" i="69" s="1"/>
  <c r="V120" i="69" s="1"/>
  <c r="W120" i="69" s="1"/>
  <c r="AK119" i="69"/>
  <c r="AG119" i="69"/>
  <c r="AD119" i="69"/>
  <c r="AE119" i="69" s="1"/>
  <c r="U119" i="69"/>
  <c r="V119" i="69" s="1"/>
  <c r="W119" i="69" s="1"/>
  <c r="AK118" i="69"/>
  <c r="AG118" i="69"/>
  <c r="AD118" i="69"/>
  <c r="AE118" i="69" s="1"/>
  <c r="P118" i="69"/>
  <c r="U118" i="69" s="1"/>
  <c r="V118" i="69" s="1"/>
  <c r="W118" i="69" s="1"/>
  <c r="AK117" i="69"/>
  <c r="AG117" i="69"/>
  <c r="AD117" i="69"/>
  <c r="AE117" i="69" s="1"/>
  <c r="P117" i="69"/>
  <c r="U117" i="69" s="1"/>
  <c r="V117" i="69" s="1"/>
  <c r="W117" i="69" s="1"/>
  <c r="AK116" i="69"/>
  <c r="AG116" i="69"/>
  <c r="AD116" i="69"/>
  <c r="AE116" i="69" s="1"/>
  <c r="P116" i="69"/>
  <c r="U116" i="69" s="1"/>
  <c r="V116" i="69" s="1"/>
  <c r="W116" i="69" s="1"/>
  <c r="AK115" i="69"/>
  <c r="AG115" i="69"/>
  <c r="AD115" i="69"/>
  <c r="AE115" i="69" s="1"/>
  <c r="P115" i="69"/>
  <c r="U115" i="69" s="1"/>
  <c r="V115" i="69" s="1"/>
  <c r="W115" i="69" s="1"/>
  <c r="AK114" i="69"/>
  <c r="AG114" i="69"/>
  <c r="AD114" i="69"/>
  <c r="AE114" i="69" s="1"/>
  <c r="P114" i="69"/>
  <c r="U114" i="69" s="1"/>
  <c r="V114" i="69" s="1"/>
  <c r="W114" i="69" s="1"/>
  <c r="AK113" i="69"/>
  <c r="AG113" i="69"/>
  <c r="AD113" i="69"/>
  <c r="AE113" i="69" s="1"/>
  <c r="P113" i="69"/>
  <c r="U113" i="69" s="1"/>
  <c r="V113" i="69" s="1"/>
  <c r="W113" i="69" s="1"/>
  <c r="AK112" i="69"/>
  <c r="AG112" i="69"/>
  <c r="AD112" i="69"/>
  <c r="AE112" i="69" s="1"/>
  <c r="P112" i="69"/>
  <c r="U112" i="69" s="1"/>
  <c r="V112" i="69" s="1"/>
  <c r="W112" i="69" s="1"/>
  <c r="AK111" i="69"/>
  <c r="AG111" i="69"/>
  <c r="AD111" i="69"/>
  <c r="AE111" i="69" s="1"/>
  <c r="P111" i="69"/>
  <c r="U111" i="69" s="1"/>
  <c r="V111" i="69" s="1"/>
  <c r="W111" i="69" s="1"/>
  <c r="AK110" i="69"/>
  <c r="AG110" i="69"/>
  <c r="AD110" i="69"/>
  <c r="AE110" i="69" s="1"/>
  <c r="P110" i="69"/>
  <c r="U110" i="69" s="1"/>
  <c r="V110" i="69" s="1"/>
  <c r="W110" i="69" s="1"/>
  <c r="AK109" i="69"/>
  <c r="AG109" i="69"/>
  <c r="AD109" i="69"/>
  <c r="AE109" i="69" s="1"/>
  <c r="P109" i="69"/>
  <c r="U109" i="69" s="1"/>
  <c r="V109" i="69" s="1"/>
  <c r="W109" i="69" s="1"/>
  <c r="AK108" i="69"/>
  <c r="AG108" i="69"/>
  <c r="AD108" i="69"/>
  <c r="AE108" i="69" s="1"/>
  <c r="P108" i="69"/>
  <c r="U108" i="69" s="1"/>
  <c r="V108" i="69" s="1"/>
  <c r="W108" i="69" s="1"/>
  <c r="AK107" i="69"/>
  <c r="AG107" i="69"/>
  <c r="AD107" i="69"/>
  <c r="AE107" i="69" s="1"/>
  <c r="P107" i="69"/>
  <c r="U107" i="69" s="1"/>
  <c r="V107" i="69" s="1"/>
  <c r="W107" i="69" s="1"/>
  <c r="AK106" i="69"/>
  <c r="AG106" i="69"/>
  <c r="AD106" i="69"/>
  <c r="AE106" i="69" s="1"/>
  <c r="P106" i="69"/>
  <c r="U106" i="69" s="1"/>
  <c r="V106" i="69" s="1"/>
  <c r="W106" i="69" s="1"/>
  <c r="AK105" i="69"/>
  <c r="AG105" i="69"/>
  <c r="AD105" i="69"/>
  <c r="AE105" i="69" s="1"/>
  <c r="P105" i="69"/>
  <c r="U105" i="69" s="1"/>
  <c r="V105" i="69" s="1"/>
  <c r="W105" i="69" s="1"/>
  <c r="AK104" i="69"/>
  <c r="AG104" i="69"/>
  <c r="AD104" i="69"/>
  <c r="AE104" i="69" s="1"/>
  <c r="P104" i="69"/>
  <c r="U104" i="69" s="1"/>
  <c r="V104" i="69" s="1"/>
  <c r="W104" i="69" s="1"/>
  <c r="AK103" i="69"/>
  <c r="AG103" i="69"/>
  <c r="AD103" i="69"/>
  <c r="AE103" i="69" s="1"/>
  <c r="P103" i="69"/>
  <c r="U103" i="69" s="1"/>
  <c r="V103" i="69" s="1"/>
  <c r="W103" i="69" s="1"/>
  <c r="AK102" i="69"/>
  <c r="AG102" i="69"/>
  <c r="AD102" i="69"/>
  <c r="AE102" i="69" s="1"/>
  <c r="P102" i="69"/>
  <c r="U102" i="69" s="1"/>
  <c r="V102" i="69" s="1"/>
  <c r="W102" i="69" s="1"/>
  <c r="AK101" i="69"/>
  <c r="AG101" i="69"/>
  <c r="AD101" i="69"/>
  <c r="AE101" i="69" s="1"/>
  <c r="U101" i="69"/>
  <c r="V101" i="69" s="1"/>
  <c r="W101" i="69" s="1"/>
  <c r="AK100" i="69"/>
  <c r="AG100" i="69"/>
  <c r="AD100" i="69"/>
  <c r="AE100" i="69" s="1"/>
  <c r="P100" i="69"/>
  <c r="U100" i="69" s="1"/>
  <c r="V100" i="69" s="1"/>
  <c r="W100" i="69" s="1"/>
  <c r="AK99" i="69"/>
  <c r="AG99" i="69"/>
  <c r="AD99" i="69"/>
  <c r="AE99" i="69" s="1"/>
  <c r="P99" i="69"/>
  <c r="U99" i="69" s="1"/>
  <c r="V99" i="69" s="1"/>
  <c r="W99" i="69" s="1"/>
  <c r="AK98" i="69"/>
  <c r="AG98" i="69"/>
  <c r="AD98" i="69"/>
  <c r="AE98" i="69" s="1"/>
  <c r="P98" i="69"/>
  <c r="U98" i="69" s="1"/>
  <c r="V98" i="69" s="1"/>
  <c r="W98" i="69" s="1"/>
  <c r="AK97" i="69"/>
  <c r="AG97" i="69"/>
  <c r="AD97" i="69"/>
  <c r="AE97" i="69" s="1"/>
  <c r="P97" i="69"/>
  <c r="U97" i="69" s="1"/>
  <c r="V97" i="69" s="1"/>
  <c r="W97" i="69" s="1"/>
  <c r="AK96" i="69"/>
  <c r="AG96" i="69"/>
  <c r="AD96" i="69"/>
  <c r="AE96" i="69" s="1"/>
  <c r="P96" i="69"/>
  <c r="U96" i="69" s="1"/>
  <c r="V96" i="69" s="1"/>
  <c r="W96" i="69" s="1"/>
  <c r="AK95" i="69"/>
  <c r="AG95" i="69"/>
  <c r="AD95" i="69"/>
  <c r="AE95" i="69" s="1"/>
  <c r="P95" i="69"/>
  <c r="U95" i="69" s="1"/>
  <c r="V95" i="69" s="1"/>
  <c r="W95" i="69" s="1"/>
  <c r="AK94" i="69"/>
  <c r="AG94" i="69"/>
  <c r="AD94" i="69"/>
  <c r="AE94" i="69" s="1"/>
  <c r="P94" i="69"/>
  <c r="U94" i="69" s="1"/>
  <c r="V94" i="69" s="1"/>
  <c r="W94" i="69" s="1"/>
  <c r="AK93" i="69"/>
  <c r="AG93" i="69"/>
  <c r="AD93" i="69"/>
  <c r="AE93" i="69" s="1"/>
  <c r="P93" i="69"/>
  <c r="U93" i="69" s="1"/>
  <c r="V93" i="69" s="1"/>
  <c r="W93" i="69" s="1"/>
  <c r="AK92" i="69"/>
  <c r="AG92" i="69"/>
  <c r="AD92" i="69"/>
  <c r="AE92" i="69" s="1"/>
  <c r="P92" i="69"/>
  <c r="U92" i="69" s="1"/>
  <c r="V92" i="69" s="1"/>
  <c r="W92" i="69" s="1"/>
  <c r="AK91" i="69"/>
  <c r="AG91" i="69"/>
  <c r="AD91" i="69"/>
  <c r="AE91" i="69" s="1"/>
  <c r="P91" i="69"/>
  <c r="U91" i="69" s="1"/>
  <c r="V91" i="69" s="1"/>
  <c r="W91" i="69" s="1"/>
  <c r="AK90" i="69"/>
  <c r="AG90" i="69"/>
  <c r="AD90" i="69"/>
  <c r="AE90" i="69" s="1"/>
  <c r="P90" i="69"/>
  <c r="U90" i="69" s="1"/>
  <c r="V90" i="69" s="1"/>
  <c r="W90" i="69" s="1"/>
  <c r="AK89" i="69"/>
  <c r="AG89" i="69"/>
  <c r="AD89" i="69"/>
  <c r="AE89" i="69" s="1"/>
  <c r="P89" i="69"/>
  <c r="U89" i="69" s="1"/>
  <c r="V89" i="69" s="1"/>
  <c r="W89" i="69" s="1"/>
  <c r="AK88" i="69"/>
  <c r="AG88" i="69"/>
  <c r="AD88" i="69"/>
  <c r="AE88" i="69" s="1"/>
  <c r="P88" i="69"/>
  <c r="U88" i="69" s="1"/>
  <c r="V88" i="69" s="1"/>
  <c r="W88" i="69" s="1"/>
  <c r="AK87" i="69"/>
  <c r="AG87" i="69"/>
  <c r="AD87" i="69"/>
  <c r="AE87" i="69" s="1"/>
  <c r="P87" i="69"/>
  <c r="U87" i="69" s="1"/>
  <c r="V87" i="69" s="1"/>
  <c r="W87" i="69" s="1"/>
  <c r="AK86" i="69"/>
  <c r="AG86" i="69"/>
  <c r="AD86" i="69"/>
  <c r="AE86" i="69" s="1"/>
  <c r="P86" i="69"/>
  <c r="U86" i="69" s="1"/>
  <c r="V86" i="69" s="1"/>
  <c r="W86" i="69" s="1"/>
  <c r="AK85" i="69"/>
  <c r="AG85" i="69"/>
  <c r="AD85" i="69"/>
  <c r="AE85" i="69" s="1"/>
  <c r="P85" i="69"/>
  <c r="U85" i="69" s="1"/>
  <c r="V85" i="69" s="1"/>
  <c r="W85" i="69" s="1"/>
  <c r="AK84" i="69"/>
  <c r="AG84" i="69"/>
  <c r="AD84" i="69"/>
  <c r="AE84" i="69" s="1"/>
  <c r="P84" i="69"/>
  <c r="U84" i="69" s="1"/>
  <c r="V84" i="69" s="1"/>
  <c r="W84" i="69" s="1"/>
  <c r="AK83" i="69"/>
  <c r="AG83" i="69"/>
  <c r="AD83" i="69"/>
  <c r="AE83" i="69" s="1"/>
  <c r="P83" i="69"/>
  <c r="U83" i="69" s="1"/>
  <c r="V83" i="69" s="1"/>
  <c r="W83" i="69" s="1"/>
  <c r="AK82" i="69"/>
  <c r="AG82" i="69"/>
  <c r="AD82" i="69"/>
  <c r="AE82" i="69" s="1"/>
  <c r="P82" i="69"/>
  <c r="U82" i="69" s="1"/>
  <c r="V82" i="69" s="1"/>
  <c r="W82" i="69" s="1"/>
  <c r="AK81" i="69"/>
  <c r="AG81" i="69"/>
  <c r="AD81" i="69"/>
  <c r="AE81" i="69" s="1"/>
  <c r="P81" i="69"/>
  <c r="U81" i="69" s="1"/>
  <c r="V81" i="69" s="1"/>
  <c r="W81" i="69" s="1"/>
  <c r="AK80" i="69"/>
  <c r="AG80" i="69"/>
  <c r="AD80" i="69"/>
  <c r="AE80" i="69" s="1"/>
  <c r="P80" i="69"/>
  <c r="U80" i="69" s="1"/>
  <c r="V80" i="69" s="1"/>
  <c r="W80" i="69" s="1"/>
  <c r="AK79" i="69"/>
  <c r="AG79" i="69"/>
  <c r="AD79" i="69"/>
  <c r="AE79" i="69" s="1"/>
  <c r="P79" i="69"/>
  <c r="U79" i="69" s="1"/>
  <c r="V79" i="69" s="1"/>
  <c r="W79" i="69" s="1"/>
  <c r="AK78" i="69"/>
  <c r="AG78" i="69"/>
  <c r="AD78" i="69"/>
  <c r="AE78" i="69" s="1"/>
  <c r="P78" i="69"/>
  <c r="U78" i="69" s="1"/>
  <c r="V78" i="69" s="1"/>
  <c r="W78" i="69" s="1"/>
  <c r="AK77" i="69"/>
  <c r="AG77" i="69"/>
  <c r="AD77" i="69"/>
  <c r="AE77" i="69" s="1"/>
  <c r="P77" i="69"/>
  <c r="U77" i="69" s="1"/>
  <c r="V77" i="69" s="1"/>
  <c r="W77" i="69" s="1"/>
  <c r="AK76" i="69"/>
  <c r="AG76" i="69"/>
  <c r="AD76" i="69"/>
  <c r="AE76" i="69" s="1"/>
  <c r="P76" i="69"/>
  <c r="U76" i="69" s="1"/>
  <c r="V76" i="69" s="1"/>
  <c r="W76" i="69" s="1"/>
  <c r="AK75" i="69"/>
  <c r="AG75" i="69"/>
  <c r="AD75" i="69"/>
  <c r="AE75" i="69" s="1"/>
  <c r="P75" i="69"/>
  <c r="U75" i="69" s="1"/>
  <c r="V75" i="69" s="1"/>
  <c r="W75" i="69" s="1"/>
  <c r="AK74" i="69"/>
  <c r="AG74" i="69"/>
  <c r="AD74" i="69"/>
  <c r="AE74" i="69" s="1"/>
  <c r="P74" i="69"/>
  <c r="U74" i="69" s="1"/>
  <c r="V74" i="69" s="1"/>
  <c r="W74" i="69" s="1"/>
  <c r="AK73" i="69"/>
  <c r="AG73" i="69"/>
  <c r="AD73" i="69"/>
  <c r="AE73" i="69" s="1"/>
  <c r="P73" i="69"/>
  <c r="U73" i="69" s="1"/>
  <c r="V73" i="69" s="1"/>
  <c r="W73" i="69" s="1"/>
  <c r="AK72" i="69"/>
  <c r="AG72" i="69"/>
  <c r="AD72" i="69"/>
  <c r="AE72" i="69" s="1"/>
  <c r="P72" i="69"/>
  <c r="U72" i="69" s="1"/>
  <c r="V72" i="69" s="1"/>
  <c r="W72" i="69" s="1"/>
  <c r="AK71" i="69"/>
  <c r="AG71" i="69"/>
  <c r="AD71" i="69"/>
  <c r="AE71" i="69" s="1"/>
  <c r="P71" i="69"/>
  <c r="U71" i="69" s="1"/>
  <c r="V71" i="69" s="1"/>
  <c r="W71" i="69" s="1"/>
  <c r="AK70" i="69"/>
  <c r="AG70" i="69"/>
  <c r="AD70" i="69"/>
  <c r="AE70" i="69" s="1"/>
  <c r="P70" i="69"/>
  <c r="U70" i="69" s="1"/>
  <c r="V70" i="69" s="1"/>
  <c r="W70" i="69" s="1"/>
  <c r="AK69" i="69"/>
  <c r="AG69" i="69"/>
  <c r="AD69" i="69"/>
  <c r="AE69" i="69" s="1"/>
  <c r="P69" i="69"/>
  <c r="U69" i="69" s="1"/>
  <c r="V69" i="69" s="1"/>
  <c r="W69" i="69" s="1"/>
  <c r="AK68" i="69"/>
  <c r="AG68" i="69"/>
  <c r="AD68" i="69"/>
  <c r="AE68" i="69" s="1"/>
  <c r="P68" i="69"/>
  <c r="U68" i="69" s="1"/>
  <c r="V68" i="69" s="1"/>
  <c r="W68" i="69" s="1"/>
  <c r="AK67" i="69"/>
  <c r="AG67" i="69"/>
  <c r="AD67" i="69"/>
  <c r="AE67" i="69" s="1"/>
  <c r="P67" i="69"/>
  <c r="U67" i="69" s="1"/>
  <c r="V67" i="69" s="1"/>
  <c r="W67" i="69" s="1"/>
  <c r="AK66" i="69"/>
  <c r="AG66" i="69"/>
  <c r="AD66" i="69"/>
  <c r="AE66" i="69" s="1"/>
  <c r="P66" i="69"/>
  <c r="U66" i="69" s="1"/>
  <c r="V66" i="69" s="1"/>
  <c r="W66" i="69" s="1"/>
  <c r="AK65" i="69"/>
  <c r="AG65" i="69"/>
  <c r="AD65" i="69"/>
  <c r="AE65" i="69" s="1"/>
  <c r="P65" i="69"/>
  <c r="U65" i="69" s="1"/>
  <c r="V65" i="69" s="1"/>
  <c r="W65" i="69" s="1"/>
  <c r="AK64" i="69"/>
  <c r="AG64" i="69"/>
  <c r="AD64" i="69"/>
  <c r="AE64" i="69" s="1"/>
  <c r="P64" i="69"/>
  <c r="U64" i="69" s="1"/>
  <c r="V64" i="69" s="1"/>
  <c r="W64" i="69" s="1"/>
  <c r="AK63" i="69"/>
  <c r="AG63" i="69"/>
  <c r="AD63" i="69"/>
  <c r="AE63" i="69" s="1"/>
  <c r="P63" i="69"/>
  <c r="U63" i="69" s="1"/>
  <c r="V63" i="69" s="1"/>
  <c r="W63" i="69" s="1"/>
  <c r="AK62" i="69"/>
  <c r="AG62" i="69"/>
  <c r="AD62" i="69"/>
  <c r="AE62" i="69" s="1"/>
  <c r="P62" i="69"/>
  <c r="U62" i="69" s="1"/>
  <c r="V62" i="69" s="1"/>
  <c r="W62" i="69" s="1"/>
  <c r="AK61" i="69"/>
  <c r="AG61" i="69"/>
  <c r="AD61" i="69"/>
  <c r="AE61" i="69" s="1"/>
  <c r="P61" i="69"/>
  <c r="U61" i="69" s="1"/>
  <c r="V61" i="69" s="1"/>
  <c r="W61" i="69" s="1"/>
  <c r="AK60" i="69"/>
  <c r="AG60" i="69"/>
  <c r="AD60" i="69"/>
  <c r="AE60" i="69" s="1"/>
  <c r="P60" i="69"/>
  <c r="U60" i="69" s="1"/>
  <c r="V60" i="69" s="1"/>
  <c r="W60" i="69" s="1"/>
  <c r="AK59" i="69"/>
  <c r="AG59" i="69"/>
  <c r="AD59" i="69"/>
  <c r="AE59" i="69" s="1"/>
  <c r="P59" i="69"/>
  <c r="U59" i="69" s="1"/>
  <c r="V59" i="69" s="1"/>
  <c r="W59" i="69" s="1"/>
  <c r="AK58" i="69"/>
  <c r="AG58" i="69"/>
  <c r="AD58" i="69"/>
  <c r="AE58" i="69" s="1"/>
  <c r="P58" i="69"/>
  <c r="U58" i="69" s="1"/>
  <c r="V58" i="69" s="1"/>
  <c r="W58" i="69" s="1"/>
  <c r="AK57" i="69"/>
  <c r="AG57" i="69"/>
  <c r="AD57" i="69"/>
  <c r="AE57" i="69" s="1"/>
  <c r="P57" i="69"/>
  <c r="U57" i="69" s="1"/>
  <c r="V57" i="69" s="1"/>
  <c r="W57" i="69" s="1"/>
  <c r="AK56" i="69"/>
  <c r="AG56" i="69"/>
  <c r="AD56" i="69"/>
  <c r="AE56" i="69" s="1"/>
  <c r="P56" i="69"/>
  <c r="U56" i="69" s="1"/>
  <c r="V56" i="69" s="1"/>
  <c r="W56" i="69" s="1"/>
  <c r="AK55" i="69"/>
  <c r="AG55" i="69"/>
  <c r="AD55" i="69"/>
  <c r="AE55" i="69" s="1"/>
  <c r="P55" i="69"/>
  <c r="U55" i="69" s="1"/>
  <c r="V55" i="69" s="1"/>
  <c r="W55" i="69" s="1"/>
  <c r="AK54" i="69"/>
  <c r="AG54" i="69"/>
  <c r="AD54" i="69"/>
  <c r="AE54" i="69" s="1"/>
  <c r="P54" i="69"/>
  <c r="U54" i="69" s="1"/>
  <c r="V54" i="69" s="1"/>
  <c r="W54" i="69" s="1"/>
  <c r="AK53" i="69"/>
  <c r="AG53" i="69"/>
  <c r="AD53" i="69"/>
  <c r="AE53" i="69" s="1"/>
  <c r="P53" i="69"/>
  <c r="U53" i="69" s="1"/>
  <c r="V53" i="69" s="1"/>
  <c r="W53" i="69" s="1"/>
  <c r="AK52" i="69"/>
  <c r="AG52" i="69"/>
  <c r="AD52" i="69"/>
  <c r="AE52" i="69" s="1"/>
  <c r="P52" i="69"/>
  <c r="U52" i="69" s="1"/>
  <c r="V52" i="69" s="1"/>
  <c r="W52" i="69" s="1"/>
  <c r="AK51" i="69"/>
  <c r="AG51" i="69"/>
  <c r="AD51" i="69"/>
  <c r="AE51" i="69" s="1"/>
  <c r="P51" i="69"/>
  <c r="U51" i="69" s="1"/>
  <c r="V51" i="69" s="1"/>
  <c r="W51" i="69" s="1"/>
  <c r="AK50" i="69"/>
  <c r="AG50" i="69"/>
  <c r="AD50" i="69"/>
  <c r="AE50" i="69" s="1"/>
  <c r="P50" i="69"/>
  <c r="U50" i="69" s="1"/>
  <c r="V50" i="69" s="1"/>
  <c r="W50" i="69" s="1"/>
  <c r="AK49" i="69"/>
  <c r="AG49" i="69"/>
  <c r="AD49" i="69"/>
  <c r="AE49" i="69" s="1"/>
  <c r="P49" i="69"/>
  <c r="U49" i="69" s="1"/>
  <c r="V49" i="69" s="1"/>
  <c r="W49" i="69" s="1"/>
  <c r="AK48" i="69"/>
  <c r="AG48" i="69"/>
  <c r="AD48" i="69"/>
  <c r="AE48" i="69" s="1"/>
  <c r="P48" i="69"/>
  <c r="U48" i="69" s="1"/>
  <c r="V48" i="69" s="1"/>
  <c r="W48" i="69" s="1"/>
  <c r="AK47" i="69"/>
  <c r="AG47" i="69"/>
  <c r="AD47" i="69"/>
  <c r="AE47" i="69" s="1"/>
  <c r="P47" i="69"/>
  <c r="U47" i="69" s="1"/>
  <c r="V47" i="69" s="1"/>
  <c r="W47" i="69" s="1"/>
  <c r="AK46" i="69"/>
  <c r="AG46" i="69"/>
  <c r="AD46" i="69"/>
  <c r="AE46" i="69" s="1"/>
  <c r="P46" i="69"/>
  <c r="U46" i="69" s="1"/>
  <c r="V46" i="69" s="1"/>
  <c r="W46" i="69" s="1"/>
  <c r="AK45" i="69"/>
  <c r="AG45" i="69"/>
  <c r="AD45" i="69"/>
  <c r="AE45" i="69" s="1"/>
  <c r="P45" i="69"/>
  <c r="U45" i="69" s="1"/>
  <c r="V45" i="69" s="1"/>
  <c r="W45" i="69" s="1"/>
  <c r="AK44" i="69"/>
  <c r="AG44" i="69"/>
  <c r="AD44" i="69"/>
  <c r="AE44" i="69" s="1"/>
  <c r="P44" i="69"/>
  <c r="U44" i="69" s="1"/>
  <c r="V44" i="69" s="1"/>
  <c r="W44" i="69" s="1"/>
  <c r="AK43" i="69"/>
  <c r="AG43" i="69"/>
  <c r="AD43" i="69"/>
  <c r="AE43" i="69" s="1"/>
  <c r="P43" i="69"/>
  <c r="U43" i="69" s="1"/>
  <c r="V43" i="69" s="1"/>
  <c r="W43" i="69" s="1"/>
  <c r="AK42" i="69"/>
  <c r="AG42" i="69"/>
  <c r="AD42" i="69"/>
  <c r="AE42" i="69" s="1"/>
  <c r="P42" i="69"/>
  <c r="U42" i="69" s="1"/>
  <c r="V42" i="69" s="1"/>
  <c r="W42" i="69" s="1"/>
  <c r="AK41" i="69"/>
  <c r="AG41" i="69"/>
  <c r="AD41" i="69"/>
  <c r="AE41" i="69" s="1"/>
  <c r="P41" i="69"/>
  <c r="U41" i="69" s="1"/>
  <c r="V41" i="69" s="1"/>
  <c r="W41" i="69" s="1"/>
  <c r="AK40" i="69"/>
  <c r="AG40" i="69"/>
  <c r="AD40" i="69"/>
  <c r="AE40" i="69" s="1"/>
  <c r="P40" i="69"/>
  <c r="U40" i="69" s="1"/>
  <c r="V40" i="69" s="1"/>
  <c r="W40" i="69" s="1"/>
  <c r="AK39" i="69"/>
  <c r="AG39" i="69"/>
  <c r="AD39" i="69"/>
  <c r="AE39" i="69" s="1"/>
  <c r="P39" i="69"/>
  <c r="U39" i="69" s="1"/>
  <c r="V39" i="69" s="1"/>
  <c r="W39" i="69" s="1"/>
  <c r="AK38" i="69"/>
  <c r="AG38" i="69"/>
  <c r="AD38" i="69"/>
  <c r="AE38" i="69" s="1"/>
  <c r="P38" i="69"/>
  <c r="U38" i="69" s="1"/>
  <c r="V38" i="69" s="1"/>
  <c r="W38" i="69" s="1"/>
  <c r="AK37" i="69"/>
  <c r="AG37" i="69"/>
  <c r="AD37" i="69"/>
  <c r="AE37" i="69" s="1"/>
  <c r="P37" i="69"/>
  <c r="U37" i="69" s="1"/>
  <c r="V37" i="69" s="1"/>
  <c r="W37" i="69" s="1"/>
  <c r="AK36" i="69"/>
  <c r="AG36" i="69"/>
  <c r="AD36" i="69"/>
  <c r="AE36" i="69" s="1"/>
  <c r="P36" i="69"/>
  <c r="U36" i="69" s="1"/>
  <c r="V36" i="69" s="1"/>
  <c r="W36" i="69" s="1"/>
  <c r="AK35" i="69"/>
  <c r="AG35" i="69"/>
  <c r="AD35" i="69"/>
  <c r="AE35" i="69" s="1"/>
  <c r="P35" i="69"/>
  <c r="U35" i="69" s="1"/>
  <c r="V35" i="69" s="1"/>
  <c r="W35" i="69" s="1"/>
  <c r="AK34" i="69"/>
  <c r="AG34" i="69"/>
  <c r="AD34" i="69"/>
  <c r="AE34" i="69" s="1"/>
  <c r="P34" i="69"/>
  <c r="U34" i="69" s="1"/>
  <c r="V34" i="69" s="1"/>
  <c r="W34" i="69" s="1"/>
  <c r="AK33" i="69"/>
  <c r="AG33" i="69"/>
  <c r="AD33" i="69"/>
  <c r="AE33" i="69" s="1"/>
  <c r="P33" i="69"/>
  <c r="U33" i="69" s="1"/>
  <c r="V33" i="69" s="1"/>
  <c r="W33" i="69" s="1"/>
  <c r="AK32" i="69"/>
  <c r="AG32" i="69"/>
  <c r="AD32" i="69"/>
  <c r="AE32" i="69" s="1"/>
  <c r="P32" i="69"/>
  <c r="U32" i="69" s="1"/>
  <c r="V32" i="69" s="1"/>
  <c r="W32" i="69" s="1"/>
  <c r="AK31" i="69"/>
  <c r="AG31" i="69"/>
  <c r="AD31" i="69"/>
  <c r="AE31" i="69" s="1"/>
  <c r="P31" i="69"/>
  <c r="U31" i="69" s="1"/>
  <c r="V31" i="69" s="1"/>
  <c r="W31" i="69" s="1"/>
  <c r="AK30" i="69"/>
  <c r="AG30" i="69"/>
  <c r="AD30" i="69"/>
  <c r="AE30" i="69" s="1"/>
  <c r="P30" i="69"/>
  <c r="U30" i="69" s="1"/>
  <c r="V30" i="69" s="1"/>
  <c r="W30" i="69" s="1"/>
  <c r="AK29" i="69"/>
  <c r="AG29" i="69"/>
  <c r="AD29" i="69"/>
  <c r="AE29" i="69" s="1"/>
  <c r="P29" i="69"/>
  <c r="U29" i="69" s="1"/>
  <c r="V29" i="69" s="1"/>
  <c r="W29" i="69" s="1"/>
  <c r="AK28" i="69"/>
  <c r="AG28" i="69"/>
  <c r="AD28" i="69"/>
  <c r="AE28" i="69" s="1"/>
  <c r="P28" i="69"/>
  <c r="U28" i="69" s="1"/>
  <c r="V28" i="69" s="1"/>
  <c r="W28" i="69" s="1"/>
  <c r="AK27" i="69"/>
  <c r="AG27" i="69"/>
  <c r="AD27" i="69"/>
  <c r="AE27" i="69" s="1"/>
  <c r="P27" i="69"/>
  <c r="U27" i="69" s="1"/>
  <c r="V27" i="69" s="1"/>
  <c r="W27" i="69" s="1"/>
  <c r="AK26" i="69"/>
  <c r="AG26" i="69"/>
  <c r="AD26" i="69"/>
  <c r="AE26" i="69" s="1"/>
  <c r="P26" i="69"/>
  <c r="U26" i="69" s="1"/>
  <c r="V26" i="69" s="1"/>
  <c r="W26" i="69" s="1"/>
  <c r="AK25" i="69"/>
  <c r="AG25" i="69"/>
  <c r="AD25" i="69"/>
  <c r="AE25" i="69" s="1"/>
  <c r="P25" i="69"/>
  <c r="U25" i="69" s="1"/>
  <c r="V25" i="69" s="1"/>
  <c r="W25" i="69" s="1"/>
  <c r="AK24" i="69"/>
  <c r="AG24" i="69"/>
  <c r="AD24" i="69"/>
  <c r="AE24" i="69" s="1"/>
  <c r="P24" i="69"/>
  <c r="U24" i="69" s="1"/>
  <c r="V24" i="69" s="1"/>
  <c r="W24" i="69" s="1"/>
  <c r="AK23" i="69"/>
  <c r="AG23" i="69"/>
  <c r="AD23" i="69"/>
  <c r="AE23" i="69" s="1"/>
  <c r="U23" i="69"/>
  <c r="V23" i="69" s="1"/>
  <c r="W23" i="69" s="1"/>
  <c r="AK22" i="69"/>
  <c r="AG22" i="69"/>
  <c r="AD22" i="69"/>
  <c r="AE22" i="69" s="1"/>
  <c r="U22" i="69"/>
  <c r="V22" i="69" s="1"/>
  <c r="W22" i="69" s="1"/>
  <c r="AK21" i="69"/>
  <c r="AG21" i="69"/>
  <c r="AD21" i="69"/>
  <c r="AE21" i="69" s="1"/>
  <c r="U21" i="69"/>
  <c r="V21" i="69" s="1"/>
  <c r="W21" i="69" s="1"/>
  <c r="AK20" i="69"/>
  <c r="AG20" i="69"/>
  <c r="AD20" i="69"/>
  <c r="AE20" i="69" s="1"/>
  <c r="P20" i="69"/>
  <c r="U20" i="69" s="1"/>
  <c r="V20" i="69" s="1"/>
  <c r="W20" i="69" s="1"/>
  <c r="AK19" i="69"/>
  <c r="AG19" i="69"/>
  <c r="AD19" i="69"/>
  <c r="AE19" i="69" s="1"/>
  <c r="P19" i="69"/>
  <c r="U19" i="69" s="1"/>
  <c r="V19" i="69" s="1"/>
  <c r="W19" i="69" s="1"/>
  <c r="AK18" i="69"/>
  <c r="AG18" i="69"/>
  <c r="AD18" i="69"/>
  <c r="AE18" i="69" s="1"/>
  <c r="P18" i="69"/>
  <c r="U18" i="69" s="1"/>
  <c r="V18" i="69" s="1"/>
  <c r="W18" i="69" s="1"/>
  <c r="AK17" i="69"/>
  <c r="AG17" i="69"/>
  <c r="AD17" i="69"/>
  <c r="AE17" i="69" s="1"/>
  <c r="P17" i="69"/>
  <c r="U17" i="69" s="1"/>
  <c r="V17" i="69" s="1"/>
  <c r="W17" i="69" s="1"/>
  <c r="AK16" i="69"/>
  <c r="AG16" i="69"/>
  <c r="AD16" i="69"/>
  <c r="AE16" i="69" s="1"/>
  <c r="P16" i="69"/>
  <c r="U16" i="69" s="1"/>
  <c r="V16" i="69" s="1"/>
  <c r="W16" i="69" s="1"/>
  <c r="AK15" i="69"/>
  <c r="AG15" i="69"/>
  <c r="AD15" i="69"/>
  <c r="AE15" i="69" s="1"/>
  <c r="P15" i="69"/>
  <c r="U15" i="69" s="1"/>
  <c r="V15" i="69" s="1"/>
  <c r="W15" i="69" s="1"/>
  <c r="AK14" i="69"/>
  <c r="AG14" i="69"/>
  <c r="AD14" i="69"/>
  <c r="AE14" i="69" s="1"/>
  <c r="P14" i="69"/>
  <c r="U14" i="69" s="1"/>
  <c r="V14" i="69" s="1"/>
  <c r="W14" i="69" s="1"/>
  <c r="AK13" i="69"/>
  <c r="AG13" i="69"/>
  <c r="AD13" i="69"/>
  <c r="AE13" i="69" s="1"/>
  <c r="P13" i="69"/>
  <c r="U13" i="69" s="1"/>
  <c r="V13" i="69" s="1"/>
  <c r="W13" i="69" s="1"/>
  <c r="AK12" i="69"/>
  <c r="AG12" i="69"/>
  <c r="AD12" i="69"/>
  <c r="AE12" i="69" s="1"/>
  <c r="P12" i="69"/>
  <c r="U12" i="69" s="1"/>
  <c r="V12" i="69" s="1"/>
  <c r="W12" i="69" s="1"/>
  <c r="AK11" i="69"/>
  <c r="AG11" i="69"/>
  <c r="AD11" i="69"/>
  <c r="AE11" i="69" s="1"/>
  <c r="P11" i="69"/>
  <c r="U11" i="69" s="1"/>
  <c r="V11" i="69" s="1"/>
  <c r="W11" i="69" s="1"/>
  <c r="AK10" i="69"/>
  <c r="AG10" i="69"/>
  <c r="AD10" i="69"/>
  <c r="AE10" i="69" s="1"/>
  <c r="P10" i="69"/>
  <c r="U10" i="69" s="1"/>
  <c r="V10" i="69" s="1"/>
  <c r="W10" i="69" s="1"/>
  <c r="AK9" i="69"/>
  <c r="AG9" i="69"/>
  <c r="AD9" i="69"/>
  <c r="AE9" i="69" s="1"/>
  <c r="P9" i="69"/>
  <c r="U9" i="69" s="1"/>
  <c r="V9" i="69" s="1"/>
  <c r="W9" i="69" s="1"/>
  <c r="AK8" i="69"/>
  <c r="AG8" i="69"/>
  <c r="AD8" i="69"/>
  <c r="AE8" i="69" s="1"/>
  <c r="P8" i="69"/>
  <c r="U8" i="69" s="1"/>
  <c r="V8" i="69" s="1"/>
  <c r="W8" i="69" s="1"/>
  <c r="AK7" i="69"/>
  <c r="AG7" i="69"/>
  <c r="AD7" i="69"/>
  <c r="AE7" i="69" s="1"/>
  <c r="P7" i="69"/>
  <c r="U7" i="69" s="1"/>
  <c r="V7" i="69" s="1"/>
  <c r="W7" i="69" s="1"/>
  <c r="AK6" i="69"/>
  <c r="AG6" i="69"/>
  <c r="AD6" i="69"/>
  <c r="AE6" i="69" s="1"/>
  <c r="O6" i="69"/>
  <c r="P6" i="69" s="1"/>
  <c r="U6" i="69" s="1"/>
  <c r="V6" i="69" s="1"/>
  <c r="W6" i="69" s="1"/>
  <c r="AK5" i="69"/>
  <c r="AG5" i="69"/>
  <c r="AD5" i="69"/>
  <c r="AE5" i="69" s="1"/>
  <c r="O5" i="69"/>
  <c r="P5" i="69" s="1"/>
  <c r="U5" i="69" s="1"/>
  <c r="V5" i="69" s="1"/>
  <c r="W5" i="69" s="1"/>
  <c r="AK4" i="69"/>
  <c r="AG4" i="69"/>
  <c r="AD4" i="69"/>
  <c r="AE4" i="69" s="1"/>
  <c r="P4" i="69"/>
  <c r="U4" i="69" s="1"/>
  <c r="V4" i="69" s="1"/>
  <c r="W4" i="69" s="1"/>
  <c r="AK3" i="69"/>
  <c r="AG3" i="69"/>
  <c r="AD3" i="69"/>
  <c r="AE3" i="69" s="1"/>
  <c r="P3" i="69"/>
  <c r="U3" i="69" s="1"/>
  <c r="V3" i="69" s="1"/>
  <c r="W3" i="69" s="1"/>
  <c r="AK2" i="69"/>
  <c r="AG2" i="69"/>
  <c r="AD2" i="69"/>
  <c r="AE2" i="69" s="1"/>
  <c r="P2" i="69"/>
  <c r="U2" i="69" s="1"/>
  <c r="V2" i="69" s="1"/>
  <c r="W2" i="69" s="1"/>
  <c r="O150" i="24"/>
  <c r="O149" i="24"/>
  <c r="S134" i="67"/>
  <c r="S78" i="67"/>
  <c r="U135" i="67"/>
  <c r="V135" i="67" s="1"/>
  <c r="W135" i="67" s="1"/>
  <c r="U134" i="67"/>
  <c r="V134" i="67" s="1"/>
  <c r="W134" i="67" s="1"/>
  <c r="U137" i="67"/>
  <c r="V137" i="67" s="1"/>
  <c r="W137" i="67" s="1"/>
  <c r="U138" i="67"/>
  <c r="V138" i="67" s="1"/>
  <c r="W138" i="67" s="1"/>
  <c r="U136" i="67"/>
  <c r="V136" i="67" s="1"/>
  <c r="W136" i="67" s="1"/>
  <c r="U158" i="67"/>
  <c r="V158" i="67" s="1"/>
  <c r="W158" i="67" s="1"/>
  <c r="U159" i="67"/>
  <c r="V159" i="67" s="1"/>
  <c r="W159" i="67" s="1"/>
  <c r="U160" i="67"/>
  <c r="V160" i="67" s="1"/>
  <c r="W160" i="67" s="1"/>
  <c r="U91" i="67"/>
  <c r="V91" i="67" s="1"/>
  <c r="W91" i="67" s="1"/>
  <c r="U92" i="67"/>
  <c r="V92" i="67" s="1"/>
  <c r="W92" i="67" s="1"/>
  <c r="U93" i="67"/>
  <c r="V93" i="67" s="1"/>
  <c r="W93" i="67" s="1"/>
  <c r="U94" i="67"/>
  <c r="V94" i="67" s="1"/>
  <c r="W94" i="67" s="1"/>
  <c r="U95" i="67"/>
  <c r="V95" i="67" s="1"/>
  <c r="W95" i="67" s="1"/>
  <c r="U96" i="67"/>
  <c r="V96" i="67" s="1"/>
  <c r="W96" i="67" s="1"/>
  <c r="U97" i="67"/>
  <c r="V97" i="67" s="1"/>
  <c r="W97" i="67" s="1"/>
  <c r="U98" i="67"/>
  <c r="V98" i="67" s="1"/>
  <c r="W98" i="67" s="1"/>
  <c r="U99" i="67"/>
  <c r="V99" i="67" s="1"/>
  <c r="W99" i="67" s="1"/>
  <c r="U100" i="67"/>
  <c r="V100" i="67" s="1"/>
  <c r="W100" i="67" s="1"/>
  <c r="U101" i="67"/>
  <c r="V101" i="67" s="1"/>
  <c r="W101" i="67" s="1"/>
  <c r="U102" i="67"/>
  <c r="V102" i="67" s="1"/>
  <c r="W102" i="67" s="1"/>
  <c r="U103" i="67"/>
  <c r="V103" i="67" s="1"/>
  <c r="W103" i="67" s="1"/>
  <c r="U104" i="67"/>
  <c r="V104" i="67" s="1"/>
  <c r="W104" i="67" s="1"/>
  <c r="U105" i="67"/>
  <c r="V105" i="67" s="1"/>
  <c r="W105" i="67" s="1"/>
  <c r="U106" i="67"/>
  <c r="V106" i="67" s="1"/>
  <c r="W106" i="67" s="1"/>
  <c r="U107" i="67"/>
  <c r="V107" i="67" s="1"/>
  <c r="W107" i="67" s="1"/>
  <c r="U108" i="67"/>
  <c r="V108" i="67" s="1"/>
  <c r="W108" i="67" s="1"/>
  <c r="U109" i="67"/>
  <c r="V109" i="67" s="1"/>
  <c r="W109" i="67" s="1"/>
  <c r="U110" i="67"/>
  <c r="V110" i="67" s="1"/>
  <c r="W110" i="67" s="1"/>
  <c r="U111" i="67"/>
  <c r="V111" i="67" s="1"/>
  <c r="W111" i="67" s="1"/>
  <c r="U112" i="67"/>
  <c r="V112" i="67" s="1"/>
  <c r="W112" i="67" s="1"/>
  <c r="U113" i="67"/>
  <c r="V113" i="67" s="1"/>
  <c r="W113" i="67" s="1"/>
  <c r="U114" i="67"/>
  <c r="V114" i="67" s="1"/>
  <c r="W114" i="67" s="1"/>
  <c r="V115" i="67"/>
  <c r="W115" i="67" s="1"/>
  <c r="U116" i="67"/>
  <c r="V116" i="67" s="1"/>
  <c r="W116" i="67" s="1"/>
  <c r="U117" i="67"/>
  <c r="V117" i="67" s="1"/>
  <c r="W117" i="67" s="1"/>
  <c r="U118" i="67"/>
  <c r="V118" i="67" s="1"/>
  <c r="W118" i="67" s="1"/>
  <c r="U119" i="67"/>
  <c r="V119" i="67" s="1"/>
  <c r="W119" i="67" s="1"/>
  <c r="U120" i="67"/>
  <c r="V120" i="67" s="1"/>
  <c r="W120" i="67" s="1"/>
  <c r="U121" i="67"/>
  <c r="V121" i="67" s="1"/>
  <c r="W121" i="67" s="1"/>
  <c r="U122" i="67"/>
  <c r="V122" i="67" s="1"/>
  <c r="W122" i="67" s="1"/>
  <c r="U123" i="67"/>
  <c r="V123" i="67" s="1"/>
  <c r="W123" i="67" s="1"/>
  <c r="U124" i="67"/>
  <c r="V124" i="67" s="1"/>
  <c r="W124" i="67" s="1"/>
  <c r="U125" i="67"/>
  <c r="V125" i="67" s="1"/>
  <c r="W125" i="67" s="1"/>
  <c r="U126" i="67"/>
  <c r="V126" i="67" s="1"/>
  <c r="W126" i="67" s="1"/>
  <c r="U127" i="67"/>
  <c r="V127" i="67" s="1"/>
  <c r="W127" i="67" s="1"/>
  <c r="U128" i="67"/>
  <c r="V128" i="67" s="1"/>
  <c r="W128" i="67" s="1"/>
  <c r="U129" i="67"/>
  <c r="V129" i="67" s="1"/>
  <c r="W129" i="67" s="1"/>
  <c r="U130" i="67"/>
  <c r="V130" i="67" s="1"/>
  <c r="W130" i="67" s="1"/>
  <c r="U131" i="67"/>
  <c r="V131" i="67" s="1"/>
  <c r="W131" i="67" s="1"/>
  <c r="U132" i="67"/>
  <c r="V132" i="67" s="1"/>
  <c r="W132" i="67" s="1"/>
  <c r="U133" i="67"/>
  <c r="V133" i="67" s="1"/>
  <c r="W133" i="67" s="1"/>
  <c r="U139" i="67"/>
  <c r="V139" i="67" s="1"/>
  <c r="W139" i="67" s="1"/>
  <c r="U140" i="67"/>
  <c r="V140" i="67" s="1"/>
  <c r="W140" i="67" s="1"/>
  <c r="U141" i="67"/>
  <c r="V141" i="67" s="1"/>
  <c r="W141" i="67" s="1"/>
  <c r="U142" i="67"/>
  <c r="V142" i="67" s="1"/>
  <c r="W142" i="67" s="1"/>
  <c r="U143" i="67"/>
  <c r="V143" i="67" s="1"/>
  <c r="W143" i="67" s="1"/>
  <c r="U144" i="67"/>
  <c r="V144" i="67" s="1"/>
  <c r="W144" i="67" s="1"/>
  <c r="U145" i="67"/>
  <c r="V145" i="67" s="1"/>
  <c r="W145" i="67" s="1"/>
  <c r="U146" i="67"/>
  <c r="V146" i="67" s="1"/>
  <c r="W146" i="67" s="1"/>
  <c r="U147" i="67"/>
  <c r="V147" i="67" s="1"/>
  <c r="W147" i="67" s="1"/>
  <c r="U148" i="67"/>
  <c r="V148" i="67" s="1"/>
  <c r="W148" i="67" s="1"/>
  <c r="U149" i="67"/>
  <c r="V149" i="67" s="1"/>
  <c r="W149" i="67" s="1"/>
  <c r="U150" i="67"/>
  <c r="V150" i="67" s="1"/>
  <c r="W150" i="67" s="1"/>
  <c r="U151" i="67"/>
  <c r="V151" i="67" s="1"/>
  <c r="W151" i="67" s="1"/>
  <c r="U152" i="67"/>
  <c r="V152" i="67" s="1"/>
  <c r="W152" i="67" s="1"/>
  <c r="U153" i="67"/>
  <c r="V153" i="67" s="1"/>
  <c r="W153" i="67" s="1"/>
  <c r="U154" i="67"/>
  <c r="V154" i="67" s="1"/>
  <c r="W154" i="67" s="1"/>
  <c r="U155" i="67"/>
  <c r="V155" i="67" s="1"/>
  <c r="W155" i="67" s="1"/>
  <c r="U156" i="67"/>
  <c r="V156" i="67" s="1"/>
  <c r="W156" i="67" s="1"/>
  <c r="U157" i="67"/>
  <c r="V157" i="67" s="1"/>
  <c r="W157" i="67" s="1"/>
  <c r="U161" i="67"/>
  <c r="V161" i="67" s="1"/>
  <c r="W161" i="67" s="1"/>
  <c r="U162" i="67"/>
  <c r="V162" i="67" s="1"/>
  <c r="W162" i="67" s="1"/>
  <c r="U163" i="67"/>
  <c r="V163" i="67" s="1"/>
  <c r="W163" i="67" s="1"/>
  <c r="U164" i="67"/>
  <c r="V164" i="67" s="1"/>
  <c r="W164" i="67" s="1"/>
  <c r="U165" i="67"/>
  <c r="V165" i="67" s="1"/>
  <c r="W165" i="67" s="1"/>
  <c r="U166" i="67"/>
  <c r="V166" i="67" s="1"/>
  <c r="W166" i="67" s="1"/>
  <c r="U167" i="67"/>
  <c r="V167" i="67" s="1"/>
  <c r="W167" i="67" s="1"/>
  <c r="U168" i="67"/>
  <c r="V168" i="67" s="1"/>
  <c r="W168" i="67" s="1"/>
  <c r="U169" i="67"/>
  <c r="V169" i="67" s="1"/>
  <c r="W169" i="67" s="1"/>
  <c r="U170" i="67"/>
  <c r="V170" i="67" s="1"/>
  <c r="W170" i="67" s="1"/>
  <c r="U171" i="67"/>
  <c r="V171" i="67" s="1"/>
  <c r="W171" i="67" s="1"/>
  <c r="U172" i="67"/>
  <c r="V172" i="67" s="1"/>
  <c r="W172" i="67" s="1"/>
  <c r="U173" i="67"/>
  <c r="V173" i="67" s="1"/>
  <c r="W173" i="67" s="1"/>
  <c r="U174" i="67"/>
  <c r="V174" i="67" s="1"/>
  <c r="W174" i="67" s="1"/>
  <c r="U175" i="67"/>
  <c r="V175" i="67" s="1"/>
  <c r="W175" i="67" s="1"/>
  <c r="U176" i="67"/>
  <c r="V176" i="67" s="1"/>
  <c r="W176" i="67" s="1"/>
  <c r="U177" i="67"/>
  <c r="V177" i="67" s="1"/>
  <c r="W177" i="67" s="1"/>
  <c r="U178" i="67"/>
  <c r="V178" i="67" s="1"/>
  <c r="W178" i="67" s="1"/>
  <c r="U179" i="67"/>
  <c r="V179" i="67" s="1"/>
  <c r="W179" i="67" s="1"/>
  <c r="S173" i="67"/>
  <c r="S166" i="67"/>
  <c r="S159" i="67"/>
  <c r="S156" i="67"/>
  <c r="S149" i="67"/>
  <c r="L148" i="67"/>
  <c r="M148" i="67"/>
  <c r="N148" i="67"/>
  <c r="L149" i="67"/>
  <c r="M149" i="67"/>
  <c r="N149" i="67"/>
  <c r="L150" i="67"/>
  <c r="M150" i="67"/>
  <c r="N150" i="67"/>
  <c r="L151" i="67"/>
  <c r="M151" i="67"/>
  <c r="N151" i="67"/>
  <c r="L152" i="67"/>
  <c r="M152" i="67"/>
  <c r="N152" i="67"/>
  <c r="L153" i="67"/>
  <c r="M153" i="67"/>
  <c r="N153" i="67"/>
  <c r="L154" i="67"/>
  <c r="M154" i="67"/>
  <c r="N154" i="67"/>
  <c r="L155" i="67"/>
  <c r="M155" i="67"/>
  <c r="N155" i="67"/>
  <c r="L156" i="67"/>
  <c r="M156" i="67"/>
  <c r="N156" i="67"/>
  <c r="L157" i="67"/>
  <c r="M157" i="67"/>
  <c r="N157" i="67"/>
  <c r="L158" i="67"/>
  <c r="M158" i="67"/>
  <c r="N158" i="67"/>
  <c r="L159" i="67"/>
  <c r="M159" i="67"/>
  <c r="N159" i="67"/>
  <c r="L160" i="67"/>
  <c r="M160" i="67"/>
  <c r="N160" i="67"/>
  <c r="L161" i="67"/>
  <c r="M161" i="67"/>
  <c r="N161" i="67"/>
  <c r="L162" i="67"/>
  <c r="M162" i="67"/>
  <c r="N162" i="67"/>
  <c r="L163" i="67"/>
  <c r="M163" i="67"/>
  <c r="N163" i="67"/>
  <c r="L164" i="67"/>
  <c r="M164" i="67"/>
  <c r="N164" i="67"/>
  <c r="L165" i="67"/>
  <c r="M165" i="67"/>
  <c r="N165" i="67"/>
  <c r="L166" i="67"/>
  <c r="M166" i="67"/>
  <c r="N166" i="67"/>
  <c r="L167" i="67"/>
  <c r="M167" i="67"/>
  <c r="N167" i="67"/>
  <c r="L168" i="67"/>
  <c r="M168" i="67"/>
  <c r="N168" i="67"/>
  <c r="L169" i="67"/>
  <c r="M169" i="67"/>
  <c r="N169" i="67"/>
  <c r="L170" i="67"/>
  <c r="M170" i="67"/>
  <c r="N170" i="67"/>
  <c r="L171" i="67"/>
  <c r="M171" i="67"/>
  <c r="N171" i="67"/>
  <c r="L172" i="67"/>
  <c r="M172" i="67"/>
  <c r="N172" i="67"/>
  <c r="L173" i="67"/>
  <c r="M173" i="67"/>
  <c r="N173" i="67"/>
  <c r="L174" i="67"/>
  <c r="M174" i="67"/>
  <c r="N174" i="67"/>
  <c r="L175" i="67"/>
  <c r="M175" i="67"/>
  <c r="N175" i="67"/>
  <c r="L176" i="67"/>
  <c r="M176" i="67"/>
  <c r="N176" i="67"/>
  <c r="L177" i="67"/>
  <c r="M177" i="67"/>
  <c r="N177" i="67"/>
  <c r="L178" i="67"/>
  <c r="M178" i="67"/>
  <c r="N178" i="67"/>
  <c r="L179" i="67"/>
  <c r="M179" i="67"/>
  <c r="N179" i="67"/>
  <c r="AD147" i="67"/>
  <c r="AE147" i="67" s="1"/>
  <c r="AD146" i="67"/>
  <c r="AE146" i="67" s="1"/>
  <c r="AD145" i="67"/>
  <c r="AE145" i="67" s="1"/>
  <c r="AD144" i="67"/>
  <c r="AE144" i="67" s="1"/>
  <c r="AD143" i="67"/>
  <c r="AE143" i="67" s="1"/>
  <c r="AD142" i="67"/>
  <c r="AE142" i="67" s="1"/>
  <c r="AD141" i="67"/>
  <c r="AE141" i="67" s="1"/>
  <c r="AD140" i="67"/>
  <c r="AE140" i="67" s="1"/>
  <c r="AD139" i="67"/>
  <c r="AE139" i="67" s="1"/>
  <c r="AD138" i="67"/>
  <c r="AE138" i="67" s="1"/>
  <c r="AD137" i="67"/>
  <c r="AE137" i="67" s="1"/>
  <c r="AD136" i="67"/>
  <c r="AE136" i="67" s="1"/>
  <c r="AD135" i="67"/>
  <c r="AE135" i="67" s="1"/>
  <c r="AD134" i="67"/>
  <c r="AE134" i="67" s="1"/>
  <c r="AD133" i="67"/>
  <c r="AE133" i="67" s="1"/>
  <c r="AD132" i="67"/>
  <c r="AE132" i="67" s="1"/>
  <c r="AD131" i="67"/>
  <c r="AE131" i="67" s="1"/>
  <c r="AD130" i="67"/>
  <c r="AE130" i="67" s="1"/>
  <c r="AD129" i="67"/>
  <c r="AE129" i="67" s="1"/>
  <c r="S146" i="67"/>
  <c r="S140" i="67"/>
  <c r="S135" i="67"/>
  <c r="S133" i="67"/>
  <c r="S121" i="67"/>
  <c r="S116" i="67"/>
  <c r="S108" i="67"/>
  <c r="S97" i="67"/>
  <c r="S92" i="67"/>
  <c r="L129" i="67"/>
  <c r="M129" i="67"/>
  <c r="N129" i="67"/>
  <c r="L130" i="67"/>
  <c r="M130" i="67"/>
  <c r="N130" i="67"/>
  <c r="L131" i="67"/>
  <c r="M131" i="67"/>
  <c r="N131" i="67"/>
  <c r="L132" i="67"/>
  <c r="M132" i="67"/>
  <c r="N132" i="67"/>
  <c r="L133" i="67"/>
  <c r="M133" i="67"/>
  <c r="N133" i="67"/>
  <c r="L134" i="67"/>
  <c r="M134" i="67"/>
  <c r="N134" i="67"/>
  <c r="L135" i="67"/>
  <c r="M135" i="67"/>
  <c r="N135" i="67"/>
  <c r="L136" i="67"/>
  <c r="M136" i="67"/>
  <c r="N136" i="67"/>
  <c r="L137" i="67"/>
  <c r="M137" i="67"/>
  <c r="N137" i="67"/>
  <c r="L138" i="67"/>
  <c r="M138" i="67"/>
  <c r="N138" i="67"/>
  <c r="L139" i="67"/>
  <c r="M139" i="67"/>
  <c r="N139" i="67"/>
  <c r="L140" i="67"/>
  <c r="M140" i="67"/>
  <c r="N140" i="67"/>
  <c r="L141" i="67"/>
  <c r="M141" i="67"/>
  <c r="N141" i="67"/>
  <c r="L142" i="67"/>
  <c r="M142" i="67"/>
  <c r="N142" i="67"/>
  <c r="L143" i="67"/>
  <c r="M143" i="67"/>
  <c r="N143" i="67"/>
  <c r="L144" i="67"/>
  <c r="M144" i="67"/>
  <c r="N144" i="67"/>
  <c r="L145" i="67"/>
  <c r="M145" i="67"/>
  <c r="N145" i="67"/>
  <c r="L146" i="67"/>
  <c r="M146" i="67"/>
  <c r="N146" i="67"/>
  <c r="L147" i="67"/>
  <c r="M147" i="67"/>
  <c r="N147" i="67"/>
  <c r="E19" i="68"/>
  <c r="AD3" i="67"/>
  <c r="AE3" i="67" s="1"/>
  <c r="AD4" i="67"/>
  <c r="AE4" i="67" s="1"/>
  <c r="AD5" i="67"/>
  <c r="AE5" i="67" s="1"/>
  <c r="AD6" i="67"/>
  <c r="AE6" i="67" s="1"/>
  <c r="AD7" i="67"/>
  <c r="AE7" i="67" s="1"/>
  <c r="AD8" i="67"/>
  <c r="AE8" i="67" s="1"/>
  <c r="AD9" i="67"/>
  <c r="AE9" i="67" s="1"/>
  <c r="AD10" i="67"/>
  <c r="AE10" i="67" s="1"/>
  <c r="AD11" i="67"/>
  <c r="AE11" i="67" s="1"/>
  <c r="AD12" i="67"/>
  <c r="AE12" i="67" s="1"/>
  <c r="AD13" i="67"/>
  <c r="AE13" i="67" s="1"/>
  <c r="AD14" i="67"/>
  <c r="AE14" i="67" s="1"/>
  <c r="AD15" i="67"/>
  <c r="AE15" i="67" s="1"/>
  <c r="AD16" i="67"/>
  <c r="AE16" i="67" s="1"/>
  <c r="AD17" i="67"/>
  <c r="AE17" i="67" s="1"/>
  <c r="AD18" i="67"/>
  <c r="AE18" i="67" s="1"/>
  <c r="AD19" i="67"/>
  <c r="AE19" i="67" s="1"/>
  <c r="AD20" i="67"/>
  <c r="AE20" i="67" s="1"/>
  <c r="AD21" i="67"/>
  <c r="AE21" i="67" s="1"/>
  <c r="AD22" i="67"/>
  <c r="AE22" i="67" s="1"/>
  <c r="AD23" i="67"/>
  <c r="AE23" i="67" s="1"/>
  <c r="AD24" i="67"/>
  <c r="AE24" i="67" s="1"/>
  <c r="AD25" i="67"/>
  <c r="AE25" i="67" s="1"/>
  <c r="AD26" i="67"/>
  <c r="AE26" i="67" s="1"/>
  <c r="AD27" i="67"/>
  <c r="AE27" i="67" s="1"/>
  <c r="AD28" i="67"/>
  <c r="AE28" i="67" s="1"/>
  <c r="AD29" i="67"/>
  <c r="AE29" i="67" s="1"/>
  <c r="AD30" i="67"/>
  <c r="AE30" i="67" s="1"/>
  <c r="AD31" i="67"/>
  <c r="AE31" i="67" s="1"/>
  <c r="AD32" i="67"/>
  <c r="AE32" i="67" s="1"/>
  <c r="AD33" i="67"/>
  <c r="AE33" i="67" s="1"/>
  <c r="AD34" i="67"/>
  <c r="AE34" i="67" s="1"/>
  <c r="AD35" i="67"/>
  <c r="AE35" i="67" s="1"/>
  <c r="AD36" i="67"/>
  <c r="AE36" i="67" s="1"/>
  <c r="AD37" i="67"/>
  <c r="AE37" i="67" s="1"/>
  <c r="AD38" i="67"/>
  <c r="AE38" i="67" s="1"/>
  <c r="AD39" i="67"/>
  <c r="AE39" i="67" s="1"/>
  <c r="AD40" i="67"/>
  <c r="AE40" i="67" s="1"/>
  <c r="AD41" i="67"/>
  <c r="AE41" i="67" s="1"/>
  <c r="AD42" i="67"/>
  <c r="AE42" i="67" s="1"/>
  <c r="AD43" i="67"/>
  <c r="AE43" i="67" s="1"/>
  <c r="AD44" i="67"/>
  <c r="AE44" i="67" s="1"/>
  <c r="AD45" i="67"/>
  <c r="AE45" i="67" s="1"/>
  <c r="AD46" i="67"/>
  <c r="AE46" i="67" s="1"/>
  <c r="AD47" i="67"/>
  <c r="AE47" i="67" s="1"/>
  <c r="AD48" i="67"/>
  <c r="AE48" i="67" s="1"/>
  <c r="AD49" i="67"/>
  <c r="AE49" i="67" s="1"/>
  <c r="AD50" i="67"/>
  <c r="AE50" i="67" s="1"/>
  <c r="AD51" i="67"/>
  <c r="AE51" i="67" s="1"/>
  <c r="AD52" i="67"/>
  <c r="AE52" i="67" s="1"/>
  <c r="AD53" i="67"/>
  <c r="AE53" i="67" s="1"/>
  <c r="AD54" i="67"/>
  <c r="AE54" i="67" s="1"/>
  <c r="AD55" i="67"/>
  <c r="AE55" i="67" s="1"/>
  <c r="AD56" i="67"/>
  <c r="AE56" i="67" s="1"/>
  <c r="AD57" i="67"/>
  <c r="AE57" i="67" s="1"/>
  <c r="AD58" i="67"/>
  <c r="AE58" i="67" s="1"/>
  <c r="AD59" i="67"/>
  <c r="AE59" i="67" s="1"/>
  <c r="AD60" i="67"/>
  <c r="AE60" i="67" s="1"/>
  <c r="AD61" i="67"/>
  <c r="AE61" i="67" s="1"/>
  <c r="AD62" i="67"/>
  <c r="AE62" i="67" s="1"/>
  <c r="AD63" i="67"/>
  <c r="AE63" i="67" s="1"/>
  <c r="AD64" i="67"/>
  <c r="AE64" i="67" s="1"/>
  <c r="AD65" i="67"/>
  <c r="AE65" i="67" s="1"/>
  <c r="AD66" i="67"/>
  <c r="AE66" i="67" s="1"/>
  <c r="AD67" i="67"/>
  <c r="AE67" i="67" s="1"/>
  <c r="AD68" i="67"/>
  <c r="AE68" i="67" s="1"/>
  <c r="AD69" i="67"/>
  <c r="AE69" i="67" s="1"/>
  <c r="AD70" i="67"/>
  <c r="AE70" i="67" s="1"/>
  <c r="AD71" i="67"/>
  <c r="AE71" i="67" s="1"/>
  <c r="AD72" i="67"/>
  <c r="AE72" i="67" s="1"/>
  <c r="AD73" i="67"/>
  <c r="AE73" i="67" s="1"/>
  <c r="AD74" i="67"/>
  <c r="AE74" i="67" s="1"/>
  <c r="AD75" i="67"/>
  <c r="AE75" i="67" s="1"/>
  <c r="AD76" i="67"/>
  <c r="AE76" i="67" s="1"/>
  <c r="AD77" i="67"/>
  <c r="AE77" i="67" s="1"/>
  <c r="AD78" i="67"/>
  <c r="AE78" i="67" s="1"/>
  <c r="AD79" i="67"/>
  <c r="AE79" i="67" s="1"/>
  <c r="AD80" i="67"/>
  <c r="AE80" i="67" s="1"/>
  <c r="AD81" i="67"/>
  <c r="AE81" i="67" s="1"/>
  <c r="AD82" i="67"/>
  <c r="AE82" i="67" s="1"/>
  <c r="AD83" i="67"/>
  <c r="AE83" i="67" s="1"/>
  <c r="AD84" i="67"/>
  <c r="AE84" i="67" s="1"/>
  <c r="AD85" i="67"/>
  <c r="AE85" i="67" s="1"/>
  <c r="AD86" i="67"/>
  <c r="AE86" i="67" s="1"/>
  <c r="AD87" i="67"/>
  <c r="AE87" i="67" s="1"/>
  <c r="AD88" i="67"/>
  <c r="AE88" i="67" s="1"/>
  <c r="AD89" i="67"/>
  <c r="AE89" i="67" s="1"/>
  <c r="AD90" i="67"/>
  <c r="AE90" i="67" s="1"/>
  <c r="AD91" i="67"/>
  <c r="AE91" i="67" s="1"/>
  <c r="AD92" i="67"/>
  <c r="AE92" i="67" s="1"/>
  <c r="AD93" i="67"/>
  <c r="AE93" i="67" s="1"/>
  <c r="AD94" i="67"/>
  <c r="AE94" i="67" s="1"/>
  <c r="AD95" i="67"/>
  <c r="AE95" i="67" s="1"/>
  <c r="AD96" i="67"/>
  <c r="AE96" i="67" s="1"/>
  <c r="AD97" i="67"/>
  <c r="AE97" i="67" s="1"/>
  <c r="AD98" i="67"/>
  <c r="AE98" i="67" s="1"/>
  <c r="AD99" i="67"/>
  <c r="AE99" i="67" s="1"/>
  <c r="AD100" i="67"/>
  <c r="AE100" i="67" s="1"/>
  <c r="AD101" i="67"/>
  <c r="AE101" i="67" s="1"/>
  <c r="AD102" i="67"/>
  <c r="AE102" i="67" s="1"/>
  <c r="AD103" i="67"/>
  <c r="AE103" i="67" s="1"/>
  <c r="AD104" i="67"/>
  <c r="AE104" i="67" s="1"/>
  <c r="AD105" i="67"/>
  <c r="AE105" i="67" s="1"/>
  <c r="AD106" i="67"/>
  <c r="AE106" i="67" s="1"/>
  <c r="AD107" i="67"/>
  <c r="AE107" i="67" s="1"/>
  <c r="AD108" i="67"/>
  <c r="AE108" i="67" s="1"/>
  <c r="AD109" i="67"/>
  <c r="AE109" i="67" s="1"/>
  <c r="AD110" i="67"/>
  <c r="AE110" i="67" s="1"/>
  <c r="AD111" i="67"/>
  <c r="AE111" i="67" s="1"/>
  <c r="AD112" i="67"/>
  <c r="AE112" i="67" s="1"/>
  <c r="AD113" i="67"/>
  <c r="AE113" i="67" s="1"/>
  <c r="AD114" i="67"/>
  <c r="AE114" i="67" s="1"/>
  <c r="AD115" i="67"/>
  <c r="AE115" i="67" s="1"/>
  <c r="AD116" i="67"/>
  <c r="AE116" i="67" s="1"/>
  <c r="AD117" i="67"/>
  <c r="AE117" i="67" s="1"/>
  <c r="AD118" i="67"/>
  <c r="AE118" i="67" s="1"/>
  <c r="AD119" i="67"/>
  <c r="AE119" i="67" s="1"/>
  <c r="AD120" i="67"/>
  <c r="AE120" i="67" s="1"/>
  <c r="AD121" i="67"/>
  <c r="AE121" i="67" s="1"/>
  <c r="AD122" i="67"/>
  <c r="AE122" i="67" s="1"/>
  <c r="AD123" i="67"/>
  <c r="AE123" i="67" s="1"/>
  <c r="AD124" i="67"/>
  <c r="AE124" i="67" s="1"/>
  <c r="AD125" i="67"/>
  <c r="AE125" i="67" s="1"/>
  <c r="AD126" i="67"/>
  <c r="AE126" i="67" s="1"/>
  <c r="AD127" i="67"/>
  <c r="AE127" i="67" s="1"/>
  <c r="AD128" i="67"/>
  <c r="AE128" i="67" s="1"/>
  <c r="AD2" i="67"/>
  <c r="AE2" i="67" s="1"/>
  <c r="U77" i="67"/>
  <c r="V77" i="67" s="1"/>
  <c r="W77" i="67" s="1"/>
  <c r="U82" i="67"/>
  <c r="V82" i="67" s="1"/>
  <c r="W82" i="67" s="1"/>
  <c r="U79" i="67"/>
  <c r="V79" i="67" s="1"/>
  <c r="W79" i="67" s="1"/>
  <c r="U80" i="67"/>
  <c r="V80" i="67" s="1"/>
  <c r="W80" i="67" s="1"/>
  <c r="U81" i="67"/>
  <c r="V81" i="67" s="1"/>
  <c r="W81" i="67" s="1"/>
  <c r="U78" i="67"/>
  <c r="V78" i="67" s="1"/>
  <c r="W78" i="67" s="1"/>
  <c r="U84" i="67"/>
  <c r="V84" i="67" s="1"/>
  <c r="W84" i="67" s="1"/>
  <c r="U85" i="67"/>
  <c r="V85" i="67" s="1"/>
  <c r="W85" i="67" s="1"/>
  <c r="U83" i="67"/>
  <c r="V83" i="67" s="1"/>
  <c r="W83" i="67" s="1"/>
  <c r="U90" i="67"/>
  <c r="V90" i="67" s="1"/>
  <c r="W90" i="67" s="1"/>
  <c r="U89" i="67"/>
  <c r="V89" i="67" s="1"/>
  <c r="W89" i="67" s="1"/>
  <c r="U87" i="67"/>
  <c r="V87" i="67" s="1"/>
  <c r="W87" i="67" s="1"/>
  <c r="U88" i="67"/>
  <c r="V88" i="67" s="1"/>
  <c r="W88" i="67" s="1"/>
  <c r="U86" i="67"/>
  <c r="V86" i="67" s="1"/>
  <c r="W86" i="67" s="1"/>
  <c r="U76" i="67"/>
  <c r="V76" i="67" s="1"/>
  <c r="W76" i="67" s="1"/>
  <c r="U62" i="67"/>
  <c r="V62" i="67" s="1"/>
  <c r="W62" i="67" s="1"/>
  <c r="U63" i="67"/>
  <c r="V63" i="67" s="1"/>
  <c r="W63" i="67" s="1"/>
  <c r="U64" i="67"/>
  <c r="V64" i="67" s="1"/>
  <c r="W64" i="67" s="1"/>
  <c r="U61" i="67"/>
  <c r="V61" i="67" s="1"/>
  <c r="W61" i="67" s="1"/>
  <c r="U66" i="67"/>
  <c r="V66" i="67" s="1"/>
  <c r="W66" i="67" s="1"/>
  <c r="U67" i="67"/>
  <c r="V67" i="67" s="1"/>
  <c r="W67" i="67" s="1"/>
  <c r="U68" i="67"/>
  <c r="V68" i="67" s="1"/>
  <c r="W68" i="67" s="1"/>
  <c r="U69" i="67"/>
  <c r="V69" i="67" s="1"/>
  <c r="W69" i="67" s="1"/>
  <c r="U70" i="67"/>
  <c r="V70" i="67" s="1"/>
  <c r="W70" i="67" s="1"/>
  <c r="U71" i="67"/>
  <c r="V71" i="67" s="1"/>
  <c r="W71" i="67" s="1"/>
  <c r="U72" i="67"/>
  <c r="V72" i="67" s="1"/>
  <c r="W72" i="67" s="1"/>
  <c r="U73" i="67"/>
  <c r="V73" i="67" s="1"/>
  <c r="W73" i="67" s="1"/>
  <c r="U74" i="67"/>
  <c r="V74" i="67" s="1"/>
  <c r="W74" i="67" s="1"/>
  <c r="U65" i="67"/>
  <c r="V65" i="67" s="1"/>
  <c r="W65" i="67" s="1"/>
  <c r="S84" i="67"/>
  <c r="S79" i="67"/>
  <c r="S66" i="67"/>
  <c r="S62" i="67"/>
  <c r="L61" i="67"/>
  <c r="M61" i="67"/>
  <c r="N61" i="67"/>
  <c r="L62" i="67"/>
  <c r="M62" i="67"/>
  <c r="N62" i="67"/>
  <c r="L63" i="67"/>
  <c r="M63" i="67"/>
  <c r="N63" i="67"/>
  <c r="L64" i="67"/>
  <c r="M64" i="67"/>
  <c r="N64" i="67"/>
  <c r="L65" i="67"/>
  <c r="M65" i="67"/>
  <c r="N65" i="67"/>
  <c r="L66" i="67"/>
  <c r="M66" i="67"/>
  <c r="N66" i="67"/>
  <c r="L67" i="67"/>
  <c r="M67" i="67"/>
  <c r="N67" i="67"/>
  <c r="L68" i="67"/>
  <c r="M68" i="67"/>
  <c r="N68" i="67"/>
  <c r="L69" i="67"/>
  <c r="M69" i="67"/>
  <c r="N69" i="67"/>
  <c r="L70" i="67"/>
  <c r="M70" i="67"/>
  <c r="N70" i="67"/>
  <c r="L71" i="67"/>
  <c r="M71" i="67"/>
  <c r="N71" i="67"/>
  <c r="L72" i="67"/>
  <c r="M72" i="67"/>
  <c r="N72" i="67"/>
  <c r="L73" i="67"/>
  <c r="M73" i="67"/>
  <c r="N73" i="67"/>
  <c r="L74" i="67"/>
  <c r="M74" i="67"/>
  <c r="N74" i="67"/>
  <c r="L75" i="67"/>
  <c r="M75" i="67"/>
  <c r="N75" i="67"/>
  <c r="L76" i="67"/>
  <c r="M76" i="67"/>
  <c r="N76" i="67"/>
  <c r="L77" i="67"/>
  <c r="M77" i="67"/>
  <c r="N77" i="67"/>
  <c r="L78" i="67"/>
  <c r="M78" i="67"/>
  <c r="N78" i="67"/>
  <c r="L79" i="67"/>
  <c r="M79" i="67"/>
  <c r="N79" i="67"/>
  <c r="L80" i="67"/>
  <c r="M80" i="67"/>
  <c r="N80" i="67"/>
  <c r="L81" i="67"/>
  <c r="M81" i="67"/>
  <c r="N81" i="67"/>
  <c r="L82" i="67"/>
  <c r="M82" i="67"/>
  <c r="N82" i="67"/>
  <c r="L83" i="67"/>
  <c r="M83" i="67"/>
  <c r="N83" i="67"/>
  <c r="L84" i="67"/>
  <c r="M84" i="67"/>
  <c r="N84" i="67"/>
  <c r="L85" i="67"/>
  <c r="M85" i="67"/>
  <c r="N85" i="67"/>
  <c r="L86" i="67"/>
  <c r="M86" i="67"/>
  <c r="N86" i="67"/>
  <c r="L87" i="67"/>
  <c r="M87" i="67"/>
  <c r="N87" i="67"/>
  <c r="L88" i="67"/>
  <c r="M88" i="67"/>
  <c r="N88" i="67"/>
  <c r="L89" i="67"/>
  <c r="M89" i="67"/>
  <c r="N89" i="67"/>
  <c r="L90" i="67"/>
  <c r="M90" i="67"/>
  <c r="N90" i="67"/>
  <c r="L91" i="67"/>
  <c r="M91" i="67"/>
  <c r="N91" i="67"/>
  <c r="L92" i="67"/>
  <c r="M92" i="67"/>
  <c r="N92" i="67"/>
  <c r="L93" i="67"/>
  <c r="M93" i="67"/>
  <c r="N93" i="67"/>
  <c r="L94" i="67"/>
  <c r="M94" i="67"/>
  <c r="N94" i="67"/>
  <c r="L95" i="67"/>
  <c r="M95" i="67"/>
  <c r="N95" i="67"/>
  <c r="L96" i="67"/>
  <c r="M96" i="67"/>
  <c r="N96" i="67"/>
  <c r="L97" i="67"/>
  <c r="M97" i="67"/>
  <c r="N97" i="67"/>
  <c r="L98" i="67"/>
  <c r="M98" i="67"/>
  <c r="N98" i="67"/>
  <c r="L99" i="67"/>
  <c r="M99" i="67"/>
  <c r="N99" i="67"/>
  <c r="L100" i="67"/>
  <c r="M100" i="67"/>
  <c r="N100" i="67"/>
  <c r="L101" i="67"/>
  <c r="M101" i="67"/>
  <c r="N101" i="67"/>
  <c r="L102" i="67"/>
  <c r="M102" i="67"/>
  <c r="N102" i="67"/>
  <c r="L103" i="67"/>
  <c r="M103" i="67"/>
  <c r="N103" i="67"/>
  <c r="L104" i="67"/>
  <c r="M104" i="67"/>
  <c r="N104" i="67"/>
  <c r="L105" i="67"/>
  <c r="M105" i="67"/>
  <c r="N105" i="67"/>
  <c r="L106" i="67"/>
  <c r="M106" i="67"/>
  <c r="N106" i="67"/>
  <c r="L107" i="67"/>
  <c r="M107" i="67"/>
  <c r="N107" i="67"/>
  <c r="L108" i="67"/>
  <c r="M108" i="67"/>
  <c r="N108" i="67"/>
  <c r="L109" i="67"/>
  <c r="M109" i="67"/>
  <c r="N109" i="67"/>
  <c r="L110" i="67"/>
  <c r="M110" i="67"/>
  <c r="N110" i="67"/>
  <c r="L111" i="67"/>
  <c r="M111" i="67"/>
  <c r="N111" i="67"/>
  <c r="L112" i="67"/>
  <c r="M112" i="67"/>
  <c r="N112" i="67"/>
  <c r="L113" i="67"/>
  <c r="M113" i="67"/>
  <c r="N113" i="67"/>
  <c r="L114" i="67"/>
  <c r="M114" i="67"/>
  <c r="N114" i="67"/>
  <c r="L115" i="67"/>
  <c r="M115" i="67"/>
  <c r="N115" i="67"/>
  <c r="L116" i="67"/>
  <c r="M116" i="67"/>
  <c r="N116" i="67"/>
  <c r="L117" i="67"/>
  <c r="M117" i="67"/>
  <c r="N117" i="67"/>
  <c r="L118" i="67"/>
  <c r="M118" i="67"/>
  <c r="N118" i="67"/>
  <c r="L119" i="67"/>
  <c r="M119" i="67"/>
  <c r="N119" i="67"/>
  <c r="L120" i="67"/>
  <c r="M120" i="67"/>
  <c r="N120" i="67"/>
  <c r="L121" i="67"/>
  <c r="M121" i="67"/>
  <c r="N121" i="67"/>
  <c r="L122" i="67"/>
  <c r="M122" i="67"/>
  <c r="N122" i="67"/>
  <c r="L123" i="67"/>
  <c r="M123" i="67"/>
  <c r="N123" i="67"/>
  <c r="L124" i="67"/>
  <c r="M124" i="67"/>
  <c r="N124" i="67"/>
  <c r="L125" i="67"/>
  <c r="M125" i="67"/>
  <c r="N125" i="67"/>
  <c r="L126" i="67"/>
  <c r="M126" i="67"/>
  <c r="N126" i="67"/>
  <c r="L127" i="67"/>
  <c r="M127" i="67"/>
  <c r="N127" i="67"/>
  <c r="L128" i="67"/>
  <c r="M128" i="67"/>
  <c r="N128" i="67"/>
  <c r="O147" i="24"/>
  <c r="O148" i="24"/>
  <c r="O146" i="24"/>
  <c r="S3" i="65"/>
  <c r="U31" i="67"/>
  <c r="V31" i="67" s="1"/>
  <c r="W31" i="67" s="1"/>
  <c r="U32" i="67"/>
  <c r="V32" i="67" s="1"/>
  <c r="W32" i="67" s="1"/>
  <c r="U33" i="67"/>
  <c r="V33" i="67" s="1"/>
  <c r="W33" i="67" s="1"/>
  <c r="U34" i="67"/>
  <c r="V34" i="67" s="1"/>
  <c r="W34" i="67" s="1"/>
  <c r="U35" i="67"/>
  <c r="V35" i="67" s="1"/>
  <c r="W35" i="67" s="1"/>
  <c r="U36" i="67"/>
  <c r="V36" i="67" s="1"/>
  <c r="W36" i="67" s="1"/>
  <c r="U37" i="67"/>
  <c r="V37" i="67" s="1"/>
  <c r="W37" i="67" s="1"/>
  <c r="U38" i="67"/>
  <c r="V38" i="67" s="1"/>
  <c r="W38" i="67" s="1"/>
  <c r="U39" i="67"/>
  <c r="V39" i="67" s="1"/>
  <c r="W39" i="67" s="1"/>
  <c r="U40" i="67"/>
  <c r="V40" i="67" s="1"/>
  <c r="W40" i="67" s="1"/>
  <c r="U41" i="67"/>
  <c r="V41" i="67" s="1"/>
  <c r="W41" i="67" s="1"/>
  <c r="U42" i="67"/>
  <c r="V42" i="67" s="1"/>
  <c r="W42" i="67" s="1"/>
  <c r="U43" i="67"/>
  <c r="V43" i="67" s="1"/>
  <c r="W43" i="67" s="1"/>
  <c r="U44" i="67"/>
  <c r="V44" i="67" s="1"/>
  <c r="W44" i="67" s="1"/>
  <c r="U45" i="67"/>
  <c r="V45" i="67" s="1"/>
  <c r="W45" i="67" s="1"/>
  <c r="U46" i="67"/>
  <c r="V46" i="67" s="1"/>
  <c r="W46" i="67" s="1"/>
  <c r="U47" i="67"/>
  <c r="V47" i="67" s="1"/>
  <c r="W47" i="67" s="1"/>
  <c r="U48" i="67"/>
  <c r="V48" i="67" s="1"/>
  <c r="W48" i="67" s="1"/>
  <c r="U49" i="67"/>
  <c r="V49" i="67" s="1"/>
  <c r="W49" i="67" s="1"/>
  <c r="U50" i="67"/>
  <c r="V50" i="67" s="1"/>
  <c r="W50" i="67" s="1"/>
  <c r="U51" i="67"/>
  <c r="V51" i="67" s="1"/>
  <c r="W51" i="67" s="1"/>
  <c r="U52" i="67"/>
  <c r="V52" i="67" s="1"/>
  <c r="W52" i="67" s="1"/>
  <c r="U53" i="67"/>
  <c r="V53" i="67" s="1"/>
  <c r="W53" i="67" s="1"/>
  <c r="V54" i="67"/>
  <c r="W54" i="67" s="1"/>
  <c r="V55" i="67"/>
  <c r="W55" i="67" s="1"/>
  <c r="U56" i="67"/>
  <c r="V56" i="67" s="1"/>
  <c r="W56" i="67" s="1"/>
  <c r="U57" i="67"/>
  <c r="V57" i="67" s="1"/>
  <c r="W57" i="67" s="1"/>
  <c r="U58" i="67"/>
  <c r="V58" i="67" s="1"/>
  <c r="W58" i="67" s="1"/>
  <c r="U59" i="67"/>
  <c r="V59" i="67" s="1"/>
  <c r="W59" i="67" s="1"/>
  <c r="U60" i="67"/>
  <c r="V60" i="67" s="1"/>
  <c r="W60" i="67" s="1"/>
  <c r="U75" i="67"/>
  <c r="V75" i="67" s="1"/>
  <c r="W75" i="67" s="1"/>
  <c r="S58" i="67"/>
  <c r="S54" i="67"/>
  <c r="S49" i="67"/>
  <c r="S41" i="67"/>
  <c r="S36" i="67"/>
  <c r="S32" i="67"/>
  <c r="L55" i="67"/>
  <c r="M55" i="67"/>
  <c r="N55" i="67"/>
  <c r="L56" i="67"/>
  <c r="M56" i="67"/>
  <c r="N56" i="67"/>
  <c r="L57" i="67"/>
  <c r="M57" i="67"/>
  <c r="N57" i="67"/>
  <c r="L58" i="67"/>
  <c r="M58" i="67"/>
  <c r="N58" i="67"/>
  <c r="L59" i="67"/>
  <c r="M59" i="67"/>
  <c r="N59" i="67"/>
  <c r="L60" i="67"/>
  <c r="M60" i="67"/>
  <c r="N60" i="67"/>
  <c r="L31" i="67"/>
  <c r="M31" i="67"/>
  <c r="N31" i="67"/>
  <c r="L32" i="67"/>
  <c r="M32" i="67"/>
  <c r="N32" i="67"/>
  <c r="L33" i="67"/>
  <c r="M33" i="67"/>
  <c r="N33" i="67"/>
  <c r="L34" i="67"/>
  <c r="M34" i="67"/>
  <c r="N34" i="67"/>
  <c r="L35" i="67"/>
  <c r="M35" i="67"/>
  <c r="N35" i="67"/>
  <c r="L36" i="67"/>
  <c r="M36" i="67"/>
  <c r="N36" i="67"/>
  <c r="L37" i="67"/>
  <c r="M37" i="67"/>
  <c r="N37" i="67"/>
  <c r="L38" i="67"/>
  <c r="M38" i="67"/>
  <c r="N38" i="67"/>
  <c r="L39" i="67"/>
  <c r="M39" i="67"/>
  <c r="N39" i="67"/>
  <c r="L40" i="67"/>
  <c r="M40" i="67"/>
  <c r="N40" i="67"/>
  <c r="L41" i="67"/>
  <c r="M41" i="67"/>
  <c r="N41" i="67"/>
  <c r="L42" i="67"/>
  <c r="M42" i="67"/>
  <c r="N42" i="67"/>
  <c r="L43" i="67"/>
  <c r="M43" i="67"/>
  <c r="N43" i="67"/>
  <c r="L44" i="67"/>
  <c r="M44" i="67"/>
  <c r="N44" i="67"/>
  <c r="L45" i="67"/>
  <c r="M45" i="67"/>
  <c r="N45" i="67"/>
  <c r="L46" i="67"/>
  <c r="M46" i="67"/>
  <c r="N46" i="67"/>
  <c r="L47" i="67"/>
  <c r="M47" i="67"/>
  <c r="N47" i="67"/>
  <c r="L48" i="67"/>
  <c r="M48" i="67"/>
  <c r="N48" i="67"/>
  <c r="L49" i="67"/>
  <c r="M49" i="67"/>
  <c r="N49" i="67"/>
  <c r="L50" i="67"/>
  <c r="M50" i="67"/>
  <c r="N50" i="67"/>
  <c r="L51" i="67"/>
  <c r="M51" i="67"/>
  <c r="N51" i="67"/>
  <c r="L52" i="67"/>
  <c r="M52" i="67"/>
  <c r="N52" i="67"/>
  <c r="L53" i="67"/>
  <c r="M53" i="67"/>
  <c r="N53" i="67"/>
  <c r="L54" i="67"/>
  <c r="M54" i="67"/>
  <c r="N54" i="67"/>
  <c r="A3" i="47"/>
  <c r="A4" i="47" s="1"/>
  <c r="A5" i="47" s="1"/>
  <c r="A6" i="47" s="1"/>
  <c r="A7" i="47" s="1"/>
  <c r="A8" i="47" s="1"/>
  <c r="A9" i="47" s="1"/>
  <c r="A10" i="47" s="1"/>
  <c r="A11" i="47" s="1"/>
  <c r="A12" i="47" s="1"/>
  <c r="A13" i="47" s="1"/>
  <c r="A14" i="47" s="1"/>
  <c r="A15" i="47" s="1"/>
  <c r="A16" i="47" s="1"/>
  <c r="A17" i="47" s="1"/>
  <c r="A18" i="47" s="1"/>
  <c r="A19" i="47" s="1"/>
  <c r="A20" i="47" s="1"/>
  <c r="A21" i="47" s="1"/>
  <c r="A22" i="47" s="1"/>
  <c r="A23" i="47" s="1"/>
  <c r="A24" i="47" s="1"/>
  <c r="A25" i="47" s="1"/>
  <c r="A26" i="47" s="1"/>
  <c r="A27" i="47" s="1"/>
  <c r="A28" i="47" s="1"/>
  <c r="A29" i="47" s="1"/>
  <c r="A30" i="47" s="1"/>
  <c r="A31" i="47" s="1"/>
  <c r="A32" i="47" s="1"/>
  <c r="A33" i="47" s="1"/>
  <c r="A34" i="47" s="1"/>
  <c r="A35" i="47" s="1"/>
  <c r="A36" i="47" s="1"/>
  <c r="A37" i="47" s="1"/>
  <c r="A38" i="47" s="1"/>
  <c r="A39" i="47" s="1"/>
  <c r="A40" i="47" s="1"/>
  <c r="A41" i="47" s="1"/>
  <c r="A42" i="47" s="1"/>
  <c r="A43" i="47" s="1"/>
  <c r="A44" i="47" s="1"/>
  <c r="A45" i="47" s="1"/>
  <c r="A46" i="47" s="1"/>
  <c r="A47" i="47" s="1"/>
  <c r="A48" i="47" s="1"/>
  <c r="A49" i="47" s="1"/>
  <c r="A50" i="47" s="1"/>
  <c r="A51" i="47" s="1"/>
  <c r="A52" i="47" s="1"/>
  <c r="A53" i="47" s="1"/>
  <c r="A54" i="47" s="1"/>
  <c r="A55" i="47" s="1"/>
  <c r="A56" i="47" s="1"/>
  <c r="A57" i="47" s="1"/>
  <c r="A58" i="47" s="1"/>
  <c r="A59" i="47" s="1"/>
  <c r="A60" i="47" s="1"/>
  <c r="A61" i="47" s="1"/>
  <c r="A62" i="47" s="1"/>
  <c r="A63" i="47" s="1"/>
  <c r="A64" i="47" s="1"/>
  <c r="A65" i="47" s="1"/>
  <c r="A66" i="47" s="1"/>
  <c r="A67" i="47" s="1"/>
  <c r="A68" i="47" s="1"/>
  <c r="A69" i="47" s="1"/>
  <c r="A70" i="47" s="1"/>
  <c r="A71" i="47" s="1"/>
  <c r="A72" i="47" s="1"/>
  <c r="A73" i="47" s="1"/>
  <c r="A74" i="47" s="1"/>
  <c r="A75" i="47" s="1"/>
  <c r="A76" i="47" s="1"/>
  <c r="A77" i="47" s="1"/>
  <c r="A78" i="47" s="1"/>
  <c r="A79" i="47" s="1"/>
  <c r="A80" i="47" s="1"/>
  <c r="A81" i="47" s="1"/>
  <c r="A82" i="47" s="1"/>
  <c r="A83" i="47" s="1"/>
  <c r="A84" i="47" s="1"/>
  <c r="A85" i="47" s="1"/>
  <c r="A86" i="47" s="1"/>
  <c r="A87" i="47" s="1"/>
  <c r="A88" i="47" s="1"/>
  <c r="A89" i="47" s="1"/>
  <c r="A90" i="47" s="1"/>
  <c r="A91" i="47" s="1"/>
  <c r="A92" i="47" s="1"/>
  <c r="A93" i="47" s="1"/>
  <c r="A94" i="47" s="1"/>
  <c r="A95" i="47" s="1"/>
  <c r="A96" i="47" s="1"/>
  <c r="A97" i="47" s="1"/>
  <c r="A98" i="47" s="1"/>
  <c r="A99" i="47" s="1"/>
  <c r="A100" i="47" s="1"/>
  <c r="A101" i="47" s="1"/>
  <c r="A102" i="47" s="1"/>
  <c r="A103" i="47" s="1"/>
  <c r="A104" i="47" s="1"/>
  <c r="A105" i="47" s="1"/>
  <c r="A106" i="47" s="1"/>
  <c r="A107" i="47" s="1"/>
  <c r="A108" i="47" s="1"/>
  <c r="A109" i="47" s="1"/>
  <c r="A110" i="47" s="1"/>
  <c r="A111" i="47" s="1"/>
  <c r="A112" i="47" s="1"/>
  <c r="A113" i="47" s="1"/>
  <c r="A114" i="47" s="1"/>
  <c r="A115" i="47" s="1"/>
  <c r="A116" i="47" s="1"/>
  <c r="A117" i="47" s="1"/>
  <c r="A118" i="47" s="1"/>
  <c r="A119" i="47" s="1"/>
  <c r="A120" i="47" s="1"/>
  <c r="A121" i="47" s="1"/>
  <c r="A122" i="47" s="1"/>
  <c r="A123" i="47" s="1"/>
  <c r="A124" i="47" s="1"/>
  <c r="A125" i="47" s="1"/>
  <c r="A126" i="47" s="1"/>
  <c r="A127" i="47" s="1"/>
  <c r="A128" i="47" s="1"/>
  <c r="A129" i="47" s="1"/>
  <c r="A130" i="47" s="1"/>
  <c r="A131" i="47" s="1"/>
  <c r="A132" i="47" s="1"/>
  <c r="A133" i="47" s="1"/>
  <c r="A134" i="47" s="1"/>
  <c r="A135" i="47" s="1"/>
  <c r="A136" i="47" s="1"/>
  <c r="A137" i="47" s="1"/>
  <c r="A138" i="47" s="1"/>
  <c r="A139" i="47" s="1"/>
  <c r="A140" i="47" s="1"/>
  <c r="A141" i="47" s="1"/>
  <c r="A142" i="47" s="1"/>
  <c r="A143" i="47" s="1"/>
  <c r="A144" i="47" s="1"/>
  <c r="A145" i="47" s="1"/>
  <c r="A146" i="47" s="1"/>
  <c r="A147" i="47" s="1"/>
  <c r="A148" i="47" s="1"/>
  <c r="A149" i="47" s="1"/>
  <c r="A150" i="47" s="1"/>
  <c r="A151" i="47" s="1"/>
  <c r="A152" i="47" s="1"/>
  <c r="A153" i="47" s="1"/>
  <c r="A154" i="47" s="1"/>
  <c r="A155" i="47" s="1"/>
  <c r="A156" i="47" s="1"/>
  <c r="A157" i="47" s="1"/>
  <c r="A158" i="47" s="1"/>
  <c r="A159" i="47" s="1"/>
  <c r="A160" i="47" s="1"/>
  <c r="A161" i="47" s="1"/>
  <c r="A162" i="47" s="1"/>
  <c r="A163" i="47" s="1"/>
  <c r="A164" i="47" s="1"/>
  <c r="A165" i="47" s="1"/>
  <c r="A166" i="47" s="1"/>
  <c r="A167" i="47" s="1"/>
  <c r="A168" i="47" s="1"/>
  <c r="A169" i="47" s="1"/>
  <c r="A170" i="47" s="1"/>
  <c r="A171" i="47" s="1"/>
  <c r="A172" i="47" s="1"/>
  <c r="A173" i="47" s="1"/>
  <c r="A174" i="47" s="1"/>
  <c r="A175" i="47" s="1"/>
  <c r="A176" i="47" s="1"/>
  <c r="A177" i="47" s="1"/>
  <c r="A178" i="47" s="1"/>
  <c r="A179" i="47" s="1"/>
  <c r="A180" i="47" s="1"/>
  <c r="A181" i="47" s="1"/>
  <c r="A182" i="47" s="1"/>
  <c r="A183" i="47" s="1"/>
  <c r="A184" i="47" s="1"/>
  <c r="A185" i="47" s="1"/>
  <c r="A186" i="47" s="1"/>
  <c r="A187" i="47" s="1"/>
  <c r="A188" i="47" s="1"/>
  <c r="A189" i="47" s="1"/>
  <c r="A190" i="47" s="1"/>
  <c r="A191" i="47" s="1"/>
  <c r="A192" i="47" s="1"/>
  <c r="A193" i="47" s="1"/>
  <c r="A194" i="47" s="1"/>
  <c r="A195" i="47" s="1"/>
  <c r="A196" i="47" s="1"/>
  <c r="A197" i="47" s="1"/>
  <c r="A198" i="47" s="1"/>
  <c r="A199" i="47" s="1"/>
  <c r="A200" i="47" s="1"/>
  <c r="A201" i="47" s="1"/>
  <c r="A202" i="47" s="1"/>
  <c r="A203" i="47" s="1"/>
  <c r="A204" i="47" s="1"/>
  <c r="A205" i="47" s="1"/>
  <c r="A206" i="47" s="1"/>
  <c r="A207" i="47" s="1"/>
  <c r="A208" i="47" s="1"/>
  <c r="A209" i="47" s="1"/>
  <c r="A210" i="47" s="1"/>
  <c r="A211" i="47" s="1"/>
  <c r="A212" i="47" s="1"/>
  <c r="A213" i="47" s="1"/>
  <c r="A214" i="47" s="1"/>
  <c r="A215" i="47" s="1"/>
  <c r="A216" i="47" s="1"/>
  <c r="A217" i="47" s="1"/>
  <c r="A218" i="47" s="1"/>
  <c r="A219" i="47" s="1"/>
  <c r="A220" i="47" s="1"/>
  <c r="A221" i="47" s="1"/>
  <c r="A222" i="47" s="1"/>
  <c r="A223" i="47" s="1"/>
  <c r="A224" i="47" s="1"/>
  <c r="A225" i="47" s="1"/>
  <c r="A226" i="47" s="1"/>
  <c r="A227" i="47" s="1"/>
  <c r="A228" i="47" s="1"/>
  <c r="A229" i="47" s="1"/>
  <c r="A230" i="47" s="1"/>
  <c r="A231" i="47" s="1"/>
  <c r="A232" i="47" s="1"/>
  <c r="A233" i="47" s="1"/>
  <c r="A234" i="47" s="1"/>
  <c r="A235" i="47" s="1"/>
  <c r="A236" i="47" s="1"/>
  <c r="A237" i="47" s="1"/>
  <c r="A238" i="47" s="1"/>
  <c r="A239" i="47" s="1"/>
  <c r="A240" i="47" s="1"/>
  <c r="A241" i="47" s="1"/>
  <c r="A242" i="47" s="1"/>
  <c r="A243" i="47" s="1"/>
  <c r="A244" i="47" s="1"/>
  <c r="A245" i="47" s="1"/>
  <c r="A246" i="47" s="1"/>
  <c r="A247" i="47" s="1"/>
  <c r="A248" i="47" s="1"/>
  <c r="A249" i="47" s="1"/>
  <c r="A250" i="47" s="1"/>
  <c r="A251" i="47" s="1"/>
  <c r="A252" i="47" s="1"/>
  <c r="A253" i="47" s="1"/>
  <c r="A254" i="47" s="1"/>
  <c r="A255" i="47" s="1"/>
  <c r="A256" i="47" s="1"/>
  <c r="A257" i="47" s="1"/>
  <c r="A258" i="47" s="1"/>
  <c r="A259" i="47" s="1"/>
  <c r="A260" i="47" s="1"/>
  <c r="A261" i="47" s="1"/>
  <c r="A262" i="47" s="1"/>
  <c r="A263" i="47" s="1"/>
  <c r="A264" i="47" s="1"/>
  <c r="A265" i="47" s="1"/>
  <c r="A266" i="47" s="1"/>
  <c r="A267" i="47" s="1"/>
  <c r="A268" i="47" s="1"/>
  <c r="A269" i="47" s="1"/>
  <c r="A270" i="47" s="1"/>
  <c r="A271" i="47" s="1"/>
  <c r="A272" i="47" s="1"/>
  <c r="A273" i="47" s="1"/>
  <c r="A274" i="47" s="1"/>
  <c r="A275" i="47" s="1"/>
  <c r="A276" i="47" s="1"/>
  <c r="A277" i="47" s="1"/>
  <c r="A278" i="47" s="1"/>
  <c r="A279" i="47" s="1"/>
  <c r="A280" i="47" s="1"/>
  <c r="A281" i="47" s="1"/>
  <c r="A282" i="47" s="1"/>
  <c r="A283" i="47" s="1"/>
  <c r="A284" i="47" s="1"/>
  <c r="A285" i="47" s="1"/>
  <c r="A286" i="47" s="1"/>
  <c r="A287" i="47" s="1"/>
  <c r="A288" i="47" s="1"/>
  <c r="A289" i="47" s="1"/>
  <c r="A290" i="47" s="1"/>
  <c r="A291" i="47" s="1"/>
  <c r="A292" i="47" s="1"/>
  <c r="A293" i="47" s="1"/>
  <c r="A294" i="47" s="1"/>
  <c r="A295" i="47" s="1"/>
  <c r="A296" i="47" s="1"/>
  <c r="A297" i="47" s="1"/>
  <c r="A298" i="47" s="1"/>
  <c r="A299" i="47" s="1"/>
  <c r="A300" i="47" s="1"/>
  <c r="A301" i="47" s="1"/>
  <c r="A302" i="47" s="1"/>
  <c r="A303" i="47" s="1"/>
  <c r="A304" i="47" s="1"/>
  <c r="A305" i="47" s="1"/>
  <c r="A306" i="47" s="1"/>
  <c r="A307" i="47" s="1"/>
  <c r="A308" i="47" s="1"/>
  <c r="A309" i="47" s="1"/>
  <c r="A310" i="47" s="1"/>
  <c r="A311" i="47" s="1"/>
  <c r="A312" i="47" s="1"/>
  <c r="A313" i="47" s="1"/>
  <c r="A314" i="47" s="1"/>
  <c r="A315" i="47" s="1"/>
  <c r="A316" i="47" s="1"/>
  <c r="A317" i="47" s="1"/>
  <c r="A318" i="47" s="1"/>
  <c r="A319" i="47" s="1"/>
  <c r="A320" i="47" s="1"/>
  <c r="A321" i="47" s="1"/>
  <c r="A322" i="47" s="1"/>
  <c r="A323" i="47" s="1"/>
  <c r="A324" i="47" s="1"/>
  <c r="A325" i="47" s="1"/>
  <c r="A326" i="47" s="1"/>
  <c r="A327" i="47" s="1"/>
  <c r="A328" i="47" s="1"/>
  <c r="A329" i="47" s="1"/>
  <c r="A330" i="47" s="1"/>
  <c r="A331" i="47" s="1"/>
  <c r="A332" i="47" s="1"/>
  <c r="A333" i="47" s="1"/>
  <c r="A334" i="47" s="1"/>
  <c r="A335" i="47" s="1"/>
  <c r="A336" i="47" s="1"/>
  <c r="A337" i="47" s="1"/>
  <c r="A338" i="47" s="1"/>
  <c r="A339" i="47" s="1"/>
  <c r="A340" i="47" s="1"/>
  <c r="A341" i="47" s="1"/>
  <c r="A342" i="47" s="1"/>
  <c r="A343" i="47" s="1"/>
  <c r="A344" i="47" s="1"/>
  <c r="A345" i="47" s="1"/>
  <c r="A346" i="47" s="1"/>
  <c r="A347" i="47" s="1"/>
  <c r="A348" i="47" s="1"/>
  <c r="A349" i="47" s="1"/>
  <c r="A350" i="47" s="1"/>
  <c r="A351" i="47" s="1"/>
  <c r="A352" i="47" s="1"/>
  <c r="A353" i="47" s="1"/>
  <c r="A354" i="47" s="1"/>
  <c r="A355" i="47" s="1"/>
  <c r="A356" i="47" s="1"/>
  <c r="A357" i="47" s="1"/>
  <c r="A358" i="47" s="1"/>
  <c r="A359" i="47" s="1"/>
  <c r="A360" i="47" s="1"/>
  <c r="A361" i="47" s="1"/>
  <c r="A362" i="47" s="1"/>
  <c r="A363" i="47" s="1"/>
  <c r="A364" i="47" s="1"/>
  <c r="A365" i="47" s="1"/>
  <c r="A366" i="47" s="1"/>
  <c r="A367" i="47" s="1"/>
  <c r="A368" i="47" s="1"/>
  <c r="A369" i="47" s="1"/>
  <c r="A370" i="47" s="1"/>
  <c r="A371" i="47" s="1"/>
  <c r="A372" i="47" s="1"/>
  <c r="A373" i="47" s="1"/>
  <c r="A374" i="47" s="1"/>
  <c r="A375" i="47" s="1"/>
  <c r="A376" i="47" s="1"/>
  <c r="A377" i="47" s="1"/>
  <c r="A378" i="47" s="1"/>
  <c r="A379" i="47" s="1"/>
  <c r="A380" i="47" s="1"/>
  <c r="A381" i="47" s="1"/>
  <c r="A382" i="47" s="1"/>
  <c r="A383" i="47" s="1"/>
  <c r="A384" i="47" s="1"/>
  <c r="A385" i="47" s="1"/>
  <c r="A386" i="47" s="1"/>
  <c r="A387" i="47" s="1"/>
  <c r="A388" i="47" s="1"/>
  <c r="A389" i="47" s="1"/>
  <c r="A390" i="47" s="1"/>
  <c r="A391" i="47" s="1"/>
  <c r="A392" i="47" s="1"/>
  <c r="A393" i="47" s="1"/>
  <c r="A394" i="47" s="1"/>
  <c r="A395" i="47" s="1"/>
  <c r="A396" i="47" s="1"/>
  <c r="A397" i="47" s="1"/>
  <c r="A398" i="47" s="1"/>
  <c r="A399" i="47" s="1"/>
  <c r="A400" i="47" s="1"/>
  <c r="A401" i="47" s="1"/>
  <c r="A402" i="47" s="1"/>
  <c r="A403" i="47" s="1"/>
  <c r="A404" i="47" s="1"/>
  <c r="A405" i="47" s="1"/>
  <c r="A406" i="47" s="1"/>
  <c r="A407" i="47" s="1"/>
  <c r="A408" i="47" s="1"/>
  <c r="A409" i="47" s="1"/>
  <c r="A410" i="47" s="1"/>
  <c r="A411" i="47" s="1"/>
  <c r="A412" i="47" s="1"/>
  <c r="A413" i="47" s="1"/>
  <c r="A414" i="47" s="1"/>
  <c r="A415" i="47" s="1"/>
  <c r="A416" i="47" s="1"/>
  <c r="A417" i="47" s="1"/>
  <c r="A418" i="47" s="1"/>
  <c r="A419" i="47" s="1"/>
  <c r="A420" i="47" s="1"/>
  <c r="A421" i="47" s="1"/>
  <c r="A422" i="47" s="1"/>
  <c r="A423" i="47" s="1"/>
  <c r="A424" i="47" s="1"/>
  <c r="A425" i="47" s="1"/>
  <c r="A426" i="47" s="1"/>
  <c r="A427" i="47" s="1"/>
  <c r="A428" i="47" s="1"/>
  <c r="A429" i="47" s="1"/>
  <c r="A430" i="47" s="1"/>
  <c r="A431" i="47" s="1"/>
  <c r="A432" i="47" s="1"/>
  <c r="A433" i="47" s="1"/>
  <c r="A434" i="47" s="1"/>
  <c r="A435" i="47" s="1"/>
  <c r="A436" i="47" s="1"/>
  <c r="A437" i="47" s="1"/>
  <c r="A438" i="47" s="1"/>
  <c r="A439" i="47" s="1"/>
  <c r="A440" i="47" s="1"/>
  <c r="A441" i="47" s="1"/>
  <c r="A442" i="47" s="1"/>
  <c r="A443" i="47" s="1"/>
  <c r="A444" i="47" s="1"/>
  <c r="A445" i="47" s="1"/>
  <c r="A446" i="47" s="1"/>
  <c r="A447" i="47" s="1"/>
  <c r="A448" i="47" s="1"/>
  <c r="A449" i="47" s="1"/>
  <c r="A450" i="47" s="1"/>
  <c r="A451" i="47" s="1"/>
  <c r="A452" i="47" s="1"/>
  <c r="A453" i="47" s="1"/>
  <c r="A454" i="47" s="1"/>
  <c r="A455" i="47" s="1"/>
  <c r="A456" i="47" s="1"/>
  <c r="A457" i="47" s="1"/>
  <c r="A458" i="47" s="1"/>
  <c r="A459" i="47" s="1"/>
  <c r="A460" i="47" s="1"/>
  <c r="A461" i="47" s="1"/>
  <c r="A462" i="47" s="1"/>
  <c r="A463" i="47" s="1"/>
  <c r="A464" i="47" s="1"/>
  <c r="A465" i="47" s="1"/>
  <c r="A466" i="47" s="1"/>
  <c r="A467" i="47" s="1"/>
  <c r="A468" i="47" s="1"/>
  <c r="A469" i="47" s="1"/>
  <c r="A470" i="47" s="1"/>
  <c r="A471" i="47" s="1"/>
  <c r="A472" i="47" s="1"/>
  <c r="A473" i="47" s="1"/>
  <c r="A474" i="47" s="1"/>
  <c r="A475" i="47" s="1"/>
  <c r="A476" i="47" s="1"/>
  <c r="A477" i="47" s="1"/>
  <c r="A478" i="47" s="1"/>
  <c r="A479" i="47" s="1"/>
  <c r="A480" i="47" s="1"/>
  <c r="A481" i="47" s="1"/>
  <c r="A482" i="47" s="1"/>
  <c r="A483" i="47" s="1"/>
  <c r="A484" i="47" s="1"/>
  <c r="A485" i="47" s="1"/>
  <c r="A486" i="47" s="1"/>
  <c r="A487" i="47" s="1"/>
  <c r="A488" i="47" s="1"/>
  <c r="A489" i="47" s="1"/>
  <c r="A490" i="47" s="1"/>
  <c r="A491" i="47" s="1"/>
  <c r="A492" i="47" s="1"/>
  <c r="A493" i="47" s="1"/>
  <c r="A494" i="47" s="1"/>
  <c r="A495" i="47" s="1"/>
  <c r="A496" i="47" s="1"/>
  <c r="A497" i="47" s="1"/>
  <c r="A498" i="47" s="1"/>
  <c r="A499" i="47" s="1"/>
  <c r="A500" i="47" s="1"/>
  <c r="A501" i="47" s="1"/>
  <c r="A502" i="47" s="1"/>
  <c r="A503" i="47" s="1"/>
  <c r="A504" i="47" s="1"/>
  <c r="A505" i="47" s="1"/>
  <c r="A506" i="47" s="1"/>
  <c r="A507" i="47" s="1"/>
  <c r="A508" i="47" s="1"/>
  <c r="A509" i="47" s="1"/>
  <c r="A510" i="47" s="1"/>
  <c r="A511" i="47" s="1"/>
  <c r="A512" i="47" s="1"/>
  <c r="A513" i="47" s="1"/>
  <c r="A514" i="47" s="1"/>
  <c r="A515" i="47" s="1"/>
  <c r="A516" i="47" s="1"/>
  <c r="A517" i="47" s="1"/>
  <c r="A518" i="47" s="1"/>
  <c r="A519" i="47" s="1"/>
  <c r="A520" i="47" s="1"/>
  <c r="A521" i="47" s="1"/>
  <c r="A522" i="47" s="1"/>
  <c r="A523" i="47" s="1"/>
  <c r="A524" i="47" s="1"/>
  <c r="A525" i="47" s="1"/>
  <c r="A526" i="47" s="1"/>
  <c r="A527" i="47" s="1"/>
  <c r="A528" i="47" s="1"/>
  <c r="A529" i="47" s="1"/>
  <c r="A530" i="47" s="1"/>
  <c r="A531" i="47" s="1"/>
  <c r="A532" i="47" s="1"/>
  <c r="A533" i="47" s="1"/>
  <c r="A534" i="47" s="1"/>
  <c r="A535" i="47" s="1"/>
  <c r="A536" i="47" s="1"/>
  <c r="A537" i="47" s="1"/>
  <c r="A538" i="47" s="1"/>
  <c r="A539" i="47" s="1"/>
  <c r="A540" i="47" s="1"/>
  <c r="A541" i="47" s="1"/>
  <c r="A542" i="47" s="1"/>
  <c r="A543" i="47" s="1"/>
  <c r="A544" i="47" s="1"/>
  <c r="A545" i="47" s="1"/>
  <c r="A546" i="47" s="1"/>
  <c r="A547" i="47" s="1"/>
  <c r="A548" i="47" s="1"/>
  <c r="A549" i="47" s="1"/>
  <c r="A550" i="47" s="1"/>
  <c r="A551" i="47" s="1"/>
  <c r="A552" i="47" s="1"/>
  <c r="A553" i="47" s="1"/>
  <c r="A554" i="47" s="1"/>
  <c r="A555" i="47" s="1"/>
  <c r="A556" i="47" s="1"/>
  <c r="A557" i="47" s="1"/>
  <c r="A558" i="47" s="1"/>
  <c r="A559" i="47" s="1"/>
  <c r="A560" i="47" s="1"/>
  <c r="A561" i="47" s="1"/>
  <c r="A562" i="47" s="1"/>
  <c r="A563" i="47" s="1"/>
  <c r="A564" i="47" s="1"/>
  <c r="A565" i="47" s="1"/>
  <c r="A566" i="47" s="1"/>
  <c r="A567" i="47" s="1"/>
  <c r="A568" i="47" s="1"/>
  <c r="A569" i="47" s="1"/>
  <c r="A570" i="47" s="1"/>
  <c r="A571" i="47" s="1"/>
  <c r="A572" i="47" s="1"/>
  <c r="A573" i="47" s="1"/>
  <c r="A574" i="47" s="1"/>
  <c r="A575" i="47" s="1"/>
  <c r="A576" i="47" s="1"/>
  <c r="A577" i="47" s="1"/>
  <c r="A578" i="47" s="1"/>
  <c r="A579" i="47" s="1"/>
  <c r="A580" i="47" s="1"/>
  <c r="A581" i="47" s="1"/>
  <c r="A582" i="47" s="1"/>
  <c r="A583" i="47" s="1"/>
  <c r="A584" i="47" s="1"/>
  <c r="A585" i="47" s="1"/>
  <c r="A586" i="47" s="1"/>
  <c r="A587" i="47" s="1"/>
  <c r="A588" i="47" s="1"/>
  <c r="A589" i="47" s="1"/>
  <c r="A590" i="47" s="1"/>
  <c r="A591" i="47" s="1"/>
  <c r="A592" i="47" s="1"/>
  <c r="A593" i="47" s="1"/>
  <c r="A594" i="47" s="1"/>
  <c r="A595" i="47" s="1"/>
  <c r="A596" i="47" s="1"/>
  <c r="A597" i="47" s="1"/>
  <c r="A598" i="47" s="1"/>
  <c r="A599" i="47" s="1"/>
  <c r="A600" i="47" s="1"/>
  <c r="A601" i="47" s="1"/>
  <c r="A602" i="47" s="1"/>
  <c r="A603" i="47" s="1"/>
  <c r="A604" i="47" s="1"/>
  <c r="A605" i="47" s="1"/>
  <c r="A606" i="47" s="1"/>
  <c r="A607" i="47" s="1"/>
  <c r="A608" i="47" s="1"/>
  <c r="A609" i="47" s="1"/>
  <c r="A610" i="47" s="1"/>
  <c r="A611" i="47" s="1"/>
  <c r="A612" i="47" s="1"/>
  <c r="A613" i="47" s="1"/>
  <c r="A614" i="47" s="1"/>
  <c r="A615" i="47" s="1"/>
  <c r="A616" i="47" s="1"/>
  <c r="A617" i="47" s="1"/>
  <c r="A618" i="47" s="1"/>
  <c r="A619" i="47" s="1"/>
  <c r="A620" i="47" s="1"/>
  <c r="A621" i="47" s="1"/>
  <c r="A622" i="47" s="1"/>
  <c r="A623" i="47" s="1"/>
  <c r="A624" i="47" s="1"/>
  <c r="A625" i="47" s="1"/>
  <c r="A626" i="47" s="1"/>
  <c r="A627" i="47" s="1"/>
  <c r="A628" i="47" s="1"/>
  <c r="A629" i="47" s="1"/>
  <c r="A630" i="47" s="1"/>
  <c r="A631" i="47" s="1"/>
  <c r="A632" i="47" s="1"/>
  <c r="A633" i="47" s="1"/>
  <c r="A634" i="47" s="1"/>
  <c r="A635" i="47" s="1"/>
  <c r="A636" i="47" s="1"/>
  <c r="A637" i="47" s="1"/>
  <c r="A638" i="47" s="1"/>
  <c r="A639" i="47" s="1"/>
  <c r="A640" i="47" s="1"/>
  <c r="A641" i="47" s="1"/>
  <c r="A642" i="47" s="1"/>
  <c r="A643" i="47" s="1"/>
  <c r="A644" i="47" s="1"/>
  <c r="A645" i="47" s="1"/>
  <c r="A646" i="47" s="1"/>
  <c r="A647" i="47" s="1"/>
  <c r="A648" i="47" s="1"/>
  <c r="A649" i="47" s="1"/>
  <c r="A650" i="47" s="1"/>
  <c r="A651" i="47" s="1"/>
  <c r="A652" i="47" s="1"/>
  <c r="A653" i="47" s="1"/>
  <c r="A654" i="47" s="1"/>
  <c r="A655" i="47" s="1"/>
  <c r="A656" i="47" s="1"/>
  <c r="A657" i="47" s="1"/>
  <c r="A658" i="47" s="1"/>
  <c r="A659" i="47" s="1"/>
  <c r="A660" i="47" s="1"/>
  <c r="A661" i="47" s="1"/>
  <c r="A662" i="47" s="1"/>
  <c r="A663" i="47" s="1"/>
  <c r="A664" i="47" s="1"/>
  <c r="A665" i="47" s="1"/>
  <c r="A666" i="47" s="1"/>
  <c r="A667" i="47" s="1"/>
  <c r="A668" i="47" s="1"/>
  <c r="A669" i="47" s="1"/>
  <c r="A670" i="47" s="1"/>
  <c r="A671" i="47" s="1"/>
  <c r="A672" i="47" s="1"/>
  <c r="A673" i="47" s="1"/>
  <c r="A674" i="47" s="1"/>
  <c r="A675" i="47" s="1"/>
  <c r="A676" i="47" s="1"/>
  <c r="A677" i="47" s="1"/>
  <c r="A678" i="47" s="1"/>
  <c r="A679" i="47" s="1"/>
  <c r="A680" i="47" s="1"/>
  <c r="A681" i="47" s="1"/>
  <c r="A682" i="47" s="1"/>
  <c r="A683" i="47" s="1"/>
  <c r="A684" i="47" s="1"/>
  <c r="A685" i="47" s="1"/>
  <c r="A686" i="47" s="1"/>
  <c r="A687" i="47" s="1"/>
  <c r="A688" i="47" s="1"/>
  <c r="A689" i="47" s="1"/>
  <c r="A690" i="47" s="1"/>
  <c r="A691" i="47" s="1"/>
  <c r="A692" i="47" s="1"/>
  <c r="A693" i="47" s="1"/>
  <c r="A694" i="47" s="1"/>
  <c r="A695" i="47" s="1"/>
  <c r="A696" i="47" s="1"/>
  <c r="A697" i="47" s="1"/>
  <c r="A698" i="47" s="1"/>
  <c r="A699" i="47" s="1"/>
  <c r="A700" i="47" s="1"/>
  <c r="A701" i="47" s="1"/>
  <c r="A702" i="47" s="1"/>
  <c r="A703" i="47" s="1"/>
  <c r="A704" i="47" s="1"/>
  <c r="A705" i="47" s="1"/>
  <c r="A706" i="47" s="1"/>
  <c r="A707" i="47" s="1"/>
  <c r="A708" i="47" s="1"/>
  <c r="A709" i="47" s="1"/>
  <c r="A710" i="47" s="1"/>
  <c r="A711" i="47" s="1"/>
  <c r="A712" i="47" s="1"/>
  <c r="A713" i="47" s="1"/>
  <c r="A714" i="47" s="1"/>
  <c r="A715" i="47" s="1"/>
  <c r="A716" i="47" s="1"/>
  <c r="A717" i="47" s="1"/>
  <c r="A718" i="47" s="1"/>
  <c r="A719" i="47" s="1"/>
  <c r="A720" i="47" s="1"/>
  <c r="A721" i="47" s="1"/>
  <c r="A722" i="47" s="1"/>
  <c r="A723" i="47" s="1"/>
  <c r="A724" i="47" s="1"/>
  <c r="A725" i="47" s="1"/>
  <c r="A726" i="47" s="1"/>
  <c r="A727" i="47" s="1"/>
  <c r="A728" i="47" s="1"/>
  <c r="A729" i="47" s="1"/>
  <c r="A730" i="47" s="1"/>
  <c r="A731" i="47" s="1"/>
  <c r="A732" i="47" s="1"/>
  <c r="A733" i="47" s="1"/>
  <c r="A734" i="47" s="1"/>
  <c r="A735" i="47" s="1"/>
  <c r="A736" i="47" s="1"/>
  <c r="A737" i="47" s="1"/>
  <c r="A738" i="47" s="1"/>
  <c r="A739" i="47" s="1"/>
  <c r="A740" i="47" s="1"/>
  <c r="A741" i="47" s="1"/>
  <c r="A742" i="47" s="1"/>
  <c r="A743" i="47" s="1"/>
  <c r="A744" i="47" s="1"/>
  <c r="A745" i="47" s="1"/>
  <c r="A746" i="47" s="1"/>
  <c r="A747" i="47" s="1"/>
  <c r="A748" i="47" s="1"/>
  <c r="A749" i="47" s="1"/>
  <c r="A750" i="47" s="1"/>
  <c r="A751" i="47" s="1"/>
  <c r="A752" i="47" s="1"/>
  <c r="A753" i="47" s="1"/>
  <c r="A754" i="47" s="1"/>
  <c r="A755" i="47" s="1"/>
  <c r="A756" i="47" s="1"/>
  <c r="A757" i="47" s="1"/>
  <c r="A758" i="47" s="1"/>
  <c r="A759" i="47" s="1"/>
  <c r="A760" i="47" s="1"/>
  <c r="A761" i="47" s="1"/>
  <c r="A762" i="47" s="1"/>
  <c r="A763" i="47" s="1"/>
  <c r="A764" i="47" s="1"/>
  <c r="A765" i="47" s="1"/>
  <c r="A766" i="47" s="1"/>
  <c r="A767" i="47" s="1"/>
  <c r="A768" i="47" s="1"/>
  <c r="A769" i="47" s="1"/>
  <c r="A770" i="47" s="1"/>
  <c r="A771" i="47" s="1"/>
  <c r="A772" i="47" s="1"/>
  <c r="A773" i="47" s="1"/>
  <c r="A774" i="47" s="1"/>
  <c r="A775" i="47" s="1"/>
  <c r="A776" i="47" s="1"/>
  <c r="A777" i="47" s="1"/>
  <c r="A778" i="47" s="1"/>
  <c r="A779" i="47" s="1"/>
  <c r="A780" i="47" s="1"/>
  <c r="A781" i="47" s="1"/>
  <c r="A782" i="47" s="1"/>
  <c r="A783" i="47" s="1"/>
  <c r="A784" i="47" s="1"/>
  <c r="A785" i="47" s="1"/>
  <c r="A786" i="47" s="1"/>
  <c r="A787" i="47" s="1"/>
  <c r="A788" i="47" s="1"/>
  <c r="A789" i="47" s="1"/>
  <c r="A790" i="47" s="1"/>
  <c r="A791" i="47" s="1"/>
  <c r="A792" i="47" s="1"/>
  <c r="A793" i="47" s="1"/>
  <c r="A794" i="47" s="1"/>
  <c r="A795" i="47" s="1"/>
  <c r="A796" i="47" s="1"/>
  <c r="A797" i="47" s="1"/>
  <c r="A798" i="47" s="1"/>
  <c r="A799" i="47" s="1"/>
  <c r="A800" i="47" s="1"/>
  <c r="A801" i="47" s="1"/>
  <c r="A802" i="47" s="1"/>
  <c r="A803" i="47" s="1"/>
  <c r="A804" i="47" s="1"/>
  <c r="A805" i="47" s="1"/>
  <c r="A806" i="47" s="1"/>
  <c r="A807" i="47" s="1"/>
  <c r="A808" i="47" s="1"/>
  <c r="A809" i="47" s="1"/>
  <c r="A810" i="47" s="1"/>
  <c r="A811" i="47" s="1"/>
  <c r="A812" i="47" s="1"/>
  <c r="A813" i="47" s="1"/>
  <c r="A814" i="47" s="1"/>
  <c r="A815" i="47" s="1"/>
  <c r="A816" i="47" s="1"/>
  <c r="A817" i="47" s="1"/>
  <c r="A818" i="47" s="1"/>
  <c r="A819" i="47" s="1"/>
  <c r="A820" i="47" s="1"/>
  <c r="A821" i="47" s="1"/>
  <c r="A822" i="47" s="1"/>
  <c r="A823" i="47" s="1"/>
  <c r="A824" i="47" s="1"/>
  <c r="A825" i="47" s="1"/>
  <c r="A826" i="47" s="1"/>
  <c r="A827" i="47" s="1"/>
  <c r="A828" i="47" s="1"/>
  <c r="A829" i="47" s="1"/>
  <c r="A830" i="47" s="1"/>
  <c r="A831" i="47" s="1"/>
  <c r="A832" i="47" s="1"/>
  <c r="A833" i="47" s="1"/>
  <c r="A834" i="47" s="1"/>
  <c r="A835" i="47" s="1"/>
  <c r="A836" i="47" s="1"/>
  <c r="A837" i="47" s="1"/>
  <c r="A838" i="47" s="1"/>
  <c r="A839" i="47" s="1"/>
  <c r="A840" i="47" s="1"/>
  <c r="A841" i="47" s="1"/>
  <c r="A842" i="47" s="1"/>
  <c r="A843" i="47" s="1"/>
  <c r="A844" i="47" s="1"/>
  <c r="A845" i="47" s="1"/>
  <c r="A846" i="47" s="1"/>
  <c r="A847" i="47" s="1"/>
  <c r="A848" i="47" s="1"/>
  <c r="A849" i="47" s="1"/>
  <c r="A850" i="47" s="1"/>
  <c r="A851" i="47" s="1"/>
  <c r="A852" i="47" s="1"/>
  <c r="A853" i="47" s="1"/>
  <c r="A854" i="47" s="1"/>
  <c r="A855" i="47" s="1"/>
  <c r="A856" i="47" s="1"/>
  <c r="A857" i="47" s="1"/>
  <c r="A858" i="47" s="1"/>
  <c r="A859" i="47" s="1"/>
  <c r="A860" i="47" s="1"/>
  <c r="A861" i="47" s="1"/>
  <c r="A862" i="47" s="1"/>
  <c r="A863" i="47" s="1"/>
  <c r="A864" i="47" s="1"/>
  <c r="A865" i="47" s="1"/>
  <c r="A866" i="47" s="1"/>
  <c r="A867" i="47" s="1"/>
  <c r="A868" i="47" s="1"/>
  <c r="A869" i="47" s="1"/>
  <c r="A870" i="47" s="1"/>
  <c r="A871" i="47" s="1"/>
  <c r="A872" i="47" s="1"/>
  <c r="A873" i="47" s="1"/>
  <c r="A874" i="47" s="1"/>
  <c r="A875" i="47" s="1"/>
  <c r="A876" i="47" s="1"/>
  <c r="A877" i="47" s="1"/>
  <c r="A878" i="47" s="1"/>
  <c r="A879" i="47" s="1"/>
  <c r="A880" i="47" s="1"/>
  <c r="A881" i="47" s="1"/>
  <c r="A882" i="47" s="1"/>
  <c r="A883" i="47" s="1"/>
  <c r="A884" i="47" s="1"/>
  <c r="A885" i="47" s="1"/>
  <c r="A886" i="47" s="1"/>
  <c r="A887" i="47" s="1"/>
  <c r="A888" i="47" s="1"/>
  <c r="A889" i="47" s="1"/>
  <c r="A890" i="47" s="1"/>
  <c r="A891" i="47" s="1"/>
  <c r="A892" i="47" s="1"/>
  <c r="A893" i="47" s="1"/>
  <c r="A894" i="47" s="1"/>
  <c r="A895" i="47" s="1"/>
  <c r="A896" i="47" s="1"/>
  <c r="A897" i="47" s="1"/>
  <c r="A898" i="47" s="1"/>
  <c r="A899" i="47" s="1"/>
  <c r="A900" i="47" s="1"/>
  <c r="A901" i="47" s="1"/>
  <c r="A902" i="47" s="1"/>
  <c r="A903" i="47" s="1"/>
  <c r="A904" i="47" s="1"/>
  <c r="A905" i="47" s="1"/>
  <c r="A906" i="47" s="1"/>
  <c r="A907" i="47" s="1"/>
  <c r="A908" i="47" s="1"/>
  <c r="A909" i="47" s="1"/>
  <c r="A910" i="47" s="1"/>
  <c r="A911" i="47" s="1"/>
  <c r="A912" i="47" s="1"/>
  <c r="A913" i="47" s="1"/>
  <c r="A914" i="47" s="1"/>
  <c r="A915" i="47" s="1"/>
  <c r="A916" i="47" s="1"/>
  <c r="A917" i="47" s="1"/>
  <c r="A918" i="47" s="1"/>
  <c r="A919" i="47" s="1"/>
  <c r="A920" i="47" s="1"/>
  <c r="A921" i="47" s="1"/>
  <c r="A922" i="47" s="1"/>
  <c r="A923" i="47" s="1"/>
  <c r="A924" i="47" s="1"/>
  <c r="A925" i="47" s="1"/>
  <c r="A926" i="47" s="1"/>
  <c r="A927" i="47" s="1"/>
  <c r="A928" i="47" s="1"/>
  <c r="A929" i="47" s="1"/>
  <c r="A930" i="47" s="1"/>
  <c r="A931" i="47" s="1"/>
  <c r="A932" i="47" s="1"/>
  <c r="A933" i="47" s="1"/>
  <c r="A934" i="47" s="1"/>
  <c r="A935" i="47" s="1"/>
  <c r="A936" i="47" s="1"/>
  <c r="A937" i="47" s="1"/>
  <c r="A938" i="47" s="1"/>
  <c r="A939" i="47" s="1"/>
  <c r="A940" i="47" s="1"/>
  <c r="A941" i="47" s="1"/>
  <c r="A942" i="47" s="1"/>
  <c r="A943" i="47" s="1"/>
  <c r="A944" i="47" s="1"/>
  <c r="A945" i="47" s="1"/>
  <c r="A946" i="47" s="1"/>
  <c r="A947" i="47" s="1"/>
  <c r="A948" i="47" s="1"/>
  <c r="A949" i="47" s="1"/>
  <c r="A950" i="47" s="1"/>
  <c r="A951" i="47" s="1"/>
  <c r="A952" i="47" s="1"/>
  <c r="A953" i="47" s="1"/>
  <c r="A954" i="47" s="1"/>
  <c r="A955" i="47" s="1"/>
  <c r="A956" i="47" s="1"/>
  <c r="A957" i="47" s="1"/>
  <c r="A958" i="47" s="1"/>
  <c r="A959" i="47" s="1"/>
  <c r="A960" i="47" s="1"/>
  <c r="A961" i="47" s="1"/>
  <c r="A962" i="47" s="1"/>
  <c r="A963" i="47" s="1"/>
  <c r="A964" i="47" s="1"/>
  <c r="A965" i="47" s="1"/>
  <c r="A966" i="47" s="1"/>
  <c r="A967" i="47" s="1"/>
  <c r="A968" i="47" s="1"/>
  <c r="A969" i="47" s="1"/>
  <c r="A970" i="47" s="1"/>
  <c r="A971" i="47" s="1"/>
  <c r="A972" i="47" s="1"/>
  <c r="A973" i="47" s="1"/>
  <c r="A974" i="47" s="1"/>
  <c r="A975" i="47" s="1"/>
  <c r="A976" i="47" s="1"/>
  <c r="A977" i="47" s="1"/>
  <c r="A978" i="47" s="1"/>
  <c r="A979" i="47" s="1"/>
  <c r="A980" i="47" s="1"/>
  <c r="A981" i="47" s="1"/>
  <c r="A982" i="47" s="1"/>
  <c r="A983" i="47" s="1"/>
  <c r="A984" i="47" s="1"/>
  <c r="A985" i="47" s="1"/>
  <c r="A986" i="47" s="1"/>
  <c r="A987" i="47" s="1"/>
  <c r="A988" i="47" s="1"/>
  <c r="A989" i="47" s="1"/>
  <c r="A990" i="47" s="1"/>
  <c r="A991" i="47" s="1"/>
  <c r="A992" i="47" s="1"/>
  <c r="A993" i="47" s="1"/>
  <c r="A994" i="47" s="1"/>
  <c r="A995" i="47" s="1"/>
  <c r="A996" i="47" s="1"/>
  <c r="A997" i="47" s="1"/>
  <c r="A998" i="47" s="1"/>
  <c r="A999" i="47" s="1"/>
  <c r="A1000" i="47" s="1"/>
  <c r="A1001" i="47" s="1"/>
  <c r="A1002" i="47" s="1"/>
  <c r="A1003" i="47" s="1"/>
  <c r="A1004" i="47" s="1"/>
  <c r="A1005" i="47" s="1"/>
  <c r="A1006" i="47" s="1"/>
  <c r="A1007" i="47" s="1"/>
  <c r="A1008" i="47" s="1"/>
  <c r="A1009" i="47" s="1"/>
  <c r="A1010" i="47" s="1"/>
  <c r="A1011" i="47" s="1"/>
  <c r="A1012" i="47" s="1"/>
  <c r="A1013" i="47" s="1"/>
  <c r="A1014" i="47" s="1"/>
  <c r="A1015" i="47" s="1"/>
  <c r="A1016" i="47" s="1"/>
  <c r="A1017" i="47" s="1"/>
  <c r="A1018" i="47" s="1"/>
  <c r="A1019" i="47" s="1"/>
  <c r="A1020" i="47" s="1"/>
  <c r="A1021" i="47" s="1"/>
  <c r="A1022" i="47" s="1"/>
  <c r="A1023" i="47" s="1"/>
  <c r="A1024" i="47" s="1"/>
  <c r="A1025" i="47" s="1"/>
  <c r="A1026" i="47" s="1"/>
  <c r="A1027" i="47" s="1"/>
  <c r="A1028" i="47" s="1"/>
  <c r="A1029" i="47" s="1"/>
  <c r="A1030" i="47" s="1"/>
  <c r="A1031" i="47" s="1"/>
  <c r="A1032" i="47" s="1"/>
  <c r="A1033" i="47" s="1"/>
  <c r="A1034" i="47" s="1"/>
  <c r="A1035" i="47" s="1"/>
  <c r="A1036" i="47" s="1"/>
  <c r="A1037" i="47" s="1"/>
  <c r="A1038" i="47" s="1"/>
  <c r="A1039" i="47" s="1"/>
  <c r="A1040" i="47" s="1"/>
  <c r="A1041" i="47" s="1"/>
  <c r="A1042" i="47" s="1"/>
  <c r="A1043" i="47" s="1"/>
  <c r="A1044" i="47" s="1"/>
  <c r="A1045" i="47" s="1"/>
  <c r="A1046" i="47" s="1"/>
  <c r="A1047" i="47" s="1"/>
  <c r="A1048" i="47" s="1"/>
  <c r="A1049" i="47" s="1"/>
  <c r="A1050" i="47" s="1"/>
  <c r="A1051" i="47" s="1"/>
  <c r="A1052" i="47" s="1"/>
  <c r="A1053" i="47" s="1"/>
  <c r="A1054" i="47" s="1"/>
  <c r="A1055" i="47" s="1"/>
  <c r="A1056" i="47" s="1"/>
  <c r="A1057" i="47" s="1"/>
  <c r="A1058" i="47" s="1"/>
  <c r="A1059" i="47" s="1"/>
  <c r="A1060" i="47" s="1"/>
  <c r="A1061" i="47" s="1"/>
  <c r="A1062" i="47" s="1"/>
  <c r="A1063" i="47" s="1"/>
  <c r="A1064" i="47" s="1"/>
  <c r="A1065" i="47" s="1"/>
  <c r="A1066" i="47" s="1"/>
  <c r="A1067" i="47" s="1"/>
  <c r="A1068" i="47" s="1"/>
  <c r="A1069" i="47" s="1"/>
  <c r="A1070" i="47" s="1"/>
  <c r="A1071" i="47" s="1"/>
  <c r="A1072" i="47" s="1"/>
  <c r="A1073" i="47" s="1"/>
  <c r="A1074" i="47" s="1"/>
  <c r="A1075" i="47" s="1"/>
  <c r="A1076" i="47" s="1"/>
  <c r="A1077" i="47" s="1"/>
  <c r="A1078" i="47" s="1"/>
  <c r="A1079" i="47" s="1"/>
  <c r="A1080" i="47" s="1"/>
  <c r="A1081" i="47" s="1"/>
  <c r="A1082" i="47" s="1"/>
  <c r="A1083" i="47" s="1"/>
  <c r="A1084" i="47" s="1"/>
  <c r="A1085" i="47" s="1"/>
  <c r="A1086" i="47" s="1"/>
  <c r="A1087" i="47" s="1"/>
  <c r="A1088" i="47" s="1"/>
  <c r="A1089" i="47" s="1"/>
  <c r="A1090" i="47" s="1"/>
  <c r="A1091" i="47" s="1"/>
  <c r="A1092" i="47" s="1"/>
  <c r="A1093" i="47" s="1"/>
  <c r="A1094" i="47" s="1"/>
  <c r="A1095" i="47" s="1"/>
  <c r="A1096" i="47" s="1"/>
  <c r="A1097" i="47" s="1"/>
  <c r="A1098" i="47" s="1"/>
  <c r="A1099" i="47" s="1"/>
  <c r="A1100" i="47" s="1"/>
  <c r="A1101" i="47" s="1"/>
  <c r="A1102" i="47" s="1"/>
  <c r="A1103" i="47" s="1"/>
  <c r="A1104" i="47" s="1"/>
  <c r="A1105" i="47" s="1"/>
  <c r="A1106" i="47" s="1"/>
  <c r="A1107" i="47" s="1"/>
  <c r="A1108" i="47" s="1"/>
  <c r="A1109" i="47" s="1"/>
  <c r="A1110" i="47" s="1"/>
  <c r="A1111" i="47" s="1"/>
  <c r="A1112" i="47" s="1"/>
  <c r="A1113" i="47" s="1"/>
  <c r="A1114" i="47" s="1"/>
  <c r="A1115" i="47" s="1"/>
  <c r="A1116" i="47" s="1"/>
  <c r="A1117" i="47" s="1"/>
  <c r="A1118" i="47" s="1"/>
  <c r="A1119" i="47" s="1"/>
  <c r="A1120" i="47" s="1"/>
  <c r="A1121" i="47" s="1"/>
  <c r="A1122" i="47" s="1"/>
  <c r="A1123" i="47" s="1"/>
  <c r="A1124" i="47" s="1"/>
  <c r="A1125" i="47" s="1"/>
  <c r="A1126" i="47" s="1"/>
  <c r="A1127" i="47" s="1"/>
  <c r="A1128" i="47" s="1"/>
  <c r="A1129" i="47" s="1"/>
  <c r="A1130" i="47" s="1"/>
  <c r="A1131" i="47" s="1"/>
  <c r="A1132" i="47" s="1"/>
  <c r="A1133" i="47" s="1"/>
  <c r="A1134" i="47" s="1"/>
  <c r="A1135" i="47" s="1"/>
  <c r="A1136" i="47" s="1"/>
  <c r="A1137" i="47" s="1"/>
  <c r="A1138" i="47" s="1"/>
  <c r="A1139" i="47" s="1"/>
  <c r="A1140" i="47" s="1"/>
  <c r="A1141" i="47" s="1"/>
  <c r="A1142" i="47" s="1"/>
  <c r="A1143" i="47" s="1"/>
  <c r="A1144" i="47" s="1"/>
  <c r="A1145" i="47" s="1"/>
  <c r="A1146" i="47" s="1"/>
  <c r="A1147" i="47" s="1"/>
  <c r="A1148" i="47" s="1"/>
  <c r="A1149" i="47" s="1"/>
  <c r="A1150" i="47" s="1"/>
  <c r="A1151" i="47" s="1"/>
  <c r="A1152" i="47" s="1"/>
  <c r="A1153" i="47" s="1"/>
  <c r="A1154" i="47" s="1"/>
  <c r="A1155" i="47" s="1"/>
  <c r="A1156" i="47" s="1"/>
  <c r="A1157" i="47" s="1"/>
  <c r="A1158" i="47" s="1"/>
  <c r="A1159" i="47" s="1"/>
  <c r="A1160" i="47" s="1"/>
  <c r="A1161" i="47" s="1"/>
  <c r="A1162" i="47" s="1"/>
  <c r="A1163" i="47" s="1"/>
  <c r="A1164" i="47" s="1"/>
  <c r="A1165" i="47" s="1"/>
  <c r="A1166" i="47" s="1"/>
  <c r="A1167" i="47" s="1"/>
  <c r="A1168" i="47" s="1"/>
  <c r="A1169" i="47" s="1"/>
  <c r="A1170" i="47" s="1"/>
  <c r="A1171" i="47" s="1"/>
  <c r="A1172" i="47" s="1"/>
  <c r="A1173" i="47" s="1"/>
  <c r="A1174" i="47" s="1"/>
  <c r="A1175" i="47" s="1"/>
  <c r="A1176" i="47" s="1"/>
  <c r="A1177" i="47" s="1"/>
  <c r="A1178" i="47" s="1"/>
  <c r="A1179" i="47" s="1"/>
  <c r="A1180" i="47" s="1"/>
  <c r="A1181" i="47" s="1"/>
  <c r="A1182" i="47" s="1"/>
  <c r="A1183" i="47" s="1"/>
  <c r="A1184" i="47" s="1"/>
  <c r="A1185" i="47" s="1"/>
  <c r="A1186" i="47" s="1"/>
  <c r="A1187" i="47" s="1"/>
  <c r="A1188" i="47" s="1"/>
  <c r="A1189" i="47" s="1"/>
  <c r="A1190" i="47" s="1"/>
  <c r="A1191" i="47" s="1"/>
  <c r="A1192" i="47" s="1"/>
  <c r="A1193" i="47" s="1"/>
  <c r="A1194" i="47" s="1"/>
  <c r="A1195" i="47" s="1"/>
  <c r="A1196" i="47" s="1"/>
  <c r="A1197" i="47" s="1"/>
  <c r="A1198" i="47" s="1"/>
  <c r="A1199" i="47" s="1"/>
  <c r="A1200" i="47" s="1"/>
  <c r="A1201" i="47" s="1"/>
  <c r="A1202" i="47" s="1"/>
  <c r="A1203" i="47" s="1"/>
  <c r="A1204" i="47" s="1"/>
  <c r="A1205" i="47" s="1"/>
  <c r="A1206" i="47" s="1"/>
  <c r="A1207" i="47" s="1"/>
  <c r="A1208" i="47" s="1"/>
  <c r="A1209" i="47" s="1"/>
  <c r="A1210" i="47" s="1"/>
  <c r="A1211" i="47" s="1"/>
  <c r="A1212" i="47" s="1"/>
  <c r="A1213" i="47" s="1"/>
  <c r="A1214" i="47" s="1"/>
  <c r="A1215" i="47" s="1"/>
  <c r="A1216" i="47" s="1"/>
  <c r="A1217" i="47" s="1"/>
  <c r="A1218" i="47" s="1"/>
  <c r="A1219" i="47" s="1"/>
  <c r="A1220" i="47" s="1"/>
  <c r="A1221" i="47" s="1"/>
  <c r="A1222" i="47" s="1"/>
  <c r="A1223" i="47" s="1"/>
  <c r="A1224" i="47" s="1"/>
  <c r="A1225" i="47" s="1"/>
  <c r="A1226" i="47" s="1"/>
  <c r="A1227" i="47" s="1"/>
  <c r="A1228" i="47" s="1"/>
  <c r="A1229" i="47" s="1"/>
  <c r="A1230" i="47" s="1"/>
  <c r="A1231" i="47" s="1"/>
  <c r="A1232" i="47" s="1"/>
  <c r="A1233" i="47" s="1"/>
  <c r="A1234" i="47" s="1"/>
  <c r="A1235" i="47" s="1"/>
  <c r="A1236" i="47" s="1"/>
  <c r="A1237" i="47" s="1"/>
  <c r="A1238" i="47" s="1"/>
  <c r="A1239" i="47" s="1"/>
  <c r="A1240" i="47" s="1"/>
  <c r="A1241" i="47" s="1"/>
  <c r="A1242" i="47" s="1"/>
  <c r="A1243" i="47" s="1"/>
  <c r="A1244" i="47" s="1"/>
  <c r="A1245" i="47" s="1"/>
  <c r="A1246" i="47" s="1"/>
  <c r="A1247" i="47" s="1"/>
  <c r="A1248" i="47" s="1"/>
  <c r="A1249" i="47" s="1"/>
  <c r="A1250" i="47" s="1"/>
  <c r="A1251" i="47" s="1"/>
  <c r="A1252" i="47" s="1"/>
  <c r="A1253" i="47" s="1"/>
  <c r="A1254" i="47" s="1"/>
  <c r="A1255" i="47" s="1"/>
  <c r="A1256" i="47" s="1"/>
  <c r="A1257" i="47" s="1"/>
  <c r="A1258" i="47" s="1"/>
  <c r="A1259" i="47" s="1"/>
  <c r="A1260" i="47" s="1"/>
  <c r="A1261" i="47" s="1"/>
  <c r="A1262" i="47" s="1"/>
  <c r="A1263" i="47" s="1"/>
  <c r="A1264" i="47" s="1"/>
  <c r="A1265" i="47" s="1"/>
  <c r="A1266" i="47" s="1"/>
  <c r="A1267" i="47" s="1"/>
  <c r="A1268" i="47" s="1"/>
  <c r="A1269" i="47" s="1"/>
  <c r="A1270" i="47" s="1"/>
  <c r="A1271" i="47" s="1"/>
  <c r="A1272" i="47" s="1"/>
  <c r="A1273" i="47" s="1"/>
  <c r="A1274" i="47" s="1"/>
  <c r="A1275" i="47" s="1"/>
  <c r="A1276" i="47" s="1"/>
  <c r="A1277" i="47" s="1"/>
  <c r="A1278" i="47" s="1"/>
  <c r="A1279" i="47" s="1"/>
  <c r="A1280" i="47" s="1"/>
  <c r="A1281" i="47" s="1"/>
  <c r="A1282" i="47" s="1"/>
  <c r="A1283" i="47" s="1"/>
  <c r="A1284" i="47" s="1"/>
  <c r="A1285" i="47" s="1"/>
  <c r="A1286" i="47" s="1"/>
  <c r="A1287" i="47" s="1"/>
  <c r="A1288" i="47" s="1"/>
  <c r="A1289" i="47" s="1"/>
  <c r="A1290" i="47" s="1"/>
  <c r="A1291" i="47" s="1"/>
  <c r="A1292" i="47" s="1"/>
  <c r="A1293" i="47" s="1"/>
  <c r="A1294" i="47" s="1"/>
  <c r="A1295" i="47" s="1"/>
  <c r="A1296" i="47" s="1"/>
  <c r="A1297" i="47" s="1"/>
  <c r="A1298" i="47" s="1"/>
  <c r="A1299" i="47" s="1"/>
  <c r="A1300" i="47" s="1"/>
  <c r="A1301" i="47" s="1"/>
  <c r="A1302" i="47" s="1"/>
  <c r="A1303" i="47" s="1"/>
  <c r="A1304" i="47" s="1"/>
  <c r="A1305" i="47" s="1"/>
  <c r="A1306" i="47" s="1"/>
  <c r="A1307" i="47" s="1"/>
  <c r="A1308" i="47" s="1"/>
  <c r="A1309" i="47" s="1"/>
  <c r="A1310" i="47" s="1"/>
  <c r="A1311" i="47" s="1"/>
  <c r="A1312" i="47" s="1"/>
  <c r="A1313" i="47" s="1"/>
  <c r="A1314" i="47" s="1"/>
  <c r="A1315" i="47" s="1"/>
  <c r="A1316" i="47" s="1"/>
  <c r="A1317" i="47" s="1"/>
  <c r="A1318" i="47" s="1"/>
  <c r="A1319" i="47" s="1"/>
  <c r="A1320" i="47" s="1"/>
  <c r="A1321" i="47" s="1"/>
  <c r="A1322" i="47" s="1"/>
  <c r="A1323" i="47" s="1"/>
  <c r="A1324" i="47" s="1"/>
  <c r="A1325" i="47" s="1"/>
  <c r="A1326" i="47" s="1"/>
  <c r="A1327" i="47" s="1"/>
  <c r="A1328" i="47" s="1"/>
  <c r="A1329" i="47" s="1"/>
  <c r="A1330" i="47" s="1"/>
  <c r="A1331" i="47" s="1"/>
  <c r="A1332" i="47" s="1"/>
  <c r="A1333" i="47" s="1"/>
  <c r="A1334" i="47" s="1"/>
  <c r="A1335" i="47" s="1"/>
  <c r="A1336" i="47" s="1"/>
  <c r="A1337" i="47" s="1"/>
  <c r="A1338" i="47" s="1"/>
  <c r="A1339" i="47" s="1"/>
  <c r="A1340" i="47" s="1"/>
  <c r="A1341" i="47" s="1"/>
  <c r="A1342" i="47" s="1"/>
  <c r="A1343" i="47" s="1"/>
  <c r="A1344" i="47" s="1"/>
  <c r="A1345" i="47" s="1"/>
  <c r="A1346" i="47" s="1"/>
  <c r="A1347" i="47" s="1"/>
  <c r="A1348" i="47" s="1"/>
  <c r="A1349" i="47" s="1"/>
  <c r="A1350" i="47" s="1"/>
  <c r="A1351" i="47" s="1"/>
  <c r="A1352" i="47" s="1"/>
  <c r="A1353" i="47" s="1"/>
  <c r="A1354" i="47" s="1"/>
  <c r="A1355" i="47" s="1"/>
  <c r="A1356" i="47" s="1"/>
  <c r="A1357" i="47" s="1"/>
  <c r="A1358" i="47" s="1"/>
  <c r="A1359" i="47" s="1"/>
  <c r="A1360" i="47" s="1"/>
  <c r="A1361" i="47" s="1"/>
  <c r="A1362" i="47" s="1"/>
  <c r="A1363" i="47" s="1"/>
  <c r="A1364" i="47" s="1"/>
  <c r="A1365" i="47" s="1"/>
  <c r="A1366" i="47" s="1"/>
  <c r="A1367" i="47" s="1"/>
  <c r="A1368" i="47" s="1"/>
  <c r="A1369" i="47" s="1"/>
  <c r="A1370" i="47" s="1"/>
  <c r="A1371" i="47" s="1"/>
  <c r="A1372" i="47" s="1"/>
  <c r="A1373" i="47" s="1"/>
  <c r="A1374" i="47" s="1"/>
  <c r="A1375" i="47" s="1"/>
  <c r="A1376" i="47" s="1"/>
  <c r="A1377" i="47" s="1"/>
  <c r="A1378" i="47" s="1"/>
  <c r="A1379" i="47" s="1"/>
  <c r="A1380" i="47" s="1"/>
  <c r="A1381" i="47" s="1"/>
  <c r="A1382" i="47" s="1"/>
  <c r="A1383" i="47" s="1"/>
  <c r="A1384" i="47" s="1"/>
  <c r="A1385" i="47" s="1"/>
  <c r="A1386" i="47" s="1"/>
  <c r="A1387" i="47" s="1"/>
  <c r="A1388" i="47" s="1"/>
  <c r="A1389" i="47" s="1"/>
  <c r="A1390" i="47" s="1"/>
  <c r="A1391" i="47" s="1"/>
  <c r="A1392" i="47" s="1"/>
  <c r="A1393" i="47" s="1"/>
  <c r="A1394" i="47" s="1"/>
  <c r="A1395" i="47" s="1"/>
  <c r="A1396" i="47" s="1"/>
  <c r="A1397" i="47" s="1"/>
  <c r="A1398" i="47" s="1"/>
  <c r="A1399" i="47" s="1"/>
  <c r="A1400" i="47" s="1"/>
  <c r="A1401" i="47" s="1"/>
  <c r="A1402" i="47" s="1"/>
  <c r="A1403" i="47" s="1"/>
  <c r="A1404" i="47" s="1"/>
  <c r="A1405" i="47" s="1"/>
  <c r="A1406" i="47" s="1"/>
  <c r="A1407" i="47" s="1"/>
  <c r="A1408" i="47" s="1"/>
  <c r="A1409" i="47" s="1"/>
  <c r="A1410" i="47" s="1"/>
  <c r="A1411" i="47" s="1"/>
  <c r="A1412" i="47" s="1"/>
  <c r="A1413" i="47" s="1"/>
  <c r="A1414" i="47" s="1"/>
  <c r="A1415" i="47" s="1"/>
  <c r="A1416" i="47" s="1"/>
  <c r="A1417" i="47" s="1"/>
  <c r="A1418" i="47" s="1"/>
  <c r="A1419" i="47" s="1"/>
  <c r="A1420" i="47" s="1"/>
  <c r="A1421" i="47" s="1"/>
  <c r="A1422" i="47" s="1"/>
  <c r="A1423" i="47" s="1"/>
  <c r="A1424" i="47" s="1"/>
  <c r="A1425" i="47" s="1"/>
  <c r="A1426" i="47" s="1"/>
  <c r="A1427" i="47" s="1"/>
  <c r="A1428" i="47" s="1"/>
  <c r="A1429" i="47" s="1"/>
  <c r="A1430" i="47" s="1"/>
  <c r="A1431" i="47" s="1"/>
  <c r="A1432" i="47" s="1"/>
  <c r="A1433" i="47" s="1"/>
  <c r="A1434" i="47" s="1"/>
  <c r="A1435" i="47" s="1"/>
  <c r="A1436" i="47" s="1"/>
  <c r="A1437" i="47" s="1"/>
  <c r="A1438" i="47" s="1"/>
  <c r="A1439" i="47" s="1"/>
  <c r="A1440" i="47" s="1"/>
  <c r="A1441" i="47" s="1"/>
  <c r="A1442" i="47" s="1"/>
  <c r="A1443" i="47" s="1"/>
  <c r="A1444" i="47" s="1"/>
  <c r="A1445" i="47" s="1"/>
  <c r="A1446" i="47" s="1"/>
  <c r="A1447" i="47" s="1"/>
  <c r="A1448" i="47" s="1"/>
  <c r="A1449" i="47" s="1"/>
  <c r="A1450" i="47" s="1"/>
  <c r="A1451" i="47" s="1"/>
  <c r="A1452" i="47" s="1"/>
  <c r="A1453" i="47" s="1"/>
  <c r="A1454" i="47" s="1"/>
  <c r="A1455" i="47" s="1"/>
  <c r="A1456" i="47" s="1"/>
  <c r="A1457" i="47" s="1"/>
  <c r="A1458" i="47" s="1"/>
  <c r="A1459" i="47" s="1"/>
  <c r="A1460" i="47" s="1"/>
  <c r="A1461" i="47" s="1"/>
  <c r="A1462" i="47" s="1"/>
  <c r="A1463" i="47" s="1"/>
  <c r="A1464" i="47" s="1"/>
  <c r="A1465" i="47" s="1"/>
  <c r="A1466" i="47" s="1"/>
  <c r="A1467" i="47" s="1"/>
  <c r="A1468" i="47" s="1"/>
  <c r="A1469" i="47" s="1"/>
  <c r="A1470" i="47" s="1"/>
  <c r="A1471" i="47" s="1"/>
  <c r="A1472" i="47" s="1"/>
  <c r="A1473" i="47" s="1"/>
  <c r="A1474" i="47" s="1"/>
  <c r="A1475" i="47" s="1"/>
  <c r="A1476" i="47" s="1"/>
  <c r="A1477" i="47" s="1"/>
  <c r="A1478" i="47" s="1"/>
  <c r="A1479" i="47" s="1"/>
  <c r="A1480" i="47" s="1"/>
  <c r="A1481" i="47" s="1"/>
  <c r="A1482" i="47" s="1"/>
  <c r="A1483" i="47" s="1"/>
  <c r="A1484" i="47" s="1"/>
  <c r="A1485" i="47" s="1"/>
  <c r="A1486" i="47" s="1"/>
  <c r="A1487" i="47" s="1"/>
  <c r="A1488" i="47" s="1"/>
  <c r="A1489" i="47" s="1"/>
  <c r="A1490" i="47" s="1"/>
  <c r="A1491" i="47" s="1"/>
  <c r="A1492" i="47" s="1"/>
  <c r="A1493" i="47" s="1"/>
  <c r="A1494" i="47" s="1"/>
  <c r="A1495" i="47" s="1"/>
  <c r="A1496" i="47" s="1"/>
  <c r="A1497" i="47" s="1"/>
  <c r="A1498" i="47" s="1"/>
  <c r="A1499" i="47" s="1"/>
  <c r="A1500" i="47" s="1"/>
  <c r="A1501" i="47" s="1"/>
  <c r="A1502" i="47" s="1"/>
  <c r="A1503" i="47" s="1"/>
  <c r="A1504" i="47" s="1"/>
  <c r="A1505" i="47" s="1"/>
  <c r="A1506" i="47" s="1"/>
  <c r="A1507" i="47" s="1"/>
  <c r="A1508" i="47" s="1"/>
  <c r="A1509" i="47" s="1"/>
  <c r="A1510" i="47" s="1"/>
  <c r="A1511" i="47" s="1"/>
  <c r="A1512" i="47" s="1"/>
  <c r="A1513" i="47" s="1"/>
  <c r="A1514" i="47" s="1"/>
  <c r="A1515" i="47" s="1"/>
  <c r="A1516" i="47" s="1"/>
  <c r="A1517" i="47" s="1"/>
  <c r="A1518" i="47" s="1"/>
  <c r="A1519" i="47" s="1"/>
  <c r="A1520" i="47" s="1"/>
  <c r="A1521" i="47" s="1"/>
  <c r="A1522" i="47" s="1"/>
  <c r="A1523" i="47" s="1"/>
  <c r="A1524" i="47" s="1"/>
  <c r="A1525" i="47" s="1"/>
  <c r="A1526" i="47" s="1"/>
  <c r="A1527" i="47" s="1"/>
  <c r="A1528" i="47" s="1"/>
  <c r="A1529" i="47" s="1"/>
  <c r="A1530" i="47" s="1"/>
  <c r="A1531" i="47" s="1"/>
  <c r="A1532" i="47" s="1"/>
  <c r="A1533" i="47" s="1"/>
  <c r="A1534" i="47" s="1"/>
  <c r="A1535" i="47" s="1"/>
  <c r="A1536" i="47" s="1"/>
  <c r="A1537" i="47" s="1"/>
  <c r="A1538" i="47" s="1"/>
  <c r="A1539" i="47" s="1"/>
  <c r="A1540" i="47" s="1"/>
  <c r="A1541" i="47" s="1"/>
  <c r="A1542" i="47" s="1"/>
  <c r="A1543" i="47" s="1"/>
  <c r="A1544" i="47" s="1"/>
  <c r="A1545" i="47" s="1"/>
  <c r="A1546" i="47" s="1"/>
  <c r="A1547" i="47" s="1"/>
  <c r="A1548" i="47" s="1"/>
  <c r="A1549" i="47" s="1"/>
  <c r="A1550" i="47" s="1"/>
  <c r="A1551" i="47" s="1"/>
  <c r="A1552" i="47" s="1"/>
  <c r="A1553" i="47" s="1"/>
  <c r="A1554" i="47" s="1"/>
  <c r="A1555" i="47" s="1"/>
  <c r="A1556" i="47" s="1"/>
  <c r="A1557" i="47" s="1"/>
  <c r="A1558" i="47" s="1"/>
  <c r="A1559" i="47" s="1"/>
  <c r="A1560" i="47" s="1"/>
  <c r="A1561" i="47" s="1"/>
  <c r="A1562" i="47" s="1"/>
  <c r="A1563" i="47" s="1"/>
  <c r="A1564" i="47" s="1"/>
  <c r="A1565" i="47" s="1"/>
  <c r="A1566" i="47" s="1"/>
  <c r="A1567" i="47" s="1"/>
  <c r="A1568" i="47" s="1"/>
  <c r="A1569" i="47" s="1"/>
  <c r="A1570" i="47" s="1"/>
  <c r="A1571" i="47" s="1"/>
  <c r="A1572" i="47" s="1"/>
  <c r="A1573" i="47" s="1"/>
  <c r="A1574" i="47" s="1"/>
  <c r="A1575" i="47" s="1"/>
  <c r="A1576" i="47" s="1"/>
  <c r="A1577" i="47" s="1"/>
  <c r="A1578" i="47" s="1"/>
  <c r="A1579" i="47" s="1"/>
  <c r="A1580" i="47" s="1"/>
  <c r="A1581" i="47" s="1"/>
  <c r="A1582" i="47" s="1"/>
  <c r="A1583" i="47" s="1"/>
  <c r="A1584" i="47" s="1"/>
  <c r="A1585" i="47" s="1"/>
  <c r="A1586" i="47" s="1"/>
  <c r="A1587" i="47" s="1"/>
  <c r="A1588" i="47" s="1"/>
  <c r="A1589" i="47" s="1"/>
  <c r="A1590" i="47" s="1"/>
  <c r="A1591" i="47" s="1"/>
  <c r="A1592" i="47" s="1"/>
  <c r="A1593" i="47" s="1"/>
  <c r="A1594" i="47" s="1"/>
  <c r="A1595" i="47" s="1"/>
  <c r="A1596" i="47" s="1"/>
  <c r="A1597" i="47" s="1"/>
  <c r="A1598" i="47" s="1"/>
  <c r="A1599" i="47" s="1"/>
  <c r="A1600" i="47" s="1"/>
  <c r="A1601" i="47" s="1"/>
  <c r="A1602" i="47" s="1"/>
  <c r="A1603" i="47" s="1"/>
  <c r="A1604" i="47" s="1"/>
  <c r="A1605" i="47" s="1"/>
  <c r="A1606" i="47" s="1"/>
  <c r="A1607" i="47" s="1"/>
  <c r="A1608" i="47" s="1"/>
  <c r="A1609" i="47" s="1"/>
  <c r="A1610" i="47" s="1"/>
  <c r="A1611" i="47" s="1"/>
  <c r="A1612" i="47" s="1"/>
  <c r="A1613" i="47" s="1"/>
  <c r="A1614" i="47" s="1"/>
  <c r="A1615" i="47" s="1"/>
  <c r="A1616" i="47" s="1"/>
  <c r="A1617" i="47" s="1"/>
  <c r="A1618" i="47" s="1"/>
  <c r="A1619" i="47" s="1"/>
  <c r="A1620" i="47" s="1"/>
  <c r="A1621" i="47" s="1"/>
  <c r="A1622" i="47" s="1"/>
  <c r="A1623" i="47" s="1"/>
  <c r="A1624" i="47" s="1"/>
  <c r="A1625" i="47" s="1"/>
  <c r="A1626" i="47" s="1"/>
  <c r="A1627" i="47" s="1"/>
  <c r="A1628" i="47" s="1"/>
  <c r="A1629" i="47" s="1"/>
  <c r="A1630" i="47" s="1"/>
  <c r="A1631" i="47" s="1"/>
  <c r="A1632" i="47" s="1"/>
  <c r="A1633" i="47" s="1"/>
  <c r="A1634" i="47" s="1"/>
  <c r="A1635" i="47" s="1"/>
  <c r="A1636" i="47" s="1"/>
  <c r="A1637" i="47" s="1"/>
  <c r="A1638" i="47" s="1"/>
  <c r="A1639" i="47" s="1"/>
  <c r="A1640" i="47" s="1"/>
  <c r="A1641" i="47" s="1"/>
  <c r="A1642" i="47" s="1"/>
  <c r="A1643" i="47" s="1"/>
  <c r="A1644" i="47" s="1"/>
  <c r="A1645" i="47" s="1"/>
  <c r="A1646" i="47" s="1"/>
  <c r="A1647" i="47" s="1"/>
  <c r="A1648" i="47" s="1"/>
  <c r="A1649" i="47" s="1"/>
  <c r="A1650" i="47" s="1"/>
  <c r="A1651" i="47" s="1"/>
  <c r="A1652" i="47" s="1"/>
  <c r="A1653" i="47" s="1"/>
  <c r="A1654" i="47" s="1"/>
  <c r="A1655" i="47" s="1"/>
  <c r="A1656" i="47" s="1"/>
  <c r="A1657" i="47" s="1"/>
  <c r="A1658" i="47" s="1"/>
  <c r="A1659" i="47" s="1"/>
  <c r="A1660" i="47" s="1"/>
  <c r="A1661" i="47" s="1"/>
  <c r="A1662" i="47" s="1"/>
  <c r="A1663" i="47" s="1"/>
  <c r="A1664" i="47" s="1"/>
  <c r="A1665" i="47" s="1"/>
  <c r="A1666" i="47" s="1"/>
  <c r="A1667" i="47" s="1"/>
  <c r="A1668" i="47" s="1"/>
  <c r="A1669" i="47" s="1"/>
  <c r="A1670" i="47" s="1"/>
  <c r="A1671" i="47" s="1"/>
  <c r="A1672" i="47" s="1"/>
  <c r="A1673" i="47" s="1"/>
  <c r="A1674" i="47" s="1"/>
  <c r="A1675" i="47" s="1"/>
  <c r="A1676" i="47" s="1"/>
  <c r="A1677" i="47" s="1"/>
  <c r="A1678" i="47" s="1"/>
  <c r="A1679" i="47" s="1"/>
  <c r="A1680" i="47" s="1"/>
  <c r="A1681" i="47" s="1"/>
  <c r="A1682" i="47" s="1"/>
  <c r="A1683" i="47" s="1"/>
  <c r="A1684" i="47" s="1"/>
  <c r="A1685" i="47" s="1"/>
  <c r="A1686" i="47" s="1"/>
  <c r="A1687" i="47" s="1"/>
  <c r="A1688" i="47" s="1"/>
  <c r="A1689" i="47" s="1"/>
  <c r="A1690" i="47" s="1"/>
  <c r="A1691" i="47" s="1"/>
  <c r="A1692" i="47" s="1"/>
  <c r="A1693" i="47" s="1"/>
  <c r="A1694" i="47" s="1"/>
  <c r="A1695" i="47" s="1"/>
  <c r="A1696" i="47" s="1"/>
  <c r="A1697" i="47" s="1"/>
  <c r="A1698" i="47" s="1"/>
  <c r="A1699" i="47" s="1"/>
  <c r="U21" i="67"/>
  <c r="V21" i="67" s="1"/>
  <c r="W21" i="67" s="1"/>
  <c r="U30" i="67"/>
  <c r="V30" i="67" s="1"/>
  <c r="W30" i="67" s="1"/>
  <c r="S30" i="67"/>
  <c r="N30" i="67"/>
  <c r="M30" i="67"/>
  <c r="L30" i="67"/>
  <c r="U29" i="67"/>
  <c r="V29" i="67" s="1"/>
  <c r="W29" i="67" s="1"/>
  <c r="N29" i="67"/>
  <c r="M29" i="67"/>
  <c r="L29" i="67"/>
  <c r="U28" i="67"/>
  <c r="V28" i="67" s="1"/>
  <c r="W28" i="67" s="1"/>
  <c r="S28" i="67"/>
  <c r="N28" i="67"/>
  <c r="M28" i="67"/>
  <c r="L28" i="67"/>
  <c r="U27" i="67"/>
  <c r="V27" i="67" s="1"/>
  <c r="W27" i="67" s="1"/>
  <c r="N27" i="67"/>
  <c r="M27" i="67"/>
  <c r="L27" i="67"/>
  <c r="U26" i="67"/>
  <c r="V26" i="67" s="1"/>
  <c r="W26" i="67" s="1"/>
  <c r="S26" i="67"/>
  <c r="N26" i="67"/>
  <c r="M26" i="67"/>
  <c r="L26" i="67"/>
  <c r="U25" i="67"/>
  <c r="V25" i="67" s="1"/>
  <c r="W25" i="67" s="1"/>
  <c r="N25" i="67"/>
  <c r="M25" i="67"/>
  <c r="L25" i="67"/>
  <c r="U24" i="67"/>
  <c r="V24" i="67" s="1"/>
  <c r="W24" i="67" s="1"/>
  <c r="N24" i="67"/>
  <c r="M24" i="67"/>
  <c r="L24" i="67"/>
  <c r="U23" i="67"/>
  <c r="V23" i="67" s="1"/>
  <c r="W23" i="67" s="1"/>
  <c r="N23" i="67"/>
  <c r="M23" i="67"/>
  <c r="L23" i="67"/>
  <c r="U22" i="67"/>
  <c r="V22" i="67" s="1"/>
  <c r="W22" i="67" s="1"/>
  <c r="N22" i="67"/>
  <c r="M22" i="67"/>
  <c r="L22" i="67"/>
  <c r="N21" i="67"/>
  <c r="M21" i="67"/>
  <c r="L21" i="67"/>
  <c r="U20" i="67"/>
  <c r="V20" i="67" s="1"/>
  <c r="W20" i="67" s="1"/>
  <c r="N20" i="67"/>
  <c r="M20" i="67"/>
  <c r="L20" i="67"/>
  <c r="U19" i="67"/>
  <c r="V19" i="67" s="1"/>
  <c r="W19" i="67" s="1"/>
  <c r="N19" i="67"/>
  <c r="M19" i="67"/>
  <c r="L19" i="67"/>
  <c r="U18" i="67"/>
  <c r="V18" i="67" s="1"/>
  <c r="W18" i="67" s="1"/>
  <c r="N18" i="67"/>
  <c r="M18" i="67"/>
  <c r="L18" i="67"/>
  <c r="U17" i="67"/>
  <c r="V17" i="67" s="1"/>
  <c r="W17" i="67" s="1"/>
  <c r="N17" i="67"/>
  <c r="M17" i="67"/>
  <c r="L17" i="67"/>
  <c r="U16" i="67"/>
  <c r="V16" i="67" s="1"/>
  <c r="W16" i="67" s="1"/>
  <c r="N16" i="67"/>
  <c r="M16" i="67"/>
  <c r="L16" i="67"/>
  <c r="U15" i="67"/>
  <c r="V15" i="67" s="1"/>
  <c r="W15" i="67" s="1"/>
  <c r="N15" i="67"/>
  <c r="M15" i="67"/>
  <c r="L15" i="67"/>
  <c r="U14" i="67"/>
  <c r="V14" i="67" s="1"/>
  <c r="W14" i="67" s="1"/>
  <c r="N14" i="67"/>
  <c r="M14" i="67"/>
  <c r="L14" i="67"/>
  <c r="U13" i="67"/>
  <c r="V13" i="67" s="1"/>
  <c r="W13" i="67" s="1"/>
  <c r="N13" i="67"/>
  <c r="M13" i="67"/>
  <c r="L13" i="67"/>
  <c r="U12" i="67"/>
  <c r="V12" i="67" s="1"/>
  <c r="W12" i="67" s="1"/>
  <c r="N12" i="67"/>
  <c r="M12" i="67"/>
  <c r="L12" i="67"/>
  <c r="U11" i="67"/>
  <c r="V11" i="67" s="1"/>
  <c r="W11" i="67" s="1"/>
  <c r="N11" i="67"/>
  <c r="M11" i="67"/>
  <c r="L11" i="67"/>
  <c r="U10" i="67"/>
  <c r="V10" i="67" s="1"/>
  <c r="W10" i="67" s="1"/>
  <c r="N10" i="67"/>
  <c r="M10" i="67"/>
  <c r="L10" i="67"/>
  <c r="U9" i="67"/>
  <c r="V9" i="67" s="1"/>
  <c r="W9" i="67" s="1"/>
  <c r="N9" i="67"/>
  <c r="M9" i="67"/>
  <c r="L9" i="67"/>
  <c r="U8" i="67"/>
  <c r="V8" i="67" s="1"/>
  <c r="W8" i="67" s="1"/>
  <c r="S8" i="67"/>
  <c r="N8" i="67"/>
  <c r="M8" i="67"/>
  <c r="L8" i="67"/>
  <c r="U7" i="67"/>
  <c r="V7" i="67" s="1"/>
  <c r="W7" i="67" s="1"/>
  <c r="N7" i="67"/>
  <c r="M7" i="67"/>
  <c r="L7" i="67"/>
  <c r="U6" i="67"/>
  <c r="V6" i="67" s="1"/>
  <c r="W6" i="67" s="1"/>
  <c r="N6" i="67"/>
  <c r="M6" i="67"/>
  <c r="L6" i="67"/>
  <c r="U5" i="67"/>
  <c r="V5" i="67" s="1"/>
  <c r="W5" i="67" s="1"/>
  <c r="N5" i="67"/>
  <c r="M5" i="67"/>
  <c r="L5" i="67"/>
  <c r="U4" i="67"/>
  <c r="V4" i="67" s="1"/>
  <c r="W4" i="67" s="1"/>
  <c r="N4" i="67"/>
  <c r="M4" i="67"/>
  <c r="L4" i="67"/>
  <c r="U3" i="67"/>
  <c r="V3" i="67" s="1"/>
  <c r="W3" i="67" s="1"/>
  <c r="N3" i="67"/>
  <c r="M3" i="67"/>
  <c r="L3" i="67"/>
  <c r="U2" i="67"/>
  <c r="V2" i="67" s="1"/>
  <c r="W2" i="67" s="1"/>
  <c r="N2" i="67"/>
  <c r="M2" i="67"/>
  <c r="L2" i="67"/>
  <c r="K2" i="63"/>
  <c r="M9" i="63" s="1"/>
  <c r="M5" i="63"/>
  <c r="N5" i="63" s="1"/>
  <c r="M4" i="63"/>
  <c r="N4" i="63" s="1"/>
  <c r="K3" i="63"/>
  <c r="O145" i="24"/>
  <c r="Q145" i="24" s="1"/>
  <c r="S145" i="24" s="1"/>
  <c r="O144" i="24"/>
  <c r="Q144" i="24" s="1"/>
  <c r="S144" i="24" s="1"/>
  <c r="O143" i="24"/>
  <c r="Q143" i="24" s="1"/>
  <c r="S143" i="24" s="1"/>
  <c r="O142" i="24"/>
  <c r="Q142" i="24" s="1"/>
  <c r="S142" i="24" s="1"/>
  <c r="O141" i="24"/>
  <c r="Q141" i="24" s="1"/>
  <c r="S141" i="24" s="1"/>
  <c r="O140" i="24"/>
  <c r="Q140" i="24" s="1"/>
  <c r="N140" i="24"/>
  <c r="O139" i="24"/>
  <c r="Q139" i="24" s="1"/>
  <c r="S139" i="24" s="1"/>
  <c r="N139" i="24"/>
  <c r="N138" i="24"/>
  <c r="O138" i="24" s="1"/>
  <c r="Q138" i="24" s="1"/>
  <c r="S138" i="24" s="1"/>
  <c r="N137" i="24"/>
  <c r="O137" i="24" s="1"/>
  <c r="Q137" i="24" s="1"/>
  <c r="S137" i="24" s="1"/>
  <c r="N136" i="24"/>
  <c r="O136" i="24" s="1"/>
  <c r="Q136" i="24" s="1"/>
  <c r="S136" i="24" s="1"/>
  <c r="O135" i="24"/>
  <c r="Q135" i="24" s="1"/>
  <c r="S135" i="24" s="1"/>
  <c r="O134" i="24"/>
  <c r="Q134" i="24" s="1"/>
  <c r="S134" i="24" s="1"/>
  <c r="O133" i="24"/>
  <c r="Q133" i="24" s="1"/>
  <c r="S133" i="24" s="1"/>
  <c r="O132" i="24"/>
  <c r="Q132" i="24" s="1"/>
  <c r="S132" i="24" s="1"/>
  <c r="O131" i="24"/>
  <c r="Q131" i="24" s="1"/>
  <c r="S131" i="24" s="1"/>
  <c r="O130" i="24"/>
  <c r="Q130" i="24" s="1"/>
  <c r="S130" i="24" s="1"/>
  <c r="G130" i="24"/>
  <c r="O129" i="24"/>
  <c r="Q129" i="24" s="1"/>
  <c r="S129" i="24" s="1"/>
  <c r="G129" i="24"/>
  <c r="N128" i="24"/>
  <c r="O128" i="24" s="1"/>
  <c r="Q128" i="24" s="1"/>
  <c r="S128" i="24" s="1"/>
  <c r="N127" i="24"/>
  <c r="O127" i="24" s="1"/>
  <c r="Q127" i="24" s="1"/>
  <c r="S127" i="24" s="1"/>
  <c r="O126" i="24"/>
  <c r="Q126" i="24" s="1"/>
  <c r="S126" i="24" s="1"/>
  <c r="O125" i="24"/>
  <c r="Q125" i="24" s="1"/>
  <c r="S125" i="24" s="1"/>
  <c r="O124" i="24"/>
  <c r="Q124" i="24" s="1"/>
  <c r="S124" i="24" s="1"/>
  <c r="O123" i="24"/>
  <c r="Q123" i="24" s="1"/>
  <c r="S123" i="24" s="1"/>
  <c r="O122" i="24"/>
  <c r="Q122" i="24" s="1"/>
  <c r="S122" i="24" s="1"/>
  <c r="O121" i="24"/>
  <c r="Q121" i="24" s="1"/>
  <c r="S121" i="24" s="1"/>
  <c r="O120" i="24"/>
  <c r="Q120" i="24" s="1"/>
  <c r="S120" i="24" s="1"/>
  <c r="O119" i="24"/>
  <c r="Q119" i="24" s="1"/>
  <c r="S119" i="24" s="1"/>
  <c r="O118" i="24"/>
  <c r="Q118" i="24" s="1"/>
  <c r="S118" i="24" s="1"/>
  <c r="O117" i="24"/>
  <c r="Q117" i="24" s="1"/>
  <c r="S117" i="24" s="1"/>
  <c r="O116" i="24"/>
  <c r="Q116" i="24" s="1"/>
  <c r="S116" i="24" s="1"/>
  <c r="O115" i="24"/>
  <c r="Q115" i="24" s="1"/>
  <c r="S115" i="24" s="1"/>
  <c r="P114" i="24"/>
  <c r="Q114" i="24" s="1"/>
  <c r="S114" i="24" s="1"/>
  <c r="Q113" i="24"/>
  <c r="S113" i="24" s="1"/>
  <c r="Q112" i="24"/>
  <c r="S112" i="24" s="1"/>
  <c r="Q111" i="24"/>
  <c r="S111" i="24" s="1"/>
  <c r="O110" i="24"/>
  <c r="Q110" i="24" s="1"/>
  <c r="S110" i="24" s="1"/>
  <c r="O109" i="24"/>
  <c r="Q109" i="24" s="1"/>
  <c r="S109" i="24" s="1"/>
  <c r="O108" i="24"/>
  <c r="Q108" i="24" s="1"/>
  <c r="S108" i="24" s="1"/>
  <c r="O107" i="24"/>
  <c r="Q107" i="24" s="1"/>
  <c r="S107" i="24" s="1"/>
  <c r="O106" i="24"/>
  <c r="Q106" i="24" s="1"/>
  <c r="S106" i="24" s="1"/>
  <c r="O105" i="24"/>
  <c r="Q105" i="24" s="1"/>
  <c r="S105" i="24" s="1"/>
  <c r="O104" i="24"/>
  <c r="Q104" i="24" s="1"/>
  <c r="S104" i="24" s="1"/>
  <c r="Q103" i="24"/>
  <c r="S103" i="24" s="1"/>
  <c r="Q102" i="24"/>
  <c r="S102" i="24" s="1"/>
  <c r="Q101" i="24"/>
  <c r="S101" i="24" s="1"/>
  <c r="Q100" i="24"/>
  <c r="S100" i="24" s="1"/>
  <c r="Q99" i="24"/>
  <c r="S99" i="24" s="1"/>
  <c r="O98" i="24"/>
  <c r="Q98" i="24" s="1"/>
  <c r="S98" i="24" s="1"/>
  <c r="O97" i="24"/>
  <c r="Q97" i="24" s="1"/>
  <c r="S97" i="24" s="1"/>
  <c r="N96" i="24"/>
  <c r="O96" i="24" s="1"/>
  <c r="Q96" i="24" s="1"/>
  <c r="S96" i="24" s="1"/>
  <c r="N95" i="24"/>
  <c r="O95" i="24" s="1"/>
  <c r="Q95" i="24" s="1"/>
  <c r="S95" i="24" s="1"/>
  <c r="Q94" i="24"/>
  <c r="S94" i="24" s="1"/>
  <c r="Q93" i="24"/>
  <c r="S93" i="24" s="1"/>
  <c r="Q92" i="24"/>
  <c r="S92" i="24" s="1"/>
  <c r="Q91" i="24"/>
  <c r="S91" i="24" s="1"/>
  <c r="Q90" i="24"/>
  <c r="S90" i="24" s="1"/>
  <c r="Q89" i="24"/>
  <c r="S89" i="24" s="1"/>
  <c r="Q88" i="24"/>
  <c r="S88" i="24" s="1"/>
  <c r="O87" i="24"/>
  <c r="Q87" i="24" s="1"/>
  <c r="S87" i="24" s="1"/>
  <c r="O86" i="24"/>
  <c r="Q86" i="24" s="1"/>
  <c r="S86" i="24" s="1"/>
  <c r="O85" i="24"/>
  <c r="Q85" i="24" s="1"/>
  <c r="S85" i="24" s="1"/>
  <c r="O84" i="24"/>
  <c r="Q84" i="24" s="1"/>
  <c r="S84" i="24" s="1"/>
  <c r="O83" i="24"/>
  <c r="Q83" i="24" s="1"/>
  <c r="S83" i="24" s="1"/>
  <c r="O82" i="24"/>
  <c r="Q82" i="24" s="1"/>
  <c r="S82" i="24" s="1"/>
  <c r="O81" i="24"/>
  <c r="Q81" i="24" s="1"/>
  <c r="S81" i="24" s="1"/>
  <c r="O80" i="24"/>
  <c r="Q80" i="24" s="1"/>
  <c r="S80" i="24" s="1"/>
  <c r="O79" i="24"/>
  <c r="Q79" i="24" s="1"/>
  <c r="S79" i="24" s="1"/>
  <c r="O78" i="24"/>
  <c r="Q78" i="24" s="1"/>
  <c r="S78" i="24" s="1"/>
  <c r="O77" i="24"/>
  <c r="Q77" i="24" s="1"/>
  <c r="S77" i="24" s="1"/>
  <c r="O76" i="24"/>
  <c r="Q76" i="24" s="1"/>
  <c r="S76" i="24" s="1"/>
  <c r="O75" i="24"/>
  <c r="Q75" i="24" s="1"/>
  <c r="S75" i="24" s="1"/>
  <c r="O74" i="24"/>
  <c r="Q74" i="24" s="1"/>
  <c r="S74" i="24" s="1"/>
  <c r="O73" i="24"/>
  <c r="Q73" i="24" s="1"/>
  <c r="S73" i="24" s="1"/>
  <c r="O72" i="24"/>
  <c r="Q72" i="24" s="1"/>
  <c r="S72" i="24" s="1"/>
  <c r="O71" i="24"/>
  <c r="Q71" i="24" s="1"/>
  <c r="S71" i="24" s="1"/>
  <c r="O70" i="24"/>
  <c r="Q70" i="24" s="1"/>
  <c r="S70" i="24" s="1"/>
  <c r="O69" i="24"/>
  <c r="Q69" i="24" s="1"/>
  <c r="S69" i="24" s="1"/>
  <c r="O68" i="24"/>
  <c r="Q68" i="24" s="1"/>
  <c r="S68" i="24" s="1"/>
  <c r="O67" i="24"/>
  <c r="Q67" i="24" s="1"/>
  <c r="S67" i="24" s="1"/>
  <c r="O66" i="24"/>
  <c r="Q66" i="24" s="1"/>
  <c r="S66" i="24" s="1"/>
  <c r="O65" i="24"/>
  <c r="Q65" i="24" s="1"/>
  <c r="S65" i="24" s="1"/>
  <c r="O64" i="24"/>
  <c r="Q64" i="24" s="1"/>
  <c r="S64" i="24" s="1"/>
  <c r="O63" i="24"/>
  <c r="Q63" i="24" s="1"/>
  <c r="S63" i="24" s="1"/>
  <c r="O62" i="24"/>
  <c r="Q62" i="24" s="1"/>
  <c r="S62" i="24" s="1"/>
  <c r="O61" i="24"/>
  <c r="Q61" i="24" s="1"/>
  <c r="S61" i="24" s="1"/>
  <c r="O60" i="24"/>
  <c r="Q60" i="24" s="1"/>
  <c r="S60" i="24" s="1"/>
  <c r="N59" i="24"/>
  <c r="O59" i="24" s="1"/>
  <c r="Q59" i="24" s="1"/>
  <c r="S59" i="24" s="1"/>
  <c r="O58" i="24"/>
  <c r="Q58" i="24" s="1"/>
  <c r="S58" i="24" s="1"/>
  <c r="O57" i="24"/>
  <c r="Q57" i="24" s="1"/>
  <c r="S57" i="24" s="1"/>
  <c r="O56" i="24"/>
  <c r="Q56" i="24" s="1"/>
  <c r="S56" i="24" s="1"/>
  <c r="Q55" i="24"/>
  <c r="S55" i="24" s="1"/>
  <c r="Q54" i="24"/>
  <c r="S54" i="24" s="1"/>
  <c r="Q53" i="24"/>
  <c r="S53" i="24" s="1"/>
  <c r="Q52" i="24"/>
  <c r="S52" i="24" s="1"/>
  <c r="Q51" i="24"/>
  <c r="S51" i="24" s="1"/>
  <c r="Q50" i="24"/>
  <c r="S50" i="24" s="1"/>
  <c r="Q49" i="24"/>
  <c r="S49" i="24" s="1"/>
  <c r="Q48" i="24"/>
  <c r="S48" i="24" s="1"/>
  <c r="Q47" i="24"/>
  <c r="S47" i="24" s="1"/>
  <c r="Q46" i="24"/>
  <c r="S46" i="24" s="1"/>
  <c r="S45" i="24"/>
  <c r="Q45" i="24"/>
  <c r="S44" i="24"/>
  <c r="Q44" i="24"/>
  <c r="S43" i="24"/>
  <c r="Q43" i="24"/>
  <c r="S42" i="24"/>
  <c r="Q42" i="24"/>
  <c r="S41" i="24"/>
  <c r="Q41" i="24"/>
  <c r="S40" i="24"/>
  <c r="Q40" i="24"/>
  <c r="S39" i="24"/>
  <c r="Q39" i="24"/>
  <c r="S38" i="24"/>
  <c r="Q38" i="24"/>
  <c r="S37" i="24"/>
  <c r="Q37" i="24"/>
  <c r="S36" i="24"/>
  <c r="Q36" i="24"/>
  <c r="S35" i="24"/>
  <c r="Q35" i="24"/>
  <c r="S34" i="24"/>
  <c r="Q34" i="24"/>
  <c r="Q33" i="24"/>
  <c r="S33" i="24" s="1"/>
  <c r="Q32" i="24"/>
  <c r="S32" i="24" s="1"/>
  <c r="Q31" i="24"/>
  <c r="S31" i="24" s="1"/>
  <c r="Q30" i="24"/>
  <c r="S30" i="24" s="1"/>
  <c r="Q29" i="24"/>
  <c r="S29" i="24" s="1"/>
  <c r="Q28" i="24"/>
  <c r="S28" i="24" s="1"/>
  <c r="Q27" i="24"/>
  <c r="S27" i="24" s="1"/>
  <c r="S26" i="24"/>
  <c r="S25" i="24"/>
  <c r="S24" i="24"/>
  <c r="Q24" i="24"/>
  <c r="S23" i="24"/>
  <c r="S22" i="24"/>
  <c r="S21" i="24"/>
  <c r="S20" i="24"/>
  <c r="Q20" i="24"/>
  <c r="Q15" i="24"/>
  <c r="Q10" i="24"/>
  <c r="S14" i="24" s="1"/>
  <c r="Q8" i="24"/>
  <c r="S9" i="24" s="1"/>
  <c r="W7" i="24"/>
  <c r="W6" i="24"/>
  <c r="W5" i="24"/>
  <c r="W4" i="24"/>
  <c r="W3" i="24"/>
  <c r="W2" i="24"/>
  <c r="U512" i="69" l="1"/>
  <c r="V512" i="69" s="1"/>
  <c r="W512" i="69" s="1"/>
  <c r="M2" i="63"/>
  <c r="N2" i="63" s="1"/>
  <c r="AL842" i="69"/>
  <c r="AL863" i="69"/>
  <c r="AL875" i="69"/>
  <c r="AL871" i="69"/>
  <c r="U417" i="69"/>
  <c r="V417" i="69" s="1"/>
  <c r="W417" i="69" s="1"/>
  <c r="U418" i="69"/>
  <c r="V418" i="69" s="1"/>
  <c r="W418" i="69" s="1"/>
  <c r="U426" i="69"/>
  <c r="V426" i="69" s="1"/>
  <c r="W426" i="69" s="1"/>
  <c r="U566" i="69"/>
  <c r="V566" i="69" s="1"/>
  <c r="W566" i="69" s="1"/>
  <c r="S13" i="24"/>
  <c r="P815" i="69"/>
  <c r="U815" i="69" s="1"/>
  <c r="V815" i="69" s="1"/>
  <c r="W815" i="69" s="1"/>
  <c r="S12" i="24"/>
  <c r="S10" i="24"/>
  <c r="P139" i="24"/>
  <c r="U420" i="69"/>
  <c r="V420" i="69" s="1"/>
  <c r="W420" i="69" s="1"/>
  <c r="U428" i="69"/>
  <c r="V428" i="69" s="1"/>
  <c r="W428" i="69" s="1"/>
  <c r="U495" i="69"/>
  <c r="V495" i="69" s="1"/>
  <c r="W495" i="69" s="1"/>
  <c r="U503" i="69"/>
  <c r="V503" i="69" s="1"/>
  <c r="W503" i="69" s="1"/>
  <c r="U568" i="69"/>
  <c r="V568" i="69" s="1"/>
  <c r="W568" i="69" s="1"/>
  <c r="Y816" i="69"/>
  <c r="U422" i="69"/>
  <c r="V422" i="69" s="1"/>
  <c r="W422" i="69" s="1"/>
  <c r="U416" i="69"/>
  <c r="V416" i="69" s="1"/>
  <c r="W416" i="69" s="1"/>
  <c r="U424" i="69"/>
  <c r="V424" i="69" s="1"/>
  <c r="W424" i="69" s="1"/>
  <c r="U491" i="69"/>
  <c r="V491" i="69" s="1"/>
  <c r="W491" i="69" s="1"/>
  <c r="U499" i="69"/>
  <c r="V499" i="69" s="1"/>
  <c r="W499" i="69" s="1"/>
  <c r="U507" i="69"/>
  <c r="V507" i="69" s="1"/>
  <c r="W507" i="69" s="1"/>
  <c r="U1243" i="69"/>
  <c r="V1243" i="69" s="1"/>
  <c r="W1243" i="69" s="1"/>
  <c r="U421" i="69"/>
  <c r="V421" i="69" s="1"/>
  <c r="W421" i="69" s="1"/>
  <c r="U1295" i="69"/>
  <c r="V1295" i="69" s="1"/>
  <c r="W1295" i="69" s="1"/>
  <c r="AL814" i="69"/>
  <c r="AL1069" i="69"/>
  <c r="AL1157" i="69"/>
  <c r="AL832" i="69"/>
  <c r="AL1264" i="69"/>
  <c r="U567" i="69"/>
  <c r="V567" i="69" s="1"/>
  <c r="W567" i="69" s="1"/>
  <c r="AL375" i="69"/>
  <c r="AL271" i="69"/>
  <c r="AL275" i="69"/>
  <c r="AL279" i="69"/>
  <c r="AL291" i="69"/>
  <c r="AL295" i="69"/>
  <c r="AL299" i="69"/>
  <c r="AL561" i="69"/>
  <c r="AL590" i="69"/>
  <c r="AL1139" i="69"/>
  <c r="AL1143" i="69"/>
  <c r="AL1163" i="69"/>
  <c r="AL726" i="69"/>
  <c r="AL733" i="69"/>
  <c r="AL1188" i="69"/>
  <c r="U1265" i="69"/>
  <c r="V1265" i="69" s="1"/>
  <c r="W1265" i="69" s="1"/>
  <c r="AL1070" i="69"/>
  <c r="AL1271" i="69"/>
  <c r="AL1316" i="69"/>
  <c r="AL1234" i="69"/>
  <c r="AL1309" i="69"/>
  <c r="AL1235" i="69"/>
  <c r="AL316" i="69"/>
  <c r="AL84" i="69"/>
  <c r="AL92" i="69"/>
  <c r="AL100" i="69"/>
  <c r="AL1303" i="69"/>
  <c r="AL73" i="69"/>
  <c r="AL89" i="69"/>
  <c r="AL109" i="69"/>
  <c r="AL588" i="69"/>
  <c r="AL70" i="69"/>
  <c r="AL82" i="69"/>
  <c r="AL90" i="69"/>
  <c r="AL358" i="69"/>
  <c r="AL370" i="69"/>
  <c r="AL374" i="69"/>
  <c r="AL700" i="69"/>
  <c r="AL716" i="69"/>
  <c r="AL720" i="69"/>
  <c r="AL746" i="69"/>
  <c r="AL1310" i="69"/>
  <c r="AL764" i="69"/>
  <c r="AL799" i="69"/>
  <c r="AL955" i="69"/>
  <c r="AL971" i="69"/>
  <c r="AL995" i="69"/>
  <c r="AL286" i="69"/>
  <c r="AL18" i="69"/>
  <c r="AL552" i="69"/>
  <c r="AL1182" i="69"/>
  <c r="AL498" i="69"/>
  <c r="AL1131" i="69"/>
  <c r="AL1349" i="69"/>
  <c r="AL761" i="69"/>
  <c r="AL1020" i="69"/>
  <c r="AL1028" i="69"/>
  <c r="AL1036" i="69"/>
  <c r="AL1044" i="69"/>
  <c r="AL103" i="69"/>
  <c r="AL107" i="69"/>
  <c r="AL115" i="69"/>
  <c r="AL123" i="69"/>
  <c r="AL127" i="69"/>
  <c r="AL262" i="69"/>
  <c r="AL481" i="69"/>
  <c r="AL485" i="69"/>
  <c r="AL512" i="69"/>
  <c r="AL276" i="69"/>
  <c r="AL296" i="69"/>
  <c r="AL1176" i="69"/>
  <c r="AL1180" i="69"/>
  <c r="AL657" i="69"/>
  <c r="AL1200" i="69"/>
  <c r="AL313" i="69"/>
  <c r="AL329" i="69"/>
  <c r="AL503" i="69"/>
  <c r="AL1010" i="69"/>
  <c r="AL1022" i="69"/>
  <c r="AL1026" i="69"/>
  <c r="AL57" i="69"/>
  <c r="AL65" i="69"/>
  <c r="AL197" i="69"/>
  <c r="AL408" i="69"/>
  <c r="AL412" i="69"/>
  <c r="AL1243" i="69"/>
  <c r="AL203" i="69"/>
  <c r="AL211" i="69"/>
  <c r="AL219" i="69"/>
  <c r="AL223" i="69"/>
  <c r="AL227" i="69"/>
  <c r="AL307" i="69"/>
  <c r="AL331" i="69"/>
  <c r="AL508" i="69"/>
  <c r="AL805" i="69"/>
  <c r="AL925" i="69"/>
  <c r="AL1206" i="69"/>
  <c r="AL1379" i="69"/>
  <c r="AL272" i="69"/>
  <c r="AL427" i="69"/>
  <c r="AL608" i="69"/>
  <c r="AL643" i="69"/>
  <c r="AL667" i="69"/>
  <c r="AL740" i="69"/>
  <c r="AL965" i="69"/>
  <c r="AL973" i="69"/>
  <c r="AL12" i="69"/>
  <c r="AL44" i="69"/>
  <c r="AL48" i="69"/>
  <c r="AL216" i="69"/>
  <c r="AL434" i="69"/>
  <c r="AL626" i="69"/>
  <c r="AL868" i="69"/>
  <c r="AL930" i="69"/>
  <c r="AL934" i="69"/>
  <c r="AL1252" i="69"/>
  <c r="AL138" i="69"/>
  <c r="AL142" i="69"/>
  <c r="AL146" i="69"/>
  <c r="AL174" i="69"/>
  <c r="AL178" i="69"/>
  <c r="AL466" i="69"/>
  <c r="AL470" i="69"/>
  <c r="AL474" i="69"/>
  <c r="AL741" i="69"/>
  <c r="AL760" i="69"/>
  <c r="AL1238" i="69"/>
  <c r="AL1242" i="69"/>
  <c r="AL1249" i="69"/>
  <c r="AL1327" i="69"/>
  <c r="AL482" i="69"/>
  <c r="AL506" i="69"/>
  <c r="AL516" i="69"/>
  <c r="AL567" i="69"/>
  <c r="AL899" i="69"/>
  <c r="AL907" i="69"/>
  <c r="AL1141" i="69"/>
  <c r="AL213" i="69"/>
  <c r="AL21" i="69"/>
  <c r="AL151" i="69"/>
  <c r="AL179" i="69"/>
  <c r="AL264" i="69"/>
  <c r="AL372" i="69"/>
  <c r="AL419" i="69"/>
  <c r="AL439" i="69"/>
  <c r="AL455" i="69"/>
  <c r="AL459" i="69"/>
  <c r="AL467" i="69"/>
  <c r="AL594" i="69"/>
  <c r="AL598" i="69"/>
  <c r="AL233" i="69"/>
  <c r="AL290" i="69"/>
  <c r="AL294" i="69"/>
  <c r="AL298" i="69"/>
  <c r="AL1313" i="69"/>
  <c r="AL58" i="69"/>
  <c r="AL226" i="69"/>
  <c r="AL230" i="69"/>
  <c r="AL310" i="69"/>
  <c r="AL314" i="69"/>
  <c r="AL318" i="69"/>
  <c r="AL539" i="69"/>
  <c r="AL565" i="69"/>
  <c r="AL878" i="69"/>
  <c r="AL1158" i="69"/>
  <c r="AL249" i="69"/>
  <c r="AL369" i="69"/>
  <c r="AL562" i="69"/>
  <c r="AL766" i="69"/>
  <c r="AL1059" i="69"/>
  <c r="AL152" i="69"/>
  <c r="AL160" i="69"/>
  <c r="AL164" i="69"/>
  <c r="AL452" i="69"/>
  <c r="AL464" i="69"/>
  <c r="AL511" i="69"/>
  <c r="AL654" i="69"/>
  <c r="AL662" i="69"/>
  <c r="AL831" i="69"/>
  <c r="AL948" i="69"/>
  <c r="AL1123" i="69"/>
  <c r="AL736" i="69"/>
  <c r="AL762" i="69"/>
  <c r="AL800" i="69"/>
  <c r="AL861" i="69"/>
  <c r="AL888" i="69"/>
  <c r="AL976" i="69"/>
  <c r="AL398" i="69"/>
  <c r="AL1083" i="69"/>
  <c r="AL1087" i="69"/>
  <c r="AL1091" i="69"/>
  <c r="AL1099" i="69"/>
  <c r="AL1107" i="69"/>
  <c r="AL1111" i="69"/>
  <c r="AL1229" i="69"/>
  <c r="AL297" i="69"/>
  <c r="AL149" i="69"/>
  <c r="AL352" i="69"/>
  <c r="AL364" i="69"/>
  <c r="AL395" i="69"/>
  <c r="AL399" i="69"/>
  <c r="AL477" i="69"/>
  <c r="AL515" i="69"/>
  <c r="AL576" i="69"/>
  <c r="AL695" i="69"/>
  <c r="AL748" i="69"/>
  <c r="AL801" i="69"/>
  <c r="AL827" i="69"/>
  <c r="AL839" i="69"/>
  <c r="AL1008" i="69"/>
  <c r="AL1135" i="69"/>
  <c r="AL1150" i="69"/>
  <c r="AL1241" i="69"/>
  <c r="AL1273" i="69"/>
  <c r="AL1306" i="69"/>
  <c r="AL1373" i="69"/>
  <c r="AL610" i="69"/>
  <c r="AL640" i="69"/>
  <c r="AL652" i="69"/>
  <c r="AL656" i="69"/>
  <c r="AL660" i="69"/>
  <c r="AL664" i="69"/>
  <c r="AL723" i="69"/>
  <c r="AL1072" i="69"/>
  <c r="AL1347" i="69"/>
  <c r="AL268" i="69"/>
  <c r="AL5" i="69"/>
  <c r="AL13" i="69"/>
  <c r="AL17" i="69"/>
  <c r="AL231" i="69"/>
  <c r="AL380" i="69"/>
  <c r="AL425" i="69"/>
  <c r="AL563" i="69"/>
  <c r="AL566" i="69"/>
  <c r="AL684" i="69"/>
  <c r="AL696" i="69"/>
  <c r="AL824" i="69"/>
  <c r="AL924" i="69"/>
  <c r="AL1033" i="69"/>
  <c r="AL1096" i="69"/>
  <c r="AL1124" i="69"/>
  <c r="AL1162" i="69"/>
  <c r="AL1277" i="69"/>
  <c r="AL1344" i="69"/>
  <c r="AL353" i="69"/>
  <c r="AL634" i="69"/>
  <c r="AL673" i="69"/>
  <c r="AL1330" i="69"/>
  <c r="AL1077" i="69"/>
  <c r="AL1085" i="69"/>
  <c r="AL1101" i="69"/>
  <c r="AL22" i="69"/>
  <c r="AL34" i="69"/>
  <c r="AL38" i="69"/>
  <c r="AL50" i="69"/>
  <c r="AL117" i="69"/>
  <c r="AL247" i="69"/>
  <c r="AL251" i="69"/>
  <c r="AL284" i="69"/>
  <c r="AL589" i="69"/>
  <c r="AL614" i="69"/>
  <c r="AL689" i="69"/>
  <c r="AL784" i="69"/>
  <c r="AL829" i="69"/>
  <c r="AL1263" i="69"/>
  <c r="AL833" i="69"/>
  <c r="AL1125" i="69"/>
  <c r="AL1133" i="69"/>
  <c r="AL1152" i="69"/>
  <c r="AL1175" i="69"/>
  <c r="U1261" i="69"/>
  <c r="V1261" i="69" s="1"/>
  <c r="W1261" i="69" s="1"/>
  <c r="AL1375" i="69"/>
  <c r="AL1394" i="69"/>
  <c r="U504" i="69"/>
  <c r="V504" i="69" s="1"/>
  <c r="W504" i="69" s="1"/>
  <c r="AL433" i="69"/>
  <c r="U511" i="69"/>
  <c r="V511" i="69" s="1"/>
  <c r="W511" i="69" s="1"/>
  <c r="AL739" i="69"/>
  <c r="AL987" i="69"/>
  <c r="AL1003" i="69"/>
  <c r="AL1118" i="69"/>
  <c r="AL1160" i="69"/>
  <c r="AL1179" i="69"/>
  <c r="AL3" i="69"/>
  <c r="AL7" i="69"/>
  <c r="AL27" i="69"/>
  <c r="AL31" i="69"/>
  <c r="AL39" i="69"/>
  <c r="AL43" i="69"/>
  <c r="AL47" i="69"/>
  <c r="AL126" i="69"/>
  <c r="AL236" i="69"/>
  <c r="AL244" i="69"/>
  <c r="AL252" i="69"/>
  <c r="AL336" i="69"/>
  <c r="AL344" i="69"/>
  <c r="AL378" i="69"/>
  <c r="AL386" i="69"/>
  <c r="AL514" i="69"/>
  <c r="AL853" i="69"/>
  <c r="AL857" i="69"/>
  <c r="AL1007" i="69"/>
  <c r="AL1023" i="69"/>
  <c r="AL1027" i="69"/>
  <c r="AL1164" i="69"/>
  <c r="AL1202" i="69"/>
  <c r="AL1279" i="69"/>
  <c r="AL1380" i="69"/>
  <c r="AL1395" i="69"/>
  <c r="AL384" i="69"/>
  <c r="U505" i="69"/>
  <c r="V505" i="69" s="1"/>
  <c r="W505" i="69" s="1"/>
  <c r="U518" i="69"/>
  <c r="V518" i="69" s="1"/>
  <c r="W518" i="69" s="1"/>
  <c r="AL635" i="69"/>
  <c r="AL646" i="69"/>
  <c r="AL681" i="69"/>
  <c r="AL750" i="69"/>
  <c r="AL874" i="69"/>
  <c r="AL904" i="69"/>
  <c r="AL911" i="69"/>
  <c r="AL978" i="69"/>
  <c r="AL997" i="69"/>
  <c r="AL1104" i="69"/>
  <c r="AL1112" i="69"/>
  <c r="AL1116" i="69"/>
  <c r="AL1287" i="69"/>
  <c r="AL1312" i="69"/>
  <c r="AL1337" i="69"/>
  <c r="AL619" i="69"/>
  <c r="AL376" i="69"/>
  <c r="AL547" i="69"/>
  <c r="AL758" i="69"/>
  <c r="AL812" i="69"/>
  <c r="AL830" i="69"/>
  <c r="AL867" i="69"/>
  <c r="AL986" i="69"/>
  <c r="AL1262" i="69"/>
  <c r="AL492" i="69"/>
  <c r="AL287" i="69"/>
  <c r="AL302" i="69"/>
  <c r="AL430" i="69"/>
  <c r="AL192" i="69"/>
  <c r="AL155" i="69"/>
  <c r="AL15" i="69"/>
  <c r="AL66" i="69"/>
  <c r="AL263" i="69"/>
  <c r="AL348" i="69"/>
  <c r="AL502" i="69"/>
  <c r="AL727" i="69"/>
  <c r="AL819" i="69"/>
  <c r="AL1109" i="69"/>
  <c r="AL1385" i="69"/>
  <c r="AL170" i="69"/>
  <c r="AL1149" i="69"/>
  <c r="AL1189" i="69"/>
  <c r="AL373" i="69"/>
  <c r="AL248" i="69"/>
  <c r="AL583" i="69"/>
  <c r="AL20" i="69"/>
  <c r="AL51" i="69"/>
  <c r="AL78" i="69"/>
  <c r="AL112" i="69"/>
  <c r="AL183" i="69"/>
  <c r="AL208" i="69"/>
  <c r="AL326" i="69"/>
  <c r="AL400" i="69"/>
  <c r="AL415" i="69"/>
  <c r="AL444" i="69"/>
  <c r="AL496" i="69"/>
  <c r="AL544" i="69"/>
  <c r="AL697" i="69"/>
  <c r="AL751" i="69"/>
  <c r="AL769" i="69"/>
  <c r="AL776" i="69"/>
  <c r="AL945" i="69"/>
  <c r="AL1040" i="69"/>
  <c r="AL1147" i="69"/>
  <c r="AL1183" i="69"/>
  <c r="AL1216" i="69"/>
  <c r="AL1239" i="69"/>
  <c r="AL260" i="69"/>
  <c r="AL486" i="69"/>
  <c r="AL490" i="69"/>
  <c r="AL493" i="69"/>
  <c r="AL671" i="69"/>
  <c r="AL1067" i="69"/>
  <c r="AL1187" i="69"/>
  <c r="AL1321" i="69"/>
  <c r="AL393" i="69"/>
  <c r="AL584" i="69"/>
  <c r="AL999" i="69"/>
  <c r="AL1285" i="69"/>
  <c r="U1296" i="69"/>
  <c r="V1296" i="69" s="1"/>
  <c r="W1296" i="69" s="1"/>
  <c r="AL1314" i="69"/>
  <c r="AL1325" i="69"/>
  <c r="AL1332" i="69"/>
  <c r="AL1386" i="69"/>
  <c r="AL897" i="69"/>
  <c r="AL36" i="69"/>
  <c r="AL180" i="69"/>
  <c r="AL205" i="69"/>
  <c r="AL209" i="69"/>
  <c r="AL445" i="69"/>
  <c r="AL648" i="69"/>
  <c r="AL745" i="69"/>
  <c r="AL909" i="69"/>
  <c r="AL1015" i="69"/>
  <c r="AL1037" i="69"/>
  <c r="AL1045" i="69"/>
  <c r="AL1060" i="69"/>
  <c r="AL132" i="69"/>
  <c r="AL135" i="69"/>
  <c r="AL150" i="69"/>
  <c r="AL173" i="69"/>
  <c r="AL191" i="69"/>
  <c r="AL261" i="69"/>
  <c r="AL304" i="69"/>
  <c r="AL335" i="69"/>
  <c r="AL368" i="69"/>
  <c r="AL416" i="69"/>
  <c r="AL472" i="69"/>
  <c r="AL497" i="69"/>
  <c r="AL545" i="69"/>
  <c r="AL549" i="69"/>
  <c r="AL560" i="69"/>
  <c r="AL602" i="69"/>
  <c r="AL612" i="69"/>
  <c r="AL625" i="69"/>
  <c r="AL672" i="69"/>
  <c r="AL713" i="69"/>
  <c r="AL721" i="69"/>
  <c r="AL828" i="69"/>
  <c r="AL921" i="69"/>
  <c r="AL1076" i="69"/>
  <c r="AL1174" i="69"/>
  <c r="AL1343" i="69"/>
  <c r="AL1368" i="69"/>
  <c r="AL221" i="69"/>
  <c r="AL225" i="69"/>
  <c r="AL238" i="69"/>
  <c r="AL278" i="69"/>
  <c r="AL293" i="69"/>
  <c r="AL339" i="69"/>
  <c r="AL383" i="69"/>
  <c r="AL409" i="69"/>
  <c r="AL461" i="69"/>
  <c r="AL476" i="69"/>
  <c r="AL606" i="69"/>
  <c r="AL785" i="69"/>
  <c r="AL796" i="69"/>
  <c r="AL817" i="69"/>
  <c r="AL843" i="69"/>
  <c r="AL880" i="69"/>
  <c r="AL943" i="69"/>
  <c r="AL10" i="69"/>
  <c r="AL68" i="69"/>
  <c r="AL87" i="69"/>
  <c r="AL162" i="69"/>
  <c r="AL195" i="69"/>
  <c r="AL320" i="69"/>
  <c r="AL357" i="69"/>
  <c r="AL361" i="69"/>
  <c r="AL480" i="69"/>
  <c r="AL484" i="69"/>
  <c r="AL649" i="69"/>
  <c r="AL676" i="69"/>
  <c r="AL735" i="69"/>
  <c r="AL767" i="69"/>
  <c r="AL774" i="69"/>
  <c r="AL825" i="69"/>
  <c r="AL903" i="69"/>
  <c r="AL910" i="69"/>
  <c r="AL914" i="69"/>
  <c r="AL936" i="69"/>
  <c r="AL977" i="69"/>
  <c r="AL1000" i="69"/>
  <c r="AL1004" i="69"/>
  <c r="AL1031" i="69"/>
  <c r="AL1080" i="69"/>
  <c r="AL1130" i="69"/>
  <c r="AL1192" i="69"/>
  <c r="AL1272" i="69"/>
  <c r="AL1387" i="69"/>
  <c r="AL114" i="69"/>
  <c r="AL229" i="69"/>
  <c r="AL301" i="69"/>
  <c r="AL328" i="69"/>
  <c r="AL365" i="69"/>
  <c r="AL402" i="69"/>
  <c r="AL435" i="69"/>
  <c r="AL527" i="69"/>
  <c r="AL542" i="69"/>
  <c r="AL622" i="69"/>
  <c r="AL851" i="69"/>
  <c r="AL862" i="69"/>
  <c r="AL866" i="69"/>
  <c r="AL891" i="69"/>
  <c r="AL900" i="69"/>
  <c r="AL970" i="69"/>
  <c r="AL1012" i="69"/>
  <c r="AL1218" i="69"/>
  <c r="AL1237" i="69"/>
  <c r="AL406" i="69"/>
  <c r="U563" i="69"/>
  <c r="V563" i="69" s="1"/>
  <c r="W563" i="69" s="1"/>
  <c r="AL571" i="69"/>
  <c r="AL680" i="69"/>
  <c r="AL737" i="69"/>
  <c r="AL744" i="69"/>
  <c r="U1262" i="69"/>
  <c r="V1262" i="69" s="1"/>
  <c r="W1262" i="69" s="1"/>
  <c r="AL277" i="69"/>
  <c r="AL324" i="69"/>
  <c r="AL413" i="69"/>
  <c r="AL524" i="69"/>
  <c r="AL535" i="69"/>
  <c r="AL591" i="69"/>
  <c r="AL763" i="69"/>
  <c r="AL788" i="69"/>
  <c r="AL901" i="69"/>
  <c r="AL1186" i="69"/>
  <c r="AL76" i="69"/>
  <c r="AL24" i="69"/>
  <c r="AL35" i="69"/>
  <c r="AL55" i="69"/>
  <c r="AL98" i="69"/>
  <c r="AL154" i="69"/>
  <c r="AL182" i="69"/>
  <c r="AL245" i="69"/>
  <c r="AL274" i="69"/>
  <c r="AL281" i="69"/>
  <c r="AL321" i="69"/>
  <c r="AL342" i="69"/>
  <c r="AL355" i="69"/>
  <c r="AL436" i="69"/>
  <c r="AL453" i="69"/>
  <c r="AL457" i="69"/>
  <c r="U497" i="69"/>
  <c r="V497" i="69" s="1"/>
  <c r="W497" i="69" s="1"/>
  <c r="U500" i="69"/>
  <c r="V500" i="69" s="1"/>
  <c r="W500" i="69" s="1"/>
  <c r="U506" i="69"/>
  <c r="V506" i="69" s="1"/>
  <c r="W506" i="69" s="1"/>
  <c r="AL521" i="69"/>
  <c r="AL528" i="69"/>
  <c r="AL604" i="69"/>
  <c r="AL893" i="69"/>
  <c r="AL913" i="69"/>
  <c r="AL937" i="69"/>
  <c r="AL960" i="69"/>
  <c r="AL1092" i="69"/>
  <c r="AL1103" i="69"/>
  <c r="AL28" i="69"/>
  <c r="AL32" i="69"/>
  <c r="AL42" i="69"/>
  <c r="AL52" i="69"/>
  <c r="AL165" i="69"/>
  <c r="AL172" i="69"/>
  <c r="U494" i="69"/>
  <c r="V494" i="69" s="1"/>
  <c r="W494" i="69" s="1"/>
  <c r="AL509" i="69"/>
  <c r="AL835" i="69"/>
  <c r="AL1236" i="69"/>
  <c r="AL1389" i="69"/>
  <c r="AL288" i="69"/>
  <c r="AL366" i="69"/>
  <c r="U522" i="69"/>
  <c r="V522" i="69" s="1"/>
  <c r="W522" i="69" s="1"/>
  <c r="AL532" i="69"/>
  <c r="U558" i="69"/>
  <c r="V558" i="69" s="1"/>
  <c r="W558" i="69" s="1"/>
  <c r="AL575" i="69"/>
  <c r="AL729" i="69"/>
  <c r="AL778" i="69"/>
  <c r="AL890" i="69"/>
  <c r="AL927" i="69"/>
  <c r="AL1048" i="69"/>
  <c r="AL1142" i="69"/>
  <c r="AL1276" i="69"/>
  <c r="AL101" i="69"/>
  <c r="AL69" i="69"/>
  <c r="AL95" i="69"/>
  <c r="AL120" i="69"/>
  <c r="AL124" i="69"/>
  <c r="AL128" i="69"/>
  <c r="AL131" i="69"/>
  <c r="AL169" i="69"/>
  <c r="AL189" i="69"/>
  <c r="AL199" i="69"/>
  <c r="AL246" i="69"/>
  <c r="AL285" i="69"/>
  <c r="AL292" i="69"/>
  <c r="AL305" i="69"/>
  <c r="AL315" i="69"/>
  <c r="AL394" i="69"/>
  <c r="AL397" i="69"/>
  <c r="AL417" i="69"/>
  <c r="AL423" i="69"/>
  <c r="AL440" i="69"/>
  <c r="AL468" i="69"/>
  <c r="AL494" i="69"/>
  <c r="AL688" i="69"/>
  <c r="AL708" i="69"/>
  <c r="AL712" i="69"/>
  <c r="AL752" i="69"/>
  <c r="AL768" i="69"/>
  <c r="AL775" i="69"/>
  <c r="AL802" i="69"/>
  <c r="AL806" i="69"/>
  <c r="AL818" i="69"/>
  <c r="AL855" i="69"/>
  <c r="AL858" i="69"/>
  <c r="AL881" i="69"/>
  <c r="AL931" i="69"/>
  <c r="AL947" i="69"/>
  <c r="AL950" i="69"/>
  <c r="AL957" i="69"/>
  <c r="AL1006" i="69"/>
  <c r="AL1052" i="69"/>
  <c r="AL1078" i="69"/>
  <c r="AL1132" i="69"/>
  <c r="AL11" i="69"/>
  <c r="AL25" i="69"/>
  <c r="AL49" i="69"/>
  <c r="AL63" i="69"/>
  <c r="AL74" i="69"/>
  <c r="AL88" i="69"/>
  <c r="AL113" i="69"/>
  <c r="AL210" i="69"/>
  <c r="AL220" i="69"/>
  <c r="AL239" i="69"/>
  <c r="AL243" i="69"/>
  <c r="AL282" i="69"/>
  <c r="AL519" i="69"/>
  <c r="AL540" i="69"/>
  <c r="AL543" i="69"/>
  <c r="AL551" i="69"/>
  <c r="AL668" i="69"/>
  <c r="AL678" i="69"/>
  <c r="AL705" i="69"/>
  <c r="AL792" i="69"/>
  <c r="AL938" i="69"/>
  <c r="AL1082" i="69"/>
  <c r="AL1115" i="69"/>
  <c r="AL1211" i="69"/>
  <c r="AL29" i="69"/>
  <c r="AL207" i="69"/>
  <c r="AL217" i="69"/>
  <c r="AL289" i="69"/>
  <c r="AL367" i="69"/>
  <c r="AL388" i="69"/>
  <c r="AL429" i="69"/>
  <c r="AL451" i="69"/>
  <c r="AL458" i="69"/>
  <c r="U498" i="69"/>
  <c r="V498" i="69" s="1"/>
  <c r="W498" i="69" s="1"/>
  <c r="AL599" i="69"/>
  <c r="AL692" i="69"/>
  <c r="AL852" i="69"/>
  <c r="AL1024" i="69"/>
  <c r="AL1071" i="69"/>
  <c r="AL1119" i="69"/>
  <c r="AL4" i="69"/>
  <c r="AL40" i="69"/>
  <c r="AL60" i="69"/>
  <c r="AL71" i="69"/>
  <c r="AL121" i="69"/>
  <c r="AL145" i="69"/>
  <c r="AL186" i="69"/>
  <c r="AL190" i="69"/>
  <c r="AL200" i="69"/>
  <c r="AL224" i="69"/>
  <c r="AL309" i="69"/>
  <c r="AL350" i="69"/>
  <c r="AL360" i="69"/>
  <c r="AL421" i="69"/>
  <c r="AL441" i="69"/>
  <c r="AL448" i="69"/>
  <c r="AL555" i="69"/>
  <c r="AL570" i="69"/>
  <c r="AL644" i="69"/>
  <c r="AL665" i="69"/>
  <c r="AL675" i="69"/>
  <c r="AL699" i="69"/>
  <c r="AL756" i="69"/>
  <c r="AL826" i="69"/>
  <c r="AL935" i="69"/>
  <c r="AL1038" i="69"/>
  <c r="AL1049" i="69"/>
  <c r="AL1053" i="69"/>
  <c r="AL1057" i="69"/>
  <c r="AL1064" i="69"/>
  <c r="AL1253" i="69"/>
  <c r="AL1302" i="69"/>
  <c r="AL1383" i="69"/>
  <c r="AL129" i="69"/>
  <c r="AL392" i="69"/>
  <c r="AL418" i="69"/>
  <c r="AL462" i="69"/>
  <c r="AL469" i="69"/>
  <c r="AL479" i="69"/>
  <c r="AL489" i="69"/>
  <c r="AL534" i="69"/>
  <c r="AL548" i="69"/>
  <c r="U562" i="69"/>
  <c r="V562" i="69" s="1"/>
  <c r="W562" i="69" s="1"/>
  <c r="AL587" i="69"/>
  <c r="AL596" i="69"/>
  <c r="AL624" i="69"/>
  <c r="AL627" i="69"/>
  <c r="AL651" i="69"/>
  <c r="AL669" i="69"/>
  <c r="AL724" i="69"/>
  <c r="AL816" i="69"/>
  <c r="AL823" i="69"/>
  <c r="AL879" i="69"/>
  <c r="AL939" i="69"/>
  <c r="AL1035" i="69"/>
  <c r="AL1094" i="69"/>
  <c r="AL1169" i="69"/>
  <c r="AL1199" i="69"/>
  <c r="AL1247" i="69"/>
  <c r="AL1250" i="69"/>
  <c r="AL104" i="69"/>
  <c r="AL187" i="69"/>
  <c r="AL194" i="69"/>
  <c r="AL323" i="69"/>
  <c r="AL337" i="69"/>
  <c r="U493" i="69"/>
  <c r="V493" i="69" s="1"/>
  <c r="W493" i="69" s="1"/>
  <c r="AL517" i="69"/>
  <c r="AL603" i="69"/>
  <c r="AL641" i="69"/>
  <c r="AL703" i="69"/>
  <c r="AL797" i="69"/>
  <c r="AL966" i="69"/>
  <c r="AL1050" i="69"/>
  <c r="AL1155" i="69"/>
  <c r="AL1203" i="69"/>
  <c r="U1293" i="69"/>
  <c r="V1293" i="69" s="1"/>
  <c r="W1293" i="69" s="1"/>
  <c r="AL26" i="69"/>
  <c r="AL37" i="69"/>
  <c r="AL79" i="69"/>
  <c r="AL9" i="69"/>
  <c r="AL23" i="69"/>
  <c r="AL61" i="69"/>
  <c r="AL157" i="69"/>
  <c r="AL171" i="69"/>
  <c r="AL181" i="69"/>
  <c r="AL215" i="69"/>
  <c r="AL273" i="69"/>
  <c r="AL317" i="69"/>
  <c r="AL334" i="69"/>
  <c r="AL345" i="69"/>
  <c r="AL456" i="69"/>
  <c r="AL483" i="69"/>
  <c r="AL607" i="69"/>
  <c r="AL615" i="69"/>
  <c r="AL630" i="69"/>
  <c r="AL659" i="69"/>
  <c r="AL683" i="69"/>
  <c r="AL728" i="69"/>
  <c r="AL731" i="69"/>
  <c r="AL834" i="69"/>
  <c r="AL850" i="69"/>
  <c r="AL912" i="69"/>
  <c r="AL919" i="69"/>
  <c r="AL940" i="69"/>
  <c r="AL952" i="69"/>
  <c r="AL1065" i="69"/>
  <c r="AL1084" i="69"/>
  <c r="AL1148" i="69"/>
  <c r="AL1296" i="69"/>
  <c r="AL1356" i="69"/>
  <c r="AL1134" i="69"/>
  <c r="AL1137" i="69"/>
  <c r="AL1140" i="69"/>
  <c r="AL1154" i="69"/>
  <c r="AL1207" i="69"/>
  <c r="AL1210" i="69"/>
  <c r="AL1217" i="69"/>
  <c r="AL1260" i="69"/>
  <c r="AL1268" i="69"/>
  <c r="AL1366" i="69"/>
  <c r="AL1311" i="69"/>
  <c r="AL1318" i="69"/>
  <c r="AL1363" i="69"/>
  <c r="AL738" i="69"/>
  <c r="AL754" i="69"/>
  <c r="AL757" i="69"/>
  <c r="AL883" i="69"/>
  <c r="AL886" i="69"/>
  <c r="AL906" i="69"/>
  <c r="AL922" i="69"/>
  <c r="AL942" i="69"/>
  <c r="AL961" i="69"/>
  <c r="AL982" i="69"/>
  <c r="AL989" i="69"/>
  <c r="AL1002" i="69"/>
  <c r="AL1019" i="69"/>
  <c r="AL1046" i="69"/>
  <c r="AL1117" i="69"/>
  <c r="AL1121" i="69"/>
  <c r="AL1151" i="69"/>
  <c r="AL1172" i="69"/>
  <c r="AL1184" i="69"/>
  <c r="AL1201" i="69"/>
  <c r="AL1308" i="69"/>
  <c r="AL1328" i="69"/>
  <c r="AL1370" i="69"/>
  <c r="AL1391" i="69"/>
  <c r="AL1354" i="69"/>
  <c r="AL1364" i="69"/>
  <c r="AL1367" i="69"/>
  <c r="AL1388" i="69"/>
  <c r="AL1030" i="69"/>
  <c r="AL1062" i="69"/>
  <c r="AL1090" i="69"/>
  <c r="AL1100" i="69"/>
  <c r="AL1129" i="69"/>
  <c r="AL1145" i="69"/>
  <c r="AL1173" i="69"/>
  <c r="AL1185" i="69"/>
  <c r="AL1254" i="69"/>
  <c r="U1270" i="69"/>
  <c r="V1270" i="69" s="1"/>
  <c r="W1270" i="69" s="1"/>
  <c r="AL1299" i="69"/>
  <c r="AL1326" i="69"/>
  <c r="AL1365" i="69"/>
  <c r="AL1392" i="69"/>
  <c r="AL426" i="69"/>
  <c r="AL437" i="69"/>
  <c r="AL465" i="69"/>
  <c r="AL478" i="69"/>
  <c r="U492" i="69"/>
  <c r="V492" i="69" s="1"/>
  <c r="W492" i="69" s="1"/>
  <c r="AL536" i="69"/>
  <c r="AL554" i="69"/>
  <c r="AL569" i="69"/>
  <c r="AL572" i="69"/>
  <c r="AL595" i="69"/>
  <c r="AL631" i="69"/>
  <c r="AL639" i="69"/>
  <c r="AL687" i="69"/>
  <c r="AL704" i="69"/>
  <c r="AL753" i="69"/>
  <c r="AL759" i="69"/>
  <c r="AL838" i="69"/>
  <c r="AL841" i="69"/>
  <c r="AL941" i="69"/>
  <c r="AL953" i="69"/>
  <c r="AL974" i="69"/>
  <c r="AL1001" i="69"/>
  <c r="AL1021" i="69"/>
  <c r="AL1041" i="69"/>
  <c r="AL1171" i="69"/>
  <c r="AL1177" i="69"/>
  <c r="AL1220" i="69"/>
  <c r="U1271" i="69"/>
  <c r="V1271" i="69" s="1"/>
  <c r="W1271" i="69" s="1"/>
  <c r="AL119" i="69"/>
  <c r="AL116" i="69"/>
  <c r="AL14" i="69"/>
  <c r="AL54" i="69"/>
  <c r="AL85" i="69"/>
  <c r="AL110" i="69"/>
  <c r="AL137" i="69"/>
  <c r="AL140" i="69"/>
  <c r="AL147" i="69"/>
  <c r="AL158" i="69"/>
  <c r="AL161" i="69"/>
  <c r="AL214" i="69"/>
  <c r="AL234" i="69"/>
  <c r="AL266" i="69"/>
  <c r="AL340" i="69"/>
  <c r="AL371" i="69"/>
  <c r="AL391" i="69"/>
  <c r="AL206" i="69"/>
  <c r="AL2" i="69"/>
  <c r="AL8" i="69"/>
  <c r="AL45" i="69"/>
  <c r="AL64" i="69"/>
  <c r="AL67" i="69"/>
  <c r="AL176" i="69"/>
  <c r="AL184" i="69"/>
  <c r="AL237" i="69"/>
  <c r="AL341" i="69"/>
  <c r="AL33" i="69"/>
  <c r="AL86" i="69"/>
  <c r="AL111" i="69"/>
  <c r="AL130" i="69"/>
  <c r="AL141" i="69"/>
  <c r="AL153" i="69"/>
  <c r="AL156" i="69"/>
  <c r="AL159" i="69"/>
  <c r="AL232" i="69"/>
  <c r="AL240" i="69"/>
  <c r="AL269" i="69"/>
  <c r="AL280" i="69"/>
  <c r="AL319" i="69"/>
  <c r="AL322" i="69"/>
  <c r="AL30" i="69"/>
  <c r="AL80" i="69"/>
  <c r="AL83" i="69"/>
  <c r="AL105" i="69"/>
  <c r="AL108" i="69"/>
  <c r="AL148" i="69"/>
  <c r="AL212" i="69"/>
  <c r="AL235" i="69"/>
  <c r="AL405" i="69"/>
  <c r="AL6" i="69"/>
  <c r="AL46" i="69"/>
  <c r="AL77" i="69"/>
  <c r="AL96" i="69"/>
  <c r="AL99" i="69"/>
  <c r="AL102" i="69"/>
  <c r="AL133" i="69"/>
  <c r="AL168" i="69"/>
  <c r="AL193" i="69"/>
  <c r="AL198" i="69"/>
  <c r="AL201" i="69"/>
  <c r="AL204" i="69"/>
  <c r="AL267" i="69"/>
  <c r="AL346" i="69"/>
  <c r="AL62" i="69"/>
  <c r="AL93" i="69"/>
  <c r="AL118" i="69"/>
  <c r="AL177" i="69"/>
  <c r="AL185" i="69"/>
  <c r="AL196" i="69"/>
  <c r="AL250" i="69"/>
  <c r="AL270" i="69"/>
  <c r="AL91" i="69"/>
  <c r="AL19" i="69"/>
  <c r="AL56" i="69"/>
  <c r="AL59" i="69"/>
  <c r="AL81" i="69"/>
  <c r="AL106" i="69"/>
  <c r="AL125" i="69"/>
  <c r="AL136" i="69"/>
  <c r="AL349" i="69"/>
  <c r="AL16" i="69"/>
  <c r="AL53" i="69"/>
  <c r="AL72" i="69"/>
  <c r="AL75" i="69"/>
  <c r="AL97" i="69"/>
  <c r="AL139" i="69"/>
  <c r="AL143" i="69"/>
  <c r="AL163" i="69"/>
  <c r="AL222" i="69"/>
  <c r="AL41" i="69"/>
  <c r="AL94" i="69"/>
  <c r="AL122" i="69"/>
  <c r="AL134" i="69"/>
  <c r="AL166" i="69"/>
  <c r="AL228" i="69"/>
  <c r="AL242" i="69"/>
  <c r="AL253" i="69"/>
  <c r="AL308" i="69"/>
  <c r="AL330" i="69"/>
  <c r="AL333" i="69"/>
  <c r="AL359" i="69"/>
  <c r="AL325" i="69"/>
  <c r="AL422" i="69"/>
  <c r="AL442" i="69"/>
  <c r="AL501" i="69"/>
  <c r="AL520" i="69"/>
  <c r="AL523" i="69"/>
  <c r="AL556" i="69"/>
  <c r="AL559" i="69"/>
  <c r="AL609" i="69"/>
  <c r="AL633" i="69"/>
  <c r="AL789" i="69"/>
  <c r="AL804" i="69"/>
  <c r="AL813" i="69"/>
  <c r="AL265" i="69"/>
  <c r="AL300" i="69"/>
  <c r="AL306" i="69"/>
  <c r="AL390" i="69"/>
  <c r="U510" i="69"/>
  <c r="V510" i="69" s="1"/>
  <c r="W510" i="69" s="1"/>
  <c r="AL530" i="69"/>
  <c r="AL533" i="69"/>
  <c r="AL553" i="69"/>
  <c r="AL582" i="69"/>
  <c r="AL616" i="69"/>
  <c r="AL621" i="69"/>
  <c r="AL638" i="69"/>
  <c r="AL382" i="69"/>
  <c r="AL401" i="69"/>
  <c r="AL420" i="69"/>
  <c r="AL432" i="69"/>
  <c r="AL460" i="69"/>
  <c r="AL463" i="69"/>
  <c r="U502" i="69"/>
  <c r="V502" i="69" s="1"/>
  <c r="W502" i="69" s="1"/>
  <c r="U560" i="69"/>
  <c r="V560" i="69" s="1"/>
  <c r="W560" i="69" s="1"/>
  <c r="AL504" i="69"/>
  <c r="AL518" i="69"/>
  <c r="AL537" i="69"/>
  <c r="AL546" i="69"/>
  <c r="AL550" i="69"/>
  <c r="AL573" i="69"/>
  <c r="AL579" i="69"/>
  <c r="AL585" i="69"/>
  <c r="AL592" i="69"/>
  <c r="AL670" i="69"/>
  <c r="AL686" i="69"/>
  <c r="AL691" i="69"/>
  <c r="AL694" i="69"/>
  <c r="AL702" i="69"/>
  <c r="AL707" i="69"/>
  <c r="AL312" i="69"/>
  <c r="AL356" i="69"/>
  <c r="AL379" i="69"/>
  <c r="AL407" i="69"/>
  <c r="AL443" i="69"/>
  <c r="AL449" i="69"/>
  <c r="AL488" i="69"/>
  <c r="AL491" i="69"/>
  <c r="AL499" i="69"/>
  <c r="AL507" i="69"/>
  <c r="AL510" i="69"/>
  <c r="AL557" i="69"/>
  <c r="AL600" i="69"/>
  <c r="AL710" i="69"/>
  <c r="AL715" i="69"/>
  <c r="AL718" i="69"/>
  <c r="AL755" i="69"/>
  <c r="AL847" i="69"/>
  <c r="AL876" i="69"/>
  <c r="AL885" i="69"/>
  <c r="AL513" i="69"/>
  <c r="U519" i="69"/>
  <c r="V519" i="69" s="1"/>
  <c r="W519" i="69" s="1"/>
  <c r="AL531" i="69"/>
  <c r="AL636" i="69"/>
  <c r="AL808" i="69"/>
  <c r="U419" i="69"/>
  <c r="V419" i="69" s="1"/>
  <c r="W419" i="69" s="1"/>
  <c r="AL505" i="69"/>
  <c r="U514" i="69"/>
  <c r="V514" i="69" s="1"/>
  <c r="W514" i="69" s="1"/>
  <c r="AL538" i="69"/>
  <c r="AL541" i="69"/>
  <c r="AL574" i="69"/>
  <c r="AL580" i="69"/>
  <c r="AL586" i="69"/>
  <c r="AL772" i="69"/>
  <c r="AL905" i="69"/>
  <c r="AL332" i="69"/>
  <c r="AL351" i="69"/>
  <c r="AL558" i="69"/>
  <c r="AL283" i="69"/>
  <c r="AL338" i="69"/>
  <c r="AL389" i="69"/>
  <c r="AL411" i="69"/>
  <c r="AL447" i="69"/>
  <c r="AL475" i="69"/>
  <c r="AL500" i="69"/>
  <c r="AL522" i="69"/>
  <c r="AL525" i="69"/>
  <c r="U564" i="69"/>
  <c r="V564" i="69" s="1"/>
  <c r="W564" i="69" s="1"/>
  <c r="AL577" i="69"/>
  <c r="AL593" i="69"/>
  <c r="AL632" i="69"/>
  <c r="AL647" i="69"/>
  <c r="AL655" i="69"/>
  <c r="AL663" i="69"/>
  <c r="AL679" i="69"/>
  <c r="AL732" i="69"/>
  <c r="AL845" i="69"/>
  <c r="AL854" i="69"/>
  <c r="AL860" i="69"/>
  <c r="AL908" i="69"/>
  <c r="AL920" i="69"/>
  <c r="AL363" i="69"/>
  <c r="AL403" i="69"/>
  <c r="AL414" i="69"/>
  <c r="AL424" i="69"/>
  <c r="AL431" i="69"/>
  <c r="AL450" i="69"/>
  <c r="AL473" i="69"/>
  <c r="AL495" i="69"/>
  <c r="U501" i="69"/>
  <c r="V501" i="69" s="1"/>
  <c r="W501" i="69" s="1"/>
  <c r="AL564" i="69"/>
  <c r="AL601" i="69"/>
  <c r="AL623" i="69"/>
  <c r="AL645" i="69"/>
  <c r="AL650" i="69"/>
  <c r="AL674" i="69"/>
  <c r="AL698" i="69"/>
  <c r="AL711" i="69"/>
  <c r="AL719" i="69"/>
  <c r="AL722" i="69"/>
  <c r="AL743" i="69"/>
  <c r="AL895" i="69"/>
  <c r="AL917" i="69"/>
  <c r="AL347" i="69"/>
  <c r="AL381" i="69"/>
  <c r="U415" i="69"/>
  <c r="V415" i="69" s="1"/>
  <c r="W415" i="69" s="1"/>
  <c r="U515" i="69"/>
  <c r="V515" i="69" s="1"/>
  <c r="W515" i="69" s="1"/>
  <c r="AL526" i="69"/>
  <c r="AL578" i="69"/>
  <c r="AL611" i="69"/>
  <c r="AL618" i="69"/>
  <c r="AL628" i="69"/>
  <c r="AL693" i="69"/>
  <c r="AL709" i="69"/>
  <c r="AL714" i="69"/>
  <c r="AL749" i="69"/>
  <c r="AL872" i="69"/>
  <c r="AL1016" i="69"/>
  <c r="AL926" i="69"/>
  <c r="AL949" i="69"/>
  <c r="AL963" i="69"/>
  <c r="AL992" i="69"/>
  <c r="AL1013" i="69"/>
  <c r="AL1088" i="69"/>
  <c r="AL1153" i="69"/>
  <c r="AL1156" i="69"/>
  <c r="AL1191" i="69"/>
  <c r="AL1196" i="69"/>
  <c r="U1269" i="69"/>
  <c r="V1269" i="69" s="1"/>
  <c r="W1269" i="69" s="1"/>
  <c r="AL1275" i="69"/>
  <c r="AL1282" i="69"/>
  <c r="AL1333" i="69"/>
  <c r="AL1360" i="69"/>
  <c r="AL844" i="69"/>
  <c r="AL865" i="69"/>
  <c r="AL870" i="69"/>
  <c r="AL915" i="69"/>
  <c r="AL929" i="69"/>
  <c r="AL944" i="69"/>
  <c r="AL981" i="69"/>
  <c r="AL1061" i="69"/>
  <c r="AL1127" i="69"/>
  <c r="AL1159" i="69"/>
  <c r="AL1214" i="69"/>
  <c r="AL1221" i="69"/>
  <c r="AL1224" i="69"/>
  <c r="AL1231" i="69"/>
  <c r="S1262" i="69"/>
  <c r="AL1286" i="69"/>
  <c r="AL1293" i="69"/>
  <c r="AL1342" i="69"/>
  <c r="AL770" i="69"/>
  <c r="AL773" i="69"/>
  <c r="AL790" i="69"/>
  <c r="AL798" i="69"/>
  <c r="AL836" i="69"/>
  <c r="AL918" i="69"/>
  <c r="AL958" i="69"/>
  <c r="AL984" i="69"/>
  <c r="AL996" i="69"/>
  <c r="AL1032" i="69"/>
  <c r="AL1068" i="69"/>
  <c r="AL1089" i="69"/>
  <c r="AL1095" i="69"/>
  <c r="AL1165" i="69"/>
  <c r="AL1228" i="69"/>
  <c r="AL1266" i="69"/>
  <c r="AL1290" i="69"/>
  <c r="AL793" i="69"/>
  <c r="AL809" i="69"/>
  <c r="AL822" i="69"/>
  <c r="AL873" i="69"/>
  <c r="AL1248" i="69"/>
  <c r="AL1258" i="69"/>
  <c r="AL1261" i="69"/>
  <c r="U1264" i="69"/>
  <c r="V1264" i="69" s="1"/>
  <c r="W1264" i="69" s="1"/>
  <c r="AL1269" i="69"/>
  <c r="AL1283" i="69"/>
  <c r="AL1300" i="69"/>
  <c r="AL782" i="69"/>
  <c r="AL889" i="69"/>
  <c r="AL1042" i="69"/>
  <c r="AL1113" i="69"/>
  <c r="AL1136" i="69"/>
  <c r="AL1197" i="69"/>
  <c r="AL1225" i="69"/>
  <c r="AL1232" i="69"/>
  <c r="AL1240" i="69"/>
  <c r="U1274" i="69"/>
  <c r="V1274" i="69" s="1"/>
  <c r="W1274" i="69" s="1"/>
  <c r="AL1334" i="69"/>
  <c r="AL1361" i="69"/>
  <c r="AL1215" i="69"/>
  <c r="AL1294" i="69"/>
  <c r="AL1297" i="69"/>
  <c r="AL1371" i="69"/>
  <c r="AL1378" i="69"/>
  <c r="AL916" i="69"/>
  <c r="AL968" i="69"/>
  <c r="AL979" i="69"/>
  <c r="AL1005" i="69"/>
  <c r="AL1039" i="69"/>
  <c r="AL1056" i="69"/>
  <c r="AL1075" i="69"/>
  <c r="AL1081" i="69"/>
  <c r="AL1128" i="69"/>
  <c r="AL1212" i="69"/>
  <c r="AL1222" i="69"/>
  <c r="AL1255" i="69"/>
  <c r="AL1267" i="69"/>
  <c r="AL1280" i="69"/>
  <c r="AL1291" i="69"/>
  <c r="S1269" i="69"/>
  <c r="AL771" i="69"/>
  <c r="AL777" i="69"/>
  <c r="AL780" i="69"/>
  <c r="AL791" i="69"/>
  <c r="AL807" i="69"/>
  <c r="AL887" i="69"/>
  <c r="AL898" i="69"/>
  <c r="AL962" i="69"/>
  <c r="AL985" i="69"/>
  <c r="AL1066" i="69"/>
  <c r="AL1093" i="69"/>
  <c r="AL1105" i="69"/>
  <c r="AL1108" i="69"/>
  <c r="AL1198" i="69"/>
  <c r="AL1219" i="69"/>
  <c r="AL1246" i="69"/>
  <c r="AL1284" i="69"/>
  <c r="AL1301" i="69"/>
  <c r="AL794" i="69"/>
  <c r="AL810" i="69"/>
  <c r="AL820" i="69"/>
  <c r="AL856" i="69"/>
  <c r="AL864" i="69"/>
  <c r="AL894" i="69"/>
  <c r="AL933" i="69"/>
  <c r="AL954" i="69"/>
  <c r="AL991" i="69"/>
  <c r="AL994" i="69"/>
  <c r="AL1009" i="69"/>
  <c r="AL1018" i="69"/>
  <c r="AL1043" i="69"/>
  <c r="AL1063" i="69"/>
  <c r="AL1146" i="69"/>
  <c r="AL1204" i="69"/>
  <c r="AL1307" i="69"/>
  <c r="AL1329" i="69"/>
  <c r="AL1335" i="69"/>
  <c r="AL1298" i="69"/>
  <c r="AL1323" i="69"/>
  <c r="AL1353" i="69"/>
  <c r="AL783" i="69"/>
  <c r="AL786" i="69"/>
  <c r="AL846" i="69"/>
  <c r="AL859" i="69"/>
  <c r="AL882" i="69"/>
  <c r="AL928" i="69"/>
  <c r="AL951" i="69"/>
  <c r="AL969" i="69"/>
  <c r="AL1097" i="69"/>
  <c r="AL1114" i="69"/>
  <c r="AL1120" i="69"/>
  <c r="AL1170" i="69"/>
  <c r="AL1190" i="69"/>
  <c r="AL1193" i="69"/>
  <c r="AL1213" i="69"/>
  <c r="AL1223" i="69"/>
  <c r="AL1230" i="69"/>
  <c r="AL1256" i="69"/>
  <c r="AL1281" i="69"/>
  <c r="AL1292" i="69"/>
  <c r="AL1295" i="69"/>
  <c r="AL1396" i="69"/>
  <c r="AL1054" i="69"/>
  <c r="AL1073" i="69"/>
  <c r="AL1079" i="69"/>
  <c r="AL1025" i="69"/>
  <c r="AL1034" i="69"/>
  <c r="AL1047" i="69"/>
  <c r="AL1178" i="69"/>
  <c r="AL1369" i="69"/>
  <c r="AL1382" i="69"/>
  <c r="AL1181" i="69"/>
  <c r="AL1194" i="69"/>
  <c r="AL1205" i="69"/>
  <c r="AL1226" i="69"/>
  <c r="AL1233" i="69"/>
  <c r="AL1245" i="69"/>
  <c r="U1263" i="69"/>
  <c r="V1263" i="69" s="1"/>
  <c r="W1263" i="69" s="1"/>
  <c r="AL1317" i="69"/>
  <c r="AL1345" i="69"/>
  <c r="AL1348" i="69"/>
  <c r="AL1257" i="69"/>
  <c r="AL1265" i="69"/>
  <c r="AL1270" i="69"/>
  <c r="AL1274" i="69"/>
  <c r="AL1305" i="69"/>
  <c r="AL1340" i="69"/>
  <c r="AL1351" i="69"/>
  <c r="AL1376" i="69"/>
  <c r="AL849" i="69"/>
  <c r="AL869" i="69"/>
  <c r="AL884" i="69"/>
  <c r="AL902" i="69"/>
  <c r="AL990" i="69"/>
  <c r="AL993" i="69"/>
  <c r="AL1011" i="69"/>
  <c r="AL1014" i="69"/>
  <c r="AL1017" i="69"/>
  <c r="AL1029" i="69"/>
  <c r="AL1051" i="69"/>
  <c r="AL1055" i="69"/>
  <c r="AL1058" i="69"/>
  <c r="AL1074" i="69"/>
  <c r="AL1098" i="69"/>
  <c r="AL1106" i="69"/>
  <c r="AL1144" i="69"/>
  <c r="AL1227" i="69"/>
  <c r="AL1251" i="69"/>
  <c r="AL1278" i="69"/>
  <c r="AL1315" i="69"/>
  <c r="AL1324" i="69"/>
  <c r="AL1352" i="69"/>
  <c r="AL1338" i="69"/>
  <c r="AL1346" i="69"/>
  <c r="AL1377" i="69"/>
  <c r="AL1374" i="69"/>
  <c r="AL1384" i="69"/>
  <c r="AL1259" i="69"/>
  <c r="AL1289" i="69"/>
  <c r="AL1304" i="69"/>
  <c r="AL1322" i="69"/>
  <c r="AL1336" i="69"/>
  <c r="AL1350" i="69"/>
  <c r="AL1359" i="69"/>
  <c r="AL1362" i="69"/>
  <c r="AL1381" i="69"/>
  <c r="AL1372" i="69"/>
  <c r="AL144" i="69"/>
  <c r="AL167" i="69"/>
  <c r="AL311" i="69"/>
  <c r="AL354" i="69"/>
  <c r="AL175" i="69"/>
  <c r="AL241" i="69"/>
  <c r="AL303" i="69"/>
  <c r="AL188" i="69"/>
  <c r="AL202" i="69"/>
  <c r="AL343" i="69"/>
  <c r="AL218" i="69"/>
  <c r="AL327" i="69"/>
  <c r="AL362" i="69"/>
  <c r="AL377" i="69"/>
  <c r="AL404" i="69"/>
  <c r="AL438" i="69"/>
  <c r="AL446" i="69"/>
  <c r="AL454" i="69"/>
  <c r="AL387" i="69"/>
  <c r="U513" i="69"/>
  <c r="V513" i="69" s="1"/>
  <c r="W513" i="69" s="1"/>
  <c r="U496" i="69"/>
  <c r="V496" i="69" s="1"/>
  <c r="W496" i="69" s="1"/>
  <c r="U517" i="69"/>
  <c r="V517" i="69" s="1"/>
  <c r="W517" i="69" s="1"/>
  <c r="AL385" i="69"/>
  <c r="AL396" i="69"/>
  <c r="AL428" i="69"/>
  <c r="AL471" i="69"/>
  <c r="U521" i="69"/>
  <c r="V521" i="69" s="1"/>
  <c r="W521" i="69" s="1"/>
  <c r="AL410" i="69"/>
  <c r="AL487" i="69"/>
  <c r="AL529" i="69"/>
  <c r="AL597" i="69"/>
  <c r="AL605" i="69"/>
  <c r="AL613" i="69"/>
  <c r="AL685" i="69"/>
  <c r="AL690" i="69"/>
  <c r="U561" i="69"/>
  <c r="V561" i="69" s="1"/>
  <c r="W561" i="69" s="1"/>
  <c r="U569" i="69"/>
  <c r="V569" i="69" s="1"/>
  <c r="W569" i="69" s="1"/>
  <c r="AL620" i="69"/>
  <c r="AL629" i="69"/>
  <c r="AL637" i="69"/>
  <c r="AL642" i="69"/>
  <c r="AL701" i="69"/>
  <c r="AL706" i="69"/>
  <c r="AL734" i="69"/>
  <c r="AL653" i="69"/>
  <c r="AL658" i="69"/>
  <c r="AL717" i="69"/>
  <c r="AL617" i="69"/>
  <c r="AL661" i="69"/>
  <c r="AL666" i="69"/>
  <c r="AL725" i="69"/>
  <c r="AL730" i="69"/>
  <c r="U565" i="69"/>
  <c r="V565" i="69" s="1"/>
  <c r="W565" i="69" s="1"/>
  <c r="AL568" i="69"/>
  <c r="AL581" i="69"/>
  <c r="AL677" i="69"/>
  <c r="AL682" i="69"/>
  <c r="AL742" i="69"/>
  <c r="AL747" i="69"/>
  <c r="AL787" i="69"/>
  <c r="AL811" i="69"/>
  <c r="AL837" i="69"/>
  <c r="AL848" i="69"/>
  <c r="AL892" i="69"/>
  <c r="AL896" i="69"/>
  <c r="AL765" i="69"/>
  <c r="AL821" i="69"/>
  <c r="AL877" i="69"/>
  <c r="AL923" i="69"/>
  <c r="AL779" i="69"/>
  <c r="AL781" i="69"/>
  <c r="AL795" i="69"/>
  <c r="AL840" i="69"/>
  <c r="AL932" i="69"/>
  <c r="AL959" i="69"/>
  <c r="AL803" i="69"/>
  <c r="AL815" i="69"/>
  <c r="AL946" i="69"/>
  <c r="AL956" i="69"/>
  <c r="AL964" i="69"/>
  <c r="AL975" i="69"/>
  <c r="AL967" i="69"/>
  <c r="AL980" i="69"/>
  <c r="AL998" i="69"/>
  <c r="AL972" i="69"/>
  <c r="AL983" i="69"/>
  <c r="AL988" i="69"/>
  <c r="AL1122" i="69"/>
  <c r="AL1167" i="69"/>
  <c r="AL1110" i="69"/>
  <c r="AL1138" i="69"/>
  <c r="AL1166" i="69"/>
  <c r="AL1086" i="69"/>
  <c r="AL1102" i="69"/>
  <c r="AL1126" i="69"/>
  <c r="AL1168" i="69"/>
  <c r="AL1209" i="69"/>
  <c r="U1244" i="69"/>
  <c r="V1244" i="69" s="1"/>
  <c r="W1244" i="69" s="1"/>
  <c r="U1292" i="69"/>
  <c r="V1292" i="69" s="1"/>
  <c r="W1292" i="69" s="1"/>
  <c r="AL1195" i="69"/>
  <c r="AL1208" i="69"/>
  <c r="U1294" i="69"/>
  <c r="V1294" i="69" s="1"/>
  <c r="W1294" i="69" s="1"/>
  <c r="AL1161" i="69"/>
  <c r="AL1320" i="69"/>
  <c r="AL1355" i="69"/>
  <c r="AL1244" i="69"/>
  <c r="U1272" i="69"/>
  <c r="V1272" i="69" s="1"/>
  <c r="W1272" i="69" s="1"/>
  <c r="AL1288" i="69"/>
  <c r="U1268" i="69"/>
  <c r="V1268" i="69" s="1"/>
  <c r="W1268" i="69" s="1"/>
  <c r="AL1358" i="69"/>
  <c r="AL1319" i="69"/>
  <c r="AL1357" i="69"/>
  <c r="U1273" i="69"/>
  <c r="V1273" i="69" s="1"/>
  <c r="W1273" i="69" s="1"/>
  <c r="AL1341" i="69"/>
  <c r="AL1339" i="69"/>
  <c r="AL1331" i="69"/>
  <c r="AL1390" i="69"/>
  <c r="AL1393" i="69"/>
  <c r="P147" i="24"/>
  <c r="S11" i="24"/>
  <c r="S8" i="24"/>
  <c r="P140" i="24"/>
  <c r="S140" i="24"/>
  <c r="M3" i="63"/>
  <c r="N3" i="63" s="1"/>
  <c r="M10" i="63"/>
  <c r="P148" i="24" l="1"/>
  <c r="P146" i="24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sleek</author>
    <author>002 Sleekpoint</author>
    <author>Amanda Fan</author>
  </authors>
  <commentList>
    <comment ref="J1" authorId="0" shapeId="0" xr:uid="{F4A7022A-B74C-494C-B82B-F83532CBC980}">
      <text>
        <r>
          <rPr>
            <b/>
            <sz val="9"/>
            <rFont val="宋体"/>
            <family val="3"/>
            <charset val="134"/>
          </rPr>
          <t>sleek:</t>
        </r>
        <r>
          <rPr>
            <sz val="9"/>
            <rFont val="宋体"/>
            <family val="3"/>
            <charset val="134"/>
          </rPr>
          <t xml:space="preserve">
铜虎卡派——盐田海卡
美森——美东卡派
奥克兰专线卡派——盐田海卡
铜虎卡派——盐田海卡
钢牛卡派——盐田海卡
COSCO卡派-南沙——南沙海卡
钻龙——美森
普船是盐田
快船是美森
</t>
        </r>
      </text>
    </comment>
    <comment ref="P1" authorId="1" shapeId="0" xr:uid="{27AF78E1-E280-4DC6-BC03-D3CF8A84BDF3}">
      <text>
        <r>
          <rPr>
            <b/>
            <sz val="9"/>
            <rFont val="宋体"/>
            <family val="3"/>
            <charset val="134"/>
          </rPr>
          <t>002 Sleekpoint:</t>
        </r>
        <r>
          <rPr>
            <sz val="9"/>
            <rFont val="宋体"/>
            <family val="3"/>
            <charset val="134"/>
          </rPr>
          <t xml:space="preserve">
总收费重/这一票的总箱数*当行箱数</t>
        </r>
      </text>
    </comment>
    <comment ref="R1" authorId="0" shapeId="0" xr:uid="{EBC69E48-F623-403B-8931-5BE24AED1348}">
      <text>
        <r>
          <rPr>
            <b/>
            <sz val="9"/>
            <rFont val="宋体"/>
            <family val="3"/>
            <charset val="134"/>
          </rPr>
          <t>sleek:</t>
        </r>
        <r>
          <rPr>
            <sz val="9"/>
            <rFont val="宋体"/>
            <family val="3"/>
            <charset val="134"/>
          </rPr>
          <t xml:space="preserve">
天盛带精油的产品多收200元附加费，此费用会写入物流单价里</t>
        </r>
      </text>
    </comment>
    <comment ref="U1" authorId="1" shapeId="0" xr:uid="{9FD5A128-03A3-437B-929C-2D684680C2BF}">
      <text>
        <r>
          <rPr>
            <b/>
            <sz val="9"/>
            <rFont val="宋体"/>
            <family val="3"/>
            <charset val="134"/>
          </rPr>
          <t>002 Sleekpoint:</t>
        </r>
        <r>
          <rPr>
            <sz val="9"/>
            <rFont val="宋体"/>
            <family val="3"/>
            <charset val="134"/>
          </rPr>
          <t xml:space="preserve">
天盛报关费220
其他货代报关费350
精油不报关 没有报关费</t>
        </r>
      </text>
    </comment>
    <comment ref="W1" authorId="2" shapeId="0" xr:uid="{2CEE5658-BB34-4323-BF4F-B5E0D296230D}">
      <text>
        <r>
          <rPr>
            <b/>
            <sz val="9"/>
            <color indexed="81"/>
            <rFont val="宋体"/>
            <family val="3"/>
            <charset val="134"/>
          </rPr>
          <t>Amanda Fan:</t>
        </r>
        <r>
          <rPr>
            <sz val="9"/>
            <color indexed="81"/>
            <rFont val="宋体"/>
            <family val="3"/>
            <charset val="134"/>
          </rPr>
          <t xml:space="preserve">
26年汇率改为6.7</t>
        </r>
      </text>
    </comment>
    <comment ref="Y1" authorId="1" shapeId="0" xr:uid="{949DC53B-4CD4-4AE1-8111-F51C12483471}">
      <text>
        <r>
          <rPr>
            <b/>
            <sz val="9"/>
            <rFont val="宋体"/>
            <family val="3"/>
            <charset val="134"/>
          </rPr>
          <t>002 Sleekpoint:</t>
        </r>
        <r>
          <rPr>
            <sz val="9"/>
            <rFont val="宋体"/>
            <family val="3"/>
            <charset val="134"/>
          </rPr>
          <t xml:space="preserve">
总税金/总箱数（总数量）*当行箱数（数量）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002 Sleekpoint</author>
    <author>amand</author>
    <author>Amanda Fan</author>
  </authors>
  <commentList>
    <comment ref="J1" authorId="0" shapeId="0" xr:uid="{00000000-0006-0000-0500-000001000000}">
      <text>
        <r>
          <rPr>
            <b/>
            <sz val="9"/>
            <rFont val="宋体"/>
            <family val="3"/>
            <charset val="134"/>
          </rPr>
          <t>002 Sleekpoint:</t>
        </r>
        <r>
          <rPr>
            <sz val="9"/>
            <rFont val="宋体"/>
            <family val="3"/>
            <charset val="134"/>
          </rPr>
          <t xml:space="preserve">
美东纽约卡派——海运
卡派的选择 海运
海派的选择 快递（要写快递单号）</t>
        </r>
      </text>
    </comment>
    <comment ref="K1" authorId="0" shapeId="0" xr:uid="{00000000-0006-0000-0500-000002000000}">
      <text>
        <r>
          <rPr>
            <b/>
            <sz val="9"/>
            <rFont val="宋体"/>
            <family val="3"/>
            <charset val="134"/>
          </rPr>
          <t>002 Sleekpoint:
合乘只有美东一仓 美西二仓</t>
        </r>
      </text>
    </comment>
    <comment ref="K90" authorId="1" shapeId="0" xr:uid="{00000000-0006-0000-0500-000003000000}">
      <text>
        <r>
          <rPr>
            <b/>
            <sz val="9"/>
            <rFont val="宋体"/>
            <family val="3"/>
            <charset val="134"/>
          </rPr>
          <t>amand:</t>
        </r>
        <r>
          <rPr>
            <sz val="9"/>
            <rFont val="宋体"/>
            <family val="3"/>
            <charset val="134"/>
          </rPr>
          <t xml:space="preserve">
R0028000014</t>
        </r>
      </text>
    </comment>
    <comment ref="K94" authorId="1" shapeId="0" xr:uid="{00000000-0006-0000-0500-000004000000}">
      <text>
        <r>
          <rPr>
            <b/>
            <sz val="9"/>
            <rFont val="宋体"/>
            <family val="3"/>
            <charset val="134"/>
          </rPr>
          <t>amand:</t>
        </r>
        <r>
          <rPr>
            <sz val="9"/>
            <rFont val="宋体"/>
            <family val="3"/>
            <charset val="134"/>
          </rPr>
          <t xml:space="preserve">
R0028000014</t>
        </r>
      </text>
    </comment>
    <comment ref="K98" authorId="1" shapeId="0" xr:uid="{00000000-0006-0000-0500-000005000000}">
      <text>
        <r>
          <rPr>
            <b/>
            <sz val="9"/>
            <rFont val="宋体"/>
            <family val="3"/>
            <charset val="134"/>
          </rPr>
          <t>amand:</t>
        </r>
        <r>
          <rPr>
            <sz val="9"/>
            <rFont val="宋体"/>
            <family val="3"/>
            <charset val="134"/>
          </rPr>
          <t xml:space="preserve">
R0028000014</t>
        </r>
      </text>
    </comment>
    <comment ref="K99" authorId="1" shapeId="0" xr:uid="{00000000-0006-0000-0500-000006000000}">
      <text>
        <r>
          <rPr>
            <b/>
            <sz val="9"/>
            <rFont val="宋体"/>
            <family val="3"/>
            <charset val="134"/>
          </rPr>
          <t>amand:</t>
        </r>
        <r>
          <rPr>
            <sz val="9"/>
            <rFont val="宋体"/>
            <family val="3"/>
            <charset val="134"/>
          </rPr>
          <t xml:space="preserve">
R0028000014</t>
        </r>
      </text>
    </comment>
    <comment ref="K100" authorId="1" shapeId="0" xr:uid="{00000000-0006-0000-0500-000007000000}">
      <text>
        <r>
          <rPr>
            <b/>
            <sz val="9"/>
            <rFont val="宋体"/>
            <family val="3"/>
            <charset val="134"/>
          </rPr>
          <t>amand:</t>
        </r>
        <r>
          <rPr>
            <sz val="9"/>
            <rFont val="宋体"/>
            <family val="3"/>
            <charset val="134"/>
          </rPr>
          <t xml:space="preserve">
R0028000014</t>
        </r>
      </text>
    </comment>
    <comment ref="K101" authorId="1" shapeId="0" xr:uid="{00000000-0006-0000-0500-000008000000}">
      <text>
        <r>
          <rPr>
            <b/>
            <sz val="9"/>
            <rFont val="宋体"/>
            <family val="3"/>
            <charset val="134"/>
          </rPr>
          <t>amand:</t>
        </r>
        <r>
          <rPr>
            <sz val="9"/>
            <rFont val="宋体"/>
            <family val="3"/>
            <charset val="134"/>
          </rPr>
          <t xml:space="preserve">
R0028000014</t>
        </r>
      </text>
    </comment>
    <comment ref="H102" authorId="2" shapeId="0" xr:uid="{00000000-0006-0000-0500-000009000000}">
      <text>
        <r>
          <rPr>
            <b/>
            <sz val="9"/>
            <rFont val="宋体"/>
            <family val="3"/>
            <charset val="134"/>
          </rPr>
          <t>Amanda Fan:</t>
        </r>
        <r>
          <rPr>
            <sz val="9"/>
            <rFont val="宋体"/>
            <family val="3"/>
            <charset val="134"/>
          </rPr>
          <t xml:space="preserve">
75*20ML，150*10ML</t>
        </r>
      </text>
    </comment>
    <comment ref="K102" authorId="1" shapeId="0" xr:uid="{00000000-0006-0000-0500-00000A000000}">
      <text>
        <r>
          <rPr>
            <b/>
            <sz val="9"/>
            <rFont val="宋体"/>
            <family val="3"/>
            <charset val="134"/>
          </rPr>
          <t>amand:</t>
        </r>
        <r>
          <rPr>
            <sz val="9"/>
            <rFont val="宋体"/>
            <family val="3"/>
            <charset val="134"/>
          </rPr>
          <t xml:space="preserve">
R0028000014</t>
        </r>
      </text>
    </comment>
    <comment ref="K103" authorId="1" shapeId="0" xr:uid="{00000000-0006-0000-0500-00000B000000}">
      <text>
        <r>
          <rPr>
            <b/>
            <sz val="9"/>
            <rFont val="宋体"/>
            <family val="3"/>
            <charset val="134"/>
          </rPr>
          <t>amand:</t>
        </r>
        <r>
          <rPr>
            <sz val="9"/>
            <rFont val="宋体"/>
            <family val="3"/>
            <charset val="134"/>
          </rPr>
          <t xml:space="preserve">
R0028000014</t>
        </r>
      </text>
    </comment>
    <comment ref="K104" authorId="1" shapeId="0" xr:uid="{00000000-0006-0000-0500-00000C000000}">
      <text>
        <r>
          <rPr>
            <b/>
            <sz val="9"/>
            <rFont val="宋体"/>
            <family val="3"/>
            <charset val="134"/>
          </rPr>
          <t>amand:</t>
        </r>
        <r>
          <rPr>
            <sz val="9"/>
            <rFont val="宋体"/>
            <family val="3"/>
            <charset val="134"/>
          </rPr>
          <t xml:space="preserve">
R0028000014</t>
        </r>
      </text>
    </comment>
    <comment ref="K105" authorId="1" shapeId="0" xr:uid="{00000000-0006-0000-0500-00000D000000}">
      <text>
        <r>
          <rPr>
            <b/>
            <sz val="9"/>
            <rFont val="宋体"/>
            <family val="3"/>
            <charset val="134"/>
          </rPr>
          <t>amand:</t>
        </r>
        <r>
          <rPr>
            <sz val="9"/>
            <rFont val="宋体"/>
            <family val="3"/>
            <charset val="134"/>
          </rPr>
          <t xml:space="preserve">
R0028000014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sleek</author>
  </authors>
  <commentList>
    <comment ref="I1" authorId="0" shapeId="0" xr:uid="{00000000-0006-0000-0600-000001000000}">
      <text>
        <r>
          <rPr>
            <b/>
            <sz val="9"/>
            <rFont val="宋体"/>
            <family val="3"/>
            <charset val="134"/>
          </rPr>
          <t>sleek:</t>
        </r>
        <r>
          <rPr>
            <sz val="9"/>
            <rFont val="宋体"/>
            <family val="3"/>
            <charset val="134"/>
          </rPr>
          <t xml:space="preserve">
铜虎卡派-盐田海卡
美森-美东卡派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sleek</author>
    <author>002 Sleekpoint</author>
    <author>Amanda Fan</author>
  </authors>
  <commentList>
    <comment ref="J1" authorId="0" shapeId="0" xr:uid="{CA4E3042-D1D0-4984-99B5-57612017D72C}">
      <text>
        <r>
          <rPr>
            <b/>
            <sz val="9"/>
            <rFont val="宋体"/>
            <family val="3"/>
            <charset val="134"/>
          </rPr>
          <t>sleek:</t>
        </r>
        <r>
          <rPr>
            <sz val="9"/>
            <rFont val="宋体"/>
            <family val="3"/>
            <charset val="134"/>
          </rPr>
          <t xml:space="preserve">
铜虎卡派——盐田海卡
美森——美东卡派
奥克兰专线卡派——盐田海卡
铜虎卡派——盐田海卡
钢牛卡派——盐田海卡
COSCO卡派-南沙——南沙海卡
钻龙——美森
普船是盐田
快船是美森
</t>
        </r>
      </text>
    </comment>
    <comment ref="P1" authorId="1" shapeId="0" xr:uid="{3C872335-78F9-442D-B8CD-969EE20B9792}">
      <text>
        <r>
          <rPr>
            <b/>
            <sz val="9"/>
            <rFont val="宋体"/>
            <family val="3"/>
            <charset val="134"/>
          </rPr>
          <t>002 Sleekpoint:</t>
        </r>
        <r>
          <rPr>
            <sz val="9"/>
            <rFont val="宋体"/>
            <family val="3"/>
            <charset val="134"/>
          </rPr>
          <t xml:space="preserve">
总收费重/这一票的总箱数*当行箱数</t>
        </r>
      </text>
    </comment>
    <comment ref="R1" authorId="0" shapeId="0" xr:uid="{7521D666-0C10-41DE-A0DE-CFF6843E399D}">
      <text>
        <r>
          <rPr>
            <b/>
            <sz val="9"/>
            <rFont val="宋体"/>
            <family val="3"/>
            <charset val="134"/>
          </rPr>
          <t>sleek:</t>
        </r>
        <r>
          <rPr>
            <sz val="9"/>
            <rFont val="宋体"/>
            <family val="3"/>
            <charset val="134"/>
          </rPr>
          <t xml:space="preserve">
天盛带精油的产品多收200元附加费，此费用会写入物流单价里</t>
        </r>
      </text>
    </comment>
    <comment ref="U1" authorId="1" shapeId="0" xr:uid="{D7D0D351-4200-47A4-ABF6-4965E7193B89}">
      <text>
        <r>
          <rPr>
            <b/>
            <sz val="9"/>
            <rFont val="宋体"/>
            <family val="3"/>
            <charset val="134"/>
          </rPr>
          <t>002 Sleekpoint:</t>
        </r>
        <r>
          <rPr>
            <sz val="9"/>
            <rFont val="宋体"/>
            <family val="3"/>
            <charset val="134"/>
          </rPr>
          <t xml:space="preserve">
天盛报关费220
其他货代报关费350
精油不报关 没有报关费</t>
        </r>
      </text>
    </comment>
    <comment ref="Y1" authorId="1" shapeId="0" xr:uid="{4CE2AF89-3FC7-4E45-A064-5169C8A97D7E}">
      <text>
        <r>
          <rPr>
            <b/>
            <sz val="9"/>
            <rFont val="宋体"/>
            <family val="3"/>
            <charset val="134"/>
          </rPr>
          <t>002 Sleekpoint:</t>
        </r>
        <r>
          <rPr>
            <sz val="9"/>
            <rFont val="宋体"/>
            <family val="3"/>
            <charset val="134"/>
          </rPr>
          <t xml:space="preserve">
总税金/总箱数（总数量）*当行箱数（数量）</t>
        </r>
      </text>
    </comment>
    <comment ref="S1397" authorId="2" shapeId="0" xr:uid="{0A4F1A6F-9A2D-4938-8FC1-5DBC5959BA03}">
      <text>
        <r>
          <rPr>
            <b/>
            <sz val="9"/>
            <rFont val="宋体"/>
            <family val="3"/>
            <charset val="134"/>
          </rPr>
          <t>Amanda Fan:</t>
        </r>
        <r>
          <rPr>
            <sz val="9"/>
            <rFont val="宋体"/>
            <family val="3"/>
            <charset val="134"/>
          </rPr>
          <t xml:space="preserve">
报关加清关</t>
        </r>
      </text>
    </comment>
    <comment ref="S1404" authorId="2" shapeId="0" xr:uid="{6FF6BA6D-F057-451B-9C65-209256034752}">
      <text>
        <r>
          <rPr>
            <b/>
            <sz val="9"/>
            <rFont val="宋体"/>
            <family val="3"/>
            <charset val="134"/>
          </rPr>
          <t>Amanda Fan:</t>
        </r>
        <r>
          <rPr>
            <sz val="9"/>
            <rFont val="宋体"/>
            <family val="3"/>
            <charset val="134"/>
          </rPr>
          <t xml:space="preserve">
报关加清关</t>
        </r>
      </text>
    </comment>
    <comment ref="S1443" authorId="2" shapeId="0" xr:uid="{79F7CC70-8CC5-446F-903A-59B996043D2A}">
      <text>
        <r>
          <rPr>
            <b/>
            <sz val="9"/>
            <rFont val="宋体"/>
            <family val="3"/>
            <charset val="134"/>
          </rPr>
          <t>Amanda Fan:</t>
        </r>
        <r>
          <rPr>
            <sz val="9"/>
            <rFont val="宋体"/>
            <family val="3"/>
            <charset val="134"/>
          </rPr>
          <t xml:space="preserve">
报关+清关</t>
        </r>
      </text>
    </comment>
    <comment ref="S1462" authorId="2" shapeId="0" xr:uid="{1B8F966B-AD21-4127-8A13-E11E99D3B4F5}">
      <text>
        <r>
          <rPr>
            <b/>
            <sz val="9"/>
            <rFont val="宋体"/>
            <family val="3"/>
            <charset val="134"/>
          </rPr>
          <t>Amanda Fan:</t>
        </r>
        <r>
          <rPr>
            <sz val="9"/>
            <rFont val="宋体"/>
            <family val="3"/>
            <charset val="134"/>
          </rPr>
          <t xml:space="preserve">
报关+清关</t>
        </r>
      </text>
    </comment>
  </commentList>
</comments>
</file>

<file path=xl/sharedStrings.xml><?xml version="1.0" encoding="utf-8"?>
<sst xmlns="http://schemas.openxmlformats.org/spreadsheetml/2006/main" count="38869" uniqueCount="4860">
  <si>
    <r>
      <rPr>
        <sz val="10"/>
        <color theme="1"/>
        <rFont val="微软雅黑"/>
        <family val="2"/>
        <charset val="134"/>
      </rPr>
      <t>美国</t>
    </r>
  </si>
  <si>
    <r>
      <rPr>
        <sz val="10"/>
        <color theme="1"/>
        <rFont val="微软雅黑"/>
        <family val="2"/>
        <charset val="134"/>
      </rPr>
      <t>快递</t>
    </r>
  </si>
  <si>
    <r>
      <rPr>
        <sz val="10"/>
        <color theme="1"/>
        <rFont val="微软雅黑"/>
        <family val="2"/>
        <charset val="134"/>
      </rPr>
      <t>美东卡派</t>
    </r>
  </si>
  <si>
    <r>
      <rPr>
        <sz val="10"/>
        <color theme="1"/>
        <rFont val="微软雅黑"/>
        <family val="2"/>
        <charset val="134"/>
      </rPr>
      <t>美国空派</t>
    </r>
  </si>
  <si>
    <r>
      <rPr>
        <sz val="10"/>
        <color theme="1"/>
        <rFont val="微软雅黑"/>
        <family val="2"/>
        <charset val="134"/>
      </rPr>
      <t>美森海卡</t>
    </r>
  </si>
  <si>
    <r>
      <rPr>
        <sz val="10"/>
        <color theme="1"/>
        <rFont val="微软雅黑"/>
        <family val="2"/>
        <charset val="134"/>
      </rPr>
      <t>美森卡派</t>
    </r>
  </si>
  <si>
    <r>
      <rPr>
        <sz val="10"/>
        <color theme="1"/>
        <rFont val="微软雅黑"/>
        <family val="2"/>
        <charset val="134"/>
      </rPr>
      <t>南沙海卡</t>
    </r>
  </si>
  <si>
    <r>
      <rPr>
        <sz val="10"/>
        <color theme="1"/>
        <rFont val="微软雅黑"/>
        <family val="2"/>
        <charset val="134"/>
      </rPr>
      <t>南沙海派</t>
    </r>
  </si>
  <si>
    <r>
      <rPr>
        <sz val="10"/>
        <color theme="1"/>
        <rFont val="微软雅黑"/>
        <family val="2"/>
        <charset val="134"/>
      </rPr>
      <t>盐田海卡</t>
    </r>
  </si>
  <si>
    <t>GEU2</t>
  </si>
  <si>
    <t>GEU3</t>
  </si>
  <si>
    <t>GEU5</t>
  </si>
  <si>
    <t>IUSP</t>
  </si>
  <si>
    <t>MIT2</t>
  </si>
  <si>
    <t>PSC2</t>
  </si>
  <si>
    <t>TCY2</t>
  </si>
  <si>
    <r>
      <rPr>
        <sz val="10"/>
        <color theme="1"/>
        <rFont val="微软雅黑"/>
        <family val="2"/>
        <charset val="134"/>
      </rPr>
      <t>重量收费</t>
    </r>
  </si>
  <si>
    <t>ABQ2</t>
  </si>
  <si>
    <t>ACY2</t>
  </si>
  <si>
    <t>AMA1</t>
  </si>
  <si>
    <t>BFI3</t>
  </si>
  <si>
    <t>BFI9</t>
  </si>
  <si>
    <t>BNA2</t>
  </si>
  <si>
    <t>BNA6</t>
  </si>
  <si>
    <t>BOS7</t>
  </si>
  <si>
    <t>CHO1</t>
  </si>
  <si>
    <t>CMH7</t>
  </si>
  <si>
    <t>DCA6</t>
  </si>
  <si>
    <t>DEN2</t>
  </si>
  <si>
    <t>DEN8</t>
  </si>
  <si>
    <t>FTW5</t>
  </si>
  <si>
    <t>GEG2</t>
  </si>
  <si>
    <t>HLI2</t>
  </si>
  <si>
    <t>IGQ2</t>
  </si>
  <si>
    <t>JVL1</t>
  </si>
  <si>
    <t>LGB8</t>
  </si>
  <si>
    <t>MCE1</t>
  </si>
  <si>
    <t>MCO2</t>
  </si>
  <si>
    <t>MDT4</t>
  </si>
  <si>
    <t>MEM2</t>
  </si>
  <si>
    <t>OKC2</t>
  </si>
  <si>
    <t>ORD2</t>
  </si>
  <si>
    <t>POC1</t>
  </si>
  <si>
    <t>POC2</t>
  </si>
  <si>
    <t>POC3</t>
  </si>
  <si>
    <t>PPO4</t>
  </si>
  <si>
    <t>QXY8</t>
  </si>
  <si>
    <t>SBD1</t>
  </si>
  <si>
    <t>STL4</t>
  </si>
  <si>
    <t>SWF1</t>
  </si>
  <si>
    <t>TCY1</t>
  </si>
  <si>
    <t>X1</t>
  </si>
  <si>
    <r>
      <rPr>
        <b/>
        <sz val="10"/>
        <color theme="4" tint="-0.249977111117893"/>
        <rFont val="微软雅黑"/>
        <family val="2"/>
        <charset val="134"/>
      </rPr>
      <t>序号</t>
    </r>
  </si>
  <si>
    <r>
      <rPr>
        <b/>
        <sz val="10"/>
        <color theme="4" tint="-0.249977111117893"/>
        <rFont val="微软雅黑"/>
        <family val="2"/>
        <charset val="134"/>
      </rPr>
      <t>备注</t>
    </r>
  </si>
  <si>
    <r>
      <rPr>
        <b/>
        <sz val="10"/>
        <color theme="4" tint="-0.249977111117893"/>
        <rFont val="微软雅黑"/>
        <family val="2"/>
        <charset val="134"/>
      </rPr>
      <t>报关周次</t>
    </r>
  </si>
  <si>
    <r>
      <rPr>
        <b/>
        <sz val="10"/>
        <color theme="4" tint="-0.249977111117893"/>
        <rFont val="微软雅黑"/>
        <family val="2"/>
        <charset val="134"/>
      </rPr>
      <t>货件单号</t>
    </r>
  </si>
  <si>
    <r>
      <rPr>
        <b/>
        <sz val="10"/>
        <color theme="4" tint="-0.249977111117893"/>
        <rFont val="微软雅黑"/>
        <family val="2"/>
        <charset val="134"/>
      </rPr>
      <t>店铺</t>
    </r>
  </si>
  <si>
    <r>
      <rPr>
        <b/>
        <sz val="10"/>
        <color theme="4" tint="-0.249977111117893"/>
        <rFont val="微软雅黑"/>
        <family val="2"/>
        <charset val="134"/>
      </rPr>
      <t>国家</t>
    </r>
  </si>
  <si>
    <t>SKU</t>
  </si>
  <si>
    <r>
      <rPr>
        <b/>
        <sz val="10"/>
        <color theme="4" tint="-0.249977111117893"/>
        <rFont val="微软雅黑"/>
        <family val="2"/>
        <charset val="134"/>
      </rPr>
      <t>申报量</t>
    </r>
  </si>
  <si>
    <r>
      <rPr>
        <b/>
        <sz val="10"/>
        <color theme="4" tint="-0.249977111117893"/>
        <rFont val="微软雅黑"/>
        <family val="2"/>
        <charset val="134"/>
      </rPr>
      <t>货代名称</t>
    </r>
  </si>
  <si>
    <r>
      <rPr>
        <b/>
        <sz val="10"/>
        <color theme="4" tint="-0.249977111117893"/>
        <rFont val="微软雅黑"/>
        <family val="2"/>
        <charset val="134"/>
      </rPr>
      <t>路线归类</t>
    </r>
  </si>
  <si>
    <r>
      <rPr>
        <b/>
        <sz val="10"/>
        <color theme="4" tint="-0.249977111117893"/>
        <rFont val="微软雅黑"/>
        <family val="2"/>
        <charset val="134"/>
      </rPr>
      <t>物流中心编码</t>
    </r>
  </si>
  <si>
    <r>
      <rPr>
        <b/>
        <sz val="10"/>
        <color theme="4" tint="-0.249977111117893"/>
        <rFont val="微软雅黑"/>
        <family val="2"/>
        <charset val="134"/>
      </rPr>
      <t>箱数</t>
    </r>
  </si>
  <si>
    <r>
      <rPr>
        <b/>
        <sz val="10"/>
        <color rgb="FFFF0000"/>
        <rFont val="微软雅黑"/>
        <family val="2"/>
        <charset val="134"/>
      </rPr>
      <t>货件计费重</t>
    </r>
  </si>
  <si>
    <r>
      <rPr>
        <b/>
        <sz val="10"/>
        <color theme="4" tint="-0.249977111117893"/>
        <rFont val="微软雅黑"/>
        <family val="2"/>
        <charset val="134"/>
      </rPr>
      <t>收费标准</t>
    </r>
  </si>
  <si>
    <r>
      <rPr>
        <b/>
        <sz val="10"/>
        <color theme="4" tint="-0.249977111117893"/>
        <rFont val="微软雅黑"/>
        <family val="2"/>
        <charset val="134"/>
      </rPr>
      <t>物流单价</t>
    </r>
  </si>
  <si>
    <r>
      <rPr>
        <b/>
        <sz val="10"/>
        <color rgb="FFFF0000"/>
        <rFont val="微软雅黑"/>
        <family val="2"/>
        <charset val="134"/>
      </rPr>
      <t>报关费费分摊</t>
    </r>
  </si>
  <si>
    <r>
      <rPr>
        <b/>
        <sz val="10"/>
        <color theme="4" tint="-0.249977111117893"/>
        <rFont val="微软雅黑"/>
        <family val="2"/>
        <charset val="134"/>
      </rPr>
      <t>预估运费</t>
    </r>
  </si>
  <si>
    <r>
      <rPr>
        <b/>
        <sz val="10"/>
        <color theme="4" tint="-0.249977111117893"/>
        <rFont val="微软雅黑"/>
        <family val="2"/>
        <charset val="134"/>
      </rPr>
      <t>单台运费￥</t>
    </r>
  </si>
  <si>
    <t>$</t>
  </si>
  <si>
    <r>
      <rPr>
        <b/>
        <sz val="10"/>
        <color rgb="FFFF0000"/>
        <rFont val="微软雅黑"/>
        <family val="2"/>
        <charset val="134"/>
      </rPr>
      <t>税金</t>
    </r>
  </si>
  <si>
    <r>
      <rPr>
        <b/>
        <sz val="10"/>
        <color theme="4" tint="-0.249977111117893"/>
        <rFont val="微软雅黑"/>
        <family val="2"/>
        <charset val="134"/>
      </rPr>
      <t>税金是否录入</t>
    </r>
  </si>
  <si>
    <r>
      <rPr>
        <b/>
        <sz val="10"/>
        <color theme="4" tint="-0.249977111117893"/>
        <rFont val="微软雅黑"/>
        <family val="2"/>
        <charset val="134"/>
      </rPr>
      <t>提货时间</t>
    </r>
  </si>
  <si>
    <r>
      <rPr>
        <b/>
        <sz val="10"/>
        <color theme="4" tint="-0.249977111117893"/>
        <rFont val="微软雅黑"/>
        <family val="2"/>
        <charset val="134"/>
      </rPr>
      <t>到港日期</t>
    </r>
  </si>
  <si>
    <r>
      <rPr>
        <b/>
        <sz val="10"/>
        <color theme="4" tint="-0.249977111117893"/>
        <rFont val="微软雅黑"/>
        <family val="2"/>
        <charset val="134"/>
      </rPr>
      <t>预计派送日期</t>
    </r>
  </si>
  <si>
    <t>Delivered</t>
  </si>
  <si>
    <t>check-in</t>
  </si>
  <si>
    <r>
      <rPr>
        <b/>
        <sz val="10"/>
        <color theme="4" tint="-0.249977111117893"/>
        <rFont val="微软雅黑"/>
        <family val="2"/>
        <charset val="134"/>
      </rPr>
      <t>上架周期</t>
    </r>
  </si>
  <si>
    <r>
      <rPr>
        <b/>
        <sz val="10"/>
        <color theme="4" tint="-0.249977111117893"/>
        <rFont val="微软雅黑"/>
        <family val="2"/>
        <charset val="134"/>
      </rPr>
      <t>累积时效</t>
    </r>
  </si>
  <si>
    <r>
      <rPr>
        <b/>
        <sz val="10"/>
        <color theme="4" tint="-0.249977111117893"/>
        <rFont val="微软雅黑"/>
        <family val="2"/>
        <charset val="134"/>
      </rPr>
      <t>追踪号</t>
    </r>
  </si>
  <si>
    <r>
      <rPr>
        <b/>
        <sz val="10"/>
        <color theme="4" tint="-0.249977111117893"/>
        <rFont val="微软雅黑"/>
        <family val="2"/>
        <charset val="134"/>
      </rPr>
      <t>报关单价</t>
    </r>
  </si>
  <si>
    <r>
      <rPr>
        <b/>
        <sz val="10"/>
        <color theme="4" tint="-0.249977111117893"/>
        <rFont val="微软雅黑"/>
        <family val="2"/>
        <charset val="134"/>
      </rPr>
      <t>报关金额</t>
    </r>
  </si>
  <si>
    <t>1</t>
  </si>
  <si>
    <t>W01005</t>
  </si>
  <si>
    <t>FBA18Q9V61YM</t>
  </si>
  <si>
    <t>V-CA</t>
  </si>
  <si>
    <r>
      <rPr>
        <sz val="10"/>
        <color theme="1"/>
        <rFont val="微软雅黑"/>
        <family val="2"/>
        <charset val="134"/>
      </rPr>
      <t>加拿大</t>
    </r>
  </si>
  <si>
    <t>001000032</t>
  </si>
  <si>
    <r>
      <rPr>
        <sz val="10"/>
        <color theme="1"/>
        <rFont val="微软雅黑"/>
        <family val="2"/>
        <charset val="134"/>
      </rPr>
      <t>嘀嗒嘀</t>
    </r>
  </si>
  <si>
    <r>
      <rPr>
        <sz val="10"/>
        <color theme="1"/>
        <rFont val="微软雅黑"/>
        <family val="2"/>
        <charset val="134"/>
      </rPr>
      <t>加拿大海卡</t>
    </r>
  </si>
  <si>
    <t>YYC4</t>
  </si>
  <si>
    <t>2</t>
  </si>
  <si>
    <t>001000033</t>
  </si>
  <si>
    <t>3</t>
  </si>
  <si>
    <t>W01004</t>
  </si>
  <si>
    <t>FBA18QBKJ28K</t>
  </si>
  <si>
    <t>V-US</t>
  </si>
  <si>
    <t>001000056</t>
  </si>
  <si>
    <t>4</t>
  </si>
  <si>
    <t>001000057</t>
  </si>
  <si>
    <t>5</t>
  </si>
  <si>
    <t>6</t>
  </si>
  <si>
    <t>W01003</t>
  </si>
  <si>
    <t>FBA18QJGDMK2</t>
  </si>
  <si>
    <t>7</t>
  </si>
  <si>
    <t>8</t>
  </si>
  <si>
    <t>FBA18QJGTD4Y</t>
  </si>
  <si>
    <t>9</t>
  </si>
  <si>
    <t>10</t>
  </si>
  <si>
    <t>FBA18QJF387R</t>
  </si>
  <si>
    <t>11</t>
  </si>
  <si>
    <t>12</t>
  </si>
  <si>
    <t>W01002</t>
  </si>
  <si>
    <t>FBA18PTFKKD7</t>
  </si>
  <si>
    <t>E-US</t>
  </si>
  <si>
    <t>004000009</t>
  </si>
  <si>
    <r>
      <rPr>
        <sz val="10"/>
        <color theme="1"/>
        <rFont val="微软雅黑"/>
        <family val="2"/>
        <charset val="134"/>
      </rPr>
      <t>国润通</t>
    </r>
  </si>
  <si>
    <t>13</t>
  </si>
  <si>
    <t>004000005</t>
  </si>
  <si>
    <t>14</t>
  </si>
  <si>
    <t>W01001</t>
  </si>
  <si>
    <t>FBA18PTG1ZG7</t>
  </si>
  <si>
    <t>15</t>
  </si>
  <si>
    <t>16</t>
  </si>
  <si>
    <t>FBA18PTCBLDT</t>
  </si>
  <si>
    <t>17</t>
  </si>
  <si>
    <t>18</t>
  </si>
  <si>
    <t>FBA18PTDLR7V</t>
  </si>
  <si>
    <t>19</t>
  </si>
  <si>
    <t>20</t>
  </si>
  <si>
    <t>FBA18PTG8XL8</t>
  </si>
  <si>
    <t>21</t>
  </si>
  <si>
    <t>FBA18PTFCWZT</t>
  </si>
  <si>
    <t>22</t>
  </si>
  <si>
    <t>004000001</t>
  </si>
  <si>
    <t>23</t>
  </si>
  <si>
    <t>FBA18PTJVVMM</t>
  </si>
  <si>
    <t>24</t>
  </si>
  <si>
    <t>FBA18PTHPMQ9</t>
  </si>
  <si>
    <t>25</t>
  </si>
  <si>
    <t>FBA18PYTYL1M</t>
  </si>
  <si>
    <t>001000013</t>
  </si>
  <si>
    <t>26</t>
  </si>
  <si>
    <t>001000035</t>
  </si>
  <si>
    <t>27</t>
  </si>
  <si>
    <t>001000036</t>
  </si>
  <si>
    <t>28</t>
  </si>
  <si>
    <t>001000038</t>
  </si>
  <si>
    <t>29</t>
  </si>
  <si>
    <t>FBA18PYXC8M6</t>
  </si>
  <si>
    <t>30</t>
  </si>
  <si>
    <t>31</t>
  </si>
  <si>
    <t>32</t>
  </si>
  <si>
    <t>33</t>
  </si>
  <si>
    <t>FBA18PYT783Y</t>
  </si>
  <si>
    <t>34</t>
  </si>
  <si>
    <t>35</t>
  </si>
  <si>
    <t>36</t>
  </si>
  <si>
    <t>37</t>
  </si>
  <si>
    <t>FBA18QXV35NL</t>
  </si>
  <si>
    <t>001000030</t>
  </si>
  <si>
    <t>38</t>
  </si>
  <si>
    <t>001000019</t>
  </si>
  <si>
    <t>39</t>
  </si>
  <si>
    <t>001000020</t>
  </si>
  <si>
    <t>40</t>
  </si>
  <si>
    <t>001000007</t>
  </si>
  <si>
    <t>41</t>
  </si>
  <si>
    <t>001000041</t>
  </si>
  <si>
    <t>42</t>
  </si>
  <si>
    <t>001000011</t>
  </si>
  <si>
    <t>43</t>
  </si>
  <si>
    <t>001000042</t>
  </si>
  <si>
    <t>44</t>
  </si>
  <si>
    <r>
      <rPr>
        <sz val="10"/>
        <rFont val="微软雅黑"/>
        <family val="2"/>
        <charset val="134"/>
      </rPr>
      <t>美国</t>
    </r>
  </si>
  <si>
    <t>001000012</t>
  </si>
  <si>
    <t>45</t>
  </si>
  <si>
    <t>001000008</t>
  </si>
  <si>
    <t>46</t>
  </si>
  <si>
    <t>001000044</t>
  </si>
  <si>
    <t>47</t>
  </si>
  <si>
    <t>FBA18QXLGTPG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</si>
  <si>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</si>
  <si>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</si>
  <si>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</si>
  <si>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</si>
  <si>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</si>
  <si>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</si>
  <si>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</si>
  <si>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</si>
  <si>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</si>
  <si>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</si>
  <si>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FBA18QXHXW9F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</si>
  <si>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</si>
  <si>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</si>
  <si>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</si>
  <si>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</si>
  <si>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</si>
  <si>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</si>
  <si>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</si>
  <si>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</si>
  <si>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</si>
  <si>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</si>
  <si>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W02004</t>
  </si>
  <si>
    <t>FBA18RR75XVN</t>
  </si>
  <si>
    <t>001000015</t>
  </si>
  <si>
    <r>
      <rPr>
        <sz val="10"/>
        <color theme="1"/>
        <rFont val="微软雅黑"/>
        <family val="2"/>
        <charset val="134"/>
      </rPr>
      <t>万邦</t>
    </r>
  </si>
  <si>
    <t>68</t>
  </si>
  <si>
    <t>001000053</t>
  </si>
  <si>
    <t>69</t>
  </si>
  <si>
    <t>001000045</t>
  </si>
  <si>
    <t>70</t>
  </si>
  <si>
    <t>001000052</t>
  </si>
  <si>
    <t>71</t>
  </si>
  <si>
    <t>FBA18RR0DN7W</t>
  </si>
  <si>
    <t>72</t>
  </si>
  <si>
    <t>73</t>
  </si>
  <si>
    <t>74</t>
  </si>
  <si>
    <t>75</t>
  </si>
  <si>
    <t>W02005</t>
  </si>
  <si>
    <t>FBA18RR8M75K</t>
  </si>
  <si>
    <t>76</t>
  </si>
  <si>
    <t>77</t>
  </si>
  <si>
    <t>78</t>
  </si>
  <si>
    <t>79</t>
  </si>
  <si>
    <t>FBA18RQX91BY</t>
  </si>
  <si>
    <t>80</t>
  </si>
  <si>
    <t>001000028</t>
  </si>
  <si>
    <t>81</t>
  </si>
  <si>
    <t>82</t>
  </si>
  <si>
    <t>001000029</t>
  </si>
  <si>
    <t>83</t>
  </si>
  <si>
    <t>84</t>
  </si>
  <si>
    <t>85</t>
  </si>
  <si>
    <t>86</t>
  </si>
  <si>
    <t>FBA18RR9MR69</t>
  </si>
  <si>
    <t>87</t>
  </si>
  <si>
    <t>88</t>
  </si>
  <si>
    <t>89</t>
  </si>
  <si>
    <t>90</t>
  </si>
  <si>
    <t>91</t>
  </si>
  <si>
    <t>92</t>
  </si>
  <si>
    <t>93</t>
  </si>
  <si>
    <t>FBA18RQT5RJ8</t>
  </si>
  <si>
    <t>94</t>
  </si>
  <si>
    <t>95</t>
  </si>
  <si>
    <t>96</t>
  </si>
  <si>
    <t>97</t>
  </si>
  <si>
    <t>98</t>
  </si>
  <si>
    <t>99</t>
  </si>
  <si>
    <t>100</t>
  </si>
  <si>
    <t>W02006</t>
  </si>
  <si>
    <t>FBA15JXSFTFW</t>
  </si>
  <si>
    <t>E-UK</t>
  </si>
  <si>
    <r>
      <rPr>
        <sz val="10"/>
        <color theme="1"/>
        <rFont val="微软雅黑"/>
        <family val="2"/>
        <charset val="134"/>
      </rPr>
      <t>英国</t>
    </r>
  </si>
  <si>
    <r>
      <rPr>
        <sz val="10"/>
        <color theme="1"/>
        <rFont val="微软雅黑"/>
        <family val="2"/>
        <charset val="134"/>
      </rPr>
      <t>英国海派</t>
    </r>
  </si>
  <si>
    <t>LBA8</t>
  </si>
  <si>
    <t>101</t>
  </si>
  <si>
    <t>W02001</t>
  </si>
  <si>
    <t>FBA15JXS9ZH4</t>
  </si>
  <si>
    <t>O-SA</t>
  </si>
  <si>
    <r>
      <rPr>
        <sz val="10"/>
        <color theme="1"/>
        <rFont val="微软雅黑"/>
        <family val="2"/>
        <charset val="134"/>
      </rPr>
      <t>沙特阿拉伯</t>
    </r>
  </si>
  <si>
    <r>
      <rPr>
        <sz val="10"/>
        <color theme="1"/>
        <rFont val="微软雅黑"/>
        <family val="2"/>
        <charset val="134"/>
      </rPr>
      <t>亦邦物流</t>
    </r>
  </si>
  <si>
    <r>
      <rPr>
        <sz val="10"/>
        <color theme="1"/>
        <rFont val="微软雅黑"/>
        <family val="2"/>
        <charset val="134"/>
      </rPr>
      <t>沙特海派</t>
    </r>
  </si>
  <si>
    <t>JED3</t>
  </si>
  <si>
    <t>102</t>
  </si>
  <si>
    <t>103</t>
  </si>
  <si>
    <t>W02002</t>
  </si>
  <si>
    <t>FBA15JXSC881</t>
  </si>
  <si>
    <t>O-AE</t>
  </si>
  <si>
    <r>
      <rPr>
        <sz val="10"/>
        <color theme="1"/>
        <rFont val="微软雅黑"/>
        <family val="2"/>
        <charset val="134"/>
      </rPr>
      <t>阿联酋</t>
    </r>
  </si>
  <si>
    <r>
      <rPr>
        <sz val="10"/>
        <color theme="1"/>
        <rFont val="微软雅黑"/>
        <family val="2"/>
        <charset val="134"/>
      </rPr>
      <t>阿联酋海派</t>
    </r>
  </si>
  <si>
    <t>DXB5</t>
  </si>
  <si>
    <t>104</t>
  </si>
  <si>
    <t>105</t>
  </si>
  <si>
    <t>W02003</t>
  </si>
  <si>
    <t>FBA18RBX66JR</t>
  </si>
  <si>
    <t>D-CA</t>
  </si>
  <si>
    <t>002000028</t>
  </si>
  <si>
    <t>YHM1</t>
  </si>
  <si>
    <t>106</t>
  </si>
  <si>
    <t>002000027</t>
  </si>
  <si>
    <t>107</t>
  </si>
  <si>
    <t>002000029</t>
  </si>
  <si>
    <t>108</t>
  </si>
  <si>
    <t>FBA18RG0BLWZ</t>
  </si>
  <si>
    <t>D-US</t>
  </si>
  <si>
    <t>002000037</t>
  </si>
  <si>
    <t>109</t>
  </si>
  <si>
    <t>FBA18RG28RW5</t>
  </si>
  <si>
    <t>110</t>
  </si>
  <si>
    <t>FBA18RFZSHXY</t>
  </si>
  <si>
    <t>111</t>
  </si>
  <si>
    <t>FBA18RBLHVGJ</t>
  </si>
  <si>
    <t>Y-CA</t>
  </si>
  <si>
    <t>002000008</t>
  </si>
  <si>
    <t>112</t>
  </si>
  <si>
    <t>002000020</t>
  </si>
  <si>
    <t>113</t>
  </si>
  <si>
    <t>002000001</t>
  </si>
  <si>
    <t>114</t>
  </si>
  <si>
    <t>FEDEX</t>
  </si>
  <si>
    <r>
      <rPr>
        <sz val="10"/>
        <color theme="1"/>
        <rFont val="微软雅黑"/>
        <family val="2"/>
        <charset val="134"/>
      </rPr>
      <t>不报关</t>
    </r>
  </si>
  <si>
    <t>FBA18RN3XS3P</t>
  </si>
  <si>
    <t>006000022</t>
  </si>
  <si>
    <r>
      <rPr>
        <sz val="10"/>
        <color theme="1"/>
        <rFont val="微软雅黑"/>
        <family val="2"/>
        <charset val="134"/>
      </rPr>
      <t>积米</t>
    </r>
  </si>
  <si>
    <t>771345415878</t>
  </si>
  <si>
    <t>115</t>
  </si>
  <si>
    <t>006000018</t>
  </si>
  <si>
    <t>116</t>
  </si>
  <si>
    <t>006000021</t>
  </si>
  <si>
    <t>117</t>
  </si>
  <si>
    <t>006000019</t>
  </si>
  <si>
    <t>118</t>
  </si>
  <si>
    <t>FBA18RN7H1YK</t>
  </si>
  <si>
    <t>006000024</t>
  </si>
  <si>
    <t>119</t>
  </si>
  <si>
    <t>FBA18RLW5C3T</t>
  </si>
  <si>
    <t>120</t>
  </si>
  <si>
    <t>121</t>
  </si>
  <si>
    <t>122</t>
  </si>
  <si>
    <t>123</t>
  </si>
  <si>
    <t>W03001</t>
  </si>
  <si>
    <t>FBA18S745F90</t>
  </si>
  <si>
    <t>003000009</t>
  </si>
  <si>
    <t>124</t>
  </si>
  <si>
    <t>W03002</t>
  </si>
  <si>
    <t>FBA18S74T5WZ</t>
  </si>
  <si>
    <t>125</t>
  </si>
  <si>
    <t>W03003</t>
  </si>
  <si>
    <t>FBA18S746PBB</t>
  </si>
  <si>
    <t>126</t>
  </si>
  <si>
    <t>W03004</t>
  </si>
  <si>
    <t>FBA18S74YQWY</t>
  </si>
  <si>
    <t>127</t>
  </si>
  <si>
    <t>W03005</t>
  </si>
  <si>
    <t>FBA18S727H5Q</t>
  </si>
  <si>
    <t>128</t>
  </si>
  <si>
    <t>W03006</t>
  </si>
  <si>
    <t>FBA15FPKYSF0</t>
  </si>
  <si>
    <t>S-JP</t>
  </si>
  <si>
    <r>
      <rPr>
        <sz val="10"/>
        <color theme="1"/>
        <rFont val="微软雅黑"/>
        <family val="2"/>
        <charset val="134"/>
      </rPr>
      <t>日本</t>
    </r>
  </si>
  <si>
    <r>
      <rPr>
        <sz val="10"/>
        <color theme="1"/>
        <rFont val="微软雅黑"/>
        <family val="2"/>
        <charset val="134"/>
      </rPr>
      <t>日本海卡</t>
    </r>
  </si>
  <si>
    <t>TYO6</t>
  </si>
  <si>
    <r>
      <rPr>
        <sz val="10"/>
        <color theme="1"/>
        <rFont val="微软雅黑"/>
        <family val="2"/>
        <charset val="134"/>
      </rPr>
      <t>是</t>
    </r>
  </si>
  <si>
    <t>129</t>
  </si>
  <si>
    <t>130</t>
  </si>
  <si>
    <t>131</t>
  </si>
  <si>
    <t>132</t>
  </si>
  <si>
    <t>001000039</t>
  </si>
  <si>
    <t>133</t>
  </si>
  <si>
    <t>001000040</t>
  </si>
  <si>
    <t>134</t>
  </si>
  <si>
    <t>135</t>
  </si>
  <si>
    <t>001000021</t>
  </si>
  <si>
    <t>136</t>
  </si>
  <si>
    <t>001000022</t>
  </si>
  <si>
    <t>137</t>
  </si>
  <si>
    <t>W03007</t>
  </si>
  <si>
    <t>FBA18S50MSN0</t>
  </si>
  <si>
    <t>138</t>
  </si>
  <si>
    <t>139</t>
  </si>
  <si>
    <t>140</t>
  </si>
  <si>
    <t>141</t>
  </si>
  <si>
    <t>142</t>
  </si>
  <si>
    <t>143</t>
  </si>
  <si>
    <t>144</t>
  </si>
  <si>
    <t>FBA18S4X2ZZG</t>
  </si>
  <si>
    <t>145</t>
  </si>
  <si>
    <t>146</t>
  </si>
  <si>
    <t>FBA18S4Y1HPL</t>
  </si>
  <si>
    <t>147</t>
  </si>
  <si>
    <t>148</t>
  </si>
  <si>
    <t>149</t>
  </si>
  <si>
    <t>150</t>
  </si>
  <si>
    <t>151</t>
  </si>
  <si>
    <t>152</t>
  </si>
  <si>
    <t>FBA18S4ZM5GV</t>
  </si>
  <si>
    <t>153</t>
  </si>
  <si>
    <t>154</t>
  </si>
  <si>
    <t>W03008</t>
  </si>
  <si>
    <t>FBA18S4V9L0P</t>
  </si>
  <si>
    <t>155</t>
  </si>
  <si>
    <t>156</t>
  </si>
  <si>
    <t>157</t>
  </si>
  <si>
    <t>158</t>
  </si>
  <si>
    <t>159</t>
  </si>
  <si>
    <t>160</t>
  </si>
  <si>
    <t>161</t>
  </si>
  <si>
    <t>FBA18S4ZZ9QF</t>
  </si>
  <si>
    <t>162</t>
  </si>
  <si>
    <t>163</t>
  </si>
  <si>
    <t>FBA18SH1WX3S</t>
  </si>
  <si>
    <t>164</t>
  </si>
  <si>
    <t>FBA18SGZZC4M</t>
  </si>
  <si>
    <t>165</t>
  </si>
  <si>
    <t>FBA18SGZT108</t>
  </si>
  <si>
    <t>166</t>
  </si>
  <si>
    <t>FBA18SGYWV5W</t>
  </si>
  <si>
    <t>167</t>
  </si>
  <si>
    <t>W04005</t>
  </si>
  <si>
    <t>FBA18SG8MXMN</t>
  </si>
  <si>
    <t>168</t>
  </si>
  <si>
    <t>169</t>
  </si>
  <si>
    <t>W04007</t>
  </si>
  <si>
    <t>FBA18SGBSDH3</t>
  </si>
  <si>
    <t>170</t>
  </si>
  <si>
    <t>171</t>
  </si>
  <si>
    <t>W04006</t>
  </si>
  <si>
    <t>FBA18SGBB8QS</t>
  </si>
  <si>
    <t>172</t>
  </si>
  <si>
    <t>173</t>
  </si>
  <si>
    <t>UPS</t>
  </si>
  <si>
    <t>W04001</t>
  </si>
  <si>
    <t>FBA18STLG0WS</t>
  </si>
  <si>
    <t>S-US</t>
  </si>
  <si>
    <t>005000008</t>
  </si>
  <si>
    <r>
      <rPr>
        <sz val="10"/>
        <color theme="1"/>
        <rFont val="微软雅黑"/>
        <family val="2"/>
        <charset val="134"/>
      </rPr>
      <t>康达时</t>
    </r>
  </si>
  <si>
    <t>1Z444RR20326511372</t>
  </si>
  <si>
    <t>174</t>
  </si>
  <si>
    <t>005000012</t>
  </si>
  <si>
    <t>175</t>
  </si>
  <si>
    <t>FBA18STHW6BT</t>
  </si>
  <si>
    <t xml:space="preserve">1Z444RR20308269231  </t>
  </si>
  <si>
    <t>176</t>
  </si>
  <si>
    <t>W04002</t>
  </si>
  <si>
    <t>FBA18SH83QJ4</t>
  </si>
  <si>
    <t>S-CA</t>
  </si>
  <si>
    <t>005000009</t>
  </si>
  <si>
    <r>
      <rPr>
        <sz val="10"/>
        <color theme="1"/>
        <rFont val="微软雅黑"/>
        <family val="2"/>
        <charset val="134"/>
      </rPr>
      <t>加拿大空派</t>
    </r>
  </si>
  <si>
    <t>YXU1</t>
  </si>
  <si>
    <t xml:space="preserve">1ZA6D8870401912911 </t>
  </si>
  <si>
    <t>177</t>
  </si>
  <si>
    <t>W04003</t>
  </si>
  <si>
    <t>FBA15JZ876S5</t>
  </si>
  <si>
    <r>
      <rPr>
        <sz val="10"/>
        <color theme="1"/>
        <rFont val="微软雅黑"/>
        <family val="2"/>
        <charset val="134"/>
      </rPr>
      <t>英国空派</t>
    </r>
  </si>
  <si>
    <t>BHX4</t>
  </si>
  <si>
    <t>15502802779426</t>
  </si>
  <si>
    <t>178</t>
  </si>
  <si>
    <t>005000011</t>
  </si>
  <si>
    <t>179</t>
  </si>
  <si>
    <t>180</t>
  </si>
  <si>
    <t>005000010</t>
  </si>
  <si>
    <t>181</t>
  </si>
  <si>
    <t>182</t>
  </si>
  <si>
    <t>W04004</t>
  </si>
  <si>
    <t>FBA15FPFKHQV</t>
  </si>
  <si>
    <t>008000002</t>
  </si>
  <si>
    <t>FSZ1</t>
  </si>
  <si>
    <t>183</t>
  </si>
  <si>
    <t>008000005</t>
  </si>
  <si>
    <t>184</t>
  </si>
  <si>
    <t>008000001</t>
  </si>
  <si>
    <t>185</t>
  </si>
  <si>
    <t>008000004</t>
  </si>
  <si>
    <t>186</t>
  </si>
  <si>
    <t>FBA18STWB7VR</t>
  </si>
  <si>
    <t>008000007</t>
  </si>
  <si>
    <t>187</t>
  </si>
  <si>
    <t>008000006</t>
  </si>
  <si>
    <t>188</t>
  </si>
  <si>
    <t>FBA18STSL1DL</t>
  </si>
  <si>
    <t>189</t>
  </si>
  <si>
    <t>008000003</t>
  </si>
  <si>
    <t>190</t>
  </si>
  <si>
    <t>191</t>
  </si>
  <si>
    <t>FBA18STVXGS1</t>
  </si>
  <si>
    <t>192</t>
  </si>
  <si>
    <t>193</t>
  </si>
  <si>
    <t>FBA18STV84K8</t>
  </si>
  <si>
    <t>194</t>
  </si>
  <si>
    <t>195</t>
  </si>
  <si>
    <t>W07001</t>
  </si>
  <si>
    <t>FBA15K0RKRVZ</t>
  </si>
  <si>
    <t>LBA4</t>
  </si>
  <si>
    <r>
      <rPr>
        <sz val="10"/>
        <rFont val="微软雅黑"/>
        <family val="2"/>
        <charset val="134"/>
      </rPr>
      <t>是</t>
    </r>
  </si>
  <si>
    <t>196</t>
  </si>
  <si>
    <t>197</t>
  </si>
  <si>
    <t>W07002</t>
  </si>
  <si>
    <t>FBA18TD20XRD</t>
  </si>
  <si>
    <t>001000046</t>
  </si>
  <si>
    <t>198</t>
  </si>
  <si>
    <t>199</t>
  </si>
  <si>
    <t>200</t>
  </si>
  <si>
    <t>001000047</t>
  </si>
  <si>
    <t>201</t>
  </si>
  <si>
    <t>001000048</t>
  </si>
  <si>
    <t>202</t>
  </si>
  <si>
    <t>203</t>
  </si>
  <si>
    <t>FBA18TD2LCY5</t>
  </si>
  <si>
    <t>204</t>
  </si>
  <si>
    <t>205</t>
  </si>
  <si>
    <t>206</t>
  </si>
  <si>
    <t>207</t>
  </si>
  <si>
    <t>208</t>
  </si>
  <si>
    <t>001000018</t>
  </si>
  <si>
    <t>209</t>
  </si>
  <si>
    <t>FBA18TC49NDC</t>
  </si>
  <si>
    <t>210</t>
  </si>
  <si>
    <t>211</t>
  </si>
  <si>
    <t>FBA18T9WBDZY</t>
  </si>
  <si>
    <r>
      <rPr>
        <sz val="10"/>
        <rFont val="微软雅黑"/>
        <family val="2"/>
        <charset val="134"/>
      </rPr>
      <t>嘀嗒嘀</t>
    </r>
  </si>
  <si>
    <r>
      <rPr>
        <sz val="10"/>
        <rFont val="微软雅黑"/>
        <family val="2"/>
        <charset val="134"/>
      </rPr>
      <t>盐田海卡</t>
    </r>
  </si>
  <si>
    <t>212</t>
  </si>
  <si>
    <t>213</t>
  </si>
  <si>
    <t>W07003</t>
  </si>
  <si>
    <t>FBA18TD38R74</t>
  </si>
  <si>
    <t>214</t>
  </si>
  <si>
    <t>215</t>
  </si>
  <si>
    <t>216</t>
  </si>
  <si>
    <t>217</t>
  </si>
  <si>
    <t>218</t>
  </si>
  <si>
    <t>FBA18TD4V852</t>
  </si>
  <si>
    <t>219</t>
  </si>
  <si>
    <t>220</t>
  </si>
  <si>
    <t>221</t>
  </si>
  <si>
    <t>FBA18T9R7XRW</t>
  </si>
  <si>
    <t>772079133934</t>
  </si>
  <si>
    <t>222</t>
  </si>
  <si>
    <t>223</t>
  </si>
  <si>
    <t>224</t>
  </si>
  <si>
    <t>225</t>
  </si>
  <si>
    <t>226</t>
  </si>
  <si>
    <t>FBA18T9SGHR2</t>
  </si>
  <si>
    <t>227</t>
  </si>
  <si>
    <t>006000025</t>
  </si>
  <si>
    <t>228</t>
  </si>
  <si>
    <t>229</t>
  </si>
  <si>
    <t>230</t>
  </si>
  <si>
    <t>W08001</t>
  </si>
  <si>
    <t>FBA15FRBLQBP</t>
  </si>
  <si>
    <t>XJE2</t>
  </si>
  <si>
    <t>231</t>
  </si>
  <si>
    <t>232</t>
  </si>
  <si>
    <t>233</t>
  </si>
  <si>
    <t>234</t>
  </si>
  <si>
    <t>235</t>
  </si>
  <si>
    <t>W08002</t>
  </si>
  <si>
    <t>FBA18TMRQ8YV</t>
  </si>
  <si>
    <t>236</t>
  </si>
  <si>
    <t>237</t>
  </si>
  <si>
    <t>001000017</t>
  </si>
  <si>
    <t>238</t>
  </si>
  <si>
    <t>239</t>
  </si>
  <si>
    <t>240</t>
  </si>
  <si>
    <t>241</t>
  </si>
  <si>
    <t>249</t>
  </si>
  <si>
    <t>FBA18TM8SW18</t>
  </si>
  <si>
    <t>002000033</t>
  </si>
  <si>
    <t>250</t>
  </si>
  <si>
    <t>002000032</t>
  </si>
  <si>
    <t>251</t>
  </si>
  <si>
    <t>W08003</t>
  </si>
  <si>
    <t>FBA18TM4L53L</t>
  </si>
  <si>
    <t>252</t>
  </si>
  <si>
    <t>002000030</t>
  </si>
  <si>
    <t>253</t>
  </si>
  <si>
    <t>FBA18TK2NN35</t>
  </si>
  <si>
    <t>254</t>
  </si>
  <si>
    <t>255</t>
  </si>
  <si>
    <t>002000018</t>
  </si>
  <si>
    <t>256</t>
  </si>
  <si>
    <t>257</t>
  </si>
  <si>
    <t>002000007</t>
  </si>
  <si>
    <t>258</t>
  </si>
  <si>
    <t>W08004</t>
  </si>
  <si>
    <t>FBA18TMBGMHB</t>
  </si>
  <si>
    <t>259</t>
  </si>
  <si>
    <t>260</t>
  </si>
  <si>
    <t>W08005</t>
  </si>
  <si>
    <t>FBA18TMCSFFW</t>
  </si>
  <si>
    <t>261</t>
  </si>
  <si>
    <t>262</t>
  </si>
  <si>
    <t>FBA18TMGLFK6</t>
  </si>
  <si>
    <t>263</t>
  </si>
  <si>
    <t>264</t>
  </si>
  <si>
    <t>265</t>
  </si>
  <si>
    <t>266</t>
  </si>
  <si>
    <t>FBA18TMB5463</t>
  </si>
  <si>
    <t>267</t>
  </si>
  <si>
    <t>268</t>
  </si>
  <si>
    <t>W08006</t>
  </si>
  <si>
    <t>FBA18TMBX136</t>
  </si>
  <si>
    <t>269</t>
  </si>
  <si>
    <t>270</t>
  </si>
  <si>
    <t>W09001</t>
  </si>
  <si>
    <t>FBA15K24R4W9</t>
  </si>
  <si>
    <r>
      <rPr>
        <sz val="10"/>
        <color indexed="8"/>
        <rFont val="微软雅黑"/>
        <family val="2"/>
        <charset val="134"/>
      </rPr>
      <t>英国海卡自税</t>
    </r>
  </si>
  <si>
    <t>BHX8</t>
  </si>
  <si>
    <t>271</t>
  </si>
  <si>
    <t>272</t>
  </si>
  <si>
    <t>273</t>
  </si>
  <si>
    <t>274</t>
  </si>
  <si>
    <t>003000005</t>
  </si>
  <si>
    <t>275</t>
  </si>
  <si>
    <t>W09002</t>
  </si>
  <si>
    <t>FBA15FRHYJ1N</t>
  </si>
  <si>
    <t>276</t>
  </si>
  <si>
    <t>277</t>
  </si>
  <si>
    <t>278</t>
  </si>
  <si>
    <t>279</t>
  </si>
  <si>
    <t>280</t>
  </si>
  <si>
    <t>W09003</t>
  </si>
  <si>
    <t>FBA18TV1Z19Z</t>
  </si>
  <si>
    <t>281</t>
  </si>
  <si>
    <t>001000049</t>
  </si>
  <si>
    <t>282</t>
  </si>
  <si>
    <t>001000051</t>
  </si>
  <si>
    <t>283</t>
  </si>
  <si>
    <t>284</t>
  </si>
  <si>
    <t>285</t>
  </si>
  <si>
    <t>286</t>
  </si>
  <si>
    <t>287</t>
  </si>
  <si>
    <t>003000007</t>
  </si>
  <si>
    <t>288</t>
  </si>
  <si>
    <t>289</t>
  </si>
  <si>
    <t>290</t>
  </si>
  <si>
    <t>291</t>
  </si>
  <si>
    <t>FBA18TRXYPN6</t>
  </si>
  <si>
    <t>292</t>
  </si>
  <si>
    <t>293</t>
  </si>
  <si>
    <t>FBA18TS0QWJL</t>
  </si>
  <si>
    <t>294</t>
  </si>
  <si>
    <t>295</t>
  </si>
  <si>
    <t>FBA18TR01QFL</t>
  </si>
  <si>
    <t>296</t>
  </si>
  <si>
    <t>FBA18TQYPMSQ</t>
  </si>
  <si>
    <t>297</t>
  </si>
  <si>
    <t>W09004</t>
  </si>
  <si>
    <t>FBA18TR1DKNS</t>
  </si>
  <si>
    <t>298</t>
  </si>
  <si>
    <t>W09005</t>
  </si>
  <si>
    <t>FBA18TQWCPQG</t>
  </si>
  <si>
    <t>299</t>
  </si>
  <si>
    <t>W09006</t>
  </si>
  <si>
    <t>FBA18TQY82N6</t>
  </si>
  <si>
    <t>300</t>
  </si>
  <si>
    <t>W09007</t>
  </si>
  <si>
    <t>FBA18TTZGL0Z</t>
  </si>
  <si>
    <t>301</t>
  </si>
  <si>
    <t>302</t>
  </si>
  <si>
    <t>303</t>
  </si>
  <si>
    <t>304</t>
  </si>
  <si>
    <t>305</t>
  </si>
  <si>
    <t>309</t>
  </si>
  <si>
    <t>FBA18TVWQVGD</t>
  </si>
  <si>
    <t>310</t>
  </si>
  <si>
    <t>TX-100ML</t>
  </si>
  <si>
    <t>311</t>
  </si>
  <si>
    <t>006000026</t>
  </si>
  <si>
    <t>312</t>
  </si>
  <si>
    <t>XC-100ML</t>
  </si>
  <si>
    <t>313</t>
  </si>
  <si>
    <t>FBA18TVXRRD5</t>
  </si>
  <si>
    <t>314</t>
  </si>
  <si>
    <t>315</t>
  </si>
  <si>
    <t>316</t>
  </si>
  <si>
    <t>317</t>
  </si>
  <si>
    <t>W10001</t>
  </si>
  <si>
    <t>FBA18TXZSBKX</t>
  </si>
  <si>
    <t>318</t>
  </si>
  <si>
    <t>319</t>
  </si>
  <si>
    <t>002000038</t>
  </si>
  <si>
    <t>320</t>
  </si>
  <si>
    <t>W10005</t>
  </si>
  <si>
    <t>FBA18TWRSMQ2</t>
  </si>
  <si>
    <t>002000013</t>
  </si>
  <si>
    <t>321</t>
  </si>
  <si>
    <t>002000015</t>
  </si>
  <si>
    <t>322</t>
  </si>
  <si>
    <t>002000022</t>
  </si>
  <si>
    <t>323</t>
  </si>
  <si>
    <t>002000014</t>
  </si>
  <si>
    <t>324</t>
  </si>
  <si>
    <t>002000021</t>
  </si>
  <si>
    <t>325</t>
  </si>
  <si>
    <t>002000019</t>
  </si>
  <si>
    <t>326</t>
  </si>
  <si>
    <t>327</t>
  </si>
  <si>
    <t>W10002</t>
  </si>
  <si>
    <t>FBA18V20DCKG</t>
  </si>
  <si>
    <t>328</t>
  </si>
  <si>
    <t>329</t>
  </si>
  <si>
    <t>330</t>
  </si>
  <si>
    <t>331</t>
  </si>
  <si>
    <t>332</t>
  </si>
  <si>
    <t>333</t>
  </si>
  <si>
    <t>W10003</t>
  </si>
  <si>
    <t>FBA18V1LQQ85</t>
  </si>
  <si>
    <t>334</t>
  </si>
  <si>
    <t>335</t>
  </si>
  <si>
    <t>336</t>
  </si>
  <si>
    <t>337</t>
  </si>
  <si>
    <t>338</t>
  </si>
  <si>
    <t>339</t>
  </si>
  <si>
    <t>340</t>
  </si>
  <si>
    <t>FBA18V2XTBS7</t>
  </si>
  <si>
    <t>001000059</t>
  </si>
  <si>
    <t>341</t>
  </si>
  <si>
    <t>001000058</t>
  </si>
  <si>
    <t>342</t>
  </si>
  <si>
    <t>W10004</t>
  </si>
  <si>
    <t>FBA18V2RBJYJ</t>
  </si>
  <si>
    <t>343</t>
  </si>
  <si>
    <t>344</t>
  </si>
  <si>
    <t>W11002</t>
  </si>
  <si>
    <t>FBA15K3NQ4BN</t>
  </si>
  <si>
    <t>S-IT</t>
  </si>
  <si>
    <r>
      <rPr>
        <sz val="10"/>
        <color theme="1"/>
        <rFont val="微软雅黑"/>
        <family val="2"/>
        <charset val="134"/>
      </rPr>
      <t>意大利</t>
    </r>
  </si>
  <si>
    <r>
      <rPr>
        <sz val="10"/>
        <color theme="1"/>
        <rFont val="微软雅黑"/>
        <family val="2"/>
        <charset val="134"/>
      </rPr>
      <t>欧洲海派包税</t>
    </r>
  </si>
  <si>
    <t>BLQ8</t>
  </si>
  <si>
    <t>345</t>
  </si>
  <si>
    <t>346</t>
  </si>
  <si>
    <t>347</t>
  </si>
  <si>
    <t>348</t>
  </si>
  <si>
    <t>349</t>
  </si>
  <si>
    <t>350</t>
  </si>
  <si>
    <t>351</t>
  </si>
  <si>
    <t>352</t>
  </si>
  <si>
    <t>353</t>
  </si>
  <si>
    <t>354</t>
  </si>
  <si>
    <t>355</t>
  </si>
  <si>
    <t>356</t>
  </si>
  <si>
    <t>W11001</t>
  </si>
  <si>
    <t>FBA15FS0KJJC</t>
  </si>
  <si>
    <r>
      <rPr>
        <sz val="10"/>
        <color rgb="FFFF0000"/>
        <rFont val="微软雅黑"/>
        <family val="2"/>
        <charset val="134"/>
      </rPr>
      <t>日本</t>
    </r>
  </si>
  <si>
    <r>
      <rPr>
        <sz val="10"/>
        <color rgb="FFFF0000"/>
        <rFont val="微软雅黑"/>
        <family val="2"/>
        <charset val="134"/>
      </rPr>
      <t>万邦</t>
    </r>
  </si>
  <si>
    <r>
      <rPr>
        <sz val="10"/>
        <color rgb="FFFF0000"/>
        <rFont val="微软雅黑"/>
        <family val="2"/>
        <charset val="134"/>
      </rPr>
      <t>日本海卡</t>
    </r>
  </si>
  <si>
    <t>357</t>
  </si>
  <si>
    <t>358</t>
  </si>
  <si>
    <t>W11003</t>
  </si>
  <si>
    <t>FBA15K3GK410</t>
  </si>
  <si>
    <t>359</t>
  </si>
  <si>
    <t>360</t>
  </si>
  <si>
    <t>361</t>
  </si>
  <si>
    <t>FBA18VC4SFGZ</t>
  </si>
  <si>
    <t>362</t>
  </si>
  <si>
    <t>363</t>
  </si>
  <si>
    <t>364</t>
  </si>
  <si>
    <t>365</t>
  </si>
  <si>
    <t>366</t>
  </si>
  <si>
    <t>FBA18VBYCK5G</t>
  </si>
  <si>
    <t>367</t>
  </si>
  <si>
    <t>368</t>
  </si>
  <si>
    <t>369</t>
  </si>
  <si>
    <t>370</t>
  </si>
  <si>
    <t>W11004</t>
  </si>
  <si>
    <t>FBA18VCF8BPR</t>
  </si>
  <si>
    <t>371</t>
  </si>
  <si>
    <t>372</t>
  </si>
  <si>
    <t>373</t>
  </si>
  <si>
    <t>374</t>
  </si>
  <si>
    <t>375</t>
  </si>
  <si>
    <t>376</t>
  </si>
  <si>
    <t>377</t>
  </si>
  <si>
    <t>378</t>
  </si>
  <si>
    <t>379</t>
  </si>
  <si>
    <t>FBA18VCC9FDZ</t>
  </si>
  <si>
    <t>380</t>
  </si>
  <si>
    <t>381</t>
  </si>
  <si>
    <t>382</t>
  </si>
  <si>
    <t>383</t>
  </si>
  <si>
    <t>W12001</t>
  </si>
  <si>
    <t>FBA18VGC5RNR</t>
  </si>
  <si>
    <t>384</t>
  </si>
  <si>
    <t>385</t>
  </si>
  <si>
    <t>386</t>
  </si>
  <si>
    <t>387</t>
  </si>
  <si>
    <t>388</t>
  </si>
  <si>
    <t>389</t>
  </si>
  <si>
    <t>390</t>
  </si>
  <si>
    <t>FBA18VGCPPF6</t>
  </si>
  <si>
    <t>391</t>
  </si>
  <si>
    <t>FBA18VD1CDMC</t>
  </si>
  <si>
    <t>392</t>
  </si>
  <si>
    <t>393</t>
  </si>
  <si>
    <t>394</t>
  </si>
  <si>
    <t>395</t>
  </si>
  <si>
    <t>002000031</t>
  </si>
  <si>
    <t>396</t>
  </si>
  <si>
    <t>397</t>
  </si>
  <si>
    <t>398</t>
  </si>
  <si>
    <t>399</t>
  </si>
  <si>
    <t>W13001</t>
  </si>
  <si>
    <t>FBA18VKM2JXG</t>
  </si>
  <si>
    <t>AN6-YG</t>
  </si>
  <si>
    <t>1ZJ222E30304889073
1ZJ222E30304959685</t>
  </si>
  <si>
    <t>400</t>
  </si>
  <si>
    <t>W13002</t>
  </si>
  <si>
    <t>FBA18VL4522T</t>
  </si>
  <si>
    <t>401</t>
  </si>
  <si>
    <t>402</t>
  </si>
  <si>
    <t>403</t>
  </si>
  <si>
    <t>404</t>
  </si>
  <si>
    <t>405</t>
  </si>
  <si>
    <t>FBA18VKSY0DS</t>
  </si>
  <si>
    <t>406</t>
  </si>
  <si>
    <t>407</t>
  </si>
  <si>
    <t>408</t>
  </si>
  <si>
    <t>409</t>
  </si>
  <si>
    <t>410</t>
  </si>
  <si>
    <t>411</t>
  </si>
  <si>
    <t>412</t>
  </si>
  <si>
    <t>413</t>
  </si>
  <si>
    <t>W13003</t>
  </si>
  <si>
    <t>FBA15K4W885W</t>
  </si>
  <si>
    <t>414</t>
  </si>
  <si>
    <t>415</t>
  </si>
  <si>
    <t>416</t>
  </si>
  <si>
    <t>417</t>
  </si>
  <si>
    <t>418</t>
  </si>
  <si>
    <t>419</t>
  </si>
  <si>
    <t>W13004</t>
  </si>
  <si>
    <t>FBA18VLVF18Z</t>
  </si>
  <si>
    <t>YYZ4</t>
  </si>
  <si>
    <t>420</t>
  </si>
  <si>
    <t>421</t>
  </si>
  <si>
    <t>422</t>
  </si>
  <si>
    <t>423</t>
  </si>
  <si>
    <t>424</t>
  </si>
  <si>
    <t>W14001</t>
  </si>
  <si>
    <t>FBA18VSPM4GG</t>
  </si>
  <si>
    <t>425</t>
  </si>
  <si>
    <t>426</t>
  </si>
  <si>
    <t>427</t>
  </si>
  <si>
    <t>428</t>
  </si>
  <si>
    <t>429</t>
  </si>
  <si>
    <t>430</t>
  </si>
  <si>
    <t>FBA18VWH1BP2</t>
  </si>
  <si>
    <t>431</t>
  </si>
  <si>
    <t>432</t>
  </si>
  <si>
    <t>433</t>
  </si>
  <si>
    <t>434</t>
  </si>
  <si>
    <t>435</t>
  </si>
  <si>
    <t>436</t>
  </si>
  <si>
    <t>FBA18VR9N8K9</t>
  </si>
  <si>
    <t>437</t>
  </si>
  <si>
    <t>438</t>
  </si>
  <si>
    <t>FBA18VPJX3X0</t>
  </si>
  <si>
    <t>439</t>
  </si>
  <si>
    <t>W14002</t>
  </si>
  <si>
    <t>FBA15K56R4BP</t>
  </si>
  <si>
    <r>
      <rPr>
        <sz val="10"/>
        <color theme="1"/>
        <rFont val="微软雅黑"/>
        <family val="2"/>
        <charset val="134"/>
      </rPr>
      <t>英国海卡自税</t>
    </r>
  </si>
  <si>
    <t>440</t>
  </si>
  <si>
    <t>441</t>
  </si>
  <si>
    <t>442</t>
  </si>
  <si>
    <t>443</t>
  </si>
  <si>
    <t>444</t>
  </si>
  <si>
    <t>445</t>
  </si>
  <si>
    <t>446</t>
  </si>
  <si>
    <t>W14003</t>
  </si>
  <si>
    <t>FBA18VYL3J5T</t>
  </si>
  <si>
    <t>AN6-G</t>
  </si>
  <si>
    <t>1Z88F19Y0337039820</t>
  </si>
  <si>
    <t>447</t>
  </si>
  <si>
    <t>W14004</t>
  </si>
  <si>
    <t>FBA18VYDGBGK</t>
  </si>
  <si>
    <t>1ZF2C5710313384000</t>
  </si>
  <si>
    <t>448</t>
  </si>
  <si>
    <t>449</t>
  </si>
  <si>
    <t>W15001</t>
  </si>
  <si>
    <t>FBA18W6DQJ81</t>
  </si>
  <si>
    <t>450</t>
  </si>
  <si>
    <t>ANXKIT-B_RZ30ml</t>
  </si>
  <si>
    <t>451</t>
  </si>
  <si>
    <t>ANXKIT-GD_RZ30ml</t>
  </si>
  <si>
    <t>452</t>
  </si>
  <si>
    <t>453</t>
  </si>
  <si>
    <t>FBA18W64P7LM</t>
  </si>
  <si>
    <t>454</t>
  </si>
  <si>
    <t>455</t>
  </si>
  <si>
    <t>AN6KIT-B_RZ30ml</t>
  </si>
  <si>
    <t>456</t>
  </si>
  <si>
    <t>457</t>
  </si>
  <si>
    <t>458</t>
  </si>
  <si>
    <t>AN6-LV</t>
  </si>
  <si>
    <t>459</t>
  </si>
  <si>
    <t>AN9KIT-B_RZ30ml</t>
  </si>
  <si>
    <t>460</t>
  </si>
  <si>
    <t>FBA18W2B4VDC</t>
  </si>
  <si>
    <t>461</t>
  </si>
  <si>
    <t>462</t>
  </si>
  <si>
    <t>FBA18W290G55</t>
  </si>
  <si>
    <t>007000001</t>
  </si>
  <si>
    <t>463</t>
  </si>
  <si>
    <t>007000003</t>
  </si>
  <si>
    <t>464</t>
  </si>
  <si>
    <t>W16001</t>
  </si>
  <si>
    <t>FBA18W3P4DFD</t>
  </si>
  <si>
    <t>1ZK6B4420324731918</t>
  </si>
  <si>
    <t>465</t>
  </si>
  <si>
    <t>FBA18W8L7SFH</t>
  </si>
  <si>
    <t>1ZK6B4420306990397</t>
  </si>
  <si>
    <t>466</t>
  </si>
  <si>
    <t>467</t>
  </si>
  <si>
    <t>468</t>
  </si>
  <si>
    <t>469</t>
  </si>
  <si>
    <t>470</t>
  </si>
  <si>
    <t>W16002</t>
  </si>
  <si>
    <t>FBA18WC53QKK</t>
  </si>
  <si>
    <t>471</t>
  </si>
  <si>
    <t>472</t>
  </si>
  <si>
    <t>473</t>
  </si>
  <si>
    <t>474</t>
  </si>
  <si>
    <t>475</t>
  </si>
  <si>
    <t>476</t>
  </si>
  <si>
    <t>477</t>
  </si>
  <si>
    <t>478</t>
  </si>
  <si>
    <r>
      <rPr>
        <sz val="10"/>
        <color theme="1"/>
        <rFont val="微软雅黑"/>
        <family val="2"/>
        <charset val="134"/>
      </rPr>
      <t>续页费</t>
    </r>
  </si>
  <si>
    <t>W16004</t>
  </si>
  <si>
    <t>FBA18W70S7PV</t>
  </si>
  <si>
    <t>479</t>
  </si>
  <si>
    <t>480</t>
  </si>
  <si>
    <t>481</t>
  </si>
  <si>
    <t>482</t>
  </si>
  <si>
    <t>483</t>
  </si>
  <si>
    <t>484</t>
  </si>
  <si>
    <t>485</t>
  </si>
  <si>
    <t>486</t>
  </si>
  <si>
    <t>FBA18W6JRMRL</t>
  </si>
  <si>
    <t>487</t>
  </si>
  <si>
    <t>488</t>
  </si>
  <si>
    <t>489</t>
  </si>
  <si>
    <t>490</t>
  </si>
  <si>
    <t>W16005</t>
  </si>
  <si>
    <t>FBA18WC5YM1Z</t>
  </si>
  <si>
    <t>491</t>
  </si>
  <si>
    <t>492</t>
  </si>
  <si>
    <t>W16006</t>
  </si>
  <si>
    <t>FBA18WFV2YPG</t>
  </si>
  <si>
    <t>493</t>
  </si>
  <si>
    <t>494</t>
  </si>
  <si>
    <t>FBA18WFV9B5D</t>
  </si>
  <si>
    <t>495</t>
  </si>
  <si>
    <t>496</t>
  </si>
  <si>
    <t>FBA18WFVYY2V</t>
  </si>
  <si>
    <t>497</t>
  </si>
  <si>
    <t>498</t>
  </si>
  <si>
    <t>W16003</t>
  </si>
  <si>
    <t>FBA18WC2P8DC</t>
  </si>
  <si>
    <t>499</t>
  </si>
  <si>
    <t>500</t>
  </si>
  <si>
    <t>W17002</t>
  </si>
  <si>
    <t>FBA18WK7YPCZ</t>
  </si>
  <si>
    <t>501</t>
  </si>
  <si>
    <t>502</t>
  </si>
  <si>
    <t>503</t>
  </si>
  <si>
    <t>504</t>
  </si>
  <si>
    <t>505</t>
  </si>
  <si>
    <t>506</t>
  </si>
  <si>
    <t>507</t>
  </si>
  <si>
    <t>FBA18WN7N6M3</t>
  </si>
  <si>
    <t>AND-B</t>
  </si>
  <si>
    <t>508</t>
  </si>
  <si>
    <t>AND-BL</t>
  </si>
  <si>
    <t>509</t>
  </si>
  <si>
    <t>AND-DT</t>
  </si>
  <si>
    <t>510</t>
  </si>
  <si>
    <t>AND-SG</t>
  </si>
  <si>
    <t>511</t>
  </si>
  <si>
    <t>AND-IB</t>
  </si>
  <si>
    <t>512</t>
  </si>
  <si>
    <t>AND-G</t>
  </si>
  <si>
    <t>513</t>
  </si>
  <si>
    <t>AND-LV</t>
  </si>
  <si>
    <t>514</t>
  </si>
  <si>
    <t>AND-MT</t>
  </si>
  <si>
    <t>515</t>
  </si>
  <si>
    <t>AND-RP</t>
  </si>
  <si>
    <t>516</t>
  </si>
  <si>
    <t>AND-SILV</t>
  </si>
  <si>
    <t>517</t>
  </si>
  <si>
    <t>W17001</t>
  </si>
  <si>
    <t>FBA18WBMSP65</t>
  </si>
  <si>
    <t>518</t>
  </si>
  <si>
    <t>519</t>
  </si>
  <si>
    <t>W18001</t>
  </si>
  <si>
    <t>FBA18WLLHBV8</t>
  </si>
  <si>
    <t>520</t>
  </si>
  <si>
    <t>003000014</t>
  </si>
  <si>
    <t>521</t>
  </si>
  <si>
    <t>FBA18WL77N5X</t>
  </si>
  <si>
    <t>522</t>
  </si>
  <si>
    <t>523</t>
  </si>
  <si>
    <t>524</t>
  </si>
  <si>
    <t>FBA18WLFNWWZ</t>
  </si>
  <si>
    <t>525</t>
  </si>
  <si>
    <t>526</t>
  </si>
  <si>
    <t>W18002</t>
  </si>
  <si>
    <t>FBA18WLFLTYD</t>
  </si>
  <si>
    <t>527</t>
  </si>
  <si>
    <t>528</t>
  </si>
  <si>
    <t>W18003</t>
  </si>
  <si>
    <t>FBA18WLF4N1M</t>
  </si>
  <si>
    <t>529</t>
  </si>
  <si>
    <t>530</t>
  </si>
  <si>
    <t>FBA18WNBM0RF</t>
  </si>
  <si>
    <t>531</t>
  </si>
  <si>
    <t>532</t>
  </si>
  <si>
    <t>W18004</t>
  </si>
  <si>
    <t>FBA18WNBW1FG</t>
  </si>
  <si>
    <t>533</t>
  </si>
  <si>
    <t>534</t>
  </si>
  <si>
    <t>FBA18WLDZVJ3</t>
  </si>
  <si>
    <t>535</t>
  </si>
  <si>
    <t>007000002</t>
  </si>
  <si>
    <t>536</t>
  </si>
  <si>
    <t>537</t>
  </si>
  <si>
    <t>FBA18WSNFP16</t>
  </si>
  <si>
    <t>538</t>
  </si>
  <si>
    <t>539</t>
  </si>
  <si>
    <t>540</t>
  </si>
  <si>
    <t>541</t>
  </si>
  <si>
    <t>542</t>
  </si>
  <si>
    <t>543</t>
  </si>
  <si>
    <t>544</t>
  </si>
  <si>
    <t>FBA18WSPGK7D</t>
  </si>
  <si>
    <t>545</t>
  </si>
  <si>
    <t>546</t>
  </si>
  <si>
    <t>547</t>
  </si>
  <si>
    <t>548</t>
  </si>
  <si>
    <t>549</t>
  </si>
  <si>
    <t>W19003</t>
  </si>
  <si>
    <t>FBA18WVL9G99</t>
  </si>
  <si>
    <t>550</t>
  </si>
  <si>
    <t>551</t>
  </si>
  <si>
    <t>552</t>
  </si>
  <si>
    <t>553</t>
  </si>
  <si>
    <t>554</t>
  </si>
  <si>
    <t>555</t>
  </si>
  <si>
    <t>AND-GD</t>
  </si>
  <si>
    <t>556</t>
  </si>
  <si>
    <t>557</t>
  </si>
  <si>
    <t>558</t>
  </si>
  <si>
    <t>559</t>
  </si>
  <si>
    <t>FBA18WVQBGYG</t>
  </si>
  <si>
    <t>W-US</t>
  </si>
  <si>
    <t>001000034</t>
  </si>
  <si>
    <t>560</t>
  </si>
  <si>
    <t>W19002</t>
  </si>
  <si>
    <t>FBA18WVR1DFZ</t>
  </si>
  <si>
    <t>561</t>
  </si>
  <si>
    <t>562</t>
  </si>
  <si>
    <t>563</t>
  </si>
  <si>
    <t>W19001</t>
  </si>
  <si>
    <t>FBA18WVKTHWH</t>
  </si>
  <si>
    <t>564</t>
  </si>
  <si>
    <t>565</t>
  </si>
  <si>
    <t>566</t>
  </si>
  <si>
    <t>567</t>
  </si>
  <si>
    <t>FBA18WYLND6B</t>
  </si>
  <si>
    <t>HOTEL6KIT</t>
  </si>
  <si>
    <t>568</t>
  </si>
  <si>
    <t>JY-100ML</t>
  </si>
  <si>
    <t>569</t>
  </si>
  <si>
    <t>570</t>
  </si>
  <si>
    <t>MWAY1-100ML</t>
  </si>
  <si>
    <t>571</t>
  </si>
  <si>
    <t>SJ-100ML</t>
  </si>
  <si>
    <t>572</t>
  </si>
  <si>
    <t>W-100ML</t>
  </si>
  <si>
    <t>573</t>
  </si>
  <si>
    <t>574</t>
  </si>
  <si>
    <t>FBA18WYLQQDD</t>
  </si>
  <si>
    <t>575</t>
  </si>
  <si>
    <t>576</t>
  </si>
  <si>
    <t>577</t>
  </si>
  <si>
    <t>578</t>
  </si>
  <si>
    <t>579</t>
  </si>
  <si>
    <t>W20001</t>
  </si>
  <si>
    <t>FBA15FVB9RK9</t>
  </si>
  <si>
    <t>O-AU</t>
  </si>
  <si>
    <r>
      <rPr>
        <sz val="10"/>
        <color theme="1"/>
        <rFont val="微软雅黑"/>
        <family val="2"/>
        <charset val="134"/>
      </rPr>
      <t>澳洲</t>
    </r>
  </si>
  <si>
    <r>
      <rPr>
        <sz val="10"/>
        <color theme="1"/>
        <rFont val="微软雅黑"/>
        <family val="2"/>
        <charset val="134"/>
      </rPr>
      <t>澳鹰</t>
    </r>
  </si>
  <si>
    <t>BWU2</t>
  </si>
  <si>
    <t>580</t>
  </si>
  <si>
    <t>581</t>
  </si>
  <si>
    <t>582</t>
  </si>
  <si>
    <t>583</t>
  </si>
  <si>
    <t>584</t>
  </si>
  <si>
    <t>585</t>
  </si>
  <si>
    <t>586</t>
  </si>
  <si>
    <t>587</t>
  </si>
  <si>
    <t>588</t>
  </si>
  <si>
    <t>001000050</t>
  </si>
  <si>
    <t>589</t>
  </si>
  <si>
    <t>W20006</t>
  </si>
  <si>
    <t>FBA18X1NFVYT</t>
  </si>
  <si>
    <t>590</t>
  </si>
  <si>
    <t>591</t>
  </si>
  <si>
    <t>592</t>
  </si>
  <si>
    <t>593</t>
  </si>
  <si>
    <t>594</t>
  </si>
  <si>
    <t>595</t>
  </si>
  <si>
    <t>W20007</t>
  </si>
  <si>
    <t>FBA15KBFK3P5</t>
  </si>
  <si>
    <r>
      <rPr>
        <sz val="10"/>
        <color theme="1"/>
        <rFont val="微软雅黑"/>
        <family val="2"/>
        <charset val="134"/>
      </rPr>
      <t>合联中东</t>
    </r>
  </si>
  <si>
    <t>596</t>
  </si>
  <si>
    <t>597</t>
  </si>
  <si>
    <t>598</t>
  </si>
  <si>
    <t>599</t>
  </si>
  <si>
    <t>600</t>
  </si>
  <si>
    <t>601</t>
  </si>
  <si>
    <t>W20008</t>
  </si>
  <si>
    <t>FBA15KB977XL</t>
  </si>
  <si>
    <t>602</t>
  </si>
  <si>
    <t>603</t>
  </si>
  <si>
    <t>604</t>
  </si>
  <si>
    <t>605</t>
  </si>
  <si>
    <t>606</t>
  </si>
  <si>
    <t>607</t>
  </si>
  <si>
    <t>W20002</t>
  </si>
  <si>
    <t>FBA18WYXK59W</t>
  </si>
  <si>
    <r>
      <rPr>
        <sz val="10"/>
        <rFont val="微软雅黑"/>
        <family val="2"/>
        <charset val="134"/>
      </rPr>
      <t>康达时</t>
    </r>
  </si>
  <si>
    <r>
      <rPr>
        <sz val="10"/>
        <rFont val="微软雅黑"/>
        <family val="2"/>
        <charset val="134"/>
      </rPr>
      <t>美国空派</t>
    </r>
  </si>
  <si>
    <t>1ZK6B4420330660215</t>
  </si>
  <si>
    <t>608</t>
  </si>
  <si>
    <t>W20003</t>
  </si>
  <si>
    <t>FBA18WYY7TK8</t>
  </si>
  <si>
    <t>609</t>
  </si>
  <si>
    <t>610</t>
  </si>
  <si>
    <t>W20004</t>
  </si>
  <si>
    <t>FBA18WYXC5S8</t>
  </si>
  <si>
    <t>611</t>
  </si>
  <si>
    <t>612</t>
  </si>
  <si>
    <t>613</t>
  </si>
  <si>
    <t>614</t>
  </si>
  <si>
    <t>615</t>
  </si>
  <si>
    <t>616</t>
  </si>
  <si>
    <t>W20005</t>
  </si>
  <si>
    <t>FBA18X4LCHYW</t>
  </si>
  <si>
    <t>617</t>
  </si>
  <si>
    <t>618</t>
  </si>
  <si>
    <t>619</t>
  </si>
  <si>
    <t>FBA18X36VQLM</t>
  </si>
  <si>
    <t>620</t>
  </si>
  <si>
    <t>W21001</t>
  </si>
  <si>
    <t>FBA15KC84J00</t>
  </si>
  <si>
    <r>
      <rPr>
        <sz val="10"/>
        <rFont val="微软雅黑"/>
        <family val="2"/>
        <charset val="134"/>
      </rPr>
      <t>英国</t>
    </r>
  </si>
  <si>
    <r>
      <rPr>
        <sz val="10"/>
        <rFont val="微软雅黑"/>
        <family val="2"/>
        <charset val="134"/>
      </rPr>
      <t>英国海卡自税</t>
    </r>
  </si>
  <si>
    <t>621</t>
  </si>
  <si>
    <t>622</t>
  </si>
  <si>
    <t>623</t>
  </si>
  <si>
    <t>624</t>
  </si>
  <si>
    <t>625</t>
  </si>
  <si>
    <t>626</t>
  </si>
  <si>
    <t>627</t>
  </si>
  <si>
    <t>628</t>
  </si>
  <si>
    <t>629</t>
  </si>
  <si>
    <t>W21002</t>
  </si>
  <si>
    <t>FBA18X8G9MGB</t>
  </si>
  <si>
    <t>630</t>
  </si>
  <si>
    <t>631</t>
  </si>
  <si>
    <t>632</t>
  </si>
  <si>
    <t>633</t>
  </si>
  <si>
    <t>634</t>
  </si>
  <si>
    <t>635</t>
  </si>
  <si>
    <t>W21004</t>
  </si>
  <si>
    <t>FBA18X8HC6G0</t>
  </si>
  <si>
    <t>636</t>
  </si>
  <si>
    <t>637</t>
  </si>
  <si>
    <t>W21005</t>
  </si>
  <si>
    <t>FBA15KC7PFVC</t>
  </si>
  <si>
    <t>W-DE</t>
  </si>
  <si>
    <r>
      <rPr>
        <sz val="10"/>
        <color theme="1"/>
        <rFont val="微软雅黑"/>
        <family val="2"/>
        <charset val="134"/>
      </rPr>
      <t>德国</t>
    </r>
  </si>
  <si>
    <r>
      <rPr>
        <sz val="10"/>
        <color theme="1"/>
        <rFont val="微软雅黑"/>
        <family val="2"/>
        <charset val="134"/>
      </rPr>
      <t>德国海卡（自税）</t>
    </r>
  </si>
  <si>
    <t>DTM2</t>
  </si>
  <si>
    <t>638</t>
  </si>
  <si>
    <t>639</t>
  </si>
  <si>
    <t>640</t>
  </si>
  <si>
    <t>641</t>
  </si>
  <si>
    <t>642</t>
  </si>
  <si>
    <t>643</t>
  </si>
  <si>
    <t>644</t>
  </si>
  <si>
    <t>645</t>
  </si>
  <si>
    <t>646</t>
  </si>
  <si>
    <t>647</t>
  </si>
  <si>
    <t>FBA18XGMKQ7T</t>
  </si>
  <si>
    <t>648</t>
  </si>
  <si>
    <t>W21003</t>
  </si>
  <si>
    <t>FBA18X6XWPVV</t>
  </si>
  <si>
    <t>649</t>
  </si>
  <si>
    <t>W22001</t>
  </si>
  <si>
    <t>FBA18XPYY39R</t>
  </si>
  <si>
    <t>650</t>
  </si>
  <si>
    <t>ANXKIT-B_4X10ML</t>
  </si>
  <si>
    <t>651</t>
  </si>
  <si>
    <t>652</t>
  </si>
  <si>
    <t>653</t>
  </si>
  <si>
    <t>ANXKIT-T_4X10ML</t>
  </si>
  <si>
    <t>654</t>
  </si>
  <si>
    <t>655</t>
  </si>
  <si>
    <t>W22002</t>
  </si>
  <si>
    <t>FBA18XPYTT7W</t>
  </si>
  <si>
    <t>AN6KIT-B_4X10ML</t>
  </si>
  <si>
    <t>656</t>
  </si>
  <si>
    <t>657</t>
  </si>
  <si>
    <t>AN6KIT-WH_4X10ML</t>
  </si>
  <si>
    <t>658</t>
  </si>
  <si>
    <t>659</t>
  </si>
  <si>
    <t>660</t>
  </si>
  <si>
    <t>FBA18XHJKPTN</t>
  </si>
  <si>
    <t>661</t>
  </si>
  <si>
    <t>FBA18XHK24RR</t>
  </si>
  <si>
    <t>662</t>
  </si>
  <si>
    <t>663</t>
  </si>
  <si>
    <t>W23001</t>
  </si>
  <si>
    <t>FBA18XVLX39B</t>
  </si>
  <si>
    <t>664</t>
  </si>
  <si>
    <t>665</t>
  </si>
  <si>
    <t>666</t>
  </si>
  <si>
    <t>667</t>
  </si>
  <si>
    <t>AN8-B</t>
  </si>
  <si>
    <t>668</t>
  </si>
  <si>
    <t>AN8KIT-B_4X10K01</t>
  </si>
  <si>
    <t>669</t>
  </si>
  <si>
    <t>AN8KIT-B_B</t>
  </si>
  <si>
    <t>670</t>
  </si>
  <si>
    <t>671</t>
  </si>
  <si>
    <t>672</t>
  </si>
  <si>
    <t>FBA18XVWFWRX</t>
  </si>
  <si>
    <t>001000014</t>
  </si>
  <si>
    <t>673</t>
  </si>
  <si>
    <t>674</t>
  </si>
  <si>
    <t>W23002</t>
  </si>
  <si>
    <t>FBA18XR9CLMG</t>
  </si>
  <si>
    <r>
      <rPr>
        <sz val="10"/>
        <rFont val="微软雅黑"/>
        <family val="2"/>
        <charset val="134"/>
      </rPr>
      <t>万邦</t>
    </r>
  </si>
  <si>
    <t>1ZJ73E760329167112</t>
  </si>
  <si>
    <t>675</t>
  </si>
  <si>
    <t>W23003</t>
  </si>
  <si>
    <t>FBA18XVN6W23</t>
  </si>
  <si>
    <t>676</t>
  </si>
  <si>
    <t>FBA18XQL5WR9</t>
  </si>
  <si>
    <r>
      <rPr>
        <sz val="10"/>
        <rFont val="微软雅黑"/>
        <family val="2"/>
        <charset val="134"/>
      </rPr>
      <t>天盛</t>
    </r>
  </si>
  <si>
    <t>677</t>
  </si>
  <si>
    <t>FBA18XQLNMPG</t>
  </si>
  <si>
    <t>678</t>
  </si>
  <si>
    <t>FBA18XQLN0RC</t>
  </si>
  <si>
    <t>679</t>
  </si>
  <si>
    <t>FBA18XQLQN6J</t>
  </si>
  <si>
    <t>680</t>
  </si>
  <si>
    <t>FBA18XQJZ2HY</t>
  </si>
  <si>
    <t>681</t>
  </si>
  <si>
    <t>682</t>
  </si>
  <si>
    <t>683</t>
  </si>
  <si>
    <t>684</t>
  </si>
  <si>
    <t>685</t>
  </si>
  <si>
    <t>W24001</t>
  </si>
  <si>
    <t>FBA18XXZ3L3Q</t>
  </si>
  <si>
    <t>686</t>
  </si>
  <si>
    <t>687</t>
  </si>
  <si>
    <t>688</t>
  </si>
  <si>
    <t>689</t>
  </si>
  <si>
    <t>690</t>
  </si>
  <si>
    <t>FBA18XXXTSKQ</t>
  </si>
  <si>
    <t>691</t>
  </si>
  <si>
    <t>692</t>
  </si>
  <si>
    <t>693</t>
  </si>
  <si>
    <t>694</t>
  </si>
  <si>
    <t>FBA18XYB64TZ</t>
  </si>
  <si>
    <t>695</t>
  </si>
  <si>
    <t>696</t>
  </si>
  <si>
    <t>W25001</t>
  </si>
  <si>
    <t>FBA18Y3BZK7J</t>
  </si>
  <si>
    <r>
      <rPr>
        <sz val="10"/>
        <rFont val="微软雅黑"/>
        <family val="2"/>
        <charset val="134"/>
      </rPr>
      <t>加拿大海卡</t>
    </r>
  </si>
  <si>
    <t>697</t>
  </si>
  <si>
    <t>698</t>
  </si>
  <si>
    <t>699</t>
  </si>
  <si>
    <t>700</t>
  </si>
  <si>
    <t>W25002</t>
  </si>
  <si>
    <t>FBA18Y7WKBY3</t>
  </si>
  <si>
    <t>ANWKIT-B_US_2X100K01</t>
  </si>
  <si>
    <t>701</t>
  </si>
  <si>
    <t>ANWKIT-WH_US_2X100K01</t>
  </si>
  <si>
    <t>702</t>
  </si>
  <si>
    <t>703</t>
  </si>
  <si>
    <t>FBA18Y4QP105</t>
  </si>
  <si>
    <t>704</t>
  </si>
  <si>
    <t>705</t>
  </si>
  <si>
    <t>706</t>
  </si>
  <si>
    <t>707</t>
  </si>
  <si>
    <t>708</t>
  </si>
  <si>
    <t>709</t>
  </si>
  <si>
    <t>W25003</t>
  </si>
  <si>
    <t>FBA15KG9C8B7</t>
  </si>
  <si>
    <r>
      <rPr>
        <sz val="10"/>
        <rFont val="微软雅黑"/>
        <family val="2"/>
        <charset val="134"/>
      </rPr>
      <t>亦邦物流</t>
    </r>
  </si>
  <si>
    <r>
      <rPr>
        <sz val="10"/>
        <rFont val="微软雅黑"/>
        <family val="2"/>
        <charset val="134"/>
      </rPr>
      <t>阿联酋海派</t>
    </r>
  </si>
  <si>
    <t>710</t>
  </si>
  <si>
    <t>711</t>
  </si>
  <si>
    <t>W26001</t>
  </si>
  <si>
    <t>FBA18YGZ6GZ9</t>
  </si>
  <si>
    <t>712</t>
  </si>
  <si>
    <t>713</t>
  </si>
  <si>
    <t>714</t>
  </si>
  <si>
    <t>715</t>
  </si>
  <si>
    <t>716</t>
  </si>
  <si>
    <t>717</t>
  </si>
  <si>
    <t>718</t>
  </si>
  <si>
    <t>719</t>
  </si>
  <si>
    <t>W26002</t>
  </si>
  <si>
    <t>FBA18YCMNS7Q</t>
  </si>
  <si>
    <t>720</t>
  </si>
  <si>
    <t>721</t>
  </si>
  <si>
    <t>722</t>
  </si>
  <si>
    <t>723</t>
  </si>
  <si>
    <t>724</t>
  </si>
  <si>
    <t>W26003</t>
  </si>
  <si>
    <t>FBA18YM94WGN</t>
  </si>
  <si>
    <t>725</t>
  </si>
  <si>
    <t>726</t>
  </si>
  <si>
    <t>FBA18YDFYYF7</t>
  </si>
  <si>
    <t>RZ-500ML</t>
  </si>
  <si>
    <r>
      <rPr>
        <sz val="10"/>
        <rFont val="微软雅黑"/>
        <family val="2"/>
        <charset val="134"/>
      </rPr>
      <t>积米</t>
    </r>
  </si>
  <si>
    <r>
      <rPr>
        <sz val="10"/>
        <rFont val="微软雅黑"/>
        <family val="2"/>
        <charset val="134"/>
      </rPr>
      <t>南沙海卡</t>
    </r>
  </si>
  <si>
    <t>727</t>
  </si>
  <si>
    <t>WK27002</t>
  </si>
  <si>
    <t>FBA18YJLHK8M</t>
  </si>
  <si>
    <t>728</t>
  </si>
  <si>
    <t>729</t>
  </si>
  <si>
    <t>WK27003</t>
  </si>
  <si>
    <t>FBA18YJJRZN8</t>
  </si>
  <si>
    <t>730</t>
  </si>
  <si>
    <t>731</t>
  </si>
  <si>
    <t>732</t>
  </si>
  <si>
    <t>733</t>
  </si>
  <si>
    <t>734</t>
  </si>
  <si>
    <t>735</t>
  </si>
  <si>
    <t>736</t>
  </si>
  <si>
    <t>FBA18YRSGR9B</t>
  </si>
  <si>
    <t>ANA-B_US</t>
  </si>
  <si>
    <t>737</t>
  </si>
  <si>
    <t>ANA-W_US</t>
  </si>
  <si>
    <t>738</t>
  </si>
  <si>
    <t>739</t>
  </si>
  <si>
    <t>FBA18YL5V6KP</t>
  </si>
  <si>
    <t>740</t>
  </si>
  <si>
    <t>WK28001</t>
  </si>
  <si>
    <t>FBA15KK366FS</t>
  </si>
  <si>
    <t xml:space="preserve">LBA8 </t>
  </si>
  <si>
    <t>741</t>
  </si>
  <si>
    <t>742</t>
  </si>
  <si>
    <t>743</t>
  </si>
  <si>
    <t>744</t>
  </si>
  <si>
    <t>753</t>
  </si>
  <si>
    <t>754</t>
  </si>
  <si>
    <t>745</t>
  </si>
  <si>
    <t>WK28003</t>
  </si>
  <si>
    <t>FBA18YT48P7L</t>
  </si>
  <si>
    <t>746</t>
  </si>
  <si>
    <t>FBA18YT43C37</t>
  </si>
  <si>
    <t>747</t>
  </si>
  <si>
    <t>748</t>
  </si>
  <si>
    <t>749</t>
  </si>
  <si>
    <t>750</t>
  </si>
  <si>
    <t>751</t>
  </si>
  <si>
    <t>752</t>
  </si>
  <si>
    <t>755</t>
  </si>
  <si>
    <t>FBA18YT2N51B</t>
  </si>
  <si>
    <t>756</t>
  </si>
  <si>
    <t>757</t>
  </si>
  <si>
    <t>FBA18Z04WLXH</t>
  </si>
  <si>
    <t>758</t>
  </si>
  <si>
    <t>WK28004</t>
  </si>
  <si>
    <t>FBA18Z03YZ7F</t>
  </si>
  <si>
    <r>
      <rPr>
        <sz val="10"/>
        <rFont val="微软雅黑"/>
        <family val="2"/>
        <charset val="134"/>
      </rPr>
      <t>盐田卡派</t>
    </r>
  </si>
  <si>
    <t>759</t>
  </si>
  <si>
    <t>WK29001</t>
  </si>
  <si>
    <t>FBA18Z5T5VNP</t>
  </si>
  <si>
    <r>
      <rPr>
        <sz val="10"/>
        <color indexed="8"/>
        <rFont val="微软雅黑"/>
        <family val="2"/>
        <charset val="134"/>
      </rPr>
      <t>美国</t>
    </r>
  </si>
  <si>
    <t>760</t>
  </si>
  <si>
    <t>761</t>
  </si>
  <si>
    <t>762</t>
  </si>
  <si>
    <t>FBA18Z3XFG0S</t>
  </si>
  <si>
    <t>763</t>
  </si>
  <si>
    <t xml:space="preserve"> </t>
  </si>
  <si>
    <t>764</t>
  </si>
  <si>
    <t>765</t>
  </si>
  <si>
    <t>766</t>
  </si>
  <si>
    <t>767</t>
  </si>
  <si>
    <t>FBA18Z3XSPHC</t>
  </si>
  <si>
    <t>001000024</t>
  </si>
  <si>
    <t>768</t>
  </si>
  <si>
    <t>001000025</t>
  </si>
  <si>
    <t>769</t>
  </si>
  <si>
    <t>WK29002</t>
  </si>
  <si>
    <t>FBA18Z5SF04J</t>
  </si>
  <si>
    <r>
      <rPr>
        <sz val="10"/>
        <rFont val="微软雅黑"/>
        <family val="2"/>
        <charset val="134"/>
      </rPr>
      <t>美森海卡</t>
    </r>
  </si>
  <si>
    <t>770</t>
  </si>
  <si>
    <r>
      <rPr>
        <sz val="10"/>
        <color indexed="8"/>
        <rFont val="微软雅黑"/>
        <family val="2"/>
        <charset val="134"/>
      </rPr>
      <t>不报关</t>
    </r>
  </si>
  <si>
    <t>FBA18Z40TPPC</t>
  </si>
  <si>
    <t>771</t>
  </si>
  <si>
    <t>772</t>
  </si>
  <si>
    <t>WK29003</t>
  </si>
  <si>
    <t>FBA18Z41Q7YY</t>
  </si>
  <si>
    <t>773</t>
  </si>
  <si>
    <t>WK29004</t>
  </si>
  <si>
    <t>FBA18Z42Q8L8</t>
  </si>
  <si>
    <t>774</t>
  </si>
  <si>
    <t>WK30001</t>
  </si>
  <si>
    <t>FBA18Z5Y4B7W</t>
  </si>
  <si>
    <t>775</t>
  </si>
  <si>
    <t>776</t>
  </si>
  <si>
    <t>777</t>
  </si>
  <si>
    <t>FBA18Z5Z56VZ</t>
  </si>
  <si>
    <t>778</t>
  </si>
  <si>
    <t>779</t>
  </si>
  <si>
    <t>780</t>
  </si>
  <si>
    <t>781</t>
  </si>
  <si>
    <t>AN6KIT-WH_SJ30ML</t>
  </si>
  <si>
    <t>782</t>
  </si>
  <si>
    <t>783</t>
  </si>
  <si>
    <t>FBA18Z659VMK</t>
  </si>
  <si>
    <t>784</t>
  </si>
  <si>
    <t>785</t>
  </si>
  <si>
    <t>FBA18Z65NGJ1</t>
  </si>
  <si>
    <t>786</t>
  </si>
  <si>
    <t>787</t>
  </si>
  <si>
    <t>788</t>
  </si>
  <si>
    <t>FBA18ZFSNKLN</t>
  </si>
  <si>
    <t>789</t>
  </si>
  <si>
    <t>790</t>
  </si>
  <si>
    <t>791</t>
  </si>
  <si>
    <t>792</t>
  </si>
  <si>
    <t>FBA18ZDDD9B7</t>
  </si>
  <si>
    <t>793</t>
  </si>
  <si>
    <t>794</t>
  </si>
  <si>
    <t>795</t>
  </si>
  <si>
    <t>796</t>
  </si>
  <si>
    <t>WK30002</t>
  </si>
  <si>
    <t>FBA18ZHJW7W0</t>
  </si>
  <si>
    <t>797</t>
  </si>
  <si>
    <t>798</t>
  </si>
  <si>
    <t>799</t>
  </si>
  <si>
    <t>800</t>
  </si>
  <si>
    <t>W31003</t>
  </si>
  <si>
    <t>FBA18ZDSJV5Y</t>
  </si>
  <si>
    <t>801</t>
  </si>
  <si>
    <t>802</t>
  </si>
  <si>
    <t>803</t>
  </si>
  <si>
    <t>804</t>
  </si>
  <si>
    <t>W31002</t>
  </si>
  <si>
    <t>FBA18ZDVL23C</t>
  </si>
  <si>
    <r>
      <rPr>
        <sz val="10"/>
        <rFont val="微软雅黑"/>
        <family val="2"/>
        <charset val="134"/>
      </rPr>
      <t>重量收费</t>
    </r>
  </si>
  <si>
    <t>805</t>
  </si>
  <si>
    <t>806</t>
  </si>
  <si>
    <t>807</t>
  </si>
  <si>
    <t>808</t>
  </si>
  <si>
    <t>809</t>
  </si>
  <si>
    <t>810</t>
  </si>
  <si>
    <t>811</t>
  </si>
  <si>
    <t>812</t>
  </si>
  <si>
    <t>813</t>
  </si>
  <si>
    <t>W31001</t>
  </si>
  <si>
    <t>FBA18ZG7TPXK</t>
  </si>
  <si>
    <t>Y-US</t>
  </si>
  <si>
    <t>814</t>
  </si>
  <si>
    <t>FBA18ZNRM4L8</t>
  </si>
  <si>
    <t>815</t>
  </si>
  <si>
    <t>FBA18ZF3GJ3F</t>
  </si>
  <si>
    <t>816</t>
  </si>
  <si>
    <t>FBA18ZF38MF6</t>
  </si>
  <si>
    <t>817</t>
  </si>
  <si>
    <t>818</t>
  </si>
  <si>
    <t>819</t>
  </si>
  <si>
    <t>FBA18ZLC2B74</t>
  </si>
  <si>
    <t>820</t>
  </si>
  <si>
    <t>FBA18ZNYKR2P</t>
  </si>
  <si>
    <t>821</t>
  </si>
  <si>
    <t>822</t>
  </si>
  <si>
    <t>W32001</t>
  </si>
  <si>
    <t>FBA15KNG2J89</t>
  </si>
  <si>
    <t>823</t>
  </si>
  <si>
    <t>824</t>
  </si>
  <si>
    <t>825</t>
  </si>
  <si>
    <t>826</t>
  </si>
  <si>
    <t>W32002</t>
  </si>
  <si>
    <t>FBA18ZQLCCZN</t>
  </si>
  <si>
    <t>827</t>
  </si>
  <si>
    <t>828</t>
  </si>
  <si>
    <t>829</t>
  </si>
  <si>
    <t>830</t>
  </si>
  <si>
    <t>831</t>
  </si>
  <si>
    <t>832</t>
  </si>
  <si>
    <t>833</t>
  </si>
  <si>
    <t>834</t>
  </si>
  <si>
    <t>835</t>
  </si>
  <si>
    <t>AN8NZ-B</t>
  </si>
  <si>
    <t>836</t>
  </si>
  <si>
    <t>W32003</t>
  </si>
  <si>
    <t>FBA18ZQKYFV5</t>
  </si>
  <si>
    <t>837</t>
  </si>
  <si>
    <t>838</t>
  </si>
  <si>
    <t>839</t>
  </si>
  <si>
    <t>840</t>
  </si>
  <si>
    <t>841</t>
  </si>
  <si>
    <t>842</t>
  </si>
  <si>
    <t>843</t>
  </si>
  <si>
    <t>844</t>
  </si>
  <si>
    <t>845</t>
  </si>
  <si>
    <t>FBA18ZMBW1RD</t>
  </si>
  <si>
    <t>ANAKIT-B_US_2X100K02</t>
  </si>
  <si>
    <t>846</t>
  </si>
  <si>
    <t>ANAKIT-WH_US_2X100K02</t>
  </si>
  <si>
    <t>847</t>
  </si>
  <si>
    <t>848</t>
  </si>
  <si>
    <t>849</t>
  </si>
  <si>
    <t>FBA18ZTHSX0N</t>
  </si>
  <si>
    <t>850</t>
  </si>
  <si>
    <t>851</t>
  </si>
  <si>
    <t>FBA18ZTMGCKJ</t>
  </si>
  <si>
    <t>852</t>
  </si>
  <si>
    <t>W32004</t>
  </si>
  <si>
    <t>FBA18ZCX2010</t>
  </si>
  <si>
    <r>
      <rPr>
        <sz val="10"/>
        <color indexed="8"/>
        <rFont val="微软雅黑"/>
        <family val="2"/>
        <charset val="134"/>
      </rPr>
      <t>加拿大</t>
    </r>
  </si>
  <si>
    <r>
      <rPr>
        <sz val="10"/>
        <rFont val="微软雅黑"/>
        <family val="2"/>
        <charset val="134"/>
      </rPr>
      <t>加拿大卡派</t>
    </r>
  </si>
  <si>
    <t>853</t>
  </si>
  <si>
    <t>W33003</t>
  </si>
  <si>
    <t>FBA15KPC974K</t>
  </si>
  <si>
    <r>
      <rPr>
        <sz val="10"/>
        <color indexed="8"/>
        <rFont val="微软雅黑"/>
        <family val="2"/>
        <charset val="134"/>
      </rPr>
      <t>阿联酋</t>
    </r>
  </si>
  <si>
    <r>
      <rPr>
        <sz val="10"/>
        <rFont val="微软雅黑"/>
        <family val="2"/>
        <charset val="134"/>
      </rPr>
      <t>合联中东</t>
    </r>
  </si>
  <si>
    <t xml:space="preserve">DXB5 </t>
  </si>
  <si>
    <t>854</t>
  </si>
  <si>
    <t>855</t>
  </si>
  <si>
    <t>W33002</t>
  </si>
  <si>
    <t>FBA18ZYC4440</t>
  </si>
  <si>
    <t>856</t>
  </si>
  <si>
    <t>857</t>
  </si>
  <si>
    <t>858</t>
  </si>
  <si>
    <t>859</t>
  </si>
  <si>
    <t>860</t>
  </si>
  <si>
    <t>861</t>
  </si>
  <si>
    <t>862</t>
  </si>
  <si>
    <t>863</t>
  </si>
  <si>
    <t>864</t>
  </si>
  <si>
    <t>865</t>
  </si>
  <si>
    <t>866</t>
  </si>
  <si>
    <t>FBA18ZXP38VV</t>
  </si>
  <si>
    <t>867</t>
  </si>
  <si>
    <t>868</t>
  </si>
  <si>
    <t>869</t>
  </si>
  <si>
    <t>870</t>
  </si>
  <si>
    <t>871</t>
  </si>
  <si>
    <t>872</t>
  </si>
  <si>
    <t>873</t>
  </si>
  <si>
    <t>874</t>
  </si>
  <si>
    <t>FBA18ZXP5FVM</t>
  </si>
  <si>
    <t>875</t>
  </si>
  <si>
    <t>876</t>
  </si>
  <si>
    <t>FBA18ZXPXBR2</t>
  </si>
  <si>
    <t>877</t>
  </si>
  <si>
    <t>878</t>
  </si>
  <si>
    <t>879</t>
  </si>
  <si>
    <t>880</t>
  </si>
  <si>
    <t>881</t>
  </si>
  <si>
    <t>FBA18ZYCYRC9</t>
  </si>
  <si>
    <t>882</t>
  </si>
  <si>
    <t>883</t>
  </si>
  <si>
    <t>W33001</t>
  </si>
  <si>
    <t>FBA1900T4507</t>
  </si>
  <si>
    <t>884</t>
  </si>
  <si>
    <t>FBA1900S8SMJ</t>
  </si>
  <si>
    <t>885</t>
  </si>
  <si>
    <r>
      <rPr>
        <sz val="10"/>
        <rFont val="微软雅黑"/>
        <family val="2"/>
        <charset val="134"/>
      </rPr>
      <t>不报关</t>
    </r>
  </si>
  <si>
    <t>FBA18ZX4K0W6</t>
  </si>
  <si>
    <t>886</t>
  </si>
  <si>
    <t>887</t>
  </si>
  <si>
    <t>FBA18ZX5SXBW</t>
  </si>
  <si>
    <t>888</t>
  </si>
  <si>
    <t>889</t>
  </si>
  <si>
    <t>FBA18ZX4QWR8</t>
  </si>
  <si>
    <t>890</t>
  </si>
  <si>
    <t>891</t>
  </si>
  <si>
    <t>W33006</t>
  </si>
  <si>
    <t>FBA18ZX3LXLW</t>
  </si>
  <si>
    <t>892</t>
  </si>
  <si>
    <t>893</t>
  </si>
  <si>
    <t>894</t>
  </si>
  <si>
    <t>895</t>
  </si>
  <si>
    <t>896</t>
  </si>
  <si>
    <t>897</t>
  </si>
  <si>
    <t>898</t>
  </si>
  <si>
    <t>899</t>
  </si>
  <si>
    <t>W33005</t>
  </si>
  <si>
    <t>FBA18ZYVR7QH</t>
  </si>
  <si>
    <t>XYY1</t>
  </si>
  <si>
    <t>900</t>
  </si>
  <si>
    <t>FBA18ZYJ67B4</t>
  </si>
  <si>
    <t>901</t>
  </si>
  <si>
    <t>W34001</t>
  </si>
  <si>
    <t>FBA15KQ8DSMG</t>
  </si>
  <si>
    <t>902</t>
  </si>
  <si>
    <t>903</t>
  </si>
  <si>
    <t>904</t>
  </si>
  <si>
    <t>905</t>
  </si>
  <si>
    <t>906</t>
  </si>
  <si>
    <t>907</t>
  </si>
  <si>
    <t>908</t>
  </si>
  <si>
    <t>W34003</t>
  </si>
  <si>
    <t>FBA1909ZWQ49</t>
  </si>
  <si>
    <t>909</t>
  </si>
  <si>
    <t>910</t>
  </si>
  <si>
    <t>911</t>
  </si>
  <si>
    <t>912</t>
  </si>
  <si>
    <t>913</t>
  </si>
  <si>
    <t>914</t>
  </si>
  <si>
    <t>W34004</t>
  </si>
  <si>
    <t>FBA190B1SDDQ</t>
  </si>
  <si>
    <t>915</t>
  </si>
  <si>
    <t>916</t>
  </si>
  <si>
    <t>917</t>
  </si>
  <si>
    <t>918</t>
  </si>
  <si>
    <t>919</t>
  </si>
  <si>
    <t>920</t>
  </si>
  <si>
    <t>921</t>
  </si>
  <si>
    <t>922</t>
  </si>
  <si>
    <t>923</t>
  </si>
  <si>
    <t>924</t>
  </si>
  <si>
    <t>W34002</t>
  </si>
  <si>
    <t>FBA1909ZHJGK</t>
  </si>
  <si>
    <t>925</t>
  </si>
  <si>
    <t>926</t>
  </si>
  <si>
    <t>927</t>
  </si>
  <si>
    <t>928</t>
  </si>
  <si>
    <t>929</t>
  </si>
  <si>
    <t>930</t>
  </si>
  <si>
    <t>931</t>
  </si>
  <si>
    <t>932</t>
  </si>
  <si>
    <t>933</t>
  </si>
  <si>
    <t>934</t>
  </si>
  <si>
    <t>FBA190926F01</t>
  </si>
  <si>
    <t>935</t>
  </si>
  <si>
    <t>936</t>
  </si>
  <si>
    <t>937</t>
  </si>
  <si>
    <t>938</t>
  </si>
  <si>
    <t>FBA190BFRG3L</t>
  </si>
  <si>
    <t>939</t>
  </si>
  <si>
    <t>940</t>
  </si>
  <si>
    <t>W34005</t>
  </si>
  <si>
    <t>FBA190B8KXZL</t>
  </si>
  <si>
    <t>941</t>
  </si>
  <si>
    <t>FBA190B2RZLX</t>
  </si>
  <si>
    <t>942</t>
  </si>
  <si>
    <t>943</t>
  </si>
  <si>
    <t>FBA1905FVLVR</t>
  </si>
  <si>
    <t>944</t>
  </si>
  <si>
    <t>945</t>
  </si>
  <si>
    <t>946</t>
  </si>
  <si>
    <t>947</t>
  </si>
  <si>
    <t>948</t>
  </si>
  <si>
    <t>949</t>
  </si>
  <si>
    <t>FBA19055QX47</t>
  </si>
  <si>
    <t>950</t>
  </si>
  <si>
    <t>951</t>
  </si>
  <si>
    <t>952</t>
  </si>
  <si>
    <t>WK35003</t>
  </si>
  <si>
    <t>FBA15KR2HCDV</t>
  </si>
  <si>
    <r>
      <rPr>
        <sz val="10"/>
        <rFont val="微软雅黑"/>
        <family val="2"/>
        <charset val="134"/>
      </rPr>
      <t>德国</t>
    </r>
  </si>
  <si>
    <r>
      <rPr>
        <sz val="10"/>
        <rFont val="微软雅黑"/>
        <family val="2"/>
        <charset val="134"/>
      </rPr>
      <t>德国海卡（自税）</t>
    </r>
  </si>
  <si>
    <t>953</t>
  </si>
  <si>
    <t>954</t>
  </si>
  <si>
    <t>WK35001</t>
  </si>
  <si>
    <t>FBA190K8074H</t>
  </si>
  <si>
    <t>955</t>
  </si>
  <si>
    <t>956</t>
  </si>
  <si>
    <t>957</t>
  </si>
  <si>
    <t>958</t>
  </si>
  <si>
    <t>959</t>
  </si>
  <si>
    <t>960</t>
  </si>
  <si>
    <t>961</t>
  </si>
  <si>
    <t>962</t>
  </si>
  <si>
    <t>963</t>
  </si>
  <si>
    <t>964</t>
  </si>
  <si>
    <t>FBA190K7DXRG</t>
  </si>
  <si>
    <t>965</t>
  </si>
  <si>
    <t>966</t>
  </si>
  <si>
    <t>967</t>
  </si>
  <si>
    <t>968</t>
  </si>
  <si>
    <t>969</t>
  </si>
  <si>
    <t>970</t>
  </si>
  <si>
    <t>971</t>
  </si>
  <si>
    <t>972</t>
  </si>
  <si>
    <t>973</t>
  </si>
  <si>
    <t>974</t>
  </si>
  <si>
    <t>WK35002</t>
  </si>
  <si>
    <t>FBA190K4HCFC</t>
  </si>
  <si>
    <r>
      <rPr>
        <sz val="10"/>
        <rFont val="微软雅黑"/>
        <family val="2"/>
        <charset val="134"/>
      </rPr>
      <t>美东卡派</t>
    </r>
  </si>
  <si>
    <t>975</t>
  </si>
  <si>
    <t>976</t>
  </si>
  <si>
    <t>977</t>
  </si>
  <si>
    <t>978</t>
  </si>
  <si>
    <t>979</t>
  </si>
  <si>
    <t>980</t>
  </si>
  <si>
    <t>FBA190KCN986</t>
  </si>
  <si>
    <t>981</t>
  </si>
  <si>
    <t>982</t>
  </si>
  <si>
    <t>983</t>
  </si>
  <si>
    <t>984</t>
  </si>
  <si>
    <t>985</t>
  </si>
  <si>
    <t>FBA190FHN3Y1</t>
  </si>
  <si>
    <t>986</t>
  </si>
  <si>
    <t>987</t>
  </si>
  <si>
    <t>FBA190FK0W3P</t>
  </si>
  <si>
    <t>988</t>
  </si>
  <si>
    <t>989</t>
  </si>
  <si>
    <t>990</t>
  </si>
  <si>
    <t>991</t>
  </si>
  <si>
    <t>FBA190FMHLX8</t>
  </si>
  <si>
    <t>992</t>
  </si>
  <si>
    <t>993</t>
  </si>
  <si>
    <t>994</t>
  </si>
  <si>
    <t>995</t>
  </si>
  <si>
    <t>996</t>
  </si>
  <si>
    <t>FBA190PJ6YMB</t>
  </si>
  <si>
    <t>997</t>
  </si>
  <si>
    <t>998</t>
  </si>
  <si>
    <t>999</t>
  </si>
  <si>
    <t>WK35004</t>
  </si>
  <si>
    <t>FBA190QPZX4J</t>
  </si>
  <si>
    <t>1000</t>
  </si>
  <si>
    <t>WK35005</t>
  </si>
  <si>
    <t>FBA190QNY32H</t>
  </si>
  <si>
    <t>1001</t>
  </si>
  <si>
    <t>WK36004</t>
  </si>
  <si>
    <t>FBA190PKHBCK</t>
  </si>
  <si>
    <t>1002</t>
  </si>
  <si>
    <t>1003</t>
  </si>
  <si>
    <t>1004</t>
  </si>
  <si>
    <t>1005</t>
  </si>
  <si>
    <t>FBA190TNJZ5T</t>
  </si>
  <si>
    <t>1006</t>
  </si>
  <si>
    <t>1007</t>
  </si>
  <si>
    <t>1008</t>
  </si>
  <si>
    <t>1009</t>
  </si>
  <si>
    <t>1010</t>
  </si>
  <si>
    <t>1011</t>
  </si>
  <si>
    <t>1012</t>
  </si>
  <si>
    <t>1013</t>
  </si>
  <si>
    <t>1014</t>
  </si>
  <si>
    <t>1015</t>
  </si>
  <si>
    <t>1016</t>
  </si>
  <si>
    <t>1017</t>
  </si>
  <si>
    <t>WK36002</t>
  </si>
  <si>
    <t>FBA190T8BZ1W</t>
  </si>
  <si>
    <t>1018</t>
  </si>
  <si>
    <t>1019</t>
  </si>
  <si>
    <t>1020</t>
  </si>
  <si>
    <t>1021</t>
  </si>
  <si>
    <t>1022</t>
  </si>
  <si>
    <t>WK36005</t>
  </si>
  <si>
    <t>FBA190VN7KTV</t>
  </si>
  <si>
    <t>1023</t>
  </si>
  <si>
    <t>1024</t>
  </si>
  <si>
    <t>1025</t>
  </si>
  <si>
    <t>1026</t>
  </si>
  <si>
    <t>WK36003</t>
  </si>
  <si>
    <t>FBA190TCLYXN</t>
  </si>
  <si>
    <t>1027</t>
  </si>
  <si>
    <t>FBA190VJHXCT</t>
  </si>
  <si>
    <t>1028</t>
  </si>
  <si>
    <t>FBA190VP108H</t>
  </si>
  <si>
    <t>1029</t>
  </si>
  <si>
    <t>1030</t>
  </si>
  <si>
    <t>1031</t>
  </si>
  <si>
    <t>FBA190VKC70B</t>
  </si>
  <si>
    <t>1032</t>
  </si>
  <si>
    <t>FBA190R1NXY0</t>
  </si>
  <si>
    <r>
      <rPr>
        <sz val="10"/>
        <color theme="1"/>
        <rFont val="微软雅黑"/>
        <family val="2"/>
        <charset val="134"/>
      </rPr>
      <t>天盛</t>
    </r>
  </si>
  <si>
    <t>1033</t>
  </si>
  <si>
    <t>1034</t>
  </si>
  <si>
    <t>1035</t>
  </si>
  <si>
    <t>FBA190R1BXJF</t>
  </si>
  <si>
    <t>1036</t>
  </si>
  <si>
    <t>1037</t>
  </si>
  <si>
    <t>1038</t>
  </si>
  <si>
    <t>1039</t>
  </si>
  <si>
    <t>1040</t>
  </si>
  <si>
    <t>WK36001</t>
  </si>
  <si>
    <t>FBA190X2T32C</t>
  </si>
  <si>
    <t>1041</t>
  </si>
  <si>
    <t>1042</t>
  </si>
  <si>
    <t>1043</t>
  </si>
  <si>
    <r>
      <rPr>
        <sz val="10"/>
        <color theme="1"/>
        <rFont val="微软雅黑"/>
        <family val="2"/>
        <charset val="134"/>
      </rPr>
      <t>买单报关</t>
    </r>
  </si>
  <si>
    <t>FBA190YXQQQX</t>
  </si>
  <si>
    <t>1044</t>
  </si>
  <si>
    <t>1045</t>
  </si>
  <si>
    <t>1046</t>
  </si>
  <si>
    <t>1047</t>
  </si>
  <si>
    <t>FBA1912S2RDK</t>
  </si>
  <si>
    <t>1048</t>
  </si>
  <si>
    <r>
      <rPr>
        <sz val="10"/>
        <rFont val="微软雅黑"/>
        <family val="2"/>
        <charset val="134"/>
      </rPr>
      <t>买单报关</t>
    </r>
  </si>
  <si>
    <t>FBA1912SKR5Y</t>
  </si>
  <si>
    <t>1049</t>
  </si>
  <si>
    <t>FBA1912V82DZ</t>
  </si>
  <si>
    <r>
      <rPr>
        <sz val="10"/>
        <rFont val="微软雅黑"/>
        <family val="2"/>
        <charset val="134"/>
      </rPr>
      <t>空派</t>
    </r>
  </si>
  <si>
    <t>1050</t>
  </si>
  <si>
    <t>FBA1912SSMF8</t>
  </si>
  <si>
    <r>
      <rPr>
        <sz val="10"/>
        <rFont val="微软雅黑"/>
        <family val="2"/>
        <charset val="134"/>
      </rPr>
      <t>维福士</t>
    </r>
  </si>
  <si>
    <r>
      <rPr>
        <sz val="10"/>
        <rFont val="微软雅黑"/>
        <family val="2"/>
        <charset val="134"/>
      </rPr>
      <t>快递</t>
    </r>
  </si>
  <si>
    <t>1325874012</t>
  </si>
  <si>
    <t>1051</t>
  </si>
  <si>
    <t>WK37006</t>
  </si>
  <si>
    <t>FBA190Y5NCVN</t>
  </si>
  <si>
    <t>1052</t>
  </si>
  <si>
    <t>1053</t>
  </si>
  <si>
    <t>1054</t>
  </si>
  <si>
    <t>WK37005</t>
  </si>
  <si>
    <t>FBA15KSVS2KV</t>
  </si>
  <si>
    <r>
      <rPr>
        <sz val="10"/>
        <rFont val="微软雅黑"/>
        <family val="2"/>
        <charset val="134"/>
      </rPr>
      <t>英国递延海卡</t>
    </r>
  </si>
  <si>
    <t xml:space="preserve">LBA8
</t>
  </si>
  <si>
    <t>1055</t>
  </si>
  <si>
    <t>1056</t>
  </si>
  <si>
    <t>1057</t>
  </si>
  <si>
    <t>1058</t>
  </si>
  <si>
    <t>1059</t>
  </si>
  <si>
    <t>WK37001</t>
  </si>
  <si>
    <t>FBA15G00YYJY</t>
  </si>
  <si>
    <r>
      <rPr>
        <sz val="10"/>
        <rFont val="微软雅黑"/>
        <family val="2"/>
        <charset val="134"/>
      </rPr>
      <t>澳洲</t>
    </r>
  </si>
  <si>
    <r>
      <rPr>
        <sz val="10"/>
        <rFont val="微软雅黑"/>
        <family val="2"/>
        <charset val="134"/>
      </rPr>
      <t>澳鹰</t>
    </r>
  </si>
  <si>
    <t>1060</t>
  </si>
  <si>
    <t>1061</t>
  </si>
  <si>
    <t>1062</t>
  </si>
  <si>
    <t>1063</t>
  </si>
  <si>
    <t>W37007</t>
  </si>
  <si>
    <t>FBA190YQWFGJ</t>
  </si>
  <si>
    <t>ADXKIT-B_DT</t>
  </si>
  <si>
    <t>1064</t>
  </si>
  <si>
    <t>1065</t>
  </si>
  <si>
    <t>1066</t>
  </si>
  <si>
    <t>1067</t>
  </si>
  <si>
    <t>1068</t>
  </si>
  <si>
    <t>1069</t>
  </si>
  <si>
    <t>1070</t>
  </si>
  <si>
    <t>1071</t>
  </si>
  <si>
    <t>1072</t>
  </si>
  <si>
    <t>1073</t>
  </si>
  <si>
    <t>1074</t>
  </si>
  <si>
    <t>1075</t>
  </si>
  <si>
    <t>1076</t>
  </si>
  <si>
    <t>WK37004</t>
  </si>
  <si>
    <t>FBA190YSDZBV</t>
  </si>
  <si>
    <t>1077</t>
  </si>
  <si>
    <t>FBA1916G0KN3</t>
  </si>
  <si>
    <t>ADXKIT_B_TX33_30ML</t>
  </si>
  <si>
    <t>1078</t>
  </si>
  <si>
    <t>ADXKIT_DT_TX33_30ML</t>
  </si>
  <si>
    <t>1079</t>
  </si>
  <si>
    <t>1080</t>
  </si>
  <si>
    <t>1081</t>
  </si>
  <si>
    <t>1082</t>
  </si>
  <si>
    <t>1083</t>
  </si>
  <si>
    <t>AN8KIT-B_4X10K02</t>
  </si>
  <si>
    <t>1084</t>
  </si>
  <si>
    <t>FBA1912MBP99</t>
  </si>
  <si>
    <t>1085</t>
  </si>
  <si>
    <t>1086</t>
  </si>
  <si>
    <t>WK37003</t>
  </si>
  <si>
    <t>FBA190YZKZD3</t>
  </si>
  <si>
    <t>1087</t>
  </si>
  <si>
    <t>FBA190YZPTPT</t>
  </si>
  <si>
    <t>1088</t>
  </si>
  <si>
    <t>1089</t>
  </si>
  <si>
    <t>WK37002</t>
  </si>
  <si>
    <t>FBA1913X337V</t>
  </si>
  <si>
    <t>1090</t>
  </si>
  <si>
    <t>1091</t>
  </si>
  <si>
    <t>1092</t>
  </si>
  <si>
    <t>1093</t>
  </si>
  <si>
    <t>1094</t>
  </si>
  <si>
    <t>FBA190YSV0K5</t>
  </si>
  <si>
    <t>1095</t>
  </si>
  <si>
    <t>1096</t>
  </si>
  <si>
    <t>WK38003</t>
  </si>
  <si>
    <t>FBA191CPPNML</t>
  </si>
  <si>
    <t>1097</t>
  </si>
  <si>
    <t>ANXKIT-DT_RZ30ML</t>
  </si>
  <si>
    <t>1098</t>
  </si>
  <si>
    <t>1099</t>
  </si>
  <si>
    <t>FBA190YQ678M</t>
  </si>
  <si>
    <t>ANZKIT-B_B_2X30K01</t>
  </si>
  <si>
    <t>1100</t>
  </si>
  <si>
    <t>FBA191CPFFG8</t>
  </si>
  <si>
    <t>1101</t>
  </si>
  <si>
    <t>FBA191DH0G5S</t>
  </si>
  <si>
    <t>1102</t>
  </si>
  <si>
    <t>1103</t>
  </si>
  <si>
    <t>1104</t>
  </si>
  <si>
    <t>1105</t>
  </si>
  <si>
    <t>1106</t>
  </si>
  <si>
    <t>1107</t>
  </si>
  <si>
    <t>1108</t>
  </si>
  <si>
    <t>1109</t>
  </si>
  <si>
    <t>1110</t>
  </si>
  <si>
    <t>1111</t>
  </si>
  <si>
    <t>1112</t>
  </si>
  <si>
    <t>FBA191D2VNJS</t>
  </si>
  <si>
    <t>1113</t>
  </si>
  <si>
    <t>1114</t>
  </si>
  <si>
    <t>1115</t>
  </si>
  <si>
    <t>1116</t>
  </si>
  <si>
    <t>1117</t>
  </si>
  <si>
    <t>1118</t>
  </si>
  <si>
    <t>AN8KIT-WH_4X10K01</t>
  </si>
  <si>
    <t>1119</t>
  </si>
  <si>
    <t>1120</t>
  </si>
  <si>
    <t>WK38002</t>
  </si>
  <si>
    <t>FBA191GYG74D</t>
  </si>
  <si>
    <t>1121</t>
  </si>
  <si>
    <t>1122</t>
  </si>
  <si>
    <t>WK38001</t>
  </si>
  <si>
    <t>FBA191FNL1LN</t>
  </si>
  <si>
    <t>1123</t>
  </si>
  <si>
    <t>1124</t>
  </si>
  <si>
    <t>1125</t>
  </si>
  <si>
    <t>FBA191742TXS</t>
  </si>
  <si>
    <t>1126</t>
  </si>
  <si>
    <t>1127</t>
  </si>
  <si>
    <t>1128</t>
  </si>
  <si>
    <t>1129</t>
  </si>
  <si>
    <t>FBA191JD8QDB</t>
  </si>
  <si>
    <t>1130</t>
  </si>
  <si>
    <t>FBA191LBL3HV</t>
  </si>
  <si>
    <t>1131</t>
  </si>
  <si>
    <t>1132</t>
  </si>
  <si>
    <t>1133</t>
  </si>
  <si>
    <t>TX331_100ML</t>
  </si>
  <si>
    <t>1134</t>
  </si>
  <si>
    <t>TXY1_100ML</t>
  </si>
  <si>
    <t>1135</t>
  </si>
  <si>
    <t>YZTT1_100ML</t>
  </si>
  <si>
    <t>1136</t>
  </si>
  <si>
    <t>FBA191LB0KR2</t>
  </si>
  <si>
    <t>1137</t>
  </si>
  <si>
    <t>1138</t>
  </si>
  <si>
    <t>1139</t>
  </si>
  <si>
    <t>WK39003</t>
  </si>
  <si>
    <t>FBA191NZMGN7</t>
  </si>
  <si>
    <t>1140</t>
  </si>
  <si>
    <t>FBA191Q0CWV4</t>
  </si>
  <si>
    <t>1141</t>
  </si>
  <si>
    <t>1142</t>
  </si>
  <si>
    <t>AN8KIT-B_B_2X30K02</t>
  </si>
  <si>
    <t>1143</t>
  </si>
  <si>
    <t>1144</t>
  </si>
  <si>
    <t>1145</t>
  </si>
  <si>
    <t>1146</t>
  </si>
  <si>
    <t>FBA191Q0KGTQ</t>
  </si>
  <si>
    <t>1147</t>
  </si>
  <si>
    <t>1148</t>
  </si>
  <si>
    <t>1149</t>
  </si>
  <si>
    <t>1150</t>
  </si>
  <si>
    <t>1151</t>
  </si>
  <si>
    <t>1152</t>
  </si>
  <si>
    <t>1153</t>
  </si>
  <si>
    <t>FBA191NXMFJG</t>
  </si>
  <si>
    <t>1154</t>
  </si>
  <si>
    <t>1155</t>
  </si>
  <si>
    <t>FBA191NZHLRG</t>
  </si>
  <si>
    <t>1156</t>
  </si>
  <si>
    <t>1157</t>
  </si>
  <si>
    <t>1158</t>
  </si>
  <si>
    <t>1159</t>
  </si>
  <si>
    <t>1160</t>
  </si>
  <si>
    <t>1161</t>
  </si>
  <si>
    <t>1162</t>
  </si>
  <si>
    <t>WK39002</t>
  </si>
  <si>
    <t>FBA191PCNDY7</t>
  </si>
  <si>
    <t>YOW3</t>
  </si>
  <si>
    <t>1163</t>
  </si>
  <si>
    <t>1164</t>
  </si>
  <si>
    <t>FBA191GRBCVJ</t>
  </si>
  <si>
    <t>A-CA</t>
  </si>
  <si>
    <t>1165</t>
  </si>
  <si>
    <t>1166</t>
  </si>
  <si>
    <t>WK39004</t>
  </si>
  <si>
    <t>FBA191RYMMV4</t>
  </si>
  <si>
    <t>1167</t>
  </si>
  <si>
    <t>1168</t>
  </si>
  <si>
    <t>FBA191RXGK9Y</t>
  </si>
  <si>
    <t>1169</t>
  </si>
  <si>
    <t>1170</t>
  </si>
  <si>
    <t>FBA191RWK2HV</t>
  </si>
  <si>
    <t>1171</t>
  </si>
  <si>
    <t>1172</t>
  </si>
  <si>
    <t>ANANZ-B</t>
  </si>
  <si>
    <t>1173</t>
  </si>
  <si>
    <t>ANANZ-WH</t>
  </si>
  <si>
    <t>1174</t>
  </si>
  <si>
    <t>FBA191PBL2DW</t>
  </si>
  <si>
    <t>1175</t>
  </si>
  <si>
    <t>1176</t>
  </si>
  <si>
    <t>WK39001</t>
  </si>
  <si>
    <t>FBA191QNSX24</t>
  </si>
  <si>
    <t>1177</t>
  </si>
  <si>
    <t>X1-DT</t>
  </si>
  <si>
    <t>1178</t>
  </si>
  <si>
    <t>1179</t>
  </si>
  <si>
    <t>X3-B</t>
  </si>
  <si>
    <t>1180</t>
  </si>
  <si>
    <t>WK40002</t>
  </si>
  <si>
    <t>FBA191TKQC50</t>
  </si>
  <si>
    <t>1181</t>
  </si>
  <si>
    <t>1182</t>
  </si>
  <si>
    <t>FBA191YHYHTK</t>
  </si>
  <si>
    <t>AN6KIT-B_B_2X30K02</t>
  </si>
  <si>
    <t>1183</t>
  </si>
  <si>
    <t>1184</t>
  </si>
  <si>
    <t>WK40001</t>
  </si>
  <si>
    <t>FBA191YG36Q6</t>
  </si>
  <si>
    <r>
      <rPr>
        <sz val="10"/>
        <rFont val="微软雅黑"/>
        <family val="2"/>
        <charset val="134"/>
      </rPr>
      <t>美森卡派</t>
    </r>
  </si>
  <si>
    <t>1185</t>
  </si>
  <si>
    <t>WK40003</t>
  </si>
  <si>
    <t>FBA191TBR4M9</t>
  </si>
  <si>
    <t>1186</t>
  </si>
  <si>
    <t>1187</t>
  </si>
  <si>
    <t>1188</t>
  </si>
  <si>
    <t>WK40004</t>
  </si>
  <si>
    <t>FBA191T8KPPL</t>
  </si>
  <si>
    <t>1189</t>
  </si>
  <si>
    <t>WK41001</t>
  </si>
  <si>
    <t>FBA191YHJCVF</t>
  </si>
  <si>
    <t>1190</t>
  </si>
  <si>
    <t>1191</t>
  </si>
  <si>
    <t>FBA1926W97XD</t>
  </si>
  <si>
    <t>1192</t>
  </si>
  <si>
    <t>1193</t>
  </si>
  <si>
    <t>1194</t>
  </si>
  <si>
    <t>1195</t>
  </si>
  <si>
    <t>1196</t>
  </si>
  <si>
    <t>WK41002</t>
  </si>
  <si>
    <t>FBA1926V95DC</t>
  </si>
  <si>
    <t>1197</t>
  </si>
  <si>
    <t>WK41003</t>
  </si>
  <si>
    <t>FBA15KXB83SJ</t>
  </si>
  <si>
    <r>
      <rPr>
        <sz val="10"/>
        <color rgb="FFFF0000"/>
        <rFont val="微软雅黑"/>
        <family val="2"/>
        <charset val="134"/>
      </rPr>
      <t>阿联酋</t>
    </r>
  </si>
  <si>
    <r>
      <rPr>
        <sz val="10"/>
        <color rgb="FFFF0000"/>
        <rFont val="微软雅黑"/>
        <family val="2"/>
        <charset val="134"/>
      </rPr>
      <t>合联中东</t>
    </r>
  </si>
  <si>
    <r>
      <rPr>
        <sz val="10"/>
        <color rgb="FFFF0000"/>
        <rFont val="微软雅黑"/>
        <family val="2"/>
        <charset val="134"/>
      </rPr>
      <t>阿联酋海卡</t>
    </r>
  </si>
  <si>
    <t>1198</t>
  </si>
  <si>
    <t>WK41004</t>
  </si>
  <si>
    <t>FBA19270X48Q</t>
  </si>
  <si>
    <t>1199</t>
  </si>
  <si>
    <t>1200</t>
  </si>
  <si>
    <t>FBA191YZCWC2</t>
  </si>
  <si>
    <t>1201</t>
  </si>
  <si>
    <t>1202</t>
  </si>
  <si>
    <t>1203</t>
  </si>
  <si>
    <t>FBA1928BKQCC</t>
  </si>
  <si>
    <t>1204</t>
  </si>
  <si>
    <t>1205</t>
  </si>
  <si>
    <t>1206</t>
  </si>
  <si>
    <t>FBA1928CR403</t>
  </si>
  <si>
    <t>1207</t>
  </si>
  <si>
    <t>1208</t>
  </si>
  <si>
    <t>1209</t>
  </si>
  <si>
    <t>1210</t>
  </si>
  <si>
    <t>1211</t>
  </si>
  <si>
    <t>1212</t>
  </si>
  <si>
    <t>FBA19289ZYT8</t>
  </si>
  <si>
    <t>1213</t>
  </si>
  <si>
    <t>1214</t>
  </si>
  <si>
    <t>1215</t>
  </si>
  <si>
    <t>1216</t>
  </si>
  <si>
    <t>WK42001</t>
  </si>
  <si>
    <t>FBA15KYB1RVN</t>
  </si>
  <si>
    <r>
      <rPr>
        <sz val="10"/>
        <color theme="1"/>
        <rFont val="微软雅黑"/>
        <family val="2"/>
        <charset val="134"/>
      </rPr>
      <t>欧洲海卡</t>
    </r>
  </si>
  <si>
    <t>1217</t>
  </si>
  <si>
    <t>1218</t>
  </si>
  <si>
    <t>WK42002</t>
  </si>
  <si>
    <t>FBA19285VVHY</t>
  </si>
  <si>
    <t>1219</t>
  </si>
  <si>
    <t>1220</t>
  </si>
  <si>
    <t>1221</t>
  </si>
  <si>
    <t>FBA192894FFQ</t>
  </si>
  <si>
    <t>1222</t>
  </si>
  <si>
    <t>1223</t>
  </si>
  <si>
    <t>1224</t>
  </si>
  <si>
    <t>1225</t>
  </si>
  <si>
    <t>1226</t>
  </si>
  <si>
    <t>1227</t>
  </si>
  <si>
    <t>FBA1927JN3MG</t>
  </si>
  <si>
    <t>1228</t>
  </si>
  <si>
    <t>1229</t>
  </si>
  <si>
    <t>1230</t>
  </si>
  <si>
    <t>1231</t>
  </si>
  <si>
    <t>1232</t>
  </si>
  <si>
    <t>WK42003</t>
  </si>
  <si>
    <t>FBA19288HY09</t>
  </si>
  <si>
    <t>1233</t>
  </si>
  <si>
    <t>FBA192CZBJ7T</t>
  </si>
  <si>
    <t>1234</t>
  </si>
  <si>
    <t>1235</t>
  </si>
  <si>
    <t>1236</t>
  </si>
  <si>
    <t>1237</t>
  </si>
  <si>
    <t>1238</t>
  </si>
  <si>
    <t>1239</t>
  </si>
  <si>
    <t>FBA192CRVT1F</t>
  </si>
  <si>
    <t>1240</t>
  </si>
  <si>
    <t>1241</t>
  </si>
  <si>
    <t>1242</t>
  </si>
  <si>
    <t>1243</t>
  </si>
  <si>
    <t>WK42004</t>
  </si>
  <si>
    <t>FBA15G1GGJ3T</t>
  </si>
  <si>
    <r>
      <rPr>
        <sz val="10"/>
        <color theme="1"/>
        <rFont val="微软雅黑"/>
        <family val="2"/>
        <charset val="134"/>
      </rPr>
      <t>澳洲海卡</t>
    </r>
  </si>
  <si>
    <t>1244</t>
  </si>
  <si>
    <t>1245</t>
  </si>
  <si>
    <t>1246</t>
  </si>
  <si>
    <t>1247</t>
  </si>
  <si>
    <t>FBA192D3K926</t>
  </si>
  <si>
    <t>1248</t>
  </si>
  <si>
    <t>1249</t>
  </si>
  <si>
    <t>1250</t>
  </si>
  <si>
    <t>FBA192DSRJ5M</t>
  </si>
  <si>
    <t>1251</t>
  </si>
  <si>
    <t>1252</t>
  </si>
  <si>
    <t>WK42005</t>
  </si>
  <si>
    <t>FBA192KXCP7T</t>
  </si>
  <si>
    <r>
      <rPr>
        <sz val="10"/>
        <color rgb="FFFF0000"/>
        <rFont val="微软雅黑"/>
        <family val="2"/>
        <charset val="134"/>
      </rPr>
      <t>天盛</t>
    </r>
  </si>
  <si>
    <r>
      <rPr>
        <sz val="10"/>
        <color rgb="FFFF0000"/>
        <rFont val="微软雅黑"/>
        <family val="2"/>
        <charset val="134"/>
      </rPr>
      <t>盐田海卡</t>
    </r>
  </si>
  <si>
    <t>1253</t>
  </si>
  <si>
    <t>1254</t>
  </si>
  <si>
    <t>FBA192979BYT</t>
  </si>
  <si>
    <t>1255</t>
  </si>
  <si>
    <t>WK42006</t>
  </si>
  <si>
    <t>FBA19298SYMZ</t>
  </si>
  <si>
    <t>1256</t>
  </si>
  <si>
    <t>FBA192D4KQ1R</t>
  </si>
  <si>
    <t>1257</t>
  </si>
  <si>
    <t>1258</t>
  </si>
  <si>
    <t>1259</t>
  </si>
  <si>
    <t>002000023</t>
  </si>
  <si>
    <t>1260</t>
  </si>
  <si>
    <t>W43001</t>
  </si>
  <si>
    <t>FBA192J3QKNP</t>
  </si>
  <si>
    <t>1261</t>
  </si>
  <si>
    <t>1262</t>
  </si>
  <si>
    <t>1263</t>
  </si>
  <si>
    <t>AN8-WH</t>
  </si>
  <si>
    <t>1264</t>
  </si>
  <si>
    <t>AN8NZ-WH</t>
  </si>
  <si>
    <t>1265</t>
  </si>
  <si>
    <t>FBA192J4BDXY</t>
  </si>
  <si>
    <t>1266</t>
  </si>
  <si>
    <t>1267</t>
  </si>
  <si>
    <t>1268</t>
  </si>
  <si>
    <t>1269</t>
  </si>
  <si>
    <t>FBA192NR3SKD</t>
  </si>
  <si>
    <t>1270</t>
  </si>
  <si>
    <t>W43002</t>
  </si>
  <si>
    <t>FBA192PLBK3B</t>
  </si>
  <si>
    <t>1271</t>
  </si>
  <si>
    <t>1272</t>
  </si>
  <si>
    <t>1273</t>
  </si>
  <si>
    <t>1274</t>
  </si>
  <si>
    <t>X3-SLIV</t>
  </si>
  <si>
    <t>1275</t>
  </si>
  <si>
    <t>FBA192J7VCG5</t>
  </si>
  <si>
    <t>1276</t>
  </si>
  <si>
    <t>1277</t>
  </si>
  <si>
    <t>W43003</t>
  </si>
  <si>
    <t>STAR-V3SNQ4KJ42S56</t>
  </si>
  <si>
    <t>1278</t>
  </si>
  <si>
    <t>1279</t>
  </si>
  <si>
    <t>1280</t>
  </si>
  <si>
    <t>1281</t>
  </si>
  <si>
    <t>1282</t>
  </si>
  <si>
    <t>FBA192TDLKKZ</t>
  </si>
  <si>
    <t>1283</t>
  </si>
  <si>
    <t>1284</t>
  </si>
  <si>
    <t>W44001</t>
  </si>
  <si>
    <t>FBA192YQKYJ6</t>
  </si>
  <si>
    <t>ANP-B_US</t>
  </si>
  <si>
    <t>1285</t>
  </si>
  <si>
    <t>ANP-W_US</t>
  </si>
  <si>
    <t>1286</t>
  </si>
  <si>
    <t>FBA192YQD5N1</t>
  </si>
  <si>
    <t>1287</t>
  </si>
  <si>
    <t>1288</t>
  </si>
  <si>
    <t>ANWKIT-B_US_2X100K03</t>
  </si>
  <si>
    <t>1289</t>
  </si>
  <si>
    <t>ANWKIT-WH_US_2X100K03</t>
  </si>
  <si>
    <t>1290</t>
  </si>
  <si>
    <r>
      <rPr>
        <sz val="10"/>
        <color theme="1"/>
        <rFont val="微软雅黑"/>
        <family val="2"/>
        <charset val="134"/>
      </rPr>
      <t>免报关费</t>
    </r>
  </si>
  <si>
    <t>W44002</t>
  </si>
  <si>
    <t>FBA192SXM74W</t>
  </si>
  <si>
    <t>1291</t>
  </si>
  <si>
    <t>1292</t>
  </si>
  <si>
    <t>1293</t>
  </si>
  <si>
    <t>1294</t>
  </si>
  <si>
    <t>1295</t>
  </si>
  <si>
    <t>1296</t>
  </si>
  <si>
    <t>FBA192RS1560</t>
  </si>
  <si>
    <t>1297</t>
  </si>
  <si>
    <t>1298</t>
  </si>
  <si>
    <t>1299</t>
  </si>
  <si>
    <t>FBA192RVYM2N</t>
  </si>
  <si>
    <t>ANZ-B</t>
  </si>
  <si>
    <t>1300</t>
  </si>
  <si>
    <t>ANZ-WH</t>
  </si>
  <si>
    <t>1301</t>
  </si>
  <si>
    <r>
      <rPr>
        <sz val="10"/>
        <color rgb="FFFF0000"/>
        <rFont val="微软雅黑"/>
        <family val="2"/>
        <charset val="134"/>
      </rPr>
      <t>不报关</t>
    </r>
  </si>
  <si>
    <t>FBA192T3V4YD</t>
  </si>
  <si>
    <t>BCRT1-100ML</t>
  </si>
  <si>
    <t>1302</t>
  </si>
  <si>
    <t>BLG1-100ML</t>
  </si>
  <si>
    <t>1303</t>
  </si>
  <si>
    <t>1304</t>
  </si>
  <si>
    <t>1305</t>
  </si>
  <si>
    <t>WST1-100ML</t>
  </si>
  <si>
    <t>1306</t>
  </si>
  <si>
    <t>FBA192T2N3GT</t>
  </si>
  <si>
    <t>1307</t>
  </si>
  <si>
    <t>FBA19318XLFB</t>
  </si>
  <si>
    <t>1308</t>
  </si>
  <si>
    <t>1309</t>
  </si>
  <si>
    <t>1310</t>
  </si>
  <si>
    <t>W45002</t>
  </si>
  <si>
    <t>FBA1934C5GVX</t>
  </si>
  <si>
    <t>1311</t>
  </si>
  <si>
    <t>1312</t>
  </si>
  <si>
    <t>FBA1934D68C7</t>
  </si>
  <si>
    <t>1313</t>
  </si>
  <si>
    <t>FBA1934F50S2</t>
  </si>
  <si>
    <t>1314</t>
  </si>
  <si>
    <t>W45001</t>
  </si>
  <si>
    <t>FBA1932ZCTWR</t>
  </si>
  <si>
    <t>1315</t>
  </si>
  <si>
    <t>1316</t>
  </si>
  <si>
    <t>FBA19334L6VC</t>
  </si>
  <si>
    <t>AN6KIT-B_2X20K01</t>
  </si>
  <si>
    <t>1317</t>
  </si>
  <si>
    <t>AN6KIT-B_BCRT30ML</t>
  </si>
  <si>
    <t>1318</t>
  </si>
  <si>
    <t>AN6KIT-B_BLG30ML</t>
  </si>
  <si>
    <t>1319</t>
  </si>
  <si>
    <t>1320</t>
  </si>
  <si>
    <t>AN6KIT-WH_2X20K01</t>
  </si>
  <si>
    <t>1321</t>
  </si>
  <si>
    <t>1322</t>
  </si>
  <si>
    <t>AN6KIT-WH_BCRT30ML</t>
  </si>
  <si>
    <t>1323</t>
  </si>
  <si>
    <t>AN6KIT-WH_BLG30ML</t>
  </si>
  <si>
    <t>1324</t>
  </si>
  <si>
    <t>AN8KIT-B_2X20K01</t>
  </si>
  <si>
    <t>1325</t>
  </si>
  <si>
    <t>1326</t>
  </si>
  <si>
    <t>AN8KIT-WH_2X20K01</t>
  </si>
  <si>
    <t>1327</t>
  </si>
  <si>
    <t>AN8KIT-WH_2X20K02</t>
  </si>
  <si>
    <t>1328</t>
  </si>
  <si>
    <t>1329</t>
  </si>
  <si>
    <t>FBA1938H7LFK</t>
  </si>
  <si>
    <t>AN8KIT-B_2X20K02</t>
  </si>
  <si>
    <t>1330</t>
  </si>
  <si>
    <t>FBA19373XZVG</t>
  </si>
  <si>
    <t>1331</t>
  </si>
  <si>
    <t>W46004</t>
  </si>
  <si>
    <t>FBA193CPMQF2</t>
  </si>
  <si>
    <t>1332</t>
  </si>
  <si>
    <t>1333</t>
  </si>
  <si>
    <t>1334</t>
  </si>
  <si>
    <t>1335</t>
  </si>
  <si>
    <t>W46005</t>
  </si>
  <si>
    <t>FBA193LHRBDZ</t>
  </si>
  <si>
    <t>1336</t>
  </si>
  <si>
    <t>ANXKIT-B_2X20K02</t>
  </si>
  <si>
    <t>1337</t>
  </si>
  <si>
    <t>FBA193L7XW2J</t>
  </si>
  <si>
    <t>1338</t>
  </si>
  <si>
    <t>FBA193CP7KG8</t>
  </si>
  <si>
    <t>1339</t>
  </si>
  <si>
    <t>1340</t>
  </si>
  <si>
    <t>W46001</t>
  </si>
  <si>
    <t>FBA15L1ZM3HB</t>
  </si>
  <si>
    <r>
      <rPr>
        <sz val="10"/>
        <color theme="1"/>
        <rFont val="微软雅黑"/>
        <family val="2"/>
        <charset val="134"/>
      </rPr>
      <t>阿联酋海卡</t>
    </r>
  </si>
  <si>
    <t>1341</t>
  </si>
  <si>
    <t>1342</t>
  </si>
  <si>
    <t>1343</t>
  </si>
  <si>
    <t>W46002</t>
  </si>
  <si>
    <t>FBA15G2F028X</t>
  </si>
  <si>
    <t>RD1-B</t>
  </si>
  <si>
    <t>1344</t>
  </si>
  <si>
    <t>RD1-DT</t>
  </si>
  <si>
    <t>1345</t>
  </si>
  <si>
    <t>W46003</t>
  </si>
  <si>
    <t>FBA15L2WK53G</t>
  </si>
  <si>
    <t>1346</t>
  </si>
  <si>
    <t>1347</t>
  </si>
  <si>
    <t>W46006</t>
  </si>
  <si>
    <t>FBA193CJFSWK</t>
  </si>
  <si>
    <t>1348</t>
  </si>
  <si>
    <t>1349</t>
  </si>
  <si>
    <t>1350</t>
  </si>
  <si>
    <t>FBA193CGR2LZ</t>
  </si>
  <si>
    <t>1351</t>
  </si>
  <si>
    <t>FBA193L882N2</t>
  </si>
  <si>
    <t>HILTON1-100ML_TZ</t>
  </si>
  <si>
    <t>1352</t>
  </si>
  <si>
    <t>YH1-100ML_TZ</t>
  </si>
  <si>
    <t>1353</t>
  </si>
  <si>
    <t>FBA193CM0CK0</t>
  </si>
  <si>
    <t>1354</t>
  </si>
  <si>
    <t>1355</t>
  </si>
  <si>
    <t>1356</t>
  </si>
  <si>
    <t>1357</t>
  </si>
  <si>
    <t>FBA193CH27MS</t>
  </si>
  <si>
    <t>1358</t>
  </si>
  <si>
    <t>FBA193CHZQZN</t>
  </si>
  <si>
    <t>1359</t>
  </si>
  <si>
    <t>1360</t>
  </si>
  <si>
    <t>1361</t>
  </si>
  <si>
    <t>1362</t>
  </si>
  <si>
    <t>W47001</t>
  </si>
  <si>
    <t>FBA15L30FW05</t>
  </si>
  <si>
    <r>
      <rPr>
        <sz val="10"/>
        <color theme="1"/>
        <rFont val="微软雅黑"/>
        <family val="2"/>
        <charset val="134"/>
      </rPr>
      <t>英国海卡</t>
    </r>
  </si>
  <si>
    <t>1363</t>
  </si>
  <si>
    <t>1364</t>
  </si>
  <si>
    <t>1365</t>
  </si>
  <si>
    <t>1366</t>
  </si>
  <si>
    <t>1367</t>
  </si>
  <si>
    <t>W47004</t>
  </si>
  <si>
    <t>FBA193P7TVYN</t>
  </si>
  <si>
    <t>1368</t>
  </si>
  <si>
    <t>1369</t>
  </si>
  <si>
    <t>W47003</t>
  </si>
  <si>
    <t>FBA193P98WFN</t>
  </si>
  <si>
    <t>1370</t>
  </si>
  <si>
    <t>1371</t>
  </si>
  <si>
    <t>1372</t>
  </si>
  <si>
    <t>1373</t>
  </si>
  <si>
    <t>1374</t>
  </si>
  <si>
    <t>FBA193PJR4H9</t>
  </si>
  <si>
    <t>O-US</t>
  </si>
  <si>
    <t>1375</t>
  </si>
  <si>
    <t>W47002</t>
  </si>
  <si>
    <t>FBA15L310J8B</t>
  </si>
  <si>
    <t>1376</t>
  </si>
  <si>
    <t>1377</t>
  </si>
  <si>
    <t>FBA193V3YXRY</t>
  </si>
  <si>
    <t>1378</t>
  </si>
  <si>
    <t>1379</t>
  </si>
  <si>
    <t>RD1KIT-B_2X30K03</t>
  </si>
  <si>
    <t>1380</t>
  </si>
  <si>
    <t>RD1KIT-T_2X30K04</t>
  </si>
  <si>
    <t>1381</t>
  </si>
  <si>
    <t>FBA193V3TQXS</t>
  </si>
  <si>
    <t>1382</t>
  </si>
  <si>
    <t>1383</t>
  </si>
  <si>
    <t>FBA193V4C6Y2</t>
  </si>
  <si>
    <t>1384</t>
  </si>
  <si>
    <t>1385</t>
  </si>
  <si>
    <t>FBA193V30XC0</t>
  </si>
  <si>
    <t>1386</t>
  </si>
  <si>
    <t>1387</t>
  </si>
  <si>
    <t>1388</t>
  </si>
  <si>
    <t>FBA193V4NJYF</t>
  </si>
  <si>
    <t>ANAKIT-B_US_2X100K03</t>
  </si>
  <si>
    <t>1389</t>
  </si>
  <si>
    <t>ANAKIT-WH_US_2X100K03</t>
  </si>
  <si>
    <t>1390</t>
  </si>
  <si>
    <t>1391</t>
  </si>
  <si>
    <t>1392</t>
  </si>
  <si>
    <t>FBA193SLZ2GZ</t>
  </si>
  <si>
    <t>1393</t>
  </si>
  <si>
    <t>FBA193N46LDL</t>
  </si>
  <si>
    <t>1394</t>
  </si>
  <si>
    <t>1395</t>
  </si>
  <si>
    <t>1396</t>
  </si>
  <si>
    <t>W48002</t>
  </si>
  <si>
    <t>FBA193XSV0G6</t>
  </si>
  <si>
    <t>1397</t>
  </si>
  <si>
    <t>FBA193XT7800</t>
  </si>
  <si>
    <t>1398</t>
  </si>
  <si>
    <t>1399</t>
  </si>
  <si>
    <t>1400</t>
  </si>
  <si>
    <t>W48001</t>
  </si>
  <si>
    <t>FBA15L3SGT0D</t>
  </si>
  <si>
    <t>1401</t>
  </si>
  <si>
    <t>1402</t>
  </si>
  <si>
    <t>FBA193XVLRY4</t>
  </si>
  <si>
    <t>1403</t>
  </si>
  <si>
    <t>1404</t>
  </si>
  <si>
    <t>1405</t>
  </si>
  <si>
    <t>FBA193XX0RFJ</t>
  </si>
  <si>
    <t>1406</t>
  </si>
  <si>
    <t>WK49007</t>
  </si>
  <si>
    <t>FBA15L4QY38D</t>
  </si>
  <si>
    <t>HAJ1</t>
  </si>
  <si>
    <t>1407</t>
  </si>
  <si>
    <t>1408</t>
  </si>
  <si>
    <t>1409</t>
  </si>
  <si>
    <t>1410</t>
  </si>
  <si>
    <t>1411</t>
  </si>
  <si>
    <t>1412</t>
  </si>
  <si>
    <t>1413</t>
  </si>
  <si>
    <t>WK49008</t>
  </si>
  <si>
    <t>FBA15L4QQZB0</t>
  </si>
  <si>
    <t>1414</t>
  </si>
  <si>
    <t>1415</t>
  </si>
  <si>
    <t>1416</t>
  </si>
  <si>
    <t>1417</t>
  </si>
  <si>
    <t>WK49004</t>
  </si>
  <si>
    <t>FBA1945SCW6S</t>
  </si>
  <si>
    <t>1418</t>
  </si>
  <si>
    <t>1419</t>
  </si>
  <si>
    <t>FBA194BV65KR</t>
  </si>
  <si>
    <t>1420</t>
  </si>
  <si>
    <t>1421</t>
  </si>
  <si>
    <t>1422</t>
  </si>
  <si>
    <t>1423</t>
  </si>
  <si>
    <t>WK49005</t>
  </si>
  <si>
    <t>FBA1946QP3DR</t>
  </si>
  <si>
    <t>A-US</t>
  </si>
  <si>
    <r>
      <rPr>
        <sz val="10"/>
        <color theme="1"/>
        <rFont val="微软雅黑"/>
        <family val="2"/>
        <charset val="134"/>
      </rPr>
      <t>以星海卡</t>
    </r>
  </si>
  <si>
    <t>1424</t>
  </si>
  <si>
    <t>1425</t>
  </si>
  <si>
    <t>1426</t>
  </si>
  <si>
    <t>WK49006</t>
  </si>
  <si>
    <t>FBA194BVZ7T9</t>
  </si>
  <si>
    <t>1427</t>
  </si>
  <si>
    <t>WK49001</t>
  </si>
  <si>
    <t>FBA19428V984</t>
  </si>
  <si>
    <r>
      <rPr>
        <sz val="10"/>
        <color theme="1"/>
        <rFont val="微软雅黑"/>
        <family val="2"/>
        <charset val="134"/>
      </rPr>
      <t>美东海卡</t>
    </r>
  </si>
  <si>
    <t>TEB4</t>
  </si>
  <si>
    <t>1428</t>
  </si>
  <si>
    <t>FBA19429KDF4</t>
  </si>
  <si>
    <t>1429</t>
  </si>
  <si>
    <t>FBA1942BYRKJ</t>
  </si>
  <si>
    <t>CMH2</t>
  </si>
  <si>
    <t>1430</t>
  </si>
  <si>
    <t>WK49002</t>
  </si>
  <si>
    <t>FBA19428CNWY</t>
  </si>
  <si>
    <r>
      <rPr>
        <sz val="10"/>
        <color theme="1"/>
        <rFont val="微软雅黑"/>
        <family val="2"/>
        <charset val="134"/>
      </rPr>
      <t>美中海卡</t>
    </r>
  </si>
  <si>
    <t>MKC4</t>
  </si>
  <si>
    <t>1431</t>
  </si>
  <si>
    <t>WK49003</t>
  </si>
  <si>
    <t>FBA19428MXK3</t>
  </si>
  <si>
    <t>DFW6</t>
  </si>
  <si>
    <t>1432</t>
  </si>
  <si>
    <t>FBA1949S34DT</t>
  </si>
  <si>
    <t>G1-B</t>
  </si>
  <si>
    <t>1433</t>
  </si>
  <si>
    <t>G1-DT</t>
  </si>
  <si>
    <t>1434</t>
  </si>
  <si>
    <t>G1-SILV</t>
  </si>
  <si>
    <t>1435</t>
  </si>
  <si>
    <t>W50001</t>
  </si>
  <si>
    <t>FBA194G0L771</t>
  </si>
  <si>
    <t>1436</t>
  </si>
  <si>
    <t>1437</t>
  </si>
  <si>
    <t>1438</t>
  </si>
  <si>
    <t>1439</t>
  </si>
  <si>
    <t>FBA194FXTBT6</t>
  </si>
  <si>
    <t>1440</t>
  </si>
  <si>
    <t>1441</t>
  </si>
  <si>
    <t>1442</t>
  </si>
  <si>
    <t>1443</t>
  </si>
  <si>
    <t>1444</t>
  </si>
  <si>
    <t>1445</t>
  </si>
  <si>
    <t>FBA194G1B7PG</t>
  </si>
  <si>
    <t>1446</t>
  </si>
  <si>
    <t>W50002</t>
  </si>
  <si>
    <t>FBA194C9J96J</t>
  </si>
  <si>
    <t>1447</t>
  </si>
  <si>
    <t>1448</t>
  </si>
  <si>
    <t>W50003</t>
  </si>
  <si>
    <t>FBA194P1ZH4J</t>
  </si>
  <si>
    <t>1449</t>
  </si>
  <si>
    <t>FBA194HQP2VC</t>
  </si>
  <si>
    <t>1450</t>
  </si>
  <si>
    <t>FBA194CB3SGH</t>
  </si>
  <si>
    <t>1451</t>
  </si>
  <si>
    <t>1452</t>
  </si>
  <si>
    <t>W51001</t>
  </si>
  <si>
    <t>FBA15L6R9CFV</t>
  </si>
  <si>
    <t>1453</t>
  </si>
  <si>
    <t>1454</t>
  </si>
  <si>
    <t>1455</t>
  </si>
  <si>
    <t>1456</t>
  </si>
  <si>
    <t>W51003</t>
  </si>
  <si>
    <t>FBA194X1LNM1</t>
  </si>
  <si>
    <t>1457</t>
  </si>
  <si>
    <t>1458</t>
  </si>
  <si>
    <t>1459</t>
  </si>
  <si>
    <t>W51004</t>
  </si>
  <si>
    <t>FBA194WCKKQ3</t>
  </si>
  <si>
    <t>1460</t>
  </si>
  <si>
    <t>1461</t>
  </si>
  <si>
    <t>1462</t>
  </si>
  <si>
    <t>1463</t>
  </si>
  <si>
    <t>FBA194XSFBD0</t>
  </si>
  <si>
    <t>1464</t>
  </si>
  <si>
    <t>W51002</t>
  </si>
  <si>
    <t>FBA194WCN3LX</t>
  </si>
  <si>
    <t>1465</t>
  </si>
  <si>
    <t>1466</t>
  </si>
  <si>
    <t>FBA194X0XXBR</t>
  </si>
  <si>
    <t>1467</t>
  </si>
  <si>
    <t>FBA194QTJ3VT</t>
  </si>
  <si>
    <t>1468</t>
  </si>
  <si>
    <t>1469</t>
  </si>
  <si>
    <t>1470</t>
  </si>
  <si>
    <t>FBA194QVS26K</t>
  </si>
  <si>
    <t>1471</t>
  </si>
  <si>
    <t>W52005</t>
  </si>
  <si>
    <t>FBA1952XNWL1</t>
  </si>
  <si>
    <t>1472</t>
  </si>
  <si>
    <t>1473</t>
  </si>
  <si>
    <t>1474</t>
  </si>
  <si>
    <t>1475</t>
  </si>
  <si>
    <t>W52001</t>
  </si>
  <si>
    <t>FBA15L7PFWSJ</t>
  </si>
  <si>
    <t>E-SA</t>
  </si>
  <si>
    <t>JED4</t>
  </si>
  <si>
    <t>1476</t>
  </si>
  <si>
    <t>1477</t>
  </si>
  <si>
    <t>1478</t>
  </si>
  <si>
    <t>W52004</t>
  </si>
  <si>
    <t>FBA194SP0VH1</t>
  </si>
  <si>
    <t>ANZKIT-B_HILTON30ML</t>
  </si>
  <si>
    <t>1479</t>
  </si>
  <si>
    <t>FBA195BKNQ7Z</t>
  </si>
  <si>
    <t>1480</t>
  </si>
  <si>
    <t>1481</t>
  </si>
  <si>
    <t>1482</t>
  </si>
  <si>
    <t>1483</t>
  </si>
  <si>
    <t>1484</t>
  </si>
  <si>
    <t>1485</t>
  </si>
  <si>
    <t>1486</t>
  </si>
  <si>
    <t>W52002</t>
  </si>
  <si>
    <t>FBA1956HPJK1</t>
  </si>
  <si>
    <t>YVR4</t>
  </si>
  <si>
    <t>1487</t>
  </si>
  <si>
    <t>1488</t>
  </si>
  <si>
    <t>1489</t>
  </si>
  <si>
    <t>FBA1956HMGND</t>
  </si>
  <si>
    <t>1490</t>
  </si>
  <si>
    <t>1491</t>
  </si>
  <si>
    <t>1492</t>
  </si>
  <si>
    <t>FBA1956JCZJ7</t>
  </si>
  <si>
    <t>1493</t>
  </si>
  <si>
    <t>FBA1956JBGSV</t>
  </si>
  <si>
    <t>1494</t>
  </si>
  <si>
    <t>W52003</t>
  </si>
  <si>
    <t>FBA15L7YTQGC</t>
  </si>
  <si>
    <t>1495</t>
  </si>
  <si>
    <t>1496</t>
  </si>
  <si>
    <t>1497</t>
  </si>
  <si>
    <t>1498</t>
  </si>
  <si>
    <t>FBA1956LPFBL</t>
  </si>
  <si>
    <t>1499</t>
  </si>
  <si>
    <t>1500</t>
  </si>
  <si>
    <t>FBA19536F34W</t>
  </si>
  <si>
    <t>1501</t>
  </si>
  <si>
    <t>1502</t>
  </si>
  <si>
    <t>1503</t>
  </si>
  <si>
    <t>1504</t>
  </si>
  <si>
    <t>FBA194YL9PRW</t>
  </si>
  <si>
    <t>1505</t>
  </si>
  <si>
    <t>W52006</t>
  </si>
  <si>
    <t>FBA1949TSW39</t>
  </si>
  <si>
    <t>W-CA</t>
  </si>
  <si>
    <t>1506</t>
  </si>
  <si>
    <t>1507</t>
  </si>
  <si>
    <t>1508</t>
  </si>
  <si>
    <t>1509</t>
  </si>
  <si>
    <t>1510</t>
  </si>
  <si>
    <t>FBA1951NYZVZ</t>
  </si>
  <si>
    <t>1511</t>
  </si>
  <si>
    <t>1512</t>
  </si>
  <si>
    <t>1513</t>
  </si>
  <si>
    <t>1514</t>
  </si>
  <si>
    <t>1515</t>
  </si>
  <si>
    <t>FBA1952LL9KQ</t>
  </si>
  <si>
    <t>1516</t>
  </si>
  <si>
    <t>FBA1952SVXM7</t>
  </si>
  <si>
    <t>1517</t>
  </si>
  <si>
    <t>1518</t>
  </si>
  <si>
    <t>FBA1952RCC6F</t>
  </si>
  <si>
    <t>1519</t>
  </si>
  <si>
    <t>1520</t>
  </si>
  <si>
    <t>1521</t>
  </si>
  <si>
    <t>FBA1951Q4C2V</t>
  </si>
  <si>
    <t>1522</t>
  </si>
  <si>
    <t>1523</t>
  </si>
  <si>
    <t>1524</t>
  </si>
  <si>
    <t>FBA195BBB8BX</t>
  </si>
  <si>
    <t>1525</t>
  </si>
  <si>
    <t>FBA195B9Z8YN</t>
  </si>
  <si>
    <t>1526</t>
  </si>
  <si>
    <t>FBA195BSK6YZ</t>
  </si>
  <si>
    <t>1527</t>
  </si>
  <si>
    <t>1528</t>
  </si>
  <si>
    <t>1529</t>
  </si>
  <si>
    <t>AN8KIT-B_2X20K03</t>
  </si>
  <si>
    <t>1530</t>
  </si>
  <si>
    <t>1531</t>
  </si>
  <si>
    <t>1532</t>
  </si>
  <si>
    <t>1533</t>
  </si>
  <si>
    <t>1534</t>
  </si>
  <si>
    <t>1535</t>
  </si>
  <si>
    <t>FBA195BB06YC</t>
  </si>
  <si>
    <t>1536</t>
  </si>
  <si>
    <t>1537</t>
  </si>
  <si>
    <t>1538</t>
  </si>
  <si>
    <t>1539</t>
  </si>
  <si>
    <t>1540</t>
  </si>
  <si>
    <t>FBA15G4W994Z</t>
  </si>
  <si>
    <t>E-AU</t>
  </si>
  <si>
    <t>MEL1</t>
  </si>
  <si>
    <t>1541</t>
  </si>
  <si>
    <t>1542</t>
  </si>
  <si>
    <t>1543</t>
  </si>
  <si>
    <t>1544</t>
  </si>
  <si>
    <t>1545</t>
  </si>
  <si>
    <t>1546</t>
  </si>
  <si>
    <t>1547</t>
  </si>
  <si>
    <t>FBA195BSMD3X</t>
  </si>
  <si>
    <t>1548</t>
  </si>
  <si>
    <t>1549</t>
  </si>
  <si>
    <t>FBA195BR25K9</t>
  </si>
  <si>
    <t>1550</t>
  </si>
  <si>
    <t>1551</t>
  </si>
  <si>
    <t>1552</t>
  </si>
  <si>
    <t>FBA195BT06RQ</t>
  </si>
  <si>
    <t>1553</t>
  </si>
  <si>
    <r>
      <rPr>
        <sz val="10"/>
        <color rgb="FFFF0000"/>
        <rFont val="微软雅黑"/>
        <family val="2"/>
        <charset val="134"/>
      </rPr>
      <t>刷新数据源但不要更改表头字段名称</t>
    </r>
  </si>
  <si>
    <r>
      <rPr>
        <b/>
        <sz val="10"/>
        <color theme="0"/>
        <rFont val="微软雅黑"/>
        <family val="2"/>
        <charset val="134"/>
      </rPr>
      <t>货件箱数</t>
    </r>
  </si>
  <si>
    <r>
      <rPr>
        <sz val="10"/>
        <color rgb="FFFF0000"/>
        <rFont val="微软雅黑"/>
        <family val="2"/>
        <charset val="134"/>
      </rPr>
      <t>该表是为了代码自动拉取货件计费重的准备工作</t>
    </r>
  </si>
  <si>
    <t xml:space="preserve">	1ZB871H40438060908</t>
  </si>
  <si>
    <t>5AA-4PC</t>
  </si>
  <si>
    <r>
      <rPr>
        <sz val="10"/>
        <color theme="1"/>
        <rFont val="微软雅黑"/>
        <family val="2"/>
        <charset val="134"/>
      </rPr>
      <t>美东一仓</t>
    </r>
  </si>
  <si>
    <r>
      <rPr>
        <sz val="10"/>
        <color theme="1"/>
        <rFont val="微软雅黑"/>
        <family val="2"/>
        <charset val="134"/>
      </rPr>
      <t>合乘</t>
    </r>
  </si>
  <si>
    <t>5AA-20PC</t>
  </si>
  <si>
    <t>BRUSH-8PC</t>
  </si>
  <si>
    <t>1ZB871H40425054001</t>
  </si>
  <si>
    <r>
      <rPr>
        <sz val="10"/>
        <color theme="1"/>
        <rFont val="微软雅黑"/>
        <family val="2"/>
        <charset val="134"/>
      </rPr>
      <t>美西二仓</t>
    </r>
  </si>
  <si>
    <r>
      <rPr>
        <sz val="10"/>
        <color theme="1"/>
        <rFont val="微软雅黑"/>
        <family val="2"/>
        <charset val="134"/>
      </rPr>
      <t>海运</t>
    </r>
  </si>
  <si>
    <t>1ZF2C5710309070615</t>
  </si>
  <si>
    <t>PMTOIL-10ML</t>
  </si>
  <si>
    <t>SWTOIL-10ML</t>
  </si>
  <si>
    <t>OILKIT-6X10ML</t>
  </si>
  <si>
    <t>PMTOIL-100ML</t>
  </si>
  <si>
    <t>SWTOIL-100ML</t>
  </si>
  <si>
    <t>1Z9T2T310335813106</t>
  </si>
  <si>
    <t>FILTER-H13</t>
  </si>
  <si>
    <t>FILTER-H14</t>
  </si>
  <si>
    <t>ORING-2PC</t>
  </si>
  <si>
    <r>
      <rPr>
        <sz val="10"/>
        <color theme="1"/>
        <rFont val="微软雅黑"/>
        <family val="2"/>
        <charset val="134"/>
      </rPr>
      <t>胶圈</t>
    </r>
  </si>
  <si>
    <t>CHARGER-AP2</t>
  </si>
  <si>
    <r>
      <rPr>
        <sz val="10"/>
        <color theme="1"/>
        <rFont val="微软雅黑"/>
        <family val="2"/>
        <charset val="134"/>
      </rPr>
      <t>充电器</t>
    </r>
  </si>
  <si>
    <t>NOZW-AN6</t>
  </si>
  <si>
    <r>
      <rPr>
        <sz val="10"/>
        <color theme="1"/>
        <rFont val="微软雅黑"/>
        <family val="2"/>
        <charset val="134"/>
      </rPr>
      <t>白色喷头</t>
    </r>
  </si>
  <si>
    <t>AN2B-US</t>
  </si>
  <si>
    <r>
      <rPr>
        <sz val="10"/>
        <color theme="1"/>
        <rFont val="微软雅黑"/>
        <family val="2"/>
        <charset val="134"/>
      </rPr>
      <t>一件代发</t>
    </r>
  </si>
  <si>
    <t>AN3B-US</t>
  </si>
  <si>
    <t>T1B-1PC</t>
  </si>
  <si>
    <t>T1W-1PC</t>
  </si>
  <si>
    <t>BOTT-AN2</t>
  </si>
  <si>
    <r>
      <rPr>
        <sz val="10"/>
        <color theme="1"/>
        <rFont val="微软雅黑"/>
        <family val="2"/>
        <charset val="134"/>
      </rPr>
      <t>玻璃瓶</t>
    </r>
  </si>
  <si>
    <t>NOZB-AN6</t>
  </si>
  <si>
    <r>
      <rPr>
        <sz val="10"/>
        <color theme="1"/>
        <rFont val="微软雅黑"/>
        <family val="2"/>
        <charset val="134"/>
      </rPr>
      <t>黑色喷头</t>
    </r>
  </si>
  <si>
    <t>AP2-US</t>
  </si>
  <si>
    <r>
      <rPr>
        <sz val="10"/>
        <color theme="1"/>
        <rFont val="微软雅黑"/>
        <family val="2"/>
        <charset val="134"/>
      </rPr>
      <t>空气净化器</t>
    </r>
  </si>
  <si>
    <t>AH1CC-US</t>
  </si>
  <si>
    <t>AH1GR-US</t>
  </si>
  <si>
    <t>1ZW29W770396199910</t>
  </si>
  <si>
    <r>
      <rPr>
        <sz val="10"/>
        <color theme="1"/>
        <rFont val="微软雅黑"/>
        <family val="2"/>
        <charset val="134"/>
      </rPr>
      <t>清洁刷</t>
    </r>
  </si>
  <si>
    <r>
      <rPr>
        <sz val="10"/>
        <color indexed="8"/>
        <rFont val="微软雅黑"/>
        <family val="2"/>
        <charset val="134"/>
      </rPr>
      <t>嘀嗒嘀</t>
    </r>
  </si>
  <si>
    <r>
      <rPr>
        <sz val="10"/>
        <color theme="1"/>
        <rFont val="微软雅黑"/>
        <family val="2"/>
        <charset val="134"/>
      </rPr>
      <t>美西仓</t>
    </r>
  </si>
  <si>
    <r>
      <rPr>
        <sz val="10"/>
        <color theme="1"/>
        <rFont val="微软雅黑"/>
        <family val="2"/>
        <charset val="134"/>
      </rPr>
      <t>海外仓中转</t>
    </r>
  </si>
  <si>
    <r>
      <rPr>
        <sz val="10"/>
        <color theme="1"/>
        <rFont val="微软雅黑"/>
        <family val="2"/>
        <charset val="134"/>
      </rPr>
      <t>美东海外仓</t>
    </r>
  </si>
  <si>
    <t>1ZE267590318720674</t>
  </si>
  <si>
    <t>AP2US</t>
  </si>
  <si>
    <r>
      <rPr>
        <sz val="10"/>
        <color rgb="FFFF0000"/>
        <rFont val="微软雅黑"/>
        <family val="2"/>
        <charset val="134"/>
      </rPr>
      <t>国润通</t>
    </r>
  </si>
  <si>
    <r>
      <rPr>
        <sz val="10"/>
        <color rgb="FFFF0000"/>
        <rFont val="微软雅黑"/>
        <family val="2"/>
        <charset val="134"/>
      </rPr>
      <t>海运</t>
    </r>
  </si>
  <si>
    <r>
      <rPr>
        <sz val="10"/>
        <color rgb="FFFF0000"/>
        <rFont val="微软雅黑"/>
        <family val="2"/>
        <charset val="134"/>
      </rPr>
      <t>美东一仓</t>
    </r>
  </si>
  <si>
    <r>
      <rPr>
        <sz val="10"/>
        <color rgb="FFFF0000"/>
        <rFont val="微软雅黑"/>
        <family val="2"/>
        <charset val="134"/>
      </rPr>
      <t>合乘</t>
    </r>
  </si>
  <si>
    <t xml:space="preserve">AP2F-H14 </t>
  </si>
  <si>
    <t>D240713924</t>
  </si>
  <si>
    <t>K1-B</t>
  </si>
  <si>
    <r>
      <rPr>
        <sz val="10"/>
        <color theme="1"/>
        <rFont val="微软雅黑"/>
        <family val="2"/>
        <charset val="134"/>
      </rPr>
      <t>美东仓</t>
    </r>
  </si>
  <si>
    <t>K1-B+B</t>
  </si>
  <si>
    <t>K1-S</t>
  </si>
  <si>
    <t>K1-G</t>
  </si>
  <si>
    <t>K1-SILV</t>
  </si>
  <si>
    <t>H1-B</t>
  </si>
  <si>
    <t>H1-S</t>
  </si>
  <si>
    <t>H1-G</t>
  </si>
  <si>
    <t>H1-SILV</t>
  </si>
  <si>
    <t>H2-B</t>
  </si>
  <si>
    <t>H2-S</t>
  </si>
  <si>
    <t>H2-G</t>
  </si>
  <si>
    <t>HK1-S</t>
  </si>
  <si>
    <r>
      <rPr>
        <sz val="10"/>
        <color theme="1"/>
        <rFont val="微软雅黑"/>
        <family val="2"/>
        <charset val="134"/>
      </rPr>
      <t>智能球形把手锁镍色</t>
    </r>
  </si>
  <si>
    <t>AP2F-H13</t>
  </si>
  <si>
    <t>AP2F-H14</t>
  </si>
  <si>
    <t>AN3Bottle</t>
  </si>
  <si>
    <r>
      <rPr>
        <sz val="10"/>
        <color theme="1"/>
        <rFont val="微软雅黑"/>
        <family val="2"/>
        <charset val="134"/>
      </rPr>
      <t>便携式扩香仪玻璃瓶</t>
    </r>
  </si>
  <si>
    <t>D240713917</t>
  </si>
  <si>
    <t>1ZHF10320319453301</t>
  </si>
  <si>
    <t>A-Peppermint-100ml</t>
  </si>
  <si>
    <t>A-6X10ml</t>
  </si>
  <si>
    <t>1ZHF10320339381897</t>
  </si>
  <si>
    <t>1ZF2C5710315049084</t>
  </si>
  <si>
    <t xml:space="preserve"> #770352795581</t>
  </si>
  <si>
    <t>A-Sweetorange-100ml</t>
  </si>
  <si>
    <t xml:space="preserve"> #770966687425</t>
  </si>
  <si>
    <t>A-SweetOrange-100ml</t>
  </si>
  <si>
    <t xml:space="preserve">	UPS
1ZF2C5710323638388</t>
  </si>
  <si>
    <t>A-Peppermint-20ml</t>
  </si>
  <si>
    <r>
      <rPr>
        <sz val="10"/>
        <color theme="1"/>
        <rFont val="微软雅黑"/>
        <family val="2"/>
        <charset val="134"/>
      </rPr>
      <t>清洁方巾</t>
    </r>
  </si>
  <si>
    <r>
      <rPr>
        <sz val="10"/>
        <color theme="1"/>
        <rFont val="微软雅黑"/>
        <family val="2"/>
        <charset val="134"/>
      </rPr>
      <t>手套</t>
    </r>
  </si>
  <si>
    <t>AN6NZ-B</t>
  </si>
  <si>
    <t>RD25041804</t>
  </si>
  <si>
    <t xml:space="preserve"> 1Z80957A0329007867 </t>
  </si>
  <si>
    <r>
      <rPr>
        <sz val="10"/>
        <color theme="1"/>
        <rFont val="微软雅黑"/>
        <family val="2"/>
        <charset val="134"/>
      </rPr>
      <t>空运</t>
    </r>
  </si>
  <si>
    <t>KEY-ANW</t>
  </si>
  <si>
    <t>5AA-8PC</t>
  </si>
  <si>
    <t>1ZK6B4420302040938</t>
  </si>
  <si>
    <t>006000013</t>
  </si>
  <si>
    <t>D250705432</t>
  </si>
  <si>
    <r>
      <rPr>
        <sz val="10"/>
        <color theme="1"/>
        <rFont val="微软雅黑"/>
        <family val="2"/>
        <charset val="134"/>
      </rPr>
      <t>到仓</t>
    </r>
  </si>
  <si>
    <r>
      <rPr>
        <sz val="10"/>
        <color indexed="8"/>
        <rFont val="微软雅黑"/>
        <family val="2"/>
        <charset val="134"/>
      </rPr>
      <t>便携式扩香仪</t>
    </r>
  </si>
  <si>
    <t>D250705589</t>
  </si>
  <si>
    <r>
      <rPr>
        <sz val="10"/>
        <color rgb="FFFF0000"/>
        <rFont val="微软雅黑"/>
        <family val="2"/>
        <charset val="134"/>
      </rPr>
      <t>到仓</t>
    </r>
  </si>
  <si>
    <r>
      <rPr>
        <sz val="10"/>
        <color rgb="FFFF0000"/>
        <rFont val="微软雅黑"/>
        <family val="2"/>
        <charset val="134"/>
      </rPr>
      <t>嘀嗒嘀</t>
    </r>
  </si>
  <si>
    <r>
      <rPr>
        <sz val="10"/>
        <color rgb="FFFF0000"/>
        <rFont val="微软雅黑"/>
        <family val="2"/>
        <charset val="134"/>
      </rPr>
      <t>美东海外仓</t>
    </r>
  </si>
  <si>
    <r>
      <rPr>
        <sz val="10"/>
        <color rgb="FFFF0000"/>
        <rFont val="微软雅黑"/>
        <family val="2"/>
        <charset val="134"/>
      </rPr>
      <t>一件代发</t>
    </r>
  </si>
  <si>
    <t>TUBE-ANS</t>
  </si>
  <si>
    <r>
      <rPr>
        <sz val="10"/>
        <color rgb="FFFF0000"/>
        <rFont val="微软雅黑"/>
        <family val="2"/>
        <charset val="134"/>
      </rPr>
      <t>扩香仪吸管套装</t>
    </r>
  </si>
  <si>
    <t>D250713805</t>
  </si>
  <si>
    <t>/</t>
  </si>
  <si>
    <r>
      <rPr>
        <sz val="10"/>
        <color indexed="8"/>
        <rFont val="微软雅黑"/>
        <family val="2"/>
        <charset val="134"/>
      </rPr>
      <t>白板纸</t>
    </r>
  </si>
  <si>
    <r>
      <rPr>
        <sz val="10"/>
        <color indexed="8"/>
        <rFont val="微软雅黑"/>
        <family val="2"/>
        <charset val="134"/>
      </rPr>
      <t>彩盒</t>
    </r>
  </si>
  <si>
    <r>
      <rPr>
        <sz val="10"/>
        <color indexed="8"/>
        <rFont val="微软雅黑"/>
        <family val="2"/>
        <charset val="134"/>
      </rPr>
      <t>外箱</t>
    </r>
  </si>
  <si>
    <r>
      <rPr>
        <sz val="10"/>
        <color indexed="8"/>
        <rFont val="微软雅黑"/>
        <family val="2"/>
        <charset val="134"/>
      </rPr>
      <t>气泡袋</t>
    </r>
  </si>
  <si>
    <r>
      <rPr>
        <sz val="10"/>
        <color indexed="8"/>
        <rFont val="微软雅黑"/>
        <family val="2"/>
        <charset val="134"/>
      </rPr>
      <t>说明书</t>
    </r>
  </si>
  <si>
    <t>TS25081322595</t>
  </si>
  <si>
    <t>883614523072</t>
  </si>
  <si>
    <t>R0028000025</t>
  </si>
  <si>
    <r>
      <rPr>
        <sz val="10"/>
        <color indexed="8"/>
        <rFont val="微软雅黑"/>
        <family val="2"/>
        <charset val="134"/>
      </rPr>
      <t>天盛</t>
    </r>
  </si>
  <si>
    <t>TS25082894333</t>
  </si>
  <si>
    <t>883957013907</t>
  </si>
  <si>
    <t>R0028000027</t>
  </si>
  <si>
    <t>RD25082801</t>
  </si>
  <si>
    <t>1ZJ73E770315016291</t>
  </si>
  <si>
    <t>R0028000026</t>
  </si>
  <si>
    <t>HYD202503044</t>
  </si>
  <si>
    <t>1ZHV30140402630518</t>
  </si>
  <si>
    <t>R0028000028</t>
  </si>
  <si>
    <t>M1PJ-LS</t>
  </si>
  <si>
    <r>
      <rPr>
        <sz val="10"/>
        <rFont val="微软雅黑"/>
        <family val="2"/>
        <charset val="134"/>
      </rPr>
      <t>到仓</t>
    </r>
  </si>
  <si>
    <r>
      <rPr>
        <sz val="10"/>
        <rFont val="微软雅黑"/>
        <family val="2"/>
        <charset val="134"/>
      </rPr>
      <t>海运</t>
    </r>
  </si>
  <si>
    <r>
      <rPr>
        <sz val="10"/>
        <rFont val="微软雅黑"/>
        <family val="2"/>
        <charset val="134"/>
      </rPr>
      <t>美东海外仓</t>
    </r>
  </si>
  <si>
    <r>
      <rPr>
        <sz val="10"/>
        <rFont val="微软雅黑"/>
        <family val="2"/>
        <charset val="134"/>
      </rPr>
      <t>一件代发</t>
    </r>
  </si>
  <si>
    <r>
      <rPr>
        <sz val="10"/>
        <rFont val="微软雅黑"/>
        <family val="2"/>
        <charset val="134"/>
      </rPr>
      <t>合乘</t>
    </r>
  </si>
  <si>
    <t>X1PJ-LS</t>
  </si>
  <si>
    <t>X1-SCREW</t>
  </si>
  <si>
    <t>HYD202503487</t>
  </si>
  <si>
    <t>1ZJ4494W0422346873</t>
  </si>
  <si>
    <t>R0028000030</t>
  </si>
  <si>
    <t>Key-ANW-B</t>
  </si>
  <si>
    <t>Key-ANW-W</t>
  </si>
  <si>
    <t>TS25101636998</t>
  </si>
  <si>
    <t>885224418577</t>
  </si>
  <si>
    <t>R0028000029</t>
  </si>
  <si>
    <t>YZTT1_10ML</t>
  </si>
  <si>
    <t>HYD25112702</t>
  </si>
  <si>
    <t>1ZJ73E770335361166</t>
  </si>
  <si>
    <t>R6339000001</t>
  </si>
  <si>
    <t>G1PJ-DC-20PCS</t>
  </si>
  <si>
    <r>
      <rPr>
        <sz val="10"/>
        <rFont val="微软雅黑"/>
        <family val="2"/>
        <charset val="134"/>
      </rPr>
      <t>运德</t>
    </r>
  </si>
  <si>
    <t>G1PJ-DC-4PCS</t>
  </si>
  <si>
    <r>
      <rPr>
        <b/>
        <sz val="10"/>
        <color theme="4" tint="-0.249977111117893"/>
        <rFont val="微软雅黑"/>
        <family val="2"/>
        <charset val="134"/>
      </rPr>
      <t>报关</t>
    </r>
  </si>
  <si>
    <r>
      <rPr>
        <b/>
        <sz val="10"/>
        <color theme="4" tint="-0.249977111117893"/>
        <rFont val="微软雅黑"/>
        <family val="2"/>
        <charset val="134"/>
      </rPr>
      <t>子型号</t>
    </r>
  </si>
  <si>
    <r>
      <rPr>
        <b/>
        <sz val="10"/>
        <color theme="4" tint="-0.249977111117893"/>
        <rFont val="微软雅黑"/>
        <family val="2"/>
        <charset val="134"/>
      </rPr>
      <t>品名</t>
    </r>
  </si>
  <si>
    <r>
      <rPr>
        <b/>
        <sz val="10"/>
        <color theme="4" tint="-0.249977111117893"/>
        <rFont val="微软雅黑"/>
        <family val="2"/>
        <charset val="134"/>
      </rPr>
      <t>父型号</t>
    </r>
  </si>
  <si>
    <r>
      <rPr>
        <b/>
        <sz val="10"/>
        <color theme="4" tint="-0.249977111117893"/>
        <rFont val="微软雅黑"/>
        <family val="2"/>
        <charset val="134"/>
      </rPr>
      <t>数量</t>
    </r>
  </si>
  <si>
    <r>
      <rPr>
        <b/>
        <sz val="10"/>
        <color theme="4" tint="-0.249977111117893"/>
        <rFont val="微软雅黑"/>
        <family val="2"/>
        <charset val="134"/>
      </rPr>
      <t>发货方式（路线）</t>
    </r>
  </si>
  <si>
    <r>
      <rPr>
        <b/>
        <sz val="10"/>
        <color theme="4" tint="-0.249977111117893"/>
        <rFont val="微软雅黑"/>
        <family val="2"/>
        <charset val="134"/>
      </rPr>
      <t>税金</t>
    </r>
  </si>
  <si>
    <r>
      <rPr>
        <b/>
        <sz val="10"/>
        <color theme="4" tint="-0.249977111117893"/>
        <rFont val="微软雅黑"/>
        <family val="2"/>
        <charset val="134"/>
      </rPr>
      <t>出库时间</t>
    </r>
  </si>
  <si>
    <r>
      <rPr>
        <b/>
        <sz val="10"/>
        <color theme="4" tint="-0.249977111117893"/>
        <rFont val="微软雅黑"/>
        <family val="2"/>
        <charset val="134"/>
      </rPr>
      <t>送货地址</t>
    </r>
  </si>
  <si>
    <t>WK27001</t>
  </si>
  <si>
    <t>M1-B</t>
  </si>
  <si>
    <r>
      <rPr>
        <sz val="10"/>
        <rFont val="微软雅黑"/>
        <family val="2"/>
        <charset val="134"/>
      </rPr>
      <t>电子球形把手锁黑色</t>
    </r>
  </si>
  <si>
    <t>M1</t>
  </si>
  <si>
    <r>
      <rPr>
        <sz val="10"/>
        <color indexed="8"/>
        <rFont val="微软雅黑"/>
        <family val="2"/>
        <charset val="134"/>
      </rPr>
      <t>万邦</t>
    </r>
  </si>
  <si>
    <r>
      <rPr>
        <sz val="10"/>
        <color indexed="8"/>
        <rFont val="微软雅黑"/>
        <family val="2"/>
        <charset val="134"/>
      </rPr>
      <t>加拿大空派</t>
    </r>
  </si>
  <si>
    <t>1ZF2D0422005508396</t>
  </si>
  <si>
    <r>
      <rPr>
        <sz val="10"/>
        <color theme="1"/>
        <rFont val="微软雅黑"/>
        <family val="2"/>
        <charset val="134"/>
      </rPr>
      <t>印度</t>
    </r>
  </si>
  <si>
    <r>
      <rPr>
        <sz val="10"/>
        <color indexed="8"/>
        <rFont val="微软雅黑"/>
        <family val="2"/>
        <charset val="134"/>
      </rPr>
      <t>狮威</t>
    </r>
  </si>
  <si>
    <r>
      <rPr>
        <sz val="10"/>
        <color theme="1"/>
        <rFont val="微软雅黑"/>
        <family val="2"/>
        <charset val="134"/>
      </rPr>
      <t>印度空派</t>
    </r>
  </si>
  <si>
    <t>1Z8V597V0407030191</t>
  </si>
  <si>
    <t>MK1</t>
  </si>
  <si>
    <t>*SKU</t>
  </si>
  <si>
    <r>
      <rPr>
        <b/>
        <sz val="10"/>
        <color theme="1"/>
        <rFont val="微软雅黑"/>
        <family val="2"/>
        <charset val="134"/>
      </rPr>
      <t>父型号</t>
    </r>
  </si>
  <si>
    <r>
      <rPr>
        <b/>
        <sz val="10"/>
        <color theme="1"/>
        <rFont val="微软雅黑"/>
        <family val="2"/>
        <charset val="134"/>
      </rPr>
      <t>子型号</t>
    </r>
  </si>
  <si>
    <r>
      <rPr>
        <b/>
        <sz val="10"/>
        <color theme="1"/>
        <rFont val="微软雅黑"/>
        <family val="2"/>
        <charset val="134"/>
      </rPr>
      <t>一级分类</t>
    </r>
  </si>
  <si>
    <r>
      <rPr>
        <b/>
        <sz val="10"/>
        <color theme="1"/>
        <rFont val="微软雅黑"/>
        <family val="2"/>
        <charset val="134"/>
      </rPr>
      <t>二级分类</t>
    </r>
  </si>
  <si>
    <r>
      <rPr>
        <b/>
        <sz val="10"/>
        <color theme="1"/>
        <rFont val="微软雅黑"/>
        <family val="2"/>
        <charset val="134"/>
      </rPr>
      <t>三级分类</t>
    </r>
  </si>
  <si>
    <r>
      <rPr>
        <b/>
        <sz val="10"/>
        <color theme="1"/>
        <rFont val="微软雅黑"/>
        <family val="2"/>
        <charset val="134"/>
      </rPr>
      <t>智能类别</t>
    </r>
  </si>
  <si>
    <r>
      <rPr>
        <b/>
        <sz val="10"/>
        <color theme="1"/>
        <rFont val="微软雅黑"/>
        <family val="2"/>
        <charset val="134"/>
      </rPr>
      <t>品牌</t>
    </r>
  </si>
  <si>
    <t>Product Group</t>
  </si>
  <si>
    <t>Return rate threshold</t>
  </si>
  <si>
    <r>
      <rPr>
        <b/>
        <sz val="10"/>
        <color theme="1"/>
        <rFont val="微软雅黑"/>
        <family val="2"/>
        <charset val="134"/>
      </rPr>
      <t>供应商</t>
    </r>
  </si>
  <si>
    <r>
      <rPr>
        <b/>
        <sz val="10"/>
        <color theme="1"/>
        <rFont val="微软雅黑"/>
        <family val="2"/>
        <charset val="134"/>
      </rPr>
      <t>供应商简称</t>
    </r>
  </si>
  <si>
    <r>
      <rPr>
        <b/>
        <sz val="10"/>
        <color theme="1"/>
        <rFont val="微软雅黑"/>
        <family val="2"/>
        <charset val="134"/>
      </rPr>
      <t>装箱数量</t>
    </r>
  </si>
  <si>
    <r>
      <rPr>
        <b/>
        <sz val="10"/>
        <color theme="1"/>
        <rFont val="微软雅黑"/>
        <family val="2"/>
        <charset val="134"/>
      </rPr>
      <t>机器包装数量</t>
    </r>
  </si>
  <si>
    <r>
      <rPr>
        <b/>
        <sz val="10"/>
        <color theme="1"/>
        <rFont val="微软雅黑"/>
        <family val="2"/>
        <charset val="134"/>
      </rPr>
      <t>金蝶料号</t>
    </r>
  </si>
  <si>
    <t>X3-SG</t>
  </si>
  <si>
    <t>002000039</t>
  </si>
  <si>
    <t>002000036</t>
  </si>
  <si>
    <t>002000035</t>
  </si>
  <si>
    <t>002000017</t>
  </si>
  <si>
    <t>HK1</t>
  </si>
  <si>
    <t>Holomarq</t>
  </si>
  <si>
    <t>002000016</t>
  </si>
  <si>
    <t>Airversa</t>
  </si>
  <si>
    <t>Home</t>
  </si>
  <si>
    <t>ANW-Bbot</t>
  </si>
  <si>
    <t>ANW-Wbot</t>
  </si>
  <si>
    <t>ANW</t>
  </si>
  <si>
    <t>AP2F</t>
  </si>
  <si>
    <t>AP2</t>
  </si>
  <si>
    <t>AP2US-H14</t>
  </si>
  <si>
    <t>003000013</t>
  </si>
  <si>
    <t>003000011</t>
  </si>
  <si>
    <t>003000003</t>
  </si>
  <si>
    <t>AH1B-WH_US</t>
  </si>
  <si>
    <t>AH1B</t>
  </si>
  <si>
    <t>AH1B-WH_EU</t>
  </si>
  <si>
    <t>AH1</t>
  </si>
  <si>
    <t>004000007</t>
  </si>
  <si>
    <t>004000003</t>
  </si>
  <si>
    <t>200000006</t>
  </si>
  <si>
    <t>200000004</t>
  </si>
  <si>
    <t>011000002</t>
  </si>
  <si>
    <t>011000001</t>
  </si>
  <si>
    <t>YZTT_100ML</t>
  </si>
  <si>
    <t>YH_100ML</t>
  </si>
  <si>
    <t>WST-30ML</t>
  </si>
  <si>
    <t>WST-20ML</t>
  </si>
  <si>
    <t>W-30ML</t>
  </si>
  <si>
    <t>W-20ML</t>
  </si>
  <si>
    <t>TZ4X10K02</t>
  </si>
  <si>
    <t>TXY_30ML</t>
  </si>
  <si>
    <t>TXY_100ML</t>
  </si>
  <si>
    <t>TX33_30ML</t>
  </si>
  <si>
    <t>TIANZHU4KIT</t>
  </si>
  <si>
    <t>SJ-30ML_TZ</t>
  </si>
  <si>
    <t>SJ-30ML</t>
  </si>
  <si>
    <t>SJ-100ML_TZ</t>
  </si>
  <si>
    <t>RZ-30ml</t>
  </si>
  <si>
    <t>HOTEL4KIT-10ML</t>
  </si>
  <si>
    <t>HILTON-30ML_TZ</t>
  </si>
  <si>
    <t>HILTON-100ML_TZ</t>
  </si>
  <si>
    <t>BLG-30ML</t>
  </si>
  <si>
    <t>BLG-20ML</t>
  </si>
  <si>
    <t>BCRT-30ML</t>
  </si>
  <si>
    <t>BCRT-20ML</t>
  </si>
  <si>
    <t>24K_100ML</t>
  </si>
  <si>
    <t>HOTEL4KIT-4X10K04_TZ</t>
  </si>
  <si>
    <t>WST1-100ML_TZ</t>
  </si>
  <si>
    <t>W1-100ML_TZ</t>
  </si>
  <si>
    <t>BCRT1-100ML_TZ</t>
  </si>
  <si>
    <t>ES1</t>
  </si>
  <si>
    <t>ANZKIT-B_B</t>
  </si>
  <si>
    <t>AN8</t>
  </si>
  <si>
    <t>ADX</t>
  </si>
  <si>
    <t>ANX</t>
  </si>
  <si>
    <t>AN6</t>
  </si>
  <si>
    <t>ANA-WH_UK</t>
  </si>
  <si>
    <t>ANA-WH_EU</t>
  </si>
  <si>
    <t>001000055</t>
  </si>
  <si>
    <t>AN7</t>
  </si>
  <si>
    <t>001000054</t>
  </si>
  <si>
    <t>AN2(9)</t>
  </si>
  <si>
    <t>001000043</t>
  </si>
  <si>
    <t>AN3(5)</t>
  </si>
  <si>
    <t>001000037</t>
  </si>
  <si>
    <t>AN6-W</t>
  </si>
  <si>
    <t>AN6-B</t>
  </si>
  <si>
    <t>001000016</t>
  </si>
  <si>
    <t>001000010</t>
  </si>
  <si>
    <t>ANXKIT-T_2X20K02</t>
  </si>
  <si>
    <t>ANZKIT-B_4X10K04_TZ</t>
  </si>
  <si>
    <t>AN6KIT-WH_SJ30ML_TZ</t>
  </si>
  <si>
    <t>ADXKIT-DT_4X10K04_TZ</t>
  </si>
  <si>
    <t>ADXKIT-B_4X10K04_TZ</t>
  </si>
  <si>
    <t>AC1-WH_US</t>
  </si>
  <si>
    <t>AC1-WH_EU</t>
  </si>
  <si>
    <t>AC1KIT-WH_WH_EU</t>
  </si>
  <si>
    <t>AC1KIT_WH_WH_US</t>
  </si>
  <si>
    <t>AC1-B_US</t>
  </si>
  <si>
    <t>AC1-B_EU</t>
  </si>
  <si>
    <t>002000034</t>
  </si>
  <si>
    <t>001000023</t>
  </si>
  <si>
    <t>ANW-PJ</t>
  </si>
  <si>
    <t>G1PJ-LS</t>
  </si>
  <si>
    <t>X1PJ-SXG</t>
  </si>
  <si>
    <t>ANW-PJ_B</t>
  </si>
  <si>
    <t>PMTOIL-20ML</t>
  </si>
  <si>
    <t>MAOJIN-ES1</t>
  </si>
  <si>
    <t>SHOUTAO-ES1</t>
  </si>
  <si>
    <t>SPINDLE-M1</t>
  </si>
  <si>
    <t>T1</t>
  </si>
  <si>
    <t>M1-SCREW</t>
  </si>
  <si>
    <t>X1-Cover</t>
  </si>
  <si>
    <t>005000007</t>
  </si>
  <si>
    <t>005000004</t>
  </si>
  <si>
    <t>005000001</t>
  </si>
  <si>
    <t>GK1-SILV</t>
  </si>
  <si>
    <t>GK1-DT</t>
  </si>
  <si>
    <t>GK1-B</t>
  </si>
  <si>
    <t>002000040</t>
  </si>
  <si>
    <t>MD1</t>
  </si>
  <si>
    <t>002000024</t>
  </si>
  <si>
    <t>K1</t>
  </si>
  <si>
    <t>Zincker</t>
  </si>
  <si>
    <t>H2</t>
  </si>
  <si>
    <t>H1</t>
  </si>
  <si>
    <t>002000006</t>
  </si>
  <si>
    <t>002000002</t>
  </si>
  <si>
    <t>006000023</t>
  </si>
  <si>
    <r>
      <rPr>
        <b/>
        <sz val="10"/>
        <color theme="1"/>
        <rFont val="微软雅黑"/>
        <family val="2"/>
        <charset val="134"/>
      </rPr>
      <t>货件单号</t>
    </r>
  </si>
  <si>
    <r>
      <rPr>
        <b/>
        <sz val="10"/>
        <color theme="1"/>
        <rFont val="微软雅黑"/>
        <family val="2"/>
        <charset val="134"/>
      </rPr>
      <t>店铺</t>
    </r>
  </si>
  <si>
    <r>
      <rPr>
        <b/>
        <sz val="10"/>
        <color theme="1"/>
        <rFont val="微软雅黑"/>
        <family val="2"/>
        <charset val="134"/>
      </rPr>
      <t>数量</t>
    </r>
  </si>
  <si>
    <r>
      <rPr>
        <b/>
        <sz val="10"/>
        <color theme="1"/>
        <rFont val="微软雅黑"/>
        <family val="2"/>
        <charset val="134"/>
      </rPr>
      <t>入库费</t>
    </r>
  </si>
  <si>
    <t>VLC</t>
  </si>
  <si>
    <t>DGB</t>
  </si>
  <si>
    <t>SX</t>
  </si>
  <si>
    <t>EXP</t>
  </si>
  <si>
    <t>RDX-B_US</t>
  </si>
  <si>
    <t>RDX-T_US</t>
  </si>
  <si>
    <t>BCRT-100ML_TZ</t>
  </si>
  <si>
    <t>BGR-100ML_TZ</t>
  </si>
  <si>
    <t>AN6PJ-QJ</t>
  </si>
  <si>
    <t>SJ1-100ML_TZ</t>
  </si>
  <si>
    <t>RDXKIT-B_US_2X100K04</t>
  </si>
  <si>
    <t>RDXKIT-T_US_2X100K04</t>
  </si>
  <si>
    <t>FBA195L9WC0P</t>
  </si>
  <si>
    <t>FBA195LB0WFL</t>
  </si>
  <si>
    <t>FBA195LCJDMZ</t>
  </si>
  <si>
    <t>FBA195LBB4TM</t>
  </si>
  <si>
    <t>FBA195LB2C32</t>
  </si>
  <si>
    <t>FBA195LDDMB5</t>
  </si>
  <si>
    <t>FBA195L9WKNH</t>
  </si>
  <si>
    <t>FBA195TXJ79C</t>
  </si>
  <si>
    <t>W020005</t>
  </si>
  <si>
    <t>W020004</t>
  </si>
  <si>
    <t>W020003</t>
  </si>
  <si>
    <t>W020001</t>
  </si>
  <si>
    <t>W020002</t>
  </si>
  <si>
    <t>FBA15L9C2DCR</t>
  </si>
  <si>
    <t>DTM1</t>
  </si>
  <si>
    <t>FBA195TXJ79C</t>
    <phoneticPr fontId="25" type="noConversion"/>
  </si>
  <si>
    <t>FBA15L9C2DCR</t>
    <phoneticPr fontId="25" type="noConversion"/>
  </si>
  <si>
    <t>UPS #1ZK6E8620337817764</t>
  </si>
  <si>
    <t>001000002</t>
  </si>
  <si>
    <t>003000001</t>
  </si>
  <si>
    <t>003000006</t>
  </si>
  <si>
    <t>001000001</t>
  </si>
  <si>
    <t>AN6KIT-B_4X10K04_TZ</t>
  </si>
  <si>
    <t>AN6KIT-WH_4X10K04_TZ</t>
  </si>
  <si>
    <t>RD1PJ-BOT</t>
  </si>
  <si>
    <t>ANPPJ-BOT</t>
  </si>
  <si>
    <t>BLG-20ML_TZ</t>
  </si>
  <si>
    <t>UPS #1ZB57B606831614652</t>
  </si>
  <si>
    <r>
      <rPr>
        <b/>
        <sz val="10"/>
        <color rgb="FFFF0000"/>
        <rFont val="微软雅黑"/>
        <family val="2"/>
        <charset val="134"/>
      </rPr>
      <t>报关费</t>
    </r>
    <phoneticPr fontId="25" type="noConversion"/>
  </si>
  <si>
    <r>
      <rPr>
        <b/>
        <sz val="10"/>
        <color rgb="FFFF0000"/>
        <rFont val="微软雅黑"/>
        <family val="2"/>
        <charset val="134"/>
      </rPr>
      <t>上架完成</t>
    </r>
  </si>
  <si>
    <r>
      <rPr>
        <b/>
        <sz val="10"/>
        <color rgb="FFFF0000"/>
        <rFont val="微软雅黑"/>
        <family val="2"/>
        <charset val="134"/>
      </rPr>
      <t>上架数量</t>
    </r>
  </si>
  <si>
    <t>RD1</t>
  </si>
  <si>
    <t>FBA1962WJ10Y</t>
  </si>
  <si>
    <t>FBA195WQT42J</t>
  </si>
  <si>
    <t>FBA15L9NCNFT</t>
  </si>
  <si>
    <t>FBA195X71HBT</t>
  </si>
  <si>
    <t>FBA19630ZHP6</t>
  </si>
  <si>
    <t>FBA15L9C90G5</t>
  </si>
  <si>
    <t>FBA196675KXQ</t>
  </si>
  <si>
    <t>FBA195TQGKS4</t>
  </si>
  <si>
    <t>FBA195WSLNLM</t>
  </si>
  <si>
    <t>HOTEL6KIT1-6X10K01</t>
  </si>
  <si>
    <t>FBA195X3NXZ7</t>
  </si>
  <si>
    <t>FBA195X3FRY0</t>
  </si>
  <si>
    <t>ANPKIT-B_US_3X20K01_TZ</t>
  </si>
  <si>
    <t>ANP</t>
  </si>
  <si>
    <t>ANPKIT-WH_US_3X20K01_TZ</t>
  </si>
  <si>
    <t>BGR-20ML_TZ</t>
  </si>
  <si>
    <t>Oil-KIT</t>
  </si>
  <si>
    <t>BCRT-20ML_TZ</t>
  </si>
  <si>
    <r>
      <t>*</t>
    </r>
    <r>
      <rPr>
        <b/>
        <sz val="10"/>
        <color theme="1"/>
        <rFont val="微软雅黑"/>
        <family val="2"/>
        <charset val="134"/>
      </rPr>
      <t>品名</t>
    </r>
  </si>
  <si>
    <t>2025-WK28</t>
  </si>
  <si>
    <t>2025-W33</t>
  </si>
  <si>
    <t>2025-W35</t>
  </si>
  <si>
    <t>2025-W38</t>
  </si>
  <si>
    <t>2025-W42</t>
  </si>
  <si>
    <t>2025-W48</t>
  </si>
  <si>
    <t>2026-W3</t>
    <phoneticPr fontId="25" type="noConversion"/>
  </si>
  <si>
    <t>UPS#1ZB87Y280400815903</t>
  </si>
  <si>
    <t>R6339000002</t>
  </si>
  <si>
    <t>/</t>
    <phoneticPr fontId="25" type="noConversion"/>
  </si>
  <si>
    <t>FBA1967GPG1X</t>
  </si>
  <si>
    <t>FBA1967FNB50</t>
  </si>
  <si>
    <t>FBA196FDHR3M</t>
  </si>
  <si>
    <t>FBA196FG6V2S</t>
  </si>
  <si>
    <t>FBA196866S65</t>
  </si>
  <si>
    <t>FBA1969SRVSY</t>
  </si>
  <si>
    <t>FBA196837WL2</t>
  </si>
  <si>
    <t>FBA19683VMP8</t>
  </si>
  <si>
    <t>FBA19682VZWD</t>
  </si>
  <si>
    <t>FBA1968392KJ</t>
  </si>
  <si>
    <t>FBA19686T54K</t>
  </si>
  <si>
    <t>FBA1967F889Z</t>
  </si>
  <si>
    <t>FBA1967XZYX3</t>
  </si>
  <si>
    <t>ANW-B</t>
  </si>
  <si>
    <t>ANW-W</t>
  </si>
  <si>
    <t>ANW-AC</t>
  </si>
  <si>
    <t>AH1US-BL</t>
  </si>
  <si>
    <t>AH1US-C</t>
  </si>
  <si>
    <t>AH1US-G</t>
  </si>
  <si>
    <t>AN3(5)-B</t>
  </si>
  <si>
    <t>AN3(5)-DT</t>
  </si>
  <si>
    <t>AN3(5)-IB</t>
  </si>
  <si>
    <t>AN3(5)-SG</t>
  </si>
  <si>
    <t>AN6B-NZB</t>
  </si>
  <si>
    <t>AN2(9)-B</t>
  </si>
  <si>
    <t>AN2(9)-DT</t>
  </si>
  <si>
    <t>AN2(9)-G</t>
  </si>
  <si>
    <t>AN2(9)-IB</t>
  </si>
  <si>
    <t>AN2(9)-LV</t>
  </si>
  <si>
    <t>AN2(9)-MT</t>
  </si>
  <si>
    <t>AN2(9)-SG</t>
  </si>
  <si>
    <t>AN3(5)-SILV</t>
  </si>
  <si>
    <t>ANX-2PC-BB</t>
  </si>
  <si>
    <t>ANX-B</t>
  </si>
  <si>
    <t>ANX-DT</t>
  </si>
  <si>
    <t>AN6-2PC-BB</t>
  </si>
  <si>
    <t>AN6-2PC-BW</t>
  </si>
  <si>
    <t>M1-T</t>
  </si>
  <si>
    <t>MD1-B</t>
  </si>
  <si>
    <t>M1-SILV</t>
  </si>
  <si>
    <t>A-Oil-6x10</t>
  </si>
  <si>
    <t>Oil-HQ</t>
  </si>
  <si>
    <t>A-SWTO-100</t>
  </si>
  <si>
    <t>A-LV-100</t>
  </si>
  <si>
    <t>A-PMT-100</t>
  </si>
  <si>
    <t>A-RZ3-100</t>
  </si>
  <si>
    <t>AP2US-H13</t>
  </si>
  <si>
    <t>AN6-GL</t>
  </si>
  <si>
    <t>AN6-LB</t>
  </si>
  <si>
    <t>AN6-AC</t>
  </si>
  <si>
    <t>AN6NZ-W</t>
  </si>
  <si>
    <t>T1B-2PC</t>
  </si>
  <si>
    <t>T1W-4PC</t>
  </si>
  <si>
    <t>T1B-4PC</t>
  </si>
  <si>
    <t>T1W-2PC</t>
  </si>
  <si>
    <t>ES1-B</t>
  </si>
  <si>
    <t>ES1-Bkit</t>
  </si>
  <si>
    <t>ES1-W</t>
  </si>
  <si>
    <t>ES1-Wkit</t>
  </si>
  <si>
    <t>ES1-TJB</t>
  </si>
  <si>
    <t>ES1-AC</t>
  </si>
  <si>
    <t>ES1-TJW</t>
  </si>
  <si>
    <t>ES1-Bot</t>
  </si>
  <si>
    <t>ANX-SILV</t>
  </si>
  <si>
    <t>ANX-GD</t>
  </si>
  <si>
    <t>ANX-MT</t>
  </si>
  <si>
    <t>AN2/3Bot</t>
  </si>
  <si>
    <t>AN3(5)-AC</t>
  </si>
  <si>
    <t>A-HT-100</t>
  </si>
  <si>
    <t>AN3(5)-GD</t>
  </si>
  <si>
    <t>MK1-SILV</t>
  </si>
  <si>
    <t>MK1-T</t>
  </si>
  <si>
    <t>MD1-T</t>
  </si>
  <si>
    <t>K1-S+S</t>
  </si>
  <si>
    <t>ANX-IB</t>
  </si>
  <si>
    <t>ANX-SG</t>
  </si>
  <si>
    <t>A-SWD-100</t>
  </si>
  <si>
    <t>A-MT-100</t>
  </si>
  <si>
    <t>A-VAN-100</t>
  </si>
  <si>
    <t>MD1-SILV</t>
  </si>
  <si>
    <t>ANX-2PC-BGD</t>
  </si>
  <si>
    <t>ANX-2PC-BS</t>
  </si>
  <si>
    <t>MK1-B</t>
  </si>
  <si>
    <t>X1-B</t>
  </si>
  <si>
    <t>X1-SILV</t>
  </si>
  <si>
    <t>AND</t>
  </si>
  <si>
    <t>X1-SG</t>
  </si>
  <si>
    <t>AN7-BB</t>
  </si>
  <si>
    <t>A-Hotel-6x10</t>
  </si>
  <si>
    <t>A-JY-100</t>
  </si>
  <si>
    <t>A-MWAY-100</t>
  </si>
  <si>
    <t>A-SJ-100</t>
  </si>
  <si>
    <t>A-WHOTEL-100</t>
  </si>
  <si>
    <t>ANX-RP</t>
  </si>
  <si>
    <t>AN8KIT-B_4X10</t>
  </si>
  <si>
    <t>AN3(5)-BL</t>
  </si>
  <si>
    <t>ANWKIT-B_US_2X100</t>
  </si>
  <si>
    <t>ANWKIT-WH_US_2X100</t>
  </si>
  <si>
    <t>ANA</t>
  </si>
  <si>
    <t>AN7-B</t>
  </si>
  <si>
    <t>AN7-W</t>
  </si>
  <si>
    <t>AN8-AC</t>
  </si>
  <si>
    <t>ANZKIT-B_B_2X30</t>
  </si>
  <si>
    <t>ANZ</t>
  </si>
  <si>
    <t>Oil-TZ</t>
  </si>
  <si>
    <t>ANA-AC</t>
  </si>
  <si>
    <t>X3</t>
  </si>
  <si>
    <t>H2-SILV</t>
  </si>
  <si>
    <t>G1</t>
  </si>
  <si>
    <t>W05002</t>
  </si>
  <si>
    <t>FBA15LCDDPG8</t>
  </si>
  <si>
    <t>W05012</t>
  </si>
  <si>
    <t>FBA196P9L68R</t>
  </si>
  <si>
    <t>FBA196P93TMX</t>
  </si>
  <si>
    <t>FBA196PBJHGY</t>
  </si>
  <si>
    <t>ANXKIT-B_4X10K04_TZ</t>
  </si>
  <si>
    <t>ANXKIT-T_4X10K04_TZ</t>
  </si>
  <si>
    <t>FBA196PD1BWG</t>
  </si>
  <si>
    <t>W05004</t>
  </si>
  <si>
    <t>FBA15G5ZVZZ2</t>
  </si>
  <si>
    <t>W05013</t>
  </si>
  <si>
    <t>FBA196VGYP1S</t>
  </si>
  <si>
    <t>FBA196PDTG5X</t>
  </si>
  <si>
    <t>FBA196P88RYV</t>
  </si>
  <si>
    <t>W05003</t>
  </si>
  <si>
    <t>FBA1969S9B3Z</t>
  </si>
  <si>
    <t>FBA196P9YDLV</t>
  </si>
  <si>
    <t>FBA196PCKJBN</t>
  </si>
  <si>
    <t>W05005</t>
  </si>
  <si>
    <t>FBA196PBH7G8</t>
  </si>
  <si>
    <t>W05006</t>
  </si>
  <si>
    <t>FBA196XYH2CB</t>
  </si>
  <si>
    <t>FBA196XLRQQD</t>
  </si>
  <si>
    <t>W05011</t>
  </si>
  <si>
    <t>FBA196P9WPZ7</t>
  </si>
  <si>
    <t>FBA196PCP9HX</t>
  </si>
  <si>
    <t>W05007</t>
  </si>
  <si>
    <t>FBA196NCXD8J</t>
  </si>
  <si>
    <t>OAK3</t>
  </si>
  <si>
    <t>W05008</t>
  </si>
  <si>
    <t>FBA196NCJYG5</t>
  </si>
  <si>
    <t>W05009</t>
  </si>
  <si>
    <t>FBA196N9B79B</t>
  </si>
  <si>
    <t>HSV1</t>
  </si>
  <si>
    <t>FBA196NCQYR0</t>
  </si>
  <si>
    <t>MDT1</t>
  </si>
  <si>
    <t>W05010</t>
  </si>
  <si>
    <t>FBA196NB4NXF</t>
  </si>
  <si>
    <t>FOE1</t>
  </si>
  <si>
    <t>RDXKIT-SILV_US_2X100K04</t>
  </si>
  <si>
    <t>W06002</t>
  </si>
  <si>
    <t>FBA196ZPNG0Z</t>
  </si>
  <si>
    <t>FBA196ZQYZK7</t>
  </si>
  <si>
    <t>W06003</t>
  </si>
  <si>
    <t>FBA15LD5H4FM</t>
  </si>
  <si>
    <t>DTM9</t>
  </si>
  <si>
    <t>W06001</t>
  </si>
  <si>
    <t>FBA15LD5WXF3</t>
  </si>
  <si>
    <t>E-AE</t>
  </si>
  <si>
    <t>FBA196ZPM7XN</t>
  </si>
  <si>
    <t>FBA196ZJWR8P</t>
  </si>
  <si>
    <t>W06011</t>
  </si>
  <si>
    <t>FBA197DXB0VL</t>
  </si>
  <si>
    <t>W06010</t>
  </si>
  <si>
    <t>FBA1976WKL4D</t>
  </si>
  <si>
    <t>W06004</t>
  </si>
  <si>
    <t>FBA1976LX63R</t>
  </si>
  <si>
    <t>MGE3</t>
  </si>
  <si>
    <t>W06005</t>
  </si>
  <si>
    <t>FBA1976MP8CY</t>
  </si>
  <si>
    <t>W06006</t>
  </si>
  <si>
    <t>FBA1976N1PRR</t>
  </si>
  <si>
    <t>FAT2</t>
  </si>
  <si>
    <t>W06007</t>
  </si>
  <si>
    <t>FBA1976NHDF8</t>
  </si>
  <si>
    <t>AKR1</t>
  </si>
  <si>
    <t>W06008</t>
  </si>
  <si>
    <t>FBA1976MCGX6</t>
  </si>
  <si>
    <t>LFT1</t>
  </si>
  <si>
    <t>W06009</t>
  </si>
  <si>
    <t>FBA197D77P3S</t>
  </si>
  <si>
    <t>RDX</t>
  </si>
  <si>
    <t>RDX-SILV_US</t>
  </si>
  <si>
    <t>2026-W5</t>
    <phoneticPr fontId="25" type="noConversion"/>
  </si>
  <si>
    <t>R6339000005</t>
  </si>
  <si>
    <t>R6339000004</t>
  </si>
  <si>
    <t>R6339000003</t>
  </si>
  <si>
    <t>YZTT1_20ML</t>
  </si>
  <si>
    <r>
      <t>M1PJ-LS M1</t>
    </r>
    <r>
      <rPr>
        <sz val="10"/>
        <rFont val="微软雅黑"/>
        <family val="2"/>
        <charset val="134"/>
      </rPr>
      <t>系列螺丝配件</t>
    </r>
  </si>
  <si>
    <r>
      <t>X1PJ-LS X1 X3</t>
    </r>
    <r>
      <rPr>
        <sz val="10"/>
        <rFont val="微软雅黑"/>
        <family val="2"/>
        <charset val="134"/>
      </rPr>
      <t>通用螺丝配件包</t>
    </r>
  </si>
  <si>
    <r>
      <rPr>
        <sz val="10"/>
        <color theme="1"/>
        <rFont val="微软雅黑"/>
        <family val="2"/>
        <charset val="134"/>
      </rPr>
      <t>锁用</t>
    </r>
    <r>
      <rPr>
        <sz val="10"/>
        <color theme="1"/>
        <rFont val="Aptos"/>
        <family val="2"/>
      </rPr>
      <t>5</t>
    </r>
    <r>
      <rPr>
        <sz val="10"/>
        <color theme="1"/>
        <rFont val="微软雅黑"/>
        <family val="2"/>
        <charset val="134"/>
      </rPr>
      <t>号碱性电池</t>
    </r>
    <r>
      <rPr>
        <sz val="10"/>
        <color theme="1"/>
        <rFont val="Aptos"/>
        <family val="2"/>
      </rPr>
      <t xml:space="preserve"> 4PACK</t>
    </r>
  </si>
  <si>
    <r>
      <rPr>
        <sz val="10"/>
        <color theme="1"/>
        <rFont val="微软雅黑"/>
        <family val="2"/>
        <charset val="134"/>
      </rPr>
      <t>锁用</t>
    </r>
    <r>
      <rPr>
        <sz val="10"/>
        <color theme="1"/>
        <rFont val="Aptos"/>
        <family val="2"/>
      </rPr>
      <t>5</t>
    </r>
    <r>
      <rPr>
        <sz val="10"/>
        <color theme="1"/>
        <rFont val="微软雅黑"/>
        <family val="2"/>
        <charset val="134"/>
      </rPr>
      <t>号碱性电池</t>
    </r>
    <r>
      <rPr>
        <sz val="10"/>
        <color theme="1"/>
        <rFont val="Aptos"/>
        <family val="2"/>
      </rPr>
      <t xml:space="preserve"> 20PACK</t>
    </r>
  </si>
  <si>
    <r>
      <t>AH1</t>
    </r>
    <r>
      <rPr>
        <sz val="10"/>
        <color theme="1"/>
        <rFont val="微软雅黑"/>
        <family val="2"/>
        <charset val="134"/>
      </rPr>
      <t>用清洁刷套装</t>
    </r>
  </si>
  <si>
    <r>
      <rPr>
        <sz val="10"/>
        <color theme="1"/>
        <rFont val="微软雅黑"/>
        <family val="2"/>
        <charset val="134"/>
      </rPr>
      <t>薄荷精油</t>
    </r>
    <r>
      <rPr>
        <sz val="10"/>
        <color theme="1"/>
        <rFont val="Aptos"/>
        <family val="2"/>
      </rPr>
      <t xml:space="preserve"> 10ML</t>
    </r>
  </si>
  <si>
    <r>
      <rPr>
        <sz val="10"/>
        <color theme="1"/>
        <rFont val="微软雅黑"/>
        <family val="2"/>
        <charset val="134"/>
      </rPr>
      <t>甜橙精油</t>
    </r>
    <r>
      <rPr>
        <sz val="10"/>
        <color theme="1"/>
        <rFont val="Aptos"/>
        <family val="2"/>
      </rPr>
      <t xml:space="preserve"> 10ML</t>
    </r>
  </si>
  <si>
    <r>
      <rPr>
        <sz val="10"/>
        <color theme="1"/>
        <rFont val="微软雅黑"/>
        <family val="2"/>
        <charset val="134"/>
      </rPr>
      <t>套装精油</t>
    </r>
    <r>
      <rPr>
        <sz val="10"/>
        <color theme="1"/>
        <rFont val="Aptos"/>
        <family val="2"/>
      </rPr>
      <t>10ml*6</t>
    </r>
  </si>
  <si>
    <r>
      <rPr>
        <sz val="10"/>
        <color theme="1"/>
        <rFont val="微软雅黑"/>
        <family val="2"/>
        <charset val="134"/>
      </rPr>
      <t>单方薄荷精油</t>
    </r>
    <r>
      <rPr>
        <sz val="10"/>
        <color theme="1"/>
        <rFont val="Aptos"/>
        <family val="2"/>
      </rPr>
      <t>100ml</t>
    </r>
  </si>
  <si>
    <r>
      <rPr>
        <sz val="10"/>
        <color theme="1"/>
        <rFont val="微软雅黑"/>
        <family val="2"/>
        <charset val="134"/>
      </rPr>
      <t>甜橙精油</t>
    </r>
    <r>
      <rPr>
        <sz val="10"/>
        <color theme="1"/>
        <rFont val="Aptos"/>
        <family val="2"/>
      </rPr>
      <t xml:space="preserve"> 100ML</t>
    </r>
  </si>
  <si>
    <r>
      <rPr>
        <sz val="10"/>
        <color theme="1"/>
        <rFont val="微软雅黑"/>
        <family val="2"/>
        <charset val="134"/>
      </rPr>
      <t>滤网</t>
    </r>
    <r>
      <rPr>
        <sz val="10"/>
        <color theme="1"/>
        <rFont val="Aptos"/>
        <family val="2"/>
      </rPr>
      <t xml:space="preserve"> H13</t>
    </r>
  </si>
  <si>
    <r>
      <rPr>
        <sz val="10"/>
        <color theme="1"/>
        <rFont val="微软雅黑"/>
        <family val="2"/>
        <charset val="134"/>
      </rPr>
      <t>滤网</t>
    </r>
    <r>
      <rPr>
        <sz val="10"/>
        <color theme="1"/>
        <rFont val="Aptos"/>
        <family val="2"/>
      </rPr>
      <t xml:space="preserve"> H14</t>
    </r>
  </si>
  <si>
    <r>
      <t xml:space="preserve">AN2 </t>
    </r>
    <r>
      <rPr>
        <sz val="10"/>
        <color theme="1"/>
        <rFont val="微软雅黑"/>
        <family val="2"/>
        <charset val="134"/>
      </rPr>
      <t>扩香仪</t>
    </r>
  </si>
  <si>
    <r>
      <t>AN3</t>
    </r>
    <r>
      <rPr>
        <sz val="10"/>
        <color theme="1"/>
        <rFont val="微软雅黑"/>
        <family val="2"/>
        <charset val="134"/>
      </rPr>
      <t>扩香仪</t>
    </r>
  </si>
  <si>
    <r>
      <t xml:space="preserve">T1 </t>
    </r>
    <r>
      <rPr>
        <sz val="10"/>
        <color theme="1"/>
        <rFont val="微软雅黑"/>
        <family val="2"/>
        <charset val="134"/>
      </rPr>
      <t>追踪器</t>
    </r>
  </si>
  <si>
    <r>
      <rPr>
        <sz val="10"/>
        <color theme="1"/>
        <rFont val="微软雅黑"/>
        <family val="2"/>
        <charset val="134"/>
      </rPr>
      <t>加湿器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透明色</t>
    </r>
  </si>
  <si>
    <r>
      <rPr>
        <sz val="10"/>
        <color theme="1"/>
        <rFont val="微软雅黑"/>
        <family val="2"/>
        <charset val="134"/>
      </rPr>
      <t>加湿器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灰色</t>
    </r>
  </si>
  <si>
    <r>
      <t xml:space="preserve">AN3 </t>
    </r>
    <r>
      <rPr>
        <sz val="10"/>
        <color theme="1"/>
        <rFont val="微软雅黑"/>
        <family val="2"/>
        <charset val="134"/>
      </rPr>
      <t>扩香仪</t>
    </r>
  </si>
  <si>
    <r>
      <t xml:space="preserve">AN6-2PC-BW </t>
    </r>
    <r>
      <rPr>
        <sz val="10"/>
        <color theme="1"/>
        <rFont val="微软雅黑"/>
        <family val="2"/>
        <charset val="134"/>
      </rPr>
      <t>便携式扩香仪套装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黑</t>
    </r>
    <r>
      <rPr>
        <sz val="10"/>
        <color theme="1"/>
        <rFont val="Aptos"/>
        <family val="2"/>
      </rPr>
      <t>+</t>
    </r>
    <r>
      <rPr>
        <sz val="10"/>
        <color theme="1"/>
        <rFont val="微软雅黑"/>
        <family val="2"/>
        <charset val="134"/>
      </rPr>
      <t>白</t>
    </r>
  </si>
  <si>
    <r>
      <t xml:space="preserve">AN6-GL </t>
    </r>
    <r>
      <rPr>
        <sz val="10"/>
        <color theme="1"/>
        <rFont val="微软雅黑"/>
        <family val="2"/>
        <charset val="134"/>
      </rPr>
      <t>便携式扩香仪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翠百合色</t>
    </r>
  </si>
  <si>
    <r>
      <t xml:space="preserve">AN6-W </t>
    </r>
    <r>
      <rPr>
        <sz val="10"/>
        <color theme="1"/>
        <rFont val="微软雅黑"/>
        <family val="2"/>
        <charset val="134"/>
      </rPr>
      <t>便携式扩香仪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白色</t>
    </r>
  </si>
  <si>
    <r>
      <t xml:space="preserve">AN2(9)-B </t>
    </r>
    <r>
      <rPr>
        <sz val="10"/>
        <color theme="1"/>
        <rFont val="微软雅黑"/>
        <family val="2"/>
        <charset val="134"/>
      </rPr>
      <t>便携式扩香仪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黑色</t>
    </r>
  </si>
  <si>
    <r>
      <t xml:space="preserve">AN2(9)-DT </t>
    </r>
    <r>
      <rPr>
        <sz val="10"/>
        <color theme="1"/>
        <rFont val="微软雅黑"/>
        <family val="2"/>
        <charset val="134"/>
      </rPr>
      <t>便携式扩香仪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沙漠钛色</t>
    </r>
  </si>
  <si>
    <r>
      <t xml:space="preserve">AN2(9)-G </t>
    </r>
    <r>
      <rPr>
        <sz val="10"/>
        <color theme="1"/>
        <rFont val="微软雅黑"/>
        <family val="2"/>
        <charset val="134"/>
      </rPr>
      <t>便携式扩香仪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灰色</t>
    </r>
  </si>
  <si>
    <r>
      <t xml:space="preserve">AN2(9)-SG </t>
    </r>
    <r>
      <rPr>
        <sz val="10"/>
        <color theme="1"/>
        <rFont val="微软雅黑"/>
        <family val="2"/>
        <charset val="134"/>
      </rPr>
      <t>便携式扩香仪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太空灰色</t>
    </r>
  </si>
  <si>
    <r>
      <t xml:space="preserve">AP2F-H13 </t>
    </r>
    <r>
      <rPr>
        <sz val="10"/>
        <color theme="1"/>
        <rFont val="微软雅黑"/>
        <family val="2"/>
        <charset val="134"/>
      </rPr>
      <t>空气净化器滤网</t>
    </r>
    <r>
      <rPr>
        <sz val="10"/>
        <color theme="1"/>
        <rFont val="Aptos"/>
        <family val="2"/>
      </rPr>
      <t>2-H13</t>
    </r>
  </si>
  <si>
    <r>
      <t xml:space="preserve">AP2F-H14 </t>
    </r>
    <r>
      <rPr>
        <sz val="10"/>
        <color theme="1"/>
        <rFont val="微软雅黑"/>
        <family val="2"/>
        <charset val="134"/>
      </rPr>
      <t>空气净化器滤网</t>
    </r>
    <r>
      <rPr>
        <sz val="10"/>
        <color theme="1"/>
        <rFont val="Aptos"/>
        <family val="2"/>
      </rPr>
      <t>2-H14</t>
    </r>
  </si>
  <si>
    <r>
      <t>AN6NZ-B AN6</t>
    </r>
    <r>
      <rPr>
        <sz val="10"/>
        <color theme="1"/>
        <rFont val="微软雅黑"/>
        <family val="2"/>
        <charset val="134"/>
      </rPr>
      <t>喷嘴配件套装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黑色</t>
    </r>
  </si>
  <si>
    <r>
      <rPr>
        <sz val="10"/>
        <color rgb="FFFF0000"/>
        <rFont val="微软雅黑"/>
        <family val="2"/>
        <charset val="134"/>
      </rPr>
      <t>桌面式空气净化器</t>
    </r>
    <r>
      <rPr>
        <sz val="10"/>
        <color rgb="FFFF0000"/>
        <rFont val="Aptos"/>
        <family val="2"/>
      </rPr>
      <t>2-</t>
    </r>
    <r>
      <rPr>
        <sz val="10"/>
        <color rgb="FFFF0000"/>
        <rFont val="微软雅黑"/>
        <family val="2"/>
        <charset val="134"/>
      </rPr>
      <t>美规</t>
    </r>
  </si>
  <si>
    <r>
      <rPr>
        <sz val="10"/>
        <color rgb="FFFF0000"/>
        <rFont val="微软雅黑"/>
        <family val="2"/>
        <charset val="134"/>
      </rPr>
      <t>空气净化器滤网</t>
    </r>
    <r>
      <rPr>
        <sz val="10"/>
        <color rgb="FFFF0000"/>
        <rFont val="Aptos"/>
        <family val="2"/>
      </rPr>
      <t>2-H13</t>
    </r>
  </si>
  <si>
    <r>
      <rPr>
        <sz val="10"/>
        <color theme="1"/>
        <rFont val="微软雅黑"/>
        <family val="2"/>
        <charset val="134"/>
      </rPr>
      <t>电子球形把手锁</t>
    </r>
    <r>
      <rPr>
        <sz val="10"/>
        <color theme="1"/>
        <rFont val="Aptos"/>
        <family val="2"/>
      </rPr>
      <t>-</t>
    </r>
    <r>
      <rPr>
        <sz val="10"/>
        <color theme="1"/>
        <rFont val="微软雅黑"/>
        <family val="2"/>
        <charset val="134"/>
      </rPr>
      <t>黑色</t>
    </r>
  </si>
  <si>
    <r>
      <rPr>
        <sz val="10"/>
        <color theme="1"/>
        <rFont val="微软雅黑"/>
        <family val="2"/>
        <charset val="134"/>
      </rPr>
      <t>电子球形把手锁</t>
    </r>
    <r>
      <rPr>
        <sz val="10"/>
        <color theme="1"/>
        <rFont val="Aptos"/>
        <family val="2"/>
      </rPr>
      <t>-</t>
    </r>
    <r>
      <rPr>
        <sz val="10"/>
        <color theme="1"/>
        <rFont val="微软雅黑"/>
        <family val="2"/>
        <charset val="134"/>
      </rPr>
      <t>黑黑</t>
    </r>
  </si>
  <si>
    <r>
      <rPr>
        <sz val="10"/>
        <color theme="1"/>
        <rFont val="微软雅黑"/>
        <family val="2"/>
        <charset val="134"/>
      </rPr>
      <t>电子球形把手锁</t>
    </r>
    <r>
      <rPr>
        <sz val="10"/>
        <color theme="1"/>
        <rFont val="Aptos"/>
        <family val="2"/>
      </rPr>
      <t>-</t>
    </r>
    <r>
      <rPr>
        <sz val="10"/>
        <color theme="1"/>
        <rFont val="微软雅黑"/>
        <family val="2"/>
        <charset val="134"/>
      </rPr>
      <t>镍色</t>
    </r>
  </si>
  <si>
    <r>
      <rPr>
        <sz val="10"/>
        <color theme="1"/>
        <rFont val="微软雅黑"/>
        <family val="2"/>
        <charset val="134"/>
      </rPr>
      <t>电子球形把手锁</t>
    </r>
    <r>
      <rPr>
        <sz val="10"/>
        <color theme="1"/>
        <rFont val="Aptos"/>
        <family val="2"/>
      </rPr>
      <t>-</t>
    </r>
    <r>
      <rPr>
        <sz val="10"/>
        <color theme="1"/>
        <rFont val="微软雅黑"/>
        <family val="2"/>
        <charset val="134"/>
      </rPr>
      <t>太空灰</t>
    </r>
  </si>
  <si>
    <r>
      <rPr>
        <sz val="10"/>
        <color theme="1"/>
        <rFont val="微软雅黑"/>
        <family val="2"/>
        <charset val="134"/>
      </rPr>
      <t>电子球形把手锁</t>
    </r>
    <r>
      <rPr>
        <sz val="10"/>
        <color theme="1"/>
        <rFont val="Aptos"/>
        <family val="2"/>
      </rPr>
      <t>-</t>
    </r>
    <r>
      <rPr>
        <sz val="10"/>
        <color theme="1"/>
        <rFont val="微软雅黑"/>
        <family val="2"/>
        <charset val="134"/>
      </rPr>
      <t>银镍</t>
    </r>
  </si>
  <si>
    <r>
      <rPr>
        <sz val="10"/>
        <color theme="1"/>
        <rFont val="微软雅黑"/>
        <family val="2"/>
        <charset val="134"/>
      </rPr>
      <t>电子球形把手锁</t>
    </r>
    <r>
      <rPr>
        <sz val="10"/>
        <color theme="1"/>
        <rFont val="Aptos"/>
        <family val="2"/>
      </rPr>
      <t>-</t>
    </r>
    <r>
      <rPr>
        <sz val="10"/>
        <color theme="1"/>
        <rFont val="微软雅黑"/>
        <family val="2"/>
        <charset val="134"/>
      </rPr>
      <t>银色</t>
    </r>
  </si>
  <si>
    <r>
      <rPr>
        <sz val="10"/>
        <color theme="1"/>
        <rFont val="微软雅黑"/>
        <family val="2"/>
        <charset val="134"/>
      </rPr>
      <t>电子指纹球形把手锁</t>
    </r>
    <r>
      <rPr>
        <sz val="10"/>
        <color theme="1"/>
        <rFont val="Aptos"/>
        <family val="2"/>
      </rPr>
      <t>-</t>
    </r>
    <r>
      <rPr>
        <sz val="10"/>
        <color theme="1"/>
        <rFont val="微软雅黑"/>
        <family val="2"/>
        <charset val="134"/>
      </rPr>
      <t>黑色</t>
    </r>
  </si>
  <si>
    <r>
      <rPr>
        <sz val="10"/>
        <color theme="1"/>
        <rFont val="微软雅黑"/>
        <family val="2"/>
        <charset val="134"/>
      </rPr>
      <t>电子指纹球形把手锁</t>
    </r>
    <r>
      <rPr>
        <sz val="10"/>
        <color theme="1"/>
        <rFont val="Aptos"/>
        <family val="2"/>
      </rPr>
      <t>-</t>
    </r>
    <r>
      <rPr>
        <sz val="10"/>
        <color theme="1"/>
        <rFont val="微软雅黑"/>
        <family val="2"/>
        <charset val="134"/>
      </rPr>
      <t>镍色</t>
    </r>
  </si>
  <si>
    <r>
      <rPr>
        <sz val="10"/>
        <color theme="1"/>
        <rFont val="微软雅黑"/>
        <family val="2"/>
        <charset val="134"/>
      </rPr>
      <t>电子指纹球形把手锁</t>
    </r>
    <r>
      <rPr>
        <sz val="10"/>
        <color theme="1"/>
        <rFont val="Aptos"/>
        <family val="2"/>
      </rPr>
      <t>-</t>
    </r>
    <r>
      <rPr>
        <sz val="10"/>
        <color theme="1"/>
        <rFont val="微软雅黑"/>
        <family val="2"/>
        <charset val="134"/>
      </rPr>
      <t>灰色</t>
    </r>
  </si>
  <si>
    <r>
      <rPr>
        <sz val="10"/>
        <color theme="1"/>
        <rFont val="微软雅黑"/>
        <family val="2"/>
        <charset val="134"/>
      </rPr>
      <t>空气净化器滤网</t>
    </r>
    <r>
      <rPr>
        <sz val="10"/>
        <color theme="1"/>
        <rFont val="Aptos"/>
        <family val="2"/>
      </rPr>
      <t>2-H13</t>
    </r>
  </si>
  <si>
    <r>
      <rPr>
        <sz val="10"/>
        <color theme="1"/>
        <rFont val="微软雅黑"/>
        <family val="2"/>
        <charset val="134"/>
      </rPr>
      <t>空气净化器滤网</t>
    </r>
    <r>
      <rPr>
        <sz val="10"/>
        <color theme="1"/>
        <rFont val="Aptos"/>
        <family val="2"/>
      </rPr>
      <t>2-H14</t>
    </r>
  </si>
  <si>
    <r>
      <rPr>
        <sz val="10"/>
        <color theme="1"/>
        <rFont val="微软雅黑"/>
        <family val="2"/>
        <charset val="134"/>
      </rPr>
      <t>单方精油</t>
    </r>
    <r>
      <rPr>
        <sz val="10"/>
        <color theme="1"/>
        <rFont val="Aptos"/>
        <family val="2"/>
      </rPr>
      <t>6</t>
    </r>
    <r>
      <rPr>
        <sz val="10"/>
        <color theme="1"/>
        <rFont val="微软雅黑"/>
        <family val="2"/>
        <charset val="134"/>
      </rPr>
      <t>款</t>
    </r>
    <r>
      <rPr>
        <sz val="10"/>
        <color theme="1"/>
        <rFont val="Aptos"/>
        <family val="2"/>
      </rPr>
      <t>10ml</t>
    </r>
    <r>
      <rPr>
        <sz val="10"/>
        <color theme="1"/>
        <rFont val="微软雅黑"/>
        <family val="2"/>
        <charset val="134"/>
      </rPr>
      <t>套装</t>
    </r>
  </si>
  <si>
    <r>
      <rPr>
        <sz val="10"/>
        <color theme="1"/>
        <rFont val="微软雅黑"/>
        <family val="2"/>
        <charset val="134"/>
      </rPr>
      <t>单方薄荷精油</t>
    </r>
    <r>
      <rPr>
        <sz val="10"/>
        <color theme="1"/>
        <rFont val="Aptos"/>
        <family val="2"/>
      </rPr>
      <t>20ml</t>
    </r>
  </si>
  <si>
    <r>
      <t>5</t>
    </r>
    <r>
      <rPr>
        <sz val="10"/>
        <color theme="1"/>
        <rFont val="微软雅黑"/>
        <family val="2"/>
        <charset val="134"/>
      </rPr>
      <t>号碱性电池</t>
    </r>
    <r>
      <rPr>
        <sz val="10"/>
        <color theme="1"/>
        <rFont val="Aptos"/>
        <family val="2"/>
      </rPr>
      <t>20PACK</t>
    </r>
  </si>
  <si>
    <r>
      <rPr>
        <sz val="10"/>
        <color rgb="FFFF0000"/>
        <rFont val="微软雅黑"/>
        <family val="2"/>
        <charset val="134"/>
      </rPr>
      <t>货拉拉</t>
    </r>
    <r>
      <rPr>
        <sz val="10"/>
        <color rgb="FFFF0000"/>
        <rFont val="Aptos"/>
        <family val="2"/>
      </rPr>
      <t>24</t>
    </r>
  </si>
  <si>
    <r>
      <t xml:space="preserve">ANW </t>
    </r>
    <r>
      <rPr>
        <sz val="10"/>
        <color theme="1"/>
        <rFont val="微软雅黑"/>
        <family val="2"/>
        <charset val="134"/>
      </rPr>
      <t>钥匙</t>
    </r>
  </si>
  <si>
    <r>
      <t>5</t>
    </r>
    <r>
      <rPr>
        <sz val="10"/>
        <color theme="1"/>
        <rFont val="微软雅黑"/>
        <family val="2"/>
        <charset val="134"/>
      </rPr>
      <t>号碱性电池</t>
    </r>
    <r>
      <rPr>
        <sz val="10"/>
        <color theme="1"/>
        <rFont val="Aptos"/>
        <family val="2"/>
      </rPr>
      <t>4PACK</t>
    </r>
  </si>
  <si>
    <r>
      <t>5</t>
    </r>
    <r>
      <rPr>
        <sz val="10"/>
        <color theme="1"/>
        <rFont val="微软雅黑"/>
        <family val="2"/>
        <charset val="134"/>
      </rPr>
      <t>号碱性电池</t>
    </r>
    <r>
      <rPr>
        <sz val="10"/>
        <color theme="1"/>
        <rFont val="Aptos"/>
        <family val="2"/>
      </rPr>
      <t>8PACK</t>
    </r>
  </si>
  <si>
    <r>
      <rPr>
        <sz val="10"/>
        <color theme="1"/>
        <rFont val="微软雅黑"/>
        <family val="2"/>
        <charset val="134"/>
      </rPr>
      <t>单方薄荷精油</t>
    </r>
    <r>
      <rPr>
        <sz val="10"/>
        <color theme="1"/>
        <rFont val="Aptos"/>
        <family val="2"/>
      </rPr>
      <t>10ml</t>
    </r>
  </si>
  <si>
    <r>
      <rPr>
        <sz val="10"/>
        <color theme="1"/>
        <rFont val="微软雅黑"/>
        <family val="2"/>
        <charset val="134"/>
      </rPr>
      <t>退税</t>
    </r>
    <r>
      <rPr>
        <sz val="10"/>
        <color theme="1"/>
        <rFont val="Aptos"/>
        <family val="2"/>
      </rPr>
      <t>6</t>
    </r>
    <r>
      <rPr>
        <sz val="10"/>
        <color theme="1"/>
        <rFont val="微软雅黑"/>
        <family val="2"/>
        <charset val="134"/>
      </rPr>
      <t>元</t>
    </r>
    <r>
      <rPr>
        <sz val="10"/>
        <color theme="1"/>
        <rFont val="Aptos"/>
        <family val="2"/>
      </rPr>
      <t>/kg</t>
    </r>
  </si>
  <si>
    <r>
      <rPr>
        <sz val="10"/>
        <color indexed="8"/>
        <rFont val="微软雅黑"/>
        <family val="2"/>
        <charset val="134"/>
      </rPr>
      <t>空气净化器滤网</t>
    </r>
    <r>
      <rPr>
        <sz val="10"/>
        <color indexed="8"/>
        <rFont val="Aptos"/>
        <family val="2"/>
      </rPr>
      <t>2-H13</t>
    </r>
  </si>
  <si>
    <r>
      <rPr>
        <sz val="10"/>
        <color indexed="8"/>
        <rFont val="微软雅黑"/>
        <family val="2"/>
        <charset val="134"/>
      </rPr>
      <t>空气净化器滤网</t>
    </r>
    <r>
      <rPr>
        <sz val="10"/>
        <color indexed="8"/>
        <rFont val="Aptos"/>
        <family val="2"/>
      </rPr>
      <t>2-H14</t>
    </r>
  </si>
  <si>
    <r>
      <t>ANW</t>
    </r>
    <r>
      <rPr>
        <sz val="10"/>
        <color rgb="FFFF0000"/>
        <rFont val="微软雅黑"/>
        <family val="2"/>
        <charset val="134"/>
      </rPr>
      <t>带盖瓶子</t>
    </r>
  </si>
  <si>
    <r>
      <t>5</t>
    </r>
    <r>
      <rPr>
        <sz val="10"/>
        <color theme="1"/>
        <rFont val="微软雅黑"/>
        <family val="2"/>
        <charset val="134"/>
      </rPr>
      <t>号碱性电池</t>
    </r>
    <r>
      <rPr>
        <sz val="10"/>
        <color theme="1"/>
        <rFont val="Aptos"/>
        <family val="2"/>
      </rPr>
      <t xml:space="preserve"> 4PACK</t>
    </r>
  </si>
  <si>
    <r>
      <t>5</t>
    </r>
    <r>
      <rPr>
        <sz val="10"/>
        <color theme="1"/>
        <rFont val="微软雅黑"/>
        <family val="2"/>
        <charset val="134"/>
      </rPr>
      <t>号碱性电池</t>
    </r>
    <r>
      <rPr>
        <sz val="10"/>
        <color theme="1"/>
        <rFont val="Aptos"/>
        <family val="2"/>
      </rPr>
      <t xml:space="preserve"> 8PACK</t>
    </r>
  </si>
  <si>
    <r>
      <rPr>
        <sz val="10"/>
        <color indexed="8"/>
        <rFont val="微软雅黑"/>
        <family val="2"/>
        <charset val="134"/>
      </rPr>
      <t>海外仓</t>
    </r>
    <r>
      <rPr>
        <sz val="10"/>
        <rFont val="Aptos"/>
        <family val="2"/>
      </rPr>
      <t xml:space="preserve"> </t>
    </r>
    <r>
      <rPr>
        <sz val="10"/>
        <rFont val="微软雅黑"/>
        <family val="2"/>
        <charset val="134"/>
      </rPr>
      <t>螺丝包，</t>
    </r>
    <r>
      <rPr>
        <sz val="10"/>
        <rFont val="Aptos"/>
        <family val="2"/>
      </rPr>
      <t xml:space="preserve"> X1&amp;X3 </t>
    </r>
    <r>
      <rPr>
        <sz val="10"/>
        <rFont val="微软雅黑"/>
        <family val="2"/>
        <charset val="134"/>
      </rPr>
      <t>共用</t>
    </r>
  </si>
  <si>
    <r>
      <rPr>
        <sz val="10"/>
        <rFont val="微软雅黑"/>
        <family val="2"/>
        <charset val="134"/>
      </rPr>
      <t>海外仓</t>
    </r>
    <r>
      <rPr>
        <sz val="10"/>
        <rFont val="Aptos"/>
        <family val="2"/>
      </rPr>
      <t xml:space="preserve"> ANW&amp;ANA </t>
    </r>
    <r>
      <rPr>
        <sz val="10"/>
        <rFont val="微软雅黑"/>
        <family val="2"/>
        <charset val="134"/>
      </rPr>
      <t>共用钥匙，</t>
    </r>
    <r>
      <rPr>
        <sz val="10"/>
        <rFont val="Aptos"/>
        <family val="2"/>
      </rPr>
      <t>2</t>
    </r>
    <r>
      <rPr>
        <sz val="10"/>
        <rFont val="微软雅黑"/>
        <family val="2"/>
        <charset val="134"/>
      </rPr>
      <t>个装，黑色</t>
    </r>
  </si>
  <si>
    <r>
      <rPr>
        <sz val="10"/>
        <rFont val="微软雅黑"/>
        <family val="2"/>
        <charset val="134"/>
      </rPr>
      <t>海外仓</t>
    </r>
    <r>
      <rPr>
        <sz val="10"/>
        <rFont val="Aptos"/>
        <family val="2"/>
      </rPr>
      <t xml:space="preserve"> ANW&amp;ANA </t>
    </r>
    <r>
      <rPr>
        <sz val="10"/>
        <rFont val="微软雅黑"/>
        <family val="2"/>
        <charset val="134"/>
      </rPr>
      <t>共用钥匙，</t>
    </r>
    <r>
      <rPr>
        <sz val="10"/>
        <rFont val="Aptos"/>
        <family val="2"/>
      </rPr>
      <t>2</t>
    </r>
    <r>
      <rPr>
        <sz val="10"/>
        <rFont val="微软雅黑"/>
        <family val="2"/>
        <charset val="134"/>
      </rPr>
      <t>个装，白色</t>
    </r>
  </si>
  <si>
    <r>
      <t xml:space="preserve">YZTT1_10ML </t>
    </r>
    <r>
      <rPr>
        <sz val="10"/>
        <color theme="1"/>
        <rFont val="微软雅黑"/>
        <family val="2"/>
        <charset val="134"/>
      </rPr>
      <t>柚子天堂</t>
    </r>
    <r>
      <rPr>
        <sz val="10"/>
        <color theme="1"/>
        <rFont val="Aptos"/>
        <family val="2"/>
      </rPr>
      <t>10mL</t>
    </r>
    <r>
      <rPr>
        <sz val="10"/>
        <color theme="1"/>
        <rFont val="微软雅黑"/>
        <family val="2"/>
        <charset val="134"/>
      </rPr>
      <t>香氛油（天竺）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销售包装</t>
    </r>
  </si>
  <si>
    <r>
      <t xml:space="preserve">HILTON1-100ML_TZ </t>
    </r>
    <r>
      <rPr>
        <sz val="10"/>
        <color theme="1"/>
        <rFont val="微软雅黑"/>
        <family val="2"/>
        <charset val="134"/>
      </rPr>
      <t>希尔顿酒店</t>
    </r>
    <r>
      <rPr>
        <sz val="10"/>
        <color theme="1"/>
        <rFont val="Aptos"/>
        <family val="2"/>
      </rPr>
      <t>100mL</t>
    </r>
    <r>
      <rPr>
        <sz val="10"/>
        <color theme="1"/>
        <rFont val="微软雅黑"/>
        <family val="2"/>
        <charset val="134"/>
      </rPr>
      <t>香氛油（天竺）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销售包装</t>
    </r>
  </si>
  <si>
    <r>
      <rPr>
        <sz val="10"/>
        <color theme="1"/>
        <rFont val="微软雅黑"/>
        <family val="2"/>
        <charset val="134"/>
      </rPr>
      <t>海外仓</t>
    </r>
    <r>
      <rPr>
        <sz val="10"/>
        <color theme="1"/>
        <rFont val="Aptos"/>
        <family val="2"/>
      </rPr>
      <t xml:space="preserve"> 7</t>
    </r>
    <r>
      <rPr>
        <sz val="10"/>
        <color theme="1"/>
        <rFont val="微软雅黑"/>
        <family val="2"/>
        <charset val="134"/>
      </rPr>
      <t>号碱性电池</t>
    </r>
    <r>
      <rPr>
        <sz val="10"/>
        <color theme="1"/>
        <rFont val="Aptos"/>
        <family val="2"/>
      </rPr>
      <t xml:space="preserve"> 20PACK</t>
    </r>
  </si>
  <si>
    <r>
      <rPr>
        <sz val="10"/>
        <color theme="1"/>
        <rFont val="微软雅黑"/>
        <family val="2"/>
        <charset val="134"/>
      </rPr>
      <t>海外仓</t>
    </r>
    <r>
      <rPr>
        <sz val="10"/>
        <color theme="1"/>
        <rFont val="Aptos"/>
        <family val="2"/>
      </rPr>
      <t xml:space="preserve"> 7</t>
    </r>
    <r>
      <rPr>
        <sz val="10"/>
        <color theme="1"/>
        <rFont val="微软雅黑"/>
        <family val="2"/>
        <charset val="134"/>
      </rPr>
      <t>号碱性电池</t>
    </r>
    <r>
      <rPr>
        <sz val="10"/>
        <color theme="1"/>
        <rFont val="Aptos"/>
        <family val="2"/>
      </rPr>
      <t xml:space="preserve"> 4PACK</t>
    </r>
  </si>
  <si>
    <r>
      <rPr>
        <sz val="10"/>
        <rFont val="微软雅黑"/>
        <family val="2"/>
        <charset val="134"/>
      </rPr>
      <t>到仓</t>
    </r>
    <phoneticPr fontId="25" type="noConversion"/>
  </si>
  <si>
    <r>
      <t xml:space="preserve">AN6PJ-QJ </t>
    </r>
    <r>
      <rPr>
        <sz val="10"/>
        <color theme="1"/>
        <rFont val="微软雅黑"/>
        <family val="2"/>
        <charset val="134"/>
      </rPr>
      <t>海外仓</t>
    </r>
    <r>
      <rPr>
        <sz val="10"/>
        <color theme="1"/>
        <rFont val="Aptos"/>
        <family val="2"/>
      </rPr>
      <t xml:space="preserve"> AN</t>
    </r>
    <r>
      <rPr>
        <sz val="10"/>
        <color theme="1"/>
        <rFont val="微软雅黑"/>
        <family val="2"/>
        <charset val="134"/>
      </rPr>
      <t>系列清洁套装</t>
    </r>
    <phoneticPr fontId="25" type="noConversion"/>
  </si>
  <si>
    <r>
      <rPr>
        <sz val="10"/>
        <rFont val="微软雅黑"/>
        <family val="2"/>
        <charset val="134"/>
      </rPr>
      <t>狮威</t>
    </r>
  </si>
  <si>
    <r>
      <rPr>
        <sz val="10"/>
        <rFont val="微软雅黑"/>
        <family val="2"/>
        <charset val="134"/>
      </rPr>
      <t>空运</t>
    </r>
    <phoneticPr fontId="25" type="noConversion"/>
  </si>
  <si>
    <r>
      <rPr>
        <sz val="10"/>
        <rFont val="微软雅黑"/>
        <family val="2"/>
        <charset val="134"/>
      </rPr>
      <t>运德</t>
    </r>
    <phoneticPr fontId="25" type="noConversion"/>
  </si>
  <si>
    <r>
      <t>ANW-PJ ANW(A)</t>
    </r>
    <r>
      <rPr>
        <sz val="10"/>
        <color theme="1"/>
        <rFont val="微软雅黑"/>
        <family val="2"/>
        <charset val="134"/>
      </rPr>
      <t>机身解锁钥匙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白色</t>
    </r>
  </si>
  <si>
    <r>
      <t>ANW-PJ_B ANW(A)</t>
    </r>
    <r>
      <rPr>
        <sz val="10"/>
        <color theme="1"/>
        <rFont val="微软雅黑"/>
        <family val="2"/>
        <charset val="134"/>
      </rPr>
      <t>机身解锁钥匙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黑色</t>
    </r>
  </si>
  <si>
    <r>
      <t>6*10</t>
    </r>
    <r>
      <rPr>
        <sz val="10"/>
        <color theme="1"/>
        <rFont val="微软雅黑"/>
        <family val="2"/>
        <charset val="134"/>
      </rPr>
      <t>毫升精油套装</t>
    </r>
  </si>
  <si>
    <r>
      <t>10</t>
    </r>
    <r>
      <rPr>
        <sz val="10"/>
        <color theme="1"/>
        <rFont val="微软雅黑"/>
        <family val="2"/>
        <charset val="134"/>
      </rPr>
      <t>毫升精油</t>
    </r>
  </si>
  <si>
    <r>
      <t>20</t>
    </r>
    <r>
      <rPr>
        <sz val="10"/>
        <color theme="1"/>
        <rFont val="微软雅黑"/>
        <family val="2"/>
        <charset val="134"/>
      </rPr>
      <t>毫升精油</t>
    </r>
  </si>
  <si>
    <r>
      <rPr>
        <sz val="10"/>
        <color theme="1"/>
        <rFont val="微软雅黑"/>
        <family val="2"/>
        <charset val="134"/>
      </rPr>
      <t>美东卡派</t>
    </r>
    <r>
      <rPr>
        <sz val="10"/>
        <color theme="1"/>
        <rFont val="Aptos"/>
        <family val="2"/>
      </rPr>
      <t xml:space="preserve"> </t>
    </r>
  </si>
  <si>
    <r>
      <rPr>
        <sz val="10"/>
        <color theme="1"/>
        <rFont val="微软雅黑"/>
        <family val="2"/>
        <charset val="134"/>
      </rPr>
      <t>盐田海派</t>
    </r>
  </si>
  <si>
    <r>
      <rPr>
        <sz val="10"/>
        <color theme="1"/>
        <rFont val="微软雅黑"/>
        <family val="2"/>
        <charset val="134"/>
      </rPr>
      <t>盐田卡派</t>
    </r>
    <r>
      <rPr>
        <sz val="10"/>
        <color theme="1"/>
        <rFont val="Aptos"/>
        <family val="2"/>
      </rPr>
      <t xml:space="preserve"> </t>
    </r>
  </si>
  <si>
    <r>
      <t>CBM</t>
    </r>
    <r>
      <rPr>
        <sz val="10"/>
        <color theme="1"/>
        <rFont val="微软雅黑"/>
        <family val="2"/>
        <charset val="134"/>
      </rPr>
      <t>收费</t>
    </r>
  </si>
  <si>
    <r>
      <rPr>
        <sz val="10"/>
        <color theme="1"/>
        <rFont val="微软雅黑"/>
        <family val="2"/>
        <charset val="134"/>
      </rPr>
      <t>到港日期</t>
    </r>
  </si>
  <si>
    <r>
      <rPr>
        <sz val="10"/>
        <color theme="1"/>
        <rFont val="微软雅黑"/>
        <family val="2"/>
        <charset val="134"/>
      </rPr>
      <t xml:space="preserve">提取规则：
</t>
    </r>
    <r>
      <rPr>
        <sz val="10"/>
        <color theme="1"/>
        <rFont val="Aptos"/>
        <family val="2"/>
      </rPr>
      <t>1. **</t>
    </r>
    <r>
      <rPr>
        <sz val="10"/>
        <color theme="1"/>
        <rFont val="微软雅黑"/>
        <family val="2"/>
        <charset val="134"/>
      </rPr>
      <t>货件单号</t>
    </r>
    <r>
      <rPr>
        <sz val="10"/>
        <color theme="1"/>
        <rFont val="Aptos"/>
        <family val="2"/>
      </rPr>
      <t>**</t>
    </r>
    <r>
      <rPr>
        <sz val="10"/>
        <color theme="1"/>
        <rFont val="微软雅黑"/>
        <family val="2"/>
        <charset val="134"/>
      </rPr>
      <t>：所有以</t>
    </r>
    <r>
      <rPr>
        <sz val="10"/>
        <color theme="1"/>
        <rFont val="Aptos"/>
        <family val="2"/>
      </rPr>
      <t>“FBA”</t>
    </r>
    <r>
      <rPr>
        <sz val="10"/>
        <color theme="1"/>
        <rFont val="微软雅黑"/>
        <family val="2"/>
        <charset val="134"/>
      </rPr>
      <t>开头的编号，每个</t>
    </r>
    <r>
      <rPr>
        <sz val="10"/>
        <color theme="1"/>
        <rFont val="Aptos"/>
        <family val="2"/>
      </rPr>
      <t>FBA</t>
    </r>
    <r>
      <rPr>
        <sz val="10"/>
        <color theme="1"/>
        <rFont val="微软雅黑"/>
        <family val="2"/>
        <charset val="134"/>
      </rPr>
      <t xml:space="preserve">编号单独一行
</t>
    </r>
    <r>
      <rPr>
        <sz val="10"/>
        <color theme="1"/>
        <rFont val="Aptos"/>
        <family val="2"/>
      </rPr>
      <t>2. **</t>
    </r>
    <r>
      <rPr>
        <sz val="10"/>
        <color theme="1"/>
        <rFont val="微软雅黑"/>
        <family val="2"/>
        <charset val="134"/>
      </rPr>
      <t>到港日期</t>
    </r>
    <r>
      <rPr>
        <sz val="10"/>
        <color theme="1"/>
        <rFont val="Aptos"/>
        <family val="2"/>
      </rPr>
      <t>**</t>
    </r>
    <r>
      <rPr>
        <sz val="10"/>
        <color theme="1"/>
        <rFont val="微软雅黑"/>
        <family val="2"/>
        <charset val="134"/>
      </rPr>
      <t xml:space="preserve">：
</t>
    </r>
    <r>
      <rPr>
        <sz val="10"/>
        <color theme="1"/>
        <rFont val="Aptos"/>
        <family val="2"/>
      </rPr>
      <t xml:space="preserve">   - </t>
    </r>
    <r>
      <rPr>
        <sz val="10"/>
        <color theme="1"/>
        <rFont val="微软雅黑"/>
        <family val="2"/>
        <charset val="134"/>
      </rPr>
      <t>仅当有明确</t>
    </r>
    <r>
      <rPr>
        <sz val="10"/>
        <color theme="1"/>
        <rFont val="Aptos"/>
        <family val="2"/>
      </rPr>
      <t>“</t>
    </r>
    <r>
      <rPr>
        <sz val="10"/>
        <color theme="1"/>
        <rFont val="微软雅黑"/>
        <family val="2"/>
        <charset val="134"/>
      </rPr>
      <t>预计</t>
    </r>
    <r>
      <rPr>
        <sz val="10"/>
        <color theme="1"/>
        <rFont val="Aptos"/>
        <family val="2"/>
      </rPr>
      <t>...</t>
    </r>
    <r>
      <rPr>
        <sz val="10"/>
        <color theme="1"/>
        <rFont val="微软雅黑"/>
        <family val="2"/>
        <charset val="134"/>
      </rPr>
      <t>到港</t>
    </r>
    <r>
      <rPr>
        <sz val="10"/>
        <color theme="1"/>
        <rFont val="Aptos"/>
        <family val="2"/>
      </rPr>
      <t>”</t>
    </r>
    <r>
      <rPr>
        <sz val="10"/>
        <color theme="1"/>
        <rFont val="微软雅黑"/>
        <family val="2"/>
        <charset val="134"/>
      </rPr>
      <t>字样时才提取，格式统一为</t>
    </r>
    <r>
      <rPr>
        <sz val="10"/>
        <color theme="1"/>
        <rFont val="Aptos"/>
        <family val="2"/>
      </rPr>
      <t xml:space="preserve">“YYYY-MM-DD”
   - </t>
    </r>
    <r>
      <rPr>
        <sz val="10"/>
        <color theme="1"/>
        <rFont val="微软雅黑"/>
        <family val="2"/>
        <charset val="134"/>
      </rPr>
      <t>如</t>
    </r>
    <r>
      <rPr>
        <sz val="10"/>
        <color theme="1"/>
        <rFont val="Aptos"/>
        <family val="2"/>
      </rPr>
      <t>“</t>
    </r>
    <r>
      <rPr>
        <sz val="10"/>
        <color theme="1"/>
        <rFont val="微软雅黑"/>
        <family val="2"/>
        <charset val="134"/>
      </rPr>
      <t>预计当地时间</t>
    </r>
    <r>
      <rPr>
        <sz val="10"/>
        <color theme="1"/>
        <rFont val="Aptos"/>
        <family val="2"/>
      </rPr>
      <t>20</t>
    </r>
    <r>
      <rPr>
        <sz val="10"/>
        <color theme="1"/>
        <rFont val="微软雅黑"/>
        <family val="2"/>
        <charset val="134"/>
      </rPr>
      <t>到港</t>
    </r>
    <r>
      <rPr>
        <sz val="10"/>
        <color theme="1"/>
        <rFont val="Aptos"/>
        <family val="2"/>
      </rPr>
      <t xml:space="preserve">” </t>
    </r>
    <r>
      <rPr>
        <sz val="10"/>
        <color theme="1"/>
        <rFont val="微软雅黑"/>
        <family val="2"/>
        <charset val="134"/>
      </rPr>
      <t>→</t>
    </r>
    <r>
      <rPr>
        <sz val="10"/>
        <color theme="1"/>
        <rFont val="Aptos"/>
        <family val="2"/>
      </rPr>
      <t xml:space="preserve"> “2026-01-20”
   - </t>
    </r>
    <r>
      <rPr>
        <sz val="10"/>
        <color theme="1"/>
        <rFont val="微软雅黑"/>
        <family val="2"/>
        <charset val="134"/>
      </rPr>
      <t>如</t>
    </r>
    <r>
      <rPr>
        <sz val="10"/>
        <color theme="1"/>
        <rFont val="Aptos"/>
        <family val="2"/>
      </rPr>
      <t>“</t>
    </r>
    <r>
      <rPr>
        <sz val="10"/>
        <color theme="1"/>
        <rFont val="微软雅黑"/>
        <family val="2"/>
        <charset val="134"/>
      </rPr>
      <t>美国时间</t>
    </r>
    <r>
      <rPr>
        <sz val="10"/>
        <color theme="1"/>
        <rFont val="Aptos"/>
        <family val="2"/>
      </rPr>
      <t>1/29</t>
    </r>
    <r>
      <rPr>
        <sz val="10"/>
        <color theme="1"/>
        <rFont val="微软雅黑"/>
        <family val="2"/>
        <charset val="134"/>
      </rPr>
      <t>到港</t>
    </r>
    <r>
      <rPr>
        <sz val="10"/>
        <color theme="1"/>
        <rFont val="Aptos"/>
        <family val="2"/>
      </rPr>
      <t xml:space="preserve">” </t>
    </r>
    <r>
      <rPr>
        <sz val="10"/>
        <color theme="1"/>
        <rFont val="微软雅黑"/>
        <family val="2"/>
        <charset val="134"/>
      </rPr>
      <t>→</t>
    </r>
    <r>
      <rPr>
        <sz val="10"/>
        <color theme="1"/>
        <rFont val="Aptos"/>
        <family val="2"/>
      </rPr>
      <t xml:space="preserve"> “2026-01-29”
   - </t>
    </r>
    <r>
      <rPr>
        <sz val="10"/>
        <color theme="1"/>
        <rFont val="微软雅黑"/>
        <family val="2"/>
        <charset val="134"/>
      </rPr>
      <t>如</t>
    </r>
    <r>
      <rPr>
        <sz val="10"/>
        <color theme="1"/>
        <rFont val="Aptos"/>
        <family val="2"/>
      </rPr>
      <t>“</t>
    </r>
    <r>
      <rPr>
        <sz val="10"/>
        <color theme="1"/>
        <rFont val="微软雅黑"/>
        <family val="2"/>
        <charset val="134"/>
      </rPr>
      <t>预计美时</t>
    </r>
    <r>
      <rPr>
        <sz val="10"/>
        <color theme="1"/>
        <rFont val="Aptos"/>
        <family val="2"/>
      </rPr>
      <t xml:space="preserve">2-1” </t>
    </r>
    <r>
      <rPr>
        <sz val="10"/>
        <color theme="1"/>
        <rFont val="微软雅黑"/>
        <family val="2"/>
        <charset val="134"/>
      </rPr>
      <t>→</t>
    </r>
    <r>
      <rPr>
        <sz val="10"/>
        <color theme="1"/>
        <rFont val="Aptos"/>
        <family val="2"/>
      </rPr>
      <t xml:space="preserve"> “2026-02-01”
   - </t>
    </r>
    <r>
      <rPr>
        <sz val="10"/>
        <color theme="1"/>
        <rFont val="微软雅黑"/>
        <family val="2"/>
        <charset val="134"/>
      </rPr>
      <t>无明确到港信息则填</t>
    </r>
    <r>
      <rPr>
        <sz val="10"/>
        <color theme="1"/>
        <rFont val="Aptos"/>
        <family val="2"/>
      </rPr>
      <t>“</t>
    </r>
    <r>
      <rPr>
        <sz val="10"/>
        <color theme="1"/>
        <rFont val="微软雅黑"/>
        <family val="2"/>
        <charset val="134"/>
      </rPr>
      <t>无</t>
    </r>
    <r>
      <rPr>
        <sz val="10"/>
        <color theme="1"/>
        <rFont val="Aptos"/>
        <family val="2"/>
      </rPr>
      <t>”
3. **</t>
    </r>
    <r>
      <rPr>
        <sz val="10"/>
        <color theme="1"/>
        <rFont val="微软雅黑"/>
        <family val="2"/>
        <charset val="134"/>
      </rPr>
      <t>追踪号</t>
    </r>
    <r>
      <rPr>
        <sz val="10"/>
        <color theme="1"/>
        <rFont val="Aptos"/>
        <family val="2"/>
      </rPr>
      <t>**</t>
    </r>
    <r>
      <rPr>
        <sz val="10"/>
        <color theme="1"/>
        <rFont val="微软雅黑"/>
        <family val="2"/>
        <charset val="134"/>
      </rPr>
      <t xml:space="preserve">：
</t>
    </r>
    <r>
      <rPr>
        <sz val="10"/>
        <color theme="1"/>
        <rFont val="Aptos"/>
        <family val="2"/>
      </rPr>
      <t xml:space="preserve">   - </t>
    </r>
    <r>
      <rPr>
        <sz val="10"/>
        <color theme="1"/>
        <rFont val="微软雅黑"/>
        <family val="2"/>
        <charset val="134"/>
      </rPr>
      <t>仅当有</t>
    </r>
    <r>
      <rPr>
        <sz val="10"/>
        <color theme="1"/>
        <rFont val="Aptos"/>
        <family val="2"/>
      </rPr>
      <t>“UPS #”</t>
    </r>
    <r>
      <rPr>
        <sz val="10"/>
        <color theme="1"/>
        <rFont val="微软雅黑"/>
        <family val="2"/>
        <charset val="134"/>
      </rPr>
      <t>字样时提取，保留完整格式</t>
    </r>
    <r>
      <rPr>
        <sz val="10"/>
        <color theme="1"/>
        <rFont val="Aptos"/>
        <family val="2"/>
      </rPr>
      <t>“UPS #</t>
    </r>
    <r>
      <rPr>
        <sz val="10"/>
        <color theme="1"/>
        <rFont val="微软雅黑"/>
        <family val="2"/>
        <charset val="134"/>
      </rPr>
      <t>编号</t>
    </r>
    <r>
      <rPr>
        <sz val="10"/>
        <color theme="1"/>
        <rFont val="Aptos"/>
        <family val="2"/>
      </rPr>
      <t xml:space="preserve">”
   - </t>
    </r>
    <r>
      <rPr>
        <sz val="10"/>
        <color theme="1"/>
        <rFont val="微软雅黑"/>
        <family val="2"/>
        <charset val="134"/>
      </rPr>
      <t>无则填</t>
    </r>
    <r>
      <rPr>
        <sz val="10"/>
        <color theme="1"/>
        <rFont val="Aptos"/>
        <family val="2"/>
      </rPr>
      <t>“</t>
    </r>
    <r>
      <rPr>
        <sz val="10"/>
        <color theme="1"/>
        <rFont val="微软雅黑"/>
        <family val="2"/>
        <charset val="134"/>
      </rPr>
      <t>无</t>
    </r>
    <r>
      <rPr>
        <sz val="10"/>
        <color theme="1"/>
        <rFont val="Aptos"/>
        <family val="2"/>
      </rPr>
      <t xml:space="preserve">”
</t>
    </r>
    <r>
      <rPr>
        <sz val="10"/>
        <color theme="1"/>
        <rFont val="微软雅黑"/>
        <family val="2"/>
        <charset val="134"/>
      </rPr>
      <t xml:space="preserve">输出要求：
</t>
    </r>
    <r>
      <rPr>
        <sz val="10"/>
        <color theme="1"/>
        <rFont val="Aptos"/>
        <family val="2"/>
      </rPr>
      <t xml:space="preserve">- </t>
    </r>
    <r>
      <rPr>
        <sz val="10"/>
        <color theme="1"/>
        <rFont val="微软雅黑"/>
        <family val="2"/>
        <charset val="134"/>
      </rPr>
      <t>第一行为表头：货件单号</t>
    </r>
    <r>
      <rPr>
        <sz val="10"/>
        <color theme="1"/>
        <rFont val="Aptos"/>
        <family val="2"/>
      </rPr>
      <t>[TAB]</t>
    </r>
    <r>
      <rPr>
        <sz val="10"/>
        <color theme="1"/>
        <rFont val="微软雅黑"/>
        <family val="2"/>
        <charset val="134"/>
      </rPr>
      <t>到港日期</t>
    </r>
    <r>
      <rPr>
        <sz val="10"/>
        <color theme="1"/>
        <rFont val="Aptos"/>
        <family val="2"/>
      </rPr>
      <t>[TAB]</t>
    </r>
    <r>
      <rPr>
        <sz val="10"/>
        <color theme="1"/>
        <rFont val="微软雅黑"/>
        <family val="2"/>
        <charset val="134"/>
      </rPr>
      <t xml:space="preserve">追踪号
</t>
    </r>
    <r>
      <rPr>
        <sz val="10"/>
        <color theme="1"/>
        <rFont val="Aptos"/>
        <family val="2"/>
      </rPr>
      <t xml:space="preserve">- </t>
    </r>
    <r>
      <rPr>
        <sz val="10"/>
        <color theme="1"/>
        <rFont val="微软雅黑"/>
        <family val="2"/>
        <charset val="134"/>
      </rPr>
      <t>使用制表符（</t>
    </r>
    <r>
      <rPr>
        <sz val="10"/>
        <color theme="1"/>
        <rFont val="Aptos"/>
        <family val="2"/>
      </rPr>
      <t>TAB</t>
    </r>
    <r>
      <rPr>
        <sz val="10"/>
        <color theme="1"/>
        <rFont val="微软雅黑"/>
        <family val="2"/>
        <charset val="134"/>
      </rPr>
      <t>）分隔各列，确保可直接粘贴到</t>
    </r>
    <r>
      <rPr>
        <sz val="10"/>
        <color theme="1"/>
        <rFont val="Aptos"/>
        <family val="2"/>
      </rPr>
      <t>Excel</t>
    </r>
    <r>
      <rPr>
        <sz val="10"/>
        <color theme="1"/>
        <rFont val="微软雅黑"/>
        <family val="2"/>
        <charset val="134"/>
      </rPr>
      <t xml:space="preserve">自动分列
</t>
    </r>
    <r>
      <rPr>
        <sz val="10"/>
        <color theme="1"/>
        <rFont val="Aptos"/>
        <family val="2"/>
      </rPr>
      <t xml:space="preserve">- </t>
    </r>
    <r>
      <rPr>
        <sz val="10"/>
        <color theme="1"/>
        <rFont val="微软雅黑"/>
        <family val="2"/>
        <charset val="134"/>
      </rPr>
      <t>按原始信息中出现的顺序排列
请处理以下货运信息：</t>
    </r>
    <phoneticPr fontId="25" type="noConversion"/>
  </si>
  <si>
    <r>
      <rPr>
        <sz val="10"/>
        <color theme="1"/>
        <rFont val="微软雅黑"/>
        <family val="2"/>
        <charset val="134"/>
      </rPr>
      <t>货件单号</t>
    </r>
  </si>
  <si>
    <r>
      <rPr>
        <sz val="10"/>
        <color theme="1"/>
        <rFont val="微软雅黑"/>
        <family val="2"/>
        <charset val="134"/>
      </rPr>
      <t>追踪号</t>
    </r>
  </si>
  <si>
    <r>
      <rPr>
        <sz val="10"/>
        <color theme="1"/>
        <rFont val="微软雅黑"/>
        <family val="2"/>
        <charset val="134"/>
      </rPr>
      <t>无</t>
    </r>
  </si>
  <si>
    <r>
      <t>FBA</t>
    </r>
    <r>
      <rPr>
        <b/>
        <sz val="10"/>
        <color theme="0"/>
        <rFont val="微软雅黑"/>
        <family val="2"/>
        <charset val="134"/>
      </rPr>
      <t>单号</t>
    </r>
  </si>
  <si>
    <r>
      <t>:</t>
    </r>
    <r>
      <rPr>
        <b/>
        <sz val="10"/>
        <color theme="0"/>
        <rFont val="微软雅黑"/>
        <family val="2"/>
        <charset val="134"/>
      </rPr>
      <t>货件计费重</t>
    </r>
  </si>
  <si>
    <r>
      <rPr>
        <sz val="10"/>
        <color rgb="FFFF0000"/>
        <rFont val="微软雅黑"/>
        <family val="2"/>
        <charset val="134"/>
      </rPr>
      <t>用以复核验证执行结果是否准确</t>
    </r>
    <phoneticPr fontId="25" type="noConversion"/>
  </si>
  <si>
    <r>
      <rPr>
        <b/>
        <sz val="10"/>
        <color rgb="FFFF0000"/>
        <rFont val="微软雅黑"/>
        <family val="2"/>
        <charset val="134"/>
      </rPr>
      <t>子型号</t>
    </r>
    <r>
      <rPr>
        <b/>
        <sz val="10"/>
        <color rgb="FFFF0000"/>
        <rFont val="Aptos"/>
        <family val="2"/>
      </rPr>
      <t>-</t>
    </r>
    <r>
      <rPr>
        <b/>
        <sz val="10"/>
        <color rgb="FFFF0000"/>
        <rFont val="微软雅黑"/>
        <family val="2"/>
        <charset val="134"/>
      </rPr>
      <t>有公式</t>
    </r>
  </si>
  <si>
    <r>
      <rPr>
        <b/>
        <sz val="10"/>
        <color rgb="FFFF0000"/>
        <rFont val="微软雅黑"/>
        <family val="2"/>
        <charset val="134"/>
      </rPr>
      <t>品名</t>
    </r>
    <r>
      <rPr>
        <b/>
        <sz val="10"/>
        <color rgb="FFFF0000"/>
        <rFont val="Aptos"/>
        <family val="2"/>
      </rPr>
      <t>-</t>
    </r>
    <r>
      <rPr>
        <b/>
        <sz val="10"/>
        <color rgb="FFFF0000"/>
        <rFont val="微软雅黑"/>
        <family val="2"/>
        <charset val="134"/>
      </rPr>
      <t>有公式</t>
    </r>
  </si>
  <si>
    <r>
      <rPr>
        <b/>
        <sz val="10"/>
        <color rgb="FFFF0000"/>
        <rFont val="微软雅黑"/>
        <family val="2"/>
        <charset val="134"/>
      </rPr>
      <t>父型号</t>
    </r>
    <r>
      <rPr>
        <b/>
        <sz val="10"/>
        <color rgb="FFFF0000"/>
        <rFont val="Aptos"/>
        <family val="2"/>
      </rPr>
      <t>-</t>
    </r>
    <r>
      <rPr>
        <b/>
        <sz val="10"/>
        <color rgb="FFFF0000"/>
        <rFont val="微软雅黑"/>
        <family val="2"/>
        <charset val="134"/>
      </rPr>
      <t>有公式</t>
    </r>
  </si>
  <si>
    <r>
      <rPr>
        <b/>
        <sz val="10"/>
        <color rgb="FFFF0000"/>
        <rFont val="微软雅黑"/>
        <family val="2"/>
        <charset val="134"/>
      </rPr>
      <t>税金</t>
    </r>
    <r>
      <rPr>
        <b/>
        <sz val="10"/>
        <color rgb="FFFF0000"/>
        <rFont val="Aptos"/>
        <family val="2"/>
      </rPr>
      <t>-</t>
    </r>
    <r>
      <rPr>
        <b/>
        <sz val="10"/>
        <color rgb="FFFF0000"/>
        <rFont val="微软雅黑"/>
        <family val="2"/>
        <charset val="134"/>
      </rPr>
      <t>相同报关单</t>
    </r>
  </si>
  <si>
    <r>
      <rPr>
        <b/>
        <sz val="10"/>
        <color rgb="FFFF0000"/>
        <rFont val="微软雅黑"/>
        <family val="2"/>
        <charset val="134"/>
      </rPr>
      <t>入库配置费</t>
    </r>
    <r>
      <rPr>
        <b/>
        <sz val="10"/>
        <color rgb="FFFF0000"/>
        <rFont val="Aptos"/>
        <family val="2"/>
      </rPr>
      <t>/unit</t>
    </r>
  </si>
  <si>
    <r>
      <rPr>
        <b/>
        <sz val="10"/>
        <color rgb="FFFF0000"/>
        <rFont val="微软雅黑"/>
        <family val="2"/>
        <charset val="134"/>
      </rPr>
      <t>总入库配置费</t>
    </r>
    <r>
      <rPr>
        <b/>
        <sz val="10"/>
        <color rgb="FFFF0000"/>
        <rFont val="Aptos"/>
        <family val="2"/>
      </rPr>
      <t xml:space="preserve"> $</t>
    </r>
  </si>
  <si>
    <r>
      <rPr>
        <b/>
        <sz val="10"/>
        <color theme="4" tint="-0.249977111117893"/>
        <rFont val="微软雅黑"/>
        <family val="2"/>
        <charset val="134"/>
      </rPr>
      <t>在途周期</t>
    </r>
    <r>
      <rPr>
        <b/>
        <sz val="10"/>
        <color theme="4" tint="-0.249977111117893"/>
        <rFont val="Aptos"/>
        <family val="2"/>
      </rPr>
      <t>/</t>
    </r>
    <r>
      <rPr>
        <b/>
        <sz val="10"/>
        <color theme="4" tint="-0.249977111117893"/>
        <rFont val="微软雅黑"/>
        <family val="2"/>
        <charset val="134"/>
      </rPr>
      <t>天</t>
    </r>
  </si>
  <si>
    <r>
      <rPr>
        <sz val="10"/>
        <color theme="1"/>
        <rFont val="微软雅黑"/>
        <family val="2"/>
        <charset val="134"/>
      </rPr>
      <t>备注第</t>
    </r>
    <r>
      <rPr>
        <sz val="10"/>
        <color theme="1"/>
        <rFont val="Aptos"/>
        <family val="2"/>
      </rPr>
      <t>3</t>
    </r>
    <r>
      <rPr>
        <sz val="10"/>
        <color theme="1"/>
        <rFont val="微软雅黑"/>
        <family val="2"/>
        <charset val="134"/>
      </rPr>
      <t>至第</t>
    </r>
    <r>
      <rPr>
        <sz val="10"/>
        <color theme="1"/>
        <rFont val="Aptos"/>
        <family val="2"/>
      </rPr>
      <t>16</t>
    </r>
    <r>
      <rPr>
        <sz val="10"/>
        <color theme="1"/>
        <rFont val="微软雅黑"/>
        <family val="2"/>
        <charset val="134"/>
      </rPr>
      <t>箱，单独报关</t>
    </r>
  </si>
  <si>
    <r>
      <rPr>
        <sz val="10"/>
        <color theme="1"/>
        <rFont val="微软雅黑"/>
        <family val="2"/>
        <charset val="134"/>
      </rPr>
      <t>重量收费</t>
    </r>
    <phoneticPr fontId="25" type="noConversion"/>
  </si>
  <si>
    <r>
      <rPr>
        <sz val="10"/>
        <color theme="1"/>
        <rFont val="微软雅黑"/>
        <family val="2"/>
        <charset val="134"/>
      </rPr>
      <t>沙特海卡</t>
    </r>
  </si>
  <si>
    <r>
      <rPr>
        <b/>
        <sz val="10"/>
        <color rgb="FFFF0000"/>
        <rFont val="微软雅黑"/>
        <family val="2"/>
        <charset val="134"/>
      </rPr>
      <t>子型号</t>
    </r>
    <phoneticPr fontId="25" type="noConversion"/>
  </si>
  <si>
    <r>
      <rPr>
        <b/>
        <sz val="10"/>
        <color rgb="FFFF0000"/>
        <rFont val="微软雅黑"/>
        <family val="2"/>
        <charset val="134"/>
      </rPr>
      <t>品名</t>
    </r>
    <phoneticPr fontId="25" type="noConversion"/>
  </si>
  <si>
    <r>
      <rPr>
        <b/>
        <sz val="10"/>
        <color rgb="FFFF0000"/>
        <rFont val="微软雅黑"/>
        <family val="2"/>
        <charset val="134"/>
      </rPr>
      <t>父型号</t>
    </r>
    <phoneticPr fontId="25" type="noConversion"/>
  </si>
  <si>
    <r>
      <t xml:space="preserve">ANW-B </t>
    </r>
    <r>
      <rPr>
        <sz val="10"/>
        <color theme="1"/>
        <rFont val="微软雅黑"/>
        <family val="2"/>
        <charset val="134"/>
      </rPr>
      <t>智能扩香仪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黑色</t>
    </r>
  </si>
  <si>
    <r>
      <rPr>
        <sz val="10"/>
        <color theme="1"/>
        <rFont val="微软雅黑"/>
        <family val="2"/>
        <charset val="134"/>
      </rPr>
      <t>少</t>
    </r>
    <r>
      <rPr>
        <sz val="10"/>
        <color theme="1"/>
        <rFont val="Aptos"/>
        <family val="2"/>
      </rPr>
      <t>1</t>
    </r>
    <r>
      <rPr>
        <sz val="10"/>
        <color theme="1"/>
        <rFont val="微软雅黑"/>
        <family val="2"/>
        <charset val="134"/>
      </rPr>
      <t>台</t>
    </r>
    <r>
      <rPr>
        <sz val="10"/>
        <color theme="1"/>
        <rFont val="Aptos"/>
        <family val="2"/>
      </rPr>
      <t>ANW-WH</t>
    </r>
  </si>
  <si>
    <r>
      <t xml:space="preserve">ANW-W </t>
    </r>
    <r>
      <rPr>
        <sz val="10"/>
        <color theme="1"/>
        <rFont val="微软雅黑"/>
        <family val="2"/>
        <charset val="134"/>
      </rPr>
      <t>智能扩香仪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白色</t>
    </r>
  </si>
  <si>
    <r>
      <t>ANW-Wbot ANW</t>
    </r>
    <r>
      <rPr>
        <sz val="10"/>
        <color theme="1"/>
        <rFont val="微软雅黑"/>
        <family val="2"/>
        <charset val="134"/>
      </rPr>
      <t>带盖瓶子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白喷头</t>
    </r>
  </si>
  <si>
    <r>
      <t>ANW-Bbot ANW</t>
    </r>
    <r>
      <rPr>
        <sz val="10"/>
        <color theme="1"/>
        <rFont val="微软雅黑"/>
        <family val="2"/>
        <charset val="134"/>
      </rPr>
      <t>带盖瓶子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黑喷头</t>
    </r>
  </si>
  <si>
    <r>
      <rPr>
        <sz val="10"/>
        <color theme="1"/>
        <rFont val="微软雅黑"/>
        <family val="2"/>
        <charset val="134"/>
      </rPr>
      <t>少</t>
    </r>
    <r>
      <rPr>
        <sz val="10"/>
        <color theme="1"/>
        <rFont val="Aptos"/>
        <family val="2"/>
      </rPr>
      <t>2</t>
    </r>
    <r>
      <rPr>
        <sz val="10"/>
        <color theme="1"/>
        <rFont val="微软雅黑"/>
        <family val="2"/>
        <charset val="134"/>
      </rPr>
      <t>台</t>
    </r>
    <r>
      <rPr>
        <sz val="10"/>
        <color theme="1"/>
        <rFont val="Aptos"/>
        <family val="2"/>
      </rPr>
      <t>ANW-WH</t>
    </r>
  </si>
  <si>
    <r>
      <t xml:space="preserve">AH1US-BL </t>
    </r>
    <r>
      <rPr>
        <sz val="10"/>
        <color theme="1"/>
        <rFont val="微软雅黑"/>
        <family val="2"/>
        <charset val="134"/>
      </rPr>
      <t>智能空气加湿器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蓝色</t>
    </r>
  </si>
  <si>
    <r>
      <t xml:space="preserve">AH1US-C </t>
    </r>
    <r>
      <rPr>
        <sz val="10"/>
        <color theme="1"/>
        <rFont val="微软雅黑"/>
        <family val="2"/>
        <charset val="134"/>
      </rPr>
      <t>智能空气加湿器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透明</t>
    </r>
  </si>
  <si>
    <r>
      <t xml:space="preserve">AH1US-G </t>
    </r>
    <r>
      <rPr>
        <sz val="10"/>
        <color theme="1"/>
        <rFont val="微软雅黑"/>
        <family val="2"/>
        <charset val="134"/>
      </rPr>
      <t>智能空气加湿器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灰色</t>
    </r>
  </si>
  <si>
    <r>
      <t xml:space="preserve">AN3(5)-B </t>
    </r>
    <r>
      <rPr>
        <sz val="10"/>
        <color theme="1"/>
        <rFont val="微软雅黑"/>
        <family val="2"/>
        <charset val="134"/>
      </rPr>
      <t>便携式扩香仪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黑色</t>
    </r>
  </si>
  <si>
    <r>
      <rPr>
        <sz val="10"/>
        <color theme="1"/>
        <rFont val="微软雅黑"/>
        <family val="2"/>
        <charset val="134"/>
      </rPr>
      <t>少</t>
    </r>
    <r>
      <rPr>
        <sz val="10"/>
        <color theme="1"/>
        <rFont val="Aptos"/>
        <family val="2"/>
      </rPr>
      <t>1</t>
    </r>
    <r>
      <rPr>
        <sz val="10"/>
        <color theme="1"/>
        <rFont val="微软雅黑"/>
        <family val="2"/>
        <charset val="134"/>
      </rPr>
      <t>台</t>
    </r>
    <r>
      <rPr>
        <sz val="10"/>
        <color theme="1"/>
        <rFont val="Aptos"/>
        <family val="2"/>
      </rPr>
      <t>AN5DT</t>
    </r>
  </si>
  <si>
    <r>
      <t xml:space="preserve">AN3(5)-DT </t>
    </r>
    <r>
      <rPr>
        <sz val="10"/>
        <color theme="1"/>
        <rFont val="微软雅黑"/>
        <family val="2"/>
        <charset val="134"/>
      </rPr>
      <t>便携式扩香仪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沙漠钛色</t>
    </r>
  </si>
  <si>
    <r>
      <t xml:space="preserve">AN3(5)-IB </t>
    </r>
    <r>
      <rPr>
        <sz val="10"/>
        <color theme="1"/>
        <rFont val="微软雅黑"/>
        <family val="2"/>
        <charset val="134"/>
      </rPr>
      <t>便携式扩香仪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冰蓝色</t>
    </r>
  </si>
  <si>
    <r>
      <t xml:space="preserve">AN3(5)-SG </t>
    </r>
    <r>
      <rPr>
        <sz val="10"/>
        <color theme="1"/>
        <rFont val="微软雅黑"/>
        <family val="2"/>
        <charset val="134"/>
      </rPr>
      <t>便携式扩香仪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太空灰色</t>
    </r>
  </si>
  <si>
    <r>
      <rPr>
        <sz val="10"/>
        <color theme="1"/>
        <rFont val="微软雅黑"/>
        <family val="2"/>
        <charset val="134"/>
      </rPr>
      <t>少</t>
    </r>
    <r>
      <rPr>
        <sz val="10"/>
        <color theme="1"/>
        <rFont val="Aptos"/>
        <family val="2"/>
      </rPr>
      <t>2</t>
    </r>
    <r>
      <rPr>
        <sz val="10"/>
        <color theme="1"/>
        <rFont val="微软雅黑"/>
        <family val="2"/>
        <charset val="134"/>
      </rPr>
      <t>台</t>
    </r>
    <r>
      <rPr>
        <sz val="10"/>
        <color theme="1"/>
        <rFont val="Aptos"/>
        <family val="2"/>
      </rPr>
      <t>AN5SG</t>
    </r>
  </si>
  <si>
    <r>
      <t xml:space="preserve">AN6B-NZB </t>
    </r>
    <r>
      <rPr>
        <sz val="10"/>
        <color theme="1"/>
        <rFont val="微软雅黑"/>
        <family val="2"/>
        <charset val="134"/>
      </rPr>
      <t>便携式扩香仪套装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黑机器</t>
    </r>
    <r>
      <rPr>
        <sz val="10"/>
        <color theme="1"/>
        <rFont val="Aptos"/>
        <family val="2"/>
      </rPr>
      <t>+</t>
    </r>
    <r>
      <rPr>
        <sz val="10"/>
        <color theme="1"/>
        <rFont val="微软雅黑"/>
        <family val="2"/>
        <charset val="134"/>
      </rPr>
      <t>黑喷嘴</t>
    </r>
  </si>
  <si>
    <r>
      <t xml:space="preserve">AN6-B </t>
    </r>
    <r>
      <rPr>
        <sz val="10"/>
        <color theme="1"/>
        <rFont val="微软雅黑"/>
        <family val="2"/>
        <charset val="134"/>
      </rPr>
      <t>便携式扩香仪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黑色</t>
    </r>
  </si>
  <si>
    <r>
      <rPr>
        <sz val="10"/>
        <color theme="1"/>
        <rFont val="微软雅黑"/>
        <family val="2"/>
        <charset val="134"/>
      </rPr>
      <t>少</t>
    </r>
    <r>
      <rPr>
        <sz val="10"/>
        <color theme="1"/>
        <rFont val="Aptos"/>
        <family val="2"/>
      </rPr>
      <t>278</t>
    </r>
    <r>
      <rPr>
        <sz val="10"/>
        <color theme="1"/>
        <rFont val="微软雅黑"/>
        <family val="2"/>
        <charset val="134"/>
      </rPr>
      <t>台</t>
    </r>
    <r>
      <rPr>
        <sz val="10"/>
        <color theme="1"/>
        <rFont val="Aptos"/>
        <family val="2"/>
      </rPr>
      <t>AN6W</t>
    </r>
  </si>
  <si>
    <r>
      <t xml:space="preserve">AN2(9)-IB </t>
    </r>
    <r>
      <rPr>
        <sz val="10"/>
        <color theme="1"/>
        <rFont val="微软雅黑"/>
        <family val="2"/>
        <charset val="134"/>
      </rPr>
      <t>便携式扩香仪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冰蓝色</t>
    </r>
  </si>
  <si>
    <r>
      <rPr>
        <sz val="10"/>
        <color theme="1"/>
        <rFont val="微软雅黑"/>
        <family val="2"/>
        <charset val="134"/>
      </rPr>
      <t>少</t>
    </r>
    <r>
      <rPr>
        <sz val="10"/>
        <color theme="1"/>
        <rFont val="Aptos"/>
        <family val="2"/>
      </rPr>
      <t>10</t>
    </r>
    <r>
      <rPr>
        <sz val="10"/>
        <color theme="1"/>
        <rFont val="微软雅黑"/>
        <family val="2"/>
        <charset val="134"/>
      </rPr>
      <t>台</t>
    </r>
    <r>
      <rPr>
        <sz val="10"/>
        <color theme="1"/>
        <rFont val="Aptos"/>
        <family val="2"/>
      </rPr>
      <t>AN9LV</t>
    </r>
  </si>
  <si>
    <r>
      <t xml:space="preserve">AN2(9)-LV </t>
    </r>
    <r>
      <rPr>
        <sz val="10"/>
        <color theme="1"/>
        <rFont val="微软雅黑"/>
        <family val="2"/>
        <charset val="134"/>
      </rPr>
      <t>便携式扩香仪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薰衣草</t>
    </r>
  </si>
  <si>
    <r>
      <t xml:space="preserve">AN2(9)-MT </t>
    </r>
    <r>
      <rPr>
        <sz val="10"/>
        <color theme="1"/>
        <rFont val="微软雅黑"/>
        <family val="2"/>
        <charset val="134"/>
      </rPr>
      <t>便携式扩香仪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薄荷绿</t>
    </r>
  </si>
  <si>
    <r>
      <rPr>
        <sz val="10"/>
        <color theme="1"/>
        <rFont val="微软雅黑"/>
        <family val="2"/>
        <charset val="134"/>
      </rPr>
      <t>少</t>
    </r>
    <r>
      <rPr>
        <sz val="10"/>
        <color theme="1"/>
        <rFont val="Aptos"/>
        <family val="2"/>
      </rPr>
      <t>81</t>
    </r>
    <r>
      <rPr>
        <sz val="10"/>
        <color theme="1"/>
        <rFont val="微软雅黑"/>
        <family val="2"/>
        <charset val="134"/>
      </rPr>
      <t>台</t>
    </r>
    <r>
      <rPr>
        <sz val="10"/>
        <color theme="1"/>
        <rFont val="Aptos"/>
        <family val="2"/>
      </rPr>
      <t>AN6W</t>
    </r>
  </si>
  <si>
    <r>
      <rPr>
        <sz val="10"/>
        <color theme="1"/>
        <rFont val="微软雅黑"/>
        <family val="2"/>
        <charset val="134"/>
      </rPr>
      <t>少</t>
    </r>
    <r>
      <rPr>
        <sz val="10"/>
        <color theme="1"/>
        <rFont val="Aptos"/>
        <family val="2"/>
      </rPr>
      <t>69</t>
    </r>
    <r>
      <rPr>
        <sz val="10"/>
        <color theme="1"/>
        <rFont val="微软雅黑"/>
        <family val="2"/>
        <charset val="134"/>
      </rPr>
      <t>台</t>
    </r>
    <r>
      <rPr>
        <sz val="10"/>
        <color theme="1"/>
        <rFont val="Aptos"/>
        <family val="2"/>
      </rPr>
      <t>AN6</t>
    </r>
    <r>
      <rPr>
        <sz val="10"/>
        <color theme="1"/>
        <rFont val="微软雅黑"/>
        <family val="2"/>
        <charset val="134"/>
      </rPr>
      <t>白色</t>
    </r>
  </si>
  <si>
    <r>
      <t xml:space="preserve">AN3(5)-SILV </t>
    </r>
    <r>
      <rPr>
        <sz val="10"/>
        <color theme="1"/>
        <rFont val="微软雅黑"/>
        <family val="2"/>
        <charset val="134"/>
      </rPr>
      <t>便携式扩香仪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银色</t>
    </r>
  </si>
  <si>
    <r>
      <t xml:space="preserve">ANX-2PC-BB </t>
    </r>
    <r>
      <rPr>
        <sz val="10"/>
        <color theme="1"/>
        <rFont val="微软雅黑"/>
        <family val="2"/>
        <charset val="134"/>
      </rPr>
      <t>便携式扩香仪套装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黑</t>
    </r>
    <r>
      <rPr>
        <sz val="10"/>
        <color theme="1"/>
        <rFont val="Aptos"/>
        <family val="2"/>
      </rPr>
      <t>+</t>
    </r>
    <r>
      <rPr>
        <sz val="10"/>
        <color theme="1"/>
        <rFont val="微软雅黑"/>
        <family val="2"/>
        <charset val="134"/>
      </rPr>
      <t>黑</t>
    </r>
  </si>
  <si>
    <r>
      <t xml:space="preserve">ANX-B </t>
    </r>
    <r>
      <rPr>
        <sz val="10"/>
        <color theme="1"/>
        <rFont val="微软雅黑"/>
        <family val="2"/>
        <charset val="134"/>
      </rPr>
      <t>便携式扩香仪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黑色</t>
    </r>
  </si>
  <si>
    <r>
      <t xml:space="preserve">ANX-DT </t>
    </r>
    <r>
      <rPr>
        <sz val="10"/>
        <color theme="1"/>
        <rFont val="微软雅黑"/>
        <family val="2"/>
        <charset val="134"/>
      </rPr>
      <t>便携式扩香仪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沙漠钛色</t>
    </r>
  </si>
  <si>
    <r>
      <rPr>
        <sz val="10"/>
        <color theme="1"/>
        <rFont val="微软雅黑"/>
        <family val="2"/>
        <charset val="134"/>
      </rPr>
      <t>少</t>
    </r>
    <r>
      <rPr>
        <sz val="10"/>
        <color theme="1"/>
        <rFont val="Aptos"/>
        <family val="2"/>
      </rPr>
      <t>8</t>
    </r>
    <r>
      <rPr>
        <sz val="10"/>
        <color theme="1"/>
        <rFont val="微软雅黑"/>
        <family val="2"/>
        <charset val="134"/>
      </rPr>
      <t>台</t>
    </r>
    <r>
      <rPr>
        <sz val="10"/>
        <color theme="1"/>
        <rFont val="Aptos"/>
        <family val="2"/>
      </rPr>
      <t>ANX-B</t>
    </r>
  </si>
  <si>
    <r>
      <t xml:space="preserve">AN6-2PC-BB </t>
    </r>
    <r>
      <rPr>
        <sz val="10"/>
        <color theme="1"/>
        <rFont val="微软雅黑"/>
        <family val="2"/>
        <charset val="134"/>
      </rPr>
      <t>便携式扩香仪套装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黑</t>
    </r>
    <r>
      <rPr>
        <sz val="10"/>
        <color theme="1"/>
        <rFont val="Aptos"/>
        <family val="2"/>
      </rPr>
      <t>+</t>
    </r>
    <r>
      <rPr>
        <sz val="10"/>
        <color theme="1"/>
        <rFont val="微软雅黑"/>
        <family val="2"/>
        <charset val="134"/>
      </rPr>
      <t>黑</t>
    </r>
  </si>
  <si>
    <r>
      <rPr>
        <sz val="10"/>
        <color theme="1"/>
        <rFont val="微软雅黑"/>
        <family val="2"/>
        <charset val="134"/>
      </rPr>
      <t>少</t>
    </r>
    <r>
      <rPr>
        <sz val="10"/>
        <color theme="1"/>
        <rFont val="Aptos"/>
        <family val="2"/>
      </rPr>
      <t>4</t>
    </r>
    <r>
      <rPr>
        <sz val="10"/>
        <color theme="1"/>
        <rFont val="微软雅黑"/>
        <family val="2"/>
        <charset val="134"/>
      </rPr>
      <t>台</t>
    </r>
    <r>
      <rPr>
        <sz val="10"/>
        <color theme="1"/>
        <rFont val="Aptos"/>
        <family val="2"/>
      </rPr>
      <t>AN6B</t>
    </r>
  </si>
  <si>
    <r>
      <rPr>
        <sz val="10"/>
        <color theme="1"/>
        <rFont val="微软雅黑"/>
        <family val="2"/>
        <charset val="134"/>
      </rPr>
      <t>少</t>
    </r>
    <r>
      <rPr>
        <sz val="10"/>
        <color theme="1"/>
        <rFont val="Aptos"/>
        <family val="2"/>
      </rPr>
      <t>4</t>
    </r>
    <r>
      <rPr>
        <sz val="10"/>
        <color theme="1"/>
        <rFont val="微软雅黑"/>
        <family val="2"/>
        <charset val="134"/>
      </rPr>
      <t>台</t>
    </r>
    <r>
      <rPr>
        <sz val="10"/>
        <color theme="1"/>
        <rFont val="Aptos"/>
        <family val="2"/>
      </rPr>
      <t>AN6W</t>
    </r>
  </si>
  <si>
    <r>
      <rPr>
        <sz val="10"/>
        <color theme="1"/>
        <rFont val="微软雅黑"/>
        <family val="2"/>
        <charset val="134"/>
      </rPr>
      <t>少</t>
    </r>
    <r>
      <rPr>
        <sz val="10"/>
        <color theme="1"/>
        <rFont val="Aptos"/>
        <family val="2"/>
      </rPr>
      <t>1</t>
    </r>
    <r>
      <rPr>
        <sz val="10"/>
        <color theme="1"/>
        <rFont val="微软雅黑"/>
        <family val="2"/>
        <charset val="134"/>
      </rPr>
      <t>台</t>
    </r>
    <r>
      <rPr>
        <sz val="10"/>
        <color theme="1"/>
        <rFont val="Aptos"/>
        <family val="2"/>
      </rPr>
      <t>AN6</t>
    </r>
    <r>
      <rPr>
        <sz val="10"/>
        <color theme="1"/>
        <rFont val="微软雅黑"/>
        <family val="2"/>
        <charset val="134"/>
      </rPr>
      <t>喷嘴套装</t>
    </r>
  </si>
  <si>
    <r>
      <rPr>
        <sz val="10"/>
        <color theme="1"/>
        <rFont val="微软雅黑"/>
        <family val="2"/>
        <charset val="134"/>
      </rPr>
      <t>少</t>
    </r>
    <r>
      <rPr>
        <sz val="10"/>
        <color theme="1"/>
        <rFont val="Aptos"/>
        <family val="2"/>
      </rPr>
      <t>16</t>
    </r>
    <r>
      <rPr>
        <sz val="10"/>
        <color theme="1"/>
        <rFont val="微软雅黑"/>
        <family val="2"/>
        <charset val="134"/>
      </rPr>
      <t>台</t>
    </r>
    <r>
      <rPr>
        <sz val="10"/>
        <color theme="1"/>
        <rFont val="Aptos"/>
        <family val="2"/>
      </rPr>
      <t>AN6BB-2PC</t>
    </r>
  </si>
  <si>
    <r>
      <rPr>
        <sz val="10"/>
        <color theme="1"/>
        <rFont val="微软雅黑"/>
        <family val="2"/>
        <charset val="134"/>
      </rPr>
      <t>少</t>
    </r>
    <r>
      <rPr>
        <sz val="10"/>
        <color theme="1"/>
        <rFont val="Aptos"/>
        <family val="2"/>
      </rPr>
      <t>2</t>
    </r>
    <r>
      <rPr>
        <sz val="10"/>
        <color theme="1"/>
        <rFont val="微软雅黑"/>
        <family val="2"/>
        <charset val="134"/>
      </rPr>
      <t>台</t>
    </r>
    <r>
      <rPr>
        <sz val="10"/>
        <color theme="1"/>
        <rFont val="Aptos"/>
        <family val="2"/>
      </rPr>
      <t>AN6BW-2PC</t>
    </r>
  </si>
  <si>
    <r>
      <t xml:space="preserve">M1-T </t>
    </r>
    <r>
      <rPr>
        <sz val="10"/>
        <color theme="1"/>
        <rFont val="微软雅黑"/>
        <family val="2"/>
        <charset val="134"/>
      </rPr>
      <t>电子球形把手锁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钛灰色</t>
    </r>
  </si>
  <si>
    <r>
      <t xml:space="preserve">M1-B </t>
    </r>
    <r>
      <rPr>
        <sz val="10"/>
        <color theme="1"/>
        <rFont val="微软雅黑"/>
        <family val="2"/>
        <charset val="134"/>
      </rPr>
      <t>电子球形把手锁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黑色</t>
    </r>
  </si>
  <si>
    <r>
      <t xml:space="preserve">MD1-B </t>
    </r>
    <r>
      <rPr>
        <sz val="10"/>
        <color theme="1"/>
        <rFont val="微软雅黑"/>
        <family val="2"/>
        <charset val="134"/>
      </rPr>
      <t>电子球形把手锁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指纹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黑色</t>
    </r>
  </si>
  <si>
    <r>
      <t xml:space="preserve">M1-SILV </t>
    </r>
    <r>
      <rPr>
        <sz val="10"/>
        <color theme="1"/>
        <rFont val="微软雅黑"/>
        <family val="2"/>
        <charset val="134"/>
      </rPr>
      <t>电子球形把手锁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银色</t>
    </r>
  </si>
  <si>
    <r>
      <rPr>
        <sz val="10"/>
        <color theme="1"/>
        <rFont val="微软雅黑"/>
        <family val="2"/>
        <charset val="134"/>
      </rPr>
      <t>少</t>
    </r>
    <r>
      <rPr>
        <sz val="10"/>
        <color theme="1"/>
        <rFont val="Aptos"/>
        <family val="2"/>
      </rPr>
      <t>1</t>
    </r>
    <r>
      <rPr>
        <sz val="10"/>
        <color theme="1"/>
        <rFont val="微软雅黑"/>
        <family val="2"/>
        <charset val="134"/>
      </rPr>
      <t>台</t>
    </r>
    <r>
      <rPr>
        <sz val="10"/>
        <color theme="1"/>
        <rFont val="Aptos"/>
        <family val="2"/>
      </rPr>
      <t>M1SILV</t>
    </r>
  </si>
  <si>
    <r>
      <t xml:space="preserve">K1-SILV </t>
    </r>
    <r>
      <rPr>
        <sz val="10"/>
        <color theme="1"/>
        <rFont val="微软雅黑"/>
        <family val="2"/>
        <charset val="134"/>
      </rPr>
      <t>电子球形把手锁</t>
    </r>
    <r>
      <rPr>
        <sz val="10"/>
        <color theme="1"/>
        <rFont val="Aptos"/>
        <family val="2"/>
      </rPr>
      <t>-</t>
    </r>
    <r>
      <rPr>
        <sz val="10"/>
        <color theme="1"/>
        <rFont val="微软雅黑"/>
        <family val="2"/>
        <charset val="134"/>
      </rPr>
      <t>银镍</t>
    </r>
  </si>
  <si>
    <r>
      <t xml:space="preserve">H2-B </t>
    </r>
    <r>
      <rPr>
        <sz val="10"/>
        <color theme="1"/>
        <rFont val="微软雅黑"/>
        <family val="2"/>
        <charset val="134"/>
      </rPr>
      <t>电子指纹球形把手锁</t>
    </r>
    <r>
      <rPr>
        <sz val="10"/>
        <color theme="1"/>
        <rFont val="Aptos"/>
        <family val="2"/>
      </rPr>
      <t>-</t>
    </r>
    <r>
      <rPr>
        <sz val="10"/>
        <color theme="1"/>
        <rFont val="微软雅黑"/>
        <family val="2"/>
        <charset val="134"/>
      </rPr>
      <t>黑色</t>
    </r>
  </si>
  <si>
    <r>
      <t xml:space="preserve">K1-B </t>
    </r>
    <r>
      <rPr>
        <sz val="10"/>
        <color theme="1"/>
        <rFont val="微软雅黑"/>
        <family val="2"/>
        <charset val="134"/>
      </rPr>
      <t>电子球形把手锁</t>
    </r>
    <r>
      <rPr>
        <sz val="10"/>
        <color theme="1"/>
        <rFont val="Aptos"/>
        <family val="2"/>
      </rPr>
      <t>-</t>
    </r>
    <r>
      <rPr>
        <sz val="10"/>
        <color theme="1"/>
        <rFont val="微软雅黑"/>
        <family val="2"/>
        <charset val="134"/>
      </rPr>
      <t>黑色</t>
    </r>
  </si>
  <si>
    <r>
      <t xml:space="preserve">A-6X10mL </t>
    </r>
    <r>
      <rPr>
        <sz val="10"/>
        <color theme="1"/>
        <rFont val="微软雅黑"/>
        <family val="2"/>
        <charset val="134"/>
      </rPr>
      <t>单方精油</t>
    </r>
    <r>
      <rPr>
        <sz val="10"/>
        <color theme="1"/>
        <rFont val="Aptos"/>
        <family val="2"/>
      </rPr>
      <t>6</t>
    </r>
    <r>
      <rPr>
        <sz val="10"/>
        <color theme="1"/>
        <rFont val="微软雅黑"/>
        <family val="2"/>
        <charset val="134"/>
      </rPr>
      <t>款</t>
    </r>
    <r>
      <rPr>
        <sz val="10"/>
        <color theme="1"/>
        <rFont val="Aptos"/>
        <family val="2"/>
      </rPr>
      <t>10mL</t>
    </r>
    <r>
      <rPr>
        <sz val="10"/>
        <color theme="1"/>
        <rFont val="微软雅黑"/>
        <family val="2"/>
        <charset val="134"/>
      </rPr>
      <t>套装</t>
    </r>
  </si>
  <si>
    <r>
      <t>A-SweetOrange-100mL</t>
    </r>
    <r>
      <rPr>
        <sz val="10"/>
        <color theme="1"/>
        <rFont val="微软雅黑"/>
        <family val="2"/>
        <charset val="134"/>
      </rPr>
      <t>单方甜橙精油</t>
    </r>
    <r>
      <rPr>
        <sz val="10"/>
        <color theme="1"/>
        <rFont val="Aptos"/>
        <family val="2"/>
      </rPr>
      <t>100mL</t>
    </r>
  </si>
  <si>
    <r>
      <t xml:space="preserve">A-Lavender-100mL </t>
    </r>
    <r>
      <rPr>
        <sz val="10"/>
        <color theme="1"/>
        <rFont val="微软雅黑"/>
        <family val="2"/>
        <charset val="134"/>
      </rPr>
      <t>单方薰衣草精油</t>
    </r>
    <r>
      <rPr>
        <sz val="10"/>
        <color theme="1"/>
        <rFont val="Aptos"/>
        <family val="2"/>
      </rPr>
      <t>100mL</t>
    </r>
  </si>
  <si>
    <r>
      <t xml:space="preserve">A-Peppermint-100mL </t>
    </r>
    <r>
      <rPr>
        <sz val="10"/>
        <color theme="1"/>
        <rFont val="微软雅黑"/>
        <family val="2"/>
        <charset val="134"/>
      </rPr>
      <t>单方薄荷精油</t>
    </r>
    <r>
      <rPr>
        <sz val="10"/>
        <color theme="1"/>
        <rFont val="Aptos"/>
        <family val="2"/>
      </rPr>
      <t>100mL</t>
    </r>
  </si>
  <si>
    <r>
      <t xml:space="preserve">A-Ritz Carlton Hotel 3-100 </t>
    </r>
    <r>
      <rPr>
        <sz val="10"/>
        <color theme="1"/>
        <rFont val="微软雅黑"/>
        <family val="2"/>
        <charset val="134"/>
      </rPr>
      <t>丽思卡尔顿酒店</t>
    </r>
    <r>
      <rPr>
        <sz val="10"/>
        <color theme="1"/>
        <rFont val="Aptos"/>
        <family val="2"/>
      </rPr>
      <t>3</t>
    </r>
    <r>
      <rPr>
        <sz val="10"/>
        <color theme="1"/>
        <rFont val="微软雅黑"/>
        <family val="2"/>
        <charset val="134"/>
      </rPr>
      <t>香氛油</t>
    </r>
    <r>
      <rPr>
        <sz val="10"/>
        <color theme="1"/>
        <rFont val="Aptos"/>
        <family val="2"/>
      </rPr>
      <t>100mL</t>
    </r>
  </si>
  <si>
    <r>
      <t>FEDEX--</t>
    </r>
    <r>
      <rPr>
        <sz val="10"/>
        <color theme="1"/>
        <rFont val="微软雅黑"/>
        <family val="2"/>
        <charset val="134"/>
      </rPr>
      <t>少</t>
    </r>
    <r>
      <rPr>
        <sz val="10"/>
        <color theme="1"/>
        <rFont val="Aptos"/>
        <family val="2"/>
      </rPr>
      <t>1</t>
    </r>
    <r>
      <rPr>
        <sz val="10"/>
        <color theme="1"/>
        <rFont val="微软雅黑"/>
        <family val="2"/>
        <charset val="134"/>
      </rPr>
      <t>台薰衣草精油</t>
    </r>
  </si>
  <si>
    <r>
      <t xml:space="preserve">AP2US-H13 </t>
    </r>
    <r>
      <rPr>
        <sz val="10"/>
        <color theme="1"/>
        <rFont val="微软雅黑"/>
        <family val="2"/>
        <charset val="134"/>
      </rPr>
      <t>内置</t>
    </r>
    <r>
      <rPr>
        <sz val="10"/>
        <color theme="1"/>
        <rFont val="Aptos"/>
        <family val="2"/>
      </rPr>
      <t>H13</t>
    </r>
    <r>
      <rPr>
        <sz val="10"/>
        <color theme="1"/>
        <rFont val="微软雅黑"/>
        <family val="2"/>
        <charset val="134"/>
      </rPr>
      <t>滤网桌面式空气净化器</t>
    </r>
    <r>
      <rPr>
        <sz val="10"/>
        <color theme="1"/>
        <rFont val="Aptos"/>
        <family val="2"/>
      </rPr>
      <t>2-</t>
    </r>
    <r>
      <rPr>
        <sz val="10"/>
        <color theme="1"/>
        <rFont val="微软雅黑"/>
        <family val="2"/>
        <charset val="134"/>
      </rPr>
      <t>美规</t>
    </r>
  </si>
  <si>
    <r>
      <t xml:space="preserve">AN6-LB </t>
    </r>
    <r>
      <rPr>
        <sz val="10"/>
        <color theme="1"/>
        <rFont val="微软雅黑"/>
        <family val="2"/>
        <charset val="134"/>
      </rPr>
      <t>便携式扩香仪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浅钢蓝色</t>
    </r>
  </si>
  <si>
    <r>
      <t>AN6NZ-W AN6</t>
    </r>
    <r>
      <rPr>
        <sz val="10"/>
        <color theme="1"/>
        <rFont val="微软雅黑"/>
        <family val="2"/>
        <charset val="134"/>
      </rPr>
      <t>喷嘴配件套装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白色</t>
    </r>
  </si>
  <si>
    <r>
      <rPr>
        <sz val="10"/>
        <color theme="1"/>
        <rFont val="微软雅黑"/>
        <family val="2"/>
        <charset val="134"/>
      </rPr>
      <t>少</t>
    </r>
    <r>
      <rPr>
        <sz val="10"/>
        <color theme="1"/>
        <rFont val="Aptos"/>
        <family val="2"/>
      </rPr>
      <t>3</t>
    </r>
    <r>
      <rPr>
        <sz val="10"/>
        <color theme="1"/>
        <rFont val="微软雅黑"/>
        <family val="2"/>
        <charset val="134"/>
      </rPr>
      <t>台</t>
    </r>
    <r>
      <rPr>
        <sz val="10"/>
        <color theme="1"/>
        <rFont val="Aptos"/>
        <family val="2"/>
      </rPr>
      <t>AN9G</t>
    </r>
  </si>
  <si>
    <r>
      <rPr>
        <sz val="10"/>
        <color theme="1"/>
        <rFont val="微软雅黑"/>
        <family val="2"/>
        <charset val="134"/>
      </rPr>
      <t>少</t>
    </r>
    <r>
      <rPr>
        <sz val="10"/>
        <color theme="1"/>
        <rFont val="Aptos"/>
        <family val="2"/>
      </rPr>
      <t>1</t>
    </r>
    <r>
      <rPr>
        <sz val="10"/>
        <color theme="1"/>
        <rFont val="微软雅黑"/>
        <family val="2"/>
        <charset val="134"/>
      </rPr>
      <t>瓶丽思卡尔顿</t>
    </r>
  </si>
  <si>
    <r>
      <rPr>
        <sz val="10"/>
        <color theme="1"/>
        <rFont val="微软雅黑"/>
        <family val="2"/>
        <charset val="134"/>
      </rPr>
      <t>少</t>
    </r>
    <r>
      <rPr>
        <sz val="10"/>
        <color theme="1"/>
        <rFont val="Aptos"/>
        <family val="2"/>
      </rPr>
      <t>4</t>
    </r>
    <r>
      <rPr>
        <sz val="10"/>
        <color theme="1"/>
        <rFont val="微软雅黑"/>
        <family val="2"/>
        <charset val="134"/>
      </rPr>
      <t>套精油套装</t>
    </r>
  </si>
  <si>
    <r>
      <t xml:space="preserve">T1B-2PC </t>
    </r>
    <r>
      <rPr>
        <sz val="10"/>
        <color theme="1"/>
        <rFont val="微软雅黑"/>
        <family val="2"/>
        <charset val="134"/>
      </rPr>
      <t>防丢器黑色两个装</t>
    </r>
  </si>
  <si>
    <r>
      <t xml:space="preserve">T1W-4PC </t>
    </r>
    <r>
      <rPr>
        <sz val="10"/>
        <color theme="1"/>
        <rFont val="微软雅黑"/>
        <family val="2"/>
        <charset val="134"/>
      </rPr>
      <t>防丢器白色四个装</t>
    </r>
  </si>
  <si>
    <r>
      <rPr>
        <sz val="10"/>
        <color theme="1"/>
        <rFont val="微软雅黑"/>
        <family val="2"/>
        <charset val="134"/>
      </rPr>
      <t>少</t>
    </r>
    <r>
      <rPr>
        <sz val="10"/>
        <color theme="1"/>
        <rFont val="Aptos"/>
        <family val="2"/>
      </rPr>
      <t>2</t>
    </r>
    <r>
      <rPr>
        <sz val="10"/>
        <color theme="1"/>
        <rFont val="微软雅黑"/>
        <family val="2"/>
        <charset val="134"/>
      </rPr>
      <t>台</t>
    </r>
    <r>
      <rPr>
        <sz val="10"/>
        <color theme="1"/>
        <rFont val="Aptos"/>
        <family val="2"/>
      </rPr>
      <t>t1b-2pc</t>
    </r>
  </si>
  <si>
    <r>
      <t>UPS--</t>
    </r>
    <r>
      <rPr>
        <sz val="10"/>
        <color theme="1"/>
        <rFont val="微软雅黑"/>
        <family val="2"/>
        <charset val="134"/>
      </rPr>
      <t>少</t>
    </r>
    <r>
      <rPr>
        <sz val="10"/>
        <color theme="1"/>
        <rFont val="Aptos"/>
        <family val="2"/>
      </rPr>
      <t>3</t>
    </r>
    <r>
      <rPr>
        <sz val="10"/>
        <color theme="1"/>
        <rFont val="微软雅黑"/>
        <family val="2"/>
        <charset val="134"/>
      </rPr>
      <t>台</t>
    </r>
    <r>
      <rPr>
        <sz val="10"/>
        <color theme="1"/>
        <rFont val="Aptos"/>
        <family val="2"/>
      </rPr>
      <t>T1B-4PC</t>
    </r>
  </si>
  <si>
    <r>
      <t xml:space="preserve">T1B-4PC </t>
    </r>
    <r>
      <rPr>
        <sz val="10"/>
        <color theme="1"/>
        <rFont val="微软雅黑"/>
        <family val="2"/>
        <charset val="134"/>
      </rPr>
      <t>防丢器黑色四个装</t>
    </r>
  </si>
  <si>
    <r>
      <t xml:space="preserve">T1W-2PC </t>
    </r>
    <r>
      <rPr>
        <sz val="10"/>
        <color theme="1"/>
        <rFont val="微软雅黑"/>
        <family val="2"/>
        <charset val="134"/>
      </rPr>
      <t>防丢器白色两个装</t>
    </r>
  </si>
  <si>
    <r>
      <t xml:space="preserve">T1W-1PC </t>
    </r>
    <r>
      <rPr>
        <sz val="10"/>
        <color theme="1"/>
        <rFont val="微软雅黑"/>
        <family val="2"/>
        <charset val="134"/>
      </rPr>
      <t>防丢器白色一个装</t>
    </r>
  </si>
  <si>
    <r>
      <t xml:space="preserve">ES1-B </t>
    </r>
    <r>
      <rPr>
        <sz val="10"/>
        <color theme="1"/>
        <rFont val="微软雅黑"/>
        <family val="2"/>
        <charset val="134"/>
      </rPr>
      <t>电动泡沫喷机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黑色</t>
    </r>
  </si>
  <si>
    <r>
      <t xml:space="preserve">ES1-Bkit </t>
    </r>
    <r>
      <rPr>
        <sz val="10"/>
        <color theme="1"/>
        <rFont val="微软雅黑"/>
        <family val="2"/>
        <charset val="134"/>
      </rPr>
      <t>电动泡沫喷机黑色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托架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硅胶刷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套装</t>
    </r>
  </si>
  <si>
    <r>
      <t xml:space="preserve">ES1-W </t>
    </r>
    <r>
      <rPr>
        <sz val="10"/>
        <color theme="1"/>
        <rFont val="微软雅黑"/>
        <family val="2"/>
        <charset val="134"/>
      </rPr>
      <t>电动泡沫喷机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白色</t>
    </r>
  </si>
  <si>
    <r>
      <t xml:space="preserve">ES1-Wkit </t>
    </r>
    <r>
      <rPr>
        <sz val="10"/>
        <color theme="1"/>
        <rFont val="微软雅黑"/>
        <family val="2"/>
        <charset val="134"/>
      </rPr>
      <t>电动泡沫喷机白色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托架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硅胶刷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套装</t>
    </r>
  </si>
  <si>
    <r>
      <t xml:space="preserve">ES1-TJB </t>
    </r>
    <r>
      <rPr>
        <sz val="10"/>
        <color theme="1"/>
        <rFont val="微软雅黑"/>
        <family val="2"/>
        <charset val="134"/>
      </rPr>
      <t>电动泡沫喷机托架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黑色</t>
    </r>
  </si>
  <si>
    <r>
      <t xml:space="preserve">ES1-TJW </t>
    </r>
    <r>
      <rPr>
        <sz val="10"/>
        <color theme="1"/>
        <rFont val="微软雅黑"/>
        <family val="2"/>
        <charset val="134"/>
      </rPr>
      <t>电动泡沫喷机托架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白色</t>
    </r>
  </si>
  <si>
    <r>
      <t xml:space="preserve">ES1-Bot </t>
    </r>
    <r>
      <rPr>
        <sz val="10"/>
        <color theme="1"/>
        <rFont val="微软雅黑"/>
        <family val="2"/>
        <charset val="134"/>
      </rPr>
      <t>电动泡沫喷机带盖替换瓶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透明</t>
    </r>
  </si>
  <si>
    <r>
      <rPr>
        <sz val="10"/>
        <color theme="1"/>
        <rFont val="微软雅黑"/>
        <family val="2"/>
        <charset val="134"/>
      </rPr>
      <t>少</t>
    </r>
    <r>
      <rPr>
        <sz val="10"/>
        <color theme="1"/>
        <rFont val="Aptos"/>
        <family val="2"/>
      </rPr>
      <t>24</t>
    </r>
    <r>
      <rPr>
        <sz val="10"/>
        <color theme="1"/>
        <rFont val="微软雅黑"/>
        <family val="2"/>
        <charset val="134"/>
      </rPr>
      <t>台</t>
    </r>
    <r>
      <rPr>
        <sz val="10"/>
        <color theme="1"/>
        <rFont val="Aptos"/>
        <family val="2"/>
      </rPr>
      <t>ES1</t>
    </r>
    <r>
      <rPr>
        <sz val="10"/>
        <color theme="1"/>
        <rFont val="微软雅黑"/>
        <family val="2"/>
        <charset val="134"/>
      </rPr>
      <t>黑套装</t>
    </r>
  </si>
  <si>
    <r>
      <t xml:space="preserve">ANX-SILV </t>
    </r>
    <r>
      <rPr>
        <sz val="10"/>
        <color theme="1"/>
        <rFont val="微软雅黑"/>
        <family val="2"/>
        <charset val="134"/>
      </rPr>
      <t>便携式扩香仪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银色</t>
    </r>
  </si>
  <si>
    <r>
      <rPr>
        <sz val="10"/>
        <color theme="1"/>
        <rFont val="微软雅黑"/>
        <family val="2"/>
        <charset val="134"/>
      </rPr>
      <t>少</t>
    </r>
    <r>
      <rPr>
        <sz val="10"/>
        <color theme="1"/>
        <rFont val="Aptos"/>
        <family val="2"/>
      </rPr>
      <t>25</t>
    </r>
    <r>
      <rPr>
        <sz val="10"/>
        <color theme="1"/>
        <rFont val="微软雅黑"/>
        <family val="2"/>
        <charset val="134"/>
      </rPr>
      <t>台</t>
    </r>
    <r>
      <rPr>
        <sz val="10"/>
        <color theme="1"/>
        <rFont val="Aptos"/>
        <family val="2"/>
      </rPr>
      <t>ANXB</t>
    </r>
  </si>
  <si>
    <r>
      <t xml:space="preserve">ANX-GD </t>
    </r>
    <r>
      <rPr>
        <sz val="10"/>
        <color theme="1"/>
        <rFont val="微软雅黑"/>
        <family val="2"/>
        <charset val="134"/>
      </rPr>
      <t>便携式扩香仪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金色</t>
    </r>
  </si>
  <si>
    <r>
      <t xml:space="preserve">ANX-MT </t>
    </r>
    <r>
      <rPr>
        <sz val="10"/>
        <color theme="1"/>
        <rFont val="微软雅黑"/>
        <family val="2"/>
        <charset val="134"/>
      </rPr>
      <t>便携式扩香仪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薄荷绿色</t>
    </r>
  </si>
  <si>
    <r>
      <t xml:space="preserve">AN3(5)Bottle </t>
    </r>
    <r>
      <rPr>
        <sz val="10"/>
        <color theme="1"/>
        <rFont val="微软雅黑"/>
        <family val="2"/>
        <charset val="134"/>
      </rPr>
      <t>便携式扩香仪玻璃瓶</t>
    </r>
  </si>
  <si>
    <r>
      <rPr>
        <sz val="10"/>
        <color theme="1"/>
        <rFont val="微软雅黑"/>
        <family val="2"/>
        <charset val="134"/>
      </rPr>
      <t>少</t>
    </r>
    <r>
      <rPr>
        <sz val="10"/>
        <color theme="1"/>
        <rFont val="Aptos"/>
        <family val="2"/>
      </rPr>
      <t>3</t>
    </r>
    <r>
      <rPr>
        <sz val="10"/>
        <color theme="1"/>
        <rFont val="微软雅黑"/>
        <family val="2"/>
        <charset val="134"/>
      </rPr>
      <t>台</t>
    </r>
    <r>
      <rPr>
        <sz val="10"/>
        <color theme="1"/>
        <rFont val="Aptos"/>
        <family val="2"/>
      </rPr>
      <t>ANWBK</t>
    </r>
  </si>
  <si>
    <r>
      <rPr>
        <sz val="10"/>
        <color theme="1"/>
        <rFont val="微软雅黑"/>
        <family val="2"/>
        <charset val="134"/>
      </rPr>
      <t>少</t>
    </r>
    <r>
      <rPr>
        <sz val="10"/>
        <color theme="1"/>
        <rFont val="Aptos"/>
        <family val="2"/>
      </rPr>
      <t>40</t>
    </r>
    <r>
      <rPr>
        <sz val="10"/>
        <color theme="1"/>
        <rFont val="微软雅黑"/>
        <family val="2"/>
        <charset val="134"/>
      </rPr>
      <t>台</t>
    </r>
    <r>
      <rPr>
        <sz val="10"/>
        <color theme="1"/>
        <rFont val="Aptos"/>
        <family val="2"/>
      </rPr>
      <t>ANWWH</t>
    </r>
  </si>
  <si>
    <r>
      <rPr>
        <sz val="10"/>
        <color theme="1"/>
        <rFont val="微软雅黑"/>
        <family val="2"/>
        <charset val="134"/>
      </rPr>
      <t>少</t>
    </r>
    <r>
      <rPr>
        <sz val="10"/>
        <color theme="1"/>
        <rFont val="Aptos"/>
        <family val="2"/>
      </rPr>
      <t>12</t>
    </r>
    <r>
      <rPr>
        <sz val="10"/>
        <color theme="1"/>
        <rFont val="微软雅黑"/>
        <family val="2"/>
        <charset val="134"/>
      </rPr>
      <t>台</t>
    </r>
    <r>
      <rPr>
        <sz val="10"/>
        <color theme="1"/>
        <rFont val="Aptos"/>
        <family val="2"/>
      </rPr>
      <t>ES1WKIT</t>
    </r>
  </si>
  <si>
    <r>
      <rPr>
        <sz val="10"/>
        <color theme="1"/>
        <rFont val="微软雅黑"/>
        <family val="2"/>
        <charset val="134"/>
      </rPr>
      <t>少</t>
    </r>
    <r>
      <rPr>
        <sz val="10"/>
        <color theme="1"/>
        <rFont val="Aptos"/>
        <family val="2"/>
      </rPr>
      <t>3</t>
    </r>
    <r>
      <rPr>
        <sz val="10"/>
        <color theme="1"/>
        <rFont val="微软雅黑"/>
        <family val="2"/>
        <charset val="134"/>
      </rPr>
      <t>台</t>
    </r>
    <r>
      <rPr>
        <sz val="10"/>
        <color theme="1"/>
        <rFont val="Aptos"/>
        <family val="2"/>
      </rPr>
      <t>ANXBB-2PC</t>
    </r>
  </si>
  <si>
    <r>
      <rPr>
        <sz val="10"/>
        <color theme="1"/>
        <rFont val="微软雅黑"/>
        <family val="2"/>
        <charset val="134"/>
      </rPr>
      <t>少</t>
    </r>
    <r>
      <rPr>
        <sz val="10"/>
        <color theme="1"/>
        <rFont val="Aptos"/>
        <family val="2"/>
      </rPr>
      <t>1</t>
    </r>
    <r>
      <rPr>
        <sz val="10"/>
        <color theme="1"/>
        <rFont val="微软雅黑"/>
        <family val="2"/>
        <charset val="134"/>
      </rPr>
      <t>台</t>
    </r>
    <r>
      <rPr>
        <sz val="10"/>
        <color theme="1"/>
        <rFont val="Aptos"/>
        <family val="2"/>
      </rPr>
      <t>ANXMT</t>
    </r>
  </si>
  <si>
    <r>
      <rPr>
        <sz val="10"/>
        <color theme="1"/>
        <rFont val="微软雅黑"/>
        <family val="2"/>
        <charset val="134"/>
      </rPr>
      <t>少</t>
    </r>
    <r>
      <rPr>
        <sz val="10"/>
        <color theme="1"/>
        <rFont val="Aptos"/>
        <family val="2"/>
      </rPr>
      <t>1</t>
    </r>
    <r>
      <rPr>
        <sz val="10"/>
        <color theme="1"/>
        <rFont val="微软雅黑"/>
        <family val="2"/>
        <charset val="134"/>
      </rPr>
      <t>台</t>
    </r>
    <r>
      <rPr>
        <sz val="10"/>
        <color theme="1"/>
        <rFont val="Aptos"/>
        <family val="2"/>
      </rPr>
      <t>ANXSILV</t>
    </r>
  </si>
  <si>
    <r>
      <t xml:space="preserve">A-Hilton Hotel 2-100 </t>
    </r>
    <r>
      <rPr>
        <sz val="10"/>
        <color theme="1"/>
        <rFont val="微软雅黑"/>
        <family val="2"/>
        <charset val="134"/>
      </rPr>
      <t>希尔顿酒店</t>
    </r>
    <r>
      <rPr>
        <sz val="10"/>
        <color theme="1"/>
        <rFont val="Aptos"/>
        <family val="2"/>
      </rPr>
      <t>2</t>
    </r>
    <r>
      <rPr>
        <sz val="10"/>
        <color theme="1"/>
        <rFont val="微软雅黑"/>
        <family val="2"/>
        <charset val="134"/>
      </rPr>
      <t>香氛油</t>
    </r>
    <r>
      <rPr>
        <sz val="10"/>
        <color theme="1"/>
        <rFont val="Aptos"/>
        <family val="2"/>
      </rPr>
      <t>100mL</t>
    </r>
  </si>
  <si>
    <r>
      <rPr>
        <sz val="10"/>
        <color theme="1"/>
        <rFont val="微软雅黑"/>
        <family val="2"/>
        <charset val="134"/>
      </rPr>
      <t>少</t>
    </r>
    <r>
      <rPr>
        <sz val="10"/>
        <color theme="1"/>
        <rFont val="Aptos"/>
        <family val="2"/>
      </rPr>
      <t>1</t>
    </r>
    <r>
      <rPr>
        <sz val="10"/>
        <color theme="1"/>
        <rFont val="微软雅黑"/>
        <family val="2"/>
        <charset val="134"/>
      </rPr>
      <t>台</t>
    </r>
    <r>
      <rPr>
        <sz val="10"/>
        <color theme="1"/>
        <rFont val="Aptos"/>
        <family val="2"/>
      </rPr>
      <t>AN2IB</t>
    </r>
  </si>
  <si>
    <r>
      <t xml:space="preserve">AN3(5)-GD </t>
    </r>
    <r>
      <rPr>
        <sz val="10"/>
        <color theme="1"/>
        <rFont val="微软雅黑"/>
        <family val="2"/>
        <charset val="134"/>
      </rPr>
      <t>便携式扩香仪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金色</t>
    </r>
  </si>
  <si>
    <r>
      <rPr>
        <sz val="10"/>
        <color theme="1"/>
        <rFont val="微软雅黑"/>
        <family val="2"/>
        <charset val="134"/>
      </rPr>
      <t>少</t>
    </r>
    <r>
      <rPr>
        <sz val="10"/>
        <color theme="1"/>
        <rFont val="Aptos"/>
        <family val="2"/>
      </rPr>
      <t>1</t>
    </r>
    <r>
      <rPr>
        <sz val="10"/>
        <color theme="1"/>
        <rFont val="微软雅黑"/>
        <family val="2"/>
        <charset val="134"/>
      </rPr>
      <t>台</t>
    </r>
    <r>
      <rPr>
        <sz val="10"/>
        <color theme="1"/>
        <rFont val="Aptos"/>
        <family val="2"/>
      </rPr>
      <t>ANXB</t>
    </r>
  </si>
  <si>
    <r>
      <t xml:space="preserve">MK1-SILV </t>
    </r>
    <r>
      <rPr>
        <sz val="10"/>
        <color theme="1"/>
        <rFont val="微软雅黑"/>
        <family val="2"/>
        <charset val="134"/>
      </rPr>
      <t>智能球形把手锁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银色</t>
    </r>
  </si>
  <si>
    <r>
      <t xml:space="preserve">MK1-T </t>
    </r>
    <r>
      <rPr>
        <sz val="10"/>
        <color theme="1"/>
        <rFont val="微软雅黑"/>
        <family val="2"/>
        <charset val="134"/>
      </rPr>
      <t>智能球形把手锁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钛色</t>
    </r>
  </si>
  <si>
    <r>
      <t xml:space="preserve">MD1-T </t>
    </r>
    <r>
      <rPr>
        <sz val="10"/>
        <color theme="1"/>
        <rFont val="微软雅黑"/>
        <family val="2"/>
        <charset val="134"/>
      </rPr>
      <t>电子球形把手锁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指纹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钛灰色</t>
    </r>
  </si>
  <si>
    <r>
      <t xml:space="preserve">K1-G </t>
    </r>
    <r>
      <rPr>
        <sz val="10"/>
        <color theme="1"/>
        <rFont val="微软雅黑"/>
        <family val="2"/>
        <charset val="134"/>
      </rPr>
      <t>电子球形把手锁</t>
    </r>
    <r>
      <rPr>
        <sz val="10"/>
        <color theme="1"/>
        <rFont val="Aptos"/>
        <family val="2"/>
      </rPr>
      <t>-</t>
    </r>
    <r>
      <rPr>
        <sz val="10"/>
        <color theme="1"/>
        <rFont val="微软雅黑"/>
        <family val="2"/>
        <charset val="134"/>
      </rPr>
      <t>太空灰</t>
    </r>
  </si>
  <si>
    <r>
      <t xml:space="preserve">K1-S+S </t>
    </r>
    <r>
      <rPr>
        <sz val="10"/>
        <color theme="1"/>
        <rFont val="微软雅黑"/>
        <family val="2"/>
        <charset val="134"/>
      </rPr>
      <t>电子球形把手锁</t>
    </r>
    <r>
      <rPr>
        <sz val="10"/>
        <color theme="1"/>
        <rFont val="Aptos"/>
        <family val="2"/>
      </rPr>
      <t>-</t>
    </r>
    <r>
      <rPr>
        <sz val="10"/>
        <color theme="1"/>
        <rFont val="微软雅黑"/>
        <family val="2"/>
        <charset val="134"/>
      </rPr>
      <t>镍镍</t>
    </r>
  </si>
  <si>
    <r>
      <t xml:space="preserve">ANX-IB </t>
    </r>
    <r>
      <rPr>
        <sz val="10"/>
        <color theme="1"/>
        <rFont val="微软雅黑"/>
        <family val="2"/>
        <charset val="134"/>
      </rPr>
      <t>便携式扩香仪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冰蓝色</t>
    </r>
  </si>
  <si>
    <r>
      <t xml:space="preserve">ANX-SG </t>
    </r>
    <r>
      <rPr>
        <sz val="10"/>
        <color theme="1"/>
        <rFont val="微软雅黑"/>
        <family val="2"/>
        <charset val="134"/>
      </rPr>
      <t>便携式扩香仪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太空灰色</t>
    </r>
  </si>
  <si>
    <r>
      <rPr>
        <sz val="10"/>
        <color theme="1"/>
        <rFont val="微软雅黑"/>
        <family val="2"/>
        <charset val="134"/>
      </rPr>
      <t>少</t>
    </r>
    <r>
      <rPr>
        <sz val="10"/>
        <color theme="1"/>
        <rFont val="Aptos"/>
        <family val="2"/>
      </rPr>
      <t>8</t>
    </r>
    <r>
      <rPr>
        <sz val="10"/>
        <color theme="1"/>
        <rFont val="微软雅黑"/>
        <family val="2"/>
        <charset val="134"/>
      </rPr>
      <t>台</t>
    </r>
    <r>
      <rPr>
        <sz val="10"/>
        <color theme="1"/>
        <rFont val="Aptos"/>
        <family val="2"/>
      </rPr>
      <t>AP2(H13)</t>
    </r>
  </si>
  <si>
    <r>
      <t>SH</t>
    </r>
    <r>
      <rPr>
        <sz val="10"/>
        <color theme="1"/>
        <rFont val="微软雅黑"/>
        <family val="2"/>
        <charset val="134"/>
      </rPr>
      <t>少</t>
    </r>
    <r>
      <rPr>
        <sz val="10"/>
        <color theme="1"/>
        <rFont val="Aptos"/>
        <family val="2"/>
      </rPr>
      <t>1</t>
    </r>
    <r>
      <rPr>
        <sz val="10"/>
        <color theme="1"/>
        <rFont val="微软雅黑"/>
        <family val="2"/>
        <charset val="134"/>
      </rPr>
      <t>台</t>
    </r>
    <r>
      <rPr>
        <sz val="10"/>
        <color theme="1"/>
        <rFont val="Aptos"/>
        <family val="2"/>
      </rPr>
      <t>ANXGD</t>
    </r>
  </si>
  <si>
    <r>
      <t xml:space="preserve">A-Sandalwood-100mL </t>
    </r>
    <r>
      <rPr>
        <sz val="10"/>
        <color theme="1"/>
        <rFont val="微软雅黑"/>
        <family val="2"/>
        <charset val="134"/>
      </rPr>
      <t>单方檀香精油</t>
    </r>
    <r>
      <rPr>
        <sz val="10"/>
        <color theme="1"/>
        <rFont val="Aptos"/>
        <family val="2"/>
      </rPr>
      <t>100mL</t>
    </r>
  </si>
  <si>
    <r>
      <t xml:space="preserve">A-Marriott Hotel 1-100 </t>
    </r>
    <r>
      <rPr>
        <sz val="10"/>
        <color theme="1"/>
        <rFont val="微软雅黑"/>
        <family val="2"/>
        <charset val="134"/>
      </rPr>
      <t>万豪酒店</t>
    </r>
    <r>
      <rPr>
        <sz val="10"/>
        <color theme="1"/>
        <rFont val="Aptos"/>
        <family val="2"/>
      </rPr>
      <t>1</t>
    </r>
    <r>
      <rPr>
        <sz val="10"/>
        <color theme="1"/>
        <rFont val="微软雅黑"/>
        <family val="2"/>
        <charset val="134"/>
      </rPr>
      <t>香氛油</t>
    </r>
    <r>
      <rPr>
        <sz val="10"/>
        <color theme="1"/>
        <rFont val="Aptos"/>
        <family val="2"/>
      </rPr>
      <t>100mL</t>
    </r>
  </si>
  <si>
    <r>
      <t xml:space="preserve">A-Vanilla-100mL </t>
    </r>
    <r>
      <rPr>
        <sz val="10"/>
        <color theme="1"/>
        <rFont val="微软雅黑"/>
        <family val="2"/>
        <charset val="134"/>
      </rPr>
      <t>单方香草精油</t>
    </r>
    <r>
      <rPr>
        <sz val="10"/>
        <color theme="1"/>
        <rFont val="Aptos"/>
        <family val="2"/>
      </rPr>
      <t>100mL</t>
    </r>
  </si>
  <si>
    <r>
      <t xml:space="preserve">MD1-SILV </t>
    </r>
    <r>
      <rPr>
        <sz val="10"/>
        <color theme="1"/>
        <rFont val="微软雅黑"/>
        <family val="2"/>
        <charset val="134"/>
      </rPr>
      <t>电子球形把手锁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指纹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银色</t>
    </r>
  </si>
  <si>
    <r>
      <t xml:space="preserve">H1-B </t>
    </r>
    <r>
      <rPr>
        <sz val="10"/>
        <color theme="1"/>
        <rFont val="微软雅黑"/>
        <family val="2"/>
        <charset val="134"/>
      </rPr>
      <t>电子球形把手锁</t>
    </r>
    <r>
      <rPr>
        <sz val="10"/>
        <color theme="1"/>
        <rFont val="Aptos"/>
        <family val="2"/>
      </rPr>
      <t>-</t>
    </r>
    <r>
      <rPr>
        <sz val="10"/>
        <color theme="1"/>
        <rFont val="微软雅黑"/>
        <family val="2"/>
        <charset val="134"/>
      </rPr>
      <t>黑色</t>
    </r>
  </si>
  <si>
    <r>
      <t xml:space="preserve">H1-G </t>
    </r>
    <r>
      <rPr>
        <sz val="10"/>
        <color theme="1"/>
        <rFont val="微软雅黑"/>
        <family val="2"/>
        <charset val="134"/>
      </rPr>
      <t>电子球形把手锁</t>
    </r>
    <r>
      <rPr>
        <sz val="10"/>
        <color theme="1"/>
        <rFont val="Aptos"/>
        <family val="2"/>
      </rPr>
      <t>-</t>
    </r>
    <r>
      <rPr>
        <sz val="10"/>
        <color theme="1"/>
        <rFont val="微软雅黑"/>
        <family val="2"/>
        <charset val="134"/>
      </rPr>
      <t>太空灰</t>
    </r>
  </si>
  <si>
    <r>
      <t xml:space="preserve">H2-G </t>
    </r>
    <r>
      <rPr>
        <sz val="10"/>
        <color theme="1"/>
        <rFont val="微软雅黑"/>
        <family val="2"/>
        <charset val="134"/>
      </rPr>
      <t>电子指纹球形把手锁</t>
    </r>
    <r>
      <rPr>
        <sz val="10"/>
        <color theme="1"/>
        <rFont val="Aptos"/>
        <family val="2"/>
      </rPr>
      <t>-</t>
    </r>
    <r>
      <rPr>
        <sz val="10"/>
        <color theme="1"/>
        <rFont val="微软雅黑"/>
        <family val="2"/>
        <charset val="134"/>
      </rPr>
      <t>灰色</t>
    </r>
  </si>
  <si>
    <r>
      <t xml:space="preserve">H1-S </t>
    </r>
    <r>
      <rPr>
        <sz val="10"/>
        <color theme="1"/>
        <rFont val="微软雅黑"/>
        <family val="2"/>
        <charset val="134"/>
      </rPr>
      <t>电子球形把手锁</t>
    </r>
    <r>
      <rPr>
        <sz val="10"/>
        <color theme="1"/>
        <rFont val="Aptos"/>
        <family val="2"/>
      </rPr>
      <t>-</t>
    </r>
    <r>
      <rPr>
        <sz val="10"/>
        <color theme="1"/>
        <rFont val="微软雅黑"/>
        <family val="2"/>
        <charset val="134"/>
      </rPr>
      <t>镍色</t>
    </r>
  </si>
  <si>
    <r>
      <t xml:space="preserve">H2-S </t>
    </r>
    <r>
      <rPr>
        <sz val="10"/>
        <color theme="1"/>
        <rFont val="微软雅黑"/>
        <family val="2"/>
        <charset val="134"/>
      </rPr>
      <t>电子指纹球形把手锁</t>
    </r>
    <r>
      <rPr>
        <sz val="10"/>
        <color theme="1"/>
        <rFont val="Aptos"/>
        <family val="2"/>
      </rPr>
      <t>-</t>
    </r>
    <r>
      <rPr>
        <sz val="10"/>
        <color theme="1"/>
        <rFont val="微软雅黑"/>
        <family val="2"/>
        <charset val="134"/>
      </rPr>
      <t>镍色</t>
    </r>
  </si>
  <si>
    <r>
      <t xml:space="preserve">H1-SILV </t>
    </r>
    <r>
      <rPr>
        <sz val="10"/>
        <color theme="1"/>
        <rFont val="微软雅黑"/>
        <family val="2"/>
        <charset val="134"/>
      </rPr>
      <t>电子球形把手锁</t>
    </r>
    <r>
      <rPr>
        <sz val="10"/>
        <color theme="1"/>
        <rFont val="Aptos"/>
        <family val="2"/>
      </rPr>
      <t>-</t>
    </r>
    <r>
      <rPr>
        <sz val="10"/>
        <color theme="1"/>
        <rFont val="微软雅黑"/>
        <family val="2"/>
        <charset val="134"/>
      </rPr>
      <t>银色</t>
    </r>
  </si>
  <si>
    <r>
      <t xml:space="preserve">ANX-2PC-BGD </t>
    </r>
    <r>
      <rPr>
        <sz val="10"/>
        <color theme="1"/>
        <rFont val="微软雅黑"/>
        <family val="2"/>
        <charset val="134"/>
      </rPr>
      <t>便携式扩香仪套装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黑</t>
    </r>
    <r>
      <rPr>
        <sz val="10"/>
        <color theme="1"/>
        <rFont val="Aptos"/>
        <family val="2"/>
      </rPr>
      <t>+</t>
    </r>
    <r>
      <rPr>
        <sz val="10"/>
        <color theme="1"/>
        <rFont val="微软雅黑"/>
        <family val="2"/>
        <charset val="134"/>
      </rPr>
      <t>金</t>
    </r>
  </si>
  <si>
    <r>
      <t xml:space="preserve">ANX-2PC-BS </t>
    </r>
    <r>
      <rPr>
        <sz val="10"/>
        <color theme="1"/>
        <rFont val="微软雅黑"/>
        <family val="2"/>
        <charset val="134"/>
      </rPr>
      <t>便携式扩香仪套装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黑</t>
    </r>
    <r>
      <rPr>
        <sz val="10"/>
        <color theme="1"/>
        <rFont val="Aptos"/>
        <family val="2"/>
      </rPr>
      <t>+</t>
    </r>
    <r>
      <rPr>
        <sz val="10"/>
        <color theme="1"/>
        <rFont val="微软雅黑"/>
        <family val="2"/>
        <charset val="134"/>
      </rPr>
      <t>银</t>
    </r>
  </si>
  <si>
    <r>
      <t>CBM</t>
    </r>
    <r>
      <rPr>
        <sz val="10"/>
        <color rgb="FFFF0000"/>
        <rFont val="微软雅黑"/>
        <family val="2"/>
        <charset val="134"/>
      </rPr>
      <t>收费</t>
    </r>
  </si>
  <si>
    <r>
      <rPr>
        <sz val="10"/>
        <color theme="1"/>
        <rFont val="微软雅黑"/>
        <family val="2"/>
        <charset val="134"/>
      </rPr>
      <t>少</t>
    </r>
    <r>
      <rPr>
        <sz val="10"/>
        <color theme="1"/>
        <rFont val="Aptos"/>
        <family val="2"/>
      </rPr>
      <t>7</t>
    </r>
    <r>
      <rPr>
        <sz val="10"/>
        <color theme="1"/>
        <rFont val="微软雅黑"/>
        <family val="2"/>
        <charset val="134"/>
      </rPr>
      <t>台</t>
    </r>
    <r>
      <rPr>
        <sz val="10"/>
        <color theme="1"/>
        <rFont val="Aptos"/>
        <family val="2"/>
      </rPr>
      <t>AN6W</t>
    </r>
  </si>
  <si>
    <r>
      <t xml:space="preserve">MK1-B </t>
    </r>
    <r>
      <rPr>
        <sz val="10"/>
        <color theme="1"/>
        <rFont val="微软雅黑"/>
        <family val="2"/>
        <charset val="134"/>
      </rPr>
      <t>智能球形把手锁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黑色</t>
    </r>
  </si>
  <si>
    <r>
      <t xml:space="preserve">AN6-YG </t>
    </r>
    <r>
      <rPr>
        <sz val="10"/>
        <color theme="1"/>
        <rFont val="微软雅黑"/>
        <family val="2"/>
        <charset val="134"/>
      </rPr>
      <t>便携式扩香仪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乳酪色</t>
    </r>
  </si>
  <si>
    <r>
      <t xml:space="preserve">AN6-G </t>
    </r>
    <r>
      <rPr>
        <sz val="10"/>
        <color theme="1"/>
        <rFont val="微软雅黑"/>
        <family val="2"/>
        <charset val="134"/>
      </rPr>
      <t>便携式扩香仪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灰色</t>
    </r>
  </si>
  <si>
    <r>
      <t>ANXKIT-B_RZ30ml ANX</t>
    </r>
    <r>
      <rPr>
        <sz val="10"/>
        <color theme="1"/>
        <rFont val="微软雅黑"/>
        <family val="2"/>
        <charset val="134"/>
      </rPr>
      <t>黑色机器</t>
    </r>
    <r>
      <rPr>
        <sz val="10"/>
        <color theme="1"/>
        <rFont val="Aptos"/>
        <family val="2"/>
      </rPr>
      <t>+30mL</t>
    </r>
    <r>
      <rPr>
        <sz val="10"/>
        <color theme="1"/>
        <rFont val="微软雅黑"/>
        <family val="2"/>
        <charset val="134"/>
      </rPr>
      <t>丽思香氛油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机油套装</t>
    </r>
  </si>
  <si>
    <r>
      <t>ANXKIT-GD_RZ30ml ANX</t>
    </r>
    <r>
      <rPr>
        <sz val="10"/>
        <color theme="1"/>
        <rFont val="微软雅黑"/>
        <family val="2"/>
        <charset val="134"/>
      </rPr>
      <t>金色机器</t>
    </r>
    <r>
      <rPr>
        <sz val="10"/>
        <color theme="1"/>
        <rFont val="Aptos"/>
        <family val="2"/>
      </rPr>
      <t>+30mL</t>
    </r>
    <r>
      <rPr>
        <sz val="10"/>
        <color theme="1"/>
        <rFont val="微软雅黑"/>
        <family val="2"/>
        <charset val="134"/>
      </rPr>
      <t>丽思香氛油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机油套装</t>
    </r>
  </si>
  <si>
    <r>
      <t>AN6KIT-B_RZ30ml AN6</t>
    </r>
    <r>
      <rPr>
        <sz val="10"/>
        <color theme="1"/>
        <rFont val="微软雅黑"/>
        <family val="2"/>
        <charset val="134"/>
      </rPr>
      <t>黑色机器</t>
    </r>
    <r>
      <rPr>
        <sz val="10"/>
        <color theme="1"/>
        <rFont val="Aptos"/>
        <family val="2"/>
      </rPr>
      <t>+30mL</t>
    </r>
    <r>
      <rPr>
        <sz val="10"/>
        <color theme="1"/>
        <rFont val="微软雅黑"/>
        <family val="2"/>
        <charset val="134"/>
      </rPr>
      <t>丽思香氛油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机油套装</t>
    </r>
  </si>
  <si>
    <r>
      <t xml:space="preserve">AN6-LV </t>
    </r>
    <r>
      <rPr>
        <sz val="10"/>
        <color theme="1"/>
        <rFont val="微软雅黑"/>
        <family val="2"/>
        <charset val="134"/>
      </rPr>
      <t>便携式扩香仪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薰衣草</t>
    </r>
  </si>
  <si>
    <r>
      <t>AN9KIT-B_RZ30ml AN2(9)</t>
    </r>
    <r>
      <rPr>
        <sz val="10"/>
        <color theme="1"/>
        <rFont val="微软雅黑"/>
        <family val="2"/>
        <charset val="134"/>
      </rPr>
      <t>黑色机器</t>
    </r>
    <r>
      <rPr>
        <sz val="10"/>
        <color theme="1"/>
        <rFont val="Aptos"/>
        <family val="2"/>
      </rPr>
      <t>+30mL</t>
    </r>
    <r>
      <rPr>
        <sz val="10"/>
        <color theme="1"/>
        <rFont val="微软雅黑"/>
        <family val="2"/>
        <charset val="134"/>
      </rPr>
      <t>丽思香氛油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机油套装</t>
    </r>
  </si>
  <si>
    <r>
      <t xml:space="preserve">X1-B </t>
    </r>
    <r>
      <rPr>
        <sz val="10"/>
        <color theme="1"/>
        <rFont val="微软雅黑"/>
        <family val="2"/>
        <charset val="134"/>
      </rPr>
      <t>智能入户门锁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黑色</t>
    </r>
  </si>
  <si>
    <r>
      <t xml:space="preserve">X1-SILV </t>
    </r>
    <r>
      <rPr>
        <sz val="10"/>
        <color theme="1"/>
        <rFont val="微软雅黑"/>
        <family val="2"/>
        <charset val="134"/>
      </rPr>
      <t>智能入户门锁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银色</t>
    </r>
  </si>
  <si>
    <r>
      <rPr>
        <sz val="10"/>
        <color indexed="10"/>
        <rFont val="微软雅黑"/>
        <family val="2"/>
        <charset val="134"/>
      </rPr>
      <t>退关税</t>
    </r>
    <r>
      <rPr>
        <sz val="10"/>
        <color indexed="10"/>
        <rFont val="Aptos"/>
        <family val="2"/>
      </rPr>
      <t>2.875/kg</t>
    </r>
  </si>
  <si>
    <r>
      <t xml:space="preserve">AND-B </t>
    </r>
    <r>
      <rPr>
        <sz val="10"/>
        <color theme="1"/>
        <rFont val="微软雅黑"/>
        <family val="2"/>
        <charset val="134"/>
      </rPr>
      <t>便携式双喷扩香仪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黑色</t>
    </r>
  </si>
  <si>
    <r>
      <t xml:space="preserve">AND-BL </t>
    </r>
    <r>
      <rPr>
        <sz val="10"/>
        <color theme="1"/>
        <rFont val="微软雅黑"/>
        <family val="2"/>
        <charset val="134"/>
      </rPr>
      <t>便携式双喷扩香仪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蓝色</t>
    </r>
  </si>
  <si>
    <r>
      <t xml:space="preserve">AND-DT </t>
    </r>
    <r>
      <rPr>
        <sz val="10"/>
        <color theme="1"/>
        <rFont val="微软雅黑"/>
        <family val="2"/>
        <charset val="134"/>
      </rPr>
      <t>便携式双喷扩香仪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沙漠钛色</t>
    </r>
  </si>
  <si>
    <r>
      <t xml:space="preserve">AND-SG </t>
    </r>
    <r>
      <rPr>
        <sz val="10"/>
        <color theme="1"/>
        <rFont val="微软雅黑"/>
        <family val="2"/>
        <charset val="134"/>
      </rPr>
      <t>便携式双喷扩香仪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太空灰色</t>
    </r>
  </si>
  <si>
    <r>
      <t xml:space="preserve">AND-IB </t>
    </r>
    <r>
      <rPr>
        <sz val="10"/>
        <color theme="1"/>
        <rFont val="微软雅黑"/>
        <family val="2"/>
        <charset val="134"/>
      </rPr>
      <t>便携式双喷扩香仪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冰蓝色</t>
    </r>
  </si>
  <si>
    <r>
      <t xml:space="preserve">AND-G </t>
    </r>
    <r>
      <rPr>
        <sz val="10"/>
        <color theme="1"/>
        <rFont val="微软雅黑"/>
        <family val="2"/>
        <charset val="134"/>
      </rPr>
      <t>便携式双喷扩香仪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灰色</t>
    </r>
  </si>
  <si>
    <r>
      <t xml:space="preserve">AND-LV </t>
    </r>
    <r>
      <rPr>
        <sz val="10"/>
        <color theme="1"/>
        <rFont val="微软雅黑"/>
        <family val="2"/>
        <charset val="134"/>
      </rPr>
      <t>便携式双喷扩香仪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薰衣草色</t>
    </r>
  </si>
  <si>
    <r>
      <t xml:space="preserve">AND-MT </t>
    </r>
    <r>
      <rPr>
        <sz val="10"/>
        <color theme="1"/>
        <rFont val="微软雅黑"/>
        <family val="2"/>
        <charset val="134"/>
      </rPr>
      <t>便携式双喷扩香仪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薄荷绿色</t>
    </r>
  </si>
  <si>
    <r>
      <t xml:space="preserve">AND-RP </t>
    </r>
    <r>
      <rPr>
        <sz val="10"/>
        <color theme="1"/>
        <rFont val="微软雅黑"/>
        <family val="2"/>
        <charset val="134"/>
      </rPr>
      <t>便携式双喷扩香仪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红粉色</t>
    </r>
  </si>
  <si>
    <r>
      <t xml:space="preserve">AND-SILV </t>
    </r>
    <r>
      <rPr>
        <sz val="10"/>
        <color theme="1"/>
        <rFont val="微软雅黑"/>
        <family val="2"/>
        <charset val="134"/>
      </rPr>
      <t>便携式双喷扩香仪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银色</t>
    </r>
  </si>
  <si>
    <r>
      <rPr>
        <sz val="10"/>
        <color theme="1"/>
        <rFont val="微软雅黑"/>
        <family val="2"/>
        <charset val="134"/>
      </rPr>
      <t>退关税</t>
    </r>
    <r>
      <rPr>
        <sz val="10"/>
        <color theme="1"/>
        <rFont val="Aptos"/>
        <family val="2"/>
      </rPr>
      <t>4/kg</t>
    </r>
  </si>
  <si>
    <r>
      <t xml:space="preserve">AP2US-H14 </t>
    </r>
    <r>
      <rPr>
        <sz val="10"/>
        <color theme="1"/>
        <rFont val="微软雅黑"/>
        <family val="2"/>
        <charset val="134"/>
      </rPr>
      <t>内置</t>
    </r>
    <r>
      <rPr>
        <sz val="10"/>
        <color theme="1"/>
        <rFont val="Aptos"/>
        <family val="2"/>
      </rPr>
      <t>H14</t>
    </r>
    <r>
      <rPr>
        <sz val="10"/>
        <color theme="1"/>
        <rFont val="微软雅黑"/>
        <family val="2"/>
        <charset val="134"/>
      </rPr>
      <t>滤网桌面式空气净化器</t>
    </r>
    <r>
      <rPr>
        <sz val="10"/>
        <color theme="1"/>
        <rFont val="Aptos"/>
        <family val="2"/>
      </rPr>
      <t>2-</t>
    </r>
    <r>
      <rPr>
        <sz val="10"/>
        <color theme="1"/>
        <rFont val="微软雅黑"/>
        <family val="2"/>
        <charset val="134"/>
      </rPr>
      <t>美规</t>
    </r>
  </si>
  <si>
    <r>
      <rPr>
        <sz val="10"/>
        <color rgb="FFFF0000"/>
        <rFont val="微软雅黑"/>
        <family val="2"/>
        <charset val="134"/>
      </rPr>
      <t>退关税</t>
    </r>
    <r>
      <rPr>
        <sz val="10"/>
        <color rgb="FFFF0000"/>
        <rFont val="Aptos"/>
        <family val="2"/>
      </rPr>
      <t>5.75/kg</t>
    </r>
  </si>
  <si>
    <r>
      <rPr>
        <sz val="10"/>
        <color theme="1"/>
        <rFont val="微软雅黑"/>
        <family val="2"/>
        <charset val="134"/>
      </rPr>
      <t>退关税</t>
    </r>
    <r>
      <rPr>
        <sz val="10"/>
        <color theme="1"/>
        <rFont val="Aptos"/>
        <family val="2"/>
      </rPr>
      <t>4.6/kg</t>
    </r>
  </si>
  <si>
    <r>
      <t xml:space="preserve">X1-SG </t>
    </r>
    <r>
      <rPr>
        <sz val="10"/>
        <color theme="1"/>
        <rFont val="微软雅黑"/>
        <family val="2"/>
        <charset val="134"/>
      </rPr>
      <t>智能入户门锁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太空灰色</t>
    </r>
  </si>
  <si>
    <r>
      <t xml:space="preserve">AND-GD </t>
    </r>
    <r>
      <rPr>
        <sz val="10"/>
        <color theme="1"/>
        <rFont val="微软雅黑"/>
        <family val="2"/>
        <charset val="134"/>
      </rPr>
      <t>便携式双喷扩香仪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金色</t>
    </r>
  </si>
  <si>
    <r>
      <rPr>
        <sz val="10"/>
        <color theme="1"/>
        <rFont val="微软雅黑"/>
        <family val="2"/>
        <charset val="134"/>
      </rPr>
      <t>退关税</t>
    </r>
    <r>
      <rPr>
        <sz val="10"/>
        <color theme="1"/>
        <rFont val="Aptos"/>
        <family val="2"/>
      </rPr>
      <t>2.875/kg</t>
    </r>
  </si>
  <si>
    <r>
      <t xml:space="preserve">AN7-2PC-BB </t>
    </r>
    <r>
      <rPr>
        <sz val="10"/>
        <color theme="1"/>
        <rFont val="微软雅黑"/>
        <family val="2"/>
        <charset val="134"/>
      </rPr>
      <t>便携式扩香仪套装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黑</t>
    </r>
    <r>
      <rPr>
        <sz val="10"/>
        <color theme="1"/>
        <rFont val="Aptos"/>
        <family val="2"/>
      </rPr>
      <t>+</t>
    </r>
    <r>
      <rPr>
        <sz val="10"/>
        <color theme="1"/>
        <rFont val="微软雅黑"/>
        <family val="2"/>
        <charset val="134"/>
      </rPr>
      <t>黑</t>
    </r>
  </si>
  <si>
    <r>
      <t xml:space="preserve">A-Hotel-6X10mL </t>
    </r>
    <r>
      <rPr>
        <sz val="10"/>
        <color theme="1"/>
        <rFont val="微软雅黑"/>
        <family val="2"/>
        <charset val="134"/>
      </rPr>
      <t>酒店香氛油</t>
    </r>
    <r>
      <rPr>
        <sz val="10"/>
        <color theme="1"/>
        <rFont val="Aptos"/>
        <family val="2"/>
      </rPr>
      <t>6</t>
    </r>
    <r>
      <rPr>
        <sz val="10"/>
        <color theme="1"/>
        <rFont val="微软雅黑"/>
        <family val="2"/>
        <charset val="134"/>
      </rPr>
      <t>款</t>
    </r>
    <r>
      <rPr>
        <sz val="10"/>
        <color theme="1"/>
        <rFont val="Aptos"/>
        <family val="2"/>
      </rPr>
      <t>10mL</t>
    </r>
    <r>
      <rPr>
        <sz val="10"/>
        <color theme="1"/>
        <rFont val="微软雅黑"/>
        <family val="2"/>
        <charset val="134"/>
      </rPr>
      <t>套装</t>
    </r>
  </si>
  <si>
    <r>
      <t xml:space="preserve">A-Grand Hyatt Hotel-100 </t>
    </r>
    <r>
      <rPr>
        <sz val="10"/>
        <color theme="1"/>
        <rFont val="微软雅黑"/>
        <family val="2"/>
        <charset val="134"/>
      </rPr>
      <t>君悦酒店香氛油</t>
    </r>
    <r>
      <rPr>
        <sz val="10"/>
        <color theme="1"/>
        <rFont val="Aptos"/>
        <family val="2"/>
      </rPr>
      <t>100mL</t>
    </r>
  </si>
  <si>
    <r>
      <t xml:space="preserve">A-MWAY Deluxe-100 </t>
    </r>
    <r>
      <rPr>
        <sz val="10"/>
        <color theme="1"/>
        <rFont val="微软雅黑"/>
        <family val="2"/>
        <charset val="134"/>
      </rPr>
      <t>特定香型香氛油</t>
    </r>
    <r>
      <rPr>
        <sz val="10"/>
        <color theme="1"/>
        <rFont val="Aptos"/>
        <family val="2"/>
      </rPr>
      <t>100mL</t>
    </r>
  </si>
  <si>
    <r>
      <t xml:space="preserve">A-Four Seasons Hotel-100 </t>
    </r>
    <r>
      <rPr>
        <sz val="10"/>
        <color theme="1"/>
        <rFont val="微软雅黑"/>
        <family val="2"/>
        <charset val="134"/>
      </rPr>
      <t>四季酒店香氛油</t>
    </r>
    <r>
      <rPr>
        <sz val="10"/>
        <color theme="1"/>
        <rFont val="Aptos"/>
        <family val="2"/>
      </rPr>
      <t>100mL</t>
    </r>
  </si>
  <si>
    <r>
      <t>A-W Hotel-100 W</t>
    </r>
    <r>
      <rPr>
        <sz val="10"/>
        <color theme="1"/>
        <rFont val="微软雅黑"/>
        <family val="2"/>
        <charset val="134"/>
      </rPr>
      <t>酒店香氛油</t>
    </r>
    <r>
      <rPr>
        <sz val="10"/>
        <color theme="1"/>
        <rFont val="Aptos"/>
        <family val="2"/>
      </rPr>
      <t>100mL</t>
    </r>
  </si>
  <si>
    <r>
      <t>AY13</t>
    </r>
    <r>
      <rPr>
        <sz val="10"/>
        <color theme="1"/>
        <rFont val="微软雅黑"/>
        <family val="2"/>
        <charset val="134"/>
      </rPr>
      <t>澳洲海运海外仓</t>
    </r>
    <r>
      <rPr>
        <sz val="10"/>
        <color theme="1"/>
        <rFont val="Aptos"/>
        <family val="2"/>
      </rPr>
      <t>(</t>
    </r>
    <r>
      <rPr>
        <sz val="10"/>
        <color theme="1"/>
        <rFont val="微软雅黑"/>
        <family val="2"/>
        <charset val="134"/>
      </rPr>
      <t>含税</t>
    </r>
    <r>
      <rPr>
        <sz val="10"/>
        <color theme="1"/>
        <rFont val="Aptos"/>
        <family val="2"/>
      </rPr>
      <t>)</t>
    </r>
  </si>
  <si>
    <r>
      <t xml:space="preserve">ANX-RP </t>
    </r>
    <r>
      <rPr>
        <sz val="10"/>
        <color theme="1"/>
        <rFont val="微软雅黑"/>
        <family val="2"/>
        <charset val="134"/>
      </rPr>
      <t>便携式扩香仪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红粉色</t>
    </r>
  </si>
  <si>
    <r>
      <t>CBM</t>
    </r>
    <r>
      <rPr>
        <sz val="10"/>
        <rFont val="微软雅黑"/>
        <family val="2"/>
        <charset val="134"/>
      </rPr>
      <t>收费</t>
    </r>
  </si>
  <si>
    <r>
      <t>ANXKIT-B_4X10ML ANX</t>
    </r>
    <r>
      <rPr>
        <sz val="10"/>
        <color theme="1"/>
        <rFont val="微软雅黑"/>
        <family val="2"/>
        <charset val="134"/>
      </rPr>
      <t>黑色机器</t>
    </r>
    <r>
      <rPr>
        <sz val="10"/>
        <color theme="1"/>
        <rFont val="Aptos"/>
        <family val="2"/>
      </rPr>
      <t>+4x10mL</t>
    </r>
    <r>
      <rPr>
        <sz val="10"/>
        <color theme="1"/>
        <rFont val="微软雅黑"/>
        <family val="2"/>
        <charset val="134"/>
      </rPr>
      <t>香氛油（天竺）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机油套装</t>
    </r>
  </si>
  <si>
    <r>
      <t>ANXKIT-T_4X10ML ANX</t>
    </r>
    <r>
      <rPr>
        <sz val="10"/>
        <color theme="1"/>
        <rFont val="微软雅黑"/>
        <family val="2"/>
        <charset val="134"/>
      </rPr>
      <t>钛色机器</t>
    </r>
    <r>
      <rPr>
        <sz val="10"/>
        <color theme="1"/>
        <rFont val="Aptos"/>
        <family val="2"/>
      </rPr>
      <t>+4x10mL</t>
    </r>
    <r>
      <rPr>
        <sz val="10"/>
        <color theme="1"/>
        <rFont val="微软雅黑"/>
        <family val="2"/>
        <charset val="134"/>
      </rPr>
      <t>香氛油（天竺）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机油套装</t>
    </r>
  </si>
  <si>
    <r>
      <t>AN6KIT-B_4X10ML AN6</t>
    </r>
    <r>
      <rPr>
        <sz val="10"/>
        <color theme="1"/>
        <rFont val="微软雅黑"/>
        <family val="2"/>
        <charset val="134"/>
      </rPr>
      <t>黑色机器</t>
    </r>
    <r>
      <rPr>
        <sz val="10"/>
        <color theme="1"/>
        <rFont val="Aptos"/>
        <family val="2"/>
      </rPr>
      <t>+4x10mL</t>
    </r>
    <r>
      <rPr>
        <sz val="10"/>
        <color theme="1"/>
        <rFont val="微软雅黑"/>
        <family val="2"/>
        <charset val="134"/>
      </rPr>
      <t>香氛油（天竺）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机油套装</t>
    </r>
  </si>
  <si>
    <r>
      <t>AN6KIT-WH_4X10ML AN6</t>
    </r>
    <r>
      <rPr>
        <sz val="10"/>
        <color theme="1"/>
        <rFont val="微软雅黑"/>
        <family val="2"/>
        <charset val="134"/>
      </rPr>
      <t>白色机器</t>
    </r>
    <r>
      <rPr>
        <sz val="10"/>
        <color theme="1"/>
        <rFont val="Aptos"/>
        <family val="2"/>
      </rPr>
      <t>+4x10mL</t>
    </r>
    <r>
      <rPr>
        <sz val="10"/>
        <color theme="1"/>
        <rFont val="微软雅黑"/>
        <family val="2"/>
        <charset val="134"/>
      </rPr>
      <t>香氛油（天竺）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机油套装</t>
    </r>
  </si>
  <si>
    <r>
      <t xml:space="preserve">AN8-B </t>
    </r>
    <r>
      <rPr>
        <sz val="10"/>
        <color theme="1"/>
        <rFont val="微软雅黑"/>
        <family val="2"/>
        <charset val="134"/>
      </rPr>
      <t>便携式扩香仪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黑色</t>
    </r>
  </si>
  <si>
    <r>
      <t>AN8KIT-B_4X10K01 AN8</t>
    </r>
    <r>
      <rPr>
        <sz val="10"/>
        <color theme="1"/>
        <rFont val="微软雅黑"/>
        <family val="2"/>
        <charset val="134"/>
      </rPr>
      <t>黑色机器</t>
    </r>
    <r>
      <rPr>
        <sz val="10"/>
        <color theme="1"/>
        <rFont val="Aptos"/>
        <family val="2"/>
      </rPr>
      <t>+4x10mL</t>
    </r>
    <r>
      <rPr>
        <sz val="10"/>
        <color theme="1"/>
        <rFont val="微软雅黑"/>
        <family val="2"/>
        <charset val="134"/>
      </rPr>
      <t>酒店香氛油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机油套装</t>
    </r>
  </si>
  <si>
    <r>
      <t xml:space="preserve">AN8KIT-B_B </t>
    </r>
    <r>
      <rPr>
        <sz val="10"/>
        <color theme="1"/>
        <rFont val="微软雅黑"/>
        <family val="2"/>
        <charset val="134"/>
      </rPr>
      <t>便携式扩香仪套装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黑</t>
    </r>
    <r>
      <rPr>
        <sz val="10"/>
        <color theme="1"/>
        <rFont val="Aptos"/>
        <family val="2"/>
      </rPr>
      <t>+</t>
    </r>
    <r>
      <rPr>
        <sz val="10"/>
        <color theme="1"/>
        <rFont val="微软雅黑"/>
        <family val="2"/>
        <charset val="134"/>
      </rPr>
      <t>黑</t>
    </r>
  </si>
  <si>
    <r>
      <t xml:space="preserve">AN3(5)-BL </t>
    </r>
    <r>
      <rPr>
        <sz val="10"/>
        <color theme="1"/>
        <rFont val="微软雅黑"/>
        <family val="2"/>
        <charset val="134"/>
      </rPr>
      <t>便携式扩香仪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蓝色</t>
    </r>
  </si>
  <si>
    <r>
      <t>ANWKIT-B_US_2X100K01 ANW</t>
    </r>
    <r>
      <rPr>
        <sz val="10"/>
        <color theme="1"/>
        <rFont val="微软雅黑"/>
        <family val="2"/>
        <charset val="134"/>
      </rPr>
      <t>黑色机器</t>
    </r>
    <r>
      <rPr>
        <sz val="10"/>
        <color theme="1"/>
        <rFont val="Aptos"/>
        <family val="2"/>
      </rPr>
      <t>+2X100mL</t>
    </r>
    <r>
      <rPr>
        <sz val="10"/>
        <color theme="1"/>
        <rFont val="微软雅黑"/>
        <family val="2"/>
        <charset val="134"/>
      </rPr>
      <t>香氛油（天竺）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机油套装</t>
    </r>
  </si>
  <si>
    <r>
      <t>ANWKIT-WH_US_2X100K01 ANW</t>
    </r>
    <r>
      <rPr>
        <sz val="10"/>
        <color theme="1"/>
        <rFont val="微软雅黑"/>
        <family val="2"/>
        <charset val="134"/>
      </rPr>
      <t>白色机器</t>
    </r>
    <r>
      <rPr>
        <sz val="10"/>
        <color theme="1"/>
        <rFont val="Aptos"/>
        <family val="2"/>
      </rPr>
      <t>+2X100mL</t>
    </r>
    <r>
      <rPr>
        <sz val="10"/>
        <color theme="1"/>
        <rFont val="微软雅黑"/>
        <family val="2"/>
        <charset val="134"/>
      </rPr>
      <t>香氛油（天竺）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机油套装</t>
    </r>
  </si>
  <si>
    <r>
      <t xml:space="preserve">RZ-500ML </t>
    </r>
    <r>
      <rPr>
        <sz val="10"/>
        <color theme="1"/>
        <rFont val="微软雅黑"/>
        <family val="2"/>
        <charset val="134"/>
      </rPr>
      <t>丽思卡尔顿酒店</t>
    </r>
    <r>
      <rPr>
        <sz val="10"/>
        <color theme="1"/>
        <rFont val="Aptos"/>
        <family val="2"/>
      </rPr>
      <t>3</t>
    </r>
    <r>
      <rPr>
        <sz val="10"/>
        <color theme="1"/>
        <rFont val="微软雅黑"/>
        <family val="2"/>
        <charset val="134"/>
      </rPr>
      <t>香氛油</t>
    </r>
    <r>
      <rPr>
        <sz val="10"/>
        <color theme="1"/>
        <rFont val="Aptos"/>
        <family val="2"/>
      </rPr>
      <t>500mL</t>
    </r>
  </si>
  <si>
    <r>
      <t xml:space="preserve">ANA-B_US </t>
    </r>
    <r>
      <rPr>
        <sz val="10"/>
        <color theme="1"/>
        <rFont val="微软雅黑"/>
        <family val="2"/>
        <charset val="134"/>
      </rPr>
      <t>智能扩香仪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黑色</t>
    </r>
  </si>
  <si>
    <r>
      <t xml:space="preserve">ANA-W_US </t>
    </r>
    <r>
      <rPr>
        <sz val="10"/>
        <color theme="1"/>
        <rFont val="微软雅黑"/>
        <family val="2"/>
        <charset val="134"/>
      </rPr>
      <t>智能扩香仪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白色</t>
    </r>
  </si>
  <si>
    <r>
      <t xml:space="preserve">AN7-B </t>
    </r>
    <r>
      <rPr>
        <sz val="10"/>
        <color theme="1"/>
        <rFont val="微软雅黑"/>
        <family val="2"/>
        <charset val="134"/>
      </rPr>
      <t>便携式扩香仪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黑色</t>
    </r>
  </si>
  <si>
    <r>
      <t xml:space="preserve">AN7-W </t>
    </r>
    <r>
      <rPr>
        <sz val="10"/>
        <color theme="1"/>
        <rFont val="微软雅黑"/>
        <family val="2"/>
        <charset val="134"/>
      </rPr>
      <t>便携式扩香仪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白色</t>
    </r>
  </si>
  <si>
    <r>
      <t>AN6KIT-WH_SJ30ML AN6</t>
    </r>
    <r>
      <rPr>
        <sz val="10"/>
        <color theme="1"/>
        <rFont val="微软雅黑"/>
        <family val="2"/>
        <charset val="134"/>
      </rPr>
      <t>白色机器</t>
    </r>
    <r>
      <rPr>
        <sz val="10"/>
        <color theme="1"/>
        <rFont val="Aptos"/>
        <family val="2"/>
      </rPr>
      <t>+30mL</t>
    </r>
    <r>
      <rPr>
        <sz val="10"/>
        <color theme="1"/>
        <rFont val="微软雅黑"/>
        <family val="2"/>
        <charset val="134"/>
      </rPr>
      <t>四季酒店香氛油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机油套装</t>
    </r>
  </si>
  <si>
    <r>
      <t>AN8NZ-B AN8(Z)</t>
    </r>
    <r>
      <rPr>
        <sz val="10"/>
        <color theme="1"/>
        <rFont val="微软雅黑"/>
        <family val="2"/>
        <charset val="134"/>
      </rPr>
      <t>喷嘴配件套装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黑色</t>
    </r>
  </si>
  <si>
    <r>
      <t>ANAKIT-B_US_2X100K02 ANA</t>
    </r>
    <r>
      <rPr>
        <sz val="10"/>
        <color theme="1"/>
        <rFont val="微软雅黑"/>
        <family val="2"/>
        <charset val="134"/>
      </rPr>
      <t>黑色机器</t>
    </r>
    <r>
      <rPr>
        <sz val="10"/>
        <color theme="1"/>
        <rFont val="Aptos"/>
        <family val="2"/>
      </rPr>
      <t>+2X100mL</t>
    </r>
    <r>
      <rPr>
        <sz val="10"/>
        <color theme="1"/>
        <rFont val="微软雅黑"/>
        <family val="2"/>
        <charset val="134"/>
      </rPr>
      <t>香氛油（天竺）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机油套装</t>
    </r>
  </si>
  <si>
    <r>
      <t>ANAKIT-WH_US_2X100K02 ANA</t>
    </r>
    <r>
      <rPr>
        <sz val="10"/>
        <color theme="1"/>
        <rFont val="微软雅黑"/>
        <family val="2"/>
        <charset val="134"/>
      </rPr>
      <t>白色机器</t>
    </r>
    <r>
      <rPr>
        <sz val="10"/>
        <color theme="1"/>
        <rFont val="Aptos"/>
        <family val="2"/>
      </rPr>
      <t>+2X100mL</t>
    </r>
    <r>
      <rPr>
        <sz val="10"/>
        <color theme="1"/>
        <rFont val="微软雅黑"/>
        <family val="2"/>
        <charset val="134"/>
      </rPr>
      <t>香氛油（天竺）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机油套装</t>
    </r>
  </si>
  <si>
    <r>
      <t>AY13</t>
    </r>
    <r>
      <rPr>
        <sz val="10"/>
        <rFont val="微软雅黑"/>
        <family val="2"/>
        <charset val="134"/>
      </rPr>
      <t>澳洲海运海外仓</t>
    </r>
    <r>
      <rPr>
        <sz val="10"/>
        <rFont val="Aptos"/>
        <family val="2"/>
      </rPr>
      <t>(</t>
    </r>
    <r>
      <rPr>
        <sz val="10"/>
        <rFont val="微软雅黑"/>
        <family val="2"/>
        <charset val="134"/>
      </rPr>
      <t>含税</t>
    </r>
    <r>
      <rPr>
        <sz val="10"/>
        <rFont val="Aptos"/>
        <family val="2"/>
      </rPr>
      <t>)</t>
    </r>
  </si>
  <si>
    <r>
      <t>ADXKIT-B_DT ADX</t>
    </r>
    <r>
      <rPr>
        <sz val="10"/>
        <color theme="1"/>
        <rFont val="微软雅黑"/>
        <family val="2"/>
        <charset val="134"/>
      </rPr>
      <t>便携式扩香仪两个装套装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黑</t>
    </r>
    <r>
      <rPr>
        <sz val="10"/>
        <color theme="1"/>
        <rFont val="Aptos"/>
        <family val="2"/>
      </rPr>
      <t>+</t>
    </r>
    <r>
      <rPr>
        <sz val="10"/>
        <color theme="1"/>
        <rFont val="微软雅黑"/>
        <family val="2"/>
        <charset val="134"/>
      </rPr>
      <t>沙漠钛</t>
    </r>
  </si>
  <si>
    <r>
      <t>ADXKIT_B_TX33_30ML ADX</t>
    </r>
    <r>
      <rPr>
        <sz val="10"/>
        <color theme="1"/>
        <rFont val="微软雅黑"/>
        <family val="2"/>
        <charset val="134"/>
      </rPr>
      <t>黑色机器</t>
    </r>
    <r>
      <rPr>
        <sz val="10"/>
        <color theme="1"/>
        <rFont val="Aptos"/>
        <family val="2"/>
      </rPr>
      <t>+30mL</t>
    </r>
    <r>
      <rPr>
        <sz val="10"/>
        <color theme="1"/>
        <rFont val="微软雅黑"/>
        <family val="2"/>
        <charset val="134"/>
      </rPr>
      <t>檀香</t>
    </r>
    <r>
      <rPr>
        <sz val="10"/>
        <color theme="1"/>
        <rFont val="Aptos"/>
        <family val="2"/>
      </rPr>
      <t>33</t>
    </r>
    <r>
      <rPr>
        <sz val="10"/>
        <color theme="1"/>
        <rFont val="微软雅黑"/>
        <family val="2"/>
        <charset val="134"/>
      </rPr>
      <t>香氛油（天竺）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机油套装</t>
    </r>
  </si>
  <si>
    <r>
      <t>ADXKIT_DT_TX33_30ML ADX</t>
    </r>
    <r>
      <rPr>
        <sz val="10"/>
        <color theme="1"/>
        <rFont val="微软雅黑"/>
        <family val="2"/>
        <charset val="134"/>
      </rPr>
      <t>沙漠钛色机器</t>
    </r>
    <r>
      <rPr>
        <sz val="10"/>
        <color theme="1"/>
        <rFont val="Aptos"/>
        <family val="2"/>
      </rPr>
      <t>+30mL</t>
    </r>
    <r>
      <rPr>
        <sz val="10"/>
        <color theme="1"/>
        <rFont val="微软雅黑"/>
        <family val="2"/>
        <charset val="134"/>
      </rPr>
      <t>檀香</t>
    </r>
    <r>
      <rPr>
        <sz val="10"/>
        <color theme="1"/>
        <rFont val="Aptos"/>
        <family val="2"/>
      </rPr>
      <t>33</t>
    </r>
    <r>
      <rPr>
        <sz val="10"/>
        <color theme="1"/>
        <rFont val="微软雅黑"/>
        <family val="2"/>
        <charset val="134"/>
      </rPr>
      <t>香氛油（天竺）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机油套装</t>
    </r>
  </si>
  <si>
    <r>
      <t>AN8KIT-B_4X10K02 AN8</t>
    </r>
    <r>
      <rPr>
        <sz val="10"/>
        <color theme="1"/>
        <rFont val="微软雅黑"/>
        <family val="2"/>
        <charset val="134"/>
      </rPr>
      <t>黑色机器</t>
    </r>
    <r>
      <rPr>
        <sz val="10"/>
        <color theme="1"/>
        <rFont val="Aptos"/>
        <family val="2"/>
      </rPr>
      <t>+4x10mL</t>
    </r>
    <r>
      <rPr>
        <sz val="10"/>
        <color theme="1"/>
        <rFont val="微软雅黑"/>
        <family val="2"/>
        <charset val="134"/>
      </rPr>
      <t>（天竺）香氛油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机油套装</t>
    </r>
  </si>
  <si>
    <r>
      <t>ANXKIT-DT_RZ30ML ANX</t>
    </r>
    <r>
      <rPr>
        <sz val="10"/>
        <color theme="1"/>
        <rFont val="微软雅黑"/>
        <family val="2"/>
        <charset val="134"/>
      </rPr>
      <t>沙漠钛机器</t>
    </r>
    <r>
      <rPr>
        <sz val="10"/>
        <color theme="1"/>
        <rFont val="Aptos"/>
        <family val="2"/>
      </rPr>
      <t>+30mL</t>
    </r>
    <r>
      <rPr>
        <sz val="10"/>
        <color theme="1"/>
        <rFont val="微软雅黑"/>
        <family val="2"/>
        <charset val="134"/>
      </rPr>
      <t>丽思香氛油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机油套装</t>
    </r>
  </si>
  <si>
    <r>
      <t>ANZKIT-B_B_2X30K01 ANZ</t>
    </r>
    <r>
      <rPr>
        <sz val="10"/>
        <color theme="1"/>
        <rFont val="微软雅黑"/>
        <family val="2"/>
        <charset val="134"/>
      </rPr>
      <t>黑色机器两个装</t>
    </r>
    <r>
      <rPr>
        <sz val="10"/>
        <color theme="1"/>
        <rFont val="Aptos"/>
        <family val="2"/>
      </rPr>
      <t>+2X30</t>
    </r>
    <r>
      <rPr>
        <sz val="10"/>
        <color theme="1"/>
        <rFont val="微软雅黑"/>
        <family val="2"/>
        <charset val="134"/>
      </rPr>
      <t>毫升香氛油（天竺）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机油套装</t>
    </r>
  </si>
  <si>
    <r>
      <t>AN8KIT-WH_4X10K01 AN8</t>
    </r>
    <r>
      <rPr>
        <sz val="10"/>
        <color theme="1"/>
        <rFont val="微软雅黑"/>
        <family val="2"/>
        <charset val="134"/>
      </rPr>
      <t>白色机器</t>
    </r>
    <r>
      <rPr>
        <sz val="10"/>
        <color theme="1"/>
        <rFont val="Aptos"/>
        <family val="2"/>
      </rPr>
      <t>+4x10mL</t>
    </r>
    <r>
      <rPr>
        <sz val="10"/>
        <color theme="1"/>
        <rFont val="微软雅黑"/>
        <family val="2"/>
        <charset val="134"/>
      </rPr>
      <t>酒店香氛油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机油套装</t>
    </r>
  </si>
  <si>
    <r>
      <t xml:space="preserve">TX331_100ML </t>
    </r>
    <r>
      <rPr>
        <sz val="10"/>
        <color theme="1"/>
        <rFont val="微软雅黑"/>
        <family val="2"/>
        <charset val="134"/>
      </rPr>
      <t>檀香</t>
    </r>
    <r>
      <rPr>
        <sz val="10"/>
        <color theme="1"/>
        <rFont val="Aptos"/>
        <family val="2"/>
      </rPr>
      <t>33</t>
    </r>
    <r>
      <rPr>
        <sz val="10"/>
        <color theme="1"/>
        <rFont val="微软雅黑"/>
        <family val="2"/>
        <charset val="134"/>
      </rPr>
      <t>号</t>
    </r>
    <r>
      <rPr>
        <sz val="10"/>
        <color theme="1"/>
        <rFont val="Aptos"/>
        <family val="2"/>
      </rPr>
      <t>100mL</t>
    </r>
    <r>
      <rPr>
        <sz val="10"/>
        <color theme="1"/>
        <rFont val="微软雅黑"/>
        <family val="2"/>
        <charset val="134"/>
      </rPr>
      <t>香氛油（天竺）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销售包装</t>
    </r>
  </si>
  <si>
    <r>
      <t xml:space="preserve">TXY1_100ML </t>
    </r>
    <r>
      <rPr>
        <sz val="10"/>
        <color theme="1"/>
        <rFont val="微软雅黑"/>
        <family val="2"/>
        <charset val="134"/>
      </rPr>
      <t>桃星云</t>
    </r>
    <r>
      <rPr>
        <sz val="10"/>
        <color theme="1"/>
        <rFont val="Aptos"/>
        <family val="2"/>
      </rPr>
      <t>100mL</t>
    </r>
    <r>
      <rPr>
        <sz val="10"/>
        <color theme="1"/>
        <rFont val="微软雅黑"/>
        <family val="2"/>
        <charset val="134"/>
      </rPr>
      <t>香氛油（天竺）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销售包装</t>
    </r>
  </si>
  <si>
    <r>
      <t xml:space="preserve">YZTT1_100ML </t>
    </r>
    <r>
      <rPr>
        <sz val="10"/>
        <color theme="1"/>
        <rFont val="微软雅黑"/>
        <family val="2"/>
        <charset val="134"/>
      </rPr>
      <t>柚子天堂</t>
    </r>
    <r>
      <rPr>
        <sz val="10"/>
        <color theme="1"/>
        <rFont val="Aptos"/>
        <family val="2"/>
      </rPr>
      <t>100mL</t>
    </r>
    <r>
      <rPr>
        <sz val="10"/>
        <color theme="1"/>
        <rFont val="微软雅黑"/>
        <family val="2"/>
        <charset val="134"/>
      </rPr>
      <t>香氛油（天竺）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销售包装</t>
    </r>
  </si>
  <si>
    <r>
      <t>AN8KIT-B_B_2X30K02 AN8</t>
    </r>
    <r>
      <rPr>
        <sz val="10"/>
        <color theme="1"/>
        <rFont val="微软雅黑"/>
        <family val="2"/>
        <charset val="134"/>
      </rPr>
      <t>黑色机器两个装</t>
    </r>
    <r>
      <rPr>
        <sz val="10"/>
        <color theme="1"/>
        <rFont val="Aptos"/>
        <family val="2"/>
      </rPr>
      <t>+2X30mL</t>
    </r>
    <r>
      <rPr>
        <sz val="10"/>
        <color theme="1"/>
        <rFont val="微软雅黑"/>
        <family val="2"/>
        <charset val="134"/>
      </rPr>
      <t>香氛油（天竺）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机油套装</t>
    </r>
  </si>
  <si>
    <r>
      <t>ANANZ-B ANA</t>
    </r>
    <r>
      <rPr>
        <sz val="10"/>
        <color theme="1"/>
        <rFont val="微软雅黑"/>
        <family val="2"/>
        <charset val="134"/>
      </rPr>
      <t>替换瓶</t>
    </r>
    <r>
      <rPr>
        <sz val="10"/>
        <color theme="1"/>
        <rFont val="Aptos"/>
        <family val="2"/>
      </rPr>
      <t>+</t>
    </r>
    <r>
      <rPr>
        <sz val="10"/>
        <color theme="1"/>
        <rFont val="微软雅黑"/>
        <family val="2"/>
        <charset val="134"/>
      </rPr>
      <t>黑喷头</t>
    </r>
  </si>
  <si>
    <r>
      <t>ANANZ-WH ANA</t>
    </r>
    <r>
      <rPr>
        <sz val="10"/>
        <color theme="1"/>
        <rFont val="微软雅黑"/>
        <family val="2"/>
        <charset val="134"/>
      </rPr>
      <t>替换瓶</t>
    </r>
    <r>
      <rPr>
        <sz val="10"/>
        <color theme="1"/>
        <rFont val="Aptos"/>
        <family val="2"/>
      </rPr>
      <t>+</t>
    </r>
    <r>
      <rPr>
        <sz val="10"/>
        <color theme="1"/>
        <rFont val="微软雅黑"/>
        <family val="2"/>
        <charset val="134"/>
      </rPr>
      <t>白喷头</t>
    </r>
  </si>
  <si>
    <r>
      <t xml:space="preserve">X1-DT </t>
    </r>
    <r>
      <rPr>
        <sz val="10"/>
        <color theme="1"/>
        <rFont val="微软雅黑"/>
        <family val="2"/>
        <charset val="134"/>
      </rPr>
      <t>智能入户门锁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沙漠钛色</t>
    </r>
  </si>
  <si>
    <r>
      <t xml:space="preserve">X3-B </t>
    </r>
    <r>
      <rPr>
        <sz val="10"/>
        <color theme="1"/>
        <rFont val="微软雅黑"/>
        <family val="2"/>
        <charset val="134"/>
      </rPr>
      <t>智能入户门锁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黑色</t>
    </r>
  </si>
  <si>
    <r>
      <t>AN6KIT-B_B_2X30K02 AN6</t>
    </r>
    <r>
      <rPr>
        <sz val="10"/>
        <color theme="1"/>
        <rFont val="微软雅黑"/>
        <family val="2"/>
        <charset val="134"/>
      </rPr>
      <t>黑色机器两个装</t>
    </r>
    <r>
      <rPr>
        <sz val="10"/>
        <color theme="1"/>
        <rFont val="Aptos"/>
        <family val="2"/>
      </rPr>
      <t>+2X30m</t>
    </r>
    <r>
      <rPr>
        <sz val="10"/>
        <color theme="1"/>
        <rFont val="微软雅黑"/>
        <family val="2"/>
        <charset val="134"/>
      </rPr>
      <t>香氛油（天竺）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机油套装</t>
    </r>
  </si>
  <si>
    <r>
      <rPr>
        <sz val="10"/>
        <color theme="1"/>
        <rFont val="微软雅黑"/>
        <family val="2"/>
        <charset val="134"/>
      </rPr>
      <t>报关费</t>
    </r>
    <r>
      <rPr>
        <sz val="10"/>
        <color theme="1"/>
        <rFont val="Aptos"/>
        <family val="2"/>
      </rPr>
      <t>450</t>
    </r>
    <r>
      <rPr>
        <sz val="10"/>
        <color theme="1"/>
        <rFont val="微软雅黑"/>
        <family val="2"/>
        <charset val="134"/>
      </rPr>
      <t>（账单提供报关费是</t>
    </r>
    <r>
      <rPr>
        <sz val="10"/>
        <color theme="1"/>
        <rFont val="Aptos"/>
        <family val="2"/>
      </rPr>
      <t>50</t>
    </r>
    <r>
      <rPr>
        <sz val="10"/>
        <color theme="1"/>
        <rFont val="微软雅黑"/>
        <family val="2"/>
        <charset val="134"/>
      </rPr>
      <t>）</t>
    </r>
  </si>
  <si>
    <r>
      <rPr>
        <sz val="10"/>
        <color theme="1"/>
        <rFont val="微软雅黑"/>
        <family val="2"/>
        <charset val="134"/>
      </rPr>
      <t>每箱加收</t>
    </r>
    <r>
      <rPr>
        <sz val="10"/>
        <color theme="1"/>
        <rFont val="Aptos"/>
        <family val="2"/>
      </rPr>
      <t>25</t>
    </r>
    <r>
      <rPr>
        <sz val="10"/>
        <color theme="1"/>
        <rFont val="微软雅黑"/>
        <family val="2"/>
        <charset val="134"/>
      </rPr>
      <t>块偏远费</t>
    </r>
  </si>
  <si>
    <r>
      <rPr>
        <sz val="10"/>
        <color theme="1"/>
        <rFont val="微软雅黑"/>
        <family val="2"/>
        <charset val="134"/>
      </rPr>
      <t>关税下降</t>
    </r>
    <r>
      <rPr>
        <sz val="10"/>
        <color theme="1"/>
        <rFont val="Aptos"/>
        <family val="2"/>
      </rPr>
      <t xml:space="preserve"> </t>
    </r>
  </si>
  <si>
    <r>
      <t xml:space="preserve">X1-B </t>
    </r>
    <r>
      <rPr>
        <sz val="10"/>
        <color rgb="FFFF0000"/>
        <rFont val="微软雅黑"/>
        <family val="2"/>
        <charset val="134"/>
      </rPr>
      <t>智能入户门锁</t>
    </r>
    <r>
      <rPr>
        <sz val="10"/>
        <color rgb="FFFF0000"/>
        <rFont val="Aptos"/>
        <family val="2"/>
      </rPr>
      <t xml:space="preserve"> </t>
    </r>
    <r>
      <rPr>
        <sz val="10"/>
        <color rgb="FFFF0000"/>
        <rFont val="微软雅黑"/>
        <family val="2"/>
        <charset val="134"/>
      </rPr>
      <t>黑色</t>
    </r>
  </si>
  <si>
    <r>
      <t xml:space="preserve">X3-B </t>
    </r>
    <r>
      <rPr>
        <sz val="10"/>
        <color rgb="FFFF0000"/>
        <rFont val="微软雅黑"/>
        <family val="2"/>
        <charset val="134"/>
      </rPr>
      <t>智能入户门锁</t>
    </r>
    <r>
      <rPr>
        <sz val="10"/>
        <color rgb="FFFF0000"/>
        <rFont val="Aptos"/>
        <family val="2"/>
      </rPr>
      <t xml:space="preserve"> </t>
    </r>
    <r>
      <rPr>
        <sz val="10"/>
        <color rgb="FFFF0000"/>
        <rFont val="微软雅黑"/>
        <family val="2"/>
        <charset val="134"/>
      </rPr>
      <t>黑色</t>
    </r>
  </si>
  <si>
    <r>
      <t xml:space="preserve">H2-SILV </t>
    </r>
    <r>
      <rPr>
        <sz val="10"/>
        <color theme="1"/>
        <rFont val="微软雅黑"/>
        <family val="2"/>
        <charset val="134"/>
      </rPr>
      <t>电子指纹球形把手锁</t>
    </r>
    <r>
      <rPr>
        <sz val="10"/>
        <color theme="1"/>
        <rFont val="Aptos"/>
        <family val="2"/>
      </rPr>
      <t>-</t>
    </r>
    <r>
      <rPr>
        <sz val="10"/>
        <color theme="1"/>
        <rFont val="微软雅黑"/>
        <family val="2"/>
        <charset val="134"/>
      </rPr>
      <t>银色</t>
    </r>
  </si>
  <si>
    <r>
      <t xml:space="preserve">AN8-WH </t>
    </r>
    <r>
      <rPr>
        <sz val="10"/>
        <color theme="1"/>
        <rFont val="微软雅黑"/>
        <family val="2"/>
        <charset val="134"/>
      </rPr>
      <t>便携式扩香仪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白色</t>
    </r>
  </si>
  <si>
    <r>
      <t>AN8NZ-WH AN8(Z)</t>
    </r>
    <r>
      <rPr>
        <sz val="10"/>
        <color theme="1"/>
        <rFont val="微软雅黑"/>
        <family val="2"/>
        <charset val="134"/>
      </rPr>
      <t>喷嘴配件套装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白色</t>
    </r>
  </si>
  <si>
    <r>
      <t xml:space="preserve">X1-DT </t>
    </r>
    <r>
      <rPr>
        <sz val="10"/>
        <color rgb="FFFF0000"/>
        <rFont val="微软雅黑"/>
        <family val="2"/>
        <charset val="134"/>
      </rPr>
      <t>智能入户门锁</t>
    </r>
    <r>
      <rPr>
        <sz val="10"/>
        <color rgb="FFFF0000"/>
        <rFont val="Aptos"/>
        <family val="2"/>
      </rPr>
      <t xml:space="preserve"> </t>
    </r>
    <r>
      <rPr>
        <sz val="10"/>
        <color rgb="FFFF0000"/>
        <rFont val="微软雅黑"/>
        <family val="2"/>
        <charset val="134"/>
      </rPr>
      <t>沙漠钛色</t>
    </r>
  </si>
  <si>
    <r>
      <t xml:space="preserve">X1-SILV </t>
    </r>
    <r>
      <rPr>
        <sz val="10"/>
        <color rgb="FFFF0000"/>
        <rFont val="微软雅黑"/>
        <family val="2"/>
        <charset val="134"/>
      </rPr>
      <t>智能入户门锁</t>
    </r>
    <r>
      <rPr>
        <sz val="10"/>
        <color rgb="FFFF0000"/>
        <rFont val="Aptos"/>
        <family val="2"/>
      </rPr>
      <t xml:space="preserve"> </t>
    </r>
    <r>
      <rPr>
        <sz val="10"/>
        <color rgb="FFFF0000"/>
        <rFont val="微软雅黑"/>
        <family val="2"/>
        <charset val="134"/>
      </rPr>
      <t>银色</t>
    </r>
  </si>
  <si>
    <r>
      <t xml:space="preserve">X3-SILV </t>
    </r>
    <r>
      <rPr>
        <sz val="10"/>
        <color rgb="FFFF0000"/>
        <rFont val="微软雅黑"/>
        <family val="2"/>
        <charset val="134"/>
      </rPr>
      <t>智能入户门锁</t>
    </r>
    <r>
      <rPr>
        <sz val="10"/>
        <color rgb="FFFF0000"/>
        <rFont val="Aptos"/>
        <family val="2"/>
      </rPr>
      <t xml:space="preserve"> </t>
    </r>
    <r>
      <rPr>
        <sz val="10"/>
        <color rgb="FFFF0000"/>
        <rFont val="微软雅黑"/>
        <family val="2"/>
        <charset val="134"/>
      </rPr>
      <t>银色</t>
    </r>
  </si>
  <si>
    <r>
      <t xml:space="preserve">M1-B </t>
    </r>
    <r>
      <rPr>
        <sz val="10"/>
        <color rgb="FFFF0000"/>
        <rFont val="微软雅黑"/>
        <family val="2"/>
        <charset val="134"/>
      </rPr>
      <t>电子球形把手锁</t>
    </r>
    <r>
      <rPr>
        <sz val="10"/>
        <color rgb="FFFF0000"/>
        <rFont val="Aptos"/>
        <family val="2"/>
      </rPr>
      <t xml:space="preserve"> </t>
    </r>
    <r>
      <rPr>
        <sz val="10"/>
        <color rgb="FFFF0000"/>
        <rFont val="微软雅黑"/>
        <family val="2"/>
        <charset val="134"/>
      </rPr>
      <t>黑色</t>
    </r>
  </si>
  <si>
    <r>
      <t xml:space="preserve">M1-SILV </t>
    </r>
    <r>
      <rPr>
        <sz val="10"/>
        <color rgb="FFFF0000"/>
        <rFont val="微软雅黑"/>
        <family val="2"/>
        <charset val="134"/>
      </rPr>
      <t>电子球形把手锁</t>
    </r>
    <r>
      <rPr>
        <sz val="10"/>
        <color rgb="FFFF0000"/>
        <rFont val="Aptos"/>
        <family val="2"/>
      </rPr>
      <t xml:space="preserve"> </t>
    </r>
    <r>
      <rPr>
        <sz val="10"/>
        <color rgb="FFFF0000"/>
        <rFont val="微软雅黑"/>
        <family val="2"/>
        <charset val="134"/>
      </rPr>
      <t>银色</t>
    </r>
  </si>
  <si>
    <r>
      <t xml:space="preserve">M1-T </t>
    </r>
    <r>
      <rPr>
        <sz val="10"/>
        <color rgb="FFFF0000"/>
        <rFont val="微软雅黑"/>
        <family val="2"/>
        <charset val="134"/>
      </rPr>
      <t>电子球形把手锁</t>
    </r>
    <r>
      <rPr>
        <sz val="10"/>
        <color rgb="FFFF0000"/>
        <rFont val="Aptos"/>
        <family val="2"/>
      </rPr>
      <t xml:space="preserve"> </t>
    </r>
    <r>
      <rPr>
        <sz val="10"/>
        <color rgb="FFFF0000"/>
        <rFont val="微软雅黑"/>
        <family val="2"/>
        <charset val="134"/>
      </rPr>
      <t>钛灰色</t>
    </r>
  </si>
  <si>
    <r>
      <t xml:space="preserve">MD1-SILV </t>
    </r>
    <r>
      <rPr>
        <sz val="10"/>
        <color rgb="FFFF0000"/>
        <rFont val="微软雅黑"/>
        <family val="2"/>
        <charset val="134"/>
      </rPr>
      <t>电子球形把手锁</t>
    </r>
    <r>
      <rPr>
        <sz val="10"/>
        <color rgb="FFFF0000"/>
        <rFont val="Aptos"/>
        <family val="2"/>
      </rPr>
      <t xml:space="preserve"> </t>
    </r>
    <r>
      <rPr>
        <sz val="10"/>
        <color rgb="FFFF0000"/>
        <rFont val="微软雅黑"/>
        <family val="2"/>
        <charset val="134"/>
      </rPr>
      <t>指纹</t>
    </r>
    <r>
      <rPr>
        <sz val="10"/>
        <color rgb="FFFF0000"/>
        <rFont val="Aptos"/>
        <family val="2"/>
      </rPr>
      <t xml:space="preserve"> </t>
    </r>
    <r>
      <rPr>
        <sz val="10"/>
        <color rgb="FFFF0000"/>
        <rFont val="微软雅黑"/>
        <family val="2"/>
        <charset val="134"/>
      </rPr>
      <t>银色</t>
    </r>
  </si>
  <si>
    <r>
      <t xml:space="preserve">MD1-T </t>
    </r>
    <r>
      <rPr>
        <sz val="10"/>
        <color rgb="FFFF0000"/>
        <rFont val="微软雅黑"/>
        <family val="2"/>
        <charset val="134"/>
      </rPr>
      <t>电子球形把手锁</t>
    </r>
    <r>
      <rPr>
        <sz val="10"/>
        <color rgb="FFFF0000"/>
        <rFont val="Aptos"/>
        <family val="2"/>
      </rPr>
      <t xml:space="preserve"> </t>
    </r>
    <r>
      <rPr>
        <sz val="10"/>
        <color rgb="FFFF0000"/>
        <rFont val="微软雅黑"/>
        <family val="2"/>
        <charset val="134"/>
      </rPr>
      <t>指纹</t>
    </r>
    <r>
      <rPr>
        <sz val="10"/>
        <color rgb="FFFF0000"/>
        <rFont val="Aptos"/>
        <family val="2"/>
      </rPr>
      <t xml:space="preserve"> </t>
    </r>
    <r>
      <rPr>
        <sz val="10"/>
        <color rgb="FFFF0000"/>
        <rFont val="微软雅黑"/>
        <family val="2"/>
        <charset val="134"/>
      </rPr>
      <t>钛灰色</t>
    </r>
  </si>
  <si>
    <r>
      <t xml:space="preserve">MK1-B </t>
    </r>
    <r>
      <rPr>
        <sz val="10"/>
        <color rgb="FFFF0000"/>
        <rFont val="微软雅黑"/>
        <family val="2"/>
        <charset val="134"/>
      </rPr>
      <t>智能球形把手锁</t>
    </r>
    <r>
      <rPr>
        <sz val="10"/>
        <color rgb="FFFF0000"/>
        <rFont val="Aptos"/>
        <family val="2"/>
      </rPr>
      <t xml:space="preserve"> </t>
    </r>
    <r>
      <rPr>
        <sz val="10"/>
        <color rgb="FFFF0000"/>
        <rFont val="微软雅黑"/>
        <family val="2"/>
        <charset val="134"/>
      </rPr>
      <t>黑色</t>
    </r>
  </si>
  <si>
    <r>
      <t xml:space="preserve">MK1-T </t>
    </r>
    <r>
      <rPr>
        <sz val="10"/>
        <color rgb="FFFF0000"/>
        <rFont val="微软雅黑"/>
        <family val="2"/>
        <charset val="134"/>
      </rPr>
      <t>智能球形把手锁</t>
    </r>
    <r>
      <rPr>
        <sz val="10"/>
        <color rgb="FFFF0000"/>
        <rFont val="Aptos"/>
        <family val="2"/>
      </rPr>
      <t xml:space="preserve"> </t>
    </r>
    <r>
      <rPr>
        <sz val="10"/>
        <color rgb="FFFF0000"/>
        <rFont val="微软雅黑"/>
        <family val="2"/>
        <charset val="134"/>
      </rPr>
      <t>钛色</t>
    </r>
  </si>
  <si>
    <r>
      <t xml:space="preserve">ANP-B_US </t>
    </r>
    <r>
      <rPr>
        <sz val="10"/>
        <color theme="1"/>
        <rFont val="微软雅黑"/>
        <family val="2"/>
        <charset val="134"/>
      </rPr>
      <t>墙插式智能扩香仪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黑色</t>
    </r>
  </si>
  <si>
    <r>
      <t xml:space="preserve">ANP-W_US </t>
    </r>
    <r>
      <rPr>
        <sz val="10"/>
        <color theme="1"/>
        <rFont val="微软雅黑"/>
        <family val="2"/>
        <charset val="134"/>
      </rPr>
      <t>墙插式智能扩香仪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白色</t>
    </r>
  </si>
  <si>
    <r>
      <t>ANWKIT-B_US_2X100K03 ANW</t>
    </r>
    <r>
      <rPr>
        <sz val="10"/>
        <color theme="1"/>
        <rFont val="微软雅黑"/>
        <family val="2"/>
        <charset val="134"/>
      </rPr>
      <t>黑色机器</t>
    </r>
    <r>
      <rPr>
        <sz val="10"/>
        <color theme="1"/>
        <rFont val="Aptos"/>
        <family val="2"/>
      </rPr>
      <t>+2X100mL</t>
    </r>
    <r>
      <rPr>
        <sz val="10"/>
        <color theme="1"/>
        <rFont val="微软雅黑"/>
        <family val="2"/>
        <charset val="134"/>
      </rPr>
      <t>酒店香氛油（天竺）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机油套装</t>
    </r>
  </si>
  <si>
    <r>
      <t>ANWKIT-WH_US_2X100K03 ANW</t>
    </r>
    <r>
      <rPr>
        <sz val="10"/>
        <color theme="1"/>
        <rFont val="微软雅黑"/>
        <family val="2"/>
        <charset val="134"/>
      </rPr>
      <t>白色机器</t>
    </r>
    <r>
      <rPr>
        <sz val="10"/>
        <color theme="1"/>
        <rFont val="Aptos"/>
        <family val="2"/>
      </rPr>
      <t>+2X100mL</t>
    </r>
    <r>
      <rPr>
        <sz val="10"/>
        <color theme="1"/>
        <rFont val="微软雅黑"/>
        <family val="2"/>
        <charset val="134"/>
      </rPr>
      <t>酒店香氛油（天竺）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机油套装</t>
    </r>
  </si>
  <si>
    <r>
      <t xml:space="preserve">ANZ-B </t>
    </r>
    <r>
      <rPr>
        <sz val="10"/>
        <color theme="1"/>
        <rFont val="微软雅黑"/>
        <family val="2"/>
        <charset val="134"/>
      </rPr>
      <t>便携式扩香仪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黑色</t>
    </r>
  </si>
  <si>
    <r>
      <t xml:space="preserve">ANZ-WH </t>
    </r>
    <r>
      <rPr>
        <sz val="10"/>
        <color theme="1"/>
        <rFont val="微软雅黑"/>
        <family val="2"/>
        <charset val="134"/>
      </rPr>
      <t>便携式扩香仪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白色</t>
    </r>
  </si>
  <si>
    <r>
      <t xml:space="preserve">BCRT1-100ML </t>
    </r>
    <r>
      <rPr>
        <sz val="10"/>
        <color rgb="FFFF0000"/>
        <rFont val="微软雅黑"/>
        <family val="2"/>
        <charset val="134"/>
      </rPr>
      <t>巴卡拉酒店香氛油</t>
    </r>
    <r>
      <rPr>
        <sz val="10"/>
        <color rgb="FFFF0000"/>
        <rFont val="Aptos"/>
        <family val="2"/>
      </rPr>
      <t>100mL</t>
    </r>
  </si>
  <si>
    <r>
      <t xml:space="preserve">BLG1-100ML </t>
    </r>
    <r>
      <rPr>
        <sz val="10"/>
        <color rgb="FFFF0000"/>
        <rFont val="微软雅黑"/>
        <family val="2"/>
        <charset val="134"/>
      </rPr>
      <t>百乐宫酒店香氛油</t>
    </r>
    <r>
      <rPr>
        <sz val="10"/>
        <color rgb="FFFF0000"/>
        <rFont val="Aptos"/>
        <family val="2"/>
      </rPr>
      <t>100mL</t>
    </r>
  </si>
  <si>
    <r>
      <t xml:space="preserve">A-Hotel-6X10mL </t>
    </r>
    <r>
      <rPr>
        <sz val="10"/>
        <color rgb="FFFF0000"/>
        <rFont val="微软雅黑"/>
        <family val="2"/>
        <charset val="134"/>
      </rPr>
      <t>酒店香氛油</t>
    </r>
    <r>
      <rPr>
        <sz val="10"/>
        <color rgb="FFFF0000"/>
        <rFont val="Aptos"/>
        <family val="2"/>
      </rPr>
      <t>6</t>
    </r>
    <r>
      <rPr>
        <sz val="10"/>
        <color rgb="FFFF0000"/>
        <rFont val="微软雅黑"/>
        <family val="2"/>
        <charset val="134"/>
      </rPr>
      <t>款</t>
    </r>
    <r>
      <rPr>
        <sz val="10"/>
        <color rgb="FFFF0000"/>
        <rFont val="Aptos"/>
        <family val="2"/>
      </rPr>
      <t>10mL</t>
    </r>
    <r>
      <rPr>
        <sz val="10"/>
        <color rgb="FFFF0000"/>
        <rFont val="微软雅黑"/>
        <family val="2"/>
        <charset val="134"/>
      </rPr>
      <t>套装</t>
    </r>
  </si>
  <si>
    <r>
      <t xml:space="preserve">A-Ritz Carlton Hotel 3-100 </t>
    </r>
    <r>
      <rPr>
        <sz val="10"/>
        <color rgb="FFFF0000"/>
        <rFont val="微软雅黑"/>
        <family val="2"/>
        <charset val="134"/>
      </rPr>
      <t>丽思卡尔顿酒店</t>
    </r>
    <r>
      <rPr>
        <sz val="10"/>
        <color rgb="FFFF0000"/>
        <rFont val="Aptos"/>
        <family val="2"/>
      </rPr>
      <t>3</t>
    </r>
    <r>
      <rPr>
        <sz val="10"/>
        <color rgb="FFFF0000"/>
        <rFont val="微软雅黑"/>
        <family val="2"/>
        <charset val="134"/>
      </rPr>
      <t>香氛油</t>
    </r>
    <r>
      <rPr>
        <sz val="10"/>
        <color rgb="FFFF0000"/>
        <rFont val="Aptos"/>
        <family val="2"/>
      </rPr>
      <t>100mL</t>
    </r>
  </si>
  <si>
    <r>
      <t xml:space="preserve">WST1-100ML </t>
    </r>
    <r>
      <rPr>
        <sz val="10"/>
        <color rgb="FFFF0000"/>
        <rFont val="微软雅黑"/>
        <family val="2"/>
        <charset val="134"/>
      </rPr>
      <t>威斯汀</t>
    </r>
    <r>
      <rPr>
        <sz val="10"/>
        <color rgb="FFFF0000"/>
        <rFont val="Aptos"/>
        <family val="2"/>
      </rPr>
      <t>2</t>
    </r>
    <r>
      <rPr>
        <sz val="10"/>
        <color rgb="FFFF0000"/>
        <rFont val="微软雅黑"/>
        <family val="2"/>
        <charset val="134"/>
      </rPr>
      <t>酒店香氛油</t>
    </r>
    <r>
      <rPr>
        <sz val="10"/>
        <color rgb="FFFF0000"/>
        <rFont val="Aptos"/>
        <family val="2"/>
      </rPr>
      <t>100mL</t>
    </r>
  </si>
  <si>
    <r>
      <t>AN6KIT-B_2X20K01 AN6</t>
    </r>
    <r>
      <rPr>
        <sz val="10"/>
        <color theme="1"/>
        <rFont val="微软雅黑"/>
        <family val="2"/>
        <charset val="134"/>
      </rPr>
      <t>黑色机器</t>
    </r>
    <r>
      <rPr>
        <sz val="10"/>
        <color theme="1"/>
        <rFont val="Aptos"/>
        <family val="2"/>
      </rPr>
      <t>+2X20mL</t>
    </r>
    <r>
      <rPr>
        <sz val="10"/>
        <color theme="1"/>
        <rFont val="微软雅黑"/>
        <family val="2"/>
        <charset val="134"/>
      </rPr>
      <t>酒店香氛油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机油套装</t>
    </r>
  </si>
  <si>
    <r>
      <t>AN6KIT-B_BCRT30ML AN6</t>
    </r>
    <r>
      <rPr>
        <sz val="10"/>
        <color theme="1"/>
        <rFont val="微软雅黑"/>
        <family val="2"/>
        <charset val="134"/>
      </rPr>
      <t>黑色机器</t>
    </r>
    <r>
      <rPr>
        <sz val="10"/>
        <color theme="1"/>
        <rFont val="Aptos"/>
        <family val="2"/>
      </rPr>
      <t>+30mL</t>
    </r>
    <r>
      <rPr>
        <sz val="10"/>
        <color theme="1"/>
        <rFont val="微软雅黑"/>
        <family val="2"/>
        <charset val="134"/>
      </rPr>
      <t>巴卡拉酒店香氛油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机油套装</t>
    </r>
  </si>
  <si>
    <r>
      <t>AN6KIT-B_BLG30ML AN6</t>
    </r>
    <r>
      <rPr>
        <sz val="10"/>
        <color theme="1"/>
        <rFont val="微软雅黑"/>
        <family val="2"/>
        <charset val="134"/>
      </rPr>
      <t>黑色机器</t>
    </r>
    <r>
      <rPr>
        <sz val="10"/>
        <color theme="1"/>
        <rFont val="Aptos"/>
        <family val="2"/>
      </rPr>
      <t>+30mL</t>
    </r>
    <r>
      <rPr>
        <sz val="10"/>
        <color theme="1"/>
        <rFont val="微软雅黑"/>
        <family val="2"/>
        <charset val="134"/>
      </rPr>
      <t>百乐宫酒店香氛油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机油套装</t>
    </r>
  </si>
  <si>
    <r>
      <t>AN6KIT-WH_2X20K01 AN6</t>
    </r>
    <r>
      <rPr>
        <sz val="10"/>
        <color theme="1"/>
        <rFont val="微软雅黑"/>
        <family val="2"/>
        <charset val="134"/>
      </rPr>
      <t>白色机器</t>
    </r>
    <r>
      <rPr>
        <sz val="10"/>
        <color theme="1"/>
        <rFont val="Aptos"/>
        <family val="2"/>
      </rPr>
      <t>+2X20mL</t>
    </r>
    <r>
      <rPr>
        <sz val="10"/>
        <color theme="1"/>
        <rFont val="微软雅黑"/>
        <family val="2"/>
        <charset val="134"/>
      </rPr>
      <t>酒店香氛油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机油套装</t>
    </r>
  </si>
  <si>
    <r>
      <t>AN6KIT-WH_BCRT30ML AN6</t>
    </r>
    <r>
      <rPr>
        <sz val="10"/>
        <color theme="1"/>
        <rFont val="微软雅黑"/>
        <family val="2"/>
        <charset val="134"/>
      </rPr>
      <t>白色机器</t>
    </r>
    <r>
      <rPr>
        <sz val="10"/>
        <color theme="1"/>
        <rFont val="Aptos"/>
        <family val="2"/>
      </rPr>
      <t>+30mL</t>
    </r>
    <r>
      <rPr>
        <sz val="10"/>
        <color theme="1"/>
        <rFont val="微软雅黑"/>
        <family val="2"/>
        <charset val="134"/>
      </rPr>
      <t>巴卡拉酒店香氛油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机油套装</t>
    </r>
  </si>
  <si>
    <r>
      <t>AN6KIT-WH_BLG30ML AN6</t>
    </r>
    <r>
      <rPr>
        <sz val="10"/>
        <color theme="1"/>
        <rFont val="微软雅黑"/>
        <family val="2"/>
        <charset val="134"/>
      </rPr>
      <t>白色机器</t>
    </r>
    <r>
      <rPr>
        <sz val="10"/>
        <color theme="1"/>
        <rFont val="Aptos"/>
        <family val="2"/>
      </rPr>
      <t>+30mL</t>
    </r>
    <r>
      <rPr>
        <sz val="10"/>
        <color theme="1"/>
        <rFont val="微软雅黑"/>
        <family val="2"/>
        <charset val="134"/>
      </rPr>
      <t>百乐宫酒店香氛油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机油套装</t>
    </r>
  </si>
  <si>
    <r>
      <t>AN8KIT-B_2X20K01 AN8</t>
    </r>
    <r>
      <rPr>
        <sz val="10"/>
        <color theme="1"/>
        <rFont val="微软雅黑"/>
        <family val="2"/>
        <charset val="134"/>
      </rPr>
      <t>黑色机器</t>
    </r>
    <r>
      <rPr>
        <sz val="10"/>
        <color theme="1"/>
        <rFont val="Aptos"/>
        <family val="2"/>
      </rPr>
      <t>+2X20mL</t>
    </r>
    <r>
      <rPr>
        <sz val="10"/>
        <color theme="1"/>
        <rFont val="微软雅黑"/>
        <family val="2"/>
        <charset val="134"/>
      </rPr>
      <t>酒店香氛油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机油套装</t>
    </r>
  </si>
  <si>
    <r>
      <t>AN8KIT-WH_2X20K01 AN8</t>
    </r>
    <r>
      <rPr>
        <sz val="10"/>
        <color theme="1"/>
        <rFont val="微软雅黑"/>
        <family val="2"/>
        <charset val="134"/>
      </rPr>
      <t>白色机器</t>
    </r>
    <r>
      <rPr>
        <sz val="10"/>
        <color theme="1"/>
        <rFont val="Aptos"/>
        <family val="2"/>
      </rPr>
      <t>+2X20mL</t>
    </r>
    <r>
      <rPr>
        <sz val="10"/>
        <color theme="1"/>
        <rFont val="微软雅黑"/>
        <family val="2"/>
        <charset val="134"/>
      </rPr>
      <t>酒店香氛油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机油套装</t>
    </r>
  </si>
  <si>
    <r>
      <t>AN8KIT-WH_2X20K02 AN8</t>
    </r>
    <r>
      <rPr>
        <sz val="10"/>
        <color theme="1"/>
        <rFont val="微软雅黑"/>
        <family val="2"/>
        <charset val="134"/>
      </rPr>
      <t>白色机器</t>
    </r>
    <r>
      <rPr>
        <sz val="10"/>
        <color theme="1"/>
        <rFont val="Aptos"/>
        <family val="2"/>
      </rPr>
      <t>+2X20mL</t>
    </r>
    <r>
      <rPr>
        <sz val="10"/>
        <color theme="1"/>
        <rFont val="微软雅黑"/>
        <family val="2"/>
        <charset val="134"/>
      </rPr>
      <t>酒店香氛油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机油套装</t>
    </r>
  </si>
  <si>
    <r>
      <t>AN8KIT-B_2X20K02 AN8</t>
    </r>
    <r>
      <rPr>
        <sz val="10"/>
        <color theme="1"/>
        <rFont val="微软雅黑"/>
        <family val="2"/>
        <charset val="134"/>
      </rPr>
      <t>黑色机器</t>
    </r>
    <r>
      <rPr>
        <sz val="10"/>
        <color theme="1"/>
        <rFont val="Aptos"/>
        <family val="2"/>
      </rPr>
      <t>+2X20mL</t>
    </r>
    <r>
      <rPr>
        <sz val="10"/>
        <color theme="1"/>
        <rFont val="微软雅黑"/>
        <family val="2"/>
        <charset val="134"/>
      </rPr>
      <t>酒店香氛油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机油套装</t>
    </r>
  </si>
  <si>
    <r>
      <t>ANXKIT-B_2X20K02 ANX</t>
    </r>
    <r>
      <rPr>
        <sz val="10"/>
        <color theme="1"/>
        <rFont val="微软雅黑"/>
        <family val="2"/>
        <charset val="134"/>
      </rPr>
      <t>黑色机器</t>
    </r>
    <r>
      <rPr>
        <sz val="10"/>
        <color theme="1"/>
        <rFont val="Aptos"/>
        <family val="2"/>
      </rPr>
      <t>+2X20mL</t>
    </r>
    <r>
      <rPr>
        <sz val="10"/>
        <color theme="1"/>
        <rFont val="微软雅黑"/>
        <family val="2"/>
        <charset val="134"/>
      </rPr>
      <t>酒店香氛油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机油套装</t>
    </r>
  </si>
  <si>
    <r>
      <t xml:space="preserve">RD1-B </t>
    </r>
    <r>
      <rPr>
        <sz val="10"/>
        <color theme="1"/>
        <rFont val="微软雅黑"/>
        <family val="2"/>
        <charset val="134"/>
      </rPr>
      <t>便携式扩香仪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黑色</t>
    </r>
  </si>
  <si>
    <r>
      <t xml:space="preserve">RD1-DT </t>
    </r>
    <r>
      <rPr>
        <sz val="10"/>
        <color theme="1"/>
        <rFont val="微软雅黑"/>
        <family val="2"/>
        <charset val="134"/>
      </rPr>
      <t>便携式扩香仪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沙漠钛色</t>
    </r>
  </si>
  <si>
    <r>
      <t xml:space="preserve">YH1-100ML_TZ </t>
    </r>
    <r>
      <rPr>
        <sz val="10"/>
        <color theme="1"/>
        <rFont val="微软雅黑"/>
        <family val="2"/>
        <charset val="134"/>
      </rPr>
      <t>樱花</t>
    </r>
    <r>
      <rPr>
        <sz val="10"/>
        <color theme="1"/>
        <rFont val="Aptos"/>
        <family val="2"/>
      </rPr>
      <t>100mL</t>
    </r>
    <r>
      <rPr>
        <sz val="10"/>
        <color theme="1"/>
        <rFont val="微软雅黑"/>
        <family val="2"/>
        <charset val="134"/>
      </rPr>
      <t>香氛油（天竺）销售包装</t>
    </r>
  </si>
  <si>
    <r>
      <t xml:space="preserve">BCRT1-100ML </t>
    </r>
    <r>
      <rPr>
        <sz val="10"/>
        <color theme="1"/>
        <rFont val="微软雅黑"/>
        <family val="2"/>
        <charset val="134"/>
      </rPr>
      <t>巴卡拉酒店香氛油</t>
    </r>
    <r>
      <rPr>
        <sz val="10"/>
        <color theme="1"/>
        <rFont val="Aptos"/>
        <family val="2"/>
      </rPr>
      <t>100mL</t>
    </r>
  </si>
  <si>
    <r>
      <t xml:space="preserve">BLG1-100ML </t>
    </r>
    <r>
      <rPr>
        <sz val="10"/>
        <color theme="1"/>
        <rFont val="微软雅黑"/>
        <family val="2"/>
        <charset val="134"/>
      </rPr>
      <t>百乐宫酒店香氛油</t>
    </r>
    <r>
      <rPr>
        <sz val="10"/>
        <color theme="1"/>
        <rFont val="Aptos"/>
        <family val="2"/>
      </rPr>
      <t>100mL</t>
    </r>
  </si>
  <si>
    <r>
      <t xml:space="preserve">WST1-100ML </t>
    </r>
    <r>
      <rPr>
        <sz val="10"/>
        <color theme="1"/>
        <rFont val="微软雅黑"/>
        <family val="2"/>
        <charset val="134"/>
      </rPr>
      <t>威斯汀</t>
    </r>
    <r>
      <rPr>
        <sz val="10"/>
        <color theme="1"/>
        <rFont val="Aptos"/>
        <family val="2"/>
      </rPr>
      <t>2</t>
    </r>
    <r>
      <rPr>
        <sz val="10"/>
        <color theme="1"/>
        <rFont val="微软雅黑"/>
        <family val="2"/>
        <charset val="134"/>
      </rPr>
      <t>酒店香氛油</t>
    </r>
    <r>
      <rPr>
        <sz val="10"/>
        <color theme="1"/>
        <rFont val="Aptos"/>
        <family val="2"/>
      </rPr>
      <t>100mL</t>
    </r>
  </si>
  <si>
    <r>
      <rPr>
        <sz val="10"/>
        <color theme="1"/>
        <rFont val="微软雅黑"/>
        <family val="2"/>
        <charset val="134"/>
      </rPr>
      <t>是</t>
    </r>
    <phoneticPr fontId="25" type="noConversion"/>
  </si>
  <si>
    <r>
      <t>RD1KIT-B_2X30K03 RD1</t>
    </r>
    <r>
      <rPr>
        <sz val="10"/>
        <color theme="1"/>
        <rFont val="微软雅黑"/>
        <family val="2"/>
        <charset val="134"/>
      </rPr>
      <t>黑色机器</t>
    </r>
    <r>
      <rPr>
        <sz val="10"/>
        <color theme="1"/>
        <rFont val="Aptos"/>
        <family val="2"/>
      </rPr>
      <t>+2X30mL</t>
    </r>
    <r>
      <rPr>
        <sz val="10"/>
        <color theme="1"/>
        <rFont val="微软雅黑"/>
        <family val="2"/>
        <charset val="134"/>
      </rPr>
      <t>酒店香氛油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机油套装</t>
    </r>
  </si>
  <si>
    <r>
      <t>RD1KIT-T_2X30K04 RD1</t>
    </r>
    <r>
      <rPr>
        <sz val="10"/>
        <color theme="1"/>
        <rFont val="微软雅黑"/>
        <family val="2"/>
        <charset val="134"/>
      </rPr>
      <t>沙漠钛色机器</t>
    </r>
    <r>
      <rPr>
        <sz val="10"/>
        <color theme="1"/>
        <rFont val="Aptos"/>
        <family val="2"/>
      </rPr>
      <t>+2X30mL</t>
    </r>
    <r>
      <rPr>
        <sz val="10"/>
        <color theme="1"/>
        <rFont val="微软雅黑"/>
        <family val="2"/>
        <charset val="134"/>
      </rPr>
      <t>酒店香氛油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机油套装</t>
    </r>
  </si>
  <si>
    <r>
      <t>ANAKIT-B_US_2X100K03 ANA</t>
    </r>
    <r>
      <rPr>
        <sz val="10"/>
        <color theme="1"/>
        <rFont val="微软雅黑"/>
        <family val="2"/>
        <charset val="134"/>
      </rPr>
      <t>黑色机器</t>
    </r>
    <r>
      <rPr>
        <sz val="10"/>
        <color theme="1"/>
        <rFont val="Aptos"/>
        <family val="2"/>
      </rPr>
      <t>+2X100mL</t>
    </r>
    <r>
      <rPr>
        <sz val="10"/>
        <color theme="1"/>
        <rFont val="微软雅黑"/>
        <family val="2"/>
        <charset val="134"/>
      </rPr>
      <t>酒店香氛油（天竺）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机油套装</t>
    </r>
  </si>
  <si>
    <r>
      <t>ANAKIT-WH_US_2X100K03 ANA</t>
    </r>
    <r>
      <rPr>
        <sz val="10"/>
        <color theme="1"/>
        <rFont val="微软雅黑"/>
        <family val="2"/>
        <charset val="134"/>
      </rPr>
      <t>白色机器</t>
    </r>
    <r>
      <rPr>
        <sz val="10"/>
        <color theme="1"/>
        <rFont val="Aptos"/>
        <family val="2"/>
      </rPr>
      <t>+2X100mL</t>
    </r>
    <r>
      <rPr>
        <sz val="10"/>
        <color theme="1"/>
        <rFont val="微软雅黑"/>
        <family val="2"/>
        <charset val="134"/>
      </rPr>
      <t>酒店香氛油（天竺）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机油套装</t>
    </r>
  </si>
  <si>
    <r>
      <t xml:space="preserve">G1-B </t>
    </r>
    <r>
      <rPr>
        <sz val="10"/>
        <color theme="1"/>
        <rFont val="微软雅黑"/>
        <family val="2"/>
        <charset val="134"/>
      </rPr>
      <t>电子球形把手锁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黑色</t>
    </r>
  </si>
  <si>
    <r>
      <t xml:space="preserve">G1-DT </t>
    </r>
    <r>
      <rPr>
        <sz val="10"/>
        <color theme="1"/>
        <rFont val="微软雅黑"/>
        <family val="2"/>
        <charset val="134"/>
      </rPr>
      <t>电子球形把手锁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沙漠钛色</t>
    </r>
  </si>
  <si>
    <r>
      <t xml:space="preserve">G1-SILV </t>
    </r>
    <r>
      <rPr>
        <sz val="10"/>
        <color theme="1"/>
        <rFont val="微软雅黑"/>
        <family val="2"/>
        <charset val="134"/>
      </rPr>
      <t>电子球形把手锁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银色</t>
    </r>
  </si>
  <si>
    <r>
      <t>ANZKIT-B_HILTON30ML ANZ</t>
    </r>
    <r>
      <rPr>
        <sz val="10"/>
        <color theme="1"/>
        <rFont val="微软雅黑"/>
        <family val="2"/>
        <charset val="134"/>
      </rPr>
      <t>黑色机器</t>
    </r>
    <r>
      <rPr>
        <sz val="10"/>
        <color theme="1"/>
        <rFont val="Aptos"/>
        <family val="2"/>
      </rPr>
      <t>+30mL</t>
    </r>
    <r>
      <rPr>
        <sz val="10"/>
        <color theme="1"/>
        <rFont val="微软雅黑"/>
        <family val="2"/>
        <charset val="134"/>
      </rPr>
      <t>希尔顿酒店香氛油（天竺）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机油套装</t>
    </r>
  </si>
  <si>
    <r>
      <t>AN8KIT-B_2X20K03 AN8</t>
    </r>
    <r>
      <rPr>
        <sz val="10"/>
        <color theme="1"/>
        <rFont val="微软雅黑"/>
        <family val="2"/>
        <charset val="134"/>
      </rPr>
      <t>黑色机器</t>
    </r>
    <r>
      <rPr>
        <sz val="10"/>
        <color theme="1"/>
        <rFont val="Aptos"/>
        <family val="2"/>
      </rPr>
      <t>+2X20mL</t>
    </r>
    <r>
      <rPr>
        <sz val="10"/>
        <color theme="1"/>
        <rFont val="微软雅黑"/>
        <family val="2"/>
        <charset val="134"/>
      </rPr>
      <t>酒店香氛油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机油套装</t>
    </r>
  </si>
  <si>
    <r>
      <rPr>
        <b/>
        <sz val="10"/>
        <color theme="4" tint="-0.249977111117893"/>
        <rFont val="微软雅黑"/>
        <family val="2"/>
        <charset val="134"/>
      </rPr>
      <t>件</t>
    </r>
    <r>
      <rPr>
        <b/>
        <sz val="10"/>
        <color theme="4" tint="-0.249977111117893"/>
        <rFont val="Aptos"/>
        <family val="2"/>
      </rPr>
      <t>/</t>
    </r>
    <r>
      <rPr>
        <b/>
        <sz val="10"/>
        <color theme="4" tint="-0.249977111117893"/>
        <rFont val="微软雅黑"/>
        <family val="2"/>
        <charset val="134"/>
      </rPr>
      <t>箱数</t>
    </r>
  </si>
  <si>
    <r>
      <rPr>
        <b/>
        <sz val="10"/>
        <color theme="4" tint="-0.249977111117893"/>
        <rFont val="微软雅黑"/>
        <family val="2"/>
        <charset val="134"/>
      </rPr>
      <t>重量</t>
    </r>
    <r>
      <rPr>
        <b/>
        <sz val="10"/>
        <color theme="4" tint="-0.249977111117893"/>
        <rFont val="Aptos"/>
        <family val="2"/>
      </rPr>
      <t>/</t>
    </r>
    <r>
      <rPr>
        <b/>
        <sz val="10"/>
        <color theme="4" tint="-0.249977111117893"/>
        <rFont val="微软雅黑"/>
        <family val="2"/>
        <charset val="134"/>
      </rPr>
      <t>体积</t>
    </r>
  </si>
  <si>
    <r>
      <rPr>
        <sz val="10"/>
        <color indexed="8"/>
        <rFont val="微软雅黑"/>
        <family val="2"/>
        <charset val="134"/>
      </rPr>
      <t>公司名称</t>
    </r>
    <r>
      <rPr>
        <sz val="10"/>
        <color theme="1"/>
        <rFont val="Aptos"/>
        <family val="2"/>
      </rPr>
      <t>:Kubik Inc.</t>
    </r>
    <r>
      <rPr>
        <sz val="10"/>
        <color theme="1"/>
        <rFont val="微软雅黑"/>
        <family val="2"/>
        <charset val="134"/>
      </rPr>
      <t>收货人姓名</t>
    </r>
    <r>
      <rPr>
        <sz val="10"/>
        <color theme="1"/>
        <rFont val="Aptos"/>
        <family val="2"/>
      </rPr>
      <t>:Ingo Schnitzer</t>
    </r>
    <r>
      <rPr>
        <sz val="10"/>
        <color theme="1"/>
        <rFont val="微软雅黑"/>
        <family val="2"/>
        <charset val="134"/>
      </rPr>
      <t>地址</t>
    </r>
    <r>
      <rPr>
        <sz val="10"/>
        <color theme="1"/>
        <rFont val="Aptos"/>
        <family val="2"/>
      </rPr>
      <t>:1680 Mattawa Avenue,</t>
    </r>
    <r>
      <rPr>
        <sz val="10"/>
        <color theme="1"/>
        <rFont val="微软雅黑"/>
        <family val="2"/>
        <charset val="134"/>
      </rPr>
      <t>城市</t>
    </r>
    <r>
      <rPr>
        <sz val="10"/>
        <color theme="1"/>
        <rFont val="Aptos"/>
        <family val="2"/>
      </rPr>
      <t>:Mississauga</t>
    </r>
    <r>
      <rPr>
        <sz val="10"/>
        <color theme="1"/>
        <rFont val="微软雅黑"/>
        <family val="2"/>
        <charset val="134"/>
      </rPr>
      <t>洲</t>
    </r>
    <r>
      <rPr>
        <sz val="10"/>
        <color theme="1"/>
        <rFont val="Aptos"/>
        <family val="2"/>
      </rPr>
      <t>:Ontario(ON)</t>
    </r>
    <r>
      <rPr>
        <sz val="10"/>
        <color theme="1"/>
        <rFont val="微软雅黑"/>
        <family val="2"/>
        <charset val="134"/>
      </rPr>
      <t>邮编</t>
    </r>
    <r>
      <rPr>
        <sz val="10"/>
        <color theme="1"/>
        <rFont val="Aptos"/>
        <family val="2"/>
      </rPr>
      <t>:L4X 3A5</t>
    </r>
    <r>
      <rPr>
        <sz val="10"/>
        <color theme="1"/>
        <rFont val="微软雅黑"/>
        <family val="2"/>
        <charset val="134"/>
      </rPr>
      <t>电话</t>
    </r>
    <r>
      <rPr>
        <sz val="10"/>
        <color theme="1"/>
        <rFont val="Aptos"/>
        <family val="2"/>
      </rPr>
      <t>: 905-272-2818</t>
    </r>
  </si>
  <si>
    <r>
      <rPr>
        <sz val="10"/>
        <rFont val="微软雅黑"/>
        <family val="2"/>
        <charset val="134"/>
      </rPr>
      <t>电子球形把手锁黑色（通开锁）</t>
    </r>
    <r>
      <rPr>
        <sz val="10"/>
        <rFont val="Aptos"/>
        <family val="2"/>
      </rPr>
      <t>+20</t>
    </r>
    <r>
      <rPr>
        <sz val="10"/>
        <rFont val="微软雅黑"/>
        <family val="2"/>
        <charset val="134"/>
      </rPr>
      <t>套免费方轴螺丝</t>
    </r>
  </si>
  <si>
    <r>
      <t>Saurabh Arora</t>
    </r>
    <r>
      <rPr>
        <sz val="10"/>
        <color theme="1"/>
        <rFont val="微软雅黑"/>
        <family val="2"/>
        <charset val="134"/>
      </rPr>
      <t>，</t>
    </r>
    <r>
      <rPr>
        <sz val="10"/>
        <color theme="1"/>
        <rFont val="Aptos"/>
        <family val="2"/>
      </rPr>
      <t>1484 Sector 14, Faridabad, Haryana, 121007, India</t>
    </r>
    <r>
      <rPr>
        <sz val="10"/>
        <color theme="1"/>
        <rFont val="微软雅黑"/>
        <family val="2"/>
        <charset val="134"/>
      </rPr>
      <t>，</t>
    </r>
    <r>
      <rPr>
        <sz val="10"/>
        <color theme="1"/>
        <rFont val="Aptos"/>
        <family val="2"/>
      </rPr>
      <t xml:space="preserve">+91 798 222 4079
</t>
    </r>
  </si>
  <si>
    <r>
      <rPr>
        <sz val="10"/>
        <color theme="1"/>
        <rFont val="微软雅黑"/>
        <family val="2"/>
        <charset val="134"/>
      </rPr>
      <t>海外仓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单方薄荷精油</t>
    </r>
    <r>
      <rPr>
        <sz val="10"/>
        <color theme="1"/>
        <rFont val="Aptos"/>
        <family val="2"/>
      </rPr>
      <t>2X0mL</t>
    </r>
  </si>
  <si>
    <r>
      <rPr>
        <sz val="10"/>
        <color theme="1"/>
        <rFont val="微软雅黑"/>
        <family val="2"/>
        <charset val="134"/>
      </rPr>
      <t>海外仓</t>
    </r>
    <r>
      <rPr>
        <sz val="10"/>
        <color theme="1"/>
        <rFont val="Aptos"/>
        <family val="2"/>
      </rPr>
      <t xml:space="preserve"> TUBE-ANS </t>
    </r>
    <r>
      <rPr>
        <sz val="10"/>
        <color theme="1"/>
        <rFont val="微软雅黑"/>
        <family val="2"/>
        <charset val="134"/>
      </rPr>
      <t>扩香仪使用吸管</t>
    </r>
    <r>
      <rPr>
        <sz val="10"/>
        <color theme="1"/>
        <rFont val="Aptos"/>
        <family val="2"/>
      </rPr>
      <t xml:space="preserve"> 50CM</t>
    </r>
  </si>
  <si>
    <r>
      <rPr>
        <sz val="10"/>
        <color theme="1"/>
        <rFont val="微软雅黑"/>
        <family val="2"/>
        <charset val="134"/>
      </rPr>
      <t>海外仓</t>
    </r>
    <r>
      <rPr>
        <sz val="10"/>
        <color theme="1"/>
        <rFont val="Aptos"/>
        <family val="2"/>
      </rPr>
      <t xml:space="preserve"> MAOJIN-ES1 </t>
    </r>
    <r>
      <rPr>
        <sz val="10"/>
        <color theme="1"/>
        <rFont val="微软雅黑"/>
        <family val="2"/>
        <charset val="134"/>
      </rPr>
      <t>赠送清洁方巾</t>
    </r>
    <r>
      <rPr>
        <sz val="10"/>
        <color theme="1"/>
        <rFont val="Aptos"/>
        <family val="2"/>
      </rPr>
      <t xml:space="preserve"> 2</t>
    </r>
    <r>
      <rPr>
        <sz val="10"/>
        <color theme="1"/>
        <rFont val="微软雅黑"/>
        <family val="2"/>
        <charset val="134"/>
      </rPr>
      <t>条</t>
    </r>
  </si>
  <si>
    <r>
      <rPr>
        <sz val="10"/>
        <color theme="1"/>
        <rFont val="微软雅黑"/>
        <family val="2"/>
        <charset val="134"/>
      </rPr>
      <t>海外仓</t>
    </r>
    <r>
      <rPr>
        <sz val="10"/>
        <color theme="1"/>
        <rFont val="Aptos"/>
        <family val="2"/>
      </rPr>
      <t xml:space="preserve"> SHOUTAO-ES1 </t>
    </r>
    <r>
      <rPr>
        <sz val="10"/>
        <color theme="1"/>
        <rFont val="微软雅黑"/>
        <family val="2"/>
        <charset val="134"/>
      </rPr>
      <t>赠送双面颗粒硅胶手套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灰色</t>
    </r>
    <r>
      <rPr>
        <sz val="10"/>
        <color theme="1"/>
        <rFont val="Aptos"/>
        <family val="2"/>
      </rPr>
      <t xml:space="preserve"> 1</t>
    </r>
    <r>
      <rPr>
        <sz val="10"/>
        <color theme="1"/>
        <rFont val="微软雅黑"/>
        <family val="2"/>
        <charset val="134"/>
      </rPr>
      <t>对</t>
    </r>
  </si>
  <si>
    <r>
      <rPr>
        <sz val="10"/>
        <color theme="1"/>
        <rFont val="微软雅黑"/>
        <family val="2"/>
        <charset val="134"/>
      </rPr>
      <t>海外仓</t>
    </r>
    <r>
      <rPr>
        <sz val="10"/>
        <color theme="1"/>
        <rFont val="Aptos"/>
        <family val="2"/>
      </rPr>
      <t xml:space="preserve"> SPINDLE-M1 </t>
    </r>
    <r>
      <rPr>
        <sz val="10"/>
        <color theme="1"/>
        <rFont val="微软雅黑"/>
        <family val="2"/>
        <charset val="134"/>
      </rPr>
      <t>门锁方轴配件</t>
    </r>
  </si>
  <si>
    <r>
      <rPr>
        <sz val="10"/>
        <color theme="1"/>
        <rFont val="微软雅黑"/>
        <family val="2"/>
        <charset val="134"/>
      </rPr>
      <t>海外仓</t>
    </r>
    <r>
      <rPr>
        <sz val="10"/>
        <color theme="1"/>
        <rFont val="Aptos"/>
        <family val="2"/>
      </rPr>
      <t xml:space="preserve"> 5AA-20PC 5</t>
    </r>
    <r>
      <rPr>
        <sz val="10"/>
        <color theme="1"/>
        <rFont val="微软雅黑"/>
        <family val="2"/>
        <charset val="134"/>
      </rPr>
      <t>号碱性电池</t>
    </r>
    <r>
      <rPr>
        <sz val="10"/>
        <color theme="1"/>
        <rFont val="Aptos"/>
        <family val="2"/>
      </rPr>
      <t xml:space="preserve"> 20PACK</t>
    </r>
  </si>
  <si>
    <r>
      <rPr>
        <sz val="10"/>
        <color theme="1"/>
        <rFont val="微软雅黑"/>
        <family val="2"/>
        <charset val="134"/>
      </rPr>
      <t>海外仓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胶圈，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扩香仪配件</t>
    </r>
  </si>
  <si>
    <r>
      <rPr>
        <sz val="10"/>
        <color theme="1"/>
        <rFont val="微软雅黑"/>
        <family val="2"/>
        <charset val="134"/>
      </rPr>
      <t>海外仓</t>
    </r>
    <r>
      <rPr>
        <sz val="10"/>
        <color theme="1"/>
        <rFont val="Aptos"/>
        <family val="2"/>
      </rPr>
      <t xml:space="preserve"> 5AA-4PC 5</t>
    </r>
    <r>
      <rPr>
        <sz val="10"/>
        <color theme="1"/>
        <rFont val="微软雅黑"/>
        <family val="2"/>
        <charset val="134"/>
      </rPr>
      <t>号碱性电池</t>
    </r>
    <r>
      <rPr>
        <sz val="10"/>
        <color theme="1"/>
        <rFont val="Aptos"/>
        <family val="2"/>
      </rPr>
      <t xml:space="preserve"> 4PACK</t>
    </r>
  </si>
  <si>
    <r>
      <rPr>
        <sz val="10"/>
        <color theme="1"/>
        <rFont val="微软雅黑"/>
        <family val="2"/>
        <charset val="134"/>
      </rPr>
      <t>海外仓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清洁刷套装，</t>
    </r>
    <r>
      <rPr>
        <sz val="10"/>
        <color theme="1"/>
        <rFont val="Aptos"/>
        <family val="2"/>
      </rPr>
      <t>8</t>
    </r>
    <r>
      <rPr>
        <sz val="10"/>
        <color theme="1"/>
        <rFont val="微软雅黑"/>
        <family val="2"/>
        <charset val="134"/>
      </rPr>
      <t>件套</t>
    </r>
  </si>
  <si>
    <r>
      <rPr>
        <sz val="10"/>
        <color theme="1"/>
        <rFont val="微软雅黑"/>
        <family val="2"/>
        <charset val="134"/>
      </rPr>
      <t>海外仓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空气净化器火牛</t>
    </r>
  </si>
  <si>
    <r>
      <rPr>
        <sz val="10"/>
        <color theme="1"/>
        <rFont val="微软雅黑"/>
        <family val="2"/>
        <charset val="134"/>
      </rPr>
      <t>海外仓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滤网</t>
    </r>
    <r>
      <rPr>
        <sz val="10"/>
        <color theme="1"/>
        <rFont val="Aptos"/>
        <family val="2"/>
      </rPr>
      <t>H13</t>
    </r>
    <r>
      <rPr>
        <sz val="10"/>
        <color theme="1"/>
        <rFont val="微软雅黑"/>
        <family val="2"/>
        <charset val="134"/>
      </rPr>
      <t>，空气净化器用</t>
    </r>
  </si>
  <si>
    <r>
      <rPr>
        <sz val="10"/>
        <color theme="1"/>
        <rFont val="微软雅黑"/>
        <family val="2"/>
        <charset val="134"/>
      </rPr>
      <t>海外仓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甜橙精油</t>
    </r>
    <r>
      <rPr>
        <sz val="10"/>
        <color theme="1"/>
        <rFont val="Aptos"/>
        <family val="2"/>
      </rPr>
      <t xml:space="preserve"> 100ML</t>
    </r>
  </si>
  <si>
    <r>
      <rPr>
        <sz val="10"/>
        <color theme="1"/>
        <rFont val="微软雅黑"/>
        <family val="2"/>
        <charset val="134"/>
      </rPr>
      <t>海外仓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薄荷精油</t>
    </r>
    <r>
      <rPr>
        <sz val="10"/>
        <color theme="1"/>
        <rFont val="Aptos"/>
        <family val="2"/>
      </rPr>
      <t xml:space="preserve"> 100ML</t>
    </r>
  </si>
  <si>
    <r>
      <rPr>
        <sz val="10"/>
        <color theme="1"/>
        <rFont val="微软雅黑"/>
        <family val="2"/>
        <charset val="134"/>
      </rPr>
      <t>海外仓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套装精油</t>
    </r>
    <r>
      <rPr>
        <sz val="10"/>
        <color theme="1"/>
        <rFont val="Aptos"/>
        <family val="2"/>
      </rPr>
      <t>10ml*6</t>
    </r>
  </si>
  <si>
    <r>
      <rPr>
        <sz val="10"/>
        <color theme="1"/>
        <rFont val="微软雅黑"/>
        <family val="2"/>
        <charset val="134"/>
      </rPr>
      <t>海外仓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薄荷精油</t>
    </r>
    <r>
      <rPr>
        <sz val="10"/>
        <color theme="1"/>
        <rFont val="Aptos"/>
        <family val="2"/>
      </rPr>
      <t xml:space="preserve"> 10ML</t>
    </r>
  </si>
  <si>
    <r>
      <rPr>
        <sz val="10"/>
        <color theme="1"/>
        <rFont val="微软雅黑"/>
        <family val="2"/>
        <charset val="134"/>
      </rPr>
      <t>海外仓</t>
    </r>
    <r>
      <rPr>
        <sz val="10"/>
        <color theme="1"/>
        <rFont val="Aptos"/>
        <family val="2"/>
      </rPr>
      <t xml:space="preserve"> ANW-Wbot ANW</t>
    </r>
    <r>
      <rPr>
        <sz val="10"/>
        <color theme="1"/>
        <rFont val="微软雅黑"/>
        <family val="2"/>
        <charset val="134"/>
      </rPr>
      <t>带盖瓶子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黑喷头</t>
    </r>
  </si>
  <si>
    <r>
      <rPr>
        <sz val="10"/>
        <color theme="1"/>
        <rFont val="微软雅黑"/>
        <family val="2"/>
        <charset val="134"/>
      </rPr>
      <t>海外仓</t>
    </r>
    <r>
      <rPr>
        <sz val="10"/>
        <color theme="1"/>
        <rFont val="Aptos"/>
        <family val="2"/>
      </rPr>
      <t xml:space="preserve"> ANW-Wbot ANW</t>
    </r>
    <r>
      <rPr>
        <sz val="10"/>
        <color theme="1"/>
        <rFont val="微软雅黑"/>
        <family val="2"/>
        <charset val="134"/>
      </rPr>
      <t>带盖瓶子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白喷头</t>
    </r>
  </si>
  <si>
    <r>
      <rPr>
        <sz val="10"/>
        <color theme="1"/>
        <rFont val="微软雅黑"/>
        <family val="2"/>
        <charset val="134"/>
      </rPr>
      <t>海外仓</t>
    </r>
    <r>
      <rPr>
        <sz val="10"/>
        <color theme="1"/>
        <rFont val="Aptos"/>
        <family val="2"/>
      </rPr>
      <t xml:space="preserve"> AN6</t>
    </r>
    <r>
      <rPr>
        <sz val="10"/>
        <color theme="1"/>
        <rFont val="微软雅黑"/>
        <family val="2"/>
        <charset val="134"/>
      </rPr>
      <t>扩香仪喷头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白色</t>
    </r>
  </si>
  <si>
    <r>
      <rPr>
        <sz val="10"/>
        <color theme="1"/>
        <rFont val="微软雅黑"/>
        <family val="2"/>
        <charset val="134"/>
      </rPr>
      <t>海外仓</t>
    </r>
    <r>
      <rPr>
        <sz val="10"/>
        <color theme="1"/>
        <rFont val="Aptos"/>
        <family val="2"/>
      </rPr>
      <t xml:space="preserve"> AN6</t>
    </r>
    <r>
      <rPr>
        <sz val="10"/>
        <color theme="1"/>
        <rFont val="微软雅黑"/>
        <family val="2"/>
        <charset val="134"/>
      </rPr>
      <t>扩香仪喷头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黑色</t>
    </r>
  </si>
  <si>
    <r>
      <rPr>
        <sz val="10"/>
        <color theme="1"/>
        <rFont val="微软雅黑"/>
        <family val="2"/>
        <charset val="134"/>
      </rPr>
      <t>海外仓</t>
    </r>
    <r>
      <rPr>
        <sz val="10"/>
        <color theme="1"/>
        <rFont val="Aptos"/>
        <family val="2"/>
      </rPr>
      <t xml:space="preserve"> AN3</t>
    </r>
    <r>
      <rPr>
        <sz val="10"/>
        <color theme="1"/>
        <rFont val="微软雅黑"/>
        <family val="2"/>
        <charset val="134"/>
      </rPr>
      <t>黑色，扩香仪</t>
    </r>
  </si>
  <si>
    <r>
      <rPr>
        <sz val="10"/>
        <color theme="1"/>
        <rFont val="微软雅黑"/>
        <family val="2"/>
        <charset val="134"/>
      </rPr>
      <t>海外仓</t>
    </r>
    <r>
      <rPr>
        <sz val="10"/>
        <color theme="1"/>
        <rFont val="Aptos"/>
        <family val="2"/>
      </rPr>
      <t xml:space="preserve"> AP2</t>
    </r>
    <r>
      <rPr>
        <sz val="10"/>
        <color theme="1"/>
        <rFont val="微软雅黑"/>
        <family val="2"/>
        <charset val="134"/>
      </rPr>
      <t>美规，智能空气净化器，</t>
    </r>
    <r>
      <rPr>
        <sz val="10"/>
        <color theme="1"/>
        <rFont val="Aptos"/>
        <family val="2"/>
      </rPr>
      <t xml:space="preserve">H13 </t>
    </r>
    <r>
      <rPr>
        <sz val="10"/>
        <color theme="1"/>
        <rFont val="微软雅黑"/>
        <family val="2"/>
        <charset val="134"/>
      </rPr>
      <t>滤网</t>
    </r>
  </si>
  <si>
    <r>
      <rPr>
        <sz val="10"/>
        <color theme="1"/>
        <rFont val="微软雅黑"/>
        <family val="2"/>
        <charset val="134"/>
      </rPr>
      <t>海外仓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玻璃瓶，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扩香仪配件</t>
    </r>
  </si>
  <si>
    <r>
      <rPr>
        <sz val="10"/>
        <color theme="1"/>
        <rFont val="微软雅黑"/>
        <family val="2"/>
        <charset val="134"/>
      </rPr>
      <t>海外仓</t>
    </r>
    <r>
      <rPr>
        <sz val="10"/>
        <color theme="1"/>
        <rFont val="Aptos"/>
        <family val="2"/>
      </rPr>
      <t xml:space="preserve"> T1(</t>
    </r>
    <r>
      <rPr>
        <sz val="10"/>
        <color theme="1"/>
        <rFont val="微软雅黑"/>
        <family val="2"/>
        <charset val="134"/>
      </rPr>
      <t>内置电池）白色</t>
    </r>
    <r>
      <rPr>
        <sz val="10"/>
        <color theme="1"/>
        <rFont val="Aptos"/>
        <family val="2"/>
      </rPr>
      <t>1pack</t>
    </r>
  </si>
  <si>
    <r>
      <rPr>
        <sz val="10"/>
        <color theme="1"/>
        <rFont val="微软雅黑"/>
        <family val="2"/>
        <charset val="134"/>
      </rPr>
      <t>海外仓</t>
    </r>
    <r>
      <rPr>
        <sz val="10"/>
        <color theme="1"/>
        <rFont val="Aptos"/>
        <family val="2"/>
      </rPr>
      <t xml:space="preserve"> ANW&amp;ANA </t>
    </r>
    <r>
      <rPr>
        <sz val="10"/>
        <color theme="1"/>
        <rFont val="微软雅黑"/>
        <family val="2"/>
        <charset val="134"/>
      </rPr>
      <t>共用钥匙，</t>
    </r>
    <r>
      <rPr>
        <sz val="10"/>
        <color theme="1"/>
        <rFont val="Aptos"/>
        <family val="2"/>
      </rPr>
      <t>2</t>
    </r>
    <r>
      <rPr>
        <sz val="10"/>
        <color theme="1"/>
        <rFont val="微软雅黑"/>
        <family val="2"/>
        <charset val="134"/>
      </rPr>
      <t>个装，白色</t>
    </r>
  </si>
  <si>
    <r>
      <rPr>
        <sz val="10"/>
        <color theme="1"/>
        <rFont val="微软雅黑"/>
        <family val="2"/>
        <charset val="134"/>
      </rPr>
      <t>海外仓</t>
    </r>
    <r>
      <rPr>
        <sz val="10"/>
        <color theme="1"/>
        <rFont val="Aptos"/>
        <family val="2"/>
      </rPr>
      <t xml:space="preserve"> ANW&amp;ANA </t>
    </r>
    <r>
      <rPr>
        <sz val="10"/>
        <color theme="1"/>
        <rFont val="微软雅黑"/>
        <family val="2"/>
        <charset val="134"/>
      </rPr>
      <t>共用钥匙，</t>
    </r>
    <r>
      <rPr>
        <sz val="10"/>
        <color theme="1"/>
        <rFont val="Aptos"/>
        <family val="2"/>
      </rPr>
      <t>2</t>
    </r>
    <r>
      <rPr>
        <sz val="10"/>
        <color theme="1"/>
        <rFont val="微软雅黑"/>
        <family val="2"/>
        <charset val="134"/>
      </rPr>
      <t>个装，黑色</t>
    </r>
  </si>
  <si>
    <r>
      <rPr>
        <sz val="10"/>
        <color theme="1"/>
        <rFont val="微软雅黑"/>
        <family val="2"/>
        <charset val="134"/>
      </rPr>
      <t>海外仓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螺丝包，</t>
    </r>
    <r>
      <rPr>
        <sz val="10"/>
        <color theme="1"/>
        <rFont val="Aptos"/>
        <family val="2"/>
      </rPr>
      <t xml:space="preserve"> M</t>
    </r>
    <r>
      <rPr>
        <sz val="10"/>
        <color theme="1"/>
        <rFont val="微软雅黑"/>
        <family val="2"/>
        <charset val="134"/>
      </rPr>
      <t>系列锁共用，包括</t>
    </r>
    <r>
      <rPr>
        <sz val="10"/>
        <color theme="1"/>
        <rFont val="Aptos"/>
        <family val="2"/>
      </rPr>
      <t>M1, MD1, MK1</t>
    </r>
  </si>
  <si>
    <r>
      <rPr>
        <sz val="10"/>
        <color theme="1"/>
        <rFont val="微软雅黑"/>
        <family val="2"/>
        <charset val="134"/>
      </rPr>
      <t>海外仓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螺丝包，</t>
    </r>
    <r>
      <rPr>
        <sz val="10"/>
        <color theme="1"/>
        <rFont val="Aptos"/>
        <family val="2"/>
      </rPr>
      <t xml:space="preserve"> X1&amp;X3 </t>
    </r>
    <r>
      <rPr>
        <sz val="10"/>
        <color theme="1"/>
        <rFont val="微软雅黑"/>
        <family val="2"/>
        <charset val="134"/>
      </rPr>
      <t>共用</t>
    </r>
  </si>
  <si>
    <r>
      <rPr>
        <sz val="10"/>
        <color theme="1"/>
        <rFont val="微软雅黑"/>
        <family val="2"/>
        <charset val="134"/>
      </rPr>
      <t>海外仓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锁孔盖，</t>
    </r>
    <r>
      <rPr>
        <sz val="10"/>
        <color theme="1"/>
        <rFont val="Aptos"/>
        <family val="2"/>
      </rPr>
      <t xml:space="preserve">X1&amp;X3 </t>
    </r>
    <r>
      <rPr>
        <sz val="10"/>
        <color theme="1"/>
        <rFont val="微软雅黑"/>
        <family val="2"/>
        <charset val="134"/>
      </rPr>
      <t>共用</t>
    </r>
  </si>
  <si>
    <r>
      <rPr>
        <sz val="10"/>
        <color theme="1"/>
        <rFont val="微软雅黑"/>
        <family val="2"/>
        <charset val="134"/>
      </rPr>
      <t>海外仓</t>
    </r>
    <r>
      <rPr>
        <sz val="10"/>
        <color theme="1"/>
        <rFont val="Aptos"/>
        <family val="2"/>
      </rPr>
      <t xml:space="preserve"> AP2</t>
    </r>
    <r>
      <rPr>
        <sz val="10"/>
        <color theme="1"/>
        <rFont val="微软雅黑"/>
        <family val="2"/>
        <charset val="134"/>
      </rPr>
      <t>美规，智能空气净化器，</t>
    </r>
    <r>
      <rPr>
        <sz val="10"/>
        <color theme="1"/>
        <rFont val="Aptos"/>
        <family val="2"/>
      </rPr>
      <t xml:space="preserve"> H14</t>
    </r>
    <r>
      <rPr>
        <sz val="10"/>
        <color theme="1"/>
        <rFont val="微软雅黑"/>
        <family val="2"/>
        <charset val="134"/>
      </rPr>
      <t>滤网</t>
    </r>
  </si>
  <si>
    <r>
      <rPr>
        <sz val="10"/>
        <color theme="1"/>
        <rFont val="微软雅黑"/>
        <family val="2"/>
        <charset val="134"/>
      </rPr>
      <t>海外仓</t>
    </r>
    <r>
      <rPr>
        <sz val="10"/>
        <color theme="1"/>
        <rFont val="Aptos"/>
        <family val="2"/>
      </rPr>
      <t xml:space="preserve"> T1(</t>
    </r>
    <r>
      <rPr>
        <sz val="10"/>
        <color theme="1"/>
        <rFont val="微软雅黑"/>
        <family val="2"/>
        <charset val="134"/>
      </rPr>
      <t>内置电池）黑色</t>
    </r>
    <r>
      <rPr>
        <sz val="10"/>
        <color theme="1"/>
        <rFont val="Aptos"/>
        <family val="2"/>
      </rPr>
      <t>1pack</t>
    </r>
  </si>
  <si>
    <r>
      <rPr>
        <sz val="10"/>
        <color theme="1"/>
        <rFont val="微软雅黑"/>
        <family val="2"/>
        <charset val="134"/>
      </rPr>
      <t>海外仓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滤网</t>
    </r>
    <r>
      <rPr>
        <sz val="10"/>
        <color theme="1"/>
        <rFont val="Aptos"/>
        <family val="2"/>
      </rPr>
      <t>H14</t>
    </r>
    <r>
      <rPr>
        <sz val="10"/>
        <color theme="1"/>
        <rFont val="微软雅黑"/>
        <family val="2"/>
        <charset val="134"/>
      </rPr>
      <t>，空气净化器用</t>
    </r>
  </si>
  <si>
    <r>
      <t>ANXKIT-B_4X10K04_TZ ANX</t>
    </r>
    <r>
      <rPr>
        <sz val="10"/>
        <color theme="1"/>
        <rFont val="微软雅黑"/>
        <family val="2"/>
        <charset val="134"/>
      </rPr>
      <t>黑色机器</t>
    </r>
    <r>
      <rPr>
        <sz val="10"/>
        <color theme="1"/>
        <rFont val="Aptos"/>
        <family val="2"/>
      </rPr>
      <t>+4x10mL</t>
    </r>
    <r>
      <rPr>
        <sz val="10"/>
        <color theme="1"/>
        <rFont val="微软雅黑"/>
        <family val="2"/>
        <charset val="134"/>
      </rPr>
      <t>酒店（天竺）香氛油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机油套装</t>
    </r>
  </si>
  <si>
    <r>
      <rPr>
        <sz val="10"/>
        <color theme="1"/>
        <rFont val="微软雅黑"/>
        <family val="2"/>
        <charset val="134"/>
      </rPr>
      <t>空气类</t>
    </r>
  </si>
  <si>
    <r>
      <rPr>
        <sz val="10"/>
        <color theme="1"/>
        <rFont val="微软雅黑"/>
        <family val="2"/>
        <charset val="134"/>
      </rPr>
      <t>扩香仪</t>
    </r>
  </si>
  <si>
    <r>
      <rPr>
        <sz val="10"/>
        <color theme="1"/>
        <rFont val="微软雅黑"/>
        <family val="2"/>
        <charset val="134"/>
      </rPr>
      <t>扩香仪机油套装</t>
    </r>
  </si>
  <si>
    <r>
      <rPr>
        <sz val="10"/>
        <color theme="1"/>
        <rFont val="微软雅黑"/>
        <family val="2"/>
        <charset val="134"/>
      </rPr>
      <t>非智能</t>
    </r>
  </si>
  <si>
    <r>
      <rPr>
        <sz val="10"/>
        <color theme="1"/>
        <rFont val="微软雅黑"/>
        <family val="2"/>
        <charset val="134"/>
      </rPr>
      <t>深圳市裕双电子科技有限公司</t>
    </r>
  </si>
  <si>
    <r>
      <rPr>
        <sz val="10"/>
        <color theme="1"/>
        <rFont val="微软雅黑"/>
        <family val="2"/>
        <charset val="134"/>
      </rPr>
      <t>裕双</t>
    </r>
  </si>
  <si>
    <r>
      <t>ANPKIT-B_US_3X20K01_TZ ANP</t>
    </r>
    <r>
      <rPr>
        <sz val="10"/>
        <color theme="1"/>
        <rFont val="微软雅黑"/>
        <family val="2"/>
        <charset val="134"/>
      </rPr>
      <t>黑色机器</t>
    </r>
    <r>
      <rPr>
        <sz val="10"/>
        <color theme="1"/>
        <rFont val="Aptos"/>
        <family val="2"/>
      </rPr>
      <t>+3X20mL</t>
    </r>
    <r>
      <rPr>
        <sz val="10"/>
        <color theme="1"/>
        <rFont val="微软雅黑"/>
        <family val="2"/>
        <charset val="134"/>
      </rPr>
      <t>酒店香氛油（天竺）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机油套装</t>
    </r>
  </si>
  <si>
    <r>
      <rPr>
        <sz val="10"/>
        <color theme="1"/>
        <rFont val="微软雅黑"/>
        <family val="2"/>
        <charset val="134"/>
      </rPr>
      <t>智能扩香仪</t>
    </r>
  </si>
  <si>
    <r>
      <rPr>
        <sz val="10"/>
        <color theme="1"/>
        <rFont val="微软雅黑"/>
        <family val="2"/>
        <charset val="134"/>
      </rPr>
      <t>智能扩香仪机油套装</t>
    </r>
  </si>
  <si>
    <r>
      <rPr>
        <sz val="10"/>
        <color theme="1"/>
        <rFont val="微软雅黑"/>
        <family val="2"/>
        <charset val="134"/>
      </rPr>
      <t>智能</t>
    </r>
  </si>
  <si>
    <r>
      <rPr>
        <sz val="10"/>
        <color theme="1"/>
        <rFont val="微软雅黑"/>
        <family val="2"/>
        <charset val="134"/>
      </rPr>
      <t>广东驰扬香氛科技有限公司</t>
    </r>
  </si>
  <si>
    <r>
      <rPr>
        <sz val="10"/>
        <color theme="1"/>
        <rFont val="微软雅黑"/>
        <family val="2"/>
        <charset val="134"/>
      </rPr>
      <t>驰扬</t>
    </r>
  </si>
  <si>
    <r>
      <t>ANPKIT-WH_US_3X20K01_TZ ANP</t>
    </r>
    <r>
      <rPr>
        <sz val="10"/>
        <color theme="1"/>
        <rFont val="微软雅黑"/>
        <family val="2"/>
        <charset val="134"/>
      </rPr>
      <t>白色机器</t>
    </r>
    <r>
      <rPr>
        <sz val="10"/>
        <color theme="1"/>
        <rFont val="Aptos"/>
        <family val="2"/>
      </rPr>
      <t>+3X20mL</t>
    </r>
    <r>
      <rPr>
        <sz val="10"/>
        <color theme="1"/>
        <rFont val="微软雅黑"/>
        <family val="2"/>
        <charset val="134"/>
      </rPr>
      <t>酒店香氛油（天竺）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机油套装</t>
    </r>
  </si>
  <si>
    <r>
      <rPr>
        <sz val="10"/>
        <color theme="1"/>
        <rFont val="微软雅黑"/>
        <family val="2"/>
        <charset val="134"/>
      </rPr>
      <t>精油</t>
    </r>
  </si>
  <si>
    <r>
      <rPr>
        <sz val="10"/>
        <color theme="1"/>
        <rFont val="微软雅黑"/>
        <family val="2"/>
        <charset val="134"/>
      </rPr>
      <t>香氛油</t>
    </r>
  </si>
  <si>
    <r>
      <rPr>
        <sz val="10"/>
        <color theme="1"/>
        <rFont val="微软雅黑"/>
        <family val="2"/>
        <charset val="134"/>
      </rPr>
      <t>香氛油机油组合</t>
    </r>
  </si>
  <si>
    <r>
      <t xml:space="preserve">ANPPJ-BOT </t>
    </r>
    <r>
      <rPr>
        <sz val="10"/>
        <color theme="1"/>
        <rFont val="微软雅黑"/>
        <family val="2"/>
        <charset val="134"/>
      </rPr>
      <t>墙插式智能扩香仪</t>
    </r>
    <r>
      <rPr>
        <sz val="10"/>
        <color theme="1"/>
        <rFont val="Aptos"/>
        <family val="2"/>
      </rPr>
      <t>160mL</t>
    </r>
    <r>
      <rPr>
        <sz val="10"/>
        <color theme="1"/>
        <rFont val="微软雅黑"/>
        <family val="2"/>
        <charset val="134"/>
      </rPr>
      <t>带盖替换瓶</t>
    </r>
  </si>
  <si>
    <r>
      <rPr>
        <sz val="10"/>
        <color theme="1"/>
        <rFont val="微软雅黑"/>
        <family val="2"/>
        <charset val="134"/>
      </rPr>
      <t>智能扩香仪配件</t>
    </r>
  </si>
  <si>
    <r>
      <t xml:space="preserve">RD1PJ-BOT </t>
    </r>
    <r>
      <rPr>
        <sz val="10"/>
        <color theme="1"/>
        <rFont val="微软雅黑"/>
        <family val="2"/>
        <charset val="134"/>
      </rPr>
      <t>便携式扩香仪</t>
    </r>
    <r>
      <rPr>
        <sz val="10"/>
        <color theme="1"/>
        <rFont val="Aptos"/>
        <family val="2"/>
      </rPr>
      <t>100mL</t>
    </r>
    <r>
      <rPr>
        <sz val="10"/>
        <color theme="1"/>
        <rFont val="微软雅黑"/>
        <family val="2"/>
        <charset val="134"/>
      </rPr>
      <t>带盖替换玻璃瓶</t>
    </r>
  </si>
  <si>
    <r>
      <rPr>
        <sz val="10"/>
        <color theme="1"/>
        <rFont val="微软雅黑"/>
        <family val="2"/>
        <charset val="134"/>
      </rPr>
      <t>扩香仪配件</t>
    </r>
  </si>
  <si>
    <r>
      <t>AN6KIT-WH_4X10K04_TZ AN6</t>
    </r>
    <r>
      <rPr>
        <sz val="10"/>
        <color theme="1"/>
        <rFont val="微软雅黑"/>
        <family val="2"/>
        <charset val="134"/>
      </rPr>
      <t>白色机器</t>
    </r>
    <r>
      <rPr>
        <sz val="10"/>
        <color theme="1"/>
        <rFont val="Aptos"/>
        <family val="2"/>
      </rPr>
      <t>+4x10mL</t>
    </r>
    <r>
      <rPr>
        <sz val="10"/>
        <color theme="1"/>
        <rFont val="微软雅黑"/>
        <family val="2"/>
        <charset val="134"/>
      </rPr>
      <t>酒店（天竺）香氛油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机油套装</t>
    </r>
  </si>
  <si>
    <r>
      <rPr>
        <sz val="10"/>
        <color rgb="FF000000"/>
        <rFont val="微软雅黑"/>
        <family val="2"/>
        <charset val="134"/>
      </rPr>
      <t>空气类</t>
    </r>
  </si>
  <si>
    <r>
      <rPr>
        <sz val="10"/>
        <color rgb="FF000000"/>
        <rFont val="微软雅黑"/>
        <family val="2"/>
        <charset val="134"/>
      </rPr>
      <t>扩香仪</t>
    </r>
  </si>
  <si>
    <r>
      <t>AN6KIT-B_4X10K04_TZ AN6</t>
    </r>
    <r>
      <rPr>
        <sz val="10"/>
        <color theme="1"/>
        <rFont val="微软雅黑"/>
        <family val="2"/>
        <charset val="134"/>
      </rPr>
      <t>黑色机器</t>
    </r>
    <r>
      <rPr>
        <sz val="10"/>
        <color theme="1"/>
        <rFont val="Aptos"/>
        <family val="2"/>
      </rPr>
      <t>+4x10mL</t>
    </r>
    <r>
      <rPr>
        <sz val="10"/>
        <color theme="1"/>
        <rFont val="微软雅黑"/>
        <family val="2"/>
        <charset val="134"/>
      </rPr>
      <t>酒店（天竺）香氛油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机油套装</t>
    </r>
  </si>
  <si>
    <r>
      <t xml:space="preserve">AN6PJ-QJ </t>
    </r>
    <r>
      <rPr>
        <sz val="10"/>
        <color theme="1"/>
        <rFont val="微软雅黑"/>
        <family val="2"/>
        <charset val="134"/>
      </rPr>
      <t>海外仓</t>
    </r>
    <r>
      <rPr>
        <sz val="10"/>
        <color theme="1"/>
        <rFont val="Aptos"/>
        <family val="2"/>
      </rPr>
      <t xml:space="preserve"> AN</t>
    </r>
    <r>
      <rPr>
        <sz val="10"/>
        <color theme="1"/>
        <rFont val="微软雅黑"/>
        <family val="2"/>
        <charset val="134"/>
      </rPr>
      <t>系列清洁套装</t>
    </r>
  </si>
  <si>
    <r>
      <t xml:space="preserve">BGR-100ML_TZ </t>
    </r>
    <r>
      <rPr>
        <sz val="10"/>
        <color theme="1"/>
        <rFont val="微软雅黑"/>
        <family val="2"/>
        <charset val="134"/>
      </rPr>
      <t>天竺宝格丽酒店香氛油</t>
    </r>
    <r>
      <rPr>
        <sz val="10"/>
        <color theme="1"/>
        <rFont val="Aptos"/>
        <family val="2"/>
      </rPr>
      <t>100mL</t>
    </r>
  </si>
  <si>
    <r>
      <t xml:space="preserve">BCRT-100ML_TZ </t>
    </r>
    <r>
      <rPr>
        <sz val="10"/>
        <color theme="1"/>
        <rFont val="微软雅黑"/>
        <family val="2"/>
        <charset val="134"/>
      </rPr>
      <t>天竺巴卡拉酒店香氛油</t>
    </r>
    <r>
      <rPr>
        <sz val="10"/>
        <color theme="1"/>
        <rFont val="Aptos"/>
        <family val="2"/>
      </rPr>
      <t>100mL</t>
    </r>
  </si>
  <si>
    <r>
      <t>RDXKIT-T_US_2X100K04 RDX</t>
    </r>
    <r>
      <rPr>
        <sz val="10"/>
        <color theme="1"/>
        <rFont val="微软雅黑"/>
        <family val="2"/>
        <charset val="134"/>
      </rPr>
      <t>钛金色色机器</t>
    </r>
    <r>
      <rPr>
        <sz val="10"/>
        <color theme="1"/>
        <rFont val="Aptos"/>
        <family val="2"/>
      </rPr>
      <t>+2X100mL</t>
    </r>
    <r>
      <rPr>
        <sz val="10"/>
        <color theme="1"/>
        <rFont val="微软雅黑"/>
        <family val="2"/>
        <charset val="134"/>
      </rPr>
      <t>酒店香氛油（天竺）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机油套装</t>
    </r>
  </si>
  <si>
    <r>
      <t>RDXKIT-B_US_2X100K04 RDX</t>
    </r>
    <r>
      <rPr>
        <sz val="10"/>
        <color theme="1"/>
        <rFont val="微软雅黑"/>
        <family val="2"/>
        <charset val="134"/>
      </rPr>
      <t>黑色机器</t>
    </r>
    <r>
      <rPr>
        <sz val="10"/>
        <color theme="1"/>
        <rFont val="Aptos"/>
        <family val="2"/>
      </rPr>
      <t>+2X100mL</t>
    </r>
    <r>
      <rPr>
        <sz val="10"/>
        <color theme="1"/>
        <rFont val="微软雅黑"/>
        <family val="2"/>
        <charset val="134"/>
      </rPr>
      <t>酒店香氛油（天竺）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机油套装</t>
    </r>
  </si>
  <si>
    <r>
      <t xml:space="preserve">RDX-T_US </t>
    </r>
    <r>
      <rPr>
        <sz val="10"/>
        <color theme="1"/>
        <rFont val="微软雅黑"/>
        <family val="2"/>
        <charset val="134"/>
      </rPr>
      <t>智能扩香仪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钛金色</t>
    </r>
  </si>
  <si>
    <r>
      <rPr>
        <sz val="10"/>
        <color theme="1"/>
        <rFont val="微软雅黑"/>
        <family val="2"/>
        <charset val="134"/>
      </rPr>
      <t>智能扩香仪整机</t>
    </r>
  </si>
  <si>
    <r>
      <t xml:space="preserve">RDX-SILV_US </t>
    </r>
    <r>
      <rPr>
        <sz val="10"/>
        <color theme="1"/>
        <rFont val="微软雅黑"/>
        <family val="2"/>
        <charset val="134"/>
      </rPr>
      <t>智能扩香仪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银色</t>
    </r>
  </si>
  <si>
    <r>
      <t xml:space="preserve">RDX-B_US </t>
    </r>
    <r>
      <rPr>
        <sz val="10"/>
        <color theme="1"/>
        <rFont val="微软雅黑"/>
        <family val="2"/>
        <charset val="134"/>
      </rPr>
      <t>智能扩香仪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黑色</t>
    </r>
  </si>
  <si>
    <r>
      <t>ADXKIT-DT_4X10K04_TZ AD</t>
    </r>
    <r>
      <rPr>
        <sz val="10"/>
        <color rgb="FF000000"/>
        <rFont val="微软雅黑"/>
        <family val="2"/>
        <charset val="134"/>
      </rPr>
      <t>钛色机器</t>
    </r>
    <r>
      <rPr>
        <sz val="10"/>
        <color rgb="FF000000"/>
        <rFont val="Aptos"/>
        <family val="2"/>
      </rPr>
      <t>+4x10mL</t>
    </r>
    <r>
      <rPr>
        <sz val="10"/>
        <color rgb="FF000000"/>
        <rFont val="微软雅黑"/>
        <family val="2"/>
        <charset val="134"/>
      </rPr>
      <t>酒店（天竺）香氛油</t>
    </r>
    <r>
      <rPr>
        <sz val="10"/>
        <color rgb="FF000000"/>
        <rFont val="Aptos"/>
        <family val="2"/>
      </rPr>
      <t xml:space="preserve"> </t>
    </r>
    <r>
      <rPr>
        <sz val="10"/>
        <color rgb="FF000000"/>
        <rFont val="微软雅黑"/>
        <family val="2"/>
        <charset val="134"/>
      </rPr>
      <t>机油套装</t>
    </r>
  </si>
  <si>
    <r>
      <t>ADXKIT-B_4X10K04_TZ ADX</t>
    </r>
    <r>
      <rPr>
        <sz val="10"/>
        <color rgb="FF000000"/>
        <rFont val="微软雅黑"/>
        <family val="2"/>
        <charset val="134"/>
      </rPr>
      <t>黑色机器</t>
    </r>
    <r>
      <rPr>
        <sz val="10"/>
        <color rgb="FF000000"/>
        <rFont val="Aptos"/>
        <family val="2"/>
      </rPr>
      <t>+4x10mL</t>
    </r>
    <r>
      <rPr>
        <sz val="10"/>
        <color rgb="FF000000"/>
        <rFont val="微软雅黑"/>
        <family val="2"/>
        <charset val="134"/>
      </rPr>
      <t>酒店（天竺）香氛油</t>
    </r>
    <r>
      <rPr>
        <sz val="10"/>
        <color rgb="FF000000"/>
        <rFont val="Aptos"/>
        <family val="2"/>
      </rPr>
      <t xml:space="preserve"> </t>
    </r>
    <r>
      <rPr>
        <sz val="10"/>
        <color rgb="FF000000"/>
        <rFont val="微软雅黑"/>
        <family val="2"/>
        <charset val="134"/>
      </rPr>
      <t>机油套装</t>
    </r>
  </si>
  <si>
    <r>
      <t>ANZKIT-B_4X10K04_TZ ANZ</t>
    </r>
    <r>
      <rPr>
        <sz val="10"/>
        <color rgb="FF000000"/>
        <rFont val="微软雅黑"/>
        <family val="2"/>
        <charset val="134"/>
      </rPr>
      <t>黑色机器</t>
    </r>
    <r>
      <rPr>
        <sz val="10"/>
        <color rgb="FF000000"/>
        <rFont val="Aptos"/>
        <family val="2"/>
      </rPr>
      <t>+4x10mL</t>
    </r>
    <r>
      <rPr>
        <sz val="10"/>
        <color rgb="FF000000"/>
        <rFont val="微软雅黑"/>
        <family val="2"/>
        <charset val="134"/>
      </rPr>
      <t>酒店（天竺）香氛油</t>
    </r>
    <r>
      <rPr>
        <sz val="10"/>
        <color rgb="FF000000"/>
        <rFont val="Aptos"/>
        <family val="2"/>
      </rPr>
      <t xml:space="preserve"> </t>
    </r>
    <r>
      <rPr>
        <sz val="10"/>
        <color rgb="FF000000"/>
        <rFont val="微软雅黑"/>
        <family val="2"/>
        <charset val="134"/>
      </rPr>
      <t>机油套装</t>
    </r>
  </si>
  <si>
    <r>
      <t xml:space="preserve">HOTEL4KIT-4X10K04_TZ </t>
    </r>
    <r>
      <rPr>
        <sz val="10"/>
        <color rgb="FF000000"/>
        <rFont val="微软雅黑"/>
        <family val="2"/>
        <charset val="134"/>
      </rPr>
      <t>天竺酒店香氛油</t>
    </r>
    <r>
      <rPr>
        <sz val="10"/>
        <color rgb="FF000000"/>
        <rFont val="Aptos"/>
        <family val="2"/>
      </rPr>
      <t>4X10mL</t>
    </r>
  </si>
  <si>
    <r>
      <rPr>
        <sz val="10"/>
        <color rgb="FF000000"/>
        <rFont val="微软雅黑"/>
        <family val="2"/>
        <charset val="134"/>
      </rPr>
      <t>精油</t>
    </r>
  </si>
  <si>
    <r>
      <rPr>
        <sz val="10"/>
        <color rgb="FF000000"/>
        <rFont val="微软雅黑"/>
        <family val="2"/>
        <charset val="134"/>
      </rPr>
      <t>香氛油</t>
    </r>
  </si>
  <si>
    <r>
      <t xml:space="preserve">BCRT1-100ML_TZ </t>
    </r>
    <r>
      <rPr>
        <sz val="10"/>
        <color rgb="FF000000"/>
        <rFont val="微软雅黑"/>
        <family val="2"/>
        <charset val="134"/>
      </rPr>
      <t>巴卡拉酒店</t>
    </r>
    <r>
      <rPr>
        <sz val="10"/>
        <color rgb="FF000000"/>
        <rFont val="Aptos"/>
        <family val="2"/>
      </rPr>
      <t>100mL</t>
    </r>
    <r>
      <rPr>
        <sz val="10"/>
        <color rgb="FF000000"/>
        <rFont val="微软雅黑"/>
        <family val="2"/>
        <charset val="134"/>
      </rPr>
      <t>香氛油（天竺）</t>
    </r>
    <r>
      <rPr>
        <sz val="10"/>
        <color rgb="FF000000"/>
        <rFont val="Aptos"/>
        <family val="2"/>
      </rPr>
      <t xml:space="preserve"> </t>
    </r>
    <r>
      <rPr>
        <sz val="10"/>
        <color rgb="FF000000"/>
        <rFont val="微软雅黑"/>
        <family val="2"/>
        <charset val="134"/>
      </rPr>
      <t>销售包装</t>
    </r>
  </si>
  <si>
    <r>
      <rPr>
        <sz val="10"/>
        <color theme="1"/>
        <rFont val="微软雅黑"/>
        <family val="2"/>
        <charset val="134"/>
      </rPr>
      <t>香氛油单瓶</t>
    </r>
  </si>
  <si>
    <r>
      <t>AN6KIT-WH_SJ30ML_TZ AN6</t>
    </r>
    <r>
      <rPr>
        <sz val="10"/>
        <color rgb="FF000000"/>
        <rFont val="微软雅黑"/>
        <family val="2"/>
        <charset val="134"/>
      </rPr>
      <t>白色机器</t>
    </r>
    <r>
      <rPr>
        <sz val="10"/>
        <color rgb="FF000000"/>
        <rFont val="Aptos"/>
        <family val="2"/>
      </rPr>
      <t>+30mL</t>
    </r>
    <r>
      <rPr>
        <sz val="10"/>
        <color rgb="FF000000"/>
        <rFont val="微软雅黑"/>
        <family val="2"/>
        <charset val="134"/>
      </rPr>
      <t>四季酒店香氛油（天竺）</t>
    </r>
    <r>
      <rPr>
        <sz val="10"/>
        <color rgb="FF000000"/>
        <rFont val="Aptos"/>
        <family val="2"/>
      </rPr>
      <t xml:space="preserve"> </t>
    </r>
    <r>
      <rPr>
        <sz val="10"/>
        <color rgb="FF000000"/>
        <rFont val="微软雅黑"/>
        <family val="2"/>
        <charset val="134"/>
      </rPr>
      <t>机油套装</t>
    </r>
  </si>
  <si>
    <r>
      <rPr>
        <sz val="10"/>
        <color theme="1"/>
        <rFont val="微软雅黑"/>
        <family val="2"/>
        <charset val="134"/>
      </rPr>
      <t>锦云里（广东）生物科技有限公司</t>
    </r>
  </si>
  <si>
    <r>
      <t>W1-100ML_TZ W</t>
    </r>
    <r>
      <rPr>
        <sz val="10"/>
        <color theme="1"/>
        <rFont val="微软雅黑"/>
        <family val="2"/>
        <charset val="134"/>
      </rPr>
      <t>酒店</t>
    </r>
    <r>
      <rPr>
        <sz val="10"/>
        <color theme="1"/>
        <rFont val="Aptos"/>
        <family val="2"/>
      </rPr>
      <t>100mL</t>
    </r>
    <r>
      <rPr>
        <sz val="10"/>
        <color theme="1"/>
        <rFont val="微软雅黑"/>
        <family val="2"/>
        <charset val="134"/>
      </rPr>
      <t>香氛油（天竺）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销售包装</t>
    </r>
  </si>
  <si>
    <r>
      <t xml:space="preserve">SJ-100ML_TZ </t>
    </r>
    <r>
      <rPr>
        <sz val="10"/>
        <color theme="1"/>
        <rFont val="微软雅黑"/>
        <family val="2"/>
        <charset val="134"/>
      </rPr>
      <t>天竺四季酒店香氛油</t>
    </r>
    <r>
      <rPr>
        <sz val="10"/>
        <color theme="1"/>
        <rFont val="Aptos"/>
        <family val="2"/>
      </rPr>
      <t>100mL</t>
    </r>
  </si>
  <si>
    <r>
      <t xml:space="preserve">HILTON-100ML_TZ </t>
    </r>
    <r>
      <rPr>
        <sz val="10"/>
        <color theme="1"/>
        <rFont val="微软雅黑"/>
        <family val="2"/>
        <charset val="134"/>
      </rPr>
      <t>天竺希尔顿酒店香氛油</t>
    </r>
    <r>
      <rPr>
        <sz val="10"/>
        <color theme="1"/>
        <rFont val="Aptos"/>
        <family val="2"/>
      </rPr>
      <t>100nL</t>
    </r>
  </si>
  <si>
    <r>
      <t xml:space="preserve">WST-30ML </t>
    </r>
    <r>
      <rPr>
        <sz val="10"/>
        <color theme="1"/>
        <rFont val="微软雅黑"/>
        <family val="2"/>
        <charset val="134"/>
      </rPr>
      <t>会七里威斯汀</t>
    </r>
    <r>
      <rPr>
        <sz val="10"/>
        <color theme="1"/>
        <rFont val="Aptos"/>
        <family val="2"/>
      </rPr>
      <t>2</t>
    </r>
    <r>
      <rPr>
        <sz val="10"/>
        <color theme="1"/>
        <rFont val="微软雅黑"/>
        <family val="2"/>
        <charset val="134"/>
      </rPr>
      <t>酒店香氛油</t>
    </r>
    <r>
      <rPr>
        <sz val="10"/>
        <color theme="1"/>
        <rFont val="Aptos"/>
        <family val="2"/>
      </rPr>
      <t>30mL</t>
    </r>
  </si>
  <si>
    <r>
      <t xml:space="preserve">WST-20ML </t>
    </r>
    <r>
      <rPr>
        <sz val="10"/>
        <color theme="1"/>
        <rFont val="微软雅黑"/>
        <family val="2"/>
        <charset val="134"/>
      </rPr>
      <t>会七里威斯汀</t>
    </r>
    <r>
      <rPr>
        <sz val="10"/>
        <color theme="1"/>
        <rFont val="Aptos"/>
        <family val="2"/>
      </rPr>
      <t>2</t>
    </r>
    <r>
      <rPr>
        <sz val="10"/>
        <color theme="1"/>
        <rFont val="微软雅黑"/>
        <family val="2"/>
        <charset val="134"/>
      </rPr>
      <t>酒店香氛油</t>
    </r>
    <r>
      <rPr>
        <sz val="10"/>
        <color theme="1"/>
        <rFont val="Aptos"/>
        <family val="2"/>
      </rPr>
      <t>20mL</t>
    </r>
  </si>
  <si>
    <r>
      <t xml:space="preserve">W-30ML </t>
    </r>
    <r>
      <rPr>
        <sz val="10"/>
        <color theme="1"/>
        <rFont val="微软雅黑"/>
        <family val="2"/>
        <charset val="134"/>
      </rPr>
      <t>会七里</t>
    </r>
    <r>
      <rPr>
        <sz val="10"/>
        <color theme="1"/>
        <rFont val="Aptos"/>
        <family val="2"/>
      </rPr>
      <t>W</t>
    </r>
    <r>
      <rPr>
        <sz val="10"/>
        <color theme="1"/>
        <rFont val="微软雅黑"/>
        <family val="2"/>
        <charset val="134"/>
      </rPr>
      <t>酒店香氛油</t>
    </r>
    <r>
      <rPr>
        <sz val="10"/>
        <color theme="1"/>
        <rFont val="Aptos"/>
        <family val="2"/>
      </rPr>
      <t>30mL</t>
    </r>
  </si>
  <si>
    <r>
      <t xml:space="preserve">W-20ML </t>
    </r>
    <r>
      <rPr>
        <sz val="10"/>
        <color theme="1"/>
        <rFont val="微软雅黑"/>
        <family val="2"/>
        <charset val="134"/>
      </rPr>
      <t>会七里</t>
    </r>
    <r>
      <rPr>
        <sz val="10"/>
        <color theme="1"/>
        <rFont val="Aptos"/>
        <family val="2"/>
      </rPr>
      <t>W</t>
    </r>
    <r>
      <rPr>
        <sz val="10"/>
        <color theme="1"/>
        <rFont val="微软雅黑"/>
        <family val="2"/>
        <charset val="134"/>
      </rPr>
      <t>酒店香氛油</t>
    </r>
    <r>
      <rPr>
        <sz val="10"/>
        <color theme="1"/>
        <rFont val="Aptos"/>
        <family val="2"/>
      </rPr>
      <t>20mL</t>
    </r>
  </si>
  <si>
    <r>
      <t xml:space="preserve">RZ-30ml </t>
    </r>
    <r>
      <rPr>
        <sz val="10"/>
        <color theme="1"/>
        <rFont val="微软雅黑"/>
        <family val="2"/>
        <charset val="134"/>
      </rPr>
      <t>丽思卡尔顿</t>
    </r>
    <r>
      <rPr>
        <sz val="10"/>
        <color theme="1"/>
        <rFont val="Aptos"/>
        <family val="2"/>
      </rPr>
      <t>3</t>
    </r>
    <r>
      <rPr>
        <sz val="10"/>
        <color theme="1"/>
        <rFont val="微软雅黑"/>
        <family val="2"/>
        <charset val="134"/>
      </rPr>
      <t>香氛油</t>
    </r>
    <r>
      <rPr>
        <sz val="10"/>
        <color theme="1"/>
        <rFont val="Aptos"/>
        <family val="2"/>
      </rPr>
      <t xml:space="preserve"> 30mL</t>
    </r>
  </si>
  <si>
    <r>
      <t xml:space="preserve">BLG-30ML </t>
    </r>
    <r>
      <rPr>
        <sz val="10"/>
        <color theme="1"/>
        <rFont val="微软雅黑"/>
        <family val="2"/>
        <charset val="134"/>
      </rPr>
      <t>会七里百乐宫酒店香氛油</t>
    </r>
    <r>
      <rPr>
        <sz val="10"/>
        <color theme="1"/>
        <rFont val="Aptos"/>
        <family val="2"/>
      </rPr>
      <t>30mL</t>
    </r>
  </si>
  <si>
    <r>
      <t xml:space="preserve">BLG-20ML </t>
    </r>
    <r>
      <rPr>
        <sz val="10"/>
        <color theme="1"/>
        <rFont val="微软雅黑"/>
        <family val="2"/>
        <charset val="134"/>
      </rPr>
      <t>会七里百乐宫酒店香氛油</t>
    </r>
    <r>
      <rPr>
        <sz val="10"/>
        <color theme="1"/>
        <rFont val="Aptos"/>
        <family val="2"/>
      </rPr>
      <t>20mL</t>
    </r>
  </si>
  <si>
    <r>
      <t xml:space="preserve">BCRT-30ML </t>
    </r>
    <r>
      <rPr>
        <sz val="10"/>
        <color theme="1"/>
        <rFont val="微软雅黑"/>
        <family val="2"/>
        <charset val="134"/>
      </rPr>
      <t>会七里巴卡拉酒店香氛油</t>
    </r>
    <r>
      <rPr>
        <sz val="10"/>
        <color theme="1"/>
        <rFont val="Aptos"/>
        <family val="2"/>
      </rPr>
      <t>30mL</t>
    </r>
  </si>
  <si>
    <r>
      <t xml:space="preserve">BCRT-20ML </t>
    </r>
    <r>
      <rPr>
        <sz val="10"/>
        <color theme="1"/>
        <rFont val="微软雅黑"/>
        <family val="2"/>
        <charset val="134"/>
      </rPr>
      <t>会七里巴卡拉酒店香氛油</t>
    </r>
    <r>
      <rPr>
        <sz val="10"/>
        <color theme="1"/>
        <rFont val="Aptos"/>
        <family val="2"/>
      </rPr>
      <t>20mL</t>
    </r>
  </si>
  <si>
    <r>
      <rPr>
        <sz val="10"/>
        <color theme="1"/>
        <rFont val="微软雅黑"/>
        <family val="2"/>
        <charset val="134"/>
      </rPr>
      <t>扩香仪整机</t>
    </r>
  </si>
  <si>
    <r>
      <t>ANXKIT-T_2X20K02 ANX</t>
    </r>
    <r>
      <rPr>
        <sz val="10"/>
        <color theme="1"/>
        <rFont val="微软雅黑"/>
        <family val="2"/>
        <charset val="134"/>
      </rPr>
      <t>钛色机器</t>
    </r>
    <r>
      <rPr>
        <sz val="10"/>
        <color theme="1"/>
        <rFont val="Aptos"/>
        <family val="2"/>
      </rPr>
      <t>+2X20mL</t>
    </r>
    <r>
      <rPr>
        <sz val="10"/>
        <color theme="1"/>
        <rFont val="微软雅黑"/>
        <family val="2"/>
        <charset val="134"/>
      </rPr>
      <t>酒店香氛油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机油套装</t>
    </r>
  </si>
  <si>
    <r>
      <rPr>
        <sz val="10"/>
        <color theme="1"/>
        <rFont val="微软雅黑"/>
        <family val="2"/>
        <charset val="134"/>
      </rPr>
      <t>锁类</t>
    </r>
  </si>
  <si>
    <r>
      <rPr>
        <sz val="10"/>
        <color theme="1"/>
        <rFont val="微软雅黑"/>
        <family val="2"/>
        <charset val="134"/>
      </rPr>
      <t>电子锁</t>
    </r>
  </si>
  <si>
    <r>
      <rPr>
        <sz val="10"/>
        <color theme="1"/>
        <rFont val="微软雅黑"/>
        <family val="2"/>
        <charset val="134"/>
      </rPr>
      <t>中山市基信锁芯有限公司</t>
    </r>
  </si>
  <si>
    <r>
      <t>X1PJ-SXG X1 X3</t>
    </r>
    <r>
      <rPr>
        <sz val="10"/>
        <color theme="1"/>
        <rFont val="微软雅黑"/>
        <family val="2"/>
        <charset val="134"/>
      </rPr>
      <t>锁芯盖</t>
    </r>
  </si>
  <si>
    <r>
      <t>G1PJ-LS G1 GK1</t>
    </r>
    <r>
      <rPr>
        <sz val="10"/>
        <color theme="1"/>
        <rFont val="微软雅黑"/>
        <family val="2"/>
        <charset val="134"/>
      </rPr>
      <t>通用螺丝配件包</t>
    </r>
  </si>
  <si>
    <r>
      <t>X1PJ-LS X1 X3</t>
    </r>
    <r>
      <rPr>
        <sz val="10"/>
        <color theme="1"/>
        <rFont val="微软雅黑"/>
        <family val="2"/>
        <charset val="134"/>
      </rPr>
      <t>通用螺丝配件包</t>
    </r>
  </si>
  <si>
    <r>
      <t>M1PJ-LS M1</t>
    </r>
    <r>
      <rPr>
        <sz val="10"/>
        <color theme="1"/>
        <rFont val="微软雅黑"/>
        <family val="2"/>
        <charset val="134"/>
      </rPr>
      <t>系列螺丝配件</t>
    </r>
  </si>
  <si>
    <r>
      <t xml:space="preserve">TXY_30ML </t>
    </r>
    <r>
      <rPr>
        <sz val="10"/>
        <color theme="1"/>
        <rFont val="微软雅黑"/>
        <family val="2"/>
        <charset val="134"/>
      </rPr>
      <t>天竺桃星云精油</t>
    </r>
    <r>
      <rPr>
        <sz val="10"/>
        <color theme="1"/>
        <rFont val="Aptos"/>
        <family val="2"/>
      </rPr>
      <t>30</t>
    </r>
    <r>
      <rPr>
        <sz val="10"/>
        <color theme="1"/>
        <rFont val="微软雅黑"/>
        <family val="2"/>
        <charset val="134"/>
      </rPr>
      <t>毫升</t>
    </r>
  </si>
  <si>
    <r>
      <t xml:space="preserve">TX33_30ML </t>
    </r>
    <r>
      <rPr>
        <sz val="10"/>
        <color theme="1"/>
        <rFont val="微软雅黑"/>
        <family val="2"/>
        <charset val="134"/>
      </rPr>
      <t>天竺檀香</t>
    </r>
    <r>
      <rPr>
        <sz val="10"/>
        <color theme="1"/>
        <rFont val="Aptos"/>
        <family val="2"/>
      </rPr>
      <t>33</t>
    </r>
    <r>
      <rPr>
        <sz val="10"/>
        <color theme="1"/>
        <rFont val="微软雅黑"/>
        <family val="2"/>
        <charset val="134"/>
      </rPr>
      <t>香氛油</t>
    </r>
    <r>
      <rPr>
        <sz val="10"/>
        <color theme="1"/>
        <rFont val="Aptos"/>
        <family val="2"/>
      </rPr>
      <t>30mL</t>
    </r>
  </si>
  <si>
    <r>
      <t xml:space="preserve">TZ4X10K02 </t>
    </r>
    <r>
      <rPr>
        <sz val="10"/>
        <color theme="1"/>
        <rFont val="微软雅黑"/>
        <family val="2"/>
        <charset val="134"/>
      </rPr>
      <t>天竺</t>
    </r>
    <r>
      <rPr>
        <sz val="10"/>
        <color theme="1"/>
        <rFont val="Aptos"/>
        <family val="2"/>
      </rPr>
      <t>4</t>
    </r>
    <r>
      <rPr>
        <sz val="10"/>
        <color theme="1"/>
        <rFont val="微软雅黑"/>
        <family val="2"/>
        <charset val="134"/>
      </rPr>
      <t>款香氛油</t>
    </r>
    <r>
      <rPr>
        <sz val="10"/>
        <color theme="1"/>
        <rFont val="Aptos"/>
        <family val="2"/>
      </rPr>
      <t>10ML</t>
    </r>
    <r>
      <rPr>
        <sz val="10"/>
        <color theme="1"/>
        <rFont val="微软雅黑"/>
        <family val="2"/>
        <charset val="134"/>
      </rPr>
      <t>套装</t>
    </r>
    <r>
      <rPr>
        <sz val="10"/>
        <color theme="1"/>
        <rFont val="Aptos"/>
        <family val="2"/>
      </rPr>
      <t>2</t>
    </r>
  </si>
  <si>
    <r>
      <t xml:space="preserve">SJ-30ML_TZ </t>
    </r>
    <r>
      <rPr>
        <sz val="10"/>
        <color theme="1"/>
        <rFont val="微软雅黑"/>
        <family val="2"/>
        <charset val="134"/>
      </rPr>
      <t>天竺四季酒店香氛油</t>
    </r>
    <r>
      <rPr>
        <sz val="10"/>
        <color theme="1"/>
        <rFont val="Aptos"/>
        <family val="2"/>
      </rPr>
      <t>30mL</t>
    </r>
  </si>
  <si>
    <r>
      <t xml:space="preserve">HILTON-30ML_TZ </t>
    </r>
    <r>
      <rPr>
        <sz val="10"/>
        <color theme="1"/>
        <rFont val="微软雅黑"/>
        <family val="2"/>
        <charset val="134"/>
      </rPr>
      <t>天竺希尔顿酒店香氛油</t>
    </r>
    <r>
      <rPr>
        <sz val="10"/>
        <color theme="1"/>
        <rFont val="Aptos"/>
        <family val="2"/>
      </rPr>
      <t>30ML</t>
    </r>
  </si>
  <si>
    <r>
      <rPr>
        <sz val="10"/>
        <color theme="1"/>
        <rFont val="微软雅黑"/>
        <family val="2"/>
        <charset val="134"/>
      </rPr>
      <t>智能锁</t>
    </r>
  </si>
  <si>
    <r>
      <rPr>
        <sz val="10"/>
        <color theme="1"/>
        <rFont val="微软雅黑"/>
        <family val="2"/>
        <charset val="134"/>
      </rPr>
      <t>广东永定科技有限公司</t>
    </r>
  </si>
  <si>
    <r>
      <t xml:space="preserve">AC1KIT-WH_WH_EU </t>
    </r>
    <r>
      <rPr>
        <sz val="10"/>
        <color theme="1"/>
        <rFont val="微软雅黑"/>
        <family val="2"/>
        <charset val="134"/>
      </rPr>
      <t>智能控制器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欧规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白色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两个装</t>
    </r>
  </si>
  <si>
    <r>
      <rPr>
        <sz val="10"/>
        <color theme="1"/>
        <rFont val="微软雅黑"/>
        <family val="2"/>
        <charset val="134"/>
      </rPr>
      <t>云柯智能（深圳）有限公司</t>
    </r>
  </si>
  <si>
    <r>
      <t xml:space="preserve">AC1KIT_WH_WH_US </t>
    </r>
    <r>
      <rPr>
        <sz val="10"/>
        <color theme="1"/>
        <rFont val="微软雅黑"/>
        <family val="2"/>
        <charset val="134"/>
      </rPr>
      <t>智能控制器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美规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白色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两个装</t>
    </r>
  </si>
  <si>
    <r>
      <t xml:space="preserve">AC1-WH_EU </t>
    </r>
    <r>
      <rPr>
        <sz val="10"/>
        <color theme="1"/>
        <rFont val="微软雅黑"/>
        <family val="2"/>
        <charset val="134"/>
      </rPr>
      <t>智能控制器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欧规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白色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一个装</t>
    </r>
  </si>
  <si>
    <r>
      <t xml:space="preserve">AC1-B_EU </t>
    </r>
    <r>
      <rPr>
        <sz val="10"/>
        <color theme="1"/>
        <rFont val="微软雅黑"/>
        <family val="2"/>
        <charset val="134"/>
      </rPr>
      <t>智能控制器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欧规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黑色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一个装</t>
    </r>
  </si>
  <si>
    <r>
      <t xml:space="preserve">ANA-WH_UK </t>
    </r>
    <r>
      <rPr>
        <sz val="10"/>
        <color theme="1"/>
        <rFont val="微软雅黑"/>
        <family val="2"/>
        <charset val="134"/>
      </rPr>
      <t>智能扩香仪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英规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白色</t>
    </r>
  </si>
  <si>
    <r>
      <t xml:space="preserve">ANA-WH_EU </t>
    </r>
    <r>
      <rPr>
        <sz val="10"/>
        <color theme="1"/>
        <rFont val="微软雅黑"/>
        <family val="2"/>
        <charset val="134"/>
      </rPr>
      <t>智能扩香仪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欧规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白色</t>
    </r>
  </si>
  <si>
    <r>
      <t xml:space="preserve">SJ-30ML </t>
    </r>
    <r>
      <rPr>
        <sz val="10"/>
        <color theme="1"/>
        <rFont val="微软雅黑"/>
        <family val="2"/>
        <charset val="134"/>
      </rPr>
      <t>四季酒店香氛油</t>
    </r>
    <r>
      <rPr>
        <sz val="10"/>
        <color theme="1"/>
        <rFont val="Aptos"/>
        <family val="2"/>
      </rPr>
      <t xml:space="preserve"> 30mL</t>
    </r>
  </si>
  <si>
    <r>
      <t xml:space="preserve">AC1-B_US </t>
    </r>
    <r>
      <rPr>
        <sz val="10"/>
        <color theme="1"/>
        <rFont val="微软雅黑"/>
        <family val="2"/>
        <charset val="134"/>
      </rPr>
      <t>智能控制器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美规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黑色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一个装</t>
    </r>
  </si>
  <si>
    <r>
      <t xml:space="preserve">AC1-WH_US </t>
    </r>
    <r>
      <rPr>
        <sz val="10"/>
        <color theme="1"/>
        <rFont val="微软雅黑"/>
        <family val="2"/>
        <charset val="134"/>
      </rPr>
      <t>智能控制器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美规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白色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一个装</t>
    </r>
  </si>
  <si>
    <r>
      <t xml:space="preserve">TXY_100ML </t>
    </r>
    <r>
      <rPr>
        <sz val="10"/>
        <color theme="1"/>
        <rFont val="微软雅黑"/>
        <family val="2"/>
        <charset val="134"/>
      </rPr>
      <t>天竺桃星云香氛油</t>
    </r>
    <r>
      <rPr>
        <sz val="10"/>
        <color theme="1"/>
        <rFont val="Aptos"/>
        <family val="2"/>
      </rPr>
      <t>100mL</t>
    </r>
  </si>
  <si>
    <r>
      <t xml:space="preserve">YH_100ML </t>
    </r>
    <r>
      <rPr>
        <sz val="10"/>
        <color theme="1"/>
        <rFont val="微软雅黑"/>
        <family val="2"/>
        <charset val="134"/>
      </rPr>
      <t>天竺樱花香氛油</t>
    </r>
    <r>
      <rPr>
        <sz val="10"/>
        <color theme="1"/>
        <rFont val="Aptos"/>
        <family val="2"/>
      </rPr>
      <t>100mL</t>
    </r>
  </si>
  <si>
    <r>
      <t xml:space="preserve">YZTT_100ML </t>
    </r>
    <r>
      <rPr>
        <sz val="10"/>
        <color theme="1"/>
        <rFont val="微软雅黑"/>
        <family val="2"/>
        <charset val="134"/>
      </rPr>
      <t>天竺柚子天堂香氛油</t>
    </r>
    <r>
      <rPr>
        <sz val="10"/>
        <color theme="1"/>
        <rFont val="Aptos"/>
        <family val="2"/>
      </rPr>
      <t>100mL</t>
    </r>
  </si>
  <si>
    <r>
      <t xml:space="preserve">24K_100ML </t>
    </r>
    <r>
      <rPr>
        <sz val="10"/>
        <color theme="1"/>
        <rFont val="微软雅黑"/>
        <family val="2"/>
        <charset val="134"/>
      </rPr>
      <t>天竺</t>
    </r>
    <r>
      <rPr>
        <sz val="10"/>
        <color theme="1"/>
        <rFont val="Aptos"/>
        <family val="2"/>
      </rPr>
      <t>24K</t>
    </r>
    <r>
      <rPr>
        <sz val="10"/>
        <color theme="1"/>
        <rFont val="微软雅黑"/>
        <family val="2"/>
        <charset val="134"/>
      </rPr>
      <t>金香氛油</t>
    </r>
    <r>
      <rPr>
        <sz val="10"/>
        <color theme="1"/>
        <rFont val="Aptos"/>
        <family val="2"/>
      </rPr>
      <t>100mL</t>
    </r>
  </si>
  <si>
    <r>
      <t xml:space="preserve">HOTEL4KIT-10ML </t>
    </r>
    <r>
      <rPr>
        <sz val="10"/>
        <color theme="1"/>
        <rFont val="微软雅黑"/>
        <family val="2"/>
        <charset val="134"/>
      </rPr>
      <t>酒店香氛油</t>
    </r>
    <r>
      <rPr>
        <sz val="10"/>
        <color theme="1"/>
        <rFont val="Aptos"/>
        <family val="2"/>
      </rPr>
      <t>4X10mL</t>
    </r>
  </si>
  <si>
    <r>
      <t xml:space="preserve">X3-SG </t>
    </r>
    <r>
      <rPr>
        <sz val="10"/>
        <color theme="1"/>
        <rFont val="微软雅黑"/>
        <family val="2"/>
        <charset val="134"/>
      </rPr>
      <t>智能入户门锁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太空灰</t>
    </r>
  </si>
  <si>
    <r>
      <t xml:space="preserve">TIANZHU4KIT </t>
    </r>
    <r>
      <rPr>
        <sz val="10"/>
        <color theme="1"/>
        <rFont val="微软雅黑"/>
        <family val="2"/>
        <charset val="134"/>
      </rPr>
      <t>天竺</t>
    </r>
    <r>
      <rPr>
        <sz val="10"/>
        <color theme="1"/>
        <rFont val="Aptos"/>
        <family val="2"/>
      </rPr>
      <t>4</t>
    </r>
    <r>
      <rPr>
        <sz val="10"/>
        <color theme="1"/>
        <rFont val="微软雅黑"/>
        <family val="2"/>
        <charset val="134"/>
      </rPr>
      <t>款香氛油</t>
    </r>
    <r>
      <rPr>
        <sz val="10"/>
        <color theme="1"/>
        <rFont val="Aptos"/>
        <family val="2"/>
      </rPr>
      <t>10ML</t>
    </r>
    <r>
      <rPr>
        <sz val="10"/>
        <color theme="1"/>
        <rFont val="微软雅黑"/>
        <family val="2"/>
        <charset val="134"/>
      </rPr>
      <t>套装</t>
    </r>
  </si>
  <si>
    <r>
      <t xml:space="preserve">AH1B-WH_EU </t>
    </r>
    <r>
      <rPr>
        <sz val="10"/>
        <color theme="1"/>
        <rFont val="微软雅黑"/>
        <family val="2"/>
        <charset val="134"/>
      </rPr>
      <t>智能加湿器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白色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欧规</t>
    </r>
  </si>
  <si>
    <r>
      <rPr>
        <sz val="10"/>
        <color theme="1"/>
        <rFont val="微软雅黑"/>
        <family val="2"/>
        <charset val="134"/>
      </rPr>
      <t>智能加湿器</t>
    </r>
  </si>
  <si>
    <r>
      <rPr>
        <sz val="10"/>
        <color theme="1"/>
        <rFont val="微软雅黑"/>
        <family val="2"/>
        <charset val="134"/>
      </rPr>
      <t>广东泰坦智能电器有限公司</t>
    </r>
  </si>
  <si>
    <r>
      <t xml:space="preserve">AH1B-WH_US </t>
    </r>
    <r>
      <rPr>
        <sz val="10"/>
        <color theme="1"/>
        <rFont val="微软雅黑"/>
        <family val="2"/>
        <charset val="134"/>
      </rPr>
      <t>智能加湿器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白色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美规</t>
    </r>
  </si>
  <si>
    <r>
      <rPr>
        <sz val="10"/>
        <color theme="1"/>
        <rFont val="微软雅黑"/>
        <family val="2"/>
        <charset val="134"/>
      </rPr>
      <t>深圳市乐泡网技术有限公司</t>
    </r>
  </si>
  <si>
    <r>
      <t xml:space="preserve">AN7-LB </t>
    </r>
    <r>
      <rPr>
        <sz val="10"/>
        <color theme="1"/>
        <rFont val="微软雅黑"/>
        <family val="2"/>
        <charset val="134"/>
      </rPr>
      <t>便携式扩香仪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浅钢蓝色</t>
    </r>
  </si>
  <si>
    <r>
      <t xml:space="preserve">AN7-GL </t>
    </r>
    <r>
      <rPr>
        <sz val="10"/>
        <color theme="1"/>
        <rFont val="微软雅黑"/>
        <family val="2"/>
        <charset val="134"/>
      </rPr>
      <t>便携式扩香仪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翠百合色</t>
    </r>
  </si>
  <si>
    <r>
      <t xml:space="preserve">AN2(9)-RP </t>
    </r>
    <r>
      <rPr>
        <sz val="10"/>
        <color theme="1"/>
        <rFont val="微软雅黑"/>
        <family val="2"/>
        <charset val="134"/>
      </rPr>
      <t>便携式扩香仪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红粉色</t>
    </r>
  </si>
  <si>
    <r>
      <t xml:space="preserve">AN3(5)-RP </t>
    </r>
    <r>
      <rPr>
        <sz val="10"/>
        <color theme="1"/>
        <rFont val="微软雅黑"/>
        <family val="2"/>
        <charset val="134"/>
      </rPr>
      <t>便携式扩香仪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红粉色</t>
    </r>
  </si>
  <si>
    <r>
      <rPr>
        <sz val="10"/>
        <color theme="1"/>
        <rFont val="微软雅黑"/>
        <family val="2"/>
        <charset val="134"/>
      </rPr>
      <t>普罗米斯</t>
    </r>
  </si>
  <si>
    <r>
      <t xml:space="preserve">A-Rosemary-100mL </t>
    </r>
    <r>
      <rPr>
        <sz val="10"/>
        <color theme="1"/>
        <rFont val="微软雅黑"/>
        <family val="2"/>
        <charset val="134"/>
      </rPr>
      <t>单方迷迭香精油</t>
    </r>
    <r>
      <rPr>
        <sz val="10"/>
        <color theme="1"/>
        <rFont val="Aptos"/>
        <family val="2"/>
      </rPr>
      <t>100mL</t>
    </r>
  </si>
  <si>
    <r>
      <rPr>
        <sz val="10"/>
        <color theme="1"/>
        <rFont val="微软雅黑"/>
        <family val="2"/>
        <charset val="134"/>
      </rPr>
      <t>智能空气净化器</t>
    </r>
  </si>
  <si>
    <r>
      <rPr>
        <sz val="10"/>
        <color theme="1"/>
        <rFont val="微软雅黑"/>
        <family val="2"/>
        <charset val="134"/>
      </rPr>
      <t>深圳市普瑞美泰环保科技公司</t>
    </r>
  </si>
  <si>
    <r>
      <t xml:space="preserve">AP2UK-H14 </t>
    </r>
    <r>
      <rPr>
        <sz val="10"/>
        <color theme="1"/>
        <rFont val="微软雅黑"/>
        <family val="2"/>
        <charset val="134"/>
      </rPr>
      <t>内置</t>
    </r>
    <r>
      <rPr>
        <sz val="10"/>
        <color theme="1"/>
        <rFont val="Aptos"/>
        <family val="2"/>
      </rPr>
      <t>H14</t>
    </r>
    <r>
      <rPr>
        <sz val="10"/>
        <color theme="1"/>
        <rFont val="微软雅黑"/>
        <family val="2"/>
        <charset val="134"/>
      </rPr>
      <t>滤网桌面式空气净化器</t>
    </r>
    <r>
      <rPr>
        <sz val="10"/>
        <color theme="1"/>
        <rFont val="Aptos"/>
        <family val="2"/>
      </rPr>
      <t>2-</t>
    </r>
    <r>
      <rPr>
        <sz val="10"/>
        <color theme="1"/>
        <rFont val="微软雅黑"/>
        <family val="2"/>
        <charset val="134"/>
      </rPr>
      <t>英规</t>
    </r>
  </si>
  <si>
    <r>
      <rPr>
        <sz val="10"/>
        <color theme="1"/>
        <rFont val="微软雅黑"/>
        <family val="2"/>
        <charset val="134"/>
      </rPr>
      <t>防丢器</t>
    </r>
  </si>
  <si>
    <r>
      <rPr>
        <sz val="10"/>
        <color theme="1"/>
        <rFont val="微软雅黑"/>
        <family val="2"/>
        <charset val="134"/>
      </rPr>
      <t>深圳瑞福来智能科技股份有限公司</t>
    </r>
  </si>
  <si>
    <r>
      <t xml:space="preserve">T1B-1PC </t>
    </r>
    <r>
      <rPr>
        <sz val="10"/>
        <color theme="1"/>
        <rFont val="微软雅黑"/>
        <family val="2"/>
        <charset val="134"/>
      </rPr>
      <t>防丢器黑色一个装</t>
    </r>
  </si>
  <si>
    <r>
      <t xml:space="preserve">ORING-2PC </t>
    </r>
    <r>
      <rPr>
        <sz val="10"/>
        <color theme="1"/>
        <rFont val="微软雅黑"/>
        <family val="2"/>
        <charset val="134"/>
      </rPr>
      <t>扩香仪配件胶圈</t>
    </r>
  </si>
  <si>
    <r>
      <t xml:space="preserve">A-Peppermint-10mL </t>
    </r>
    <r>
      <rPr>
        <sz val="10"/>
        <color theme="1"/>
        <rFont val="微软雅黑"/>
        <family val="2"/>
        <charset val="134"/>
      </rPr>
      <t>单方薄荷精油</t>
    </r>
    <r>
      <rPr>
        <sz val="10"/>
        <color theme="1"/>
        <rFont val="Aptos"/>
        <family val="2"/>
      </rPr>
      <t>10mL</t>
    </r>
  </si>
  <si>
    <r>
      <t xml:space="preserve">AP2UK-H13 </t>
    </r>
    <r>
      <rPr>
        <sz val="10"/>
        <color theme="1"/>
        <rFont val="微软雅黑"/>
        <family val="2"/>
        <charset val="134"/>
      </rPr>
      <t>内置</t>
    </r>
    <r>
      <rPr>
        <sz val="10"/>
        <color theme="1"/>
        <rFont val="Aptos"/>
        <family val="2"/>
      </rPr>
      <t>H13</t>
    </r>
    <r>
      <rPr>
        <sz val="10"/>
        <color theme="1"/>
        <rFont val="微软雅黑"/>
        <family val="2"/>
        <charset val="134"/>
      </rPr>
      <t>滤网桌面式空气净化器</t>
    </r>
    <r>
      <rPr>
        <sz val="10"/>
        <color theme="1"/>
        <rFont val="Aptos"/>
        <family val="2"/>
      </rPr>
      <t>2-</t>
    </r>
    <r>
      <rPr>
        <sz val="10"/>
        <color theme="1"/>
        <rFont val="微软雅黑"/>
        <family val="2"/>
        <charset val="134"/>
      </rPr>
      <t>英规</t>
    </r>
  </si>
  <si>
    <r>
      <t xml:space="preserve">AN3(5)-LM </t>
    </r>
    <r>
      <rPr>
        <sz val="10"/>
        <color theme="1"/>
        <rFont val="微软雅黑"/>
        <family val="2"/>
        <charset val="134"/>
      </rPr>
      <t>便携式扩香仪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绿色</t>
    </r>
  </si>
  <si>
    <r>
      <t xml:space="preserve">AN2(9)-BL </t>
    </r>
    <r>
      <rPr>
        <sz val="10"/>
        <color theme="1"/>
        <rFont val="微软雅黑"/>
        <family val="2"/>
        <charset val="134"/>
      </rPr>
      <t>便携式扩香仪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蓝色</t>
    </r>
  </si>
  <si>
    <r>
      <t xml:space="preserve">AH1UK-C </t>
    </r>
    <r>
      <rPr>
        <sz val="10"/>
        <color theme="1"/>
        <rFont val="微软雅黑"/>
        <family val="2"/>
        <charset val="134"/>
      </rPr>
      <t>智能空气加湿器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透明</t>
    </r>
  </si>
  <si>
    <r>
      <t xml:space="preserve">AH1UK-G </t>
    </r>
    <r>
      <rPr>
        <sz val="10"/>
        <color theme="1"/>
        <rFont val="微软雅黑"/>
        <family val="2"/>
        <charset val="134"/>
      </rPr>
      <t>智能空气加湿器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灰色</t>
    </r>
  </si>
  <si>
    <r>
      <t xml:space="preserve">K1B-3PCS </t>
    </r>
    <r>
      <rPr>
        <sz val="10"/>
        <color theme="1"/>
        <rFont val="微软雅黑"/>
        <family val="2"/>
        <charset val="134"/>
      </rPr>
      <t>电子球形把手锁</t>
    </r>
    <r>
      <rPr>
        <sz val="10"/>
        <color theme="1"/>
        <rFont val="Aptos"/>
        <family val="2"/>
      </rPr>
      <t>-</t>
    </r>
    <r>
      <rPr>
        <sz val="10"/>
        <color theme="1"/>
        <rFont val="微软雅黑"/>
        <family val="2"/>
        <charset val="134"/>
      </rPr>
      <t>黑色三个装</t>
    </r>
  </si>
  <si>
    <r>
      <rPr>
        <sz val="10"/>
        <color theme="1"/>
        <rFont val="微软雅黑"/>
        <family val="2"/>
        <charset val="134"/>
      </rPr>
      <t>中山市皇鼎科技有限公司</t>
    </r>
  </si>
  <si>
    <r>
      <t xml:space="preserve">HK1-S </t>
    </r>
    <r>
      <rPr>
        <sz val="10"/>
        <color theme="1"/>
        <rFont val="微软雅黑"/>
        <family val="2"/>
        <charset val="134"/>
      </rPr>
      <t>智能球形把手锁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镍色</t>
    </r>
  </si>
  <si>
    <r>
      <t xml:space="preserve">HK1-B </t>
    </r>
    <r>
      <rPr>
        <sz val="10"/>
        <color theme="1"/>
        <rFont val="微软雅黑"/>
        <family val="2"/>
        <charset val="134"/>
      </rPr>
      <t>智能球形把手锁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黑色</t>
    </r>
  </si>
  <si>
    <r>
      <t xml:space="preserve">K1-B+B </t>
    </r>
    <r>
      <rPr>
        <sz val="10"/>
        <color theme="1"/>
        <rFont val="微软雅黑"/>
        <family val="2"/>
        <charset val="134"/>
      </rPr>
      <t>电子球形把手锁</t>
    </r>
    <r>
      <rPr>
        <sz val="10"/>
        <color theme="1"/>
        <rFont val="Aptos"/>
        <family val="2"/>
      </rPr>
      <t>-</t>
    </r>
    <r>
      <rPr>
        <sz val="10"/>
        <color theme="1"/>
        <rFont val="微软雅黑"/>
        <family val="2"/>
        <charset val="134"/>
      </rPr>
      <t>黑黑</t>
    </r>
  </si>
  <si>
    <r>
      <t xml:space="preserve">AP1F </t>
    </r>
    <r>
      <rPr>
        <sz val="10"/>
        <color theme="1"/>
        <rFont val="微软雅黑"/>
        <family val="2"/>
        <charset val="134"/>
      </rPr>
      <t>空气净化器滤网</t>
    </r>
    <r>
      <rPr>
        <sz val="10"/>
        <color theme="1"/>
        <rFont val="Aptos"/>
        <family val="2"/>
      </rPr>
      <t>1</t>
    </r>
  </si>
  <si>
    <r>
      <t>AP2EU H13</t>
    </r>
    <r>
      <rPr>
        <sz val="10"/>
        <color theme="1"/>
        <rFont val="微软雅黑"/>
        <family val="2"/>
        <charset val="134"/>
      </rPr>
      <t>桌面式空气净化器</t>
    </r>
    <r>
      <rPr>
        <sz val="10"/>
        <color theme="1"/>
        <rFont val="Aptos"/>
        <family val="2"/>
      </rPr>
      <t>2-</t>
    </r>
    <r>
      <rPr>
        <sz val="10"/>
        <color theme="1"/>
        <rFont val="微软雅黑"/>
        <family val="2"/>
        <charset val="134"/>
      </rPr>
      <t>欧规</t>
    </r>
  </si>
  <si>
    <r>
      <t xml:space="preserve">AP1 </t>
    </r>
    <r>
      <rPr>
        <sz val="10"/>
        <color theme="1"/>
        <rFont val="微软雅黑"/>
        <family val="2"/>
        <charset val="134"/>
      </rPr>
      <t>桌面式空气净化器</t>
    </r>
    <r>
      <rPr>
        <sz val="10"/>
        <color theme="1"/>
        <rFont val="Aptos"/>
        <family val="2"/>
      </rPr>
      <t>1</t>
    </r>
  </si>
  <si>
    <r>
      <t xml:space="preserve">K1-S </t>
    </r>
    <r>
      <rPr>
        <sz val="10"/>
        <color theme="1"/>
        <rFont val="微软雅黑"/>
        <family val="2"/>
        <charset val="134"/>
      </rPr>
      <t>电子球形把手锁</t>
    </r>
    <r>
      <rPr>
        <sz val="10"/>
        <color theme="1"/>
        <rFont val="Aptos"/>
        <family val="2"/>
      </rPr>
      <t>-</t>
    </r>
    <r>
      <rPr>
        <sz val="10"/>
        <color theme="1"/>
        <rFont val="微软雅黑"/>
        <family val="2"/>
        <charset val="134"/>
      </rPr>
      <t>镍色</t>
    </r>
  </si>
  <si>
    <r>
      <rPr>
        <b/>
        <sz val="10"/>
        <color rgb="FFFF0000"/>
        <rFont val="微软雅黑"/>
        <family val="2"/>
        <charset val="134"/>
      </rPr>
      <t>货件编号</t>
    </r>
    <r>
      <rPr>
        <b/>
        <sz val="10"/>
        <color rgb="FFFF0000"/>
        <rFont val="Aptos"/>
        <family val="2"/>
      </rPr>
      <t>-</t>
    </r>
    <r>
      <rPr>
        <b/>
        <sz val="10"/>
        <color rgb="FFFF0000"/>
        <rFont val="微软雅黑"/>
        <family val="2"/>
        <charset val="134"/>
      </rPr>
      <t>公式</t>
    </r>
  </si>
  <si>
    <r>
      <rPr>
        <b/>
        <sz val="10"/>
        <color theme="1"/>
        <rFont val="微软雅黑"/>
        <family val="2"/>
        <charset val="134"/>
      </rPr>
      <t>入库费</t>
    </r>
    <r>
      <rPr>
        <b/>
        <sz val="10"/>
        <color theme="1"/>
        <rFont val="Aptos"/>
        <family val="2"/>
      </rPr>
      <t>/unit</t>
    </r>
  </si>
  <si>
    <t>WB2601283949</t>
  </si>
  <si>
    <t>1ZH910550301475542</t>
  </si>
  <si>
    <t>JM2601284893</t>
    <phoneticPr fontId="25" type="noConversion"/>
  </si>
  <si>
    <t>1Z035B400333275174</t>
    <phoneticPr fontId="25" type="noConversion"/>
  </si>
  <si>
    <t>JM2601284416</t>
    <phoneticPr fontId="25" type="noConversion"/>
  </si>
  <si>
    <t>1Z88F19Y0340890742</t>
    <phoneticPr fontId="25" type="noConversion"/>
  </si>
  <si>
    <t>SKU</t>
    <phoneticPr fontId="25" type="noConversion"/>
  </si>
  <si>
    <r>
      <rPr>
        <sz val="10"/>
        <color theme="1"/>
        <rFont val="微软雅黑"/>
        <family val="2"/>
        <charset val="134"/>
      </rPr>
      <t>非销售类</t>
    </r>
    <r>
      <rPr>
        <sz val="10"/>
        <color theme="1"/>
        <rFont val="Aptos"/>
        <family val="2"/>
      </rPr>
      <t>/</t>
    </r>
    <r>
      <rPr>
        <sz val="10"/>
        <color theme="1"/>
        <rFont val="微软雅黑"/>
        <family val="2"/>
        <charset val="134"/>
      </rPr>
      <t>海外仓</t>
    </r>
    <phoneticPr fontId="41" type="noConversion"/>
  </si>
  <si>
    <r>
      <rPr>
        <sz val="10"/>
        <color theme="1"/>
        <rFont val="微软雅黑"/>
        <family val="2"/>
        <charset val="134"/>
      </rPr>
      <t>金蝶无料号</t>
    </r>
    <phoneticPr fontId="41" type="noConversion"/>
  </si>
  <si>
    <t>PJ</t>
    <phoneticPr fontId="41" type="noConversion"/>
  </si>
  <si>
    <t>GIFT</t>
    <phoneticPr fontId="41" type="noConversion"/>
  </si>
  <si>
    <t>AN6</t>
    <phoneticPr fontId="41" type="noConversion"/>
  </si>
  <si>
    <t>AN3(5)</t>
    <phoneticPr fontId="41" type="noConversion"/>
  </si>
  <si>
    <t>AP2</t>
    <phoneticPr fontId="41" type="noConversion"/>
  </si>
  <si>
    <t>T1</t>
    <phoneticPr fontId="41" type="noConversion"/>
  </si>
  <si>
    <t>AP2F</t>
    <phoneticPr fontId="41" type="noConversion"/>
  </si>
  <si>
    <t>ANXKIT-B_4X10K04_TZ</t>
    <phoneticPr fontId="41" type="noConversion"/>
  </si>
  <si>
    <t>ANX</t>
    <phoneticPr fontId="41" type="noConversion"/>
  </si>
  <si>
    <r>
      <rPr>
        <sz val="10"/>
        <color theme="1"/>
        <rFont val="微软雅黑"/>
        <family val="2"/>
        <charset val="134"/>
      </rPr>
      <t>裕双</t>
    </r>
    <phoneticPr fontId="41" type="noConversion"/>
  </si>
  <si>
    <t>ANXKIT-T_4X10K04_TZ</t>
    <phoneticPr fontId="41" type="noConversion"/>
  </si>
  <si>
    <r>
      <t>ANXKIT-T_4X10K04_TZ ANX</t>
    </r>
    <r>
      <rPr>
        <sz val="10"/>
        <color theme="1"/>
        <rFont val="微软雅黑"/>
        <family val="2"/>
        <charset val="134"/>
      </rPr>
      <t>钛色机器</t>
    </r>
    <r>
      <rPr>
        <sz val="10"/>
        <color theme="1"/>
        <rFont val="Aptos"/>
        <family val="2"/>
      </rPr>
      <t>+4x10mL</t>
    </r>
    <r>
      <rPr>
        <sz val="10"/>
        <color theme="1"/>
        <rFont val="微软雅黑"/>
        <family val="2"/>
        <charset val="134"/>
      </rPr>
      <t>酒店（天竺）香氛油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机油套装</t>
    </r>
    <phoneticPr fontId="41" type="noConversion"/>
  </si>
  <si>
    <t>Oil-KIT</t>
    <phoneticPr fontId="41" type="noConversion"/>
  </si>
  <si>
    <r>
      <rPr>
        <sz val="10"/>
        <color theme="1"/>
        <rFont val="微软雅黑"/>
        <family val="2"/>
        <charset val="134"/>
      </rPr>
      <t>香氛油</t>
    </r>
    <phoneticPr fontId="41" type="noConversion"/>
  </si>
  <si>
    <r>
      <rPr>
        <sz val="10"/>
        <color theme="1"/>
        <rFont val="微软雅黑"/>
        <family val="2"/>
        <charset val="134"/>
      </rPr>
      <t>香氛油机油组合</t>
    </r>
    <phoneticPr fontId="41" type="noConversion"/>
  </si>
  <si>
    <t>Drugstore</t>
    <phoneticPr fontId="41" type="noConversion"/>
  </si>
  <si>
    <r>
      <rPr>
        <sz val="10"/>
        <color theme="1"/>
        <rFont val="微软雅黑"/>
        <family val="2"/>
        <charset val="134"/>
      </rPr>
      <t>深圳市天竺香氛有限公司</t>
    </r>
    <phoneticPr fontId="41" type="noConversion"/>
  </si>
  <si>
    <r>
      <rPr>
        <sz val="10"/>
        <color theme="1"/>
        <rFont val="微软雅黑"/>
        <family val="2"/>
        <charset val="134"/>
      </rPr>
      <t>天竺</t>
    </r>
    <phoneticPr fontId="41" type="noConversion"/>
  </si>
  <si>
    <t>ANP-AC</t>
    <phoneticPr fontId="41" type="noConversion"/>
  </si>
  <si>
    <r>
      <rPr>
        <sz val="10"/>
        <color theme="1"/>
        <rFont val="微软雅黑"/>
        <family val="2"/>
        <charset val="134"/>
      </rPr>
      <t>智能扩香仪</t>
    </r>
    <phoneticPr fontId="41" type="noConversion"/>
  </si>
  <si>
    <r>
      <rPr>
        <sz val="10"/>
        <color theme="1"/>
        <rFont val="微软雅黑"/>
        <family val="2"/>
        <charset val="134"/>
      </rPr>
      <t>智能</t>
    </r>
    <phoneticPr fontId="41" type="noConversion"/>
  </si>
  <si>
    <t>Home</t>
    <phoneticPr fontId="41" type="noConversion"/>
  </si>
  <si>
    <r>
      <rPr>
        <sz val="10"/>
        <color theme="1"/>
        <rFont val="微软雅黑"/>
        <family val="2"/>
        <charset val="134"/>
      </rPr>
      <t>驰扬</t>
    </r>
    <phoneticPr fontId="41" type="noConversion"/>
  </si>
  <si>
    <t>RD1-AC</t>
    <phoneticPr fontId="41" type="noConversion"/>
  </si>
  <si>
    <r>
      <rPr>
        <sz val="10"/>
        <color rgb="FF000000"/>
        <rFont val="微软雅黑"/>
        <family val="2"/>
        <charset val="134"/>
      </rPr>
      <t>扩香仪机油套装</t>
    </r>
  </si>
  <si>
    <t>W-100ML_TZ</t>
    <phoneticPr fontId="41" type="noConversion"/>
  </si>
  <si>
    <r>
      <t xml:space="preserve">W-100ML_TZ </t>
    </r>
    <r>
      <rPr>
        <sz val="10"/>
        <color theme="1"/>
        <rFont val="微软雅黑"/>
        <family val="2"/>
        <charset val="134"/>
      </rPr>
      <t>天竺</t>
    </r>
    <r>
      <rPr>
        <sz val="10"/>
        <color theme="1"/>
        <rFont val="Aptos"/>
        <family val="2"/>
      </rPr>
      <t>W</t>
    </r>
    <r>
      <rPr>
        <sz val="10"/>
        <color theme="1"/>
        <rFont val="微软雅黑"/>
        <family val="2"/>
        <charset val="134"/>
      </rPr>
      <t>酒店香氛油</t>
    </r>
    <r>
      <rPr>
        <sz val="10"/>
        <color theme="1"/>
        <rFont val="Aptos"/>
        <family val="2"/>
      </rPr>
      <t>100mL</t>
    </r>
    <phoneticPr fontId="41" type="noConversion"/>
  </si>
  <si>
    <t>OIL6KIT1-6X10K02_TZ</t>
    <phoneticPr fontId="41" type="noConversion"/>
  </si>
  <si>
    <r>
      <t xml:space="preserve">OIL6KIT1-6X10K02_TZ </t>
    </r>
    <r>
      <rPr>
        <sz val="10"/>
        <color theme="1"/>
        <rFont val="微软雅黑"/>
        <family val="2"/>
        <charset val="134"/>
      </rPr>
      <t>单方精油（天竺）</t>
    </r>
    <r>
      <rPr>
        <sz val="10"/>
        <color theme="1"/>
        <rFont val="Aptos"/>
        <family val="2"/>
      </rPr>
      <t>6</t>
    </r>
    <r>
      <rPr>
        <sz val="10"/>
        <color theme="1"/>
        <rFont val="微软雅黑"/>
        <family val="2"/>
        <charset val="134"/>
      </rPr>
      <t>款</t>
    </r>
    <r>
      <rPr>
        <sz val="10"/>
        <color theme="1"/>
        <rFont val="Aptos"/>
        <family val="2"/>
      </rPr>
      <t>10mL</t>
    </r>
    <r>
      <rPr>
        <sz val="10"/>
        <color theme="1"/>
        <rFont val="微软雅黑"/>
        <family val="2"/>
        <charset val="134"/>
      </rPr>
      <t>套装</t>
    </r>
    <phoneticPr fontId="41" type="noConversion"/>
  </si>
  <si>
    <t>Oil-TZ</t>
    <phoneticPr fontId="41" type="noConversion"/>
  </si>
  <si>
    <r>
      <rPr>
        <sz val="10"/>
        <color theme="1"/>
        <rFont val="微软雅黑"/>
        <family val="2"/>
        <charset val="134"/>
      </rPr>
      <t>单方精油</t>
    </r>
    <phoneticPr fontId="41" type="noConversion"/>
  </si>
  <si>
    <r>
      <rPr>
        <sz val="10"/>
        <color theme="1"/>
        <rFont val="微软雅黑"/>
        <family val="2"/>
        <charset val="134"/>
      </rPr>
      <t>单方精油套装</t>
    </r>
    <phoneticPr fontId="41" type="noConversion"/>
  </si>
  <si>
    <t>RDX</t>
    <phoneticPr fontId="41" type="noConversion"/>
  </si>
  <si>
    <r>
      <rPr>
        <sz val="10"/>
        <color theme="1"/>
        <rFont val="微软雅黑"/>
        <family val="2"/>
        <charset val="134"/>
      </rPr>
      <t>智能扩香仪机油套装</t>
    </r>
    <phoneticPr fontId="41" type="noConversion"/>
  </si>
  <si>
    <r>
      <rPr>
        <sz val="10"/>
        <color theme="1"/>
        <rFont val="微软雅黑"/>
        <family val="2"/>
        <charset val="134"/>
      </rPr>
      <t>深圳市裕双电子科技有限公司</t>
    </r>
    <phoneticPr fontId="41" type="noConversion"/>
  </si>
  <si>
    <t>RDXKIT-SILV_US_2X100K04</t>
    <phoneticPr fontId="41" type="noConversion"/>
  </si>
  <si>
    <r>
      <t>RDXKIT-SILV_US_2X100K04 RDX</t>
    </r>
    <r>
      <rPr>
        <sz val="10"/>
        <color theme="1"/>
        <rFont val="微软雅黑"/>
        <family val="2"/>
        <charset val="134"/>
      </rPr>
      <t>银色机器</t>
    </r>
    <r>
      <rPr>
        <sz val="10"/>
        <color theme="1"/>
        <rFont val="Aptos"/>
        <family val="2"/>
      </rPr>
      <t>+2X100mL</t>
    </r>
    <r>
      <rPr>
        <sz val="10"/>
        <color theme="1"/>
        <rFont val="微软雅黑"/>
        <family val="2"/>
        <charset val="134"/>
      </rPr>
      <t>酒店香氛油（天竺）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机油套装</t>
    </r>
    <phoneticPr fontId="41" type="noConversion"/>
  </si>
  <si>
    <r>
      <rPr>
        <sz val="10"/>
        <color theme="1"/>
        <rFont val="微软雅黑"/>
        <family val="2"/>
        <charset val="134"/>
      </rPr>
      <t>智能扩香仪整机</t>
    </r>
    <phoneticPr fontId="41" type="noConversion"/>
  </si>
  <si>
    <t>ADX</t>
    <phoneticPr fontId="41" type="noConversion"/>
  </si>
  <si>
    <r>
      <rPr>
        <sz val="10"/>
        <color rgb="FF000000"/>
        <rFont val="微软雅黑"/>
        <family val="2"/>
        <charset val="134"/>
      </rPr>
      <t>扩香仪机油套装</t>
    </r>
    <phoneticPr fontId="41" type="noConversion"/>
  </si>
  <si>
    <t>ANZ</t>
    <phoneticPr fontId="41" type="noConversion"/>
  </si>
  <si>
    <r>
      <rPr>
        <sz val="10"/>
        <color rgb="FF000000"/>
        <rFont val="微软雅黑"/>
        <family val="2"/>
        <charset val="134"/>
      </rPr>
      <t>香氛油机油组合</t>
    </r>
    <phoneticPr fontId="41" type="noConversion"/>
  </si>
  <si>
    <r>
      <rPr>
        <sz val="10"/>
        <color rgb="FF000000"/>
        <rFont val="微软雅黑"/>
        <family val="2"/>
        <charset val="134"/>
      </rPr>
      <t>香氛油单瓶</t>
    </r>
    <phoneticPr fontId="41" type="noConversion"/>
  </si>
  <si>
    <t>HOTEL6KIT1-6X10K01</t>
    <phoneticPr fontId="41" type="noConversion"/>
  </si>
  <si>
    <r>
      <t xml:space="preserve">HOTEL6KIT1-6X10K01 </t>
    </r>
    <r>
      <rPr>
        <sz val="10"/>
        <color theme="1"/>
        <rFont val="微软雅黑"/>
        <family val="2"/>
        <charset val="134"/>
      </rPr>
      <t>酒店香氛油</t>
    </r>
    <r>
      <rPr>
        <sz val="10"/>
        <color theme="1"/>
        <rFont val="Aptos"/>
        <family val="2"/>
      </rPr>
      <t>6</t>
    </r>
    <r>
      <rPr>
        <sz val="10"/>
        <color theme="1"/>
        <rFont val="微软雅黑"/>
        <family val="2"/>
        <charset val="134"/>
      </rPr>
      <t>款</t>
    </r>
    <r>
      <rPr>
        <sz val="10"/>
        <color theme="1"/>
        <rFont val="Aptos"/>
        <family val="2"/>
      </rPr>
      <t>10mL</t>
    </r>
    <r>
      <rPr>
        <sz val="10"/>
        <color theme="1"/>
        <rFont val="微软雅黑"/>
        <family val="2"/>
        <charset val="134"/>
      </rPr>
      <t>套装</t>
    </r>
    <phoneticPr fontId="41" type="noConversion"/>
  </si>
  <si>
    <t>Oil-HQ</t>
    <phoneticPr fontId="41" type="noConversion"/>
  </si>
  <si>
    <r>
      <rPr>
        <sz val="10"/>
        <color theme="1"/>
        <rFont val="微软雅黑"/>
        <family val="2"/>
        <charset val="134"/>
      </rPr>
      <t>香氛油套装</t>
    </r>
    <phoneticPr fontId="41" type="noConversion"/>
  </si>
  <si>
    <r>
      <rPr>
        <sz val="10"/>
        <color theme="1"/>
        <rFont val="微软雅黑"/>
        <family val="2"/>
        <charset val="134"/>
      </rPr>
      <t>会七里</t>
    </r>
    <phoneticPr fontId="41" type="noConversion"/>
  </si>
  <si>
    <t>HOTEL4KIT-4X10K03</t>
    <phoneticPr fontId="41" type="noConversion"/>
  </si>
  <si>
    <r>
      <t xml:space="preserve">HOTEL4KIT-4X10K03 </t>
    </r>
    <r>
      <rPr>
        <sz val="10"/>
        <color theme="1"/>
        <rFont val="微软雅黑"/>
        <family val="2"/>
        <charset val="134"/>
      </rPr>
      <t>酒店香氛油</t>
    </r>
    <r>
      <rPr>
        <sz val="10"/>
        <color theme="1"/>
        <rFont val="Aptos"/>
        <family val="2"/>
      </rPr>
      <t>4X10mL</t>
    </r>
    <phoneticPr fontId="41" type="noConversion"/>
  </si>
  <si>
    <r>
      <rPr>
        <sz val="10"/>
        <color theme="1"/>
        <rFont val="微软雅黑"/>
        <family val="2"/>
        <charset val="134"/>
      </rPr>
      <t>香氛油单瓶</t>
    </r>
    <phoneticPr fontId="41" type="noConversion"/>
  </si>
  <si>
    <t>AN8KIT-WH_2X20K03</t>
    <phoneticPr fontId="41" type="noConversion"/>
  </si>
  <si>
    <t>AN8</t>
    <phoneticPr fontId="41" type="noConversion"/>
  </si>
  <si>
    <r>
      <rPr>
        <sz val="10"/>
        <color theme="1"/>
        <rFont val="微软雅黑"/>
        <family val="2"/>
        <charset val="134"/>
      </rPr>
      <t>扩香仪机油套装</t>
    </r>
    <phoneticPr fontId="41" type="noConversion"/>
  </si>
  <si>
    <t>AN8KIT-B_2X20K03</t>
    <phoneticPr fontId="41" type="noConversion"/>
  </si>
  <si>
    <t>RD1KIT-T_2X30K05</t>
    <phoneticPr fontId="41" type="noConversion"/>
  </si>
  <si>
    <t>RD1</t>
    <phoneticPr fontId="41" type="noConversion"/>
  </si>
  <si>
    <t>W-30ML_TZ</t>
    <phoneticPr fontId="41" type="noConversion"/>
  </si>
  <si>
    <r>
      <t xml:space="preserve">W-30ML_TZ </t>
    </r>
    <r>
      <rPr>
        <sz val="10"/>
        <color theme="1"/>
        <rFont val="微软雅黑"/>
        <family val="2"/>
        <charset val="134"/>
      </rPr>
      <t>天竺</t>
    </r>
    <r>
      <rPr>
        <sz val="10"/>
        <color theme="1"/>
        <rFont val="Aptos"/>
        <family val="2"/>
      </rPr>
      <t>W</t>
    </r>
    <r>
      <rPr>
        <sz val="10"/>
        <color theme="1"/>
        <rFont val="微软雅黑"/>
        <family val="2"/>
        <charset val="134"/>
      </rPr>
      <t>酒店香氛油</t>
    </r>
    <r>
      <rPr>
        <sz val="10"/>
        <color theme="1"/>
        <rFont val="Aptos"/>
        <family val="2"/>
      </rPr>
      <t>30mL</t>
    </r>
    <phoneticPr fontId="41" type="noConversion"/>
  </si>
  <si>
    <t>W-20ML_TZ</t>
    <phoneticPr fontId="41" type="noConversion"/>
  </si>
  <si>
    <r>
      <t xml:space="preserve">W-20ML_TZ </t>
    </r>
    <r>
      <rPr>
        <sz val="10"/>
        <color theme="1"/>
        <rFont val="微软雅黑"/>
        <family val="2"/>
        <charset val="134"/>
      </rPr>
      <t>天竺</t>
    </r>
    <r>
      <rPr>
        <sz val="10"/>
        <color theme="1"/>
        <rFont val="Aptos"/>
        <family val="2"/>
      </rPr>
      <t>W</t>
    </r>
    <r>
      <rPr>
        <sz val="10"/>
        <color theme="1"/>
        <rFont val="微软雅黑"/>
        <family val="2"/>
        <charset val="134"/>
      </rPr>
      <t>酒店香氛油</t>
    </r>
    <r>
      <rPr>
        <sz val="10"/>
        <color theme="1"/>
        <rFont val="Aptos"/>
        <family val="2"/>
      </rPr>
      <t>20mL</t>
    </r>
    <phoneticPr fontId="41" type="noConversion"/>
  </si>
  <si>
    <t>WST-30ML_TZ</t>
    <phoneticPr fontId="41" type="noConversion"/>
  </si>
  <si>
    <r>
      <t xml:space="preserve">WST-30ML_TZ </t>
    </r>
    <r>
      <rPr>
        <sz val="10"/>
        <color theme="1"/>
        <rFont val="微软雅黑"/>
        <family val="2"/>
        <charset val="134"/>
      </rPr>
      <t>天竺威斯汀酒店香氛油</t>
    </r>
    <r>
      <rPr>
        <sz val="10"/>
        <color theme="1"/>
        <rFont val="Aptos"/>
        <family val="2"/>
      </rPr>
      <t>30mL</t>
    </r>
    <phoneticPr fontId="41" type="noConversion"/>
  </si>
  <si>
    <t>WST-20ML_TZ</t>
    <phoneticPr fontId="41" type="noConversion"/>
  </si>
  <si>
    <r>
      <t xml:space="preserve">WST-20ML_TZ </t>
    </r>
    <r>
      <rPr>
        <sz val="10"/>
        <color theme="1"/>
        <rFont val="微软雅黑"/>
        <family val="2"/>
        <charset val="134"/>
      </rPr>
      <t>天竺威斯汀酒店香氛油</t>
    </r>
    <r>
      <rPr>
        <sz val="10"/>
        <color theme="1"/>
        <rFont val="Aptos"/>
        <family val="2"/>
      </rPr>
      <t>20mL</t>
    </r>
    <phoneticPr fontId="41" type="noConversion"/>
  </si>
  <si>
    <t>ANZKIT-B_HILTON30ML</t>
    <phoneticPr fontId="41" type="noConversion"/>
  </si>
  <si>
    <r>
      <t>ANZKIT-B_HILTON30ML ANZ</t>
    </r>
    <r>
      <rPr>
        <sz val="10"/>
        <color theme="1"/>
        <rFont val="微软雅黑"/>
        <family val="2"/>
        <charset val="134"/>
      </rPr>
      <t>黑色机器</t>
    </r>
    <r>
      <rPr>
        <sz val="10"/>
        <color theme="1"/>
        <rFont val="Aptos"/>
        <family val="2"/>
      </rPr>
      <t>+30mL</t>
    </r>
    <r>
      <rPr>
        <sz val="10"/>
        <color theme="1"/>
        <rFont val="微软雅黑"/>
        <family val="2"/>
        <charset val="134"/>
      </rPr>
      <t>希尔顿酒店香氛油（天竺）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机油套装</t>
    </r>
    <phoneticPr fontId="41" type="noConversion"/>
  </si>
  <si>
    <t>ScentBots</t>
    <phoneticPr fontId="41" type="noConversion"/>
  </si>
  <si>
    <r>
      <t xml:space="preserve">ANZKIT-B_B </t>
    </r>
    <r>
      <rPr>
        <sz val="10"/>
        <color theme="1"/>
        <rFont val="微软雅黑"/>
        <family val="2"/>
        <charset val="134"/>
      </rPr>
      <t>便携式扩香仪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黑色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两个装</t>
    </r>
    <phoneticPr fontId="41" type="noConversion"/>
  </si>
  <si>
    <t>ANZKIT-B_B</t>
    <phoneticPr fontId="41" type="noConversion"/>
  </si>
  <si>
    <r>
      <rPr>
        <sz val="10"/>
        <color theme="1"/>
        <rFont val="微软雅黑"/>
        <family val="2"/>
        <charset val="134"/>
      </rPr>
      <t>扩香仪整机套装</t>
    </r>
    <phoneticPr fontId="41" type="noConversion"/>
  </si>
  <si>
    <t>AN6KIT-WH_BLG30ML</t>
    <phoneticPr fontId="41" type="noConversion"/>
  </si>
  <si>
    <t>AN6KIT-B_BLG30ML</t>
    <phoneticPr fontId="41" type="noConversion"/>
  </si>
  <si>
    <t>AN6KIT-WH_BCRT30ML</t>
    <phoneticPr fontId="41" type="noConversion"/>
  </si>
  <si>
    <t>AN6KIT-B_BCRT30ML</t>
    <phoneticPr fontId="41" type="noConversion"/>
  </si>
  <si>
    <t>AN8KIT-WH_2X20K01</t>
    <phoneticPr fontId="41" type="noConversion"/>
  </si>
  <si>
    <t>AN8KIT-B_2X20K01</t>
    <phoneticPr fontId="41" type="noConversion"/>
  </si>
  <si>
    <t>AN8KIT-WH_2X20K02</t>
    <phoneticPr fontId="41" type="noConversion"/>
  </si>
  <si>
    <t>AN8KIT-B_2X20K02</t>
    <phoneticPr fontId="41" type="noConversion"/>
  </si>
  <si>
    <t>AN8NZ-WH</t>
    <phoneticPr fontId="41" type="noConversion"/>
  </si>
  <si>
    <r>
      <t>AN8NZ-WH AN8(Z)</t>
    </r>
    <r>
      <rPr>
        <sz val="10"/>
        <color theme="1"/>
        <rFont val="微软雅黑"/>
        <family val="2"/>
        <charset val="134"/>
      </rPr>
      <t>喷嘴配件套装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白色</t>
    </r>
    <phoneticPr fontId="41" type="noConversion"/>
  </si>
  <si>
    <t>AN8-AC</t>
    <phoneticPr fontId="41" type="noConversion"/>
  </si>
  <si>
    <r>
      <rPr>
        <sz val="10"/>
        <color theme="1"/>
        <rFont val="微软雅黑"/>
        <family val="2"/>
        <charset val="134"/>
      </rPr>
      <t>扩香仪配件</t>
    </r>
    <phoneticPr fontId="41" type="noConversion"/>
  </si>
  <si>
    <t>ANW</t>
    <phoneticPr fontId="41" type="noConversion"/>
  </si>
  <si>
    <t>ANWKIT-WH_US_2X100K03</t>
    <phoneticPr fontId="41" type="noConversion"/>
  </si>
  <si>
    <t>ANWKIT-B_US_2X100K03</t>
    <phoneticPr fontId="41" type="noConversion"/>
  </si>
  <si>
    <t>ANA</t>
    <phoneticPr fontId="41" type="noConversion"/>
  </si>
  <si>
    <t>ANAKIT-WH_US_2X100K03</t>
    <phoneticPr fontId="41" type="noConversion"/>
  </si>
  <si>
    <t>ANAKIT-B_US_2X100K03</t>
    <phoneticPr fontId="41" type="noConversion"/>
  </si>
  <si>
    <t>SJ1-100ML_TZ</t>
    <phoneticPr fontId="41" type="noConversion"/>
  </si>
  <si>
    <r>
      <t xml:space="preserve">SJ1-100ML_TZ </t>
    </r>
    <r>
      <rPr>
        <sz val="10"/>
        <color theme="1"/>
        <rFont val="微软雅黑"/>
        <family val="2"/>
        <charset val="134"/>
      </rPr>
      <t>四季酒店</t>
    </r>
    <r>
      <rPr>
        <sz val="10"/>
        <color theme="1"/>
        <rFont val="Aptos"/>
        <family val="2"/>
      </rPr>
      <t>100mL</t>
    </r>
    <r>
      <rPr>
        <sz val="10"/>
        <color theme="1"/>
        <rFont val="微软雅黑"/>
        <family val="2"/>
        <charset val="134"/>
      </rPr>
      <t>香氛油（天竺）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销售包装</t>
    </r>
    <phoneticPr fontId="41" type="noConversion"/>
  </si>
  <si>
    <t>ANZ-WH</t>
    <phoneticPr fontId="41" type="noConversion"/>
  </si>
  <si>
    <r>
      <t xml:space="preserve">ANZ-WH </t>
    </r>
    <r>
      <rPr>
        <sz val="10"/>
        <color theme="1"/>
        <rFont val="微软雅黑"/>
        <family val="2"/>
        <charset val="134"/>
      </rPr>
      <t>便携式扩香仪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白色</t>
    </r>
    <phoneticPr fontId="41" type="noConversion"/>
  </si>
  <si>
    <r>
      <rPr>
        <sz val="10"/>
        <color theme="1"/>
        <rFont val="微软雅黑"/>
        <family val="2"/>
        <charset val="134"/>
      </rPr>
      <t>扩香仪整机</t>
    </r>
    <phoneticPr fontId="41" type="noConversion"/>
  </si>
  <si>
    <t>ANZ-B</t>
    <phoneticPr fontId="41" type="noConversion"/>
  </si>
  <si>
    <r>
      <t xml:space="preserve">ANZ-B </t>
    </r>
    <r>
      <rPr>
        <sz val="10"/>
        <color theme="1"/>
        <rFont val="微软雅黑"/>
        <family val="2"/>
        <charset val="134"/>
      </rPr>
      <t>便携式扩香仪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黑色</t>
    </r>
    <phoneticPr fontId="41" type="noConversion"/>
  </si>
  <si>
    <t>AN8-WH</t>
    <phoneticPr fontId="41" type="noConversion"/>
  </si>
  <si>
    <r>
      <t xml:space="preserve">AN8-WH </t>
    </r>
    <r>
      <rPr>
        <sz val="10"/>
        <color theme="1"/>
        <rFont val="微软雅黑"/>
        <family val="2"/>
        <charset val="134"/>
      </rPr>
      <t>便携式扩香仪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白色</t>
    </r>
    <phoneticPr fontId="41" type="noConversion"/>
  </si>
  <si>
    <t>ANXKIT-T_2X20K02</t>
    <phoneticPr fontId="41" type="noConversion"/>
  </si>
  <si>
    <t>ANXKIT-B_2X20K02</t>
    <phoneticPr fontId="41" type="noConversion"/>
  </si>
  <si>
    <t>AN6KIT-WH_2X20K01</t>
    <phoneticPr fontId="41" type="noConversion"/>
  </si>
  <si>
    <t>AN6KIT-B_2X20K01</t>
    <phoneticPr fontId="41" type="noConversion"/>
  </si>
  <si>
    <t>XC-100ML</t>
    <phoneticPr fontId="41" type="noConversion"/>
  </si>
  <si>
    <t>A-VAN-100</t>
    <phoneticPr fontId="41" type="noConversion"/>
  </si>
  <si>
    <r>
      <rPr>
        <sz val="10"/>
        <color theme="1"/>
        <rFont val="微软雅黑"/>
        <family val="2"/>
        <charset val="134"/>
      </rPr>
      <t>单方精油单瓶</t>
    </r>
    <phoneticPr fontId="41" type="noConversion"/>
  </si>
  <si>
    <t>TX-100ML</t>
    <phoneticPr fontId="41" type="noConversion"/>
  </si>
  <si>
    <t>A-SWD-100</t>
    <phoneticPr fontId="41" type="noConversion"/>
  </si>
  <si>
    <t>RD1KIT-T_2X30K04</t>
    <phoneticPr fontId="41" type="noConversion"/>
  </si>
  <si>
    <t>RD1KIT-B_2X30K03</t>
    <phoneticPr fontId="41" type="noConversion"/>
  </si>
  <si>
    <t>BCRT1-100ML</t>
    <phoneticPr fontId="41" type="noConversion"/>
  </si>
  <si>
    <r>
      <t xml:space="preserve">BCRT1-100ML </t>
    </r>
    <r>
      <rPr>
        <sz val="10"/>
        <color theme="1"/>
        <rFont val="微软雅黑"/>
        <family val="2"/>
        <charset val="134"/>
      </rPr>
      <t>巴卡拉酒店香氛油</t>
    </r>
    <r>
      <rPr>
        <sz val="10"/>
        <color theme="1"/>
        <rFont val="Aptos"/>
        <family val="2"/>
      </rPr>
      <t>100mL</t>
    </r>
    <phoneticPr fontId="41" type="noConversion"/>
  </si>
  <si>
    <t>BLG1-100ML</t>
    <phoneticPr fontId="41" type="noConversion"/>
  </si>
  <si>
    <r>
      <t xml:space="preserve">BLG1-100ML </t>
    </r>
    <r>
      <rPr>
        <sz val="10"/>
        <color theme="1"/>
        <rFont val="微软雅黑"/>
        <family val="2"/>
        <charset val="134"/>
      </rPr>
      <t>百乐宫酒店香氛油</t>
    </r>
    <r>
      <rPr>
        <sz val="10"/>
        <color theme="1"/>
        <rFont val="Aptos"/>
        <family val="2"/>
      </rPr>
      <t>100mL</t>
    </r>
    <phoneticPr fontId="41" type="noConversion"/>
  </si>
  <si>
    <t>WST1-100ML</t>
    <phoneticPr fontId="41" type="noConversion"/>
  </si>
  <si>
    <r>
      <t xml:space="preserve">WST1-100ML </t>
    </r>
    <r>
      <rPr>
        <sz val="10"/>
        <color theme="1"/>
        <rFont val="微软雅黑"/>
        <family val="2"/>
        <charset val="134"/>
      </rPr>
      <t>威斯汀</t>
    </r>
    <r>
      <rPr>
        <sz val="10"/>
        <color theme="1"/>
        <rFont val="Aptos"/>
        <family val="2"/>
      </rPr>
      <t>2</t>
    </r>
    <r>
      <rPr>
        <sz val="10"/>
        <color theme="1"/>
        <rFont val="微软雅黑"/>
        <family val="2"/>
        <charset val="134"/>
      </rPr>
      <t>酒店香氛油</t>
    </r>
    <r>
      <rPr>
        <sz val="10"/>
        <color theme="1"/>
        <rFont val="Aptos"/>
        <family val="2"/>
      </rPr>
      <t>100mL</t>
    </r>
    <phoneticPr fontId="41" type="noConversion"/>
  </si>
  <si>
    <t>WST1-100ML_TZ</t>
    <phoneticPr fontId="41" type="noConversion"/>
  </si>
  <si>
    <r>
      <t xml:space="preserve">WST1-100ML_TZ </t>
    </r>
    <r>
      <rPr>
        <sz val="10"/>
        <color theme="1"/>
        <rFont val="微软雅黑"/>
        <family val="2"/>
        <charset val="134"/>
      </rPr>
      <t>威斯汀酒店白茶</t>
    </r>
    <r>
      <rPr>
        <sz val="10"/>
        <color theme="1"/>
        <rFont val="Aptos"/>
        <family val="2"/>
      </rPr>
      <t>100mL</t>
    </r>
    <r>
      <rPr>
        <sz val="10"/>
        <color theme="1"/>
        <rFont val="微软雅黑"/>
        <family val="2"/>
        <charset val="134"/>
      </rPr>
      <t>香氛油（天竺）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销售包装</t>
    </r>
    <phoneticPr fontId="41" type="noConversion"/>
  </si>
  <si>
    <t>YZTT1_10ML</t>
    <phoneticPr fontId="41" type="noConversion"/>
  </si>
  <si>
    <r>
      <t xml:space="preserve">YZTT1_10ML </t>
    </r>
    <r>
      <rPr>
        <sz val="10"/>
        <color theme="1"/>
        <rFont val="微软雅黑"/>
        <family val="2"/>
        <charset val="134"/>
      </rPr>
      <t>柚子天堂</t>
    </r>
    <r>
      <rPr>
        <sz val="10"/>
        <color theme="1"/>
        <rFont val="Aptos"/>
        <family val="2"/>
      </rPr>
      <t>10mL</t>
    </r>
    <r>
      <rPr>
        <sz val="10"/>
        <color theme="1"/>
        <rFont val="微软雅黑"/>
        <family val="2"/>
        <charset val="134"/>
      </rPr>
      <t>香氛油（天竺）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销售包装</t>
    </r>
    <phoneticPr fontId="41" type="noConversion"/>
  </si>
  <si>
    <t>HILTON1-100ML_TZ</t>
    <phoneticPr fontId="41" type="noConversion"/>
  </si>
  <si>
    <r>
      <t xml:space="preserve">HILTON1-100ML_TZ </t>
    </r>
    <r>
      <rPr>
        <sz val="10"/>
        <color theme="1"/>
        <rFont val="微软雅黑"/>
        <family val="2"/>
        <charset val="134"/>
      </rPr>
      <t>希尔顿酒店</t>
    </r>
    <r>
      <rPr>
        <sz val="10"/>
        <color theme="1"/>
        <rFont val="Aptos"/>
        <family val="2"/>
      </rPr>
      <t>100mL</t>
    </r>
    <r>
      <rPr>
        <sz val="10"/>
        <color theme="1"/>
        <rFont val="微软雅黑"/>
        <family val="2"/>
        <charset val="134"/>
      </rPr>
      <t>香氛油（天竺）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销售包装</t>
    </r>
    <phoneticPr fontId="41" type="noConversion"/>
  </si>
  <si>
    <t>GK1-DT</t>
    <phoneticPr fontId="41" type="noConversion"/>
  </si>
  <si>
    <r>
      <t xml:space="preserve">GK1-DT </t>
    </r>
    <r>
      <rPr>
        <sz val="10"/>
        <color theme="1"/>
        <rFont val="微软雅黑"/>
        <family val="2"/>
        <charset val="134"/>
      </rPr>
      <t>智能球形把手锁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沙漠钛色</t>
    </r>
    <phoneticPr fontId="41" type="noConversion"/>
  </si>
  <si>
    <t>GK1</t>
    <phoneticPr fontId="41" type="noConversion"/>
  </si>
  <si>
    <r>
      <rPr>
        <sz val="10"/>
        <color theme="1"/>
        <rFont val="微软雅黑"/>
        <family val="2"/>
        <charset val="134"/>
      </rPr>
      <t>电子锁</t>
    </r>
    <phoneticPr fontId="41" type="noConversion"/>
  </si>
  <si>
    <t>ThorBolt</t>
    <phoneticPr fontId="41" type="noConversion"/>
  </si>
  <si>
    <t>Home improvement</t>
    <phoneticPr fontId="41" type="noConversion"/>
  </si>
  <si>
    <r>
      <rPr>
        <sz val="10"/>
        <color theme="1"/>
        <rFont val="微软雅黑"/>
        <family val="2"/>
        <charset val="134"/>
      </rPr>
      <t>基信</t>
    </r>
    <phoneticPr fontId="41" type="noConversion"/>
  </si>
  <si>
    <t>GK1-SILV</t>
    <phoneticPr fontId="41" type="noConversion"/>
  </si>
  <si>
    <r>
      <t xml:space="preserve">GK1-SILV </t>
    </r>
    <r>
      <rPr>
        <sz val="10"/>
        <color theme="1"/>
        <rFont val="微软雅黑"/>
        <family val="2"/>
        <charset val="134"/>
      </rPr>
      <t>智能球形把手锁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银色</t>
    </r>
    <phoneticPr fontId="41" type="noConversion"/>
  </si>
  <si>
    <t>GK1-B</t>
    <phoneticPr fontId="41" type="noConversion"/>
  </si>
  <si>
    <r>
      <t xml:space="preserve">GK1-B </t>
    </r>
    <r>
      <rPr>
        <sz val="10"/>
        <color theme="1"/>
        <rFont val="微软雅黑"/>
        <family val="2"/>
        <charset val="134"/>
      </rPr>
      <t>智能球形把手锁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黑色</t>
    </r>
    <phoneticPr fontId="41" type="noConversion"/>
  </si>
  <si>
    <t>ANANZ-WH</t>
    <phoneticPr fontId="41" type="noConversion"/>
  </si>
  <si>
    <r>
      <t>ANANZ-WH ANA</t>
    </r>
    <r>
      <rPr>
        <sz val="10"/>
        <color theme="1"/>
        <rFont val="微软雅黑"/>
        <family val="2"/>
        <charset val="134"/>
      </rPr>
      <t>替换瓶</t>
    </r>
    <r>
      <rPr>
        <sz val="10"/>
        <color theme="1"/>
        <rFont val="Aptos"/>
        <family val="2"/>
      </rPr>
      <t>+</t>
    </r>
    <r>
      <rPr>
        <sz val="10"/>
        <color theme="1"/>
        <rFont val="微软雅黑"/>
        <family val="2"/>
        <charset val="134"/>
      </rPr>
      <t>白喷头</t>
    </r>
    <phoneticPr fontId="41" type="noConversion"/>
  </si>
  <si>
    <t>ANA-AC</t>
    <phoneticPr fontId="41" type="noConversion"/>
  </si>
  <si>
    <r>
      <rPr>
        <sz val="10"/>
        <color theme="1"/>
        <rFont val="微软雅黑"/>
        <family val="2"/>
        <charset val="134"/>
      </rPr>
      <t>智能扩香仪配件</t>
    </r>
    <phoneticPr fontId="41" type="noConversion"/>
  </si>
  <si>
    <t>ANANZ-B</t>
    <phoneticPr fontId="41" type="noConversion"/>
  </si>
  <si>
    <r>
      <t>ANANZ-B ANA</t>
    </r>
    <r>
      <rPr>
        <sz val="10"/>
        <color theme="1"/>
        <rFont val="微软雅黑"/>
        <family val="2"/>
        <charset val="134"/>
      </rPr>
      <t>替换瓶</t>
    </r>
    <r>
      <rPr>
        <sz val="10"/>
        <color theme="1"/>
        <rFont val="Aptos"/>
        <family val="2"/>
      </rPr>
      <t>+</t>
    </r>
    <r>
      <rPr>
        <sz val="10"/>
        <color theme="1"/>
        <rFont val="微软雅黑"/>
        <family val="2"/>
        <charset val="134"/>
      </rPr>
      <t>黑喷头</t>
    </r>
    <phoneticPr fontId="41" type="noConversion"/>
  </si>
  <si>
    <t>RD1-DT</t>
    <phoneticPr fontId="41" type="noConversion"/>
  </si>
  <si>
    <r>
      <t xml:space="preserve">RD1-DT </t>
    </r>
    <r>
      <rPr>
        <sz val="10"/>
        <color theme="1"/>
        <rFont val="微软雅黑"/>
        <family val="2"/>
        <charset val="134"/>
      </rPr>
      <t>便携式扩香仪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沙漠钛色</t>
    </r>
    <phoneticPr fontId="41" type="noConversion"/>
  </si>
  <si>
    <t>RD1-B</t>
    <phoneticPr fontId="41" type="noConversion"/>
  </si>
  <si>
    <r>
      <t xml:space="preserve">RD1-B </t>
    </r>
    <r>
      <rPr>
        <sz val="10"/>
        <color theme="1"/>
        <rFont val="微软雅黑"/>
        <family val="2"/>
        <charset val="134"/>
      </rPr>
      <t>便携式扩香仪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黑色</t>
    </r>
    <phoneticPr fontId="41" type="noConversion"/>
  </si>
  <si>
    <t>TXY1_100ML</t>
    <phoneticPr fontId="41" type="noConversion"/>
  </si>
  <si>
    <t>TX331_100ML</t>
    <phoneticPr fontId="41" type="noConversion"/>
  </si>
  <si>
    <t>YZTT1_100ML</t>
    <phoneticPr fontId="41" type="noConversion"/>
  </si>
  <si>
    <t>AN8KIT-B_B_2X30K02</t>
    <phoneticPr fontId="41" type="noConversion"/>
  </si>
  <si>
    <t>AN6KIT-B_B_2X30K02</t>
    <phoneticPr fontId="41" type="noConversion"/>
  </si>
  <si>
    <t>ANXKIT-DT_RZ30ML</t>
    <phoneticPr fontId="41" type="noConversion"/>
  </si>
  <si>
    <t>AN8KIT-WH_4X10K01</t>
    <phoneticPr fontId="41" type="noConversion"/>
  </si>
  <si>
    <t>ADXKIT_DT_TX33_30ML</t>
    <phoneticPr fontId="25" type="noConversion"/>
  </si>
  <si>
    <t>ADXKIT_DT_TX33_30ML</t>
    <phoneticPr fontId="41" type="noConversion"/>
  </si>
  <si>
    <t>ADXKIT-B_DT</t>
    <phoneticPr fontId="25" type="noConversion"/>
  </si>
  <si>
    <t>ADXKIT-B_DT</t>
    <phoneticPr fontId="41" type="noConversion"/>
  </si>
  <si>
    <t>AN8KIT-B_4X10K02</t>
    <phoneticPr fontId="25" type="noConversion"/>
  </si>
  <si>
    <t>AN8KIT-B_4X10K02</t>
    <phoneticPr fontId="41" type="noConversion"/>
  </si>
  <si>
    <t>ADXKIT_B_TX33_30ML</t>
    <phoneticPr fontId="25" type="noConversion"/>
  </si>
  <si>
    <t>ADX</t>
    <phoneticPr fontId="25" type="noConversion"/>
  </si>
  <si>
    <t>ADXKIT_B_TX33_30ML</t>
    <phoneticPr fontId="41" type="noConversion"/>
  </si>
  <si>
    <t>ANZKIT-B_B_2X30K01</t>
    <phoneticPr fontId="25" type="noConversion"/>
  </si>
  <si>
    <t>ANZKIT-B_B_2X30K01</t>
    <phoneticPr fontId="41" type="noConversion"/>
  </si>
  <si>
    <t>X1-DT</t>
    <phoneticPr fontId="41" type="noConversion"/>
  </si>
  <si>
    <t>X1</t>
    <phoneticPr fontId="41" type="noConversion"/>
  </si>
  <si>
    <r>
      <rPr>
        <sz val="10"/>
        <color theme="1"/>
        <rFont val="微软雅黑"/>
        <family val="2"/>
        <charset val="134"/>
      </rPr>
      <t>智能入户门锁</t>
    </r>
    <phoneticPr fontId="41" type="noConversion"/>
  </si>
  <si>
    <r>
      <rPr>
        <sz val="10"/>
        <color theme="1"/>
        <rFont val="微软雅黑"/>
        <family val="2"/>
        <charset val="134"/>
      </rPr>
      <t>永定</t>
    </r>
    <phoneticPr fontId="41" type="noConversion"/>
  </si>
  <si>
    <t>AC1</t>
    <phoneticPr fontId="41" type="noConversion"/>
  </si>
  <si>
    <t>AC1KIT-WH_WH_EU</t>
    <phoneticPr fontId="41" type="noConversion"/>
  </si>
  <si>
    <r>
      <rPr>
        <sz val="10"/>
        <color theme="1"/>
        <rFont val="微软雅黑"/>
        <family val="2"/>
        <charset val="134"/>
      </rPr>
      <t>控制器</t>
    </r>
    <phoneticPr fontId="41" type="noConversion"/>
  </si>
  <si>
    <r>
      <rPr>
        <sz val="10"/>
        <color theme="1"/>
        <rFont val="微软雅黑"/>
        <family val="2"/>
        <charset val="134"/>
      </rPr>
      <t>云柯</t>
    </r>
    <phoneticPr fontId="41" type="noConversion"/>
  </si>
  <si>
    <t>AC1KIT_WH_WH_US</t>
    <phoneticPr fontId="41" type="noConversion"/>
  </si>
  <si>
    <t>AC1-WH_EU</t>
    <phoneticPr fontId="41" type="noConversion"/>
  </si>
  <si>
    <t>AC1-B_EU</t>
    <phoneticPr fontId="41" type="noConversion"/>
  </si>
  <si>
    <t>ANA-WH_UK</t>
    <phoneticPr fontId="41" type="noConversion"/>
  </si>
  <si>
    <t>ANA-WH_EU</t>
    <phoneticPr fontId="41" type="noConversion"/>
  </si>
  <si>
    <t>AN6KIT-WH_SJ30ML</t>
    <phoneticPr fontId="41" type="noConversion"/>
  </si>
  <si>
    <t>AC1-B_US</t>
    <phoneticPr fontId="41" type="noConversion"/>
  </si>
  <si>
    <t>AC1-WH_US</t>
    <phoneticPr fontId="41" type="noConversion"/>
  </si>
  <si>
    <t>002000040</t>
    <phoneticPr fontId="41" type="noConversion"/>
  </si>
  <si>
    <r>
      <rPr>
        <sz val="10"/>
        <color theme="1"/>
        <rFont val="微软雅黑"/>
        <family val="2"/>
        <charset val="134"/>
      </rPr>
      <t>澳洲</t>
    </r>
    <r>
      <rPr>
        <sz val="10"/>
        <color theme="1"/>
        <rFont val="Aptos"/>
        <family val="2"/>
      </rPr>
      <t xml:space="preserve">M1 </t>
    </r>
    <r>
      <rPr>
        <sz val="10"/>
        <color theme="1"/>
        <rFont val="微软雅黑"/>
        <family val="2"/>
        <charset val="134"/>
      </rPr>
      <t>黑色</t>
    </r>
    <phoneticPr fontId="41" type="noConversion"/>
  </si>
  <si>
    <t>M1</t>
    <phoneticPr fontId="41" type="noConversion"/>
  </si>
  <si>
    <t>M1-B_AU</t>
    <phoneticPr fontId="41" type="noConversion"/>
  </si>
  <si>
    <r>
      <rPr>
        <sz val="10"/>
        <color theme="1"/>
        <rFont val="微软雅黑"/>
        <family val="2"/>
        <charset val="134"/>
      </rPr>
      <t>非智能</t>
    </r>
    <phoneticPr fontId="41" type="noConversion"/>
  </si>
  <si>
    <r>
      <rPr>
        <sz val="10"/>
        <color theme="1"/>
        <rFont val="微软雅黑"/>
        <family val="2"/>
        <charset val="134"/>
      </rPr>
      <t>中山市基信锁芯有限公司</t>
    </r>
    <phoneticPr fontId="41" type="noConversion"/>
  </si>
  <si>
    <t>200000004</t>
    <phoneticPr fontId="41" type="noConversion"/>
  </si>
  <si>
    <r>
      <rPr>
        <sz val="10"/>
        <color theme="1"/>
        <rFont val="微软雅黑"/>
        <family val="2"/>
        <charset val="134"/>
      </rPr>
      <t>芯片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无线模组</t>
    </r>
    <r>
      <rPr>
        <sz val="10"/>
        <color theme="1"/>
        <rFont val="Aptos"/>
        <family val="2"/>
      </rPr>
      <t xml:space="preserve"> BB901S Nordic nRF54L15</t>
    </r>
    <r>
      <rPr>
        <sz val="10"/>
        <color theme="1"/>
        <rFont val="微软雅黑"/>
        <family val="2"/>
        <charset val="134"/>
      </rPr>
      <t>板载天线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带屏蔽盖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大豆电子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内部型号</t>
    </r>
    <r>
      <rPr>
        <sz val="10"/>
        <color theme="1"/>
        <rFont val="Aptos"/>
        <family val="2"/>
      </rPr>
      <t>SLP-M08</t>
    </r>
    <phoneticPr fontId="41" type="noConversion"/>
  </si>
  <si>
    <t>CHIP</t>
    <phoneticPr fontId="41" type="noConversion"/>
  </si>
  <si>
    <t>CHIP-BB901S</t>
    <phoneticPr fontId="41" type="noConversion"/>
  </si>
  <si>
    <r>
      <rPr>
        <sz val="10"/>
        <color theme="1"/>
        <rFont val="微软雅黑"/>
        <family val="2"/>
        <charset val="134"/>
      </rPr>
      <t>芯片</t>
    </r>
    <phoneticPr fontId="41" type="noConversion"/>
  </si>
  <si>
    <r>
      <rPr>
        <sz val="10"/>
        <color theme="1"/>
        <rFont val="微软雅黑"/>
        <family val="2"/>
        <charset val="134"/>
      </rPr>
      <t>深圳市大豆电子有限公司</t>
    </r>
    <phoneticPr fontId="41" type="noConversion"/>
  </si>
  <si>
    <r>
      <rPr>
        <sz val="10"/>
        <color theme="1"/>
        <rFont val="微软雅黑"/>
        <family val="2"/>
        <charset val="134"/>
      </rPr>
      <t>大豆电子</t>
    </r>
    <phoneticPr fontId="41" type="noConversion"/>
  </si>
  <si>
    <t>G1-DT</t>
    <phoneticPr fontId="41" type="noConversion"/>
  </si>
  <si>
    <t>G1</t>
    <phoneticPr fontId="41" type="noConversion"/>
  </si>
  <si>
    <t>G1-SILV</t>
    <phoneticPr fontId="41" type="noConversion"/>
  </si>
  <si>
    <t>G1-B</t>
    <phoneticPr fontId="41" type="noConversion"/>
  </si>
  <si>
    <t>ANAKIT-B_US_2X100K02</t>
    <phoneticPr fontId="41" type="noConversion"/>
  </si>
  <si>
    <t>ANAKIT-WH_US_2X100K02</t>
    <phoneticPr fontId="41" type="noConversion"/>
  </si>
  <si>
    <t>AN8KIT-B_4X10K01</t>
    <phoneticPr fontId="41" type="noConversion"/>
  </si>
  <si>
    <t>AN8KIT-B_B</t>
    <phoneticPr fontId="41" type="noConversion"/>
  </si>
  <si>
    <t>AN8-B</t>
    <phoneticPr fontId="41" type="noConversion"/>
  </si>
  <si>
    <t>RZ-500ML</t>
    <phoneticPr fontId="41" type="noConversion"/>
  </si>
  <si>
    <r>
      <t xml:space="preserve">X3-SILV </t>
    </r>
    <r>
      <rPr>
        <sz val="10"/>
        <color theme="1"/>
        <rFont val="微软雅黑"/>
        <family val="2"/>
        <charset val="134"/>
      </rPr>
      <t>智能入户门锁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银色</t>
    </r>
    <phoneticPr fontId="41" type="noConversion"/>
  </si>
  <si>
    <t>X3</t>
    <phoneticPr fontId="41" type="noConversion"/>
  </si>
  <si>
    <t>X3-SLIV</t>
    <phoneticPr fontId="41" type="noConversion"/>
  </si>
  <si>
    <t>X3-SG</t>
    <phoneticPr fontId="41" type="noConversion"/>
  </si>
  <si>
    <t>X3-B</t>
    <phoneticPr fontId="41" type="noConversion"/>
  </si>
  <si>
    <t>AH1B-WH_EU</t>
    <phoneticPr fontId="41" type="noConversion"/>
  </si>
  <si>
    <r>
      <rPr>
        <sz val="10"/>
        <color theme="1"/>
        <rFont val="微软雅黑"/>
        <family val="2"/>
        <charset val="134"/>
      </rPr>
      <t>智能加湿器</t>
    </r>
    <phoneticPr fontId="41" type="noConversion"/>
  </si>
  <si>
    <r>
      <rPr>
        <sz val="10"/>
        <color theme="1"/>
        <rFont val="微软雅黑"/>
        <family val="2"/>
        <charset val="134"/>
      </rPr>
      <t>泰坦</t>
    </r>
    <phoneticPr fontId="41" type="noConversion"/>
  </si>
  <si>
    <t>AH1B-WH_US</t>
    <phoneticPr fontId="41" type="noConversion"/>
  </si>
  <si>
    <t>AN6KIT-WH_4X10ML</t>
    <phoneticPr fontId="41" type="noConversion"/>
  </si>
  <si>
    <t>AN6KIT-B_4X10ML</t>
    <phoneticPr fontId="41" type="noConversion"/>
  </si>
  <si>
    <t>ANXKIT-T_4X10ML</t>
    <phoneticPr fontId="41" type="noConversion"/>
  </si>
  <si>
    <t>ANXKIT-B_4X10ML</t>
    <phoneticPr fontId="41" type="noConversion"/>
  </si>
  <si>
    <t>A-MWAY-100</t>
    <phoneticPr fontId="41" type="noConversion"/>
  </si>
  <si>
    <t>A-JY-100</t>
    <phoneticPr fontId="41" type="noConversion"/>
  </si>
  <si>
    <t>A-SJ-100</t>
    <phoneticPr fontId="41" type="noConversion"/>
  </si>
  <si>
    <t>A-WHOTEL-100</t>
    <phoneticPr fontId="41" type="noConversion"/>
  </si>
  <si>
    <t>A-Hotel-6x10</t>
    <phoneticPr fontId="41" type="noConversion"/>
  </si>
  <si>
    <t>AN6-LV</t>
    <phoneticPr fontId="41" type="noConversion"/>
  </si>
  <si>
    <t>AN6-G</t>
    <phoneticPr fontId="41" type="noConversion"/>
  </si>
  <si>
    <t>ANP</t>
    <phoneticPr fontId="41" type="noConversion"/>
  </si>
  <si>
    <t>ANP-W_US</t>
    <phoneticPr fontId="41" type="noConversion"/>
  </si>
  <si>
    <t>ANP-B_US</t>
    <phoneticPr fontId="41" type="noConversion"/>
  </si>
  <si>
    <t>ANA-W_US</t>
    <phoneticPr fontId="41" type="noConversion"/>
  </si>
  <si>
    <t>ANA-B_US</t>
    <phoneticPr fontId="41" type="noConversion"/>
  </si>
  <si>
    <t>AND</t>
    <phoneticPr fontId="41" type="noConversion"/>
  </si>
  <si>
    <t>AND-SILV</t>
    <phoneticPr fontId="41" type="noConversion"/>
  </si>
  <si>
    <t>AND-GD</t>
    <phoneticPr fontId="41" type="noConversion"/>
  </si>
  <si>
    <t>AN6-YG</t>
    <phoneticPr fontId="41" type="noConversion"/>
  </si>
  <si>
    <t>AND-SG</t>
    <phoneticPr fontId="41" type="noConversion"/>
  </si>
  <si>
    <t>AND-RP</t>
    <phoneticPr fontId="41" type="noConversion"/>
  </si>
  <si>
    <t>AND-MT</t>
    <phoneticPr fontId="41" type="noConversion"/>
  </si>
  <si>
    <t>AND-LV</t>
    <phoneticPr fontId="41" type="noConversion"/>
  </si>
  <si>
    <t>AND-IB</t>
    <phoneticPr fontId="41" type="noConversion"/>
  </si>
  <si>
    <t>AND-G</t>
    <phoneticPr fontId="41" type="noConversion"/>
  </si>
  <si>
    <t>AND-DT</t>
    <phoneticPr fontId="41" type="noConversion"/>
  </si>
  <si>
    <t>AND-BL</t>
    <phoneticPr fontId="41" type="noConversion"/>
  </si>
  <si>
    <t>AND-B</t>
    <phoneticPr fontId="41" type="noConversion"/>
  </si>
  <si>
    <t>AN9KIT-B_RZ30ml</t>
    <phoneticPr fontId="41" type="noConversion"/>
  </si>
  <si>
    <t>ANXKIT-GD_RZ30ml</t>
    <phoneticPr fontId="41" type="noConversion"/>
  </si>
  <si>
    <t>ANXKIT-B_RZ30ml</t>
    <phoneticPr fontId="41" type="noConversion"/>
  </si>
  <si>
    <t>AN6KIT-B_RZ30ml</t>
    <phoneticPr fontId="41" type="noConversion"/>
  </si>
  <si>
    <t>002000039</t>
    <phoneticPr fontId="41" type="noConversion"/>
  </si>
  <si>
    <r>
      <rPr>
        <sz val="10"/>
        <color theme="1"/>
        <rFont val="微软雅黑"/>
        <family val="2"/>
        <charset val="134"/>
      </rPr>
      <t>澳洲</t>
    </r>
    <r>
      <rPr>
        <sz val="10"/>
        <color theme="1"/>
        <rFont val="Aptos"/>
        <family val="2"/>
      </rPr>
      <t xml:space="preserve">MK1 </t>
    </r>
    <r>
      <rPr>
        <sz val="10"/>
        <color theme="1"/>
        <rFont val="微软雅黑"/>
        <family val="2"/>
        <charset val="134"/>
      </rPr>
      <t>银色</t>
    </r>
    <phoneticPr fontId="41" type="noConversion"/>
  </si>
  <si>
    <t>MK1</t>
    <phoneticPr fontId="41" type="noConversion"/>
  </si>
  <si>
    <t>MK1-SILV_AU</t>
    <phoneticPr fontId="41" type="noConversion"/>
  </si>
  <si>
    <r>
      <rPr>
        <sz val="10"/>
        <color theme="1"/>
        <rFont val="微软雅黑"/>
        <family val="2"/>
        <charset val="134"/>
      </rPr>
      <t>智能内门锁</t>
    </r>
    <phoneticPr fontId="41" type="noConversion"/>
  </si>
  <si>
    <t>ANX-2PC-BGD</t>
    <phoneticPr fontId="41" type="noConversion"/>
  </si>
  <si>
    <t>ANX-2PC-BS</t>
    <phoneticPr fontId="41" type="noConversion"/>
  </si>
  <si>
    <t>A-MT-100</t>
    <phoneticPr fontId="41" type="noConversion"/>
  </si>
  <si>
    <t>X1-SILV</t>
    <phoneticPr fontId="41" type="noConversion"/>
  </si>
  <si>
    <t>X1-SG</t>
    <phoneticPr fontId="41" type="noConversion"/>
  </si>
  <si>
    <t>ES1-AC</t>
    <phoneticPr fontId="41" type="noConversion"/>
  </si>
  <si>
    <t>ES1-TJB</t>
    <phoneticPr fontId="41" type="noConversion"/>
  </si>
  <si>
    <r>
      <rPr>
        <sz val="10"/>
        <color theme="1"/>
        <rFont val="微软雅黑"/>
        <family val="2"/>
        <charset val="134"/>
      </rPr>
      <t>泡沫机</t>
    </r>
    <phoneticPr fontId="41" type="noConversion"/>
  </si>
  <si>
    <r>
      <rPr>
        <sz val="10"/>
        <color theme="1"/>
        <rFont val="微软雅黑"/>
        <family val="2"/>
        <charset val="134"/>
      </rPr>
      <t>泡沫机配件</t>
    </r>
    <phoneticPr fontId="41" type="noConversion"/>
  </si>
  <si>
    <r>
      <rPr>
        <sz val="10"/>
        <color theme="1"/>
        <rFont val="微软雅黑"/>
        <family val="2"/>
        <charset val="134"/>
      </rPr>
      <t>乐泡</t>
    </r>
    <phoneticPr fontId="41" type="noConversion"/>
  </si>
  <si>
    <t>ES1-TJW</t>
    <phoneticPr fontId="41" type="noConversion"/>
  </si>
  <si>
    <t>001000057</t>
    <phoneticPr fontId="41" type="noConversion"/>
  </si>
  <si>
    <t>ANW-AC</t>
    <phoneticPr fontId="41" type="noConversion"/>
  </si>
  <si>
    <t>ANW-Bbot</t>
    <phoneticPr fontId="41" type="noConversion"/>
  </si>
  <si>
    <t>001000056</t>
    <phoneticPr fontId="41" type="noConversion"/>
  </si>
  <si>
    <t>ANW-Wbot</t>
    <phoneticPr fontId="41" type="noConversion"/>
  </si>
  <si>
    <t>ES1-Bkit</t>
    <phoneticPr fontId="41" type="noConversion"/>
  </si>
  <si>
    <r>
      <rPr>
        <sz val="10"/>
        <color theme="1"/>
        <rFont val="微软雅黑"/>
        <family val="2"/>
        <charset val="134"/>
      </rPr>
      <t>泡沫机套装</t>
    </r>
    <phoneticPr fontId="41" type="noConversion"/>
  </si>
  <si>
    <t>ES1-Wkit</t>
    <phoneticPr fontId="41" type="noConversion"/>
  </si>
  <si>
    <t>001000055</t>
    <phoneticPr fontId="41" type="noConversion"/>
  </si>
  <si>
    <t>AN7</t>
    <phoneticPr fontId="41" type="noConversion"/>
  </si>
  <si>
    <t>AN7-LB</t>
    <phoneticPr fontId="41" type="noConversion"/>
  </si>
  <si>
    <t>001000054</t>
    <phoneticPr fontId="41" type="noConversion"/>
  </si>
  <si>
    <t>AN7-GL</t>
    <phoneticPr fontId="41" type="noConversion"/>
  </si>
  <si>
    <t>ES1-Bot</t>
    <phoneticPr fontId="41" type="noConversion"/>
  </si>
  <si>
    <t>006000025</t>
    <phoneticPr fontId="41" type="noConversion"/>
  </si>
  <si>
    <t>A-HT-100</t>
    <phoneticPr fontId="41" type="noConversion"/>
  </si>
  <si>
    <t>ANX-2PC-BB</t>
    <phoneticPr fontId="41" type="noConversion"/>
  </si>
  <si>
    <t>ANX-SG</t>
    <phoneticPr fontId="41" type="noConversion"/>
  </si>
  <si>
    <t>ANX-RP</t>
    <phoneticPr fontId="41" type="noConversion"/>
  </si>
  <si>
    <t>ANX-IB</t>
    <phoneticPr fontId="41" type="noConversion"/>
  </si>
  <si>
    <t>ANX-MT</t>
    <phoneticPr fontId="41" type="noConversion"/>
  </si>
  <si>
    <t>ANX-GD</t>
    <phoneticPr fontId="41" type="noConversion"/>
  </si>
  <si>
    <t>ANX-SILV</t>
    <phoneticPr fontId="41" type="noConversion"/>
  </si>
  <si>
    <t>ANX-B</t>
    <phoneticPr fontId="41" type="noConversion"/>
  </si>
  <si>
    <t>AN2(9)-SG</t>
    <phoneticPr fontId="41" type="noConversion"/>
  </si>
  <si>
    <t>AN2(9)-RP</t>
    <phoneticPr fontId="41" type="noConversion"/>
  </si>
  <si>
    <t>AN2(9)-IB</t>
    <phoneticPr fontId="41" type="noConversion"/>
  </si>
  <si>
    <t>AN2(9)-DT</t>
    <phoneticPr fontId="41" type="noConversion"/>
  </si>
  <si>
    <t>AN6-LB</t>
    <phoneticPr fontId="41" type="noConversion"/>
  </si>
  <si>
    <t>AN6-GL</t>
    <phoneticPr fontId="41" type="noConversion"/>
  </si>
  <si>
    <t>AN3(5)-SG</t>
    <phoneticPr fontId="41" type="noConversion"/>
  </si>
  <si>
    <t>AN3(5)-RP</t>
    <phoneticPr fontId="41" type="noConversion"/>
  </si>
  <si>
    <t>AN3(5)-IB</t>
    <phoneticPr fontId="41" type="noConversion"/>
  </si>
  <si>
    <t>AN3(5)-DT</t>
    <phoneticPr fontId="41" type="noConversion"/>
  </si>
  <si>
    <r>
      <t xml:space="preserve">AN1US-WH </t>
    </r>
    <r>
      <rPr>
        <sz val="10"/>
        <color theme="1"/>
        <rFont val="微软雅黑"/>
        <family val="2"/>
        <charset val="134"/>
      </rPr>
      <t>便携式扩香仪</t>
    </r>
    <r>
      <rPr>
        <sz val="10"/>
        <color theme="1"/>
        <rFont val="Aptos"/>
        <family val="2"/>
      </rPr>
      <t>-</t>
    </r>
    <r>
      <rPr>
        <sz val="10"/>
        <color theme="1"/>
        <rFont val="微软雅黑"/>
        <family val="2"/>
        <charset val="134"/>
      </rPr>
      <t>美规</t>
    </r>
    <r>
      <rPr>
        <sz val="10"/>
        <color theme="1"/>
        <rFont val="Aptos"/>
        <family val="2"/>
      </rPr>
      <t>-</t>
    </r>
    <r>
      <rPr>
        <sz val="10"/>
        <color theme="1"/>
        <rFont val="微软雅黑"/>
        <family val="2"/>
        <charset val="134"/>
      </rPr>
      <t>白色</t>
    </r>
    <phoneticPr fontId="41" type="noConversion"/>
  </si>
  <si>
    <t>AN1</t>
    <phoneticPr fontId="41" type="noConversion"/>
  </si>
  <si>
    <t>AN1US-WH</t>
    <phoneticPr fontId="41" type="noConversion"/>
  </si>
  <si>
    <r>
      <rPr>
        <sz val="10"/>
        <color theme="1"/>
        <rFont val="微软雅黑"/>
        <family val="2"/>
        <charset val="134"/>
      </rPr>
      <t>普罗米斯</t>
    </r>
    <phoneticPr fontId="41" type="noConversion"/>
  </si>
  <si>
    <t>ANX-DT</t>
    <phoneticPr fontId="41" type="noConversion"/>
  </si>
  <si>
    <t>ES1-B</t>
    <phoneticPr fontId="41" type="noConversion"/>
  </si>
  <si>
    <r>
      <rPr>
        <sz val="10"/>
        <color theme="1"/>
        <rFont val="微软雅黑"/>
        <family val="2"/>
        <charset val="134"/>
      </rPr>
      <t>泡沫机单机</t>
    </r>
    <phoneticPr fontId="41" type="noConversion"/>
  </si>
  <si>
    <t>008000001</t>
    <phoneticPr fontId="41" type="noConversion"/>
  </si>
  <si>
    <t>AN7-BB</t>
    <phoneticPr fontId="41" type="noConversion"/>
  </si>
  <si>
    <t>X1-B</t>
    <phoneticPr fontId="41" type="noConversion"/>
  </si>
  <si>
    <t>001000033</t>
    <phoneticPr fontId="41" type="noConversion"/>
  </si>
  <si>
    <t>ANW-W</t>
    <phoneticPr fontId="41" type="noConversion"/>
  </si>
  <si>
    <t>001000032</t>
    <phoneticPr fontId="41" type="noConversion"/>
  </si>
  <si>
    <t>ANW-B</t>
    <phoneticPr fontId="41" type="noConversion"/>
  </si>
  <si>
    <t>002000038</t>
    <phoneticPr fontId="41" type="noConversion"/>
  </si>
  <si>
    <t>MD1-SILV</t>
    <phoneticPr fontId="41" type="noConversion"/>
  </si>
  <si>
    <t>002000037</t>
    <phoneticPr fontId="41" type="noConversion"/>
  </si>
  <si>
    <t>M1-SILV</t>
    <phoneticPr fontId="41" type="noConversion"/>
  </si>
  <si>
    <t>002000036</t>
    <phoneticPr fontId="41" type="noConversion"/>
  </si>
  <si>
    <r>
      <rPr>
        <sz val="10"/>
        <color theme="1"/>
        <rFont val="微软雅黑"/>
        <family val="2"/>
        <charset val="134"/>
      </rPr>
      <t>澳洲</t>
    </r>
    <r>
      <rPr>
        <sz val="10"/>
        <color theme="1"/>
        <rFont val="Aptos"/>
        <family val="2"/>
      </rPr>
      <t xml:space="preserve">MK1 </t>
    </r>
    <r>
      <rPr>
        <sz val="10"/>
        <color theme="1"/>
        <rFont val="微软雅黑"/>
        <family val="2"/>
        <charset val="134"/>
      </rPr>
      <t>钛色</t>
    </r>
    <phoneticPr fontId="41" type="noConversion"/>
  </si>
  <si>
    <t>MK1-T_AU</t>
    <phoneticPr fontId="41" type="noConversion"/>
  </si>
  <si>
    <t>002000035</t>
    <phoneticPr fontId="41" type="noConversion"/>
  </si>
  <si>
    <r>
      <rPr>
        <sz val="10"/>
        <color theme="1"/>
        <rFont val="微软雅黑"/>
        <family val="2"/>
        <charset val="134"/>
      </rPr>
      <t>澳洲</t>
    </r>
    <r>
      <rPr>
        <sz val="10"/>
        <color theme="1"/>
        <rFont val="Aptos"/>
        <family val="2"/>
      </rPr>
      <t xml:space="preserve">MK1 </t>
    </r>
    <r>
      <rPr>
        <sz val="10"/>
        <color theme="1"/>
        <rFont val="微软雅黑"/>
        <family val="2"/>
        <charset val="134"/>
      </rPr>
      <t>黑色</t>
    </r>
    <phoneticPr fontId="41" type="noConversion"/>
  </si>
  <si>
    <t>MK1-B_AU</t>
    <phoneticPr fontId="41" type="noConversion"/>
  </si>
  <si>
    <r>
      <t>M-AC M</t>
    </r>
    <r>
      <rPr>
        <sz val="10"/>
        <color theme="1"/>
        <rFont val="微软雅黑"/>
        <family val="2"/>
        <charset val="134"/>
      </rPr>
      <t>系列适配厚门配件</t>
    </r>
    <phoneticPr fontId="41" type="noConversion"/>
  </si>
  <si>
    <t>M-AC</t>
    <phoneticPr fontId="41" type="noConversion"/>
  </si>
  <si>
    <t>A-RZ3-100</t>
    <phoneticPr fontId="41" type="noConversion"/>
  </si>
  <si>
    <t>A-RM-100</t>
    <phoneticPr fontId="41" type="noConversion"/>
  </si>
  <si>
    <t>011000002</t>
    <phoneticPr fontId="41" type="noConversion"/>
  </si>
  <si>
    <r>
      <rPr>
        <sz val="10"/>
        <color theme="1"/>
        <rFont val="微软雅黑"/>
        <family val="2"/>
        <charset val="134"/>
      </rPr>
      <t>芯片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意法半导体</t>
    </r>
    <r>
      <rPr>
        <sz val="10"/>
        <color theme="1"/>
        <rFont val="Aptos"/>
        <family val="2"/>
      </rPr>
      <t xml:space="preserve"> ST25R3916B-AQWT</t>
    </r>
    <r>
      <rPr>
        <sz val="10"/>
        <color theme="1"/>
        <rFont val="微软雅黑"/>
        <family val="2"/>
        <charset val="134"/>
      </rPr>
      <t>，</t>
    </r>
    <r>
      <rPr>
        <sz val="10"/>
        <color theme="1"/>
        <rFont val="Aptos"/>
        <family val="2"/>
      </rPr>
      <t>NFC</t>
    </r>
    <r>
      <rPr>
        <sz val="10"/>
        <color theme="1"/>
        <rFont val="微软雅黑"/>
        <family val="2"/>
        <charset val="134"/>
      </rPr>
      <t>读卡器</t>
    </r>
    <r>
      <rPr>
        <sz val="10"/>
        <color theme="1"/>
        <rFont val="Aptos"/>
        <family val="2"/>
      </rPr>
      <t>IC</t>
    </r>
    <r>
      <rPr>
        <sz val="10"/>
        <color theme="1"/>
        <rFont val="微软雅黑"/>
        <family val="2"/>
        <charset val="134"/>
      </rPr>
      <t>，</t>
    </r>
    <r>
      <rPr>
        <sz val="10"/>
        <color theme="1"/>
        <rFont val="Aptos"/>
        <family val="2"/>
      </rPr>
      <t>VFQFPN32</t>
    </r>
    <r>
      <rPr>
        <sz val="10"/>
        <color theme="1"/>
        <rFont val="微软雅黑"/>
        <family val="2"/>
        <charset val="134"/>
      </rPr>
      <t>，厦门安桥智联科技有限公司</t>
    </r>
    <phoneticPr fontId="41" type="noConversion"/>
  </si>
  <si>
    <t>CHIP-ST3916B</t>
    <phoneticPr fontId="41" type="noConversion"/>
  </si>
  <si>
    <r>
      <rPr>
        <sz val="10"/>
        <color theme="1"/>
        <rFont val="微软雅黑"/>
        <family val="2"/>
        <charset val="134"/>
      </rPr>
      <t>厦门安桥智联科技有限公司</t>
    </r>
    <phoneticPr fontId="41" type="noConversion"/>
  </si>
  <si>
    <r>
      <rPr>
        <sz val="10"/>
        <color theme="1"/>
        <rFont val="微软雅黑"/>
        <family val="2"/>
        <charset val="134"/>
      </rPr>
      <t>安桥智联</t>
    </r>
    <phoneticPr fontId="41" type="noConversion"/>
  </si>
  <si>
    <t>MK1-SILV</t>
    <phoneticPr fontId="41" type="noConversion"/>
  </si>
  <si>
    <t>MK1-T</t>
    <phoneticPr fontId="41" type="noConversion"/>
  </si>
  <si>
    <t>MK1-B</t>
    <phoneticPr fontId="41" type="noConversion"/>
  </si>
  <si>
    <t>AN6B-NZB</t>
    <phoneticPr fontId="41" type="noConversion"/>
  </si>
  <si>
    <t>AN6-2PC-BW</t>
    <phoneticPr fontId="41" type="noConversion"/>
  </si>
  <si>
    <t>AN6-2PC-BB</t>
    <phoneticPr fontId="41" type="noConversion"/>
  </si>
  <si>
    <t>AN8NZ-B</t>
    <phoneticPr fontId="25" type="noConversion"/>
  </si>
  <si>
    <t>AN8NZ-B</t>
    <phoneticPr fontId="41" type="noConversion"/>
  </si>
  <si>
    <t>AN7-W</t>
    <phoneticPr fontId="41" type="noConversion"/>
  </si>
  <si>
    <t>AN7-B</t>
    <phoneticPr fontId="41" type="noConversion"/>
  </si>
  <si>
    <t>AP2US-H14</t>
    <phoneticPr fontId="41" type="noConversion"/>
  </si>
  <si>
    <r>
      <rPr>
        <sz val="10"/>
        <color theme="1"/>
        <rFont val="微软雅黑"/>
        <family val="2"/>
        <charset val="134"/>
      </rPr>
      <t>智能空气净化器</t>
    </r>
    <phoneticPr fontId="41" type="noConversion"/>
  </si>
  <si>
    <r>
      <rPr>
        <sz val="10"/>
        <color theme="1"/>
        <rFont val="微软雅黑"/>
        <family val="2"/>
        <charset val="134"/>
      </rPr>
      <t>普瑞</t>
    </r>
    <phoneticPr fontId="41" type="noConversion"/>
  </si>
  <si>
    <t>AP2UK-H14</t>
    <phoneticPr fontId="41" type="noConversion"/>
  </si>
  <si>
    <t>T1W-4PC</t>
    <phoneticPr fontId="41" type="noConversion"/>
  </si>
  <si>
    <r>
      <rPr>
        <sz val="10"/>
        <color theme="1"/>
        <rFont val="微软雅黑"/>
        <family val="2"/>
        <charset val="134"/>
      </rPr>
      <t>防丢器</t>
    </r>
    <phoneticPr fontId="41" type="noConversion"/>
  </si>
  <si>
    <t>Wireless</t>
    <phoneticPr fontId="41" type="noConversion"/>
  </si>
  <si>
    <r>
      <rPr>
        <sz val="10"/>
        <color theme="1"/>
        <rFont val="微软雅黑"/>
        <family val="2"/>
        <charset val="134"/>
      </rPr>
      <t>瑞福莱</t>
    </r>
    <phoneticPr fontId="41" type="noConversion"/>
  </si>
  <si>
    <t>T1W-2PC</t>
    <phoneticPr fontId="41" type="noConversion"/>
  </si>
  <si>
    <t>T1W-1PC</t>
    <phoneticPr fontId="41" type="noConversion"/>
  </si>
  <si>
    <t>T1B-4PC</t>
    <phoneticPr fontId="41" type="noConversion"/>
  </si>
  <si>
    <t>T1B-2PC</t>
    <phoneticPr fontId="41" type="noConversion"/>
  </si>
  <si>
    <t>T1B-1PC</t>
    <phoneticPr fontId="41" type="noConversion"/>
  </si>
  <si>
    <t>MD1-T</t>
    <phoneticPr fontId="41" type="noConversion"/>
  </si>
  <si>
    <t>MD1-B</t>
    <phoneticPr fontId="41" type="noConversion"/>
  </si>
  <si>
    <t>M1-T</t>
    <phoneticPr fontId="41" type="noConversion"/>
  </si>
  <si>
    <t>M1-B</t>
    <phoneticPr fontId="41" type="noConversion"/>
  </si>
  <si>
    <t>ORING-2PC</t>
    <phoneticPr fontId="41" type="noConversion"/>
  </si>
  <si>
    <t>A-Oil-6x10</t>
    <phoneticPr fontId="41" type="noConversion"/>
  </si>
  <si>
    <t>A-LV-100</t>
    <phoneticPr fontId="41" type="noConversion"/>
  </si>
  <si>
    <t>A-PMT-100</t>
    <phoneticPr fontId="41" type="noConversion"/>
  </si>
  <si>
    <t>A-SWTO-100</t>
    <phoneticPr fontId="41" type="noConversion"/>
  </si>
  <si>
    <t>A-PMT-10</t>
    <phoneticPr fontId="41" type="noConversion"/>
  </si>
  <si>
    <t>AN6-AC</t>
    <phoneticPr fontId="41" type="noConversion"/>
  </si>
  <si>
    <t>AN6NZ-W</t>
    <phoneticPr fontId="41" type="noConversion"/>
  </si>
  <si>
    <t>AN6NZ-B</t>
    <phoneticPr fontId="41" type="noConversion"/>
  </si>
  <si>
    <t>AN6-W</t>
    <phoneticPr fontId="41" type="noConversion"/>
  </si>
  <si>
    <t>AN6-B</t>
    <phoneticPr fontId="41" type="noConversion"/>
  </si>
  <si>
    <t>200000006</t>
    <phoneticPr fontId="41" type="noConversion"/>
  </si>
  <si>
    <r>
      <rPr>
        <sz val="10"/>
        <color theme="1"/>
        <rFont val="微软雅黑"/>
        <family val="2"/>
        <charset val="134"/>
      </rPr>
      <t>芯片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无线模组</t>
    </r>
    <r>
      <rPr>
        <sz val="10"/>
        <color theme="1"/>
        <rFont val="Aptos"/>
        <family val="2"/>
      </rPr>
      <t xml:space="preserve"> BB840FS </t>
    </r>
    <r>
      <rPr>
        <sz val="10"/>
        <color theme="1"/>
        <rFont val="微软雅黑"/>
        <family val="2"/>
        <charset val="134"/>
      </rPr>
      <t>板载天线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带屏蔽盖</t>
    </r>
    <r>
      <rPr>
        <sz val="10"/>
        <color theme="1"/>
        <rFont val="Aptos"/>
        <family val="2"/>
      </rPr>
      <t xml:space="preserve"> NRF52840 </t>
    </r>
    <r>
      <rPr>
        <sz val="10"/>
        <color theme="1"/>
        <rFont val="微软雅黑"/>
        <family val="2"/>
        <charset val="134"/>
      </rPr>
      <t>深圳大豆电子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内部型号</t>
    </r>
    <r>
      <rPr>
        <sz val="10"/>
        <color theme="1"/>
        <rFont val="Aptos"/>
        <family val="2"/>
      </rPr>
      <t>SLP-M06</t>
    </r>
    <phoneticPr fontId="41" type="noConversion"/>
  </si>
  <si>
    <t>CHIP-BB840FS</t>
    <phoneticPr fontId="41" type="noConversion"/>
  </si>
  <si>
    <t>AP2UK-H13</t>
    <phoneticPr fontId="41" type="noConversion"/>
  </si>
  <si>
    <t>AP2US-H13</t>
    <phoneticPr fontId="41" type="noConversion"/>
  </si>
  <si>
    <t>AN3(5)-AC</t>
    <phoneticPr fontId="41" type="noConversion"/>
  </si>
  <si>
    <t>AN2/3Bot</t>
    <phoneticPr fontId="41" type="noConversion"/>
  </si>
  <si>
    <t>AN3(5)-GD</t>
    <phoneticPr fontId="41" type="noConversion"/>
  </si>
  <si>
    <t>AN3(5)-LM</t>
    <phoneticPr fontId="41" type="noConversion"/>
  </si>
  <si>
    <t>AN3(5)-SILV</t>
    <phoneticPr fontId="41" type="noConversion"/>
  </si>
  <si>
    <t>AN3(5)-BL</t>
    <phoneticPr fontId="41" type="noConversion"/>
  </si>
  <si>
    <t>AN3(5)-B</t>
    <phoneticPr fontId="41" type="noConversion"/>
  </si>
  <si>
    <t>AN2(9)-LV</t>
    <phoneticPr fontId="41" type="noConversion"/>
  </si>
  <si>
    <t>AN2(9)-G</t>
    <phoneticPr fontId="41" type="noConversion"/>
  </si>
  <si>
    <t>AN2(9)-BL</t>
    <phoneticPr fontId="41" type="noConversion"/>
  </si>
  <si>
    <t>AH1US-BL</t>
    <phoneticPr fontId="41" type="noConversion"/>
  </si>
  <si>
    <t>AH1UK-C</t>
    <phoneticPr fontId="41" type="noConversion"/>
  </si>
  <si>
    <t>AH1US-C</t>
    <phoneticPr fontId="41" type="noConversion"/>
  </si>
  <si>
    <t>AH1UK-G</t>
    <phoneticPr fontId="41" type="noConversion"/>
  </si>
  <si>
    <t>AH1US-G</t>
    <phoneticPr fontId="41" type="noConversion"/>
  </si>
  <si>
    <t>AN2(9)-MT</t>
    <phoneticPr fontId="41" type="noConversion"/>
  </si>
  <si>
    <t>K1B-3PCS</t>
    <phoneticPr fontId="41" type="noConversion"/>
  </si>
  <si>
    <r>
      <rPr>
        <sz val="10"/>
        <color theme="1"/>
        <rFont val="微软雅黑"/>
        <family val="2"/>
        <charset val="134"/>
      </rPr>
      <t>皇鼎</t>
    </r>
    <phoneticPr fontId="41" type="noConversion"/>
  </si>
  <si>
    <t>H2-SILV</t>
    <phoneticPr fontId="41" type="noConversion"/>
  </si>
  <si>
    <t>H2-G</t>
    <phoneticPr fontId="41" type="noConversion"/>
  </si>
  <si>
    <t>H2-S</t>
    <phoneticPr fontId="41" type="noConversion"/>
  </si>
  <si>
    <t>H2-B</t>
    <phoneticPr fontId="41" type="noConversion"/>
  </si>
  <si>
    <t>001000007</t>
    <phoneticPr fontId="41" type="noConversion"/>
  </si>
  <si>
    <t>AN2(9)-B</t>
    <phoneticPr fontId="41" type="noConversion"/>
  </si>
  <si>
    <t>H1-SILV</t>
    <phoneticPr fontId="41" type="noConversion"/>
  </si>
  <si>
    <t>011000001</t>
    <phoneticPr fontId="41" type="noConversion"/>
  </si>
  <si>
    <r>
      <rPr>
        <sz val="10"/>
        <color theme="1"/>
        <rFont val="微软雅黑"/>
        <family val="2"/>
        <charset val="134"/>
      </rPr>
      <t>芯片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盛思睿</t>
    </r>
    <r>
      <rPr>
        <sz val="10"/>
        <color theme="1"/>
        <rFont val="Aptos"/>
        <family val="2"/>
      </rPr>
      <t xml:space="preserve"> SHT40 </t>
    </r>
    <r>
      <rPr>
        <sz val="10"/>
        <color theme="1"/>
        <rFont val="微软雅黑"/>
        <family val="2"/>
        <charset val="134"/>
      </rPr>
      <t>高精度超低功耗温湿度传感器，上海贝能电子</t>
    </r>
    <phoneticPr fontId="41" type="noConversion"/>
  </si>
  <si>
    <t>CHIP-SHT40</t>
    <phoneticPr fontId="41" type="noConversion"/>
  </si>
  <si>
    <r>
      <rPr>
        <sz val="10"/>
        <color theme="1"/>
        <rFont val="微软雅黑"/>
        <family val="2"/>
        <charset val="134"/>
      </rPr>
      <t>贝能电子（上海）有限公司</t>
    </r>
    <phoneticPr fontId="41" type="noConversion"/>
  </si>
  <si>
    <r>
      <rPr>
        <sz val="10"/>
        <color theme="1"/>
        <rFont val="微软雅黑"/>
        <family val="2"/>
        <charset val="134"/>
      </rPr>
      <t>贝能电子</t>
    </r>
    <phoneticPr fontId="41" type="noConversion"/>
  </si>
  <si>
    <t>AP2F-H14</t>
    <phoneticPr fontId="41" type="noConversion"/>
  </si>
  <si>
    <r>
      <rPr>
        <sz val="10"/>
        <color theme="1"/>
        <rFont val="微软雅黑"/>
        <family val="2"/>
        <charset val="134"/>
      </rPr>
      <t>智能空气净化器配件</t>
    </r>
    <phoneticPr fontId="41" type="noConversion"/>
  </si>
  <si>
    <t>K1-G</t>
    <phoneticPr fontId="41" type="noConversion"/>
  </si>
  <si>
    <t>HK1-S</t>
    <phoneticPr fontId="41" type="noConversion"/>
  </si>
  <si>
    <t>HK1-B</t>
    <phoneticPr fontId="41" type="noConversion"/>
  </si>
  <si>
    <t>H1-G</t>
    <phoneticPr fontId="41" type="noConversion"/>
  </si>
  <si>
    <t>H1-S</t>
    <phoneticPr fontId="41" type="noConversion"/>
  </si>
  <si>
    <t>H1-B</t>
    <phoneticPr fontId="41" type="noConversion"/>
  </si>
  <si>
    <t>K1-SILV</t>
    <phoneticPr fontId="41" type="noConversion"/>
  </si>
  <si>
    <t>K1-S+S</t>
    <phoneticPr fontId="41" type="noConversion"/>
  </si>
  <si>
    <t>K1-B+B</t>
    <phoneticPr fontId="41" type="noConversion"/>
  </si>
  <si>
    <t>AP2-AC</t>
    <phoneticPr fontId="41" type="noConversion"/>
  </si>
  <si>
    <t>AP1F</t>
    <phoneticPr fontId="41" type="noConversion"/>
  </si>
  <si>
    <r>
      <rPr>
        <sz val="10"/>
        <color theme="1"/>
        <rFont val="微软雅黑"/>
        <family val="2"/>
        <charset val="134"/>
      </rPr>
      <t>空气净化器</t>
    </r>
    <phoneticPr fontId="41" type="noConversion"/>
  </si>
  <si>
    <r>
      <rPr>
        <sz val="10"/>
        <color theme="1"/>
        <rFont val="微软雅黑"/>
        <family val="2"/>
        <charset val="134"/>
      </rPr>
      <t>空气净化器配件</t>
    </r>
    <phoneticPr fontId="41" type="noConversion"/>
  </si>
  <si>
    <r>
      <rPr>
        <sz val="10"/>
        <color theme="1"/>
        <rFont val="微软雅黑"/>
        <family val="2"/>
        <charset val="134"/>
      </rPr>
      <t>澳兰斯</t>
    </r>
    <phoneticPr fontId="41" type="noConversion"/>
  </si>
  <si>
    <t>AP2F-H13</t>
    <phoneticPr fontId="41" type="noConversion"/>
  </si>
  <si>
    <t>AP2EU</t>
    <phoneticPr fontId="41" type="noConversion"/>
  </si>
  <si>
    <t>AP1</t>
    <phoneticPr fontId="41" type="noConversion"/>
  </si>
  <si>
    <t>AP1WH-US</t>
    <phoneticPr fontId="41" type="noConversion"/>
  </si>
  <si>
    <t>K1-S</t>
    <phoneticPr fontId="41" type="noConversion"/>
  </si>
  <si>
    <t>K1-B</t>
    <phoneticPr fontId="41" type="noConversion"/>
  </si>
  <si>
    <r>
      <t xml:space="preserve">AN1EU-WH </t>
    </r>
    <r>
      <rPr>
        <sz val="10"/>
        <color theme="1"/>
        <rFont val="微软雅黑"/>
        <family val="2"/>
        <charset val="134"/>
      </rPr>
      <t>便携式扩香仪</t>
    </r>
    <r>
      <rPr>
        <sz val="10"/>
        <color theme="1"/>
        <rFont val="Aptos"/>
        <family val="2"/>
      </rPr>
      <t>-</t>
    </r>
    <r>
      <rPr>
        <sz val="10"/>
        <color theme="1"/>
        <rFont val="微软雅黑"/>
        <family val="2"/>
        <charset val="134"/>
      </rPr>
      <t>欧规</t>
    </r>
    <r>
      <rPr>
        <sz val="10"/>
        <color theme="1"/>
        <rFont val="Aptos"/>
        <family val="2"/>
      </rPr>
      <t>-</t>
    </r>
    <r>
      <rPr>
        <sz val="10"/>
        <color theme="1"/>
        <rFont val="微软雅黑"/>
        <family val="2"/>
        <charset val="134"/>
      </rPr>
      <t>白色</t>
    </r>
    <phoneticPr fontId="41" type="noConversion"/>
  </si>
  <si>
    <t>AN1EU-WH</t>
    <phoneticPr fontId="41" type="noConversion"/>
  </si>
  <si>
    <t>U1-B_US</t>
    <phoneticPr fontId="41" type="noConversion"/>
  </si>
  <si>
    <r>
      <t xml:space="preserve">U1-B_US </t>
    </r>
    <r>
      <rPr>
        <sz val="10"/>
        <color theme="1"/>
        <rFont val="微软雅黑"/>
        <family val="2"/>
        <charset val="134"/>
      </rPr>
      <t>智能扩香仪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黑色</t>
    </r>
    <phoneticPr fontId="41" type="noConversion"/>
  </si>
  <si>
    <t>U1</t>
    <phoneticPr fontId="41" type="noConversion"/>
  </si>
  <si>
    <t>U1-WH_US</t>
    <phoneticPr fontId="41" type="noConversion"/>
  </si>
  <si>
    <r>
      <t xml:space="preserve">U1-WH_US </t>
    </r>
    <r>
      <rPr>
        <sz val="10"/>
        <color theme="1"/>
        <rFont val="微软雅黑"/>
        <family val="2"/>
        <charset val="134"/>
      </rPr>
      <t>智能扩香仪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白色</t>
    </r>
    <phoneticPr fontId="41" type="noConversion"/>
  </si>
  <si>
    <t>U1KIT-B_US_2X50K01_TZ</t>
    <phoneticPr fontId="41" type="noConversion"/>
  </si>
  <si>
    <r>
      <t>U1KIT-B_US_2X50K01_TZ U1</t>
    </r>
    <r>
      <rPr>
        <sz val="10"/>
        <color theme="1"/>
        <rFont val="微软雅黑"/>
        <family val="2"/>
        <charset val="134"/>
      </rPr>
      <t>黑色机器</t>
    </r>
    <r>
      <rPr>
        <sz val="10"/>
        <color theme="1"/>
        <rFont val="Aptos"/>
        <family val="2"/>
      </rPr>
      <t>+2X50mL</t>
    </r>
    <r>
      <rPr>
        <sz val="10"/>
        <color theme="1"/>
        <rFont val="微软雅黑"/>
        <family val="2"/>
        <charset val="134"/>
      </rPr>
      <t>酒店香氛油（天竺）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机油套装</t>
    </r>
    <phoneticPr fontId="41" type="noConversion"/>
  </si>
  <si>
    <t>U1KIT-B_US_2X50K01_TZ-1</t>
    <phoneticPr fontId="41" type="noConversion"/>
  </si>
  <si>
    <t>U1KIT-WH_US_2X50K01_TZ</t>
    <phoneticPr fontId="41" type="noConversion"/>
  </si>
  <si>
    <r>
      <t>U1KIT-WH_US_2X50K01_TZ U1</t>
    </r>
    <r>
      <rPr>
        <sz val="10"/>
        <color theme="1"/>
        <rFont val="微软雅黑"/>
        <family val="2"/>
        <charset val="134"/>
      </rPr>
      <t>白色机器</t>
    </r>
    <r>
      <rPr>
        <sz val="10"/>
        <color theme="1"/>
        <rFont val="Aptos"/>
        <family val="2"/>
      </rPr>
      <t>+2X50mL</t>
    </r>
    <r>
      <rPr>
        <sz val="10"/>
        <color theme="1"/>
        <rFont val="微软雅黑"/>
        <family val="2"/>
        <charset val="134"/>
      </rPr>
      <t>酒店香氛油（天竺）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机油套装</t>
    </r>
    <phoneticPr fontId="41" type="noConversion"/>
  </si>
  <si>
    <t>U1KIT-WH_US_2X50K01_TZ-1</t>
    <phoneticPr fontId="41" type="noConversion"/>
  </si>
  <si>
    <t>RD2-B</t>
  </si>
  <si>
    <r>
      <t xml:space="preserve">RD2-B </t>
    </r>
    <r>
      <rPr>
        <sz val="10"/>
        <color theme="1"/>
        <rFont val="微软雅黑"/>
        <family val="2"/>
        <charset val="134"/>
      </rPr>
      <t>便携式扩香仪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黑色</t>
    </r>
  </si>
  <si>
    <t>RD2</t>
    <phoneticPr fontId="41" type="noConversion"/>
  </si>
  <si>
    <t>RD2-SILV</t>
  </si>
  <si>
    <r>
      <t xml:space="preserve">RD2-SILV </t>
    </r>
    <r>
      <rPr>
        <sz val="10"/>
        <color theme="1"/>
        <rFont val="微软雅黑"/>
        <family val="2"/>
        <charset val="134"/>
      </rPr>
      <t>便携式扩香仪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银色</t>
    </r>
  </si>
  <si>
    <t>RD2KIT-B_2X30K06_TZ</t>
  </si>
  <si>
    <t>RD2KIT-SILV_2X30K07_TZ</t>
  </si>
  <si>
    <t>ANZKIT-W_4X10K04_TZ</t>
  </si>
  <si>
    <r>
      <t>ANZKIT-W_4X10K04_TZ ANZ</t>
    </r>
    <r>
      <rPr>
        <sz val="10"/>
        <color theme="1"/>
        <rFont val="微软雅黑"/>
        <family val="2"/>
        <charset val="134"/>
      </rPr>
      <t>白色机器</t>
    </r>
    <r>
      <rPr>
        <sz val="10"/>
        <color theme="1"/>
        <rFont val="Aptos"/>
        <family val="2"/>
      </rPr>
      <t>+4x10mL</t>
    </r>
    <r>
      <rPr>
        <sz val="10"/>
        <color theme="1"/>
        <rFont val="微软雅黑"/>
        <family val="2"/>
        <charset val="134"/>
      </rPr>
      <t>酒店（天竺）香氛油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机油套装</t>
    </r>
  </si>
  <si>
    <t>ANZKIT-W_SJ30ML</t>
  </si>
  <si>
    <r>
      <t>ANZKIT-W_SJ30ML ANZ</t>
    </r>
    <r>
      <rPr>
        <sz val="10"/>
        <color theme="1"/>
        <rFont val="微软雅黑"/>
        <family val="2"/>
        <charset val="134"/>
      </rPr>
      <t>白色机器</t>
    </r>
    <r>
      <rPr>
        <sz val="10"/>
        <color theme="1"/>
        <rFont val="Aptos"/>
        <family val="2"/>
      </rPr>
      <t>+30mL</t>
    </r>
    <r>
      <rPr>
        <sz val="10"/>
        <color theme="1"/>
        <rFont val="微软雅黑"/>
        <family val="2"/>
        <charset val="134"/>
      </rPr>
      <t>四季酒店香氛油（天竺）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机油套装</t>
    </r>
  </si>
  <si>
    <t>ATS1_100ML_TZ</t>
  </si>
  <si>
    <r>
      <t xml:space="preserve">ATS1_100ML_TZ </t>
    </r>
    <r>
      <rPr>
        <sz val="10"/>
        <color theme="1"/>
        <rFont val="微软雅黑"/>
        <family val="2"/>
        <charset val="134"/>
      </rPr>
      <t>亚特兰蒂斯酒店</t>
    </r>
    <r>
      <rPr>
        <sz val="10"/>
        <color theme="1"/>
        <rFont val="Aptos"/>
        <family val="2"/>
      </rPr>
      <t>100mL</t>
    </r>
    <r>
      <rPr>
        <sz val="10"/>
        <color theme="1"/>
        <rFont val="微软雅黑"/>
        <family val="2"/>
        <charset val="134"/>
      </rPr>
      <t>香氛油（天竺）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销售包装</t>
    </r>
  </si>
  <si>
    <r>
      <rPr>
        <sz val="10"/>
        <color rgb="FF000000"/>
        <rFont val="微软雅黑"/>
        <family val="2"/>
        <charset val="134"/>
      </rPr>
      <t>香氛油单瓶</t>
    </r>
  </si>
  <si>
    <r>
      <t xml:space="preserve">ES1KIT-W_W </t>
    </r>
    <r>
      <rPr>
        <sz val="10"/>
        <color theme="1"/>
        <rFont val="微软雅黑"/>
        <family val="2"/>
        <charset val="134"/>
      </rPr>
      <t>电动泡沫喷机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白色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两个装</t>
    </r>
  </si>
  <si>
    <t>ES1</t>
    <phoneticPr fontId="41" type="noConversion"/>
  </si>
  <si>
    <t>BGR-30ML_TZ</t>
  </si>
  <si>
    <r>
      <rPr>
        <sz val="10"/>
        <color rgb="FF000000"/>
        <rFont val="微软雅黑"/>
        <family val="2"/>
        <charset val="134"/>
      </rPr>
      <t>香氛油机油组合</t>
    </r>
  </si>
  <si>
    <t>ATS-30ML_TZ</t>
  </si>
  <si>
    <t>RZ-30ML_TZ</t>
  </si>
  <si>
    <t>RD1KIT-T_2X30K05_TZ</t>
    <phoneticPr fontId="41" type="noConversion"/>
  </si>
  <si>
    <r>
      <t>RD1KIT-T_2X30K05_TZ RD1</t>
    </r>
    <r>
      <rPr>
        <sz val="10"/>
        <color theme="1"/>
        <rFont val="微软雅黑"/>
        <family val="2"/>
        <charset val="134"/>
      </rPr>
      <t>沙漠钛色机器</t>
    </r>
    <r>
      <rPr>
        <sz val="10"/>
        <color theme="1"/>
        <rFont val="Aptos"/>
        <family val="2"/>
      </rPr>
      <t>+2X30mL</t>
    </r>
    <r>
      <rPr>
        <sz val="10"/>
        <color theme="1"/>
        <rFont val="微软雅黑"/>
        <family val="2"/>
        <charset val="134"/>
      </rPr>
      <t>酒店香氛油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机油套装</t>
    </r>
    <phoneticPr fontId="41" type="noConversion"/>
  </si>
  <si>
    <r>
      <rPr>
        <sz val="10"/>
        <color theme="1"/>
        <rFont val="微软雅黑"/>
        <family val="2"/>
        <charset val="134"/>
      </rPr>
      <t>欧洲空派</t>
    </r>
  </si>
  <si>
    <r>
      <t xml:space="preserve">ES1-WH </t>
    </r>
    <r>
      <rPr>
        <sz val="10"/>
        <color theme="1"/>
        <rFont val="微软雅黑"/>
        <family val="2"/>
        <charset val="134"/>
      </rPr>
      <t>电动泡沫喷机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白色</t>
    </r>
    <phoneticPr fontId="41" type="noConversion"/>
  </si>
  <si>
    <t>ES1-WH</t>
    <phoneticPr fontId="41" type="noConversion"/>
  </si>
  <si>
    <r>
      <t>RD2KIT-B_2X30K06_TZ RD2</t>
    </r>
    <r>
      <rPr>
        <sz val="10"/>
        <color theme="1"/>
        <rFont val="微软雅黑"/>
        <family val="2"/>
        <charset val="134"/>
      </rPr>
      <t>黑色机器</t>
    </r>
    <r>
      <rPr>
        <sz val="10"/>
        <color theme="1"/>
        <rFont val="Aptos"/>
        <family val="2"/>
      </rPr>
      <t>+2X30mL</t>
    </r>
    <r>
      <rPr>
        <sz val="10"/>
        <color theme="1"/>
        <rFont val="微软雅黑"/>
        <family val="2"/>
        <charset val="134"/>
      </rPr>
      <t>酒店香氛油（天竺）</t>
    </r>
    <r>
      <rPr>
        <sz val="10"/>
        <color theme="1"/>
        <rFont val="Aptos"/>
        <family val="2"/>
      </rPr>
      <t xml:space="preserve">  </t>
    </r>
    <r>
      <rPr>
        <sz val="10"/>
        <color theme="1"/>
        <rFont val="微软雅黑"/>
        <family val="2"/>
        <charset val="134"/>
      </rPr>
      <t>机油套装</t>
    </r>
  </si>
  <si>
    <r>
      <t>RD2KIT-SILV_2X30K07_TZ RD2</t>
    </r>
    <r>
      <rPr>
        <sz val="10"/>
        <color theme="1"/>
        <rFont val="微软雅黑"/>
        <family val="2"/>
        <charset val="134"/>
      </rPr>
      <t>银色机器</t>
    </r>
    <r>
      <rPr>
        <sz val="10"/>
        <color theme="1"/>
        <rFont val="Aptos"/>
        <family val="2"/>
      </rPr>
      <t>+2X30mL</t>
    </r>
    <r>
      <rPr>
        <sz val="10"/>
        <color theme="1"/>
        <rFont val="微软雅黑"/>
        <family val="2"/>
        <charset val="134"/>
      </rPr>
      <t>酒店香氛油（天竺）</t>
    </r>
    <r>
      <rPr>
        <sz val="10"/>
        <color theme="1"/>
        <rFont val="Aptos"/>
        <family val="2"/>
      </rPr>
      <t xml:space="preserve">  </t>
    </r>
    <r>
      <rPr>
        <sz val="10"/>
        <color theme="1"/>
        <rFont val="微软雅黑"/>
        <family val="2"/>
        <charset val="134"/>
      </rPr>
      <t>机油套装</t>
    </r>
  </si>
  <si>
    <t>ES1KIT-W_W</t>
    <phoneticPr fontId="41" type="noConversion"/>
  </si>
  <si>
    <r>
      <t xml:space="preserve">BGR-30ML_TZ </t>
    </r>
    <r>
      <rPr>
        <sz val="10"/>
        <color theme="1"/>
        <rFont val="微软雅黑"/>
        <family val="2"/>
        <charset val="134"/>
      </rPr>
      <t>天竺宝格丽酒店香氛油</t>
    </r>
    <r>
      <rPr>
        <sz val="10"/>
        <color theme="1"/>
        <rFont val="Aptos"/>
        <family val="2"/>
      </rPr>
      <t>30mL</t>
    </r>
  </si>
  <si>
    <r>
      <t xml:space="preserve">ATS-30ML_TZ </t>
    </r>
    <r>
      <rPr>
        <sz val="10"/>
        <color theme="1"/>
        <rFont val="微软雅黑"/>
        <family val="2"/>
        <charset val="134"/>
      </rPr>
      <t>天竺亚特兰蒂斯酒店香氛油</t>
    </r>
    <r>
      <rPr>
        <sz val="10"/>
        <color theme="1"/>
        <rFont val="Aptos"/>
        <family val="2"/>
      </rPr>
      <t>30mL</t>
    </r>
  </si>
  <si>
    <r>
      <t xml:space="preserve">RZ-30ML_TZ </t>
    </r>
    <r>
      <rPr>
        <sz val="10"/>
        <color theme="1"/>
        <rFont val="微软雅黑"/>
        <family val="2"/>
        <charset val="134"/>
      </rPr>
      <t>天竺丽思卡尔顿酒店香氛油</t>
    </r>
    <r>
      <rPr>
        <sz val="10"/>
        <color theme="1"/>
        <rFont val="Aptos"/>
        <family val="2"/>
      </rPr>
      <t>30mL</t>
    </r>
  </si>
  <si>
    <r>
      <t xml:space="preserve">ES1-W </t>
    </r>
    <r>
      <rPr>
        <sz val="10"/>
        <color theme="1"/>
        <rFont val="微软雅黑"/>
        <family val="2"/>
        <charset val="134"/>
      </rPr>
      <t>电动泡沫喷机（</t>
    </r>
    <r>
      <rPr>
        <sz val="10"/>
        <color theme="1"/>
        <rFont val="Aptos"/>
        <family val="2"/>
      </rPr>
      <t>202602</t>
    </r>
    <r>
      <rPr>
        <sz val="10"/>
        <color theme="1"/>
        <rFont val="微软雅黑"/>
        <family val="2"/>
        <charset val="134"/>
      </rPr>
      <t>新）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白色</t>
    </r>
  </si>
  <si>
    <t>AN8KIT-WH_4X10K05_TZ</t>
    <phoneticPr fontId="41" type="noConversion"/>
  </si>
  <si>
    <r>
      <t>AN8KIT-WH_4X10K05_TZ AN8</t>
    </r>
    <r>
      <rPr>
        <sz val="10"/>
        <color theme="1"/>
        <rFont val="微软雅黑"/>
        <family val="2"/>
        <charset val="134"/>
      </rPr>
      <t>白色机器</t>
    </r>
    <r>
      <rPr>
        <sz val="10"/>
        <color theme="1"/>
        <rFont val="Aptos"/>
        <family val="2"/>
      </rPr>
      <t>+4x10mL</t>
    </r>
    <r>
      <rPr>
        <sz val="10"/>
        <color theme="1"/>
        <rFont val="微软雅黑"/>
        <family val="2"/>
        <charset val="134"/>
      </rPr>
      <t>（天竺）酒店香氛油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机油套装</t>
    </r>
  </si>
  <si>
    <r>
      <rPr>
        <sz val="10"/>
        <color rgb="FF000000"/>
        <rFont val="微软雅黑"/>
        <family val="2"/>
        <charset val="134"/>
      </rPr>
      <t>深圳市裕双电子科技有限公司</t>
    </r>
  </si>
  <si>
    <t>AN8KIT-B_4X10K05_TZ</t>
    <phoneticPr fontId="41" type="noConversion"/>
  </si>
  <si>
    <r>
      <t>AN8KIT-B_4X10K05_TZ AN8</t>
    </r>
    <r>
      <rPr>
        <sz val="10"/>
        <color theme="1"/>
        <rFont val="微软雅黑"/>
        <family val="2"/>
        <charset val="134"/>
      </rPr>
      <t>黑色机器</t>
    </r>
    <r>
      <rPr>
        <sz val="10"/>
        <color theme="1"/>
        <rFont val="Aptos"/>
        <family val="2"/>
      </rPr>
      <t>+4x10mL</t>
    </r>
    <r>
      <rPr>
        <sz val="10"/>
        <color theme="1"/>
        <rFont val="微软雅黑"/>
        <family val="2"/>
        <charset val="134"/>
      </rPr>
      <t>（天竺）酒店香氛油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机油套装</t>
    </r>
  </si>
  <si>
    <t>HOTEL4KIT-4X10K05_TZ</t>
    <phoneticPr fontId="41" type="noConversion"/>
  </si>
  <si>
    <r>
      <t xml:space="preserve">HOTEL4KIT-4X10K05_TZ </t>
    </r>
    <r>
      <rPr>
        <sz val="10"/>
        <color theme="1"/>
        <rFont val="微软雅黑"/>
        <family val="2"/>
        <charset val="134"/>
      </rPr>
      <t>天竺新酒店香氛油</t>
    </r>
    <r>
      <rPr>
        <sz val="10"/>
        <color theme="1"/>
        <rFont val="Aptos"/>
        <family val="2"/>
      </rPr>
      <t>4X10mL</t>
    </r>
  </si>
  <si>
    <r>
      <rPr>
        <sz val="10"/>
        <color rgb="FF000000"/>
        <rFont val="微软雅黑"/>
        <family val="2"/>
        <charset val="134"/>
      </rPr>
      <t>深圳市天竺香氛有限公司</t>
    </r>
  </si>
  <si>
    <t>HOTEL6KIT1-6X10K03_TZ</t>
    <phoneticPr fontId="41" type="noConversion"/>
  </si>
  <si>
    <r>
      <t xml:space="preserve">HOTEL6KIT1-6X10K03_TZ </t>
    </r>
    <r>
      <rPr>
        <sz val="10"/>
        <color theme="1"/>
        <rFont val="微软雅黑"/>
        <family val="2"/>
        <charset val="134"/>
      </rPr>
      <t>酒店香氛油（天竺）</t>
    </r>
    <r>
      <rPr>
        <sz val="10"/>
        <color theme="1"/>
        <rFont val="Aptos"/>
        <family val="2"/>
      </rPr>
      <t>6</t>
    </r>
    <r>
      <rPr>
        <sz val="10"/>
        <color theme="1"/>
        <rFont val="微软雅黑"/>
        <family val="2"/>
        <charset val="134"/>
      </rPr>
      <t>款</t>
    </r>
    <r>
      <rPr>
        <sz val="10"/>
        <color theme="1"/>
        <rFont val="Aptos"/>
        <family val="2"/>
      </rPr>
      <t>10mL</t>
    </r>
    <r>
      <rPr>
        <sz val="10"/>
        <color theme="1"/>
        <rFont val="微软雅黑"/>
        <family val="2"/>
        <charset val="134"/>
      </rPr>
      <t>套装</t>
    </r>
  </si>
  <si>
    <r>
      <rPr>
        <sz val="10"/>
        <color rgb="FF000000"/>
        <rFont val="微软雅黑"/>
        <family val="2"/>
        <charset val="134"/>
      </rPr>
      <t>香氛油套装</t>
    </r>
  </si>
  <si>
    <t>BGR1_100ML_TZ</t>
    <phoneticPr fontId="41" type="noConversion"/>
  </si>
  <si>
    <r>
      <t xml:space="preserve">BGR1_100ML_TZ </t>
    </r>
    <r>
      <rPr>
        <sz val="10"/>
        <color theme="1"/>
        <rFont val="微软雅黑"/>
        <family val="2"/>
        <charset val="134"/>
      </rPr>
      <t>宝格丽酒店</t>
    </r>
    <r>
      <rPr>
        <sz val="10"/>
        <color theme="1"/>
        <rFont val="Aptos"/>
        <family val="2"/>
      </rPr>
      <t>100mL</t>
    </r>
    <r>
      <rPr>
        <sz val="10"/>
        <color theme="1"/>
        <rFont val="微软雅黑"/>
        <family val="2"/>
        <charset val="134"/>
      </rPr>
      <t>香氛油（天竺）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销售包装</t>
    </r>
  </si>
  <si>
    <r>
      <rPr>
        <b/>
        <sz val="10"/>
        <color theme="1"/>
        <rFont val="微软雅黑"/>
        <family val="2"/>
        <charset val="134"/>
      </rPr>
      <t>金蝶创建时间</t>
    </r>
    <phoneticPr fontId="41" type="noConversion"/>
  </si>
  <si>
    <t>FBA1987594KP</t>
  </si>
  <si>
    <t>FBA198F648V6</t>
  </si>
  <si>
    <t>FBA198CCWL4Q</t>
  </si>
  <si>
    <t>FBA19873RZMP</t>
  </si>
  <si>
    <t>FBA198354HLL</t>
  </si>
  <si>
    <t>FBA198F4S73Q</t>
  </si>
  <si>
    <t>FBA1976NHDF8</t>
    <phoneticPr fontId="25" type="noConversion"/>
  </si>
  <si>
    <t>RZ1-500ML_TZ</t>
    <phoneticPr fontId="41" type="noConversion"/>
  </si>
  <si>
    <r>
      <t xml:space="preserve">RZ1-500ML_TZ </t>
    </r>
    <r>
      <rPr>
        <sz val="10"/>
        <color theme="1"/>
        <rFont val="微软雅黑"/>
        <family val="2"/>
        <charset val="134"/>
      </rPr>
      <t>丽思卡尔顿酒店</t>
    </r>
    <r>
      <rPr>
        <sz val="10"/>
        <color theme="1"/>
        <rFont val="Aptos"/>
        <family val="2"/>
      </rPr>
      <t>500mL</t>
    </r>
    <r>
      <rPr>
        <sz val="10"/>
        <color theme="1"/>
        <rFont val="微软雅黑"/>
        <family val="2"/>
        <charset val="134"/>
      </rPr>
      <t>香氛油（天竺）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销售包装</t>
    </r>
    <phoneticPr fontId="41" type="noConversion"/>
  </si>
  <si>
    <t>FBA198K79B9C</t>
  </si>
  <si>
    <t>W11010</t>
  </si>
  <si>
    <t>FBA198K5X4YB</t>
  </si>
  <si>
    <t>W11005</t>
  </si>
  <si>
    <t>FBA15LHXTKQ1</t>
  </si>
  <si>
    <t>W11006</t>
  </si>
  <si>
    <t>FBA15LJ7LFCF</t>
  </si>
  <si>
    <t>BER8</t>
  </si>
  <si>
    <t>W11011</t>
  </si>
  <si>
    <t>FBA198R5WZBL</t>
  </si>
  <si>
    <t>FBA198R5V676</t>
  </si>
  <si>
    <t>W11012</t>
  </si>
  <si>
    <t>FBA198KBXJ4X</t>
  </si>
  <si>
    <t>FBA198KC8HBQ</t>
  </si>
  <si>
    <t>FBA198K8QZC5</t>
  </si>
  <si>
    <t>W11008</t>
  </si>
  <si>
    <t>FBA198KFN9NS</t>
  </si>
  <si>
    <t>W11007</t>
  </si>
  <si>
    <t>FBA198K9RVMY</t>
  </si>
  <si>
    <t>FBA198LLVD5S</t>
  </si>
  <si>
    <t>FBA198LLBYQJ</t>
  </si>
  <si>
    <t>FBA198LK2T65</t>
  </si>
  <si>
    <t>FBA198LHZYBC</t>
  </si>
  <si>
    <t>K-US</t>
  </si>
  <si>
    <t>W11009</t>
  </si>
  <si>
    <t>FBA198PY9806</t>
  </si>
  <si>
    <t>FBA198354HLL</t>
    <phoneticPr fontId="25" type="noConversion"/>
  </si>
  <si>
    <t>003000015</t>
    <phoneticPr fontId="41" type="noConversion"/>
  </si>
  <si>
    <r>
      <t xml:space="preserve">AP2EU-H14 </t>
    </r>
    <r>
      <rPr>
        <sz val="10"/>
        <color theme="1"/>
        <rFont val="微软雅黑"/>
        <family val="2"/>
        <charset val="134"/>
      </rPr>
      <t>内置</t>
    </r>
    <r>
      <rPr>
        <sz val="10"/>
        <color theme="1"/>
        <rFont val="Aptos"/>
        <family val="2"/>
      </rPr>
      <t>H14</t>
    </r>
    <r>
      <rPr>
        <sz val="10"/>
        <color theme="1"/>
        <rFont val="微软雅黑"/>
        <family val="2"/>
        <charset val="134"/>
      </rPr>
      <t>滤网桌面式空气净化器</t>
    </r>
    <r>
      <rPr>
        <sz val="10"/>
        <color theme="1"/>
        <rFont val="Aptos"/>
        <family val="2"/>
      </rPr>
      <t>2-</t>
    </r>
    <r>
      <rPr>
        <sz val="10"/>
        <color theme="1"/>
        <rFont val="微软雅黑"/>
        <family val="2"/>
        <charset val="134"/>
      </rPr>
      <t>欧规</t>
    </r>
    <phoneticPr fontId="41" type="noConversion"/>
  </si>
  <si>
    <t>AP2EU-H14</t>
    <phoneticPr fontId="41" type="noConversion"/>
  </si>
  <si>
    <t>ANZKIT-W_BGR30ML_TZ</t>
  </si>
  <si>
    <r>
      <t>ANZKIT-W_BGR30ML_TZ ANZ</t>
    </r>
    <r>
      <rPr>
        <sz val="10"/>
        <color theme="1"/>
        <rFont val="微软雅黑"/>
        <family val="2"/>
        <charset val="134"/>
      </rPr>
      <t>白色机器</t>
    </r>
    <r>
      <rPr>
        <sz val="10"/>
        <color theme="1"/>
        <rFont val="Aptos"/>
        <family val="2"/>
      </rPr>
      <t>+30mL</t>
    </r>
    <r>
      <rPr>
        <sz val="10"/>
        <color theme="1"/>
        <rFont val="微软雅黑"/>
        <family val="2"/>
        <charset val="134"/>
      </rPr>
      <t>宝格丽酒店香氛油（天竺）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机油套装</t>
    </r>
  </si>
  <si>
    <t>ScentBots</t>
  </si>
  <si>
    <t>ANZKIT-B_BGR30ML_TZ</t>
  </si>
  <si>
    <r>
      <t>ANZKIT-B_BGR30ML_TZ ANZ</t>
    </r>
    <r>
      <rPr>
        <sz val="10"/>
        <color theme="1"/>
        <rFont val="微软雅黑"/>
        <family val="2"/>
        <charset val="134"/>
      </rPr>
      <t>黑色机器</t>
    </r>
    <r>
      <rPr>
        <sz val="10"/>
        <color theme="1"/>
        <rFont val="Aptos"/>
        <family val="2"/>
      </rPr>
      <t>+30mL</t>
    </r>
    <r>
      <rPr>
        <sz val="10"/>
        <color theme="1"/>
        <rFont val="微软雅黑"/>
        <family val="2"/>
        <charset val="134"/>
      </rPr>
      <t>宝格丽酒店香氛油（天竺）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机油套装</t>
    </r>
  </si>
  <si>
    <t>RZ1-100ML_TZ</t>
  </si>
  <si>
    <r>
      <t xml:space="preserve">RZ1-100ML_TZ </t>
    </r>
    <r>
      <rPr>
        <sz val="10"/>
        <color theme="1"/>
        <rFont val="微软雅黑"/>
        <family val="2"/>
        <charset val="134"/>
      </rPr>
      <t>丽思卡尔顿酒店</t>
    </r>
    <r>
      <rPr>
        <sz val="10"/>
        <color theme="1"/>
        <rFont val="Aptos"/>
        <family val="2"/>
      </rPr>
      <t>100mL</t>
    </r>
    <r>
      <rPr>
        <sz val="10"/>
        <color theme="1"/>
        <rFont val="微软雅黑"/>
        <family val="2"/>
        <charset val="134"/>
      </rPr>
      <t>香氛油（天竺）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销售包装</t>
    </r>
  </si>
  <si>
    <t>G1-B_YD</t>
  </si>
  <si>
    <r>
      <t xml:space="preserve">G1-B_YD </t>
    </r>
    <r>
      <rPr>
        <sz val="10"/>
        <color theme="1"/>
        <rFont val="微软雅黑"/>
        <family val="2"/>
        <charset val="134"/>
      </rPr>
      <t>电子球形把手锁（永定）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黑色</t>
    </r>
  </si>
  <si>
    <t>G1-DT_YD</t>
  </si>
  <si>
    <r>
      <t xml:space="preserve">G1-DT_YD </t>
    </r>
    <r>
      <rPr>
        <sz val="10"/>
        <color theme="1"/>
        <rFont val="微软雅黑"/>
        <family val="2"/>
        <charset val="134"/>
      </rPr>
      <t>电子球形把手锁（永定）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沙漠钛色</t>
    </r>
  </si>
  <si>
    <t>G1-SILV_YD</t>
  </si>
  <si>
    <r>
      <t xml:space="preserve">G1-SILV_YD </t>
    </r>
    <r>
      <rPr>
        <sz val="10"/>
        <color theme="1"/>
        <rFont val="微软雅黑"/>
        <family val="2"/>
        <charset val="134"/>
      </rPr>
      <t>电子球形把手锁（永定）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银色</t>
    </r>
  </si>
  <si>
    <t>W12005</t>
  </si>
  <si>
    <t>FBA198VX409J</t>
  </si>
  <si>
    <t>W12009</t>
  </si>
  <si>
    <t>FBA198X547X1</t>
  </si>
  <si>
    <t>W12004</t>
  </si>
  <si>
    <t>FBA198W2C0D1</t>
  </si>
  <si>
    <t>FBA198W7XC64</t>
  </si>
  <si>
    <t>FBA198XML3L7</t>
  </si>
  <si>
    <t>AN8KIT-WH_4X10K05_TZ</t>
  </si>
  <si>
    <t>W12006</t>
  </si>
  <si>
    <t>FBA19903R9DH</t>
  </si>
  <si>
    <t>W12010</t>
  </si>
  <si>
    <t>FBA19994C4F1</t>
  </si>
  <si>
    <t>FBA19993QKM2</t>
  </si>
  <si>
    <t>W12002</t>
  </si>
  <si>
    <t>FBA15G7HFC4R</t>
  </si>
  <si>
    <t>FBA19922135M</t>
  </si>
  <si>
    <t>FBA198X3QKQ1</t>
  </si>
  <si>
    <t>W12007</t>
  </si>
  <si>
    <t>FBA198X58NK5</t>
  </si>
  <si>
    <t>FBA198XV6SCX</t>
  </si>
  <si>
    <t>W12008</t>
  </si>
  <si>
    <t>FBA198W8K669</t>
  </si>
  <si>
    <t>FBA198VY9H04</t>
  </si>
  <si>
    <t>W12003</t>
  </si>
  <si>
    <t>FBA198W7ZHBG</t>
  </si>
  <si>
    <t>FBA199220GQD</t>
  </si>
  <si>
    <t>BGR1_100ML_TZ</t>
  </si>
  <si>
    <t>FBA198W7P8C9</t>
  </si>
  <si>
    <r>
      <rPr>
        <b/>
        <sz val="10"/>
        <color rgb="FFFF0000"/>
        <rFont val="微软雅黑"/>
        <family val="2"/>
        <charset val="134"/>
      </rPr>
      <t>报关或其他费</t>
    </r>
    <phoneticPr fontId="25" type="noConversion"/>
  </si>
  <si>
    <r>
      <rPr>
        <b/>
        <sz val="10"/>
        <color rgb="FFFF0000"/>
        <rFont val="微软雅黑"/>
        <family val="2"/>
        <charset val="134"/>
      </rPr>
      <t>报关或其他费分摊</t>
    </r>
    <phoneticPr fontId="25" type="noConversion"/>
  </si>
  <si>
    <r>
      <rPr>
        <sz val="10"/>
        <color theme="1"/>
        <rFont val="微软雅黑"/>
        <family val="2"/>
        <charset val="134"/>
      </rPr>
      <t>德速物流</t>
    </r>
  </si>
  <si>
    <r>
      <rPr>
        <sz val="10"/>
        <color theme="1"/>
        <rFont val="微软雅黑"/>
        <family val="2"/>
        <charset val="134"/>
      </rPr>
      <t>托书上要备注跟</t>
    </r>
    <r>
      <rPr>
        <sz val="10"/>
        <color theme="1"/>
        <rFont val="Aptos"/>
        <family val="2"/>
      </rPr>
      <t xml:space="preserve">FBA198LK2T65 </t>
    </r>
    <r>
      <rPr>
        <sz val="10"/>
        <color theme="1"/>
        <rFont val="微软雅黑"/>
        <family val="2"/>
        <charset val="134"/>
      </rPr>
      <t>合并报关</t>
    </r>
  </si>
  <si>
    <r>
      <rPr>
        <sz val="10"/>
        <color theme="1"/>
        <rFont val="微软雅黑"/>
        <family val="2"/>
        <charset val="134"/>
      </rPr>
      <t>备注跟</t>
    </r>
    <r>
      <rPr>
        <sz val="10"/>
        <color theme="1"/>
        <rFont val="Aptos"/>
        <family val="2"/>
      </rPr>
      <t>FBA198W7ZHBG</t>
    </r>
    <r>
      <rPr>
        <sz val="10"/>
        <color theme="1"/>
        <rFont val="微软雅黑"/>
        <family val="2"/>
        <charset val="134"/>
      </rPr>
      <t>合并报关</t>
    </r>
  </si>
  <si>
    <r>
      <rPr>
        <sz val="10"/>
        <color theme="1"/>
        <rFont val="微软雅黑"/>
        <family val="2"/>
        <charset val="134"/>
      </rPr>
      <t>到仓</t>
    </r>
    <phoneticPr fontId="25" type="noConversion"/>
  </si>
  <si>
    <r>
      <rPr>
        <b/>
        <sz val="10"/>
        <rFont val="微软雅黑"/>
        <family val="2"/>
        <charset val="134"/>
      </rPr>
      <t>提货周次</t>
    </r>
    <phoneticPr fontId="25" type="noConversion"/>
  </si>
  <si>
    <r>
      <rPr>
        <b/>
        <sz val="10"/>
        <rFont val="微软雅黑"/>
        <family val="2"/>
        <charset val="134"/>
      </rPr>
      <t>货代运单号</t>
    </r>
    <phoneticPr fontId="25" type="noConversion"/>
  </si>
  <si>
    <r>
      <rPr>
        <b/>
        <sz val="10"/>
        <rFont val="微软雅黑"/>
        <family val="2"/>
        <charset val="134"/>
      </rPr>
      <t>追踪号</t>
    </r>
  </si>
  <si>
    <r>
      <rPr>
        <b/>
        <sz val="10"/>
        <rFont val="微软雅黑"/>
        <family val="2"/>
        <charset val="134"/>
      </rPr>
      <t>货件单号</t>
    </r>
    <phoneticPr fontId="25" type="noConversion"/>
  </si>
  <si>
    <r>
      <rPr>
        <b/>
        <sz val="10"/>
        <rFont val="微软雅黑"/>
        <family val="2"/>
        <charset val="134"/>
      </rPr>
      <t>货物状态</t>
    </r>
    <phoneticPr fontId="25" type="noConversion"/>
  </si>
  <si>
    <r>
      <rPr>
        <b/>
        <sz val="10"/>
        <rFont val="微软雅黑"/>
        <family val="2"/>
        <charset val="134"/>
      </rPr>
      <t>品名</t>
    </r>
    <r>
      <rPr>
        <b/>
        <sz val="10"/>
        <rFont val="Aptos"/>
        <family val="2"/>
      </rPr>
      <t>/</t>
    </r>
    <r>
      <rPr>
        <b/>
        <sz val="10"/>
        <rFont val="微软雅黑"/>
        <family val="2"/>
        <charset val="134"/>
      </rPr>
      <t>产品描述</t>
    </r>
    <phoneticPr fontId="25" type="noConversion"/>
  </si>
  <si>
    <r>
      <rPr>
        <b/>
        <sz val="10"/>
        <rFont val="微软雅黑"/>
        <family val="2"/>
        <charset val="134"/>
      </rPr>
      <t>数量</t>
    </r>
  </si>
  <si>
    <r>
      <rPr>
        <b/>
        <sz val="10"/>
        <rFont val="微软雅黑"/>
        <family val="2"/>
        <charset val="134"/>
      </rPr>
      <t>货代名称</t>
    </r>
  </si>
  <si>
    <r>
      <rPr>
        <b/>
        <sz val="10"/>
        <rFont val="微软雅黑"/>
        <family val="2"/>
        <charset val="134"/>
      </rPr>
      <t>发货方式</t>
    </r>
  </si>
  <si>
    <r>
      <rPr>
        <b/>
        <sz val="10"/>
        <rFont val="微软雅黑"/>
        <family val="2"/>
        <charset val="134"/>
      </rPr>
      <t>仓库地址</t>
    </r>
  </si>
  <si>
    <r>
      <rPr>
        <b/>
        <sz val="10"/>
        <rFont val="微软雅黑"/>
        <family val="2"/>
        <charset val="134"/>
      </rPr>
      <t>货物类型</t>
    </r>
    <phoneticPr fontId="25" type="noConversion"/>
  </si>
  <si>
    <r>
      <rPr>
        <b/>
        <sz val="10"/>
        <rFont val="微软雅黑"/>
        <family val="2"/>
        <charset val="134"/>
      </rPr>
      <t>海外仓名称</t>
    </r>
  </si>
  <si>
    <r>
      <rPr>
        <b/>
        <sz val="10"/>
        <rFont val="微软雅黑"/>
        <family val="2"/>
        <charset val="134"/>
      </rPr>
      <t>件数</t>
    </r>
    <r>
      <rPr>
        <b/>
        <sz val="10"/>
        <rFont val="Aptos"/>
        <family val="2"/>
      </rPr>
      <t>/</t>
    </r>
    <r>
      <rPr>
        <b/>
        <sz val="10"/>
        <rFont val="微软雅黑"/>
        <family val="2"/>
        <charset val="134"/>
      </rPr>
      <t>箱数</t>
    </r>
  </si>
  <si>
    <r>
      <rPr>
        <b/>
        <sz val="10"/>
        <rFont val="微软雅黑"/>
        <family val="2"/>
        <charset val="134"/>
      </rPr>
      <t>重量</t>
    </r>
  </si>
  <si>
    <r>
      <rPr>
        <b/>
        <sz val="10"/>
        <rFont val="微软雅黑"/>
        <family val="2"/>
        <charset val="134"/>
      </rPr>
      <t>单价</t>
    </r>
    <r>
      <rPr>
        <b/>
        <sz val="10"/>
        <rFont val="Aptos"/>
        <family val="2"/>
      </rPr>
      <t>/kg</t>
    </r>
    <phoneticPr fontId="25" type="noConversion"/>
  </si>
  <si>
    <r>
      <rPr>
        <b/>
        <sz val="10"/>
        <rFont val="微软雅黑"/>
        <family val="2"/>
        <charset val="134"/>
      </rPr>
      <t>预估运费</t>
    </r>
  </si>
  <si>
    <r>
      <rPr>
        <b/>
        <sz val="10"/>
        <rFont val="微软雅黑"/>
        <family val="2"/>
        <charset val="134"/>
      </rPr>
      <t>单价</t>
    </r>
    <r>
      <rPr>
        <b/>
        <sz val="10"/>
        <rFont val="Aptos"/>
        <family val="2"/>
      </rPr>
      <t>/unit</t>
    </r>
    <phoneticPr fontId="25" type="noConversion"/>
  </si>
  <si>
    <r>
      <rPr>
        <b/>
        <sz val="10"/>
        <rFont val="微软雅黑"/>
        <family val="2"/>
        <charset val="134"/>
      </rPr>
      <t>提货日期</t>
    </r>
  </si>
  <si>
    <r>
      <rPr>
        <b/>
        <sz val="10"/>
        <rFont val="微软雅黑"/>
        <family val="2"/>
        <charset val="134"/>
      </rPr>
      <t>到货日期</t>
    </r>
  </si>
  <si>
    <r>
      <rPr>
        <b/>
        <sz val="10"/>
        <rFont val="微软雅黑"/>
        <family val="2"/>
        <charset val="134"/>
      </rPr>
      <t>在途周期</t>
    </r>
  </si>
  <si>
    <r>
      <rPr>
        <b/>
        <sz val="10"/>
        <rFont val="微软雅黑"/>
        <family val="2"/>
        <charset val="134"/>
      </rPr>
      <t>上架完成</t>
    </r>
  </si>
  <si>
    <r>
      <rPr>
        <b/>
        <sz val="10"/>
        <rFont val="微软雅黑"/>
        <family val="2"/>
        <charset val="134"/>
      </rPr>
      <t>上架周期</t>
    </r>
  </si>
  <si>
    <r>
      <rPr>
        <b/>
        <sz val="10"/>
        <rFont val="微软雅黑"/>
        <family val="2"/>
        <charset val="134"/>
      </rPr>
      <t>累积时效</t>
    </r>
  </si>
  <si>
    <r>
      <rPr>
        <b/>
        <sz val="10"/>
        <rFont val="微软雅黑"/>
        <family val="2"/>
        <charset val="134"/>
      </rPr>
      <t>备注</t>
    </r>
  </si>
  <si>
    <t>U1-BG_US</t>
    <phoneticPr fontId="41" type="noConversion"/>
  </si>
  <si>
    <t>U1KIT-BG_US_2X50K01_TZ</t>
    <phoneticPr fontId="41" type="noConversion"/>
  </si>
  <si>
    <r>
      <t>U1KIT-BG_US_2X50K01_TZ U1</t>
    </r>
    <r>
      <rPr>
        <sz val="10"/>
        <color theme="1"/>
        <rFont val="微软雅黑"/>
        <family val="2"/>
        <charset val="134"/>
      </rPr>
      <t>米灰色机器</t>
    </r>
    <r>
      <rPr>
        <sz val="10"/>
        <color theme="1"/>
        <rFont val="Aptos"/>
        <family val="2"/>
      </rPr>
      <t>+2X50mL</t>
    </r>
    <r>
      <rPr>
        <sz val="10"/>
        <color theme="1"/>
        <rFont val="微软雅黑"/>
        <family val="2"/>
        <charset val="134"/>
      </rPr>
      <t>酒店香氛油（天竺）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机油套装</t>
    </r>
    <phoneticPr fontId="41" type="noConversion"/>
  </si>
  <si>
    <t>U1KIT-BG_US_2X50K01_TZ-1</t>
    <phoneticPr fontId="41" type="noConversion"/>
  </si>
  <si>
    <t>W-50ML_TZ</t>
    <phoneticPr fontId="41" type="noConversion"/>
  </si>
  <si>
    <r>
      <t xml:space="preserve">W-50ML_TZ </t>
    </r>
    <r>
      <rPr>
        <sz val="10"/>
        <color theme="1"/>
        <rFont val="微软雅黑"/>
        <family val="2"/>
        <charset val="134"/>
      </rPr>
      <t>天竺</t>
    </r>
    <r>
      <rPr>
        <sz val="10"/>
        <color theme="1"/>
        <rFont val="Aptos"/>
        <family val="2"/>
      </rPr>
      <t>W</t>
    </r>
    <r>
      <rPr>
        <sz val="10"/>
        <color theme="1"/>
        <rFont val="微软雅黑"/>
        <family val="2"/>
        <charset val="134"/>
      </rPr>
      <t>酒店香氛油</t>
    </r>
    <r>
      <rPr>
        <sz val="10"/>
        <color theme="1"/>
        <rFont val="Aptos"/>
        <family val="2"/>
      </rPr>
      <t>50mL</t>
    </r>
    <phoneticPr fontId="41" type="noConversion"/>
  </si>
  <si>
    <t>SJ-50ML_TZ</t>
    <phoneticPr fontId="41" type="noConversion"/>
  </si>
  <si>
    <r>
      <t xml:space="preserve">SJ-50ML_TZ </t>
    </r>
    <r>
      <rPr>
        <sz val="10"/>
        <color theme="1"/>
        <rFont val="微软雅黑"/>
        <family val="2"/>
        <charset val="134"/>
      </rPr>
      <t>天竺四季酒店香氛油</t>
    </r>
    <r>
      <rPr>
        <sz val="10"/>
        <color theme="1"/>
        <rFont val="Aptos"/>
        <family val="2"/>
      </rPr>
      <t>50mL</t>
    </r>
    <phoneticPr fontId="41" type="noConversion"/>
  </si>
  <si>
    <t>W13010</t>
  </si>
  <si>
    <t>FBA19985BHPR</t>
  </si>
  <si>
    <t>AN8KIT-B_4X10K05_TZ</t>
  </si>
  <si>
    <t>W13008</t>
  </si>
  <si>
    <t>FBA1997PDD0Z</t>
  </si>
  <si>
    <t>W13009</t>
  </si>
  <si>
    <t>FBA199C7XWBM</t>
  </si>
  <si>
    <t>FBA1998DXN77</t>
  </si>
  <si>
    <t>W13011</t>
  </si>
  <si>
    <t>FBA19981TS59</t>
  </si>
  <si>
    <t>FBA19982BL68</t>
  </si>
  <si>
    <t>FBA1997ZZGG7</t>
  </si>
  <si>
    <t>W13005</t>
  </si>
  <si>
    <t>FBA19981L65S</t>
  </si>
  <si>
    <t>W13006</t>
  </si>
  <si>
    <t>FBA15LKVV9JS</t>
  </si>
  <si>
    <t>W13007</t>
  </si>
  <si>
    <t>FBA15LKZVHYC</t>
  </si>
  <si>
    <t>FBA1990KKRQ3</t>
  </si>
  <si>
    <t>FBA1998CWPX7</t>
  </si>
  <si>
    <t>FBA1998BJR8W</t>
  </si>
  <si>
    <t>FBA1998CHTC2</t>
  </si>
  <si>
    <t>FBA1998BTZST</t>
  </si>
  <si>
    <t>FBA19968P4N3</t>
  </si>
  <si>
    <t>W13012</t>
  </si>
  <si>
    <t>FBA198XY9VBP</t>
  </si>
  <si>
    <t>FBA199664Z1H</t>
  </si>
  <si>
    <t>FBA19987CYJC</t>
  </si>
  <si>
    <t>FBA199632TX8</t>
  </si>
  <si>
    <t>FBA1996418F0</t>
  </si>
  <si>
    <t>FBA15LKFVN1C</t>
  </si>
  <si>
    <r>
      <rPr>
        <sz val="10"/>
        <color theme="1"/>
        <rFont val="微软雅黑"/>
        <family val="2"/>
        <charset val="134"/>
      </rPr>
      <t>备注跟</t>
    </r>
    <r>
      <rPr>
        <sz val="10"/>
        <color theme="1"/>
        <rFont val="Aptos"/>
        <family val="2"/>
      </rPr>
      <t>FBA19987CYJC</t>
    </r>
    <r>
      <rPr>
        <sz val="10"/>
        <color theme="1"/>
        <rFont val="微软雅黑"/>
        <family val="2"/>
        <charset val="134"/>
      </rPr>
      <t>合并报关</t>
    </r>
  </si>
  <si>
    <r>
      <rPr>
        <sz val="10"/>
        <color theme="1"/>
        <rFont val="微软雅黑"/>
        <family val="2"/>
        <charset val="134"/>
      </rPr>
      <t>送货到天盛广州仓安排跟会七里的货合并计费，备注跟</t>
    </r>
    <r>
      <rPr>
        <sz val="10"/>
        <color theme="1"/>
        <rFont val="Aptos"/>
        <family val="2"/>
      </rPr>
      <t>FBA19987CYJC</t>
    </r>
    <r>
      <rPr>
        <sz val="10"/>
        <color theme="1"/>
        <rFont val="微软雅黑"/>
        <family val="2"/>
        <charset val="134"/>
      </rPr>
      <t>合并报关</t>
    </r>
  </si>
  <si>
    <t>W14006</t>
  </si>
  <si>
    <t>FBA199KPSFXM</t>
  </si>
  <si>
    <t>W14007</t>
  </si>
  <si>
    <t>FBA199KNT8RY</t>
  </si>
  <si>
    <t>FBA199JBH82C</t>
  </si>
  <si>
    <t>FBA199J9RQ5K</t>
  </si>
  <si>
    <t>FBA199JCMDW7</t>
  </si>
  <si>
    <t>FBA199ND5Y2G</t>
  </si>
  <si>
    <t>FBA199JC2QFL</t>
  </si>
  <si>
    <t>W14005</t>
  </si>
  <si>
    <t>FBA199J9FWBW</t>
  </si>
  <si>
    <t>FBA199JBK252</t>
  </si>
  <si>
    <t>FBA199KWXBZZ</t>
  </si>
  <si>
    <t>FBA199J8WL2C</t>
  </si>
  <si>
    <t>FBA199J7KYFZ</t>
  </si>
  <si>
    <t>FBA199JB9GX5</t>
  </si>
  <si>
    <t>FBA199J506NT</t>
  </si>
  <si>
    <t>FBA199JBCYRR</t>
  </si>
  <si>
    <t>YYZ7</t>
  </si>
  <si>
    <r>
      <rPr>
        <sz val="10"/>
        <color theme="1"/>
        <rFont val="微软雅黑"/>
        <family val="2"/>
        <charset val="134"/>
      </rPr>
      <t>跟上周一样，拉到广州仓库去合并下单，报关</t>
    </r>
  </si>
  <si>
    <t>MD1-B_YD</t>
  </si>
  <si>
    <t>MD1-SILV_YD</t>
  </si>
  <si>
    <t>MD1-T_YD</t>
  </si>
  <si>
    <r>
      <t xml:space="preserve">MD1-B_YD </t>
    </r>
    <r>
      <rPr>
        <sz val="10"/>
        <color theme="1"/>
        <rFont val="微软雅黑"/>
        <family val="2"/>
        <charset val="134"/>
      </rPr>
      <t>电子球形把手锁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指纹（永定）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黑色</t>
    </r>
  </si>
  <si>
    <r>
      <t xml:space="preserve">MD1-SILV_YD </t>
    </r>
    <r>
      <rPr>
        <sz val="10"/>
        <color theme="1"/>
        <rFont val="微软雅黑"/>
        <family val="2"/>
        <charset val="134"/>
      </rPr>
      <t>电子球形把手锁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指纹（永定）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银色</t>
    </r>
  </si>
  <si>
    <r>
      <t xml:space="preserve">MD1-T _YD </t>
    </r>
    <r>
      <rPr>
        <sz val="10"/>
        <color theme="1"/>
        <rFont val="微软雅黑"/>
        <family val="2"/>
        <charset val="134"/>
      </rPr>
      <t>电子球形把手锁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指纹（永定）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钛灰色</t>
    </r>
  </si>
  <si>
    <r>
      <rPr>
        <b/>
        <sz val="10"/>
        <color theme="1"/>
        <rFont val="微软雅黑"/>
        <family val="2"/>
        <charset val="134"/>
      </rPr>
      <t>发货单三级分类标准</t>
    </r>
    <phoneticPr fontId="41" type="noConversion"/>
  </si>
  <si>
    <r>
      <rPr>
        <b/>
        <sz val="10"/>
        <color theme="1"/>
        <rFont val="微软雅黑"/>
        <family val="2"/>
        <charset val="134"/>
      </rPr>
      <t>料号一致性</t>
    </r>
    <phoneticPr fontId="41" type="noConversion"/>
  </si>
  <si>
    <r>
      <rPr>
        <sz val="10"/>
        <color theme="1"/>
        <rFont val="微软雅黑"/>
        <family val="2"/>
        <charset val="134"/>
      </rPr>
      <t>柱形扩香仪机油套装</t>
    </r>
  </si>
  <si>
    <t>ANWKIT-B_US_2X100K01-1</t>
    <phoneticPr fontId="41" type="noConversion"/>
  </si>
  <si>
    <t>ANWKIT-WH_US_2X100K01-1</t>
    <phoneticPr fontId="41" type="noConversion"/>
  </si>
  <si>
    <t>ANAKIT-WH_US_2X100K02-1</t>
    <phoneticPr fontId="41" type="noConversion"/>
  </si>
  <si>
    <t>ANAKIT-B_US_2X100K02-1</t>
    <phoneticPr fontId="41" type="noConversion"/>
  </si>
  <si>
    <t>ANAKIT-B_US_2X100K03-1</t>
    <phoneticPr fontId="41" type="noConversion"/>
  </si>
  <si>
    <t>ANAKIT-WH_US_2X100K03-1</t>
    <phoneticPr fontId="41" type="noConversion"/>
  </si>
  <si>
    <t>ANWKIT-B_US_2X100K03-1</t>
    <phoneticPr fontId="41" type="noConversion"/>
  </si>
  <si>
    <t>ANWKIT-WH_US_2X100K03-1</t>
    <phoneticPr fontId="41" type="noConversion"/>
  </si>
  <si>
    <t>ANPKIT-B_US_3X20K01_TZ-1</t>
    <phoneticPr fontId="41" type="noConversion"/>
  </si>
  <si>
    <t>ANPKIT-WH_US_3X20K01_TZ-1</t>
    <phoneticPr fontId="41" type="noConversion"/>
  </si>
  <si>
    <r>
      <rPr>
        <sz val="10"/>
        <color theme="1"/>
        <rFont val="微软雅黑"/>
        <family val="2"/>
        <charset val="134"/>
      </rPr>
      <t>内门球锁</t>
    </r>
  </si>
  <si>
    <r>
      <rPr>
        <sz val="10"/>
        <color theme="1"/>
        <rFont val="微软雅黑"/>
        <family val="2"/>
        <charset val="134"/>
      </rPr>
      <t>非</t>
    </r>
    <r>
      <rPr>
        <sz val="10"/>
        <color theme="1"/>
        <rFont val="Aptos"/>
        <family val="2"/>
      </rPr>
      <t>FBA</t>
    </r>
    <r>
      <rPr>
        <sz val="10"/>
        <color theme="1"/>
        <rFont val="微软雅黑"/>
        <family val="2"/>
        <charset val="134"/>
      </rPr>
      <t>发货产品</t>
    </r>
  </si>
  <si>
    <r>
      <rPr>
        <sz val="10"/>
        <color theme="1"/>
        <rFont val="微软雅黑"/>
        <family val="2"/>
        <charset val="134"/>
      </rPr>
      <t>柱形扩香仪</t>
    </r>
  </si>
  <si>
    <r>
      <rPr>
        <sz val="10"/>
        <color theme="1"/>
        <rFont val="微软雅黑"/>
        <family val="2"/>
        <charset val="134"/>
      </rPr>
      <t>智能入户门锁</t>
    </r>
  </si>
  <si>
    <r>
      <rPr>
        <sz val="10"/>
        <color theme="1"/>
        <rFont val="微软雅黑"/>
        <family val="2"/>
        <charset val="134"/>
      </rPr>
      <t>智能空气净化器配件</t>
    </r>
  </si>
  <si>
    <r>
      <rPr>
        <sz val="10"/>
        <color theme="1"/>
        <rFont val="微软雅黑"/>
        <family val="2"/>
        <charset val="134"/>
      </rPr>
      <t>泡沫机套装</t>
    </r>
  </si>
  <si>
    <r>
      <rPr>
        <sz val="10"/>
        <color theme="1"/>
        <rFont val="微软雅黑"/>
        <family val="2"/>
        <charset val="134"/>
      </rPr>
      <t>泡沫机整机套装</t>
    </r>
    <phoneticPr fontId="41" type="noConversion"/>
  </si>
  <si>
    <r>
      <rPr>
        <sz val="10"/>
        <color theme="1"/>
        <rFont val="微软雅黑"/>
        <family val="2"/>
        <charset val="134"/>
      </rPr>
      <t>泡沫机配件</t>
    </r>
  </si>
  <si>
    <r>
      <rPr>
        <sz val="10"/>
        <color theme="1"/>
        <rFont val="微软雅黑"/>
        <family val="2"/>
        <charset val="134"/>
      </rPr>
      <t>泡沫机单机</t>
    </r>
  </si>
  <si>
    <r>
      <rPr>
        <sz val="10"/>
        <color theme="1"/>
        <rFont val="微软雅黑"/>
        <family val="2"/>
        <charset val="134"/>
      </rPr>
      <t>扩香仪整机套装（</t>
    </r>
    <r>
      <rPr>
        <sz val="10"/>
        <color theme="1"/>
        <rFont val="Aptos"/>
        <family val="2"/>
      </rPr>
      <t>2</t>
    </r>
    <r>
      <rPr>
        <sz val="10"/>
        <color theme="1"/>
        <rFont val="微软雅黑"/>
        <family val="2"/>
        <charset val="134"/>
      </rPr>
      <t>）</t>
    </r>
  </si>
  <si>
    <r>
      <t>AN8KIT-B_2X20K03 AN8</t>
    </r>
    <r>
      <rPr>
        <sz val="10"/>
        <color theme="1"/>
        <rFont val="微软雅黑"/>
        <family val="2"/>
        <charset val="134"/>
      </rPr>
      <t>黑色机器</t>
    </r>
    <r>
      <rPr>
        <sz val="10"/>
        <color theme="1"/>
        <rFont val="Aptos"/>
        <family val="2"/>
      </rPr>
      <t>+2X20mL</t>
    </r>
    <r>
      <rPr>
        <sz val="10"/>
        <color theme="1"/>
        <rFont val="微软雅黑"/>
        <family val="2"/>
        <charset val="134"/>
      </rPr>
      <t>（天竺）酒店香氛油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机油套装</t>
    </r>
    <phoneticPr fontId="41" type="noConversion"/>
  </si>
  <si>
    <r>
      <t>AN8KIT-WH_2X20K03 AN8</t>
    </r>
    <r>
      <rPr>
        <sz val="10"/>
        <color theme="1"/>
        <rFont val="微软雅黑"/>
        <family val="2"/>
        <charset val="134"/>
      </rPr>
      <t>白色机器</t>
    </r>
    <r>
      <rPr>
        <sz val="10"/>
        <color theme="1"/>
        <rFont val="Aptos"/>
        <family val="2"/>
      </rPr>
      <t>+2X20mL</t>
    </r>
    <r>
      <rPr>
        <sz val="10"/>
        <color theme="1"/>
        <rFont val="微软雅黑"/>
        <family val="2"/>
        <charset val="134"/>
      </rPr>
      <t>（天竺）酒店香氛油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机油套装</t>
    </r>
  </si>
  <si>
    <r>
      <rPr>
        <sz val="10"/>
        <color theme="1"/>
        <rFont val="微软雅黑"/>
        <family val="2"/>
        <charset val="134"/>
      </rPr>
      <t>控制器</t>
    </r>
  </si>
  <si>
    <r>
      <t>6X10</t>
    </r>
    <r>
      <rPr>
        <sz val="10"/>
        <color theme="1"/>
        <rFont val="微软雅黑"/>
        <family val="2"/>
        <charset val="134"/>
      </rPr>
      <t>套装</t>
    </r>
  </si>
  <si>
    <r>
      <t>500ML</t>
    </r>
    <r>
      <rPr>
        <sz val="10"/>
        <color theme="1"/>
        <rFont val="微软雅黑"/>
        <family val="2"/>
        <charset val="134"/>
      </rPr>
      <t>单瓶</t>
    </r>
  </si>
  <si>
    <r>
      <t>100ML</t>
    </r>
    <r>
      <rPr>
        <sz val="10"/>
        <color theme="1"/>
        <rFont val="微软雅黑"/>
        <family val="2"/>
        <charset val="134"/>
      </rPr>
      <t>单瓶</t>
    </r>
  </si>
  <si>
    <t>RD1-G</t>
    <phoneticPr fontId="41" type="noConversion"/>
  </si>
  <si>
    <r>
      <t xml:space="preserve">RD1-G </t>
    </r>
    <r>
      <rPr>
        <sz val="10"/>
        <rFont val="微软雅黑"/>
        <family val="2"/>
        <charset val="134"/>
      </rPr>
      <t>便携式扩香仪</t>
    </r>
    <r>
      <rPr>
        <sz val="10"/>
        <rFont val="Aptos"/>
        <family val="2"/>
      </rPr>
      <t xml:space="preserve"> </t>
    </r>
    <r>
      <rPr>
        <sz val="10"/>
        <rFont val="微软雅黑"/>
        <family val="2"/>
        <charset val="134"/>
      </rPr>
      <t>灰色</t>
    </r>
    <phoneticPr fontId="41" type="noConversion"/>
  </si>
  <si>
    <r>
      <rPr>
        <sz val="10"/>
        <rFont val="微软雅黑"/>
        <family val="2"/>
        <charset val="134"/>
      </rPr>
      <t>空气类</t>
    </r>
  </si>
  <si>
    <r>
      <rPr>
        <sz val="10"/>
        <rFont val="微软雅黑"/>
        <family val="2"/>
        <charset val="134"/>
      </rPr>
      <t>扩香仪</t>
    </r>
  </si>
  <si>
    <r>
      <rPr>
        <sz val="10"/>
        <rFont val="微软雅黑"/>
        <family val="2"/>
        <charset val="134"/>
      </rPr>
      <t>扩香仪整机</t>
    </r>
  </si>
  <si>
    <r>
      <rPr>
        <sz val="10"/>
        <rFont val="微软雅黑"/>
        <family val="2"/>
        <charset val="134"/>
      </rPr>
      <t>非智能</t>
    </r>
  </si>
  <si>
    <r>
      <rPr>
        <sz val="10"/>
        <rFont val="微软雅黑"/>
        <family val="2"/>
        <charset val="134"/>
      </rPr>
      <t>深圳市裕双电子科技有限公司</t>
    </r>
  </si>
  <si>
    <r>
      <rPr>
        <sz val="10"/>
        <rFont val="微软雅黑"/>
        <family val="2"/>
        <charset val="134"/>
      </rPr>
      <t>裕双</t>
    </r>
    <phoneticPr fontId="41" type="noConversion"/>
  </si>
  <si>
    <t>W15007</t>
  </si>
  <si>
    <t>FBA199V9G06K</t>
  </si>
  <si>
    <t>FBA19B7DZGDV</t>
  </si>
  <si>
    <t>W15003</t>
  </si>
  <si>
    <t>FBA199V98MJG</t>
  </si>
  <si>
    <t>W15006</t>
  </si>
  <si>
    <t>FBA199WVYDVD</t>
  </si>
  <si>
    <t>FBA199WX2PW7</t>
  </si>
  <si>
    <t>FBA199WV8JXK</t>
  </si>
  <si>
    <t>FBA199X2YQJT</t>
  </si>
  <si>
    <t>FBA199V40XDQ</t>
  </si>
  <si>
    <t>FBA199V5RZPW</t>
  </si>
  <si>
    <t>W15002</t>
  </si>
  <si>
    <t>FBA15LMGRQ7F</t>
  </si>
  <si>
    <t>W15004</t>
  </si>
  <si>
    <t>FBA199WG4JL3</t>
  </si>
  <si>
    <t>FBA199TT251G</t>
  </si>
  <si>
    <t>W15005</t>
  </si>
  <si>
    <t>FBA199WTFJB1</t>
  </si>
  <si>
    <t>W15008</t>
  </si>
  <si>
    <t>FBA199V32GNW</t>
  </si>
  <si>
    <t>ES1KIT-W_W</t>
  </si>
  <si>
    <t>FBA199WGX66P</t>
  </si>
  <si>
    <t>FBA199TTG21T</t>
  </si>
  <si>
    <t>MD1_YD</t>
    <phoneticPr fontId="41" type="noConversion"/>
  </si>
  <si>
    <t>G1_YD</t>
    <phoneticPr fontId="24" type="noConversion"/>
  </si>
  <si>
    <t>ANZKIT-B_RZ30ML_TZ</t>
  </si>
  <si>
    <r>
      <t>ANZKIT-B_RZ30ML_TZ ANZ</t>
    </r>
    <r>
      <rPr>
        <sz val="10"/>
        <rFont val="微软雅黑"/>
        <family val="2"/>
        <charset val="134"/>
      </rPr>
      <t>黑色机器</t>
    </r>
    <r>
      <rPr>
        <sz val="10"/>
        <rFont val="Aptos"/>
        <family val="2"/>
      </rPr>
      <t>+30mL</t>
    </r>
    <r>
      <rPr>
        <sz val="10"/>
        <rFont val="微软雅黑"/>
        <family val="2"/>
        <charset val="134"/>
      </rPr>
      <t>丽思卡尔顿酒店（天竺）香氛油</t>
    </r>
    <r>
      <rPr>
        <sz val="10"/>
        <rFont val="Aptos"/>
        <family val="2"/>
      </rPr>
      <t xml:space="preserve"> </t>
    </r>
    <r>
      <rPr>
        <sz val="10"/>
        <rFont val="微软雅黑"/>
        <family val="2"/>
        <charset val="134"/>
      </rPr>
      <t>机油套装</t>
    </r>
    <phoneticPr fontId="41" type="noConversion"/>
  </si>
  <si>
    <r>
      <rPr>
        <sz val="10"/>
        <rFont val="微软雅黑"/>
        <family val="2"/>
        <charset val="134"/>
      </rPr>
      <t>扩香仪机油套装</t>
    </r>
  </si>
  <si>
    <t>ANZKIT-W_RZ30ML_TZ</t>
  </si>
  <si>
    <r>
      <t>ANZKIT-W_RZ30ML_TZ ANZ</t>
    </r>
    <r>
      <rPr>
        <sz val="10"/>
        <rFont val="微软雅黑"/>
        <family val="2"/>
        <charset val="134"/>
      </rPr>
      <t>白色机器</t>
    </r>
    <r>
      <rPr>
        <sz val="10"/>
        <rFont val="Aptos"/>
        <family val="2"/>
      </rPr>
      <t>+30mL</t>
    </r>
    <r>
      <rPr>
        <sz val="10"/>
        <rFont val="微软雅黑"/>
        <family val="2"/>
        <charset val="134"/>
      </rPr>
      <t>丽思卡尔顿酒店（天竺）香氛油</t>
    </r>
    <r>
      <rPr>
        <sz val="10"/>
        <rFont val="Aptos"/>
        <family val="2"/>
      </rPr>
      <t xml:space="preserve"> </t>
    </r>
    <r>
      <rPr>
        <sz val="10"/>
        <rFont val="微软雅黑"/>
        <family val="2"/>
        <charset val="134"/>
      </rPr>
      <t>机油套装</t>
    </r>
    <phoneticPr fontId="41" type="noConversion"/>
  </si>
  <si>
    <r>
      <rPr>
        <sz val="10"/>
        <color theme="1"/>
        <rFont val="微软雅黑"/>
        <family val="2"/>
        <charset val="134"/>
      </rPr>
      <t>海外仓</t>
    </r>
    <r>
      <rPr>
        <sz val="10"/>
        <color theme="1"/>
        <rFont val="Aptos"/>
        <family val="2"/>
      </rPr>
      <t xml:space="preserve"> 5AA-8PC 5</t>
    </r>
    <r>
      <rPr>
        <sz val="10"/>
        <color theme="1"/>
        <rFont val="微软雅黑"/>
        <family val="2"/>
        <charset val="134"/>
      </rPr>
      <t>号碱性电池</t>
    </r>
    <r>
      <rPr>
        <sz val="10"/>
        <color theme="1"/>
        <rFont val="Aptos"/>
        <family val="2"/>
      </rPr>
      <t xml:space="preserve"> 8PACK</t>
    </r>
    <phoneticPr fontId="25" type="noConversion"/>
  </si>
  <si>
    <r>
      <rPr>
        <sz val="10"/>
        <color theme="1"/>
        <rFont val="微软雅黑"/>
        <family val="2"/>
        <charset val="134"/>
      </rPr>
      <t>不包提货（报关费</t>
    </r>
    <r>
      <rPr>
        <sz val="10"/>
        <color theme="1"/>
        <rFont val="Aptos"/>
        <family val="2"/>
      </rPr>
      <t>400+</t>
    </r>
    <r>
      <rPr>
        <sz val="10"/>
        <color theme="1"/>
        <rFont val="微软雅黑"/>
        <family val="2"/>
        <charset val="134"/>
      </rPr>
      <t>战争附加费</t>
    </r>
    <r>
      <rPr>
        <sz val="10"/>
        <color theme="1"/>
        <rFont val="Aptos"/>
        <family val="2"/>
      </rPr>
      <t>120+</t>
    </r>
    <r>
      <rPr>
        <sz val="10"/>
        <color theme="1"/>
        <rFont val="微软雅黑"/>
        <family val="2"/>
        <charset val="134"/>
      </rPr>
      <t>头程费</t>
    </r>
    <r>
      <rPr>
        <sz val="10"/>
        <color theme="1"/>
        <rFont val="Aptos"/>
        <family val="2"/>
      </rPr>
      <t>516.08</t>
    </r>
    <r>
      <rPr>
        <sz val="10"/>
        <color theme="1"/>
        <rFont val="微软雅黑"/>
        <family val="2"/>
        <charset val="134"/>
      </rPr>
      <t>）</t>
    </r>
    <phoneticPr fontId="25" type="noConversion"/>
  </si>
  <si>
    <r>
      <t xml:space="preserve">U1-BG_US </t>
    </r>
    <r>
      <rPr>
        <sz val="10"/>
        <color theme="1"/>
        <rFont val="微软雅黑"/>
        <family val="2"/>
        <charset val="134"/>
      </rPr>
      <t>智能扩香仪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米灰色</t>
    </r>
    <phoneticPr fontId="41" type="noConversion"/>
  </si>
  <si>
    <t>FBA19B9KJ2QH</t>
  </si>
  <si>
    <t>W16007</t>
  </si>
  <si>
    <t>FBA19B9LM3JV</t>
  </si>
  <si>
    <t>FBA15LN44JQQ</t>
  </si>
  <si>
    <t>FBA15G8D1ZB2</t>
  </si>
  <si>
    <t>W16014</t>
  </si>
  <si>
    <t>FBA19BBRVKSC</t>
  </si>
  <si>
    <t>FBA19B9C8RDL</t>
  </si>
  <si>
    <t>FBA19BC498R6</t>
  </si>
  <si>
    <t>FBA19BC2TT08</t>
  </si>
  <si>
    <t>FBA19B9HK18P</t>
  </si>
  <si>
    <t>FBA19BK8QFSK</t>
  </si>
  <si>
    <t>W16010</t>
  </si>
  <si>
    <t>FBA19BCDLF7B</t>
  </si>
  <si>
    <t>FBA19BCGVYN1</t>
  </si>
  <si>
    <t>W16012</t>
  </si>
  <si>
    <t>FBA19BCK42Y8</t>
  </si>
  <si>
    <t>FBA19B9NXYNH</t>
  </si>
  <si>
    <t>FBA19B7B1PZ2</t>
  </si>
  <si>
    <t>FBA19B79W7D9</t>
  </si>
  <si>
    <t>W16011</t>
  </si>
  <si>
    <t>FBA19B7N189J</t>
  </si>
  <si>
    <t>FBA19B7J1BX9</t>
  </si>
  <si>
    <t>RZ1-500ML_TZ</t>
  </si>
  <si>
    <t>FBA19B9HSTHR</t>
  </si>
  <si>
    <t>W16013</t>
  </si>
  <si>
    <t>FBA19B9DG84G</t>
  </si>
  <si>
    <t>W16008</t>
  </si>
  <si>
    <t>FBA19B9DKZG9</t>
  </si>
  <si>
    <t>TPA2</t>
  </si>
  <si>
    <t>FBA19B9HCN3R</t>
  </si>
  <si>
    <t>W16009</t>
  </si>
  <si>
    <t>FBA19B9HCF21</t>
  </si>
  <si>
    <t>TEB6</t>
  </si>
  <si>
    <t>FBA19B9DLDTH</t>
  </si>
  <si>
    <t>FBA15LN4716N</t>
  </si>
  <si>
    <r>
      <t>100KG</t>
    </r>
    <r>
      <rPr>
        <sz val="10"/>
        <color theme="1"/>
        <rFont val="微软雅黑"/>
        <family val="2"/>
        <charset val="134"/>
      </rPr>
      <t>起收费</t>
    </r>
  </si>
  <si>
    <r>
      <rPr>
        <sz val="10"/>
        <color theme="1"/>
        <rFont val="微软雅黑"/>
        <family val="2"/>
        <charset val="134"/>
      </rPr>
      <t>跟</t>
    </r>
    <r>
      <rPr>
        <sz val="10"/>
        <color theme="1"/>
        <rFont val="Aptos"/>
        <family val="2"/>
      </rPr>
      <t>FBA19BCDLF7B</t>
    </r>
    <r>
      <rPr>
        <sz val="10"/>
        <color theme="1"/>
        <rFont val="微软雅黑"/>
        <family val="2"/>
        <charset val="134"/>
      </rPr>
      <t>合并报关，需要同一天提货</t>
    </r>
  </si>
  <si>
    <t>ANAKIT-B_EU_2X100K03</t>
  </si>
  <si>
    <t>ANAKIT-WH_EU_2X100K03</t>
  </si>
  <si>
    <t>ANP-W_EU</t>
  </si>
  <si>
    <t>ANPKIT-W_EU_3X20K01_TZ</t>
  </si>
  <si>
    <t>ANPKIT-W_EU_3X20K01_TZ-1</t>
    <phoneticPr fontId="25" type="noConversion"/>
  </si>
  <si>
    <t>ANAKIT-B_EU_2X100K03-1</t>
    <phoneticPr fontId="25" type="noConversion"/>
  </si>
  <si>
    <t>ANAKIT-WH_EU_2X100K03-1</t>
    <phoneticPr fontId="25" type="noConversion"/>
  </si>
  <si>
    <t>HILTON1-500ML_TZ</t>
  </si>
  <si>
    <r>
      <rPr>
        <sz val="10"/>
        <rFont val="微软雅黑"/>
        <family val="2"/>
        <charset val="134"/>
      </rPr>
      <t>精油</t>
    </r>
  </si>
  <si>
    <r>
      <rPr>
        <sz val="10"/>
        <rFont val="微软雅黑"/>
        <family val="2"/>
        <charset val="134"/>
      </rPr>
      <t>香氛油</t>
    </r>
  </si>
  <si>
    <r>
      <rPr>
        <sz val="10"/>
        <rFont val="微软雅黑"/>
        <family val="2"/>
        <charset val="134"/>
      </rPr>
      <t>香氛油单瓶</t>
    </r>
  </si>
  <si>
    <r>
      <rPr>
        <sz val="10"/>
        <rFont val="微软雅黑"/>
        <family val="2"/>
        <charset val="134"/>
      </rPr>
      <t>深圳市天竺香氛有限公司</t>
    </r>
    <phoneticPr fontId="41" type="noConversion"/>
  </si>
  <si>
    <r>
      <rPr>
        <sz val="10"/>
        <rFont val="微软雅黑"/>
        <family val="2"/>
        <charset val="134"/>
      </rPr>
      <t>天竺</t>
    </r>
    <phoneticPr fontId="41" type="noConversion"/>
  </si>
  <si>
    <r>
      <t>500ML</t>
    </r>
    <r>
      <rPr>
        <sz val="10"/>
        <rFont val="微软雅黑"/>
        <family val="2"/>
        <charset val="134"/>
      </rPr>
      <t>单瓶</t>
    </r>
  </si>
  <si>
    <t>SJ1-500ML_TZ</t>
  </si>
  <si>
    <t>RDXKIT-G_US_2X100K04</t>
  </si>
  <si>
    <r>
      <t>RDXKIT-G_US_2X100K04 RDX</t>
    </r>
    <r>
      <rPr>
        <sz val="10"/>
        <rFont val="微软雅黑"/>
        <family val="2"/>
        <charset val="134"/>
      </rPr>
      <t>灰色机器</t>
    </r>
    <r>
      <rPr>
        <sz val="10"/>
        <rFont val="Aptos"/>
        <family val="2"/>
      </rPr>
      <t>+2X100mL</t>
    </r>
    <r>
      <rPr>
        <sz val="10"/>
        <rFont val="微软雅黑"/>
        <family val="2"/>
        <charset val="134"/>
      </rPr>
      <t>酒店香氛油（天竺）</t>
    </r>
    <r>
      <rPr>
        <sz val="10"/>
        <rFont val="Aptos"/>
        <family val="2"/>
      </rPr>
      <t xml:space="preserve"> </t>
    </r>
    <r>
      <rPr>
        <sz val="10"/>
        <rFont val="微软雅黑"/>
        <family val="2"/>
        <charset val="134"/>
      </rPr>
      <t>机油套装</t>
    </r>
  </si>
  <si>
    <r>
      <rPr>
        <sz val="10"/>
        <rFont val="微软雅黑"/>
        <family val="2"/>
        <charset val="134"/>
      </rPr>
      <t>智能扩香仪</t>
    </r>
    <phoneticPr fontId="41" type="noConversion"/>
  </si>
  <si>
    <r>
      <rPr>
        <sz val="10"/>
        <rFont val="微软雅黑"/>
        <family val="2"/>
        <charset val="134"/>
      </rPr>
      <t>智能扩香仪机油套装</t>
    </r>
    <phoneticPr fontId="41" type="noConversion"/>
  </si>
  <si>
    <r>
      <rPr>
        <sz val="10"/>
        <rFont val="微软雅黑"/>
        <family val="2"/>
        <charset val="134"/>
      </rPr>
      <t>智能</t>
    </r>
    <phoneticPr fontId="41" type="noConversion"/>
  </si>
  <si>
    <r>
      <rPr>
        <sz val="10"/>
        <rFont val="微软雅黑"/>
        <family val="2"/>
        <charset val="134"/>
      </rPr>
      <t>深圳市裕双电子科技有限公司</t>
    </r>
    <phoneticPr fontId="41" type="noConversion"/>
  </si>
  <si>
    <r>
      <rPr>
        <sz val="10"/>
        <rFont val="微软雅黑"/>
        <family val="2"/>
        <charset val="134"/>
      </rPr>
      <t>柱形扩香仪机油套装</t>
    </r>
  </si>
  <si>
    <t>RDX-G_US</t>
  </si>
  <si>
    <r>
      <t xml:space="preserve">RDX-G_US </t>
    </r>
    <r>
      <rPr>
        <sz val="10"/>
        <rFont val="微软雅黑"/>
        <family val="2"/>
        <charset val="134"/>
      </rPr>
      <t>智能扩香仪</t>
    </r>
    <r>
      <rPr>
        <sz val="10"/>
        <rFont val="Aptos"/>
        <family val="2"/>
      </rPr>
      <t xml:space="preserve"> </t>
    </r>
    <r>
      <rPr>
        <sz val="10"/>
        <rFont val="微软雅黑"/>
        <family val="2"/>
        <charset val="134"/>
      </rPr>
      <t>灰色</t>
    </r>
  </si>
  <si>
    <r>
      <rPr>
        <sz val="10"/>
        <rFont val="微软雅黑"/>
        <family val="2"/>
        <charset val="134"/>
      </rPr>
      <t>智能扩香仪</t>
    </r>
  </si>
  <si>
    <r>
      <rPr>
        <sz val="10"/>
        <rFont val="微软雅黑"/>
        <family val="2"/>
        <charset val="134"/>
      </rPr>
      <t>智能扩香仪整机</t>
    </r>
    <phoneticPr fontId="41" type="noConversion"/>
  </si>
  <si>
    <r>
      <rPr>
        <sz val="10"/>
        <rFont val="微软雅黑"/>
        <family val="2"/>
        <charset val="134"/>
      </rPr>
      <t>柱形扩香仪</t>
    </r>
  </si>
  <si>
    <t>FBA19B7J1BX9</t>
    <phoneticPr fontId="25" type="noConversion"/>
  </si>
  <si>
    <t>FBA15LP65LXZ</t>
  </si>
  <si>
    <t>FBA15G8QSTZS</t>
  </si>
  <si>
    <t>W17006</t>
  </si>
  <si>
    <t>FBA19BY3VMYT</t>
  </si>
  <si>
    <t>W17009</t>
  </si>
  <si>
    <t>FBA19BY83NF8</t>
  </si>
  <si>
    <t>W17003</t>
  </si>
  <si>
    <t>FBA19BS18QGQ</t>
  </si>
  <si>
    <t>FBA19BS5LVP7</t>
  </si>
  <si>
    <t>FBA19BRTCW8K</t>
  </si>
  <si>
    <t>FBA19BY2DDBJ</t>
  </si>
  <si>
    <t>W17008</t>
  </si>
  <si>
    <t>FBA19BRD7JZ3</t>
  </si>
  <si>
    <t>W17007</t>
  </si>
  <si>
    <t>FBA19BRN46FT</t>
  </si>
  <si>
    <t>W17005</t>
  </si>
  <si>
    <t>FBA19BS9WBMQ</t>
  </si>
  <si>
    <t>FBA19BRK5DWK</t>
  </si>
  <si>
    <t>FBA19BRWKFV5</t>
  </si>
  <si>
    <t>FBA19BRVKMS2</t>
  </si>
  <si>
    <t>W17004</t>
  </si>
  <si>
    <t>FBA19BRVNNYF</t>
  </si>
  <si>
    <t>W17010</t>
  </si>
  <si>
    <t>FBA19C2Q5YYR</t>
  </si>
  <si>
    <t>W18005</t>
  </si>
  <si>
    <t>FBA19C5419DM</t>
  </si>
  <si>
    <t>W18006</t>
  </si>
  <si>
    <t>FBA19C4KVPDZ</t>
  </si>
  <si>
    <t>FBA19C54L6RG</t>
  </si>
  <si>
    <t>RD1-G</t>
  </si>
  <si>
    <t>FBA19C53QL9F</t>
  </si>
  <si>
    <t>FBA19C5HZZP9</t>
  </si>
  <si>
    <t>FBA19C5PCDN1</t>
  </si>
  <si>
    <t>FBA19C5PLM9L</t>
  </si>
  <si>
    <t>FBA19CFN1JVG</t>
  </si>
  <si>
    <t>FBA19CCGJKBD</t>
  </si>
  <si>
    <t>FBA19CCPRKWP</t>
  </si>
  <si>
    <t>FBA19CCTKGCQ</t>
  </si>
  <si>
    <t>FBA19C5F8QF9</t>
  </si>
  <si>
    <t>FBA19C589LLD</t>
  </si>
  <si>
    <t>FBA19CK1JT4K</t>
  </si>
  <si>
    <t>U1KIT-B_US_2X50K01_TZ</t>
  </si>
  <si>
    <t>FBA19CJY2VB7</t>
  </si>
  <si>
    <t>U1-B_US</t>
  </si>
  <si>
    <t>FBA19C12J46C</t>
  </si>
  <si>
    <t>FBA19C53HQWX</t>
  </si>
  <si>
    <t>FBA19C12XM4V</t>
  </si>
  <si>
    <r>
      <rPr>
        <sz val="10"/>
        <color theme="1"/>
        <rFont val="微软雅黑"/>
        <family val="2"/>
        <charset val="134"/>
      </rPr>
      <t>跟</t>
    </r>
    <r>
      <rPr>
        <sz val="10"/>
        <color theme="1"/>
        <rFont val="Aptos"/>
        <family val="2"/>
      </rPr>
      <t xml:space="preserve">FBA19C12XM4V </t>
    </r>
    <r>
      <rPr>
        <sz val="10"/>
        <color theme="1"/>
        <rFont val="微软雅黑"/>
        <family val="2"/>
        <charset val="134"/>
      </rPr>
      <t>合并报关</t>
    </r>
  </si>
  <si>
    <t>FBA19CVZRY66</t>
  </si>
  <si>
    <r>
      <rPr>
        <sz val="10"/>
        <color theme="1"/>
        <rFont val="微软雅黑"/>
        <family val="2"/>
        <charset val="134"/>
      </rPr>
      <t>平均值项</t>
    </r>
    <r>
      <rPr>
        <sz val="10"/>
        <color theme="1"/>
        <rFont val="Aptos"/>
        <family val="2"/>
      </rPr>
      <t>:</t>
    </r>
    <r>
      <rPr>
        <sz val="10"/>
        <color theme="1"/>
        <rFont val="微软雅黑"/>
        <family val="2"/>
        <charset val="134"/>
      </rPr>
      <t>物流单价</t>
    </r>
  </si>
  <si>
    <r>
      <rPr>
        <sz val="10"/>
        <color theme="1"/>
        <rFont val="微软雅黑"/>
        <family val="2"/>
        <charset val="134"/>
      </rPr>
      <t>列标签</t>
    </r>
  </si>
  <si>
    <r>
      <rPr>
        <sz val="10"/>
        <color theme="1"/>
        <rFont val="微软雅黑"/>
        <family val="2"/>
        <charset val="134"/>
      </rPr>
      <t>行标签</t>
    </r>
  </si>
  <si>
    <r>
      <rPr>
        <sz val="10"/>
        <color theme="1"/>
        <rFont val="微软雅黑"/>
        <family val="2"/>
        <charset val="134"/>
      </rPr>
      <t>总计</t>
    </r>
  </si>
  <si>
    <r>
      <rPr>
        <sz val="10"/>
        <color theme="1"/>
        <rFont val="微软雅黑"/>
        <family val="2"/>
        <charset val="134"/>
      </rPr>
      <t>出货数量</t>
    </r>
  </si>
  <si>
    <r>
      <rPr>
        <sz val="10"/>
        <color theme="1"/>
        <rFont val="微软雅黑"/>
        <family val="2"/>
        <charset val="134"/>
      </rPr>
      <t>运费总额</t>
    </r>
  </si>
  <si>
    <r>
      <rPr>
        <sz val="10"/>
        <color theme="1"/>
        <rFont val="微软雅黑"/>
        <family val="2"/>
        <charset val="134"/>
      </rPr>
      <t>税金总额</t>
    </r>
  </si>
  <si>
    <r>
      <rPr>
        <sz val="10"/>
        <color theme="1"/>
        <rFont val="微软雅黑"/>
        <family val="2"/>
        <charset val="134"/>
      </rPr>
      <t>单台运费（</t>
    </r>
    <r>
      <rPr>
        <sz val="10"/>
        <color theme="1"/>
        <rFont val="Aptos"/>
        <family val="2"/>
      </rPr>
      <t>RMB</t>
    </r>
    <r>
      <rPr>
        <sz val="10"/>
        <color theme="1"/>
        <rFont val="微软雅黑"/>
        <family val="2"/>
        <charset val="134"/>
      </rPr>
      <t>不含税）</t>
    </r>
  </si>
  <si>
    <r>
      <rPr>
        <sz val="10"/>
        <color theme="1"/>
        <rFont val="微软雅黑"/>
        <family val="2"/>
        <charset val="134"/>
      </rPr>
      <t>单台运费（</t>
    </r>
    <r>
      <rPr>
        <sz val="10"/>
        <color theme="1"/>
        <rFont val="Aptos"/>
        <family val="2"/>
      </rPr>
      <t xml:space="preserve">RMB </t>
    </r>
    <r>
      <rPr>
        <sz val="10"/>
        <color theme="1"/>
        <rFont val="微软雅黑"/>
        <family val="2"/>
        <charset val="134"/>
      </rPr>
      <t>含税）</t>
    </r>
  </si>
  <si>
    <r>
      <rPr>
        <sz val="10"/>
        <color theme="0"/>
        <rFont val="微软雅黑"/>
        <family val="2"/>
        <charset val="134"/>
      </rPr>
      <t>单台运费（</t>
    </r>
    <r>
      <rPr>
        <sz val="10"/>
        <color theme="0"/>
        <rFont val="Aptos"/>
        <family val="2"/>
      </rPr>
      <t xml:space="preserve">USD </t>
    </r>
    <r>
      <rPr>
        <sz val="10"/>
        <color theme="0"/>
        <rFont val="微软雅黑"/>
        <family val="2"/>
        <charset val="134"/>
      </rPr>
      <t>含税</t>
    </r>
    <r>
      <rPr>
        <sz val="10"/>
        <color theme="0"/>
        <rFont val="Aptos"/>
        <family val="2"/>
      </rPr>
      <t xml:space="preserve"> </t>
    </r>
    <r>
      <rPr>
        <sz val="10"/>
        <color theme="0"/>
        <rFont val="微软雅黑"/>
        <family val="2"/>
        <charset val="134"/>
      </rPr>
      <t>汇率</t>
    </r>
    <r>
      <rPr>
        <sz val="10"/>
        <color theme="0"/>
        <rFont val="Aptos"/>
        <family val="2"/>
      </rPr>
      <t>7.0)</t>
    </r>
    <r>
      <rPr>
        <sz val="10"/>
        <color theme="0"/>
        <rFont val="微软雅黑"/>
        <family val="2"/>
        <charset val="134"/>
      </rPr>
      <t>）</t>
    </r>
  </si>
  <si>
    <r>
      <t xml:space="preserve">C&amp;F </t>
    </r>
    <r>
      <rPr>
        <sz val="10"/>
        <color theme="1"/>
        <rFont val="微软雅黑"/>
        <family val="2"/>
        <charset val="134"/>
      </rPr>
      <t>运费（汇率</t>
    </r>
    <r>
      <rPr>
        <sz val="10"/>
        <color theme="1"/>
        <rFont val="Aptos"/>
        <family val="2"/>
      </rPr>
      <t>7.0*0.8)</t>
    </r>
  </si>
  <si>
    <r>
      <t xml:space="preserve">BLG-20ML_TZ </t>
    </r>
    <r>
      <rPr>
        <sz val="10"/>
        <color theme="1"/>
        <rFont val="微软雅黑"/>
        <family val="2"/>
        <charset val="134"/>
      </rPr>
      <t>天竺百乐宫酒店香氛油</t>
    </r>
    <r>
      <rPr>
        <sz val="10"/>
        <color theme="1"/>
        <rFont val="Aptos"/>
        <family val="2"/>
      </rPr>
      <t>20mL</t>
    </r>
    <phoneticPr fontId="25" type="noConversion"/>
  </si>
  <si>
    <r>
      <t xml:space="preserve">BGR-20ML_TZ </t>
    </r>
    <r>
      <rPr>
        <sz val="10"/>
        <color theme="1"/>
        <rFont val="微软雅黑"/>
        <family val="2"/>
        <charset val="134"/>
      </rPr>
      <t>天竺宝格丽酒店香氛油</t>
    </r>
    <r>
      <rPr>
        <sz val="10"/>
        <color theme="1"/>
        <rFont val="Aptos"/>
        <family val="2"/>
      </rPr>
      <t>20mL</t>
    </r>
    <phoneticPr fontId="25" type="noConversion"/>
  </si>
  <si>
    <r>
      <t xml:space="preserve">BCRT-20ML_TZ </t>
    </r>
    <r>
      <rPr>
        <sz val="10"/>
        <color theme="1"/>
        <rFont val="微软雅黑"/>
        <family val="2"/>
        <charset val="134"/>
      </rPr>
      <t>天竺巴卡拉酒店香氛油</t>
    </r>
    <r>
      <rPr>
        <sz val="10"/>
        <color theme="1"/>
        <rFont val="Aptos"/>
        <family val="2"/>
      </rPr>
      <t>20mL</t>
    </r>
    <phoneticPr fontId="25" type="noConversion"/>
  </si>
  <si>
    <r>
      <t>ANAKIT-B_EU_2X100K03 ANA</t>
    </r>
    <r>
      <rPr>
        <sz val="10"/>
        <color theme="1"/>
        <rFont val="微软雅黑"/>
        <family val="2"/>
        <charset val="134"/>
      </rPr>
      <t>欧规黑色机器</t>
    </r>
    <r>
      <rPr>
        <sz val="10"/>
        <color theme="1"/>
        <rFont val="Aptos"/>
        <family val="2"/>
      </rPr>
      <t>+2X100mL</t>
    </r>
    <r>
      <rPr>
        <sz val="10"/>
        <color theme="1"/>
        <rFont val="微软雅黑"/>
        <family val="2"/>
        <charset val="134"/>
      </rPr>
      <t>酒店香氛油（天竺）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机油套装</t>
    </r>
  </si>
  <si>
    <r>
      <t>ANAKIT-WH_EU_2X100K03 ANA</t>
    </r>
    <r>
      <rPr>
        <sz val="10"/>
        <color theme="1"/>
        <rFont val="微软雅黑"/>
        <family val="2"/>
        <charset val="134"/>
      </rPr>
      <t>欧规白色机器</t>
    </r>
    <r>
      <rPr>
        <sz val="10"/>
        <color theme="1"/>
        <rFont val="Aptos"/>
        <family val="2"/>
      </rPr>
      <t>+2X100mL</t>
    </r>
    <r>
      <rPr>
        <sz val="10"/>
        <color theme="1"/>
        <rFont val="微软雅黑"/>
        <family val="2"/>
        <charset val="134"/>
      </rPr>
      <t>酒店香氛油（天竺）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机油套装</t>
    </r>
  </si>
  <si>
    <r>
      <t xml:space="preserve">ANP-W_EU </t>
    </r>
    <r>
      <rPr>
        <sz val="10"/>
        <color theme="1"/>
        <rFont val="微软雅黑"/>
        <family val="2"/>
        <charset val="134"/>
      </rPr>
      <t>欧规墙插式智能扩香仪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白色</t>
    </r>
  </si>
  <si>
    <r>
      <t>ANPKIT-W_EU_3X20K01_TZ ANP</t>
    </r>
    <r>
      <rPr>
        <sz val="10"/>
        <color theme="1"/>
        <rFont val="微软雅黑"/>
        <family val="2"/>
        <charset val="134"/>
      </rPr>
      <t>欧规白色机器</t>
    </r>
    <r>
      <rPr>
        <sz val="10"/>
        <color theme="1"/>
        <rFont val="Aptos"/>
        <family val="2"/>
      </rPr>
      <t>+3X20mL</t>
    </r>
    <r>
      <rPr>
        <sz val="10"/>
        <color theme="1"/>
        <rFont val="微软雅黑"/>
        <family val="2"/>
        <charset val="134"/>
      </rPr>
      <t>酒店香氛油（天竺）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机油套装</t>
    </r>
  </si>
  <si>
    <r>
      <t xml:space="preserve">HILTON1-500ML_TZ </t>
    </r>
    <r>
      <rPr>
        <sz val="10"/>
        <rFont val="微软雅黑"/>
        <family val="2"/>
        <charset val="134"/>
      </rPr>
      <t>希尔顿酒店</t>
    </r>
    <r>
      <rPr>
        <sz val="10"/>
        <rFont val="Aptos"/>
        <family val="2"/>
      </rPr>
      <t>500mL</t>
    </r>
    <r>
      <rPr>
        <sz val="10"/>
        <rFont val="微软雅黑"/>
        <family val="2"/>
        <charset val="134"/>
      </rPr>
      <t>香氛油（天竺）</t>
    </r>
    <r>
      <rPr>
        <sz val="10"/>
        <rFont val="Aptos"/>
        <family val="2"/>
      </rPr>
      <t xml:space="preserve"> </t>
    </r>
    <r>
      <rPr>
        <sz val="10"/>
        <rFont val="微软雅黑"/>
        <family val="2"/>
        <charset val="134"/>
      </rPr>
      <t>销售包装</t>
    </r>
  </si>
  <si>
    <r>
      <t xml:space="preserve">SJ1-500ML_TZ </t>
    </r>
    <r>
      <rPr>
        <sz val="10"/>
        <rFont val="微软雅黑"/>
        <family val="2"/>
        <charset val="134"/>
      </rPr>
      <t>四季酒店</t>
    </r>
    <r>
      <rPr>
        <sz val="10"/>
        <rFont val="Aptos"/>
        <family val="2"/>
      </rPr>
      <t>500mL</t>
    </r>
    <r>
      <rPr>
        <sz val="10"/>
        <rFont val="微软雅黑"/>
        <family val="2"/>
        <charset val="134"/>
      </rPr>
      <t>香氛油（天竺）</t>
    </r>
    <r>
      <rPr>
        <sz val="10"/>
        <rFont val="Aptos"/>
        <family val="2"/>
      </rPr>
      <t xml:space="preserve"> </t>
    </r>
    <r>
      <rPr>
        <sz val="10"/>
        <rFont val="微软雅黑"/>
        <family val="2"/>
        <charset val="134"/>
      </rPr>
      <t>销售包装</t>
    </r>
  </si>
  <si>
    <t>W19010</t>
  </si>
  <si>
    <t>FBA19CVVZN2V</t>
  </si>
  <si>
    <t>W19005</t>
  </si>
  <si>
    <t>FBA19CVTGBRQ</t>
  </si>
  <si>
    <t>FBA19CVTVQS7</t>
  </si>
  <si>
    <t>W19006</t>
  </si>
  <si>
    <t>FBA19CKXTVFC</t>
  </si>
  <si>
    <t>FBA19CJWGL14</t>
  </si>
  <si>
    <t>FBA15LQTG88C</t>
  </si>
  <si>
    <t>FBA19CSDPQT6</t>
  </si>
  <si>
    <t>W19007</t>
  </si>
  <si>
    <t>FBA19CSKJ9TY</t>
  </si>
  <si>
    <t>W19008</t>
  </si>
  <si>
    <t>FBA19CSMTF0M</t>
  </si>
  <si>
    <t>W19009</t>
  </si>
  <si>
    <t>FBA19CTYDDLS</t>
  </si>
  <si>
    <t>FBA19CKRNYM2</t>
  </si>
  <si>
    <t>W19004</t>
  </si>
  <si>
    <t>FBA19CS2J6FM</t>
  </si>
  <si>
    <t>YOW1</t>
  </si>
  <si>
    <t>R6339000009</t>
  </si>
  <si>
    <t>R6339000010</t>
  </si>
  <si>
    <r>
      <rPr>
        <sz val="10"/>
        <color theme="1"/>
        <rFont val="微软雅黑"/>
        <family val="2"/>
        <charset val="134"/>
      </rPr>
      <t>京弈达</t>
    </r>
  </si>
  <si>
    <t>YZTT1_10ML*2</t>
  </si>
  <si>
    <t>R6339000011</t>
  </si>
  <si>
    <t>2026-W19</t>
    <phoneticPr fontId="25" type="noConversion"/>
  </si>
  <si>
    <r>
      <rPr>
        <sz val="10"/>
        <color theme="1"/>
        <rFont val="微软雅黑"/>
        <family val="2"/>
        <charset val="134"/>
      </rPr>
      <t>积米</t>
    </r>
    <phoneticPr fontId="25" type="noConversion"/>
  </si>
  <si>
    <r>
      <rPr>
        <sz val="10"/>
        <color theme="1"/>
        <rFont val="微软雅黑"/>
        <family val="2"/>
        <charset val="134"/>
      </rPr>
      <t>海运</t>
    </r>
    <phoneticPr fontId="25" type="noConversion"/>
  </si>
  <si>
    <r>
      <t xml:space="preserve"> </t>
    </r>
    <r>
      <rPr>
        <sz val="10"/>
        <color theme="1"/>
        <rFont val="微软雅黑"/>
        <family val="2"/>
        <charset val="134"/>
      </rPr>
      <t>美东海外仓</t>
    </r>
    <phoneticPr fontId="25" type="noConversion"/>
  </si>
  <si>
    <r>
      <rPr>
        <sz val="10"/>
        <color theme="1"/>
        <rFont val="微软雅黑"/>
        <family val="2"/>
        <charset val="134"/>
      </rPr>
      <t>运德</t>
    </r>
    <phoneticPr fontId="25" type="noConversion"/>
  </si>
  <si>
    <r>
      <rPr>
        <sz val="10"/>
        <color theme="1"/>
        <rFont val="微软雅黑"/>
        <family val="2"/>
        <charset val="134"/>
      </rPr>
      <t>万邦</t>
    </r>
    <phoneticPr fontId="25" type="noConversion"/>
  </si>
  <si>
    <t>1Z765YW90312928840</t>
  </si>
  <si>
    <t>JM2605084051</t>
  </si>
  <si>
    <r>
      <t xml:space="preserve">YZTT1_10ML </t>
    </r>
    <r>
      <rPr>
        <sz val="10"/>
        <rFont val="微软雅黑"/>
        <family val="2"/>
        <charset val="134"/>
      </rPr>
      <t>柚子天堂</t>
    </r>
    <r>
      <rPr>
        <sz val="10"/>
        <rFont val="Aptos"/>
        <family val="2"/>
      </rPr>
      <t>10mL*2</t>
    </r>
    <r>
      <rPr>
        <sz val="10"/>
        <rFont val="微软雅黑"/>
        <family val="2"/>
        <charset val="134"/>
      </rPr>
      <t>香氛油（天竺）</t>
    </r>
    <r>
      <rPr>
        <sz val="10"/>
        <rFont val="Aptos"/>
        <family val="2"/>
      </rPr>
      <t xml:space="preserve"> </t>
    </r>
    <r>
      <rPr>
        <sz val="10"/>
        <rFont val="微软雅黑"/>
        <family val="2"/>
        <charset val="134"/>
      </rPr>
      <t>销售包装</t>
    </r>
    <phoneticPr fontId="47" type="noConversion"/>
  </si>
  <si>
    <r>
      <t xml:space="preserve">YZTT1_10ML </t>
    </r>
    <r>
      <rPr>
        <sz val="10"/>
        <rFont val="微软雅黑"/>
        <family val="2"/>
        <charset val="134"/>
      </rPr>
      <t>柚子天堂</t>
    </r>
    <r>
      <rPr>
        <sz val="10"/>
        <rFont val="Aptos"/>
        <family val="2"/>
      </rPr>
      <t>10mL</t>
    </r>
    <r>
      <rPr>
        <sz val="10"/>
        <rFont val="微软雅黑"/>
        <family val="2"/>
        <charset val="134"/>
      </rPr>
      <t>香氛油（天竺）</t>
    </r>
    <r>
      <rPr>
        <sz val="10"/>
        <rFont val="Aptos"/>
        <family val="2"/>
      </rPr>
      <t xml:space="preserve"> </t>
    </r>
    <r>
      <rPr>
        <sz val="10"/>
        <rFont val="微软雅黑"/>
        <family val="2"/>
        <charset val="134"/>
      </rPr>
      <t>销售包装</t>
    </r>
    <phoneticPr fontId="47" type="noConversion"/>
  </si>
  <si>
    <r>
      <t xml:space="preserve">AP2US-H14 </t>
    </r>
    <r>
      <rPr>
        <sz val="10"/>
        <rFont val="微软雅黑"/>
        <family val="2"/>
        <charset val="134"/>
      </rPr>
      <t>内置</t>
    </r>
    <r>
      <rPr>
        <sz val="10"/>
        <rFont val="Aptos"/>
        <family val="2"/>
      </rPr>
      <t>H14</t>
    </r>
    <r>
      <rPr>
        <sz val="10"/>
        <rFont val="微软雅黑"/>
        <family val="2"/>
        <charset val="134"/>
      </rPr>
      <t>滤网桌面式空气净化器</t>
    </r>
    <r>
      <rPr>
        <sz val="10"/>
        <rFont val="Aptos"/>
        <family val="2"/>
      </rPr>
      <t>2-</t>
    </r>
    <r>
      <rPr>
        <sz val="10"/>
        <rFont val="微软雅黑"/>
        <family val="2"/>
        <charset val="134"/>
      </rPr>
      <t>美规</t>
    </r>
  </si>
  <si>
    <r>
      <t xml:space="preserve">AP2F-H14 </t>
    </r>
    <r>
      <rPr>
        <sz val="10"/>
        <rFont val="微软雅黑"/>
        <family val="2"/>
        <charset val="134"/>
      </rPr>
      <t>空气净化器滤网</t>
    </r>
    <r>
      <rPr>
        <sz val="10"/>
        <rFont val="Aptos"/>
        <family val="2"/>
      </rPr>
      <t>2-H14</t>
    </r>
  </si>
  <si>
    <t>AN8KIT-WH_2X20K04_TZ</t>
    <phoneticPr fontId="41" type="noConversion"/>
  </si>
  <si>
    <r>
      <t>AN8KIT-WH_2X20K04_TZ AN8</t>
    </r>
    <r>
      <rPr>
        <sz val="10"/>
        <rFont val="微软雅黑"/>
        <family val="2"/>
        <charset val="134"/>
      </rPr>
      <t>白色机器</t>
    </r>
    <r>
      <rPr>
        <sz val="10"/>
        <rFont val="Aptos"/>
        <family val="2"/>
      </rPr>
      <t>+2X20mL</t>
    </r>
    <r>
      <rPr>
        <sz val="10"/>
        <rFont val="微软雅黑"/>
        <family val="2"/>
        <charset val="134"/>
      </rPr>
      <t>（天竺）酒店香氛油</t>
    </r>
    <r>
      <rPr>
        <sz val="10"/>
        <rFont val="Aptos"/>
        <family val="2"/>
      </rPr>
      <t xml:space="preserve"> </t>
    </r>
    <r>
      <rPr>
        <sz val="10"/>
        <rFont val="微软雅黑"/>
        <family val="2"/>
        <charset val="134"/>
      </rPr>
      <t>机油套装</t>
    </r>
    <phoneticPr fontId="41" type="noConversion"/>
  </si>
  <si>
    <t>FBA19CYBYB8S</t>
  </si>
  <si>
    <t>FBA19D0H6V9R</t>
  </si>
  <si>
    <t>货件单号</t>
  </si>
  <si>
    <t>货代名称</t>
  </si>
  <si>
    <t>提货时间</t>
  </si>
  <si>
    <t>到港日期</t>
  </si>
  <si>
    <t>总计</t>
  </si>
  <si>
    <t>(空白)</t>
  </si>
  <si>
    <t>FBA15LQTBB8F</t>
  </si>
  <si>
    <t>FBA15LQT5NPH</t>
  </si>
  <si>
    <t>FBA19CY3S27T</t>
  </si>
  <si>
    <t>FBA19CY3DWCX</t>
  </si>
  <si>
    <t>FBA19D0YVFRX</t>
  </si>
  <si>
    <t>FBA19D384MDF</t>
  </si>
  <si>
    <t>FBA19D4HMDZM</t>
  </si>
  <si>
    <t>FBA19CXM6Z07</t>
  </si>
  <si>
    <t>U1KIT-BG_US_2X50K01_TZ</t>
  </si>
  <si>
    <t>FBA19CXL7FRP</t>
  </si>
  <si>
    <t>U1-BG_US</t>
  </si>
  <si>
    <t>FBA19D2J6WFH</t>
  </si>
  <si>
    <t>HOTEL6KIT1-6X10K03_TZ</t>
  </si>
  <si>
    <t>FBA19D0HJ1ZW</t>
  </si>
  <si>
    <t>FBA19D4B6M9C</t>
  </si>
  <si>
    <t>W20009</t>
  </si>
  <si>
    <t>FBA19D93KMHJ</t>
  </si>
  <si>
    <t>FBA19D94S4L0</t>
  </si>
  <si>
    <t>W20010</t>
  </si>
  <si>
    <t>FBA19DCNSFXR</t>
  </si>
  <si>
    <t>W20011</t>
  </si>
  <si>
    <t>FBA19DCQDFHJ</t>
  </si>
  <si>
    <t>SAT4</t>
  </si>
  <si>
    <t>W20012</t>
  </si>
  <si>
    <t>FBA19DCSC490</t>
  </si>
  <si>
    <t>W20013</t>
  </si>
  <si>
    <t>FBA19DCRKGGZ</t>
  </si>
  <si>
    <t>W20014</t>
  </si>
  <si>
    <t>FBA19DCSKYDJ</t>
  </si>
  <si>
    <t>400+100.83</t>
    <phoneticPr fontId="25" type="noConversion"/>
  </si>
  <si>
    <r>
      <rPr>
        <sz val="10"/>
        <color theme="1"/>
        <rFont val="微软雅黑"/>
        <family val="2"/>
        <charset val="134"/>
      </rPr>
      <t>不上门提货，需要自行安排车送货到货代仓库，</t>
    </r>
    <r>
      <rPr>
        <sz val="10"/>
        <color theme="1"/>
        <rFont val="Aptos"/>
        <family val="2"/>
      </rPr>
      <t>100.83</t>
    </r>
    <r>
      <rPr>
        <sz val="10"/>
        <color theme="1"/>
        <rFont val="微软雅黑"/>
        <family val="2"/>
        <charset val="134"/>
      </rPr>
      <t>为自行安排车送货的运费</t>
    </r>
    <phoneticPr fontId="25" type="noConversion"/>
  </si>
  <si>
    <r>
      <rPr>
        <sz val="10"/>
        <color theme="1"/>
        <rFont val="微软雅黑"/>
        <family val="2"/>
        <charset val="134"/>
      </rPr>
      <t>跟</t>
    </r>
    <r>
      <rPr>
        <sz val="10"/>
        <color theme="1"/>
        <rFont val="Aptos"/>
        <family val="2"/>
      </rPr>
      <t>FBA19D0H6V9R</t>
    </r>
    <r>
      <rPr>
        <sz val="10"/>
        <color theme="1"/>
        <rFont val="微软雅黑"/>
        <family val="2"/>
        <charset val="134"/>
      </rPr>
      <t>合并报关</t>
    </r>
  </si>
  <si>
    <t>W21006</t>
  </si>
  <si>
    <t>FBA19DCDFPP1</t>
  </si>
  <si>
    <t>W21007</t>
  </si>
  <si>
    <t>FBA19CYJ3DZ0</t>
  </si>
  <si>
    <t>FBA19DBKJ7ZY</t>
  </si>
  <si>
    <t>W21008</t>
  </si>
  <si>
    <t>FBA19DCLY68K</t>
  </si>
  <si>
    <t>FBA19DCNNMVR</t>
  </si>
  <si>
    <t>FBA19DHFYLGN</t>
  </si>
  <si>
    <t>FBA19DHCQZSK</t>
  </si>
  <si>
    <t>FBA19DC9Y40J</t>
  </si>
  <si>
    <t>FBA19DHFYR3J</t>
  </si>
  <si>
    <t>FBA15LRDVZJC</t>
  </si>
  <si>
    <t>FBA19DBRV3ML</t>
  </si>
  <si>
    <t>FBA19DBWHMS4</t>
  </si>
  <si>
    <t>FBA19DCGXCHB</t>
  </si>
  <si>
    <t>FBA19D747B01</t>
  </si>
  <si>
    <t>FBA15LSK9KTJ</t>
  </si>
  <si>
    <t>003000015</t>
  </si>
  <si>
    <t>FBA15LTKZKLC</t>
  </si>
  <si>
    <r>
      <rPr>
        <sz val="10"/>
        <color theme="4" tint="-0.249977111117893"/>
        <rFont val="微软雅黑"/>
        <family val="2"/>
        <charset val="134"/>
      </rPr>
      <t>预估运费</t>
    </r>
  </si>
  <si>
    <t>K-US</t>
    <phoneticPr fontId="25" type="noConversion"/>
  </si>
  <si>
    <t>行标签</t>
  </si>
  <si>
    <t>:申报量</t>
  </si>
  <si>
    <t>:入库配置费/unit</t>
  </si>
  <si>
    <t>:总入库配置费 $</t>
  </si>
  <si>
    <t>AC1</t>
  </si>
  <si>
    <t>RD1-AC</t>
  </si>
  <si>
    <t>ANP-AC</t>
  </si>
  <si>
    <t>RD2</t>
  </si>
  <si>
    <t>国家</t>
  </si>
  <si>
    <t>美国</t>
  </si>
  <si>
    <t>U1</t>
  </si>
  <si>
    <t>GK1</t>
  </si>
  <si>
    <r>
      <rPr>
        <sz val="10"/>
        <color theme="1"/>
        <rFont val="微软雅黑"/>
        <family val="2"/>
        <charset val="134"/>
      </rPr>
      <t>续页费</t>
    </r>
    <r>
      <rPr>
        <sz val="10"/>
        <color theme="1"/>
        <rFont val="Aptos"/>
        <family val="2"/>
      </rPr>
      <t>50</t>
    </r>
    <phoneticPr fontId="25" type="noConversion"/>
  </si>
  <si>
    <t>W22005</t>
  </si>
  <si>
    <t>FBA19F6GKFQ6</t>
  </si>
  <si>
    <t>FBA19DX4J71R</t>
  </si>
  <si>
    <t>W22004</t>
  </si>
  <si>
    <t>FBA19DX51Y1T</t>
  </si>
  <si>
    <t>W22003</t>
  </si>
  <si>
    <t>FBA19DZ91P1W</t>
  </si>
  <si>
    <t>FBA19DZB5TF6</t>
  </si>
  <si>
    <t>FBA19DZDJ9ZD</t>
  </si>
  <si>
    <t>FBA19F1CKNMZ</t>
  </si>
  <si>
    <t>FBA19DPVDG0V</t>
  </si>
  <si>
    <t>FBA19DZ6Y1S9</t>
  </si>
  <si>
    <t>FBA19DVRJ4T5</t>
  </si>
  <si>
    <t>R6339000012</t>
  </si>
  <si>
    <t>ANWPJ-QT</t>
  </si>
  <si>
    <t>RDXB-PJ</t>
  </si>
  <si>
    <t>2026-W22</t>
    <phoneticPr fontId="25" type="noConversion"/>
  </si>
  <si>
    <t>追踪号</t>
  </si>
  <si>
    <t>无</t>
  </si>
  <si>
    <r>
      <rPr>
        <sz val="10"/>
        <color theme="1"/>
        <rFont val="微软雅黑"/>
        <family val="2"/>
        <charset val="134"/>
      </rPr>
      <t>运德</t>
    </r>
  </si>
  <si>
    <r>
      <rPr>
        <sz val="10"/>
        <color theme="1"/>
        <rFont val="微软雅黑"/>
        <family val="2"/>
        <charset val="134"/>
      </rPr>
      <t>美东海外仓</t>
    </r>
    <phoneticPr fontId="25" type="noConversion"/>
  </si>
  <si>
    <r>
      <rPr>
        <sz val="10"/>
        <color theme="1"/>
        <rFont val="微软雅黑"/>
        <family val="2"/>
        <charset val="134"/>
      </rPr>
      <t>一件代发</t>
    </r>
    <phoneticPr fontId="25" type="noConversion"/>
  </si>
  <si>
    <r>
      <t>ANW</t>
    </r>
    <r>
      <rPr>
        <sz val="10"/>
        <color theme="1"/>
        <rFont val="微软雅黑"/>
        <family val="2"/>
        <charset val="134"/>
      </rPr>
      <t>配件墙贴包</t>
    </r>
  </si>
  <si>
    <r>
      <t>RDX</t>
    </r>
    <r>
      <rPr>
        <sz val="10"/>
        <color theme="1"/>
        <rFont val="微软雅黑"/>
        <family val="2"/>
        <charset val="134"/>
      </rPr>
      <t>配件包</t>
    </r>
  </si>
  <si>
    <t>WB2605088524</t>
    <phoneticPr fontId="25" type="noConversion"/>
  </si>
  <si>
    <t>RDXPJ-BOT</t>
  </si>
  <si>
    <r>
      <t xml:space="preserve">RDXPJ-BOT </t>
    </r>
    <r>
      <rPr>
        <sz val="10"/>
        <rFont val="微软雅黑"/>
        <family val="2"/>
        <charset val="134"/>
      </rPr>
      <t>智能塔式香薰机带盖替换瓶</t>
    </r>
    <r>
      <rPr>
        <sz val="10"/>
        <rFont val="Aptos"/>
        <family val="2"/>
      </rPr>
      <t xml:space="preserve"> 300mL</t>
    </r>
  </si>
  <si>
    <t>RDX-AC</t>
    <phoneticPr fontId="41" type="noConversion"/>
  </si>
  <si>
    <r>
      <rPr>
        <sz val="10"/>
        <rFont val="微软雅黑"/>
        <family val="2"/>
        <charset val="134"/>
      </rPr>
      <t>智能扩香仪配件</t>
    </r>
    <phoneticPr fontId="41" type="noConversion"/>
  </si>
  <si>
    <t>W23011</t>
  </si>
  <si>
    <t>FBA19F4M4RD6</t>
  </si>
  <si>
    <t>FBA19F4KJ9DZ</t>
  </si>
  <si>
    <t>FBA15LTQTFQ1</t>
  </si>
  <si>
    <t>W23005</t>
  </si>
  <si>
    <t>FBA19F46GJLZ</t>
  </si>
  <si>
    <t>K-CA</t>
  </si>
  <si>
    <t>W23012</t>
  </si>
  <si>
    <t>FBA19F4LL08N</t>
  </si>
  <si>
    <t>FBA19F4J942R</t>
  </si>
  <si>
    <t>W23004</t>
  </si>
  <si>
    <t>FBA15LVJ20F1</t>
  </si>
  <si>
    <t>FBA15GC5P5Z1</t>
  </si>
  <si>
    <t>XSY2</t>
  </si>
  <si>
    <t>FBA19FBGSKKJ</t>
  </si>
  <si>
    <t>W23006</t>
  </si>
  <si>
    <t>FBA19FF0MFN3</t>
  </si>
  <si>
    <t>FBA15LVHR86N</t>
  </si>
  <si>
    <t>FBA15LRLM5FN</t>
  </si>
  <si>
    <t>W23008</t>
  </si>
  <si>
    <t>FBA19F4L4GBL</t>
  </si>
  <si>
    <t>W23007</t>
  </si>
  <si>
    <t>FBA19F4CS4GC</t>
  </si>
  <si>
    <t>FBA19F4F3XKR</t>
  </si>
  <si>
    <t>FBA19FCRN9Z5</t>
  </si>
  <si>
    <t>W23009</t>
  </si>
  <si>
    <t>FBA19FDYM0XZ</t>
  </si>
  <si>
    <t>FBA19FF0RZTW</t>
  </si>
  <si>
    <t>FBA19FDYT4WC</t>
  </si>
  <si>
    <t>W23013</t>
  </si>
  <si>
    <t>FBA19FF07F7L</t>
  </si>
  <si>
    <t>W23010</t>
  </si>
  <si>
    <t>FBA19FCWZXLS</t>
  </si>
  <si>
    <r>
      <rPr>
        <sz val="10"/>
        <color theme="1"/>
        <rFont val="微软雅黑"/>
        <family val="2"/>
        <charset val="134"/>
      </rPr>
      <t>自送货快递费</t>
    </r>
    <r>
      <rPr>
        <sz val="10"/>
        <color theme="1"/>
        <rFont val="Aptos"/>
        <family val="2"/>
      </rPr>
      <t>46</t>
    </r>
    <phoneticPr fontId="25" type="noConversion"/>
  </si>
  <si>
    <r>
      <rPr>
        <sz val="10"/>
        <color theme="1"/>
        <rFont val="微软雅黑"/>
        <family val="2"/>
        <charset val="134"/>
      </rPr>
      <t>自送货快递费</t>
    </r>
    <r>
      <rPr>
        <sz val="10"/>
        <color theme="1"/>
        <rFont val="Aptos"/>
        <family val="2"/>
      </rPr>
      <t>26</t>
    </r>
    <phoneticPr fontId="25" type="noConversion"/>
  </si>
  <si>
    <r>
      <rPr>
        <b/>
        <sz val="10"/>
        <rFont val="微软雅黑"/>
        <family val="2"/>
        <charset val="134"/>
      </rPr>
      <t>其他费用</t>
    </r>
    <phoneticPr fontId="25" type="noConversion"/>
  </si>
  <si>
    <r>
      <rPr>
        <sz val="10"/>
        <color theme="1"/>
        <rFont val="微软雅黑"/>
        <family val="2"/>
        <charset val="134"/>
      </rPr>
      <t>报关费</t>
    </r>
    <r>
      <rPr>
        <sz val="10"/>
        <color theme="1"/>
        <rFont val="Aptos"/>
        <family val="2"/>
      </rPr>
      <t>350</t>
    </r>
    <phoneticPr fontId="25" type="noConversion"/>
  </si>
  <si>
    <r>
      <rPr>
        <sz val="10"/>
        <color theme="1"/>
        <rFont val="微软雅黑"/>
        <family val="2"/>
        <charset val="134"/>
      </rPr>
      <t>报关费</t>
    </r>
    <r>
      <rPr>
        <sz val="10"/>
        <color theme="1"/>
        <rFont val="Aptos"/>
        <family val="2"/>
      </rPr>
      <t>200</t>
    </r>
    <phoneticPr fontId="25" type="noConversion"/>
  </si>
  <si>
    <r>
      <rPr>
        <sz val="10"/>
        <color theme="1"/>
        <rFont val="微软雅黑"/>
        <family val="2"/>
        <charset val="134"/>
      </rPr>
      <t>旗云</t>
    </r>
  </si>
  <si>
    <t>FBA198KBXJ4X</t>
    <phoneticPr fontId="25" type="noConversion"/>
  </si>
  <si>
    <t>FBA198KC8HBQ</t>
    <phoneticPr fontId="25" type="noConversion"/>
  </si>
  <si>
    <t>JY1-100ML_TZ</t>
    <phoneticPr fontId="41" type="noConversion"/>
  </si>
  <si>
    <r>
      <t>100ML</t>
    </r>
    <r>
      <rPr>
        <sz val="10"/>
        <rFont val="微软雅黑"/>
        <family val="2"/>
        <charset val="134"/>
      </rPr>
      <t>单瓶</t>
    </r>
  </si>
  <si>
    <t>MRT1-100ML_TZ</t>
    <phoneticPr fontId="41" type="noConversion"/>
  </si>
  <si>
    <t>RDGKIT-B_4X10K06_TZ</t>
  </si>
  <si>
    <t>RDG</t>
    <phoneticPr fontId="41" type="noConversion"/>
  </si>
  <si>
    <r>
      <rPr>
        <sz val="10"/>
        <rFont val="微软雅黑"/>
        <family val="2"/>
        <charset val="134"/>
      </rPr>
      <t>扩香仪机油套装</t>
    </r>
    <r>
      <rPr>
        <sz val="10"/>
        <rFont val="Aptos"/>
        <family val="2"/>
      </rPr>
      <t>RDG</t>
    </r>
    <phoneticPr fontId="41" type="noConversion"/>
  </si>
  <si>
    <t>RDGKIT-W_4X10K06_TZ</t>
  </si>
  <si>
    <t>RDG-B</t>
  </si>
  <si>
    <t>RDG-W</t>
  </si>
  <si>
    <t>AN6KIT-B_RZ30ML_TZ</t>
  </si>
  <si>
    <t>W24005</t>
  </si>
  <si>
    <t>FBA19FKG454G</t>
  </si>
  <si>
    <t>嘀嗒嘀</t>
  </si>
  <si>
    <t>W24006</t>
  </si>
  <si>
    <t>FBA15LVTVJHZ</t>
  </si>
  <si>
    <t>W24007</t>
  </si>
  <si>
    <t>FBA15LW37NF8</t>
  </si>
  <si>
    <t>DXB6</t>
  </si>
  <si>
    <t>W24009</t>
  </si>
  <si>
    <t>FBA19FK42PG0</t>
  </si>
  <si>
    <t>W24011</t>
  </si>
  <si>
    <t>FBA19FKPN62D</t>
  </si>
  <si>
    <t>W24008</t>
  </si>
  <si>
    <t>FBA19FKPGCGP</t>
  </si>
  <si>
    <t>FBA19FKMFZC8</t>
  </si>
  <si>
    <t>W24012</t>
  </si>
  <si>
    <t>FBA19FLS58YS</t>
  </si>
  <si>
    <t>FBA19FKM69ZK</t>
  </si>
  <si>
    <t>FBA19FKP1YD8</t>
  </si>
  <si>
    <t>W24010</t>
  </si>
  <si>
    <t>FBA19FLSZ71L</t>
  </si>
  <si>
    <t>FBA19FX4LWX3</t>
  </si>
  <si>
    <t>W24013</t>
  </si>
  <si>
    <t>FBA19FVYP714</t>
  </si>
  <si>
    <t>FBA19FKLZ68M</t>
  </si>
  <si>
    <t>W24002</t>
  </si>
  <si>
    <t>FBA19FKLZWFR</t>
  </si>
  <si>
    <t>W24003</t>
  </si>
  <si>
    <t>FBA19FRFSK56</t>
  </si>
  <si>
    <t>W24004</t>
  </si>
  <si>
    <t>FBA19FBSKGK6</t>
  </si>
  <si>
    <r>
      <rPr>
        <sz val="10"/>
        <color theme="1"/>
        <rFont val="微软雅黑"/>
        <family val="2"/>
        <charset val="134"/>
      </rPr>
      <t>自送货沙特</t>
    </r>
    <r>
      <rPr>
        <sz val="10"/>
        <color theme="1"/>
        <rFont val="Aptos"/>
        <family val="2"/>
      </rPr>
      <t>+</t>
    </r>
    <r>
      <rPr>
        <sz val="10"/>
        <color theme="1"/>
        <rFont val="微软雅黑"/>
        <family val="2"/>
        <charset val="134"/>
      </rPr>
      <t>阿联酋共</t>
    </r>
    <r>
      <rPr>
        <sz val="10"/>
        <color theme="1"/>
        <rFont val="Aptos"/>
        <family val="2"/>
      </rPr>
      <t>26</t>
    </r>
    <r>
      <rPr>
        <sz val="10"/>
        <color theme="1"/>
        <rFont val="微软雅黑"/>
        <family val="2"/>
        <charset val="134"/>
      </rPr>
      <t>箱花费</t>
    </r>
    <r>
      <rPr>
        <sz val="10"/>
        <color theme="1"/>
        <rFont val="Aptos"/>
        <family val="2"/>
      </rPr>
      <t>88.84</t>
    </r>
    <r>
      <rPr>
        <sz val="10"/>
        <color theme="1"/>
        <rFont val="微软雅黑"/>
        <family val="2"/>
        <charset val="134"/>
      </rPr>
      <t>元</t>
    </r>
    <phoneticPr fontId="25" type="noConversion"/>
  </si>
  <si>
    <r>
      <rPr>
        <sz val="10"/>
        <color theme="1"/>
        <rFont val="微软雅黑"/>
        <family val="2"/>
        <charset val="134"/>
      </rPr>
      <t>按</t>
    </r>
    <r>
      <rPr>
        <sz val="10"/>
        <color theme="1"/>
        <rFont val="Aptos"/>
        <family val="2"/>
      </rPr>
      <t xml:space="preserve">0.5CBM </t>
    </r>
    <r>
      <rPr>
        <sz val="10"/>
        <color theme="1"/>
        <rFont val="微软雅黑"/>
        <family val="2"/>
        <charset val="134"/>
      </rPr>
      <t>起收</t>
    </r>
  </si>
  <si>
    <t>W25005</t>
  </si>
  <si>
    <t>FBA19FYYN3FG</t>
  </si>
  <si>
    <t>FBA19G1RZZM4</t>
  </si>
  <si>
    <t>FBA19FZ47Y4S</t>
  </si>
  <si>
    <t>FBA19G5WQ01D</t>
  </si>
  <si>
    <t>W25004</t>
  </si>
  <si>
    <t>FBA19G690J88</t>
  </si>
  <si>
    <t>FBA19FZ40R9D</t>
  </si>
  <si>
    <t>FBA19FYY4NKY</t>
  </si>
  <si>
    <t>FBA19G1QV4FP</t>
  </si>
  <si>
    <t>FBA19FZ34LHX</t>
  </si>
  <si>
    <t>FBA19FZ39DLV</t>
  </si>
  <si>
    <t>FBA单号</t>
  </si>
  <si>
    <t>货件箱数</t>
  </si>
  <si>
    <t>:货件计费重</t>
  </si>
  <si>
    <t>货件计费重</t>
  </si>
  <si>
    <t>FBA15LVTVJHZ</t>
    <phoneticPr fontId="25" type="noConversion"/>
  </si>
  <si>
    <t>RDX-B_EU</t>
    <phoneticPr fontId="41" type="noConversion"/>
  </si>
  <si>
    <t>RDXKIT-B_EU_2X100K04</t>
    <phoneticPr fontId="41" type="noConversion"/>
  </si>
  <si>
    <r>
      <rPr>
        <sz val="10"/>
        <rFont val="微软雅黑"/>
        <family val="2"/>
        <charset val="134"/>
      </rPr>
      <t>智能扩香仪机油套装</t>
    </r>
  </si>
  <si>
    <t>ANPKIT-WH_US_3X20K02_TZ</t>
  </si>
  <si>
    <r>
      <rPr>
        <sz val="10"/>
        <rFont val="微软雅黑"/>
        <family val="2"/>
        <charset val="134"/>
      </rPr>
      <t>广东驰扬香氛科技有限公司</t>
    </r>
  </si>
  <si>
    <r>
      <rPr>
        <sz val="10"/>
        <rFont val="微软雅黑"/>
        <family val="2"/>
        <charset val="134"/>
      </rPr>
      <t>驰扬</t>
    </r>
    <phoneticPr fontId="41" type="noConversion"/>
  </si>
  <si>
    <t>ANPKIT-WH_US_3X20K02_TZ-1</t>
    <phoneticPr fontId="41" type="noConversion"/>
  </si>
  <si>
    <t>ANPKIT-W_EU_3X20K02_TZ</t>
  </si>
  <si>
    <t>ANPKIT-W_EU_3X20K02_TZ-1</t>
    <phoneticPr fontId="41" type="noConversion"/>
  </si>
  <si>
    <t>ANPKIT-B_US_3X20K02_TZ</t>
  </si>
  <si>
    <t>ANPKIT-B_US_3X20K02_TZ-1</t>
    <phoneticPr fontId="41" type="noConversion"/>
  </si>
  <si>
    <r>
      <t xml:space="preserve">JY1-100ML_TZ </t>
    </r>
    <r>
      <rPr>
        <sz val="10"/>
        <rFont val="微软雅黑"/>
        <family val="2"/>
        <charset val="134"/>
      </rPr>
      <t>君悦酒店</t>
    </r>
    <r>
      <rPr>
        <sz val="10"/>
        <rFont val="Aptos"/>
        <family val="2"/>
      </rPr>
      <t>100mL</t>
    </r>
    <r>
      <rPr>
        <sz val="10"/>
        <rFont val="微软雅黑"/>
        <family val="2"/>
        <charset val="134"/>
      </rPr>
      <t>香氛油（天竺）</t>
    </r>
    <r>
      <rPr>
        <sz val="10"/>
        <rFont val="Aptos"/>
        <family val="2"/>
      </rPr>
      <t xml:space="preserve"> </t>
    </r>
    <r>
      <rPr>
        <sz val="10"/>
        <rFont val="微软雅黑"/>
        <family val="2"/>
        <charset val="134"/>
      </rPr>
      <t>销售包装</t>
    </r>
  </si>
  <si>
    <r>
      <t xml:space="preserve">MRT1-100ML_TZ </t>
    </r>
    <r>
      <rPr>
        <sz val="10"/>
        <rFont val="微软雅黑"/>
        <family val="2"/>
        <charset val="134"/>
      </rPr>
      <t>万豪酒店</t>
    </r>
    <r>
      <rPr>
        <sz val="10"/>
        <rFont val="Aptos"/>
        <family val="2"/>
      </rPr>
      <t>100mL</t>
    </r>
    <r>
      <rPr>
        <sz val="10"/>
        <rFont val="微软雅黑"/>
        <family val="2"/>
        <charset val="134"/>
      </rPr>
      <t>香氛油（天竺）</t>
    </r>
    <r>
      <rPr>
        <sz val="10"/>
        <rFont val="Aptos"/>
        <family val="2"/>
      </rPr>
      <t xml:space="preserve"> </t>
    </r>
    <r>
      <rPr>
        <sz val="10"/>
        <rFont val="微软雅黑"/>
        <family val="2"/>
        <charset val="134"/>
      </rPr>
      <t>销售包装</t>
    </r>
  </si>
  <si>
    <r>
      <t>RDGKIT-B_4X10K06_TZ RDG</t>
    </r>
    <r>
      <rPr>
        <sz val="10"/>
        <rFont val="微软雅黑"/>
        <family val="2"/>
        <charset val="134"/>
      </rPr>
      <t>黑色机器</t>
    </r>
    <r>
      <rPr>
        <sz val="10"/>
        <rFont val="Aptos"/>
        <family val="2"/>
      </rPr>
      <t>+4X10mL</t>
    </r>
    <r>
      <rPr>
        <sz val="10"/>
        <rFont val="微软雅黑"/>
        <family val="2"/>
        <charset val="134"/>
      </rPr>
      <t>酒店（天竺）香氛油</t>
    </r>
    <r>
      <rPr>
        <sz val="10"/>
        <rFont val="Aptos"/>
        <family val="2"/>
      </rPr>
      <t xml:space="preserve"> </t>
    </r>
    <r>
      <rPr>
        <sz val="10"/>
        <rFont val="微软雅黑"/>
        <family val="2"/>
        <charset val="134"/>
      </rPr>
      <t>机油套装</t>
    </r>
  </si>
  <si>
    <r>
      <t>RDGKIT-W_4X10K06_TZ RDG</t>
    </r>
    <r>
      <rPr>
        <sz val="10"/>
        <rFont val="微软雅黑"/>
        <family val="2"/>
        <charset val="134"/>
      </rPr>
      <t>白色机器</t>
    </r>
    <r>
      <rPr>
        <sz val="10"/>
        <rFont val="Aptos"/>
        <family val="2"/>
      </rPr>
      <t>+4X10mL</t>
    </r>
    <r>
      <rPr>
        <sz val="10"/>
        <rFont val="微软雅黑"/>
        <family val="2"/>
        <charset val="134"/>
      </rPr>
      <t>酒店（天竺）香氛油</t>
    </r>
    <r>
      <rPr>
        <sz val="10"/>
        <rFont val="Aptos"/>
        <family val="2"/>
      </rPr>
      <t xml:space="preserve"> </t>
    </r>
    <r>
      <rPr>
        <sz val="10"/>
        <rFont val="微软雅黑"/>
        <family val="2"/>
        <charset val="134"/>
      </rPr>
      <t>机油套装</t>
    </r>
  </si>
  <si>
    <r>
      <t xml:space="preserve">RDG-B </t>
    </r>
    <r>
      <rPr>
        <sz val="10"/>
        <rFont val="微软雅黑"/>
        <family val="2"/>
        <charset val="134"/>
      </rPr>
      <t>便携式香薰机</t>
    </r>
    <r>
      <rPr>
        <sz val="10"/>
        <rFont val="Aptos"/>
        <family val="2"/>
      </rPr>
      <t xml:space="preserve"> </t>
    </r>
    <r>
      <rPr>
        <sz val="10"/>
        <rFont val="微软雅黑"/>
        <family val="2"/>
        <charset val="134"/>
      </rPr>
      <t>黑色</t>
    </r>
  </si>
  <si>
    <r>
      <t xml:space="preserve">RDG-W </t>
    </r>
    <r>
      <rPr>
        <sz val="10"/>
        <rFont val="微软雅黑"/>
        <family val="2"/>
        <charset val="134"/>
      </rPr>
      <t>便携式香薰机</t>
    </r>
    <r>
      <rPr>
        <sz val="10"/>
        <rFont val="Aptos"/>
        <family val="2"/>
      </rPr>
      <t xml:space="preserve"> </t>
    </r>
    <r>
      <rPr>
        <sz val="10"/>
        <rFont val="微软雅黑"/>
        <family val="2"/>
        <charset val="134"/>
      </rPr>
      <t>白色</t>
    </r>
  </si>
  <si>
    <r>
      <t>AN6KIT-B_RZ30ML_TZ AN6</t>
    </r>
    <r>
      <rPr>
        <sz val="10"/>
        <rFont val="微软雅黑"/>
        <family val="2"/>
        <charset val="134"/>
      </rPr>
      <t>黑色机器</t>
    </r>
    <r>
      <rPr>
        <sz val="10"/>
        <rFont val="Aptos"/>
        <family val="2"/>
      </rPr>
      <t>+30mL</t>
    </r>
    <r>
      <rPr>
        <sz val="10"/>
        <rFont val="微软雅黑"/>
        <family val="2"/>
        <charset val="134"/>
      </rPr>
      <t>丽思卡尔顿酒店香氛油（天竺）</t>
    </r>
    <r>
      <rPr>
        <sz val="10"/>
        <rFont val="Aptos"/>
        <family val="2"/>
      </rPr>
      <t xml:space="preserve"> </t>
    </r>
    <r>
      <rPr>
        <sz val="10"/>
        <rFont val="微软雅黑"/>
        <family val="2"/>
        <charset val="134"/>
      </rPr>
      <t>机油套装</t>
    </r>
  </si>
  <si>
    <r>
      <t>ANPKIT-WH_US_3X20K02_TZ ANP</t>
    </r>
    <r>
      <rPr>
        <sz val="10"/>
        <color theme="1"/>
        <rFont val="微软雅黑"/>
        <family val="2"/>
        <charset val="134"/>
      </rPr>
      <t>白色机器</t>
    </r>
    <r>
      <rPr>
        <sz val="10"/>
        <color theme="1"/>
        <rFont val="Aptos"/>
        <family val="2"/>
      </rPr>
      <t>+3X20mL</t>
    </r>
    <r>
      <rPr>
        <sz val="10"/>
        <color theme="1"/>
        <rFont val="微软雅黑"/>
        <family val="2"/>
        <charset val="134"/>
      </rPr>
      <t>酒店香氛油（天竺）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机油套装</t>
    </r>
  </si>
  <si>
    <r>
      <t>ANPKIT-W_EU_3X20K02_TZ ANP</t>
    </r>
    <r>
      <rPr>
        <sz val="10"/>
        <color theme="1"/>
        <rFont val="微软雅黑"/>
        <family val="2"/>
        <charset val="134"/>
      </rPr>
      <t>欧规白色机器</t>
    </r>
    <r>
      <rPr>
        <sz val="10"/>
        <color theme="1"/>
        <rFont val="Aptos"/>
        <family val="2"/>
      </rPr>
      <t>+3X20mL</t>
    </r>
    <r>
      <rPr>
        <sz val="10"/>
        <color theme="1"/>
        <rFont val="微软雅黑"/>
        <family val="2"/>
        <charset val="134"/>
      </rPr>
      <t>酒店香氛油（天竺）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机油套装</t>
    </r>
  </si>
  <si>
    <r>
      <t>ANPKIT-B_US_3X20K02_TZ ANP</t>
    </r>
    <r>
      <rPr>
        <sz val="10"/>
        <color theme="1"/>
        <rFont val="微软雅黑"/>
        <family val="2"/>
        <charset val="134"/>
      </rPr>
      <t>黑色机器</t>
    </r>
    <r>
      <rPr>
        <sz val="10"/>
        <color theme="1"/>
        <rFont val="Aptos"/>
        <family val="2"/>
      </rPr>
      <t>+3X20mL</t>
    </r>
    <r>
      <rPr>
        <sz val="10"/>
        <color theme="1"/>
        <rFont val="微软雅黑"/>
        <family val="2"/>
        <charset val="134"/>
      </rPr>
      <t>酒店香氛油（天竺）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机油套装</t>
    </r>
  </si>
  <si>
    <r>
      <t xml:space="preserve">RDXKIT-B_EU_2X100K04 RDX </t>
    </r>
    <r>
      <rPr>
        <sz val="10"/>
        <rFont val="微软雅黑"/>
        <family val="2"/>
        <charset val="134"/>
      </rPr>
      <t>欧规</t>
    </r>
    <r>
      <rPr>
        <sz val="10"/>
        <rFont val="Aptos"/>
        <family val="2"/>
      </rPr>
      <t xml:space="preserve"> </t>
    </r>
    <r>
      <rPr>
        <sz val="10"/>
        <rFont val="微软雅黑"/>
        <family val="2"/>
        <charset val="134"/>
      </rPr>
      <t>黑色机器</t>
    </r>
    <r>
      <rPr>
        <sz val="10"/>
        <rFont val="Aptos"/>
        <family val="2"/>
      </rPr>
      <t>+2X100mL</t>
    </r>
    <r>
      <rPr>
        <sz val="10"/>
        <rFont val="微软雅黑"/>
        <family val="2"/>
        <charset val="134"/>
      </rPr>
      <t>酒店香氛油（天竺）</t>
    </r>
    <r>
      <rPr>
        <sz val="10"/>
        <rFont val="Aptos"/>
        <family val="2"/>
      </rPr>
      <t xml:space="preserve"> </t>
    </r>
    <r>
      <rPr>
        <sz val="10"/>
        <rFont val="微软雅黑"/>
        <family val="2"/>
        <charset val="134"/>
      </rPr>
      <t>机油套装</t>
    </r>
    <phoneticPr fontId="41" type="noConversion"/>
  </si>
  <si>
    <t>BLG1-100ML_TZ</t>
    <phoneticPr fontId="41" type="noConversion"/>
  </si>
  <si>
    <t>BLG-100ML_TZ</t>
    <phoneticPr fontId="41" type="noConversion"/>
  </si>
  <si>
    <t>BLG1-100ML_TZ 百乐宫酒店100mL香氛油（天竺） 销售包装</t>
  </si>
  <si>
    <t>ANA-WH_AU</t>
    <phoneticPr fontId="24" type="noConversion"/>
  </si>
  <si>
    <t>ANAKIT-WH_AU_2X100K03</t>
    <phoneticPr fontId="24" type="noConversion"/>
  </si>
  <si>
    <r>
      <t>ANAKIT-WH_AU_2X100K03 ANA</t>
    </r>
    <r>
      <rPr>
        <sz val="10"/>
        <color theme="1"/>
        <rFont val="微软雅黑"/>
        <family val="2"/>
        <charset val="134"/>
      </rPr>
      <t>澳规白色机器</t>
    </r>
    <r>
      <rPr>
        <sz val="10"/>
        <color theme="1"/>
        <rFont val="Aptos"/>
        <family val="2"/>
      </rPr>
      <t>+2X100mL</t>
    </r>
    <r>
      <rPr>
        <sz val="10"/>
        <color theme="1"/>
        <rFont val="微软雅黑"/>
        <family val="2"/>
        <charset val="134"/>
      </rPr>
      <t>酒店香氛油（天竺）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机油套装</t>
    </r>
  </si>
  <si>
    <t>ANAKIT-WH_AU_2X100K03-1</t>
    <phoneticPr fontId="24" type="noConversion"/>
  </si>
  <si>
    <t>RDXKIT-B_AU_2X100K03</t>
    <phoneticPr fontId="24" type="noConversion"/>
  </si>
  <si>
    <r>
      <t xml:space="preserve">RDXKIT-B_AU_2X100K03 RDX </t>
    </r>
    <r>
      <rPr>
        <sz val="10"/>
        <color theme="1"/>
        <rFont val="微软雅黑"/>
        <family val="2"/>
        <charset val="134"/>
      </rPr>
      <t>澳规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黑色机器</t>
    </r>
    <r>
      <rPr>
        <sz val="10"/>
        <color theme="1"/>
        <rFont val="Aptos"/>
        <family val="2"/>
      </rPr>
      <t>+2X100mL</t>
    </r>
    <r>
      <rPr>
        <sz val="10"/>
        <color theme="1"/>
        <rFont val="微软雅黑"/>
        <family val="2"/>
        <charset val="134"/>
      </rPr>
      <t>酒店香氛油（天竺）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机油套装</t>
    </r>
  </si>
  <si>
    <t>RDX-B_AU</t>
    <phoneticPr fontId="24" type="noConversion"/>
  </si>
  <si>
    <r>
      <t xml:space="preserve">RDX-B_AU </t>
    </r>
    <r>
      <rPr>
        <sz val="10"/>
        <color theme="1"/>
        <rFont val="微软雅黑"/>
        <family val="2"/>
        <charset val="134"/>
      </rPr>
      <t>智能香薰机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澳规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黑色</t>
    </r>
  </si>
  <si>
    <t>ANAKIT-B_UK_2X100K05_CY</t>
    <phoneticPr fontId="41" type="noConversion"/>
  </si>
  <si>
    <r>
      <t>ANAKIT-B_UK_2X100K05_CY ANA</t>
    </r>
    <r>
      <rPr>
        <sz val="10"/>
        <rFont val="微软雅黑"/>
        <family val="2"/>
        <charset val="134"/>
      </rPr>
      <t>英规黑色机器</t>
    </r>
    <r>
      <rPr>
        <sz val="10"/>
        <rFont val="Aptos"/>
        <family val="2"/>
      </rPr>
      <t>+2X100mL</t>
    </r>
    <r>
      <rPr>
        <sz val="10"/>
        <rFont val="微软雅黑"/>
        <family val="2"/>
        <charset val="134"/>
      </rPr>
      <t>酒店香氛油（驰扬）</t>
    </r>
    <r>
      <rPr>
        <sz val="10"/>
        <rFont val="Aptos"/>
        <family val="2"/>
      </rPr>
      <t xml:space="preserve"> </t>
    </r>
    <r>
      <rPr>
        <sz val="10"/>
        <rFont val="微软雅黑"/>
        <family val="2"/>
        <charset val="134"/>
      </rPr>
      <t>机油套装</t>
    </r>
    <phoneticPr fontId="41" type="noConversion"/>
  </si>
  <si>
    <t>ANAKIT-B_UK_2X100K05_CY</t>
  </si>
  <si>
    <t>RDXKIT-B_UK_2X100K05_CY</t>
    <phoneticPr fontId="41" type="noConversion"/>
  </si>
  <si>
    <r>
      <t>RDXKIT-B_UK_2X100K05_CY RDX</t>
    </r>
    <r>
      <rPr>
        <sz val="10"/>
        <rFont val="微软雅黑"/>
        <family val="2"/>
        <charset val="134"/>
      </rPr>
      <t>英规</t>
    </r>
    <r>
      <rPr>
        <sz val="10"/>
        <rFont val="Aptos"/>
        <family val="2"/>
      </rPr>
      <t xml:space="preserve"> </t>
    </r>
    <r>
      <rPr>
        <sz val="10"/>
        <rFont val="微软雅黑"/>
        <family val="2"/>
        <charset val="134"/>
      </rPr>
      <t>黑色机器</t>
    </r>
    <r>
      <rPr>
        <sz val="10"/>
        <rFont val="Aptos"/>
        <family val="2"/>
      </rPr>
      <t>+2X100mL</t>
    </r>
    <r>
      <rPr>
        <sz val="10"/>
        <rFont val="微软雅黑"/>
        <family val="2"/>
        <charset val="134"/>
      </rPr>
      <t>酒店香氛油（驰扬）</t>
    </r>
    <r>
      <rPr>
        <sz val="10"/>
        <rFont val="Aptos"/>
        <family val="2"/>
      </rPr>
      <t xml:space="preserve"> </t>
    </r>
    <r>
      <rPr>
        <sz val="10"/>
        <rFont val="微软雅黑"/>
        <family val="2"/>
        <charset val="134"/>
      </rPr>
      <t>机油套装</t>
    </r>
    <phoneticPr fontId="41" type="noConversion"/>
  </si>
  <si>
    <t>RDXKIT-B_UK_2X100K05_CY</t>
  </si>
  <si>
    <t>RDX-B_UK</t>
  </si>
  <si>
    <r>
      <t xml:space="preserve">RDX-B_UK </t>
    </r>
    <r>
      <rPr>
        <sz val="10"/>
        <rFont val="微软雅黑"/>
        <family val="2"/>
        <charset val="134"/>
      </rPr>
      <t>智能香薰机</t>
    </r>
    <r>
      <rPr>
        <sz val="10"/>
        <rFont val="Aptos"/>
        <family val="2"/>
      </rPr>
      <t xml:space="preserve"> </t>
    </r>
    <r>
      <rPr>
        <sz val="10"/>
        <rFont val="微软雅黑"/>
        <family val="2"/>
        <charset val="134"/>
      </rPr>
      <t>英规</t>
    </r>
    <r>
      <rPr>
        <sz val="10"/>
        <rFont val="Aptos"/>
        <family val="2"/>
      </rPr>
      <t xml:space="preserve"> </t>
    </r>
    <r>
      <rPr>
        <sz val="10"/>
        <rFont val="微软雅黑"/>
        <family val="2"/>
        <charset val="134"/>
      </rPr>
      <t>黑色</t>
    </r>
    <phoneticPr fontId="41" type="noConversion"/>
  </si>
  <si>
    <t>ANAKIT-WH_UK_2X100K05_CY</t>
  </si>
  <si>
    <t>ANAKIT-WH_UK_2X100K05_CY ANA英规白色机器+2X100mL酒店香氛油（驰扬） 机油套装</t>
  </si>
  <si>
    <t>空气类</t>
  </si>
  <si>
    <t>扩香仪</t>
  </si>
  <si>
    <t>智能扩香仪机油套装</t>
  </si>
  <si>
    <t>智能</t>
  </si>
  <si>
    <t>Drugstore</t>
  </si>
  <si>
    <t>广东驰扬香氛科技有限公司</t>
  </si>
  <si>
    <t>驰扬</t>
  </si>
  <si>
    <t>YES</t>
  </si>
  <si>
    <t>RDGNZ-B</t>
  </si>
  <si>
    <t>RDGNZ-B 便携式香薰机 替换喷嘴 黑色</t>
  </si>
  <si>
    <t>RDG-AC</t>
  </si>
  <si>
    <t>扩香仪配件</t>
  </si>
  <si>
    <t>非智能</t>
  </si>
  <si>
    <t>深圳市裕双电子科技有限公司</t>
  </si>
  <si>
    <t>裕双</t>
  </si>
  <si>
    <t>RDGNZ-W</t>
  </si>
  <si>
    <t>RDGNZ-W 便携式香薰机 替换喷嘴 白色</t>
  </si>
  <si>
    <r>
      <t xml:space="preserve">RDX-B_EU </t>
    </r>
    <r>
      <rPr>
        <sz val="10"/>
        <rFont val="微软雅黑"/>
        <family val="2"/>
        <charset val="134"/>
      </rPr>
      <t>智能香薰机</t>
    </r>
    <r>
      <rPr>
        <sz val="10"/>
        <rFont val="Aptos"/>
        <family val="2"/>
      </rPr>
      <t xml:space="preserve"> </t>
    </r>
    <r>
      <rPr>
        <sz val="10"/>
        <rFont val="微软雅黑"/>
        <family val="2"/>
        <charset val="134"/>
      </rPr>
      <t>欧规</t>
    </r>
    <r>
      <rPr>
        <sz val="10"/>
        <rFont val="Aptos"/>
        <family val="2"/>
      </rPr>
      <t xml:space="preserve"> </t>
    </r>
    <r>
      <rPr>
        <sz val="10"/>
        <rFont val="微软雅黑"/>
        <family val="2"/>
        <charset val="134"/>
      </rPr>
      <t>黑色</t>
    </r>
    <phoneticPr fontId="41" type="noConversion"/>
  </si>
  <si>
    <r>
      <t xml:space="preserve">ANA-WH_AU </t>
    </r>
    <r>
      <rPr>
        <sz val="10"/>
        <color theme="1"/>
        <rFont val="微软雅黑"/>
        <family val="2"/>
        <charset val="134"/>
      </rPr>
      <t>智能香薰机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澳规</t>
    </r>
    <r>
      <rPr>
        <sz val="10"/>
        <color theme="1"/>
        <rFont val="Aptos"/>
        <family val="2"/>
      </rPr>
      <t xml:space="preserve"> </t>
    </r>
    <r>
      <rPr>
        <sz val="10"/>
        <color theme="1"/>
        <rFont val="微软雅黑"/>
        <family val="2"/>
        <charset val="134"/>
      </rPr>
      <t>白色</t>
    </r>
    <phoneticPr fontId="2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</si>
</sst>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2">
    <numFmt numFmtId="43" formatCode="_ * #,##0.00_ ;_ * \-#,##0.00_ ;_ * &quot;-&quot;??_ ;_ @_ "/>
    <numFmt numFmtId="176" formatCode="_(* #,##0.00_);_(* \(#,##0.00\);_(* &quot;-&quot;??_);_(@_)"/>
    <numFmt numFmtId="177" formatCode="0_);[Red]\(0\)"/>
    <numFmt numFmtId="178" formatCode="0.00_);[Red]\(0.00\)"/>
    <numFmt numFmtId="179" formatCode="_ * #,##0_ ;_ * \-#,##0_ ;_ * &quot;-&quot;??_ ;_ @_ "/>
    <numFmt numFmtId="180" formatCode="&quot;US$&quot;#,##0.00;\-&quot;US$&quot;#,##0.00"/>
    <numFmt numFmtId="181" formatCode="0.0_);[Red]\(0.0\)"/>
    <numFmt numFmtId="182" formatCode="yy/m/d;@"/>
    <numFmt numFmtId="183" formatCode="\$#,##0.00;\-\$#,##0.00"/>
    <numFmt numFmtId="184" formatCode="0.00_ "/>
    <numFmt numFmtId="185" formatCode="_ * #,##0.0_ ;_ * \-#,##0.0_ ;_ * &quot;-&quot;??_ ;_ @_ "/>
    <numFmt numFmtId="186" formatCode="0.000_ "/>
  </numFmts>
  <fonts count="53" x14ac:knownFonts="1">
    <font>
      <sz val="11"/>
      <color theme="1"/>
      <name val="宋体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b/>
      <sz val="10"/>
      <color theme="1"/>
      <name val="Tw Cen MT"/>
      <family val="2"/>
    </font>
    <font>
      <sz val="10"/>
      <color theme="1"/>
      <name val="Tw Cen MT"/>
      <family val="2"/>
    </font>
    <font>
      <sz val="11"/>
      <color theme="1"/>
      <name val="Tw Cen MT"/>
      <family val="2"/>
    </font>
    <font>
      <sz val="10"/>
      <color theme="1"/>
      <name val="微软雅黑"/>
      <family val="2"/>
      <charset val="134"/>
    </font>
    <font>
      <b/>
      <sz val="10"/>
      <color theme="4" tint="-0.249977111117893"/>
      <name val="Tw Cen MT"/>
      <family val="2"/>
    </font>
    <font>
      <sz val="10"/>
      <color rgb="FFFF0000"/>
      <name val="Tw Cen MT"/>
      <family val="2"/>
    </font>
    <font>
      <sz val="9"/>
      <color theme="1"/>
      <name val="Tw Cen MT"/>
      <family val="2"/>
    </font>
    <font>
      <sz val="10"/>
      <name val="Tw Cen MT"/>
      <family val="2"/>
    </font>
    <font>
      <sz val="10"/>
      <name val="微软雅黑"/>
      <family val="2"/>
      <charset val="134"/>
    </font>
    <font>
      <sz val="11"/>
      <color theme="1"/>
      <name val="Calibri"/>
      <family val="2"/>
    </font>
    <font>
      <sz val="11"/>
      <color theme="1"/>
      <name val="宋体"/>
      <family val="3"/>
      <charset val="134"/>
      <scheme val="minor"/>
    </font>
    <font>
      <sz val="11"/>
      <color theme="1"/>
      <name val="Tahoma"/>
      <family val="2"/>
    </font>
    <font>
      <sz val="11"/>
      <color indexed="8"/>
      <name val="宋体"/>
      <family val="3"/>
      <charset val="134"/>
      <scheme val="minor"/>
    </font>
    <font>
      <b/>
      <sz val="10"/>
      <color theme="4" tint="-0.249977111117893"/>
      <name val="微软雅黑"/>
      <family val="2"/>
      <charset val="134"/>
    </font>
    <font>
      <b/>
      <sz val="10"/>
      <color rgb="FFFF0000"/>
      <name val="微软雅黑"/>
      <family val="2"/>
      <charset val="134"/>
    </font>
    <font>
      <sz val="10"/>
      <color rgb="FFFF0000"/>
      <name val="微软雅黑"/>
      <family val="2"/>
      <charset val="134"/>
    </font>
    <font>
      <b/>
      <sz val="10"/>
      <color theme="1"/>
      <name val="微软雅黑"/>
      <family val="2"/>
      <charset val="134"/>
    </font>
    <font>
      <sz val="10"/>
      <color indexed="10"/>
      <name val="微软雅黑"/>
      <family val="2"/>
      <charset val="134"/>
    </font>
    <font>
      <sz val="10"/>
      <color indexed="8"/>
      <name val="微软雅黑"/>
      <family val="2"/>
      <charset val="134"/>
    </font>
    <font>
      <b/>
      <sz val="10"/>
      <color theme="0"/>
      <name val="微软雅黑"/>
      <family val="2"/>
      <charset val="134"/>
    </font>
    <font>
      <b/>
      <sz val="9"/>
      <name val="宋体"/>
      <family val="3"/>
      <charset val="134"/>
    </font>
    <font>
      <sz val="9"/>
      <name val="宋体"/>
      <family val="3"/>
      <charset val="134"/>
    </font>
    <font>
      <sz val="9"/>
      <name val="宋体"/>
      <family val="3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10"/>
      <color theme="1"/>
      <name val="Aptos"/>
      <family val="2"/>
    </font>
    <font>
      <sz val="10"/>
      <color indexed="8"/>
      <name val="Aptos"/>
      <family val="2"/>
    </font>
    <font>
      <sz val="10"/>
      <color rgb="FFFF0000"/>
      <name val="Aptos"/>
      <family val="2"/>
    </font>
    <font>
      <sz val="10"/>
      <color rgb="FF0072B4"/>
      <name val="Aptos"/>
      <family val="2"/>
    </font>
    <font>
      <sz val="10"/>
      <name val="Aptos"/>
      <family val="2"/>
    </font>
    <font>
      <b/>
      <sz val="10"/>
      <color theme="1"/>
      <name val="Aptos"/>
      <family val="2"/>
    </font>
    <font>
      <b/>
      <sz val="10"/>
      <color theme="0"/>
      <name val="Aptos"/>
      <family val="2"/>
    </font>
    <font>
      <b/>
      <sz val="10"/>
      <color theme="4" tint="-0.249977111117893"/>
      <name val="Aptos"/>
      <family val="2"/>
    </font>
    <font>
      <b/>
      <sz val="10"/>
      <color rgb="FFFF0000"/>
      <name val="Aptos"/>
      <family val="2"/>
    </font>
    <font>
      <sz val="10"/>
      <color indexed="10"/>
      <name val="Aptos"/>
      <family val="2"/>
    </font>
    <font>
      <sz val="10"/>
      <color rgb="FF000000"/>
      <name val="微软雅黑"/>
      <family val="2"/>
      <charset val="134"/>
    </font>
    <font>
      <sz val="10"/>
      <color rgb="FF000000"/>
      <name val="Aptos"/>
      <family val="2"/>
    </font>
    <font>
      <b/>
      <sz val="11"/>
      <name val="Tw Cen MT"/>
      <family val="2"/>
    </font>
    <font>
      <sz val="9"/>
      <name val="宋体"/>
      <family val="2"/>
      <charset val="134"/>
      <scheme val="minor"/>
    </font>
    <font>
      <sz val="11"/>
      <color indexed="8"/>
      <name val="宋体"/>
      <family val="2"/>
      <scheme val="minor"/>
    </font>
    <font>
      <b/>
      <sz val="10"/>
      <name val="Aptos"/>
      <family val="2"/>
    </font>
    <font>
      <b/>
      <sz val="10"/>
      <name val="微软雅黑"/>
      <family val="2"/>
      <charset val="134"/>
    </font>
    <font>
      <sz val="10"/>
      <color theme="0"/>
      <name val="Aptos"/>
      <family val="2"/>
    </font>
    <font>
      <sz val="10"/>
      <color theme="0"/>
      <name val="微软雅黑"/>
      <family val="2"/>
      <charset val="134"/>
    </font>
    <font>
      <sz val="9"/>
      <name val="微软雅黑"/>
      <family val="2"/>
      <charset val="134"/>
    </font>
    <font>
      <sz val="10"/>
      <color rgb="FF232F3E"/>
      <name val="Aptos"/>
      <family val="2"/>
    </font>
    <font>
      <sz val="10"/>
      <color theme="1"/>
      <name val="宋体"/>
      <family val="3"/>
      <charset val="134"/>
    </font>
    <font>
      <sz val="10"/>
      <color theme="4" tint="-0.249977111117893"/>
      <name val="Aptos"/>
      <family val="2"/>
    </font>
    <font>
      <sz val="10"/>
      <color theme="4" tint="-0.249977111117893"/>
      <name val="微软雅黑"/>
      <family val="2"/>
      <charset val="134"/>
    </font>
    <font>
      <sz val="10"/>
      <color theme="1"/>
      <name val="宋体"/>
      <family val="2"/>
      <charset val="134"/>
    </font>
  </fonts>
  <fills count="41">
    <fill>
      <patternFill patternType="none"/>
    </fill>
    <fill>
      <patternFill patternType="gray125"/>
    </fill>
    <fill>
      <patternFill patternType="solid">
        <fgColor theme="5" tint="0.79964598529007846"/>
        <bgColor indexed="64"/>
      </patternFill>
    </fill>
    <fill>
      <patternFill patternType="solid">
        <fgColor theme="8" tint="0.7993408001953185"/>
        <bgColor indexed="64"/>
      </patternFill>
    </fill>
    <fill>
      <patternFill patternType="solid">
        <fgColor theme="8" tint="0.79970702230903046"/>
        <bgColor indexed="64"/>
      </patternFill>
    </fill>
    <fill>
      <patternFill patternType="solid">
        <fgColor theme="8" tint="0.79967650379955446"/>
        <bgColor indexed="64"/>
      </patternFill>
    </fill>
    <fill>
      <patternFill patternType="solid">
        <fgColor theme="8" tint="0.79982909634693444"/>
        <bgColor indexed="64"/>
      </patternFill>
    </fill>
    <fill>
      <patternFill patternType="solid">
        <fgColor theme="8" tint="0.7999511703848384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9" tint="0.79958494827112647"/>
        <bgColor indexed="64"/>
      </patternFill>
    </fill>
    <fill>
      <patternFill patternType="solid">
        <fgColor theme="8" tint="0.79964598529007846"/>
        <bgColor indexed="64"/>
      </patternFill>
    </fill>
    <fill>
      <patternFill patternType="solid">
        <fgColor theme="8" tint="0.79949339274269848"/>
        <bgColor indexed="64"/>
      </patternFill>
    </fill>
    <fill>
      <patternFill patternType="solid">
        <fgColor theme="8" tint="0.79946287423322249"/>
        <bgColor indexed="64"/>
      </patternFill>
    </fill>
    <fill>
      <patternFill patternType="solid">
        <fgColor theme="8" tint="0.79952391125217448"/>
        <bgColor indexed="64"/>
      </patternFill>
    </fill>
    <fill>
      <patternFill patternType="solid">
        <fgColor theme="8" tint="0.79989013336588644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/>
        <bgColor theme="8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DA8FB6"/>
        <bgColor indexed="64"/>
      </patternFill>
    </fill>
    <fill>
      <patternFill patternType="solid">
        <fgColor rgb="FF87DAF8"/>
        <bgColor indexed="64"/>
      </patternFill>
    </fill>
    <fill>
      <patternFill patternType="solid">
        <fgColor rgb="FFD2ACA8"/>
        <bgColor indexed="64"/>
      </patternFill>
    </fill>
    <fill>
      <patternFill patternType="solid">
        <fgColor rgb="FFA6B88C"/>
        <bgColor indexed="64"/>
      </patternFill>
    </fill>
    <fill>
      <patternFill patternType="solid">
        <fgColor rgb="FFCFAC99"/>
        <bgColor indexed="64"/>
      </patternFill>
    </fill>
    <fill>
      <patternFill patternType="solid">
        <fgColor rgb="FFC97FD7"/>
        <bgColor indexed="64"/>
      </patternFill>
    </fill>
    <fill>
      <patternFill patternType="solid">
        <fgColor rgb="FFA3E999"/>
        <bgColor indexed="64"/>
      </patternFill>
    </fill>
    <fill>
      <patternFill patternType="solid">
        <fgColor rgb="FFECBE9C"/>
        <bgColor indexed="64"/>
      </patternFill>
    </fill>
    <fill>
      <patternFill patternType="solid">
        <fgColor rgb="FF83BE7A"/>
        <bgColor indexed="64"/>
      </patternFill>
    </fill>
    <fill>
      <patternFill patternType="solid">
        <fgColor rgb="FFA4B1C9"/>
        <bgColor indexed="64"/>
      </patternFill>
    </fill>
    <fill>
      <patternFill patternType="solid">
        <fgColor rgb="FFB097CE"/>
        <bgColor indexed="64"/>
      </patternFill>
    </fill>
    <fill>
      <patternFill patternType="solid">
        <fgColor rgb="FF9E8CF7"/>
        <bgColor indexed="64"/>
      </patternFill>
    </fill>
    <fill>
      <patternFill patternType="solid">
        <fgColor rgb="FF89FEC0"/>
        <bgColor indexed="64"/>
      </patternFill>
    </fill>
    <fill>
      <patternFill patternType="solid">
        <fgColor rgb="FFB4F0FA"/>
        <bgColor indexed="64"/>
      </patternFill>
    </fill>
    <fill>
      <patternFill patternType="solid">
        <fgColor rgb="FFE1B6C6"/>
        <bgColor indexed="64"/>
      </patternFill>
    </fill>
    <fill>
      <patternFill patternType="solid">
        <fgColor rgb="FFD3A49E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ACCF84"/>
        <bgColor indexed="64"/>
      </patternFill>
    </fill>
    <fill>
      <patternFill patternType="solid">
        <fgColor rgb="FFAF997F"/>
        <bgColor indexed="64"/>
      </patternFill>
    </fill>
  </fills>
  <borders count="42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/>
      <right/>
      <top style="double">
        <color auto="1"/>
      </top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/>
      <right/>
      <top style="thin">
        <color auto="1"/>
      </top>
      <bottom style="double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 style="medium">
        <color theme="4" tint="-0.249977111117893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theme="8"/>
      </left>
      <right style="dotted">
        <color theme="8" tint="0.39994506668294322"/>
      </right>
      <top style="thin">
        <color auto="1"/>
      </top>
      <bottom style="dotted">
        <color theme="8" tint="0.39994506668294322"/>
      </bottom>
      <diagonal/>
    </border>
    <border>
      <left style="dotted">
        <color theme="8" tint="0.39994506668294322"/>
      </left>
      <right style="dotted">
        <color theme="8" tint="0.39994506668294322"/>
      </right>
      <top style="thin">
        <color auto="1"/>
      </top>
      <bottom style="dotted">
        <color theme="8" tint="0.39994506668294322"/>
      </bottom>
      <diagonal/>
    </border>
    <border>
      <left style="dotted">
        <color theme="8" tint="0.39994506668294322"/>
      </left>
      <right style="thin">
        <color theme="8"/>
      </right>
      <top style="thin">
        <color auto="1"/>
      </top>
      <bottom style="dotted">
        <color theme="8" tint="0.39994506668294322"/>
      </bottom>
      <diagonal/>
    </border>
    <border>
      <left style="thin">
        <color theme="8"/>
      </left>
      <right style="dotted">
        <color theme="8" tint="0.39994506668294322"/>
      </right>
      <top style="dotted">
        <color theme="8" tint="0.39994506668294322"/>
      </top>
      <bottom style="dotted">
        <color theme="8" tint="0.39994506668294322"/>
      </bottom>
      <diagonal/>
    </border>
    <border>
      <left style="dotted">
        <color theme="8" tint="0.39994506668294322"/>
      </left>
      <right style="dotted">
        <color theme="8" tint="0.39994506668294322"/>
      </right>
      <top style="dotted">
        <color theme="8" tint="0.39994506668294322"/>
      </top>
      <bottom style="dotted">
        <color theme="8" tint="0.39994506668294322"/>
      </bottom>
      <diagonal/>
    </border>
    <border>
      <left style="dotted">
        <color theme="8" tint="0.39994506668294322"/>
      </left>
      <right style="thin">
        <color theme="8"/>
      </right>
      <top style="dotted">
        <color theme="8" tint="0.39994506668294322"/>
      </top>
      <bottom style="dotted">
        <color theme="8" tint="0.39994506668294322"/>
      </bottom>
      <diagonal/>
    </border>
    <border>
      <left/>
      <right style="dotted">
        <color theme="8" tint="0.39994506668294322"/>
      </right>
      <top style="dotted">
        <color theme="8" tint="0.39994506668294322"/>
      </top>
      <bottom style="dotted">
        <color theme="8" tint="0.39994506668294322"/>
      </bottom>
      <diagonal/>
    </border>
    <border>
      <left style="dotted">
        <color theme="8" tint="0.39994506668294322"/>
      </left>
      <right/>
      <top style="dotted">
        <color theme="8" tint="0.39994506668294322"/>
      </top>
      <bottom style="dotted">
        <color theme="8" tint="0.39994506668294322"/>
      </bottom>
      <diagonal/>
    </border>
    <border>
      <left/>
      <right style="dotted">
        <color theme="8" tint="0.39994506668294322"/>
      </right>
      <top style="dotted">
        <color theme="8" tint="0.39994506668294322"/>
      </top>
      <bottom/>
      <diagonal/>
    </border>
    <border>
      <left style="dotted">
        <color theme="8" tint="0.39994506668294322"/>
      </left>
      <right style="dotted">
        <color theme="8" tint="0.39994506668294322"/>
      </right>
      <top style="dotted">
        <color theme="8" tint="0.39994506668294322"/>
      </top>
      <bottom/>
      <diagonal/>
    </border>
    <border>
      <left style="dotted">
        <color theme="8" tint="0.39994506668294322"/>
      </left>
      <right/>
      <top style="dotted">
        <color theme="8" tint="0.39994506668294322"/>
      </top>
      <bottom/>
      <diagonal/>
    </border>
    <border>
      <left style="thin">
        <color theme="8"/>
      </left>
      <right style="dotted">
        <color theme="8" tint="0.39994506668294322"/>
      </right>
      <top style="dotted">
        <color theme="8" tint="0.39994506668294322"/>
      </top>
      <bottom style="thin">
        <color indexed="64"/>
      </bottom>
      <diagonal/>
    </border>
    <border>
      <left style="thin">
        <color theme="8"/>
      </left>
      <right style="dotted">
        <color theme="8" tint="0.39994506668294322"/>
      </right>
      <top/>
      <bottom style="dotted">
        <color theme="8" tint="0.39994506668294322"/>
      </bottom>
      <diagonal/>
    </border>
    <border>
      <left style="dotted">
        <color theme="8" tint="0.39994506668294322"/>
      </left>
      <right style="dotted">
        <color theme="8" tint="0.39994506668294322"/>
      </right>
      <top/>
      <bottom style="dotted">
        <color theme="8" tint="0.39994506668294322"/>
      </bottom>
      <diagonal/>
    </border>
    <border>
      <left style="dotted">
        <color theme="8" tint="0.39994506668294322"/>
      </left>
      <right style="dotted">
        <color theme="8" tint="0.39994506668294322"/>
      </right>
      <top style="dotted">
        <color theme="8" tint="0.39994506668294322"/>
      </top>
      <bottom style="thin">
        <color indexed="64"/>
      </bottom>
      <diagonal/>
    </border>
    <border>
      <left style="dotted">
        <color theme="8" tint="0.39994506668294322"/>
      </left>
      <right/>
      <top/>
      <bottom/>
      <diagonal/>
    </border>
    <border>
      <left style="dotted">
        <color theme="8" tint="0.39994506668294322"/>
      </left>
      <right/>
      <top/>
      <bottom style="dotted">
        <color theme="8" tint="0.39994506668294322"/>
      </bottom>
      <diagonal/>
    </border>
  </borders>
  <cellStyleXfs count="21">
    <xf numFmtId="0" fontId="0" fillId="0" borderId="0"/>
    <xf numFmtId="176" fontId="13" fillId="0" borderId="0" applyFont="0" applyFill="0" applyBorder="0" applyAlignment="0" applyProtection="0">
      <alignment vertical="center"/>
    </xf>
    <xf numFmtId="9" fontId="13" fillId="0" borderId="0" applyFont="0" applyFill="0" applyBorder="0" applyAlignment="0" applyProtection="0">
      <alignment vertical="center"/>
    </xf>
    <xf numFmtId="0" fontId="14" fillId="0" borderId="0"/>
    <xf numFmtId="0" fontId="13" fillId="0" borderId="0"/>
    <xf numFmtId="0" fontId="14" fillId="0" borderId="0"/>
    <xf numFmtId="0" fontId="6" fillId="0" borderId="0">
      <alignment vertical="center"/>
    </xf>
    <xf numFmtId="0" fontId="13" fillId="0" borderId="0"/>
    <xf numFmtId="0" fontId="15" fillId="0" borderId="0">
      <alignment vertical="center"/>
    </xf>
    <xf numFmtId="0" fontId="13" fillId="0" borderId="0"/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13" fillId="0" borderId="0"/>
    <xf numFmtId="43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>
      <alignment vertical="center"/>
    </xf>
    <xf numFmtId="0" fontId="42" fillId="0" borderId="0">
      <alignment vertical="center"/>
    </xf>
    <xf numFmtId="0" fontId="13" fillId="0" borderId="0"/>
    <xf numFmtId="0" fontId="1" fillId="0" borderId="0">
      <alignment vertical="center"/>
    </xf>
    <xf numFmtId="43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>
      <alignment vertical="center"/>
    </xf>
  </cellStyleXfs>
  <cellXfs count="637">
    <xf numFmtId="0" fontId="0" fillId="0" borderId="0" xfId="0"/>
    <xf numFmtId="0" fontId="3" fillId="0" borderId="1" xfId="4" applyFont="1" applyBorder="1" applyAlignment="1">
      <alignment horizontal="center" vertical="center"/>
    </xf>
    <xf numFmtId="0" fontId="4" fillId="0" borderId="2" xfId="4" applyFont="1" applyBorder="1" applyAlignment="1">
      <alignment horizontal="center" vertical="center"/>
    </xf>
    <xf numFmtId="0" fontId="4" fillId="0" borderId="3" xfId="4" applyFont="1" applyBorder="1" applyAlignment="1">
      <alignment horizontal="center" vertical="center"/>
    </xf>
    <xf numFmtId="0" fontId="4" fillId="0" borderId="1" xfId="4" applyFont="1" applyBorder="1" applyAlignment="1">
      <alignment horizontal="center" vertical="center"/>
    </xf>
    <xf numFmtId="0" fontId="4" fillId="0" borderId="4" xfId="4" applyFont="1" applyBorder="1" applyAlignment="1">
      <alignment horizontal="center" vertical="center"/>
    </xf>
    <xf numFmtId="0" fontId="4" fillId="0" borderId="5" xfId="4" applyFont="1" applyBorder="1" applyAlignment="1">
      <alignment horizontal="center" vertical="center"/>
    </xf>
    <xf numFmtId="0" fontId="4" fillId="0" borderId="6" xfId="4" applyFont="1" applyBorder="1" applyAlignment="1">
      <alignment horizontal="center" vertical="center"/>
    </xf>
    <xf numFmtId="0" fontId="4" fillId="0" borderId="7" xfId="4" applyFont="1" applyBorder="1" applyAlignment="1">
      <alignment horizontal="center" vertical="center"/>
    </xf>
    <xf numFmtId="0" fontId="4" fillId="0" borderId="0" xfId="4" applyFont="1" applyAlignment="1">
      <alignment horizontal="center" vertical="center"/>
    </xf>
    <xf numFmtId="0" fontId="4" fillId="0" borderId="0" xfId="4" applyFont="1" applyAlignment="1">
      <alignment horizontal="left" vertical="center"/>
    </xf>
    <xf numFmtId="0" fontId="3" fillId="0" borderId="0" xfId="4" applyFont="1" applyAlignment="1">
      <alignment horizontal="center" vertical="center"/>
    </xf>
    <xf numFmtId="176" fontId="4" fillId="0" borderId="0" xfId="1" applyFont="1" applyAlignment="1">
      <alignment horizontal="center" vertical="center"/>
    </xf>
    <xf numFmtId="176" fontId="3" fillId="0" borderId="0" xfId="1" applyFont="1" applyAlignment="1">
      <alignment horizontal="center" vertical="center"/>
    </xf>
    <xf numFmtId="0" fontId="7" fillId="0" borderId="0" xfId="4" applyFont="1" applyAlignment="1">
      <alignment horizontal="center" vertical="center"/>
    </xf>
    <xf numFmtId="0" fontId="4" fillId="2" borderId="0" xfId="4" applyFont="1" applyFill="1" applyAlignment="1">
      <alignment horizontal="center" vertical="center"/>
    </xf>
    <xf numFmtId="49" fontId="3" fillId="0" borderId="0" xfId="4" applyNumberFormat="1" applyFont="1" applyAlignment="1">
      <alignment horizontal="center" vertical="center"/>
    </xf>
    <xf numFmtId="177" fontId="3" fillId="0" borderId="0" xfId="4" applyNumberFormat="1" applyFont="1" applyAlignment="1">
      <alignment horizontal="center" vertical="center"/>
    </xf>
    <xf numFmtId="178" fontId="3" fillId="0" borderId="0" xfId="4" applyNumberFormat="1" applyFont="1" applyAlignment="1">
      <alignment horizontal="center" vertical="center"/>
    </xf>
    <xf numFmtId="0" fontId="3" fillId="0" borderId="0" xfId="4" applyFont="1" applyAlignment="1">
      <alignment horizontal="center"/>
    </xf>
    <xf numFmtId="176" fontId="3" fillId="0" borderId="0" xfId="4" applyNumberFormat="1" applyFont="1" applyAlignment="1">
      <alignment horizontal="center" vertical="center"/>
    </xf>
    <xf numFmtId="0" fontId="3" fillId="0" borderId="0" xfId="0" applyFont="1"/>
    <xf numFmtId="49" fontId="4" fillId="0" borderId="0" xfId="4" applyNumberFormat="1" applyFont="1" applyAlignment="1">
      <alignment horizontal="center" vertical="center"/>
    </xf>
    <xf numFmtId="178" fontId="4" fillId="0" borderId="0" xfId="4" applyNumberFormat="1" applyFont="1" applyAlignment="1">
      <alignment horizontal="center" vertical="center"/>
    </xf>
    <xf numFmtId="176" fontId="4" fillId="0" borderId="0" xfId="4" applyNumberFormat="1" applyFont="1" applyAlignment="1">
      <alignment horizontal="center" vertical="center"/>
    </xf>
    <xf numFmtId="177" fontId="4" fillId="0" borderId="0" xfId="4" applyNumberFormat="1" applyFont="1" applyAlignment="1">
      <alignment horizontal="center" vertical="center"/>
    </xf>
    <xf numFmtId="0" fontId="4" fillId="0" borderId="0" xfId="0" applyFont="1" applyAlignment="1">
      <alignment horizontal="left" vertical="center"/>
    </xf>
    <xf numFmtId="0" fontId="4" fillId="0" borderId="0" xfId="0" applyFont="1" applyAlignment="1">
      <alignment horizontal="left"/>
    </xf>
    <xf numFmtId="0" fontId="5" fillId="0" borderId="0" xfId="0" applyFont="1"/>
    <xf numFmtId="0" fontId="9" fillId="0" borderId="0" xfId="4" applyFont="1" applyAlignment="1">
      <alignment horizontal="left" vertical="center"/>
    </xf>
    <xf numFmtId="0" fontId="7" fillId="0" borderId="0" xfId="4" applyFont="1" applyAlignment="1">
      <alignment horizontal="center" vertical="center" wrapText="1"/>
    </xf>
    <xf numFmtId="49" fontId="4" fillId="0" borderId="0" xfId="4" applyNumberFormat="1" applyFont="1" applyAlignment="1">
      <alignment horizontal="left" vertical="center"/>
    </xf>
    <xf numFmtId="14" fontId="4" fillId="0" borderId="0" xfId="4" applyNumberFormat="1" applyFont="1" applyAlignment="1">
      <alignment horizontal="center" vertical="center"/>
    </xf>
    <xf numFmtId="176" fontId="4" fillId="0" borderId="0" xfId="1" applyFont="1" applyFill="1" applyBorder="1" applyAlignment="1">
      <alignment horizontal="center" vertical="center"/>
    </xf>
    <xf numFmtId="0" fontId="12" fillId="0" borderId="0" xfId="0" applyFont="1" applyAlignment="1">
      <alignment vertical="center"/>
    </xf>
    <xf numFmtId="0" fontId="12" fillId="0" borderId="0" xfId="0" applyFont="1"/>
    <xf numFmtId="178" fontId="12" fillId="0" borderId="0" xfId="1" applyNumberFormat="1" applyFont="1" applyAlignment="1"/>
    <xf numFmtId="178" fontId="12" fillId="0" borderId="0" xfId="0" applyNumberFormat="1" applyFont="1"/>
    <xf numFmtId="0" fontId="4" fillId="16" borderId="0" xfId="4" applyFont="1" applyFill="1" applyAlignment="1">
      <alignment horizontal="left" vertical="center"/>
    </xf>
    <xf numFmtId="0" fontId="4" fillId="16" borderId="0" xfId="4" applyFont="1" applyFill="1" applyAlignment="1">
      <alignment horizontal="center" vertical="center"/>
    </xf>
    <xf numFmtId="178" fontId="4" fillId="16" borderId="0" xfId="4" applyNumberFormat="1" applyFont="1" applyFill="1" applyAlignment="1">
      <alignment horizontal="center" vertical="center"/>
    </xf>
    <xf numFmtId="0" fontId="4" fillId="0" borderId="0" xfId="0" applyFont="1"/>
    <xf numFmtId="178" fontId="5" fillId="0" borderId="0" xfId="0" applyNumberFormat="1" applyFont="1"/>
    <xf numFmtId="0" fontId="4" fillId="0" borderId="0" xfId="4" applyFont="1" applyAlignment="1">
      <alignment horizontal="center"/>
    </xf>
    <xf numFmtId="0" fontId="4" fillId="16" borderId="0" xfId="4" applyFont="1" applyFill="1" applyAlignment="1">
      <alignment horizontal="center"/>
    </xf>
    <xf numFmtId="176" fontId="4" fillId="16" borderId="0" xfId="1" applyFont="1" applyFill="1" applyBorder="1" applyAlignment="1">
      <alignment horizontal="center"/>
    </xf>
    <xf numFmtId="0" fontId="4" fillId="0" borderId="0" xfId="0" applyFont="1" applyAlignment="1">
      <alignment horizontal="center"/>
    </xf>
    <xf numFmtId="0" fontId="8" fillId="0" borderId="0" xfId="0" applyFont="1" applyAlignment="1">
      <alignment horizontal="left"/>
    </xf>
    <xf numFmtId="0" fontId="4" fillId="0" borderId="0" xfId="7" applyFont="1" applyAlignment="1">
      <alignment horizontal="left"/>
    </xf>
    <xf numFmtId="0" fontId="10" fillId="0" borderId="0" xfId="0" applyFont="1" applyAlignment="1">
      <alignment horizontal="left"/>
    </xf>
    <xf numFmtId="0" fontId="28" fillId="0" borderId="0" xfId="0" applyFont="1" applyAlignment="1">
      <alignment horizontal="left" vertical="center"/>
    </xf>
    <xf numFmtId="0" fontId="29" fillId="0" borderId="0" xfId="0" applyFont="1" applyAlignment="1">
      <alignment horizontal="left" vertical="center"/>
    </xf>
    <xf numFmtId="14" fontId="28" fillId="0" borderId="0" xfId="4" applyNumberFormat="1" applyFont="1" applyAlignment="1">
      <alignment horizontal="left" vertical="center"/>
    </xf>
    <xf numFmtId="0" fontId="28" fillId="0" borderId="0" xfId="4" applyFont="1" applyAlignment="1">
      <alignment horizontal="left" vertical="center"/>
    </xf>
    <xf numFmtId="0" fontId="30" fillId="0" borderId="0" xfId="0" applyFont="1" applyAlignment="1">
      <alignment horizontal="left" vertical="center"/>
    </xf>
    <xf numFmtId="176" fontId="28" fillId="0" borderId="0" xfId="1" applyFont="1" applyFill="1" applyAlignment="1">
      <alignment horizontal="left" vertical="center"/>
    </xf>
    <xf numFmtId="49" fontId="28" fillId="0" borderId="0" xfId="4" applyNumberFormat="1" applyFont="1" applyAlignment="1">
      <alignment horizontal="left" vertical="center"/>
    </xf>
    <xf numFmtId="0" fontId="32" fillId="0" borderId="0" xfId="0" applyFont="1" applyAlignment="1">
      <alignment horizontal="left" vertical="center"/>
    </xf>
    <xf numFmtId="49" fontId="28" fillId="7" borderId="0" xfId="4" applyNumberFormat="1" applyFont="1" applyFill="1" applyAlignment="1">
      <alignment horizontal="left" vertical="center"/>
    </xf>
    <xf numFmtId="176" fontId="28" fillId="0" borderId="0" xfId="1" applyFont="1" applyFill="1" applyBorder="1" applyAlignment="1">
      <alignment horizontal="left" vertical="center"/>
    </xf>
    <xf numFmtId="0" fontId="28" fillId="0" borderId="0" xfId="0" applyFont="1" applyAlignment="1">
      <alignment horizontal="center" vertical="center"/>
    </xf>
    <xf numFmtId="0" fontId="28" fillId="0" borderId="0" xfId="0" applyFont="1" applyAlignment="1">
      <alignment vertical="center"/>
    </xf>
    <xf numFmtId="0" fontId="28" fillId="0" borderId="0" xfId="0" pivotButton="1" applyFont="1" applyAlignment="1">
      <alignment vertical="center"/>
    </xf>
    <xf numFmtId="185" fontId="28" fillId="0" borderId="0" xfId="0" applyNumberFormat="1" applyFont="1" applyAlignment="1">
      <alignment horizontal="center" vertical="center"/>
    </xf>
    <xf numFmtId="178" fontId="28" fillId="0" borderId="0" xfId="1" applyNumberFormat="1" applyFont="1" applyAlignment="1">
      <alignment vertical="center"/>
    </xf>
    <xf numFmtId="178" fontId="28" fillId="0" borderId="0" xfId="0" applyNumberFormat="1" applyFont="1" applyAlignment="1">
      <alignment vertical="center"/>
    </xf>
    <xf numFmtId="178" fontId="28" fillId="0" borderId="0" xfId="0" applyNumberFormat="1" applyFont="1" applyAlignment="1">
      <alignment vertical="center" wrapText="1"/>
    </xf>
    <xf numFmtId="184" fontId="28" fillId="0" borderId="0" xfId="0" applyNumberFormat="1" applyFont="1" applyAlignment="1">
      <alignment vertical="center"/>
    </xf>
    <xf numFmtId="0" fontId="28" fillId="0" borderId="0" xfId="0" applyFont="1" applyAlignment="1">
      <alignment vertical="center" wrapText="1"/>
    </xf>
    <xf numFmtId="14" fontId="28" fillId="0" borderId="0" xfId="0" applyNumberFormat="1" applyFont="1" applyAlignment="1">
      <alignment vertical="center"/>
    </xf>
    <xf numFmtId="0" fontId="28" fillId="0" borderId="0" xfId="0" applyFont="1" applyAlignment="1">
      <alignment horizontal="center" vertical="center" wrapText="1"/>
    </xf>
    <xf numFmtId="14" fontId="28" fillId="0" borderId="0" xfId="0" applyNumberFormat="1" applyFont="1" applyAlignment="1">
      <alignment horizontal="center" vertical="center"/>
    </xf>
    <xf numFmtId="0" fontId="30" fillId="0" borderId="0" xfId="0" applyFont="1" applyAlignment="1">
      <alignment vertical="center"/>
    </xf>
    <xf numFmtId="0" fontId="34" fillId="9" borderId="10" xfId="0" applyFont="1" applyFill="1" applyBorder="1" applyAlignment="1">
      <alignment vertical="center"/>
    </xf>
    <xf numFmtId="0" fontId="35" fillId="10" borderId="0" xfId="4" applyFont="1" applyFill="1" applyAlignment="1">
      <alignment horizontal="center" vertical="center" wrapText="1"/>
    </xf>
    <xf numFmtId="49" fontId="35" fillId="10" borderId="0" xfId="4" applyNumberFormat="1" applyFont="1" applyFill="1" applyAlignment="1">
      <alignment horizontal="center" vertical="center" wrapText="1"/>
    </xf>
    <xf numFmtId="20" fontId="36" fillId="16" borderId="0" xfId="4" applyNumberFormat="1" applyFont="1" applyFill="1" applyAlignment="1">
      <alignment horizontal="left" vertical="center" wrapText="1"/>
    </xf>
    <xf numFmtId="0" fontId="36" fillId="16" borderId="0" xfId="4" applyFont="1" applyFill="1" applyAlignment="1">
      <alignment horizontal="center" vertical="center" wrapText="1"/>
    </xf>
    <xf numFmtId="177" fontId="35" fillId="10" borderId="0" xfId="4" applyNumberFormat="1" applyFont="1" applyFill="1" applyAlignment="1">
      <alignment horizontal="center" vertical="center" wrapText="1"/>
    </xf>
    <xf numFmtId="176" fontId="36" fillId="16" borderId="0" xfId="1" applyFont="1" applyFill="1" applyBorder="1" applyAlignment="1">
      <alignment horizontal="center" vertical="center" wrapText="1"/>
    </xf>
    <xf numFmtId="176" fontId="35" fillId="0" borderId="0" xfId="1" applyFont="1" applyFill="1" applyBorder="1" applyAlignment="1">
      <alignment horizontal="center" vertical="center" wrapText="1"/>
    </xf>
    <xf numFmtId="179" fontId="35" fillId="0" borderId="0" xfId="1" applyNumberFormat="1" applyFont="1" applyFill="1" applyBorder="1" applyAlignment="1">
      <alignment horizontal="center" vertical="center" wrapText="1"/>
    </xf>
    <xf numFmtId="180" fontId="35" fillId="0" borderId="0" xfId="1" applyNumberFormat="1" applyFont="1" applyFill="1" applyBorder="1" applyAlignment="1">
      <alignment horizontal="center" vertical="center" wrapText="1"/>
    </xf>
    <xf numFmtId="14" fontId="35" fillId="0" borderId="0" xfId="4" applyNumberFormat="1" applyFont="1" applyAlignment="1">
      <alignment horizontal="center" vertical="center" wrapText="1"/>
    </xf>
    <xf numFmtId="176" fontId="36" fillId="0" borderId="0" xfId="1" applyFont="1" applyFill="1" applyBorder="1" applyAlignment="1">
      <alignment horizontal="center" vertical="center" wrapText="1"/>
    </xf>
    <xf numFmtId="14" fontId="36" fillId="0" borderId="0" xfId="4" applyNumberFormat="1" applyFont="1" applyAlignment="1">
      <alignment horizontal="center" vertical="center" wrapText="1"/>
    </xf>
    <xf numFmtId="0" fontId="35" fillId="0" borderId="0" xfId="4" applyFont="1" applyAlignment="1">
      <alignment horizontal="center" vertical="center" wrapText="1"/>
    </xf>
    <xf numFmtId="177" fontId="35" fillId="0" borderId="0" xfId="4" applyNumberFormat="1" applyFont="1" applyAlignment="1">
      <alignment horizontal="center" vertical="center" wrapText="1"/>
    </xf>
    <xf numFmtId="49" fontId="35" fillId="0" borderId="0" xfId="4" applyNumberFormat="1" applyFont="1" applyAlignment="1">
      <alignment horizontal="center" vertical="center" wrapText="1"/>
    </xf>
    <xf numFmtId="178" fontId="35" fillId="0" borderId="0" xfId="4" applyNumberFormat="1" applyFont="1" applyAlignment="1">
      <alignment horizontal="center" vertical="center" wrapText="1"/>
    </xf>
    <xf numFmtId="0" fontId="32" fillId="0" borderId="0" xfId="4" applyFont="1" applyAlignment="1">
      <alignment horizontal="center" vertical="center"/>
    </xf>
    <xf numFmtId="0" fontId="28" fillId="0" borderId="0" xfId="4" applyFont="1" applyAlignment="1">
      <alignment horizontal="center" vertical="center"/>
    </xf>
    <xf numFmtId="49" fontId="28" fillId="0" borderId="0" xfId="4" applyNumberFormat="1" applyFont="1" applyAlignment="1">
      <alignment horizontal="center" vertical="center"/>
    </xf>
    <xf numFmtId="0" fontId="32" fillId="16" borderId="0" xfId="4" applyFont="1" applyFill="1" applyAlignment="1">
      <alignment horizontal="left" vertical="center"/>
    </xf>
    <xf numFmtId="0" fontId="28" fillId="16" borderId="0" xfId="4" applyFont="1" applyFill="1" applyAlignment="1">
      <alignment horizontal="left" vertical="center"/>
    </xf>
    <xf numFmtId="0" fontId="28" fillId="16" borderId="0" xfId="4" applyFont="1" applyFill="1" applyAlignment="1">
      <alignment horizontal="center" vertical="center"/>
    </xf>
    <xf numFmtId="177" fontId="28" fillId="0" borderId="0" xfId="4" applyNumberFormat="1" applyFont="1" applyAlignment="1">
      <alignment horizontal="center" vertical="center"/>
    </xf>
    <xf numFmtId="184" fontId="32" fillId="16" borderId="0" xfId="4" applyNumberFormat="1" applyFont="1" applyFill="1" applyAlignment="1">
      <alignment horizontal="center" vertical="center"/>
    </xf>
    <xf numFmtId="176" fontId="28" fillId="16" borderId="0" xfId="1" applyFont="1" applyFill="1" applyBorder="1" applyAlignment="1">
      <alignment horizontal="center" vertical="center"/>
    </xf>
    <xf numFmtId="176" fontId="32" fillId="0" borderId="0" xfId="4" applyNumberFormat="1" applyFont="1" applyAlignment="1">
      <alignment horizontal="center" vertical="center"/>
    </xf>
    <xf numFmtId="2" fontId="32" fillId="0" borderId="0" xfId="4" applyNumberFormat="1" applyFont="1" applyAlignment="1">
      <alignment horizontal="center" vertical="center"/>
    </xf>
    <xf numFmtId="183" fontId="32" fillId="0" borderId="0" xfId="4" applyNumberFormat="1" applyFont="1" applyAlignment="1">
      <alignment horizontal="center" vertical="center"/>
    </xf>
    <xf numFmtId="176" fontId="28" fillId="0" borderId="0" xfId="1" applyFont="1" applyFill="1" applyBorder="1" applyAlignment="1">
      <alignment horizontal="center" vertical="center"/>
    </xf>
    <xf numFmtId="14" fontId="28" fillId="0" borderId="0" xfId="4" applyNumberFormat="1" applyFont="1" applyAlignment="1">
      <alignment horizontal="center" vertical="center"/>
    </xf>
    <xf numFmtId="176" fontId="32" fillId="0" borderId="0" xfId="1" applyFont="1" applyFill="1" applyBorder="1" applyAlignment="1">
      <alignment horizontal="center" vertical="center"/>
    </xf>
    <xf numFmtId="178" fontId="28" fillId="0" borderId="0" xfId="4" applyNumberFormat="1" applyFont="1" applyAlignment="1">
      <alignment horizontal="center" vertical="center"/>
    </xf>
    <xf numFmtId="0" fontId="30" fillId="16" borderId="0" xfId="4" applyFont="1" applyFill="1" applyAlignment="1">
      <alignment horizontal="center" vertical="center"/>
    </xf>
    <xf numFmtId="181" fontId="28" fillId="0" borderId="0" xfId="4" applyNumberFormat="1" applyFont="1" applyAlignment="1">
      <alignment horizontal="center" vertical="center"/>
    </xf>
    <xf numFmtId="0" fontId="32" fillId="16" borderId="0" xfId="4" applyFont="1" applyFill="1" applyAlignment="1">
      <alignment horizontal="center" vertical="center"/>
    </xf>
    <xf numFmtId="184" fontId="30" fillId="16" borderId="0" xfId="4" applyNumberFormat="1" applyFont="1" applyFill="1" applyAlignment="1">
      <alignment horizontal="center" vertical="center"/>
    </xf>
    <xf numFmtId="49" fontId="32" fillId="0" borderId="0" xfId="4" applyNumberFormat="1" applyFont="1" applyAlignment="1">
      <alignment horizontal="center" vertical="center"/>
    </xf>
    <xf numFmtId="178" fontId="28" fillId="16" borderId="0" xfId="4" applyNumberFormat="1" applyFont="1" applyFill="1" applyAlignment="1">
      <alignment horizontal="center" vertical="center"/>
    </xf>
    <xf numFmtId="176" fontId="28" fillId="0" borderId="0" xfId="4" applyNumberFormat="1" applyFont="1" applyAlignment="1">
      <alignment horizontal="center" vertical="center"/>
    </xf>
    <xf numFmtId="2" fontId="28" fillId="0" borderId="0" xfId="4" applyNumberFormat="1" applyFont="1" applyAlignment="1">
      <alignment horizontal="center" vertical="center"/>
    </xf>
    <xf numFmtId="183" fontId="28" fillId="0" borderId="0" xfId="4" applyNumberFormat="1" applyFont="1" applyAlignment="1">
      <alignment horizontal="center" vertical="center"/>
    </xf>
    <xf numFmtId="185" fontId="28" fillId="0" borderId="0" xfId="4" applyNumberFormat="1" applyFont="1" applyAlignment="1">
      <alignment horizontal="center" vertical="center"/>
    </xf>
    <xf numFmtId="49" fontId="30" fillId="0" borderId="0" xfId="4" applyNumberFormat="1" applyFont="1" applyAlignment="1">
      <alignment horizontal="center" vertical="center"/>
    </xf>
    <xf numFmtId="177" fontId="30" fillId="0" borderId="0" xfId="4" applyNumberFormat="1" applyFont="1" applyAlignment="1">
      <alignment horizontal="center" vertical="center"/>
    </xf>
    <xf numFmtId="14" fontId="32" fillId="0" borderId="0" xfId="4" applyNumberFormat="1" applyFont="1" applyAlignment="1">
      <alignment horizontal="center" vertical="center"/>
    </xf>
    <xf numFmtId="0" fontId="28" fillId="6" borderId="0" xfId="4" applyFont="1" applyFill="1" applyAlignment="1">
      <alignment horizontal="center" vertical="center"/>
    </xf>
    <xf numFmtId="49" fontId="28" fillId="6" borderId="0" xfId="4" applyNumberFormat="1" applyFont="1" applyFill="1" applyAlignment="1">
      <alignment horizontal="center" vertical="center"/>
    </xf>
    <xf numFmtId="49" fontId="28" fillId="6" borderId="0" xfId="4" applyNumberFormat="1" applyFont="1" applyFill="1" applyAlignment="1">
      <alignment horizontal="left" vertical="center"/>
    </xf>
    <xf numFmtId="0" fontId="28" fillId="11" borderId="0" xfId="4" applyFont="1" applyFill="1" applyAlignment="1">
      <alignment horizontal="center" vertical="center"/>
    </xf>
    <xf numFmtId="177" fontId="28" fillId="3" borderId="0" xfId="4" applyNumberFormat="1" applyFont="1" applyFill="1" applyAlignment="1">
      <alignment horizontal="center" vertical="center"/>
    </xf>
    <xf numFmtId="0" fontId="28" fillId="3" borderId="0" xfId="4" applyFont="1" applyFill="1" applyAlignment="1">
      <alignment horizontal="center" vertical="center"/>
    </xf>
    <xf numFmtId="176" fontId="28" fillId="6" borderId="0" xfId="4" applyNumberFormat="1" applyFont="1" applyFill="1" applyAlignment="1">
      <alignment horizontal="center" vertical="center"/>
    </xf>
    <xf numFmtId="0" fontId="32" fillId="6" borderId="0" xfId="4" applyFont="1" applyFill="1" applyAlignment="1">
      <alignment horizontal="center" vertical="center"/>
    </xf>
    <xf numFmtId="49" fontId="32" fillId="6" borderId="0" xfId="4" applyNumberFormat="1" applyFont="1" applyFill="1" applyAlignment="1">
      <alignment horizontal="center" vertical="center"/>
    </xf>
    <xf numFmtId="177" fontId="32" fillId="3" borderId="0" xfId="4" applyNumberFormat="1" applyFont="1" applyFill="1" applyAlignment="1">
      <alignment horizontal="center" vertical="center"/>
    </xf>
    <xf numFmtId="178" fontId="32" fillId="16" borderId="0" xfId="4" applyNumberFormat="1" applyFont="1" applyFill="1" applyAlignment="1">
      <alignment horizontal="center" vertical="center"/>
    </xf>
    <xf numFmtId="0" fontId="32" fillId="3" borderId="0" xfId="4" applyFont="1" applyFill="1" applyAlignment="1">
      <alignment horizontal="center" vertical="center"/>
    </xf>
    <xf numFmtId="176" fontId="32" fillId="16" borderId="0" xfId="1" applyFont="1" applyFill="1" applyBorder="1" applyAlignment="1">
      <alignment horizontal="center" vertical="center"/>
    </xf>
    <xf numFmtId="177" fontId="28" fillId="11" borderId="0" xfId="4" applyNumberFormat="1" applyFont="1" applyFill="1" applyAlignment="1">
      <alignment horizontal="center" vertical="center"/>
    </xf>
    <xf numFmtId="0" fontId="29" fillId="0" borderId="0" xfId="0" applyFont="1" applyAlignment="1">
      <alignment horizontal="center" vertical="center"/>
    </xf>
    <xf numFmtId="49" fontId="30" fillId="6" borderId="0" xfId="4" applyNumberFormat="1" applyFont="1" applyFill="1" applyAlignment="1">
      <alignment horizontal="center" vertical="center"/>
    </xf>
    <xf numFmtId="0" fontId="28" fillId="7" borderId="0" xfId="4" applyFont="1" applyFill="1" applyAlignment="1">
      <alignment horizontal="center" vertical="center"/>
    </xf>
    <xf numFmtId="0" fontId="30" fillId="6" borderId="0" xfId="4" applyFont="1" applyFill="1" applyAlignment="1">
      <alignment horizontal="center" vertical="center"/>
    </xf>
    <xf numFmtId="0" fontId="30" fillId="7" borderId="0" xfId="4" applyFont="1" applyFill="1" applyAlignment="1">
      <alignment horizontal="center" vertical="center"/>
    </xf>
    <xf numFmtId="177" fontId="30" fillId="11" borderId="0" xfId="4" applyNumberFormat="1" applyFont="1" applyFill="1" applyAlignment="1">
      <alignment horizontal="center" vertical="center"/>
    </xf>
    <xf numFmtId="178" fontId="30" fillId="16" borderId="0" xfId="4" applyNumberFormat="1" applyFont="1" applyFill="1" applyAlignment="1">
      <alignment horizontal="center" vertical="center"/>
    </xf>
    <xf numFmtId="0" fontId="30" fillId="3" borderId="0" xfId="4" applyFont="1" applyFill="1" applyAlignment="1">
      <alignment horizontal="center" vertical="center"/>
    </xf>
    <xf numFmtId="176" fontId="30" fillId="16" borderId="0" xfId="1" applyFont="1" applyFill="1" applyBorder="1" applyAlignment="1">
      <alignment horizontal="center" vertical="center"/>
    </xf>
    <xf numFmtId="176" fontId="30" fillId="6" borderId="0" xfId="4" applyNumberFormat="1" applyFont="1" applyFill="1" applyAlignment="1">
      <alignment horizontal="center" vertical="center"/>
    </xf>
    <xf numFmtId="0" fontId="30" fillId="0" borderId="0" xfId="4" applyFont="1" applyAlignment="1">
      <alignment horizontal="center" vertical="center"/>
    </xf>
    <xf numFmtId="49" fontId="28" fillId="0" borderId="0" xfId="4" applyNumberFormat="1" applyFont="1" applyAlignment="1">
      <alignment horizontal="center" vertical="center" wrapText="1"/>
    </xf>
    <xf numFmtId="0" fontId="28" fillId="12" borderId="0" xfId="4" applyFont="1" applyFill="1" applyAlignment="1">
      <alignment horizontal="center" vertical="center"/>
    </xf>
    <xf numFmtId="0" fontId="28" fillId="13" borderId="0" xfId="4" applyFont="1" applyFill="1" applyAlignment="1">
      <alignment horizontal="center" vertical="center"/>
    </xf>
    <xf numFmtId="176" fontId="28" fillId="6" borderId="0" xfId="1" applyFont="1" applyFill="1" applyBorder="1" applyAlignment="1">
      <alignment horizontal="center" vertical="center"/>
    </xf>
    <xf numFmtId="0" fontId="28" fillId="11" borderId="0" xfId="4" applyFont="1" applyFill="1" applyAlignment="1">
      <alignment vertical="center"/>
    </xf>
    <xf numFmtId="183" fontId="28" fillId="0" borderId="0" xfId="4" applyNumberFormat="1" applyFont="1" applyAlignment="1">
      <alignment vertical="center"/>
    </xf>
    <xf numFmtId="0" fontId="32" fillId="11" borderId="0" xfId="4" applyFont="1" applyFill="1" applyAlignment="1">
      <alignment horizontal="center" vertical="center"/>
    </xf>
    <xf numFmtId="0" fontId="37" fillId="0" borderId="0" xfId="0" applyFont="1" applyAlignment="1">
      <alignment horizontal="center" vertical="center"/>
    </xf>
    <xf numFmtId="0" fontId="28" fillId="14" borderId="0" xfId="4" applyFont="1" applyFill="1" applyAlignment="1">
      <alignment horizontal="center" vertical="center"/>
    </xf>
    <xf numFmtId="184" fontId="28" fillId="16" borderId="0" xfId="4" applyNumberFormat="1" applyFont="1" applyFill="1" applyAlignment="1">
      <alignment horizontal="center" vertical="center"/>
    </xf>
    <xf numFmtId="177" fontId="28" fillId="12" borderId="0" xfId="4" applyNumberFormat="1" applyFont="1" applyFill="1" applyAlignment="1">
      <alignment horizontal="center" vertical="center"/>
    </xf>
    <xf numFmtId="0" fontId="32" fillId="7" borderId="0" xfId="4" applyFont="1" applyFill="1" applyAlignment="1">
      <alignment horizontal="center" vertical="center"/>
    </xf>
    <xf numFmtId="0" fontId="32" fillId="12" borderId="0" xfId="4" applyFont="1" applyFill="1" applyAlignment="1">
      <alignment horizontal="center" vertical="center"/>
    </xf>
    <xf numFmtId="176" fontId="32" fillId="6" borderId="0" xfId="4" applyNumberFormat="1" applyFont="1" applyFill="1" applyAlignment="1">
      <alignment horizontal="center" vertical="center"/>
    </xf>
    <xf numFmtId="177" fontId="32" fillId="0" borderId="0" xfId="4" applyNumberFormat="1" applyFont="1" applyAlignment="1">
      <alignment horizontal="center" vertical="center"/>
    </xf>
    <xf numFmtId="49" fontId="32" fillId="7" borderId="0" xfId="4" applyNumberFormat="1" applyFont="1" applyFill="1" applyAlignment="1">
      <alignment horizontal="left" vertical="center"/>
    </xf>
    <xf numFmtId="0" fontId="32" fillId="6" borderId="0" xfId="0" applyFont="1" applyFill="1" applyAlignment="1">
      <alignment horizontal="center" vertical="center"/>
    </xf>
    <xf numFmtId="14" fontId="30" fillId="0" borderId="0" xfId="4" applyNumberFormat="1" applyFont="1" applyAlignment="1">
      <alignment horizontal="center" vertical="center"/>
    </xf>
    <xf numFmtId="176" fontId="30" fillId="0" borderId="0" xfId="1" applyFont="1" applyFill="1" applyBorder="1" applyAlignment="1">
      <alignment horizontal="center" vertical="center"/>
    </xf>
    <xf numFmtId="177" fontId="28" fillId="14" borderId="0" xfId="4" applyNumberFormat="1" applyFont="1" applyFill="1" applyAlignment="1">
      <alignment horizontal="center" vertical="center"/>
    </xf>
    <xf numFmtId="177" fontId="28" fillId="5" borderId="0" xfId="4" applyNumberFormat="1" applyFont="1" applyFill="1" applyAlignment="1">
      <alignment horizontal="center" vertical="center"/>
    </xf>
    <xf numFmtId="0" fontId="28" fillId="5" borderId="0" xfId="4" applyFont="1" applyFill="1" applyAlignment="1">
      <alignment horizontal="center" vertical="center"/>
    </xf>
    <xf numFmtId="0" fontId="29" fillId="11" borderId="0" xfId="0" applyFont="1" applyFill="1" applyAlignment="1">
      <alignment horizontal="center" vertical="center"/>
    </xf>
    <xf numFmtId="0" fontId="29" fillId="16" borderId="0" xfId="0" applyFont="1" applyFill="1" applyAlignment="1">
      <alignment horizontal="center" vertical="center"/>
    </xf>
    <xf numFmtId="176" fontId="29" fillId="16" borderId="0" xfId="1" applyFont="1" applyFill="1" applyBorder="1" applyAlignment="1">
      <alignment horizontal="center" vertical="center"/>
    </xf>
    <xf numFmtId="186" fontId="28" fillId="16" borderId="0" xfId="4" applyNumberFormat="1" applyFont="1" applyFill="1" applyAlignment="1">
      <alignment horizontal="center" vertical="center"/>
    </xf>
    <xf numFmtId="0" fontId="28" fillId="5" borderId="0" xfId="0" applyFont="1" applyFill="1" applyAlignment="1">
      <alignment horizontal="center" vertical="center"/>
    </xf>
    <xf numFmtId="0" fontId="29" fillId="5" borderId="0" xfId="0" applyFont="1" applyFill="1" applyAlignment="1">
      <alignment horizontal="center" vertical="center"/>
    </xf>
    <xf numFmtId="49" fontId="30" fillId="7" borderId="0" xfId="4" applyNumberFormat="1" applyFont="1" applyFill="1" applyAlignment="1">
      <alignment horizontal="left" vertical="center"/>
    </xf>
    <xf numFmtId="0" fontId="32" fillId="5" borderId="0" xfId="4" applyFont="1" applyFill="1" applyAlignment="1">
      <alignment horizontal="center" vertical="center"/>
    </xf>
    <xf numFmtId="0" fontId="32" fillId="5" borderId="0" xfId="0" applyFont="1" applyFill="1" applyAlignment="1">
      <alignment horizontal="center" vertical="center"/>
    </xf>
    <xf numFmtId="0" fontId="32" fillId="16" borderId="0" xfId="0" applyFont="1" applyFill="1" applyAlignment="1">
      <alignment horizontal="center" vertical="center"/>
    </xf>
    <xf numFmtId="177" fontId="32" fillId="5" borderId="0" xfId="4" applyNumberFormat="1" applyFont="1" applyFill="1" applyAlignment="1">
      <alignment horizontal="center" vertical="center"/>
    </xf>
    <xf numFmtId="49" fontId="29" fillId="6" borderId="0" xfId="0" applyNumberFormat="1" applyFont="1" applyFill="1" applyAlignment="1">
      <alignment horizontal="center" vertical="center"/>
    </xf>
    <xf numFmtId="0" fontId="29" fillId="7" borderId="0" xfId="0" applyFont="1" applyFill="1" applyAlignment="1">
      <alignment horizontal="center" vertical="center"/>
    </xf>
    <xf numFmtId="49" fontId="32" fillId="7" borderId="0" xfId="0" applyNumberFormat="1" applyFont="1" applyFill="1" applyAlignment="1">
      <alignment horizontal="left" vertical="center"/>
    </xf>
    <xf numFmtId="0" fontId="29" fillId="6" borderId="0" xfId="0" applyFont="1" applyFill="1" applyAlignment="1">
      <alignment horizontal="center" vertical="center"/>
    </xf>
    <xf numFmtId="49" fontId="32" fillId="6" borderId="0" xfId="0" applyNumberFormat="1" applyFont="1" applyFill="1" applyAlignment="1">
      <alignment horizontal="center" vertical="center"/>
    </xf>
    <xf numFmtId="0" fontId="32" fillId="7" borderId="0" xfId="0" applyFont="1" applyFill="1" applyAlignment="1">
      <alignment horizontal="center" vertical="center"/>
    </xf>
    <xf numFmtId="0" fontId="28" fillId="6" borderId="0" xfId="0" applyFont="1" applyFill="1" applyAlignment="1">
      <alignment horizontal="center" vertical="center"/>
    </xf>
    <xf numFmtId="49" fontId="32" fillId="7" borderId="0" xfId="4" applyNumberFormat="1" applyFont="1" applyFill="1" applyAlignment="1">
      <alignment horizontal="center" vertical="center"/>
    </xf>
    <xf numFmtId="177" fontId="32" fillId="7" borderId="0" xfId="4" applyNumberFormat="1" applyFont="1" applyFill="1" applyAlignment="1">
      <alignment horizontal="center" vertical="center"/>
    </xf>
    <xf numFmtId="176" fontId="32" fillId="7" borderId="0" xfId="4" applyNumberFormat="1" applyFont="1" applyFill="1" applyAlignment="1">
      <alignment horizontal="center" vertical="center"/>
    </xf>
    <xf numFmtId="49" fontId="28" fillId="7" borderId="0" xfId="4" applyNumberFormat="1" applyFont="1" applyFill="1" applyAlignment="1">
      <alignment horizontal="center" vertical="center"/>
    </xf>
    <xf numFmtId="177" fontId="32" fillId="6" borderId="0" xfId="4" applyNumberFormat="1" applyFont="1" applyFill="1" applyAlignment="1">
      <alignment horizontal="center" vertical="center"/>
    </xf>
    <xf numFmtId="177" fontId="28" fillId="7" borderId="0" xfId="4" applyNumberFormat="1" applyFont="1" applyFill="1" applyAlignment="1">
      <alignment horizontal="center" vertical="center"/>
    </xf>
    <xf numFmtId="176" fontId="28" fillId="7" borderId="0" xfId="4" applyNumberFormat="1" applyFont="1" applyFill="1" applyAlignment="1">
      <alignment horizontal="center" vertical="center"/>
    </xf>
    <xf numFmtId="0" fontId="28" fillId="7" borderId="0" xfId="0" applyFont="1" applyFill="1" applyAlignment="1">
      <alignment horizontal="center" vertical="center"/>
    </xf>
    <xf numFmtId="177" fontId="28" fillId="6" borderId="0" xfId="4" applyNumberFormat="1" applyFont="1" applyFill="1" applyAlignment="1">
      <alignment horizontal="center" vertical="center"/>
    </xf>
    <xf numFmtId="49" fontId="28" fillId="7" borderId="0" xfId="4" quotePrefix="1" applyNumberFormat="1" applyFont="1" applyFill="1" applyAlignment="1">
      <alignment horizontal="left" vertical="center"/>
    </xf>
    <xf numFmtId="1" fontId="30" fillId="16" borderId="0" xfId="0" applyNumberFormat="1" applyFont="1" applyFill="1" applyAlignment="1">
      <alignment horizontal="center" vertical="center"/>
    </xf>
    <xf numFmtId="49" fontId="32" fillId="7" borderId="0" xfId="0" applyNumberFormat="1" applyFont="1" applyFill="1" applyAlignment="1">
      <alignment horizontal="center" vertical="center"/>
    </xf>
    <xf numFmtId="0" fontId="30" fillId="16" borderId="0" xfId="0" applyFont="1" applyFill="1" applyAlignment="1">
      <alignment horizontal="center" vertical="center"/>
    </xf>
    <xf numFmtId="49" fontId="32" fillId="7" borderId="0" xfId="0" applyNumberFormat="1" applyFont="1" applyFill="1" applyAlignment="1">
      <alignment horizontal="center" vertical="center" wrapText="1"/>
    </xf>
    <xf numFmtId="58" fontId="28" fillId="0" borderId="0" xfId="4" applyNumberFormat="1" applyFont="1" applyAlignment="1">
      <alignment horizontal="center" vertical="center"/>
    </xf>
    <xf numFmtId="177" fontId="30" fillId="6" borderId="0" xfId="4" applyNumberFormat="1" applyFont="1" applyFill="1" applyAlignment="1">
      <alignment horizontal="center" vertical="center"/>
    </xf>
    <xf numFmtId="0" fontId="28" fillId="15" borderId="0" xfId="4" applyFont="1" applyFill="1" applyAlignment="1">
      <alignment horizontal="center" vertical="center"/>
    </xf>
    <xf numFmtId="49" fontId="28" fillId="15" borderId="0" xfId="4" applyNumberFormat="1" applyFont="1" applyFill="1" applyAlignment="1">
      <alignment horizontal="center" vertical="center"/>
    </xf>
    <xf numFmtId="177" fontId="28" fillId="15" borderId="0" xfId="4" applyNumberFormat="1" applyFont="1" applyFill="1" applyAlignment="1">
      <alignment horizontal="center" vertical="center"/>
    </xf>
    <xf numFmtId="176" fontId="32" fillId="15" borderId="0" xfId="4" applyNumberFormat="1" applyFont="1" applyFill="1" applyAlignment="1">
      <alignment horizontal="center" vertical="center"/>
    </xf>
    <xf numFmtId="49" fontId="28" fillId="15" borderId="0" xfId="4" applyNumberFormat="1" applyFont="1" applyFill="1" applyAlignment="1">
      <alignment horizontal="center" vertical="center" wrapText="1"/>
    </xf>
    <xf numFmtId="49" fontId="28" fillId="7" borderId="0" xfId="4" applyNumberFormat="1" applyFont="1" applyFill="1" applyAlignment="1">
      <alignment horizontal="center" vertical="center" wrapText="1"/>
    </xf>
    <xf numFmtId="49" fontId="30" fillId="7" borderId="0" xfId="4" applyNumberFormat="1" applyFont="1" applyFill="1" applyAlignment="1">
      <alignment horizontal="center" vertical="center"/>
    </xf>
    <xf numFmtId="0" fontId="30" fillId="16" borderId="0" xfId="4" applyFont="1" applyFill="1" applyAlignment="1">
      <alignment horizontal="left" vertical="center"/>
    </xf>
    <xf numFmtId="177" fontId="30" fillId="7" borderId="0" xfId="4" applyNumberFormat="1" applyFont="1" applyFill="1" applyAlignment="1">
      <alignment horizontal="center" vertical="center"/>
    </xf>
    <xf numFmtId="176" fontId="30" fillId="7" borderId="0" xfId="4" applyNumberFormat="1" applyFont="1" applyFill="1" applyAlignment="1">
      <alignment horizontal="center" vertical="center"/>
    </xf>
    <xf numFmtId="49" fontId="32" fillId="18" borderId="0" xfId="4" applyNumberFormat="1" applyFont="1" applyFill="1" applyAlignment="1">
      <alignment horizontal="center" vertical="center"/>
    </xf>
    <xf numFmtId="0" fontId="28" fillId="18" borderId="0" xfId="4" applyFont="1" applyFill="1" applyAlignment="1">
      <alignment horizontal="center" vertical="center"/>
    </xf>
    <xf numFmtId="49" fontId="28" fillId="18" borderId="0" xfId="4" applyNumberFormat="1" applyFont="1" applyFill="1" applyAlignment="1">
      <alignment horizontal="center" vertical="center"/>
    </xf>
    <xf numFmtId="49" fontId="28" fillId="18" borderId="0" xfId="4" applyNumberFormat="1" applyFont="1" applyFill="1" applyAlignment="1">
      <alignment horizontal="left" vertical="center"/>
    </xf>
    <xf numFmtId="0" fontId="32" fillId="18" borderId="0" xfId="4" applyFont="1" applyFill="1" applyAlignment="1">
      <alignment horizontal="left" vertical="center"/>
    </xf>
    <xf numFmtId="0" fontId="28" fillId="18" borderId="0" xfId="4" applyFont="1" applyFill="1" applyAlignment="1">
      <alignment horizontal="left" vertical="center"/>
    </xf>
    <xf numFmtId="177" fontId="28" fillId="18" borderId="0" xfId="4" applyNumberFormat="1" applyFont="1" applyFill="1" applyAlignment="1">
      <alignment horizontal="center" vertical="center"/>
    </xf>
    <xf numFmtId="184" fontId="28" fillId="18" borderId="0" xfId="4" applyNumberFormat="1" applyFont="1" applyFill="1" applyAlignment="1">
      <alignment horizontal="center" vertical="center"/>
    </xf>
    <xf numFmtId="176" fontId="28" fillId="18" borderId="0" xfId="1" applyFont="1" applyFill="1" applyBorder="1" applyAlignment="1">
      <alignment horizontal="center" vertical="center"/>
    </xf>
    <xf numFmtId="176" fontId="32" fillId="18" borderId="0" xfId="4" applyNumberFormat="1" applyFont="1" applyFill="1" applyAlignment="1">
      <alignment horizontal="center" vertical="center"/>
    </xf>
    <xf numFmtId="2" fontId="32" fillId="18" borderId="0" xfId="4" applyNumberFormat="1" applyFont="1" applyFill="1" applyAlignment="1">
      <alignment horizontal="center" vertical="center"/>
    </xf>
    <xf numFmtId="183" fontId="32" fillId="18" borderId="0" xfId="4" applyNumberFormat="1" applyFont="1" applyFill="1" applyAlignment="1">
      <alignment horizontal="center" vertical="center"/>
    </xf>
    <xf numFmtId="14" fontId="28" fillId="18" borderId="0" xfId="4" applyNumberFormat="1" applyFont="1" applyFill="1" applyAlignment="1">
      <alignment horizontal="center" vertical="center"/>
    </xf>
    <xf numFmtId="176" fontId="32" fillId="18" borderId="0" xfId="1" applyFont="1" applyFill="1" applyBorder="1" applyAlignment="1">
      <alignment horizontal="center" vertical="center"/>
    </xf>
    <xf numFmtId="0" fontId="32" fillId="18" borderId="0" xfId="4" applyFont="1" applyFill="1" applyAlignment="1">
      <alignment horizontal="center" vertical="center"/>
    </xf>
    <xf numFmtId="0" fontId="30" fillId="18" borderId="0" xfId="4" applyFont="1" applyFill="1" applyAlignment="1">
      <alignment horizontal="center" vertical="center"/>
    </xf>
    <xf numFmtId="184" fontId="32" fillId="18" borderId="0" xfId="4" applyNumberFormat="1" applyFont="1" applyFill="1" applyAlignment="1">
      <alignment horizontal="center" vertical="center"/>
    </xf>
    <xf numFmtId="49" fontId="32" fillId="19" borderId="0" xfId="4" applyNumberFormat="1" applyFont="1" applyFill="1" applyAlignment="1">
      <alignment horizontal="center" vertical="center"/>
    </xf>
    <xf numFmtId="0" fontId="28" fillId="19" borderId="0" xfId="4" applyFont="1" applyFill="1" applyAlignment="1">
      <alignment horizontal="center" vertical="center"/>
    </xf>
    <xf numFmtId="49" fontId="28" fillId="19" borderId="0" xfId="4" applyNumberFormat="1" applyFont="1" applyFill="1" applyAlignment="1">
      <alignment horizontal="center" vertical="center"/>
    </xf>
    <xf numFmtId="49" fontId="28" fillId="19" borderId="0" xfId="4" applyNumberFormat="1" applyFont="1" applyFill="1" applyAlignment="1">
      <alignment horizontal="left" vertical="center"/>
    </xf>
    <xf numFmtId="177" fontId="28" fillId="19" borderId="0" xfId="4" applyNumberFormat="1" applyFont="1" applyFill="1" applyAlignment="1">
      <alignment horizontal="center" vertical="center"/>
    </xf>
    <xf numFmtId="184" fontId="32" fillId="19" borderId="0" xfId="4" applyNumberFormat="1" applyFont="1" applyFill="1" applyAlignment="1">
      <alignment horizontal="center" vertical="center"/>
    </xf>
    <xf numFmtId="176" fontId="28" fillId="19" borderId="0" xfId="1" applyFont="1" applyFill="1" applyBorder="1" applyAlignment="1">
      <alignment horizontal="center" vertical="center"/>
    </xf>
    <xf numFmtId="176" fontId="32" fillId="19" borderId="0" xfId="4" applyNumberFormat="1" applyFont="1" applyFill="1" applyAlignment="1">
      <alignment horizontal="center" vertical="center"/>
    </xf>
    <xf numFmtId="2" fontId="32" fillId="19" borderId="0" xfId="4" applyNumberFormat="1" applyFont="1" applyFill="1" applyAlignment="1">
      <alignment horizontal="center" vertical="center"/>
    </xf>
    <xf numFmtId="183" fontId="32" fillId="19" borderId="0" xfId="4" applyNumberFormat="1" applyFont="1" applyFill="1" applyAlignment="1">
      <alignment horizontal="center" vertical="center"/>
    </xf>
    <xf numFmtId="14" fontId="28" fillId="19" borderId="0" xfId="4" applyNumberFormat="1" applyFont="1" applyFill="1" applyAlignment="1">
      <alignment horizontal="center" vertical="center"/>
    </xf>
    <xf numFmtId="176" fontId="32" fillId="19" borderId="0" xfId="1" applyFont="1" applyFill="1" applyBorder="1" applyAlignment="1">
      <alignment horizontal="center" vertical="center"/>
    </xf>
    <xf numFmtId="0" fontId="32" fillId="19" borderId="0" xfId="4" applyFont="1" applyFill="1" applyAlignment="1">
      <alignment horizontal="center" vertical="center"/>
    </xf>
    <xf numFmtId="0" fontId="30" fillId="19" borderId="0" xfId="4" applyFont="1" applyFill="1" applyAlignment="1">
      <alignment horizontal="center" vertical="center"/>
    </xf>
    <xf numFmtId="0" fontId="28" fillId="8" borderId="0" xfId="4" applyFont="1" applyFill="1" applyAlignment="1">
      <alignment horizontal="center" vertical="center"/>
    </xf>
    <xf numFmtId="0" fontId="32" fillId="16" borderId="0" xfId="7" applyFont="1" applyFill="1" applyAlignment="1">
      <alignment horizontal="left" vertical="center"/>
    </xf>
    <xf numFmtId="0" fontId="35" fillId="3" borderId="0" xfId="4" applyFont="1" applyFill="1" applyAlignment="1">
      <alignment horizontal="center" vertical="center"/>
    </xf>
    <xf numFmtId="0" fontId="35" fillId="3" borderId="8" xfId="4" applyFont="1" applyFill="1" applyBorder="1" applyAlignment="1">
      <alignment horizontal="center" vertical="center"/>
    </xf>
    <xf numFmtId="49" fontId="35" fillId="3" borderId="8" xfId="4" applyNumberFormat="1" applyFont="1" applyFill="1" applyBorder="1" applyAlignment="1">
      <alignment horizontal="center" vertical="center"/>
    </xf>
    <xf numFmtId="177" fontId="35" fillId="3" borderId="8" xfId="4" applyNumberFormat="1" applyFont="1" applyFill="1" applyBorder="1" applyAlignment="1">
      <alignment horizontal="center" vertical="center"/>
    </xf>
    <xf numFmtId="178" fontId="35" fillId="0" borderId="8" xfId="4" applyNumberFormat="1" applyFont="1" applyBorder="1" applyAlignment="1">
      <alignment horizontal="center" vertical="center"/>
    </xf>
    <xf numFmtId="178" fontId="35" fillId="3" borderId="8" xfId="4" applyNumberFormat="1" applyFont="1" applyFill="1" applyBorder="1" applyAlignment="1">
      <alignment horizontal="center" vertical="center"/>
    </xf>
    <xf numFmtId="176" fontId="35" fillId="0" borderId="8" xfId="1" applyFont="1" applyFill="1" applyBorder="1" applyAlignment="1">
      <alignment horizontal="center" vertical="center"/>
    </xf>
    <xf numFmtId="179" fontId="35" fillId="0" borderId="8" xfId="1" applyNumberFormat="1" applyFont="1" applyFill="1" applyBorder="1" applyAlignment="1">
      <alignment horizontal="center" vertical="center"/>
    </xf>
    <xf numFmtId="180" fontId="35" fillId="0" borderId="8" xfId="1" applyNumberFormat="1" applyFont="1" applyFill="1" applyBorder="1" applyAlignment="1">
      <alignment horizontal="center" vertical="center"/>
    </xf>
    <xf numFmtId="176" fontId="35" fillId="0" borderId="8" xfId="1" applyFont="1" applyBorder="1" applyAlignment="1">
      <alignment horizontal="center" vertical="center"/>
    </xf>
    <xf numFmtId="49" fontId="35" fillId="0" borderId="8" xfId="4" applyNumberFormat="1" applyFont="1" applyBorder="1" applyAlignment="1">
      <alignment horizontal="center" vertical="center"/>
    </xf>
    <xf numFmtId="0" fontId="35" fillId="0" borderId="0" xfId="4" applyFont="1" applyAlignment="1">
      <alignment horizontal="center" vertical="center"/>
    </xf>
    <xf numFmtId="177" fontId="35" fillId="0" borderId="0" xfId="4" applyNumberFormat="1" applyFont="1" applyAlignment="1">
      <alignment horizontal="center" vertical="center"/>
    </xf>
    <xf numFmtId="178" fontId="35" fillId="0" borderId="0" xfId="4" applyNumberFormat="1" applyFont="1" applyAlignment="1">
      <alignment horizontal="center" vertical="center"/>
    </xf>
    <xf numFmtId="0" fontId="32" fillId="2" borderId="0" xfId="0" applyFont="1" applyFill="1" applyAlignment="1">
      <alignment horizontal="center" vertical="center"/>
    </xf>
    <xf numFmtId="0" fontId="29" fillId="2" borderId="0" xfId="0" applyFont="1" applyFill="1" applyAlignment="1">
      <alignment horizontal="center" vertical="center"/>
    </xf>
    <xf numFmtId="0" fontId="32" fillId="2" borderId="0" xfId="0" applyFont="1" applyFill="1" applyAlignment="1">
      <alignment horizontal="left" vertical="center"/>
    </xf>
    <xf numFmtId="0" fontId="28" fillId="2" borderId="0" xfId="4" applyFont="1" applyFill="1" applyAlignment="1">
      <alignment horizontal="center" vertical="center"/>
    </xf>
    <xf numFmtId="178" fontId="28" fillId="2" borderId="0" xfId="4" applyNumberFormat="1" applyFont="1" applyFill="1" applyAlignment="1">
      <alignment horizontal="center" vertical="center"/>
    </xf>
    <xf numFmtId="176" fontId="28" fillId="2" borderId="0" xfId="4" applyNumberFormat="1" applyFont="1" applyFill="1" applyAlignment="1">
      <alignment horizontal="center" vertical="center"/>
    </xf>
    <xf numFmtId="176" fontId="28" fillId="2" borderId="0" xfId="1" applyFont="1" applyFill="1" applyAlignment="1">
      <alignment horizontal="center" vertical="center"/>
    </xf>
    <xf numFmtId="49" fontId="28" fillId="2" borderId="0" xfId="4" applyNumberFormat="1" applyFont="1" applyFill="1" applyAlignment="1">
      <alignment horizontal="center" vertical="center"/>
    </xf>
    <xf numFmtId="58" fontId="28" fillId="2" borderId="0" xfId="4" applyNumberFormat="1" applyFont="1" applyFill="1" applyAlignment="1">
      <alignment horizontal="center" vertical="center"/>
    </xf>
    <xf numFmtId="0" fontId="29" fillId="2" borderId="0" xfId="0" applyFont="1" applyFill="1" applyAlignment="1">
      <alignment horizontal="left" vertical="center"/>
    </xf>
    <xf numFmtId="177" fontId="28" fillId="2" borderId="0" xfId="4" applyNumberFormat="1" applyFont="1" applyFill="1" applyAlignment="1">
      <alignment horizontal="center" vertical="center"/>
    </xf>
    <xf numFmtId="176" fontId="28" fillId="0" borderId="0" xfId="1" applyFont="1" applyAlignment="1">
      <alignment horizontal="center" vertical="center"/>
    </xf>
    <xf numFmtId="0" fontId="33" fillId="0" borderId="0" xfId="4" applyFont="1" applyAlignment="1">
      <alignment horizontal="center" vertical="center"/>
    </xf>
    <xf numFmtId="49" fontId="33" fillId="0" borderId="0" xfId="4" applyNumberFormat="1" applyFont="1" applyAlignment="1">
      <alignment horizontal="center" vertical="center"/>
    </xf>
    <xf numFmtId="177" fontId="33" fillId="0" borderId="0" xfId="4" applyNumberFormat="1" applyFont="1" applyAlignment="1">
      <alignment horizontal="center" vertical="center"/>
    </xf>
    <xf numFmtId="178" fontId="33" fillId="0" borderId="0" xfId="4" applyNumberFormat="1" applyFont="1" applyAlignment="1">
      <alignment horizontal="center" vertical="center"/>
    </xf>
    <xf numFmtId="176" fontId="33" fillId="0" borderId="0" xfId="4" applyNumberFormat="1" applyFont="1" applyAlignment="1">
      <alignment horizontal="center" vertical="center"/>
    </xf>
    <xf numFmtId="176" fontId="33" fillId="0" borderId="0" xfId="1" applyFont="1" applyAlignment="1">
      <alignment horizontal="center" vertical="center"/>
    </xf>
    <xf numFmtId="0" fontId="36" fillId="0" borderId="1" xfId="4" applyFont="1" applyBorder="1" applyAlignment="1">
      <alignment horizontal="center" vertical="center"/>
    </xf>
    <xf numFmtId="0" fontId="33" fillId="0" borderId="1" xfId="4" applyFont="1" applyBorder="1" applyAlignment="1">
      <alignment horizontal="center" vertical="center"/>
    </xf>
    <xf numFmtId="176" fontId="33" fillId="0" borderId="1" xfId="1" applyFont="1" applyBorder="1" applyAlignment="1">
      <alignment horizontal="center" vertical="center"/>
    </xf>
    <xf numFmtId="0" fontId="28" fillId="0" borderId="2" xfId="4" applyFont="1" applyBorder="1" applyAlignment="1">
      <alignment horizontal="center" vertical="center"/>
    </xf>
    <xf numFmtId="0" fontId="28" fillId="0" borderId="2" xfId="4" applyFont="1" applyBorder="1" applyAlignment="1">
      <alignment horizontal="left" vertical="center"/>
    </xf>
    <xf numFmtId="0" fontId="33" fillId="0" borderId="2" xfId="4" applyFont="1" applyBorder="1" applyAlignment="1">
      <alignment horizontal="center" vertical="center"/>
    </xf>
    <xf numFmtId="176" fontId="28" fillId="0" borderId="2" xfId="1" applyFont="1" applyBorder="1" applyAlignment="1">
      <alignment horizontal="center" vertical="center"/>
    </xf>
    <xf numFmtId="0" fontId="28" fillId="0" borderId="3" xfId="4" applyFont="1" applyBorder="1" applyAlignment="1">
      <alignment horizontal="center" vertical="center"/>
    </xf>
    <xf numFmtId="0" fontId="28" fillId="0" borderId="3" xfId="4" applyFont="1" applyBorder="1" applyAlignment="1">
      <alignment horizontal="left" vertical="center"/>
    </xf>
    <xf numFmtId="0" fontId="33" fillId="0" borderId="3" xfId="4" applyFont="1" applyBorder="1" applyAlignment="1">
      <alignment horizontal="center" vertical="center"/>
    </xf>
    <xf numFmtId="176" fontId="28" fillId="0" borderId="3" xfId="1" applyFont="1" applyBorder="1" applyAlignment="1">
      <alignment horizontal="center" vertical="center"/>
    </xf>
    <xf numFmtId="0" fontId="28" fillId="0" borderId="1" xfId="4" applyFont="1" applyBorder="1" applyAlignment="1">
      <alignment horizontal="center" vertical="center"/>
    </xf>
    <xf numFmtId="0" fontId="28" fillId="0" borderId="1" xfId="4" applyFont="1" applyBorder="1" applyAlignment="1">
      <alignment horizontal="left" vertical="center"/>
    </xf>
    <xf numFmtId="176" fontId="28" fillId="0" borderId="1" xfId="1" applyFont="1" applyBorder="1" applyAlignment="1">
      <alignment horizontal="center" vertical="center"/>
    </xf>
    <xf numFmtId="0" fontId="28" fillId="0" borderId="4" xfId="4" applyFont="1" applyBorder="1" applyAlignment="1">
      <alignment horizontal="center" vertical="center"/>
    </xf>
    <xf numFmtId="0" fontId="28" fillId="0" borderId="4" xfId="4" applyFont="1" applyBorder="1" applyAlignment="1">
      <alignment horizontal="left" vertical="center"/>
    </xf>
    <xf numFmtId="0" fontId="33" fillId="0" borderId="4" xfId="4" applyFont="1" applyBorder="1" applyAlignment="1">
      <alignment horizontal="center" vertical="center"/>
    </xf>
    <xf numFmtId="176" fontId="28" fillId="0" borderId="4" xfId="1" applyFont="1" applyBorder="1" applyAlignment="1">
      <alignment horizontal="center" vertical="center"/>
    </xf>
    <xf numFmtId="0" fontId="28" fillId="0" borderId="5" xfId="4" applyFont="1" applyBorder="1" applyAlignment="1">
      <alignment horizontal="center" vertical="center"/>
    </xf>
    <xf numFmtId="0" fontId="28" fillId="0" borderId="5" xfId="4" applyFont="1" applyBorder="1" applyAlignment="1">
      <alignment horizontal="left" vertical="center"/>
    </xf>
    <xf numFmtId="0" fontId="33" fillId="0" borderId="5" xfId="4" applyFont="1" applyBorder="1" applyAlignment="1">
      <alignment horizontal="center" vertical="center"/>
    </xf>
    <xf numFmtId="176" fontId="28" fillId="0" borderId="5" xfId="1" applyFont="1" applyBorder="1" applyAlignment="1">
      <alignment horizontal="center" vertical="center"/>
    </xf>
    <xf numFmtId="0" fontId="28" fillId="0" borderId="6" xfId="4" applyFont="1" applyBorder="1" applyAlignment="1">
      <alignment horizontal="center" vertical="center"/>
    </xf>
    <xf numFmtId="0" fontId="28" fillId="0" borderId="6" xfId="4" applyFont="1" applyBorder="1" applyAlignment="1">
      <alignment horizontal="left" vertical="center"/>
    </xf>
    <xf numFmtId="0" fontId="33" fillId="0" borderId="6" xfId="4" applyFont="1" applyBorder="1" applyAlignment="1">
      <alignment horizontal="center" vertical="center"/>
    </xf>
    <xf numFmtId="176" fontId="28" fillId="0" borderId="6" xfId="1" applyFont="1" applyBorder="1" applyAlignment="1">
      <alignment horizontal="center" vertical="center"/>
    </xf>
    <xf numFmtId="0" fontId="28" fillId="0" borderId="7" xfId="4" applyFont="1" applyBorder="1" applyAlignment="1">
      <alignment horizontal="center" vertical="center"/>
    </xf>
    <xf numFmtId="0" fontId="28" fillId="0" borderId="7" xfId="4" applyFont="1" applyBorder="1" applyAlignment="1">
      <alignment horizontal="left" vertical="center"/>
    </xf>
    <xf numFmtId="0" fontId="33" fillId="0" borderId="7" xfId="4" applyFont="1" applyBorder="1" applyAlignment="1">
      <alignment horizontal="center" vertical="center"/>
    </xf>
    <xf numFmtId="176" fontId="28" fillId="0" borderId="7" xfId="1" applyFont="1" applyBorder="1" applyAlignment="1">
      <alignment horizontal="center" vertical="center"/>
    </xf>
    <xf numFmtId="181" fontId="28" fillId="0" borderId="0" xfId="0" applyNumberFormat="1" applyFont="1" applyAlignment="1">
      <alignment horizontal="center" vertical="center"/>
    </xf>
    <xf numFmtId="181" fontId="4" fillId="0" borderId="0" xfId="0" applyNumberFormat="1" applyFont="1" applyAlignment="1">
      <alignment horizontal="center"/>
    </xf>
    <xf numFmtId="0" fontId="40" fillId="0" borderId="0" xfId="0" applyFont="1" applyAlignment="1">
      <alignment horizontal="left"/>
    </xf>
    <xf numFmtId="178" fontId="28" fillId="0" borderId="0" xfId="0" applyNumberFormat="1" applyFont="1" applyAlignment="1">
      <alignment horizontal="center" vertical="center"/>
    </xf>
    <xf numFmtId="178" fontId="4" fillId="0" borderId="0" xfId="0" applyNumberFormat="1" applyFont="1" applyAlignment="1">
      <alignment horizontal="center"/>
    </xf>
    <xf numFmtId="0" fontId="28" fillId="0" borderId="25" xfId="0" applyFont="1" applyBorder="1" applyAlignment="1">
      <alignment horizontal="left" vertical="center"/>
    </xf>
    <xf numFmtId="0" fontId="28" fillId="0" borderId="26" xfId="0" applyFont="1" applyBorder="1" applyAlignment="1">
      <alignment horizontal="left" vertical="center"/>
    </xf>
    <xf numFmtId="0" fontId="28" fillId="0" borderId="26" xfId="0" applyFont="1" applyBorder="1" applyAlignment="1">
      <alignment horizontal="left" vertical="center" wrapText="1"/>
    </xf>
    <xf numFmtId="0" fontId="28" fillId="0" borderId="26" xfId="0" applyFont="1" applyBorder="1" applyAlignment="1">
      <alignment horizontal="center" vertical="center"/>
    </xf>
    <xf numFmtId="181" fontId="28" fillId="0" borderId="26" xfId="0" applyNumberFormat="1" applyFont="1" applyBorder="1" applyAlignment="1">
      <alignment horizontal="center" vertical="center"/>
    </xf>
    <xf numFmtId="178" fontId="28" fillId="0" borderId="26" xfId="0" applyNumberFormat="1" applyFont="1" applyBorder="1" applyAlignment="1">
      <alignment horizontal="center" vertical="center"/>
    </xf>
    <xf numFmtId="0" fontId="28" fillId="0" borderId="28" xfId="0" applyFont="1" applyBorder="1" applyAlignment="1">
      <alignment horizontal="left" vertical="center"/>
    </xf>
    <xf numFmtId="0" fontId="28" fillId="0" borderId="29" xfId="0" applyFont="1" applyBorder="1" applyAlignment="1">
      <alignment horizontal="left" vertical="center"/>
    </xf>
    <xf numFmtId="0" fontId="28" fillId="0" borderId="29" xfId="0" applyFont="1" applyBorder="1" applyAlignment="1">
      <alignment horizontal="left" vertical="center" wrapText="1"/>
    </xf>
    <xf numFmtId="0" fontId="28" fillId="0" borderId="29" xfId="0" applyFont="1" applyBorder="1" applyAlignment="1">
      <alignment horizontal="center" vertical="center"/>
    </xf>
    <xf numFmtId="181" fontId="28" fillId="0" borderId="29" xfId="0" applyNumberFormat="1" applyFont="1" applyBorder="1" applyAlignment="1">
      <alignment horizontal="center" vertical="center"/>
    </xf>
    <xf numFmtId="178" fontId="28" fillId="0" borderId="29" xfId="0" applyNumberFormat="1" applyFont="1" applyBorder="1" applyAlignment="1">
      <alignment horizontal="center" vertical="center"/>
    </xf>
    <xf numFmtId="0" fontId="28" fillId="8" borderId="29" xfId="0" applyFont="1" applyFill="1" applyBorder="1" applyAlignment="1">
      <alignment horizontal="left" vertical="center"/>
    </xf>
    <xf numFmtId="0" fontId="28" fillId="8" borderId="29" xfId="0" applyFont="1" applyFill="1" applyBorder="1" applyAlignment="1">
      <alignment horizontal="center" vertical="center"/>
    </xf>
    <xf numFmtId="181" fontId="28" fillId="8" borderId="29" xfId="0" applyNumberFormat="1" applyFont="1" applyFill="1" applyBorder="1" applyAlignment="1">
      <alignment horizontal="center" vertical="center"/>
    </xf>
    <xf numFmtId="178" fontId="28" fillId="8" borderId="29" xfId="0" applyNumberFormat="1" applyFont="1" applyFill="1" applyBorder="1" applyAlignment="1">
      <alignment horizontal="center" vertical="center"/>
    </xf>
    <xf numFmtId="0" fontId="29" fillId="0" borderId="29" xfId="0" applyFont="1" applyBorder="1" applyAlignment="1">
      <alignment horizontal="left" vertical="center"/>
    </xf>
    <xf numFmtId="181" fontId="28" fillId="0" borderId="29" xfId="1" applyNumberFormat="1" applyFont="1" applyBorder="1" applyAlignment="1">
      <alignment horizontal="center" vertical="center"/>
    </xf>
    <xf numFmtId="0" fontId="30" fillId="0" borderId="28" xfId="0" applyFont="1" applyBorder="1" applyAlignment="1">
      <alignment horizontal="left" vertical="center"/>
    </xf>
    <xf numFmtId="0" fontId="30" fillId="0" borderId="29" xfId="0" applyFont="1" applyBorder="1" applyAlignment="1">
      <alignment horizontal="left" vertical="center"/>
    </xf>
    <xf numFmtId="0" fontId="30" fillId="0" borderId="29" xfId="0" applyFont="1" applyBorder="1" applyAlignment="1">
      <alignment horizontal="center" vertical="center"/>
    </xf>
    <xf numFmtId="181" fontId="30" fillId="0" borderId="29" xfId="1" applyNumberFormat="1" applyFont="1" applyBorder="1" applyAlignment="1">
      <alignment horizontal="center" vertical="center"/>
    </xf>
    <xf numFmtId="178" fontId="30" fillId="0" borderId="29" xfId="0" applyNumberFormat="1" applyFont="1" applyBorder="1" applyAlignment="1">
      <alignment horizontal="center" vertical="center"/>
    </xf>
    <xf numFmtId="181" fontId="30" fillId="0" borderId="29" xfId="0" applyNumberFormat="1" applyFont="1" applyBorder="1" applyAlignment="1">
      <alignment horizontal="center" vertical="center"/>
    </xf>
    <xf numFmtId="0" fontId="31" fillId="4" borderId="29" xfId="0" applyFont="1" applyFill="1" applyBorder="1" applyAlignment="1">
      <alignment horizontal="left" vertical="center"/>
    </xf>
    <xf numFmtId="0" fontId="28" fillId="4" borderId="29" xfId="0" applyFont="1" applyFill="1" applyBorder="1" applyAlignment="1">
      <alignment horizontal="left" vertical="center"/>
    </xf>
    <xf numFmtId="0" fontId="28" fillId="4" borderId="29" xfId="0" applyFont="1" applyFill="1" applyBorder="1" applyAlignment="1">
      <alignment horizontal="center" vertical="center"/>
    </xf>
    <xf numFmtId="181" fontId="28" fillId="4" borderId="29" xfId="0" applyNumberFormat="1" applyFont="1" applyFill="1" applyBorder="1" applyAlignment="1">
      <alignment horizontal="center" vertical="center"/>
    </xf>
    <xf numFmtId="0" fontId="29" fillId="5" borderId="28" xfId="0" applyFont="1" applyFill="1" applyBorder="1" applyAlignment="1">
      <alignment horizontal="left" vertical="center"/>
    </xf>
    <xf numFmtId="0" fontId="28" fillId="5" borderId="29" xfId="0" applyFont="1" applyFill="1" applyBorder="1" applyAlignment="1">
      <alignment horizontal="left" vertical="center"/>
    </xf>
    <xf numFmtId="49" fontId="29" fillId="5" borderId="29" xfId="0" applyNumberFormat="1" applyFont="1" applyFill="1" applyBorder="1" applyAlignment="1">
      <alignment horizontal="left" vertical="center"/>
    </xf>
    <xf numFmtId="0" fontId="29" fillId="5" borderId="29" xfId="0" applyFont="1" applyFill="1" applyBorder="1" applyAlignment="1">
      <alignment horizontal="left" vertical="center"/>
    </xf>
    <xf numFmtId="0" fontId="28" fillId="5" borderId="29" xfId="0" applyFont="1" applyFill="1" applyBorder="1" applyAlignment="1">
      <alignment horizontal="center" vertical="center"/>
    </xf>
    <xf numFmtId="181" fontId="29" fillId="5" borderId="29" xfId="0" applyNumberFormat="1" applyFont="1" applyFill="1" applyBorder="1" applyAlignment="1">
      <alignment horizontal="center" vertical="center"/>
    </xf>
    <xf numFmtId="178" fontId="29" fillId="5" borderId="29" xfId="0" applyNumberFormat="1" applyFont="1" applyFill="1" applyBorder="1" applyAlignment="1">
      <alignment horizontal="center" vertical="center"/>
    </xf>
    <xf numFmtId="181" fontId="28" fillId="5" borderId="29" xfId="0" applyNumberFormat="1" applyFont="1" applyFill="1" applyBorder="1" applyAlignment="1">
      <alignment horizontal="center" vertical="center"/>
    </xf>
    <xf numFmtId="0" fontId="29" fillId="0" borderId="28" xfId="0" applyFont="1" applyBorder="1" applyAlignment="1">
      <alignment horizontal="left" vertical="center"/>
    </xf>
    <xf numFmtId="49" fontId="29" fillId="0" borderId="29" xfId="0" applyNumberFormat="1" applyFont="1" applyBorder="1" applyAlignment="1">
      <alignment horizontal="left" vertical="center"/>
    </xf>
    <xf numFmtId="181" fontId="29" fillId="0" borderId="29" xfId="0" applyNumberFormat="1" applyFont="1" applyBorder="1" applyAlignment="1">
      <alignment horizontal="center" vertical="center"/>
    </xf>
    <xf numFmtId="178" fontId="29" fillId="0" borderId="29" xfId="0" applyNumberFormat="1" applyFont="1" applyBorder="1" applyAlignment="1">
      <alignment horizontal="center" vertical="center"/>
    </xf>
    <xf numFmtId="0" fontId="30" fillId="5" borderId="28" xfId="0" applyFont="1" applyFill="1" applyBorder="1" applyAlignment="1">
      <alignment horizontal="left" vertical="center"/>
    </xf>
    <xf numFmtId="0" fontId="30" fillId="5" borderId="29" xfId="0" applyFont="1" applyFill="1" applyBorder="1" applyAlignment="1">
      <alignment horizontal="left" vertical="center"/>
    </xf>
    <xf numFmtId="49" fontId="30" fillId="5" borderId="29" xfId="0" applyNumberFormat="1" applyFont="1" applyFill="1" applyBorder="1" applyAlignment="1">
      <alignment horizontal="left" vertical="center"/>
    </xf>
    <xf numFmtId="0" fontId="30" fillId="5" borderId="29" xfId="0" applyFont="1" applyFill="1" applyBorder="1" applyAlignment="1">
      <alignment horizontal="center" vertical="center"/>
    </xf>
    <xf numFmtId="181" fontId="30" fillId="5" borderId="29" xfId="0" applyNumberFormat="1" applyFont="1" applyFill="1" applyBorder="1" applyAlignment="1">
      <alignment horizontal="center" vertical="center"/>
    </xf>
    <xf numFmtId="178" fontId="30" fillId="5" borderId="29" xfId="0" applyNumberFormat="1" applyFont="1" applyFill="1" applyBorder="1" applyAlignment="1">
      <alignment horizontal="center" vertical="center"/>
    </xf>
    <xf numFmtId="49" fontId="30" fillId="0" borderId="29" xfId="0" applyNumberFormat="1" applyFont="1" applyBorder="1" applyAlignment="1">
      <alignment horizontal="left" vertical="center"/>
    </xf>
    <xf numFmtId="181" fontId="32" fillId="5" borderId="29" xfId="0" applyNumberFormat="1" applyFont="1" applyFill="1" applyBorder="1" applyAlignment="1">
      <alignment horizontal="center" vertical="center"/>
    </xf>
    <xf numFmtId="0" fontId="32" fillId="6" borderId="28" xfId="0" applyFont="1" applyFill="1" applyBorder="1" applyAlignment="1">
      <alignment horizontal="left" vertical="center"/>
    </xf>
    <xf numFmtId="0" fontId="32" fillId="6" borderId="29" xfId="0" applyFont="1" applyFill="1" applyBorder="1" applyAlignment="1">
      <alignment horizontal="left" vertical="center"/>
    </xf>
    <xf numFmtId="0" fontId="29" fillId="6" borderId="29" xfId="0" applyFont="1" applyFill="1" applyBorder="1" applyAlignment="1">
      <alignment horizontal="left" vertical="center"/>
    </xf>
    <xf numFmtId="0" fontId="32" fillId="6" borderId="29" xfId="0" applyFont="1" applyFill="1" applyBorder="1" applyAlignment="1">
      <alignment horizontal="center" vertical="center"/>
    </xf>
    <xf numFmtId="181" fontId="32" fillId="6" borderId="29" xfId="0" applyNumberFormat="1" applyFont="1" applyFill="1" applyBorder="1" applyAlignment="1">
      <alignment horizontal="center" vertical="center"/>
    </xf>
    <xf numFmtId="0" fontId="32" fillId="0" borderId="29" xfId="0" applyFont="1" applyBorder="1" applyAlignment="1">
      <alignment horizontal="left" vertical="center"/>
    </xf>
    <xf numFmtId="0" fontId="32" fillId="18" borderId="28" xfId="0" applyFont="1" applyFill="1" applyBorder="1" applyAlignment="1">
      <alignment horizontal="left" vertical="center"/>
    </xf>
    <xf numFmtId="0" fontId="32" fillId="18" borderId="29" xfId="0" applyFont="1" applyFill="1" applyBorder="1" applyAlignment="1">
      <alignment horizontal="left" vertical="center"/>
    </xf>
    <xf numFmtId="49" fontId="29" fillId="18" borderId="29" xfId="0" applyNumberFormat="1" applyFont="1" applyFill="1" applyBorder="1" applyAlignment="1">
      <alignment horizontal="left" vertical="center"/>
    </xf>
    <xf numFmtId="0" fontId="32" fillId="18" borderId="29" xfId="0" applyFont="1" applyFill="1" applyBorder="1" applyAlignment="1">
      <alignment horizontal="center" vertical="center"/>
    </xf>
    <xf numFmtId="181" fontId="32" fillId="18" borderId="29" xfId="0" applyNumberFormat="1" applyFont="1" applyFill="1" applyBorder="1" applyAlignment="1">
      <alignment horizontal="center" vertical="center"/>
    </xf>
    <xf numFmtId="178" fontId="32" fillId="18" borderId="29" xfId="0" applyNumberFormat="1" applyFont="1" applyFill="1" applyBorder="1" applyAlignment="1">
      <alignment horizontal="center" vertical="center"/>
    </xf>
    <xf numFmtId="0" fontId="32" fillId="7" borderId="28" xfId="0" applyFont="1" applyFill="1" applyBorder="1" applyAlignment="1">
      <alignment horizontal="left" vertical="center"/>
    </xf>
    <xf numFmtId="0" fontId="32" fillId="7" borderId="29" xfId="0" applyFont="1" applyFill="1" applyBorder="1" applyAlignment="1">
      <alignment horizontal="left" vertical="center"/>
    </xf>
    <xf numFmtId="0" fontId="32" fillId="7" borderId="29" xfId="0" applyFont="1" applyFill="1" applyBorder="1" applyAlignment="1">
      <alignment horizontal="center" vertical="center"/>
    </xf>
    <xf numFmtId="181" fontId="32" fillId="7" borderId="29" xfId="0" applyNumberFormat="1" applyFont="1" applyFill="1" applyBorder="1" applyAlignment="1">
      <alignment horizontal="center" vertical="center"/>
    </xf>
    <xf numFmtId="0" fontId="28" fillId="7" borderId="29" xfId="0" applyFont="1" applyFill="1" applyBorder="1" applyAlignment="1">
      <alignment horizontal="left" vertical="center"/>
    </xf>
    <xf numFmtId="0" fontId="32" fillId="0" borderId="29" xfId="0" applyFont="1" applyBorder="1" applyAlignment="1">
      <alignment horizontal="center" vertical="center"/>
    </xf>
    <xf numFmtId="181" fontId="32" fillId="0" borderId="29" xfId="0" applyNumberFormat="1" applyFont="1" applyBorder="1" applyAlignment="1">
      <alignment horizontal="center" vertical="center"/>
    </xf>
    <xf numFmtId="0" fontId="28" fillId="0" borderId="31" xfId="0" applyFont="1" applyBorder="1" applyAlignment="1">
      <alignment horizontal="left" vertical="center"/>
    </xf>
    <xf numFmtId="0" fontId="28" fillId="0" borderId="33" xfId="0" applyFont="1" applyBorder="1" applyAlignment="1">
      <alignment horizontal="left" vertical="center"/>
    </xf>
    <xf numFmtId="0" fontId="28" fillId="0" borderId="34" xfId="0" applyFont="1" applyBorder="1" applyAlignment="1">
      <alignment horizontal="left" vertical="center"/>
    </xf>
    <xf numFmtId="0" fontId="28" fillId="0" borderId="34" xfId="0" applyFont="1" applyBorder="1" applyAlignment="1">
      <alignment horizontal="center" vertical="center"/>
    </xf>
    <xf numFmtId="181" fontId="28" fillId="0" borderId="34" xfId="0" applyNumberFormat="1" applyFont="1" applyBorder="1" applyAlignment="1">
      <alignment horizontal="center" vertical="center"/>
    </xf>
    <xf numFmtId="178" fontId="28" fillId="0" borderId="34" xfId="0" applyNumberFormat="1" applyFont="1" applyBorder="1" applyAlignment="1">
      <alignment horizontal="center" vertical="center"/>
    </xf>
    <xf numFmtId="0" fontId="5" fillId="0" borderId="0" xfId="0" applyFont="1" applyAlignment="1">
      <alignment horizontal="center"/>
    </xf>
    <xf numFmtId="0" fontId="29" fillId="5" borderId="29" xfId="0" applyFont="1" applyFill="1" applyBorder="1" applyAlignment="1">
      <alignment horizontal="center" vertical="center"/>
    </xf>
    <xf numFmtId="0" fontId="29" fillId="0" borderId="29" xfId="0" applyFont="1" applyBorder="1" applyAlignment="1">
      <alignment horizontal="center" vertical="center"/>
    </xf>
    <xf numFmtId="178" fontId="28" fillId="4" borderId="29" xfId="0" applyNumberFormat="1" applyFont="1" applyFill="1" applyBorder="1" applyAlignment="1">
      <alignment horizontal="center" vertical="center"/>
    </xf>
    <xf numFmtId="178" fontId="28" fillId="5" borderId="29" xfId="0" applyNumberFormat="1" applyFont="1" applyFill="1" applyBorder="1" applyAlignment="1">
      <alignment horizontal="center" vertical="center"/>
    </xf>
    <xf numFmtId="178" fontId="32" fillId="6" borderId="29" xfId="0" applyNumberFormat="1" applyFont="1" applyFill="1" applyBorder="1" applyAlignment="1">
      <alignment horizontal="center" vertical="center"/>
    </xf>
    <xf numFmtId="178" fontId="32" fillId="7" borderId="29" xfId="0" applyNumberFormat="1" applyFont="1" applyFill="1" applyBorder="1" applyAlignment="1">
      <alignment horizontal="center" vertical="center"/>
    </xf>
    <xf numFmtId="178" fontId="32" fillId="0" borderId="29" xfId="0" applyNumberFormat="1" applyFont="1" applyBorder="1" applyAlignment="1">
      <alignment horizontal="center" vertical="center"/>
    </xf>
    <xf numFmtId="14" fontId="28" fillId="0" borderId="26" xfId="0" applyNumberFormat="1" applyFont="1" applyBorder="1" applyAlignment="1">
      <alignment horizontal="center" vertical="center"/>
    </xf>
    <xf numFmtId="14" fontId="28" fillId="0" borderId="29" xfId="0" applyNumberFormat="1" applyFont="1" applyBorder="1" applyAlignment="1">
      <alignment horizontal="center" vertical="center"/>
    </xf>
    <xf numFmtId="14" fontId="28" fillId="8" borderId="29" xfId="0" applyNumberFormat="1" applyFont="1" applyFill="1" applyBorder="1" applyAlignment="1">
      <alignment horizontal="center" vertical="center"/>
    </xf>
    <xf numFmtId="14" fontId="30" fillId="0" borderId="29" xfId="0" applyNumberFormat="1" applyFont="1" applyBorder="1" applyAlignment="1">
      <alignment horizontal="center" vertical="center"/>
    </xf>
    <xf numFmtId="176" fontId="30" fillId="8" borderId="29" xfId="4" applyNumberFormat="1" applyFont="1" applyFill="1" applyBorder="1" applyAlignment="1">
      <alignment horizontal="center" vertical="center"/>
    </xf>
    <xf numFmtId="176" fontId="28" fillId="0" borderId="29" xfId="4" applyNumberFormat="1" applyFont="1" applyBorder="1" applyAlignment="1">
      <alignment horizontal="center" vertical="center"/>
    </xf>
    <xf numFmtId="14" fontId="28" fillId="4" borderId="29" xfId="0" applyNumberFormat="1" applyFont="1" applyFill="1" applyBorder="1" applyAlignment="1">
      <alignment horizontal="center" vertical="center"/>
    </xf>
    <xf numFmtId="14" fontId="28" fillId="5" borderId="29" xfId="0" applyNumberFormat="1" applyFont="1" applyFill="1" applyBorder="1" applyAlignment="1">
      <alignment horizontal="center" vertical="center"/>
    </xf>
    <xf numFmtId="58" fontId="28" fillId="5" borderId="29" xfId="0" applyNumberFormat="1" applyFont="1" applyFill="1" applyBorder="1" applyAlignment="1">
      <alignment horizontal="center" vertical="center"/>
    </xf>
    <xf numFmtId="58" fontId="28" fillId="0" borderId="29" xfId="0" applyNumberFormat="1" applyFont="1" applyBorder="1" applyAlignment="1">
      <alignment horizontal="center" vertical="center"/>
    </xf>
    <xf numFmtId="14" fontId="30" fillId="5" borderId="29" xfId="0" applyNumberFormat="1" applyFont="1" applyFill="1" applyBorder="1" applyAlignment="1">
      <alignment horizontal="center" vertical="center"/>
    </xf>
    <xf numFmtId="58" fontId="30" fillId="5" borderId="29" xfId="0" applyNumberFormat="1" applyFont="1" applyFill="1" applyBorder="1" applyAlignment="1">
      <alignment horizontal="center" vertical="center"/>
    </xf>
    <xf numFmtId="58" fontId="30" fillId="0" borderId="29" xfId="0" applyNumberFormat="1" applyFont="1" applyBorder="1" applyAlignment="1">
      <alignment horizontal="center" vertical="center"/>
    </xf>
    <xf numFmtId="14" fontId="29" fillId="5" borderId="29" xfId="0" applyNumberFormat="1" applyFont="1" applyFill="1" applyBorder="1" applyAlignment="1">
      <alignment horizontal="center" vertical="center"/>
    </xf>
    <xf numFmtId="14" fontId="32" fillId="6" borderId="29" xfId="0" applyNumberFormat="1" applyFont="1" applyFill="1" applyBorder="1" applyAlignment="1">
      <alignment horizontal="center" vertical="center"/>
    </xf>
    <xf numFmtId="14" fontId="29" fillId="6" borderId="29" xfId="0" applyNumberFormat="1" applyFont="1" applyFill="1" applyBorder="1" applyAlignment="1">
      <alignment horizontal="center" vertical="center"/>
    </xf>
    <xf numFmtId="14" fontId="32" fillId="18" borderId="29" xfId="0" applyNumberFormat="1" applyFont="1" applyFill="1" applyBorder="1" applyAlignment="1">
      <alignment horizontal="center" vertical="center"/>
    </xf>
    <xf numFmtId="14" fontId="28" fillId="7" borderId="29" xfId="0" applyNumberFormat="1" applyFont="1" applyFill="1" applyBorder="1" applyAlignment="1">
      <alignment horizontal="center" vertical="center"/>
    </xf>
    <xf numFmtId="0" fontId="28" fillId="7" borderId="29" xfId="0" applyFont="1" applyFill="1" applyBorder="1" applyAlignment="1">
      <alignment horizontal="center" vertical="center"/>
    </xf>
    <xf numFmtId="14" fontId="28" fillId="0" borderId="34" xfId="0" applyNumberFormat="1" applyFont="1" applyBorder="1" applyAlignment="1">
      <alignment horizontal="center" vertical="center"/>
    </xf>
    <xf numFmtId="0" fontId="28" fillId="0" borderId="27" xfId="0" applyFont="1" applyBorder="1" applyAlignment="1">
      <alignment horizontal="center" vertical="center"/>
    </xf>
    <xf numFmtId="0" fontId="28" fillId="0" borderId="30" xfId="0" applyFont="1" applyBorder="1" applyAlignment="1">
      <alignment horizontal="center" vertical="center"/>
    </xf>
    <xf numFmtId="0" fontId="30" fillId="0" borderId="30" xfId="0" applyFont="1" applyBorder="1" applyAlignment="1">
      <alignment horizontal="center" vertical="center"/>
    </xf>
    <xf numFmtId="176" fontId="28" fillId="0" borderId="29" xfId="1" applyFont="1" applyBorder="1" applyAlignment="1">
      <alignment horizontal="center" vertical="center"/>
    </xf>
    <xf numFmtId="0" fontId="32" fillId="0" borderId="30" xfId="0" applyFont="1" applyBorder="1" applyAlignment="1">
      <alignment horizontal="center" vertical="center"/>
    </xf>
    <xf numFmtId="0" fontId="28" fillId="0" borderId="32" xfId="0" applyFont="1" applyBorder="1" applyAlignment="1">
      <alignment horizontal="center" vertical="center"/>
    </xf>
    <xf numFmtId="0" fontId="28" fillId="0" borderId="39" xfId="0" applyFont="1" applyBorder="1" applyAlignment="1">
      <alignment horizontal="center" vertical="center"/>
    </xf>
    <xf numFmtId="0" fontId="32" fillId="0" borderId="39" xfId="0" applyFont="1" applyBorder="1" applyAlignment="1">
      <alignment horizontal="center" vertical="center"/>
    </xf>
    <xf numFmtId="181" fontId="32" fillId="0" borderId="39" xfId="0" applyNumberFormat="1" applyFont="1" applyBorder="1" applyAlignment="1">
      <alignment horizontal="center" vertical="center"/>
    </xf>
    <xf numFmtId="14" fontId="28" fillId="0" borderId="39" xfId="0" applyNumberFormat="1" applyFont="1" applyBorder="1" applyAlignment="1">
      <alignment horizontal="center" vertical="center"/>
    </xf>
    <xf numFmtId="0" fontId="32" fillId="21" borderId="0" xfId="4" applyFont="1" applyFill="1" applyAlignment="1">
      <alignment horizontal="center" vertical="center"/>
    </xf>
    <xf numFmtId="0" fontId="28" fillId="21" borderId="0" xfId="4" applyFont="1" applyFill="1" applyAlignment="1">
      <alignment horizontal="center" vertical="center"/>
    </xf>
    <xf numFmtId="49" fontId="28" fillId="21" borderId="0" xfId="4" applyNumberFormat="1" applyFont="1" applyFill="1" applyAlignment="1">
      <alignment horizontal="center" vertical="center"/>
    </xf>
    <xf numFmtId="49" fontId="28" fillId="21" borderId="0" xfId="4" applyNumberFormat="1" applyFont="1" applyFill="1" applyAlignment="1">
      <alignment horizontal="left" vertical="center"/>
    </xf>
    <xf numFmtId="0" fontId="32" fillId="21" borderId="0" xfId="4" applyFont="1" applyFill="1" applyAlignment="1">
      <alignment horizontal="left" vertical="center"/>
    </xf>
    <xf numFmtId="0" fontId="28" fillId="21" borderId="0" xfId="4" applyFont="1" applyFill="1" applyAlignment="1">
      <alignment horizontal="left" vertical="center"/>
    </xf>
    <xf numFmtId="177" fontId="28" fillId="21" borderId="0" xfId="4" applyNumberFormat="1" applyFont="1" applyFill="1" applyAlignment="1">
      <alignment horizontal="center" vertical="center"/>
    </xf>
    <xf numFmtId="176" fontId="28" fillId="21" borderId="0" xfId="1" applyFont="1" applyFill="1" applyBorder="1" applyAlignment="1">
      <alignment horizontal="center" vertical="center"/>
    </xf>
    <xf numFmtId="176" fontId="32" fillId="21" borderId="0" xfId="4" applyNumberFormat="1" applyFont="1" applyFill="1" applyAlignment="1">
      <alignment horizontal="center" vertical="center"/>
    </xf>
    <xf numFmtId="2" fontId="32" fillId="21" borderId="0" xfId="4" applyNumberFormat="1" applyFont="1" applyFill="1" applyAlignment="1">
      <alignment horizontal="center" vertical="center"/>
    </xf>
    <xf numFmtId="183" fontId="32" fillId="21" borderId="0" xfId="4" applyNumberFormat="1" applyFont="1" applyFill="1" applyAlignment="1">
      <alignment horizontal="center" vertical="center"/>
    </xf>
    <xf numFmtId="14" fontId="28" fillId="21" borderId="0" xfId="4" applyNumberFormat="1" applyFont="1" applyFill="1" applyAlignment="1">
      <alignment horizontal="center" vertical="center"/>
    </xf>
    <xf numFmtId="176" fontId="32" fillId="21" borderId="0" xfId="1" applyFont="1" applyFill="1" applyBorder="1" applyAlignment="1">
      <alignment horizontal="center" vertical="center"/>
    </xf>
    <xf numFmtId="178" fontId="28" fillId="21" borderId="0" xfId="4" applyNumberFormat="1" applyFont="1" applyFill="1" applyAlignment="1">
      <alignment horizontal="center" vertical="center"/>
    </xf>
    <xf numFmtId="0" fontId="4" fillId="21" borderId="0" xfId="4" applyFont="1" applyFill="1" applyAlignment="1">
      <alignment horizontal="center" vertical="center"/>
    </xf>
    <xf numFmtId="0" fontId="30" fillId="21" borderId="0" xfId="4" applyFont="1" applyFill="1" applyAlignment="1">
      <alignment horizontal="center" vertical="center"/>
    </xf>
    <xf numFmtId="181" fontId="28" fillId="21" borderId="0" xfId="4" applyNumberFormat="1" applyFont="1" applyFill="1" applyAlignment="1">
      <alignment horizontal="center" vertical="center"/>
    </xf>
    <xf numFmtId="0" fontId="28" fillId="21" borderId="37" xfId="0" applyFont="1" applyFill="1" applyBorder="1" applyAlignment="1">
      <alignment horizontal="left" vertical="center"/>
    </xf>
    <xf numFmtId="0" fontId="29" fillId="21" borderId="38" xfId="0" applyFont="1" applyFill="1" applyBorder="1" applyAlignment="1">
      <alignment horizontal="left" vertical="center"/>
    </xf>
    <xf numFmtId="0" fontId="28" fillId="21" borderId="38" xfId="0" applyFont="1" applyFill="1" applyBorder="1" applyAlignment="1">
      <alignment horizontal="left" vertical="center"/>
    </xf>
    <xf numFmtId="0" fontId="28" fillId="21" borderId="38" xfId="0" applyFont="1" applyFill="1" applyBorder="1" applyAlignment="1">
      <alignment horizontal="center" vertical="center"/>
    </xf>
    <xf numFmtId="0" fontId="32" fillId="21" borderId="38" xfId="0" applyFont="1" applyFill="1" applyBorder="1" applyAlignment="1">
      <alignment horizontal="center" vertical="center"/>
    </xf>
    <xf numFmtId="181" fontId="28" fillId="21" borderId="38" xfId="0" applyNumberFormat="1" applyFont="1" applyFill="1" applyBorder="1" applyAlignment="1">
      <alignment horizontal="center" vertical="center"/>
    </xf>
    <xf numFmtId="14" fontId="28" fillId="21" borderId="38" xfId="0" applyNumberFormat="1" applyFont="1" applyFill="1" applyBorder="1" applyAlignment="1">
      <alignment horizontal="center" vertical="center"/>
    </xf>
    <xf numFmtId="0" fontId="28" fillId="21" borderId="29" xfId="0" applyFont="1" applyFill="1" applyBorder="1" applyAlignment="1">
      <alignment horizontal="center" vertical="center"/>
    </xf>
    <xf numFmtId="0" fontId="28" fillId="21" borderId="30" xfId="0" applyFont="1" applyFill="1" applyBorder="1" applyAlignment="1">
      <alignment horizontal="center" vertical="center"/>
    </xf>
    <xf numFmtId="0" fontId="28" fillId="21" borderId="0" xfId="0" applyFont="1" applyFill="1" applyAlignment="1">
      <alignment horizontal="left" vertical="center"/>
    </xf>
    <xf numFmtId="0" fontId="4" fillId="21" borderId="0" xfId="0" applyFont="1" applyFill="1" applyAlignment="1">
      <alignment horizontal="left"/>
    </xf>
    <xf numFmtId="0" fontId="28" fillId="21" borderId="28" xfId="0" applyFont="1" applyFill="1" applyBorder="1" applyAlignment="1">
      <alignment horizontal="left" vertical="center"/>
    </xf>
    <xf numFmtId="0" fontId="29" fillId="21" borderId="29" xfId="0" applyFont="1" applyFill="1" applyBorder="1" applyAlignment="1">
      <alignment horizontal="left" vertical="center"/>
    </xf>
    <xf numFmtId="0" fontId="28" fillId="21" borderId="29" xfId="0" applyFont="1" applyFill="1" applyBorder="1" applyAlignment="1">
      <alignment horizontal="left" vertical="center"/>
    </xf>
    <xf numFmtId="0" fontId="32" fillId="21" borderId="29" xfId="0" applyFont="1" applyFill="1" applyBorder="1" applyAlignment="1">
      <alignment horizontal="center" vertical="center"/>
    </xf>
    <xf numFmtId="181" fontId="28" fillId="21" borderId="29" xfId="0" applyNumberFormat="1" applyFont="1" applyFill="1" applyBorder="1" applyAlignment="1">
      <alignment horizontal="center" vertical="center"/>
    </xf>
    <xf numFmtId="14" fontId="28" fillId="21" borderId="29" xfId="0" applyNumberFormat="1" applyFont="1" applyFill="1" applyBorder="1" applyAlignment="1">
      <alignment horizontal="center" vertical="center"/>
    </xf>
    <xf numFmtId="184" fontId="32" fillId="0" borderId="0" xfId="4" applyNumberFormat="1" applyFont="1" applyAlignment="1">
      <alignment horizontal="center" vertical="center"/>
    </xf>
    <xf numFmtId="184" fontId="32" fillId="21" borderId="0" xfId="4" applyNumberFormat="1" applyFont="1" applyFill="1" applyAlignment="1">
      <alignment horizontal="center" vertical="center"/>
    </xf>
    <xf numFmtId="176" fontId="28" fillId="21" borderId="0" xfId="4" applyNumberFormat="1" applyFont="1" applyFill="1" applyAlignment="1">
      <alignment horizontal="center" vertical="center"/>
    </xf>
    <xf numFmtId="2" fontId="28" fillId="21" borderId="0" xfId="4" applyNumberFormat="1" applyFont="1" applyFill="1" applyAlignment="1">
      <alignment horizontal="center" vertical="center"/>
    </xf>
    <xf numFmtId="183" fontId="28" fillId="21" borderId="0" xfId="4" applyNumberFormat="1" applyFont="1" applyFill="1" applyAlignment="1">
      <alignment horizontal="center" vertical="center"/>
    </xf>
    <xf numFmtId="49" fontId="32" fillId="21" borderId="0" xfId="4" applyNumberFormat="1" applyFont="1" applyFill="1" applyAlignment="1">
      <alignment horizontal="center" vertical="center"/>
    </xf>
    <xf numFmtId="0" fontId="0" fillId="21" borderId="0" xfId="0" applyFill="1"/>
    <xf numFmtId="0" fontId="32" fillId="21" borderId="0" xfId="7" applyFont="1" applyFill="1" applyAlignment="1">
      <alignment horizontal="left" vertical="center"/>
    </xf>
    <xf numFmtId="0" fontId="32" fillId="0" borderId="0" xfId="4" applyFont="1" applyAlignment="1">
      <alignment horizontal="left" vertical="center"/>
    </xf>
    <xf numFmtId="0" fontId="28" fillId="0" borderId="0" xfId="4" applyFont="1" applyAlignment="1">
      <alignment horizontal="center" vertical="center" wrapText="1"/>
    </xf>
    <xf numFmtId="176" fontId="28" fillId="8" borderId="0" xfId="1" applyFont="1" applyFill="1" applyBorder="1" applyAlignment="1">
      <alignment horizontal="center" vertical="center"/>
    </xf>
    <xf numFmtId="0" fontId="30" fillId="8" borderId="0" xfId="4" applyFont="1" applyFill="1" applyAlignment="1">
      <alignment horizontal="center" vertical="center"/>
    </xf>
    <xf numFmtId="176" fontId="28" fillId="0" borderId="0" xfId="0" applyNumberFormat="1" applyFont="1" applyAlignment="1">
      <alignment vertical="center"/>
    </xf>
    <xf numFmtId="2" fontId="28" fillId="0" borderId="0" xfId="0" applyNumberFormat="1" applyFont="1" applyAlignment="1">
      <alignment vertical="center"/>
    </xf>
    <xf numFmtId="0" fontId="43" fillId="20" borderId="11" xfId="0" applyFont="1" applyFill="1" applyBorder="1" applyAlignment="1">
      <alignment horizontal="left" vertical="center"/>
    </xf>
    <xf numFmtId="49" fontId="43" fillId="20" borderId="11" xfId="0" applyNumberFormat="1" applyFont="1" applyFill="1" applyBorder="1" applyAlignment="1">
      <alignment horizontal="left" vertical="center"/>
    </xf>
    <xf numFmtId="49" fontId="43" fillId="20" borderId="11" xfId="0" applyNumberFormat="1" applyFont="1" applyFill="1" applyBorder="1" applyAlignment="1">
      <alignment horizontal="center" vertical="center"/>
    </xf>
    <xf numFmtId="0" fontId="43" fillId="20" borderId="11" xfId="0" applyFont="1" applyFill="1" applyBorder="1" applyAlignment="1">
      <alignment horizontal="center" vertical="center"/>
    </xf>
    <xf numFmtId="181" fontId="43" fillId="20" borderId="11" xfId="0" applyNumberFormat="1" applyFont="1" applyFill="1" applyBorder="1" applyAlignment="1">
      <alignment horizontal="center" vertical="center"/>
    </xf>
    <xf numFmtId="178" fontId="43" fillId="20" borderId="11" xfId="0" applyNumberFormat="1" applyFont="1" applyFill="1" applyBorder="1" applyAlignment="1">
      <alignment horizontal="center" vertical="center"/>
    </xf>
    <xf numFmtId="181" fontId="43" fillId="20" borderId="11" xfId="1" applyNumberFormat="1" applyFont="1" applyFill="1" applyBorder="1" applyAlignment="1">
      <alignment horizontal="center" vertical="center"/>
    </xf>
    <xf numFmtId="178" fontId="43" fillId="20" borderId="11" xfId="1" applyNumberFormat="1" applyFont="1" applyFill="1" applyBorder="1" applyAlignment="1">
      <alignment horizontal="center" vertical="center"/>
    </xf>
    <xf numFmtId="14" fontId="43" fillId="20" borderId="11" xfId="0" applyNumberFormat="1" applyFont="1" applyFill="1" applyBorder="1" applyAlignment="1">
      <alignment horizontal="center" vertical="center"/>
    </xf>
    <xf numFmtId="182" fontId="43" fillId="20" borderId="11" xfId="0" applyNumberFormat="1" applyFont="1" applyFill="1" applyBorder="1" applyAlignment="1">
      <alignment horizontal="center" vertical="center"/>
    </xf>
    <xf numFmtId="177" fontId="43" fillId="20" borderId="11" xfId="0" applyNumberFormat="1" applyFont="1" applyFill="1" applyBorder="1" applyAlignment="1">
      <alignment horizontal="center" vertical="center"/>
    </xf>
    <xf numFmtId="0" fontId="43" fillId="20" borderId="24" xfId="0" applyFont="1" applyFill="1" applyBorder="1" applyAlignment="1">
      <alignment horizontal="center" vertical="center"/>
    </xf>
    <xf numFmtId="0" fontId="43" fillId="0" borderId="0" xfId="0" applyFont="1" applyAlignment="1">
      <alignment horizontal="left" vertical="center"/>
    </xf>
    <xf numFmtId="178" fontId="45" fillId="38" borderId="0" xfId="0" applyNumberFormat="1" applyFont="1" applyFill="1" applyAlignment="1">
      <alignment vertical="center" wrapText="1"/>
    </xf>
    <xf numFmtId="0" fontId="3" fillId="0" borderId="0" xfId="0" applyFont="1" applyAlignment="1">
      <alignment horizontal="left" vertical="center"/>
    </xf>
    <xf numFmtId="0" fontId="32" fillId="0" borderId="0" xfId="0" applyFont="1" applyAlignment="1">
      <alignment vertical="center"/>
    </xf>
    <xf numFmtId="0" fontId="48" fillId="0" borderId="0" xfId="0" applyFont="1" applyAlignment="1">
      <alignment vertical="center"/>
    </xf>
    <xf numFmtId="0" fontId="48" fillId="0" borderId="0" xfId="0" applyFont="1" applyAlignment="1">
      <alignment horizontal="center" vertical="center"/>
    </xf>
    <xf numFmtId="176" fontId="33" fillId="0" borderId="0" xfId="1" applyFont="1" applyBorder="1" applyAlignment="1">
      <alignment horizontal="center" vertical="center"/>
    </xf>
    <xf numFmtId="0" fontId="49" fillId="0" borderId="0" xfId="0" applyFont="1" applyAlignment="1">
      <alignment vertical="center"/>
    </xf>
    <xf numFmtId="14" fontId="49" fillId="0" borderId="0" xfId="0" applyNumberFormat="1" applyFont="1" applyAlignment="1">
      <alignment horizontal="center" vertical="center"/>
    </xf>
    <xf numFmtId="0" fontId="49" fillId="0" borderId="0" xfId="0" applyFont="1" applyAlignment="1">
      <alignment horizontal="center" vertical="center"/>
    </xf>
    <xf numFmtId="176" fontId="50" fillId="0" borderId="0" xfId="1" applyFont="1" applyFill="1" applyBorder="1" applyAlignment="1">
      <alignment horizontal="center" vertical="center" wrapText="1"/>
    </xf>
    <xf numFmtId="0" fontId="52" fillId="0" borderId="0" xfId="0" applyFont="1" applyAlignment="1">
      <alignment horizontal="center" vertical="center"/>
    </xf>
    <xf numFmtId="0" fontId="28" fillId="0" borderId="0" xfId="13" applyFont="1" applyAlignment="1">
      <alignment vertical="center"/>
    </xf>
    <xf numFmtId="0" fontId="28" fillId="0" borderId="0" xfId="7" applyFont="1" applyAlignment="1">
      <alignment horizontal="left" vertical="center"/>
    </xf>
    <xf numFmtId="177" fontId="28" fillId="0" borderId="0" xfId="4" applyNumberFormat="1" applyFont="1" applyAlignment="1">
      <alignment horizontal="left" vertical="center"/>
    </xf>
    <xf numFmtId="178" fontId="28" fillId="0" borderId="0" xfId="4" applyNumberFormat="1" applyFont="1" applyAlignment="1">
      <alignment horizontal="left" vertical="center"/>
    </xf>
    <xf numFmtId="14" fontId="28" fillId="0" borderId="0" xfId="7" applyNumberFormat="1" applyFont="1" applyAlignment="1">
      <alignment horizontal="left" vertical="center"/>
    </xf>
    <xf numFmtId="0" fontId="28" fillId="0" borderId="29" xfId="4" applyFont="1" applyBorder="1" applyAlignment="1">
      <alignment horizontal="left" vertical="center"/>
    </xf>
    <xf numFmtId="0" fontId="28" fillId="4" borderId="28" xfId="4" applyFont="1" applyFill="1" applyBorder="1" applyAlignment="1">
      <alignment horizontal="left" vertical="center"/>
    </xf>
    <xf numFmtId="0" fontId="28" fillId="4" borderId="29" xfId="4" applyFont="1" applyFill="1" applyBorder="1" applyAlignment="1">
      <alignment horizontal="left" vertical="center"/>
    </xf>
    <xf numFmtId="0" fontId="28" fillId="4" borderId="29" xfId="4" applyFont="1" applyFill="1" applyBorder="1" applyAlignment="1">
      <alignment horizontal="center" vertical="center"/>
    </xf>
    <xf numFmtId="181" fontId="28" fillId="4" borderId="29" xfId="4" applyNumberFormat="1" applyFont="1" applyFill="1" applyBorder="1" applyAlignment="1">
      <alignment horizontal="center" vertical="center"/>
    </xf>
    <xf numFmtId="178" fontId="28" fillId="4" borderId="29" xfId="4" applyNumberFormat="1" applyFont="1" applyFill="1" applyBorder="1" applyAlignment="1">
      <alignment horizontal="center" vertical="center"/>
    </xf>
    <xf numFmtId="0" fontId="28" fillId="5" borderId="29" xfId="4" applyFont="1" applyFill="1" applyBorder="1" applyAlignment="1">
      <alignment horizontal="left" vertical="center"/>
    </xf>
    <xf numFmtId="0" fontId="28" fillId="0" borderId="29" xfId="7" applyFont="1" applyBorder="1" applyAlignment="1">
      <alignment horizontal="left" vertical="center"/>
    </xf>
    <xf numFmtId="0" fontId="30" fillId="5" borderId="29" xfId="7" applyFont="1" applyFill="1" applyBorder="1" applyAlignment="1">
      <alignment horizontal="left" vertical="center"/>
    </xf>
    <xf numFmtId="0" fontId="30" fillId="0" borderId="29" xfId="7" applyFont="1" applyBorder="1" applyAlignment="1">
      <alignment horizontal="left" vertical="center"/>
    </xf>
    <xf numFmtId="0" fontId="28" fillId="5" borderId="29" xfId="7" applyFont="1" applyFill="1" applyBorder="1" applyAlignment="1">
      <alignment horizontal="left" vertical="center"/>
    </xf>
    <xf numFmtId="178" fontId="32" fillId="5" borderId="29" xfId="4" applyNumberFormat="1" applyFont="1" applyFill="1" applyBorder="1" applyAlignment="1">
      <alignment horizontal="center" vertical="center"/>
    </xf>
    <xf numFmtId="181" fontId="32" fillId="5" borderId="29" xfId="4" applyNumberFormat="1" applyFont="1" applyFill="1" applyBorder="1" applyAlignment="1">
      <alignment horizontal="center" vertical="center"/>
    </xf>
    <xf numFmtId="49" fontId="28" fillId="5" borderId="29" xfId="4" applyNumberFormat="1" applyFont="1" applyFill="1" applyBorder="1" applyAlignment="1">
      <alignment horizontal="left" vertical="center"/>
    </xf>
    <xf numFmtId="0" fontId="28" fillId="5" borderId="29" xfId="4" applyFont="1" applyFill="1" applyBorder="1" applyAlignment="1">
      <alignment horizontal="center" vertical="center"/>
    </xf>
    <xf numFmtId="181" fontId="28" fillId="5" borderId="29" xfId="4" applyNumberFormat="1" applyFont="1" applyFill="1" applyBorder="1" applyAlignment="1">
      <alignment horizontal="center" vertical="center"/>
    </xf>
    <xf numFmtId="0" fontId="32" fillId="6" borderId="29" xfId="4" applyFont="1" applyFill="1" applyBorder="1" applyAlignment="1">
      <alignment horizontal="left" vertical="center"/>
    </xf>
    <xf numFmtId="178" fontId="32" fillId="6" borderId="29" xfId="4" applyNumberFormat="1" applyFont="1" applyFill="1" applyBorder="1" applyAlignment="1">
      <alignment horizontal="center" vertical="center"/>
    </xf>
    <xf numFmtId="181" fontId="32" fillId="6" borderId="29" xfId="4" applyNumberFormat="1" applyFont="1" applyFill="1" applyBorder="1" applyAlignment="1">
      <alignment horizontal="center" vertical="center"/>
    </xf>
    <xf numFmtId="181" fontId="32" fillId="18" borderId="29" xfId="4" applyNumberFormat="1" applyFont="1" applyFill="1" applyBorder="1" applyAlignment="1">
      <alignment horizontal="center" vertical="center"/>
    </xf>
    <xf numFmtId="58" fontId="28" fillId="7" borderId="29" xfId="4" applyNumberFormat="1" applyFont="1" applyFill="1" applyBorder="1" applyAlignment="1">
      <alignment horizontal="left" vertical="center"/>
    </xf>
    <xf numFmtId="49" fontId="28" fillId="7" borderId="29" xfId="4" applyNumberFormat="1" applyFont="1" applyFill="1" applyBorder="1" applyAlignment="1">
      <alignment horizontal="left" vertical="center"/>
    </xf>
    <xf numFmtId="0" fontId="28" fillId="7" borderId="29" xfId="4" applyFont="1" applyFill="1" applyBorder="1" applyAlignment="1">
      <alignment horizontal="left" vertical="center"/>
    </xf>
    <xf numFmtId="181" fontId="28" fillId="7" borderId="29" xfId="4" applyNumberFormat="1" applyFont="1" applyFill="1" applyBorder="1" applyAlignment="1">
      <alignment horizontal="center" vertical="center"/>
    </xf>
    <xf numFmtId="178" fontId="32" fillId="7" borderId="29" xfId="4" applyNumberFormat="1" applyFont="1" applyFill="1" applyBorder="1" applyAlignment="1">
      <alignment horizontal="center" vertical="center"/>
    </xf>
    <xf numFmtId="0" fontId="28" fillId="7" borderId="28" xfId="4" applyFont="1" applyFill="1" applyBorder="1" applyAlignment="1">
      <alignment horizontal="left" vertical="center"/>
    </xf>
    <xf numFmtId="181" fontId="32" fillId="7" borderId="29" xfId="4" applyNumberFormat="1" applyFont="1" applyFill="1" applyBorder="1" applyAlignment="1">
      <alignment horizontal="center" vertical="center"/>
    </xf>
    <xf numFmtId="0" fontId="28" fillId="0" borderId="28" xfId="4" applyFont="1" applyBorder="1" applyAlignment="1">
      <alignment horizontal="left" vertical="center"/>
    </xf>
    <xf numFmtId="49" fontId="28" fillId="0" borderId="29" xfId="4" applyNumberFormat="1" applyFont="1" applyBorder="1" applyAlignment="1">
      <alignment horizontal="left" vertical="center"/>
    </xf>
    <xf numFmtId="181" fontId="32" fillId="0" borderId="29" xfId="4" applyNumberFormat="1" applyFont="1" applyBorder="1" applyAlignment="1">
      <alignment horizontal="center" vertical="center"/>
    </xf>
    <xf numFmtId="178" fontId="32" fillId="0" borderId="29" xfId="4" applyNumberFormat="1" applyFont="1" applyBorder="1" applyAlignment="1">
      <alignment horizontal="center" vertical="center"/>
    </xf>
    <xf numFmtId="181" fontId="28" fillId="0" borderId="29" xfId="4" applyNumberFormat="1" applyFont="1" applyBorder="1" applyAlignment="1">
      <alignment horizontal="center" vertical="center"/>
    </xf>
    <xf numFmtId="0" fontId="28" fillId="0" borderId="34" xfId="4" applyFont="1" applyBorder="1" applyAlignment="1">
      <alignment horizontal="left" vertical="center"/>
    </xf>
    <xf numFmtId="0" fontId="28" fillId="0" borderId="29" xfId="4" applyFont="1" applyBorder="1" applyAlignment="1">
      <alignment horizontal="center" vertical="center"/>
    </xf>
    <xf numFmtId="0" fontId="28" fillId="0" borderId="29" xfId="7" applyFont="1" applyBorder="1" applyAlignment="1">
      <alignment horizontal="center" vertical="center"/>
    </xf>
    <xf numFmtId="0" fontId="30" fillId="4" borderId="29" xfId="7" applyFont="1" applyFill="1" applyBorder="1" applyAlignment="1">
      <alignment horizontal="center" vertical="center"/>
    </xf>
    <xf numFmtId="0" fontId="30" fillId="0" borderId="29" xfId="7" applyFont="1" applyBorder="1" applyAlignment="1">
      <alignment horizontal="center" vertical="center"/>
    </xf>
    <xf numFmtId="0" fontId="28" fillId="4" borderId="29" xfId="7" applyFont="1" applyFill="1" applyBorder="1" applyAlignment="1">
      <alignment horizontal="center" vertical="center"/>
    </xf>
    <xf numFmtId="0" fontId="28" fillId="7" borderId="29" xfId="4" applyFont="1" applyFill="1" applyBorder="1" applyAlignment="1">
      <alignment horizontal="center" vertical="center"/>
    </xf>
    <xf numFmtId="0" fontId="30" fillId="5" borderId="29" xfId="4" applyFont="1" applyFill="1" applyBorder="1" applyAlignment="1">
      <alignment horizontal="center" vertical="center"/>
    </xf>
    <xf numFmtId="0" fontId="30" fillId="0" borderId="29" xfId="4" applyFont="1" applyBorder="1" applyAlignment="1">
      <alignment horizontal="center" vertical="center"/>
    </xf>
    <xf numFmtId="14" fontId="28" fillId="0" borderId="29" xfId="4" applyNumberFormat="1" applyFont="1" applyBorder="1" applyAlignment="1">
      <alignment horizontal="center" vertical="center"/>
    </xf>
    <xf numFmtId="14" fontId="28" fillId="8" borderId="29" xfId="4" applyNumberFormat="1" applyFont="1" applyFill="1" applyBorder="1" applyAlignment="1">
      <alignment horizontal="center" vertical="center"/>
    </xf>
    <xf numFmtId="2" fontId="28" fillId="0" borderId="29" xfId="4" applyNumberFormat="1" applyFont="1" applyBorder="1" applyAlignment="1">
      <alignment horizontal="center" vertical="center"/>
    </xf>
    <xf numFmtId="183" fontId="28" fillId="0" borderId="29" xfId="4" applyNumberFormat="1" applyFont="1" applyBorder="1" applyAlignment="1">
      <alignment horizontal="center" vertical="center"/>
    </xf>
    <xf numFmtId="14" fontId="28" fillId="4" borderId="29" xfId="4" applyNumberFormat="1" applyFont="1" applyFill="1" applyBorder="1" applyAlignment="1">
      <alignment horizontal="center" vertical="center"/>
    </xf>
    <xf numFmtId="14" fontId="28" fillId="5" borderId="29" xfId="4" applyNumberFormat="1" applyFont="1" applyFill="1" applyBorder="1" applyAlignment="1">
      <alignment horizontal="center" vertical="center"/>
    </xf>
    <xf numFmtId="14" fontId="30" fillId="5" borderId="29" xfId="4" applyNumberFormat="1" applyFont="1" applyFill="1" applyBorder="1" applyAlignment="1">
      <alignment horizontal="center" vertical="center"/>
    </xf>
    <xf numFmtId="14" fontId="30" fillId="0" borderId="29" xfId="4" applyNumberFormat="1" applyFont="1" applyBorder="1" applyAlignment="1">
      <alignment horizontal="center" vertical="center"/>
    </xf>
    <xf numFmtId="178" fontId="28" fillId="5" borderId="29" xfId="4" applyNumberFormat="1" applyFont="1" applyFill="1" applyBorder="1" applyAlignment="1">
      <alignment horizontal="center" vertical="center"/>
    </xf>
    <xf numFmtId="14" fontId="28" fillId="7" borderId="29" xfId="4" applyNumberFormat="1" applyFont="1" applyFill="1" applyBorder="1" applyAlignment="1">
      <alignment horizontal="center" vertical="center"/>
    </xf>
    <xf numFmtId="0" fontId="28" fillId="0" borderId="30" xfId="4" applyFont="1" applyBorder="1" applyAlignment="1">
      <alignment horizontal="center" vertical="center"/>
    </xf>
    <xf numFmtId="14" fontId="28" fillId="0" borderId="30" xfId="4" applyNumberFormat="1" applyFont="1" applyBorder="1" applyAlignment="1">
      <alignment horizontal="center" vertical="center"/>
    </xf>
    <xf numFmtId="14" fontId="30" fillId="0" borderId="30" xfId="4" applyNumberFormat="1" applyFont="1" applyBorder="1" applyAlignment="1">
      <alignment horizontal="center" vertical="center"/>
    </xf>
    <xf numFmtId="0" fontId="28" fillId="0" borderId="36" xfId="4" applyFont="1" applyBorder="1" applyAlignment="1">
      <alignment horizontal="left" vertical="center"/>
    </xf>
    <xf numFmtId="0" fontId="28" fillId="0" borderId="39" xfId="4" applyFont="1" applyBorder="1" applyAlignment="1">
      <alignment horizontal="left" vertical="center"/>
    </xf>
    <xf numFmtId="49" fontId="28" fillId="0" borderId="39" xfId="4" applyNumberFormat="1" applyFont="1" applyBorder="1" applyAlignment="1">
      <alignment horizontal="left" vertical="center"/>
    </xf>
    <xf numFmtId="0" fontId="28" fillId="0" borderId="39" xfId="4" applyFont="1" applyBorder="1" applyAlignment="1">
      <alignment horizontal="center" vertical="center"/>
    </xf>
    <xf numFmtId="181" fontId="32" fillId="0" borderId="39" xfId="4" applyNumberFormat="1" applyFont="1" applyBorder="1" applyAlignment="1">
      <alignment horizontal="center" vertical="center"/>
    </xf>
    <xf numFmtId="178" fontId="32" fillId="0" borderId="39" xfId="4" applyNumberFormat="1" applyFont="1" applyBorder="1" applyAlignment="1">
      <alignment horizontal="center" vertical="center"/>
    </xf>
    <xf numFmtId="181" fontId="28" fillId="0" borderId="39" xfId="4" applyNumberFormat="1" applyFont="1" applyBorder="1" applyAlignment="1">
      <alignment horizontal="center" vertical="center"/>
    </xf>
    <xf numFmtId="14" fontId="28" fillId="0" borderId="39" xfId="4" applyNumberFormat="1" applyFont="1" applyBorder="1" applyAlignment="1">
      <alignment horizontal="center" vertical="center"/>
    </xf>
    <xf numFmtId="0" fontId="32" fillId="6" borderId="29" xfId="4" applyFont="1" applyFill="1" applyBorder="1" applyAlignment="1">
      <alignment horizontal="center" vertical="center"/>
    </xf>
    <xf numFmtId="49" fontId="28" fillId="7" borderId="29" xfId="4" applyNumberFormat="1" applyFont="1" applyFill="1" applyBorder="1" applyAlignment="1">
      <alignment horizontal="center" vertical="center"/>
    </xf>
    <xf numFmtId="49" fontId="28" fillId="0" borderId="29" xfId="4" applyNumberFormat="1" applyFont="1" applyBorder="1" applyAlignment="1">
      <alignment horizontal="center" vertical="center"/>
    </xf>
    <xf numFmtId="49" fontId="28" fillId="0" borderId="39" xfId="4" applyNumberFormat="1" applyFont="1" applyBorder="1" applyAlignment="1">
      <alignment horizontal="center" vertical="center"/>
    </xf>
    <xf numFmtId="181" fontId="28" fillId="21" borderId="38" xfId="7" applyNumberFormat="1" applyFont="1" applyFill="1" applyBorder="1" applyAlignment="1">
      <alignment horizontal="center" vertical="center"/>
    </xf>
    <xf numFmtId="178" fontId="28" fillId="21" borderId="38" xfId="7" applyNumberFormat="1" applyFont="1" applyFill="1" applyBorder="1" applyAlignment="1">
      <alignment horizontal="center" vertical="center"/>
    </xf>
    <xf numFmtId="181" fontId="28" fillId="21" borderId="29" xfId="7" applyNumberFormat="1" applyFont="1" applyFill="1" applyBorder="1" applyAlignment="1">
      <alignment horizontal="center" vertical="center"/>
    </xf>
    <xf numFmtId="178" fontId="28" fillId="21" borderId="29" xfId="7" applyNumberFormat="1" applyFont="1" applyFill="1" applyBorder="1" applyAlignment="1">
      <alignment horizontal="center" vertical="center"/>
    </xf>
    <xf numFmtId="0" fontId="28" fillId="0" borderId="0" xfId="7" applyFont="1" applyAlignment="1">
      <alignment horizontal="center" vertical="center"/>
    </xf>
    <xf numFmtId="177" fontId="28" fillId="0" borderId="29" xfId="0" applyNumberFormat="1" applyFont="1" applyBorder="1" applyAlignment="1">
      <alignment horizontal="left" vertical="center"/>
    </xf>
    <xf numFmtId="0" fontId="49" fillId="0" borderId="0" xfId="0" applyFont="1"/>
    <xf numFmtId="0" fontId="49" fillId="0" borderId="0" xfId="0" applyFont="1" applyAlignment="1">
      <alignment horizontal="center"/>
    </xf>
    <xf numFmtId="14" fontId="4" fillId="0" borderId="0" xfId="0" applyNumberFormat="1" applyFont="1" applyAlignment="1">
      <alignment horizontal="center"/>
    </xf>
    <xf numFmtId="0" fontId="28" fillId="0" borderId="35" xfId="0" applyFont="1" applyBorder="1" applyAlignment="1">
      <alignment horizontal="center" vertical="center"/>
    </xf>
    <xf numFmtId="178" fontId="32" fillId="0" borderId="34" xfId="0" applyNumberFormat="1" applyFont="1" applyBorder="1" applyAlignment="1">
      <alignment horizontal="center" vertical="center"/>
    </xf>
    <xf numFmtId="181" fontId="28" fillId="21" borderId="26" xfId="0" applyNumberFormat="1" applyFont="1" applyFill="1" applyBorder="1" applyAlignment="1">
      <alignment horizontal="center" vertical="center"/>
    </xf>
    <xf numFmtId="0" fontId="35" fillId="0" borderId="0" xfId="1" applyNumberFormat="1" applyFont="1" applyAlignment="1">
      <alignment horizontal="center" vertical="center" wrapText="1"/>
    </xf>
    <xf numFmtId="0" fontId="32" fillId="0" borderId="0" xfId="1" applyNumberFormat="1" applyFont="1" applyAlignment="1">
      <alignment horizontal="center" vertical="center"/>
    </xf>
    <xf numFmtId="0" fontId="4" fillId="0" borderId="0" xfId="1" applyNumberFormat="1" applyFont="1" applyAlignment="1">
      <alignment horizontal="center" vertical="center"/>
    </xf>
    <xf numFmtId="0" fontId="28" fillId="0" borderId="0" xfId="1" applyNumberFormat="1" applyFont="1" applyAlignment="1">
      <alignment horizontal="center" vertical="center"/>
    </xf>
    <xf numFmtId="178" fontId="32" fillId="0" borderId="0" xfId="4" applyNumberFormat="1" applyFont="1" applyAlignment="1">
      <alignment horizontal="center" vertical="center"/>
    </xf>
    <xf numFmtId="14" fontId="49" fillId="0" borderId="0" xfId="0" applyNumberFormat="1" applyFont="1" applyAlignment="1">
      <alignment horizontal="center"/>
    </xf>
    <xf numFmtId="0" fontId="28" fillId="0" borderId="0" xfId="0" applyFont="1" applyAlignment="1">
      <alignment horizontal="left" vertical="center" wrapText="1"/>
    </xf>
    <xf numFmtId="0" fontId="33" fillId="0" borderId="0" xfId="0" applyFont="1" applyAlignment="1">
      <alignment horizontal="left" vertical="center"/>
    </xf>
    <xf numFmtId="49" fontId="32" fillId="0" borderId="0" xfId="0" applyNumberFormat="1" applyFont="1" applyAlignment="1">
      <alignment horizontal="left" vertical="center"/>
    </xf>
    <xf numFmtId="14" fontId="28" fillId="0" borderId="0" xfId="0" applyNumberFormat="1" applyFont="1" applyAlignment="1">
      <alignment horizontal="left" vertical="center"/>
    </xf>
    <xf numFmtId="10" fontId="28" fillId="0" borderId="0" xfId="0" applyNumberFormat="1" applyFont="1" applyAlignment="1">
      <alignment horizontal="left" vertical="center"/>
    </xf>
    <xf numFmtId="0" fontId="28" fillId="31" borderId="0" xfId="0" applyFont="1" applyFill="1" applyAlignment="1">
      <alignment horizontal="left" vertical="center"/>
    </xf>
    <xf numFmtId="0" fontId="28" fillId="23" borderId="0" xfId="0" applyFont="1" applyFill="1" applyAlignment="1">
      <alignment horizontal="left" vertical="center"/>
    </xf>
    <xf numFmtId="0" fontId="28" fillId="36" borderId="0" xfId="0" applyFont="1" applyFill="1" applyAlignment="1">
      <alignment horizontal="left" vertical="center"/>
    </xf>
    <xf numFmtId="0" fontId="28" fillId="27" borderId="0" xfId="0" applyFont="1" applyFill="1" applyAlignment="1">
      <alignment horizontal="left" vertical="center"/>
    </xf>
    <xf numFmtId="0" fontId="28" fillId="25" borderId="0" xfId="0" applyFont="1" applyFill="1" applyAlignment="1">
      <alignment horizontal="left" vertical="center"/>
    </xf>
    <xf numFmtId="0" fontId="28" fillId="34" borderId="0" xfId="0" applyFont="1" applyFill="1" applyAlignment="1">
      <alignment horizontal="left" vertical="center"/>
    </xf>
    <xf numFmtId="0" fontId="28" fillId="29" borderId="0" xfId="0" applyFont="1" applyFill="1" applyAlignment="1">
      <alignment horizontal="left" vertical="center" wrapText="1"/>
    </xf>
    <xf numFmtId="0" fontId="28" fillId="30" borderId="0" xfId="0" applyFont="1" applyFill="1" applyAlignment="1">
      <alignment horizontal="left" vertical="center"/>
    </xf>
    <xf numFmtId="0" fontId="28" fillId="32" borderId="0" xfId="0" applyFont="1" applyFill="1" applyAlignment="1">
      <alignment horizontal="left" vertical="center"/>
    </xf>
    <xf numFmtId="0" fontId="28" fillId="22" borderId="0" xfId="0" applyFont="1" applyFill="1" applyAlignment="1">
      <alignment horizontal="left" vertical="center"/>
    </xf>
    <xf numFmtId="49" fontId="28" fillId="0" borderId="0" xfId="0" applyNumberFormat="1" applyFont="1" applyAlignment="1">
      <alignment horizontal="left" vertical="center"/>
    </xf>
    <xf numFmtId="0" fontId="32" fillId="0" borderId="0" xfId="0" applyFont="1" applyAlignment="1">
      <alignment horizontal="left" vertical="center" wrapText="1"/>
    </xf>
    <xf numFmtId="0" fontId="28" fillId="22" borderId="0" xfId="0" applyFont="1" applyFill="1" applyAlignment="1">
      <alignment horizontal="left" vertical="center" wrapText="1"/>
    </xf>
    <xf numFmtId="0" fontId="28" fillId="35" borderId="0" xfId="0" applyFont="1" applyFill="1" applyAlignment="1">
      <alignment horizontal="left" vertical="center"/>
    </xf>
    <xf numFmtId="0" fontId="28" fillId="33" borderId="0" xfId="0" applyFont="1" applyFill="1" applyAlignment="1">
      <alignment horizontal="left" vertical="center"/>
    </xf>
    <xf numFmtId="0" fontId="28" fillId="28" borderId="0" xfId="0" applyFont="1" applyFill="1" applyAlignment="1">
      <alignment horizontal="left" vertical="center"/>
    </xf>
    <xf numFmtId="0" fontId="28" fillId="26" borderId="0" xfId="0" applyFont="1" applyFill="1" applyAlignment="1">
      <alignment horizontal="left" vertical="center" wrapText="1"/>
    </xf>
    <xf numFmtId="0" fontId="28" fillId="24" borderId="0" xfId="0" applyFont="1" applyFill="1" applyAlignment="1">
      <alignment horizontal="left" vertical="center"/>
    </xf>
    <xf numFmtId="0" fontId="39" fillId="0" borderId="0" xfId="0" applyFont="1" applyAlignment="1">
      <alignment horizontal="left" vertical="center"/>
    </xf>
    <xf numFmtId="0" fontId="39" fillId="26" borderId="0" xfId="0" applyFont="1" applyFill="1" applyAlignment="1">
      <alignment horizontal="left" vertical="center"/>
    </xf>
    <xf numFmtId="0" fontId="39" fillId="25" borderId="0" xfId="0" applyFont="1" applyFill="1" applyAlignment="1">
      <alignment horizontal="left" vertical="center"/>
    </xf>
    <xf numFmtId="49" fontId="32" fillId="8" borderId="0" xfId="0" applyNumberFormat="1" applyFont="1" applyFill="1" applyAlignment="1">
      <alignment horizontal="left" vertical="center"/>
    </xf>
    <xf numFmtId="10" fontId="32" fillId="0" borderId="0" xfId="0" applyNumberFormat="1" applyFont="1" applyAlignment="1">
      <alignment horizontal="left" vertical="center"/>
    </xf>
    <xf numFmtId="0" fontId="32" fillId="37" borderId="0" xfId="0" applyFont="1" applyFill="1" applyAlignment="1">
      <alignment horizontal="left" vertical="center"/>
    </xf>
    <xf numFmtId="14" fontId="32" fillId="0" borderId="0" xfId="0" applyNumberFormat="1" applyFont="1" applyAlignment="1">
      <alignment horizontal="left" vertical="center"/>
    </xf>
    <xf numFmtId="0" fontId="32" fillId="39" borderId="0" xfId="0" applyFont="1" applyFill="1" applyAlignment="1">
      <alignment horizontal="left" vertical="center"/>
    </xf>
    <xf numFmtId="0" fontId="32" fillId="40" borderId="0" xfId="0" applyFont="1" applyFill="1" applyAlignment="1">
      <alignment horizontal="left" vertical="center"/>
    </xf>
    <xf numFmtId="0" fontId="28" fillId="0" borderId="11" xfId="0" applyFont="1" applyBorder="1" applyAlignment="1">
      <alignment horizontal="left" vertical="center" wrapText="1"/>
    </xf>
    <xf numFmtId="0" fontId="28" fillId="0" borderId="9" xfId="0" applyFont="1" applyBorder="1" applyAlignment="1">
      <alignment horizontal="left" vertical="center" wrapText="1"/>
    </xf>
    <xf numFmtId="0" fontId="28" fillId="0" borderId="12" xfId="0" applyFont="1" applyBorder="1" applyAlignment="1">
      <alignment horizontal="left" vertical="center" wrapText="1"/>
    </xf>
    <xf numFmtId="0" fontId="28" fillId="0" borderId="13" xfId="0" applyFont="1" applyBorder="1" applyAlignment="1">
      <alignment horizontal="left" vertical="center" wrapText="1"/>
    </xf>
    <xf numFmtId="0" fontId="28" fillId="0" borderId="0" xfId="0" applyFont="1" applyAlignment="1">
      <alignment horizontal="left" vertical="center" wrapText="1"/>
    </xf>
    <xf numFmtId="0" fontId="28" fillId="0" borderId="14" xfId="0" applyFont="1" applyBorder="1" applyAlignment="1">
      <alignment horizontal="left" vertical="center" wrapText="1"/>
    </xf>
    <xf numFmtId="0" fontId="28" fillId="0" borderId="15" xfId="0" applyFont="1" applyBorder="1" applyAlignment="1">
      <alignment horizontal="left" vertical="center" wrapText="1"/>
    </xf>
    <xf numFmtId="0" fontId="28" fillId="0" borderId="1" xfId="0" applyFont="1" applyBorder="1" applyAlignment="1">
      <alignment horizontal="left" vertical="center" wrapText="1"/>
    </xf>
    <xf numFmtId="0" fontId="28" fillId="0" borderId="16" xfId="0" applyFont="1" applyBorder="1" applyAlignment="1">
      <alignment horizontal="left" vertical="center" wrapText="1"/>
    </xf>
    <xf numFmtId="0" fontId="28" fillId="17" borderId="17" xfId="0" applyFont="1" applyFill="1" applyBorder="1" applyAlignment="1">
      <alignment horizontal="center" vertical="center" wrapText="1"/>
    </xf>
    <xf numFmtId="0" fontId="28" fillId="17" borderId="18" xfId="0" applyFont="1" applyFill="1" applyBorder="1" applyAlignment="1">
      <alignment horizontal="center" vertical="center" wrapText="1"/>
    </xf>
    <xf numFmtId="0" fontId="28" fillId="17" borderId="19" xfId="0" applyFont="1" applyFill="1" applyBorder="1" applyAlignment="1">
      <alignment horizontal="center" vertical="center" wrapText="1"/>
    </xf>
    <xf numFmtId="0" fontId="28" fillId="17" borderId="20" xfId="0" applyFont="1" applyFill="1" applyBorder="1" applyAlignment="1">
      <alignment horizontal="center" vertical="center" wrapText="1"/>
    </xf>
    <xf numFmtId="0" fontId="28" fillId="17" borderId="0" xfId="0" applyFont="1" applyFill="1" applyAlignment="1">
      <alignment horizontal="center" vertical="center" wrapText="1"/>
    </xf>
    <xf numFmtId="0" fontId="28" fillId="17" borderId="21" xfId="0" applyFont="1" applyFill="1" applyBorder="1" applyAlignment="1">
      <alignment horizontal="center" vertical="center" wrapText="1"/>
    </xf>
    <xf numFmtId="0" fontId="28" fillId="17" borderId="22" xfId="0" applyFont="1" applyFill="1" applyBorder="1" applyAlignment="1">
      <alignment horizontal="center" vertical="center" wrapText="1"/>
    </xf>
    <xf numFmtId="0" fontId="28" fillId="17" borderId="6" xfId="0" applyFont="1" applyFill="1" applyBorder="1" applyAlignment="1">
      <alignment horizontal="center" vertical="center" wrapText="1"/>
    </xf>
    <xf numFmtId="0" fontId="28" fillId="17" borderId="23" xfId="0" applyFont="1" applyFill="1" applyBorder="1" applyAlignment="1">
      <alignment horizontal="center" vertical="center" wrapText="1"/>
    </xf>
    <xf numFmtId="0" fontId="28" fillId="0" borderId="0" xfId="0" applyFont="1" applyAlignment="1">
      <alignment horizontal="center" vertical="center" wrapText="1"/>
    </xf>
    <xf numFmtId="0" fontId="34" fillId="9" borderId="0" xfId="0" applyFont="1" applyFill="1" applyAlignment="1">
      <alignment horizontal="center" vertical="center"/>
    </xf>
    <xf numFmtId="0" fontId="28" fillId="0" borderId="35" xfId="0" applyFont="1" applyBorder="1" applyAlignment="1">
      <alignment horizontal="center" vertical="center"/>
    </xf>
    <xf numFmtId="0" fontId="28" fillId="0" borderId="40" xfId="0" applyFont="1" applyBorder="1" applyAlignment="1">
      <alignment horizontal="center" vertical="center"/>
    </xf>
    <xf numFmtId="0" fontId="28" fillId="0" borderId="41" xfId="0" applyFont="1" applyBorder="1" applyAlignment="1">
      <alignment horizontal="center" vertical="center"/>
    </xf>
  </cellXfs>
  <cellStyles count="21">
    <cellStyle name="百分比 2" xfId="2" xr:uid="{00000000-0005-0000-0000-000031000000}"/>
    <cellStyle name="常规" xfId="0" builtinId="0"/>
    <cellStyle name="常规 10" xfId="13" xr:uid="{88DD2426-C903-458C-BA12-279253406981}"/>
    <cellStyle name="常规 11" xfId="16" xr:uid="{C1B1494C-F268-40C0-81FC-DEBBED42BF38}"/>
    <cellStyle name="常规 12" xfId="17" xr:uid="{0742A242-815D-462E-AD22-755F17FB2487}"/>
    <cellStyle name="常规 13" xfId="12" xr:uid="{D581C307-07F0-48A3-B092-F3412398FE81}"/>
    <cellStyle name="常规 13 2" xfId="18" xr:uid="{284F042E-1D2F-46A8-9727-3E86DF27D527}"/>
    <cellStyle name="常规 2" xfId="3" xr:uid="{00000000-0005-0000-0000-000032000000}"/>
    <cellStyle name="常规 3" xfId="4" xr:uid="{00000000-0005-0000-0000-000033000000}"/>
    <cellStyle name="常规 4" xfId="5" xr:uid="{00000000-0005-0000-0000-000034000000}"/>
    <cellStyle name="常规 5" xfId="6" xr:uid="{00000000-0005-0000-0000-000035000000}"/>
    <cellStyle name="常规 6" xfId="7" xr:uid="{00000000-0005-0000-0000-000036000000}"/>
    <cellStyle name="常规 7" xfId="8" xr:uid="{00000000-0005-0000-0000-000037000000}"/>
    <cellStyle name="常规 8" xfId="9" xr:uid="{00000000-0005-0000-0000-000038000000}"/>
    <cellStyle name="常规 9" xfId="10" xr:uid="{00000000-0005-0000-0000-000039000000}"/>
    <cellStyle name="千位分隔" xfId="1" builtinId="3"/>
    <cellStyle name="千位分隔 2" xfId="11" xr:uid="{00000000-0005-0000-0000-00003A000000}"/>
    <cellStyle name="千位分隔 2 2" xfId="15" xr:uid="{945217C2-B721-4C66-A540-C01C0FA2F3BA}"/>
    <cellStyle name="千位分隔 2 2 2" xfId="20" xr:uid="{17A2C7AE-B5F1-44E4-BDF4-95FE9DF64F31}"/>
    <cellStyle name="千位分隔 3" xfId="14" xr:uid="{56303C0F-6157-45B4-A0C2-2491D03EE812}"/>
    <cellStyle name="千位分隔 3 2" xfId="19" xr:uid="{7894C074-1D4A-424E-9B7F-BC54F8195FE1}"/>
  </cellStyles>
  <dxfs count="87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name val="Aptos"/>
      </font>
    </dxf>
    <dxf>
      <font>
        <name val="Aptos"/>
      </font>
    </dxf>
    <dxf>
      <font>
        <name val="Aptos"/>
      </font>
    </dxf>
    <dxf>
      <font>
        <name val="Aptos"/>
      </font>
    </dxf>
    <dxf>
      <font>
        <name val="Aptos"/>
      </font>
    </dxf>
    <dxf>
      <font>
        <name val="Aptos"/>
      </font>
    </dxf>
    <dxf>
      <font>
        <name val="Aptos"/>
      </font>
    </dxf>
    <dxf>
      <font>
        <name val="Aptos"/>
      </font>
    </dxf>
    <dxf>
      <font>
        <name val="Aptos"/>
      </font>
    </dxf>
    <dxf>
      <font>
        <name val="Aptos"/>
      </font>
    </dxf>
    <dxf>
      <font>
        <name val="Aptos"/>
      </font>
    </dxf>
    <dxf>
      <font>
        <name val="Aptos"/>
      </font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name val="Aptos"/>
      </font>
    </dxf>
    <dxf>
      <font>
        <name val="Aptos"/>
      </font>
    </dxf>
    <dxf>
      <font>
        <name val="Aptos"/>
      </font>
    </dxf>
    <dxf>
      <font>
        <name val="Aptos"/>
      </font>
    </dxf>
    <dxf>
      <font>
        <name val="Aptos"/>
      </font>
    </dxf>
    <dxf>
      <font>
        <name val="Aptos"/>
      </font>
    </dxf>
    <dxf>
      <font>
        <name val="Aptos"/>
      </font>
    </dxf>
    <dxf>
      <font>
        <name val="Aptos"/>
      </font>
    </dxf>
    <dxf>
      <font>
        <name val="Aptos"/>
      </font>
    </dxf>
    <dxf>
      <font>
        <name val="Aptos"/>
      </font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name val="Aptos"/>
      </font>
    </dxf>
    <dxf>
      <font>
        <name val="Aptos"/>
      </font>
    </dxf>
    <dxf>
      <font>
        <name val="Aptos"/>
      </font>
    </dxf>
    <dxf>
      <font>
        <name val="Aptos"/>
      </font>
    </dxf>
    <dxf>
      <font>
        <name val="Aptos"/>
      </font>
    </dxf>
    <dxf>
      <font>
        <name val="Aptos"/>
      </font>
    </dxf>
    <dxf>
      <font>
        <name val="Aptos"/>
      </font>
    </dxf>
    <dxf>
      <font>
        <name val="Aptos"/>
      </font>
    </dxf>
    <dxf>
      <font>
        <name val="Aptos"/>
      </font>
    </dxf>
    <dxf>
      <font>
        <name val="Aptos"/>
      </font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name val="Aptos"/>
      </font>
    </dxf>
    <dxf>
      <font>
        <name val="Aptos"/>
      </font>
    </dxf>
    <dxf>
      <font>
        <name val="Aptos"/>
      </font>
    </dxf>
    <dxf>
      <font>
        <name val="Aptos"/>
      </font>
    </dxf>
    <dxf>
      <font>
        <name val="Aptos"/>
      </font>
    </dxf>
    <dxf>
      <font>
        <name val="Aptos"/>
      </font>
    </dxf>
    <dxf>
      <font>
        <name val="Aptos"/>
      </font>
    </dxf>
    <dxf>
      <font>
        <name val="Aptos"/>
      </font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name val="Aptos"/>
      </font>
    </dxf>
    <dxf>
      <font>
        <name val="Aptos"/>
      </font>
    </dxf>
    <dxf>
      <font>
        <name val="Aptos"/>
      </font>
    </dxf>
    <dxf>
      <font>
        <name val="Aptos"/>
      </font>
    </dxf>
    <dxf>
      <font>
        <name val="Aptos"/>
      </font>
    </dxf>
    <dxf>
      <font>
        <name val="Aptos"/>
      </font>
    </dxf>
    <dxf>
      <font>
        <name val="Aptos"/>
      </font>
    </dxf>
    <dxf>
      <numFmt numFmtId="2" formatCode="0.00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name val="TW Cen MT"/>
        <scheme val="none"/>
      </font>
    </dxf>
    <dxf>
      <font>
        <name val="TW Cen MT"/>
        <scheme val="none"/>
      </font>
    </dxf>
    <dxf>
      <font>
        <name val="TW Cen MT"/>
        <scheme val="none"/>
      </font>
    </dxf>
    <dxf>
      <font>
        <name val="TW Cen MT"/>
        <scheme val="none"/>
      </font>
    </dxf>
    <dxf>
      <font>
        <name val="TW Cen MT"/>
        <scheme val="none"/>
      </font>
    </dxf>
    <dxf>
      <font>
        <name val="TW Cen MT"/>
        <scheme val="none"/>
      </font>
    </dxf>
    <dxf>
      <alignment vertical="center"/>
    </dxf>
    <dxf>
      <font>
        <sz val="10"/>
      </font>
    </dxf>
    <dxf>
      <font>
        <name val="TW Cen MT"/>
        <scheme val="none"/>
      </font>
    </dxf>
    <dxf>
      <font>
        <name val="微软雅黑"/>
        <scheme val="none"/>
      </font>
    </dxf>
    <dxf>
      <font>
        <name val="Tw Cen MT"/>
        <scheme val="none"/>
      </font>
    </dxf>
    <dxf>
      <font>
        <name val="Tw Cen MT"/>
        <scheme val="none"/>
      </font>
    </dxf>
    <dxf>
      <font>
        <name val="Tw Cen MT"/>
        <scheme val="none"/>
      </font>
    </dxf>
    <dxf>
      <alignment vertical="center"/>
    </dxf>
    <dxf>
      <alignment vertical="center"/>
    </dxf>
    <dxf>
      <alignment vertical="center"/>
    </dxf>
    <dxf>
      <alignment vertical="center"/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name val="Aptos"/>
      </font>
    </dxf>
    <dxf>
      <font>
        <name val="Aptos"/>
      </font>
    </dxf>
    <dxf>
      <font>
        <name val="Aptos"/>
      </font>
    </dxf>
    <dxf>
      <font>
        <name val="Aptos"/>
      </font>
    </dxf>
    <dxf>
      <alignment vertical="center"/>
    </dxf>
    <dxf>
      <alignment vertical="center"/>
    </dxf>
    <dxf>
      <alignment vertical="center"/>
    </dxf>
    <dxf>
      <alignment vertical="center"/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name val="Aptos"/>
      </font>
    </dxf>
    <dxf>
      <font>
        <name val="Aptos"/>
      </font>
    </dxf>
    <dxf>
      <font>
        <name val="Aptos"/>
      </font>
    </dxf>
    <dxf>
      <font>
        <name val="Aptos"/>
      </font>
    </dxf>
    <dxf>
      <alignment vertical="center"/>
    </dxf>
    <dxf>
      <alignment vertical="center"/>
    </dxf>
    <dxf>
      <alignment vertical="center"/>
    </dxf>
    <dxf>
      <alignment vertical="center"/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name val="Aptos"/>
      </font>
    </dxf>
    <dxf>
      <font>
        <name val="Aptos"/>
      </font>
    </dxf>
    <dxf>
      <font>
        <name val="Aptos"/>
      </font>
    </dxf>
    <dxf>
      <font>
        <name val="Aptos"/>
      </font>
    </dxf>
    <dxf>
      <alignment vertical="center"/>
    </dxf>
    <dxf>
      <alignment vertical="center"/>
    </dxf>
    <dxf>
      <alignment vertical="center"/>
    </dxf>
    <dxf>
      <alignment vertical="center"/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name val="Aptos"/>
      </font>
    </dxf>
    <dxf>
      <font>
        <name val="Aptos"/>
      </font>
    </dxf>
    <dxf>
      <font>
        <name val="Aptos"/>
      </font>
    </dxf>
    <dxf>
      <font>
        <name val="Aptos"/>
      </font>
    </dxf>
    <dxf>
      <alignment vertical="center"/>
    </dxf>
    <dxf>
      <alignment vertical="center"/>
    </dxf>
    <dxf>
      <alignment vertical="center"/>
    </dxf>
    <dxf>
      <alignment vertical="center"/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name val="Aptos"/>
      </font>
    </dxf>
    <dxf>
      <font>
        <name val="Aptos"/>
      </font>
    </dxf>
    <dxf>
      <font>
        <name val="Aptos"/>
      </font>
    </dxf>
    <dxf>
      <font>
        <name val="Aptos"/>
      </font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name val="TW Cen MT"/>
        <scheme val="none"/>
      </font>
    </dxf>
    <dxf>
      <font>
        <name val="TW Cen MT"/>
        <scheme val="none"/>
      </font>
    </dxf>
    <dxf>
      <font>
        <name val="TW Cen MT"/>
        <scheme val="none"/>
      </font>
    </dxf>
    <dxf>
      <font>
        <name val="TW Cen MT"/>
        <scheme val="none"/>
      </font>
    </dxf>
    <dxf>
      <font>
        <name val="TW Cen MT"/>
        <scheme val="none"/>
      </font>
    </dxf>
    <dxf>
      <alignment vertical="center"/>
    </dxf>
    <dxf>
      <font>
        <sz val="10"/>
      </font>
    </dxf>
    <dxf>
      <font>
        <name val="TW Cen MT"/>
        <scheme val="none"/>
      </font>
    </dxf>
    <dxf>
      <font>
        <name val="微软雅黑"/>
        <scheme val="none"/>
      </font>
    </dxf>
    <dxf>
      <font>
        <name val="Tw Cen MT"/>
        <scheme val="none"/>
      </font>
    </dxf>
    <dxf>
      <font>
        <name val="Tw Cen MT"/>
        <scheme val="none"/>
      </font>
    </dxf>
    <dxf>
      <font>
        <name val="Tw Cen MT"/>
        <scheme val="none"/>
      </font>
    </dxf>
    <dxf>
      <font>
        <name val="Aptos"/>
      </font>
    </dxf>
    <dxf>
      <font>
        <name val="Aptos"/>
      </font>
    </dxf>
    <dxf>
      <font>
        <name val="Aptos"/>
      </font>
    </dxf>
    <dxf>
      <font>
        <name val="Aptos"/>
      </font>
    </dxf>
    <dxf>
      <font>
        <name val="Aptos"/>
      </font>
    </dxf>
    <dxf>
      <font>
        <name val="Aptos"/>
      </font>
    </dxf>
    <dxf>
      <font>
        <name val="Aptos"/>
      </font>
    </dxf>
    <dxf>
      <font>
        <name val="Aptos"/>
      </font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name val="Aptos"/>
      </font>
    </dxf>
    <dxf>
      <font>
        <name val="Aptos"/>
      </font>
    </dxf>
    <dxf>
      <font>
        <name val="Aptos"/>
      </font>
    </dxf>
    <dxf>
      <font>
        <name val="Aptos"/>
      </font>
    </dxf>
    <dxf>
      <font>
        <name val="Aptos"/>
      </font>
    </dxf>
    <dxf>
      <font>
        <name val="Aptos"/>
      </font>
    </dxf>
    <dxf>
      <font>
        <name val="Aptos"/>
      </font>
    </dxf>
    <dxf>
      <font>
        <name val="Aptos"/>
      </font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name val="Aptos"/>
      </font>
    </dxf>
    <dxf>
      <font>
        <name val="Aptos"/>
      </font>
    </dxf>
    <dxf>
      <font>
        <name val="Aptos"/>
      </font>
    </dxf>
    <dxf>
      <font>
        <name val="Aptos"/>
      </font>
    </dxf>
    <dxf>
      <font>
        <name val="Aptos"/>
      </font>
    </dxf>
    <dxf>
      <font>
        <name val="Aptos"/>
      </font>
    </dxf>
    <dxf>
      <font>
        <name val="Aptos"/>
      </font>
    </dxf>
    <dxf>
      <font>
        <name val="Aptos"/>
      </font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name val="Aptos"/>
      </font>
    </dxf>
    <dxf>
      <font>
        <name val="Aptos"/>
      </font>
    </dxf>
    <dxf>
      <font>
        <name val="Aptos"/>
      </font>
    </dxf>
    <dxf>
      <font>
        <name val="Aptos"/>
      </font>
    </dxf>
    <dxf>
      <font>
        <name val="Aptos"/>
      </font>
    </dxf>
    <dxf>
      <font>
        <name val="Aptos"/>
      </font>
    </dxf>
    <dxf>
      <font>
        <name val="Aptos"/>
      </font>
    </dxf>
    <dxf>
      <font>
        <name val="Aptos"/>
      </font>
    </dxf>
    <dxf>
      <font>
        <name val="Aptos"/>
      </font>
    </dxf>
    <dxf>
      <alignment horizontal="center"/>
    </dxf>
    <dxf>
      <font>
        <name val="Aptos"/>
      </font>
    </dxf>
    <dxf>
      <font>
        <name val="Aptos"/>
      </font>
    </dxf>
    <dxf>
      <font>
        <name val="Aptos"/>
      </font>
    </dxf>
    <dxf>
      <font>
        <name val="Aptos"/>
      </font>
    </dxf>
    <dxf>
      <font>
        <name val="Aptos"/>
      </font>
    </dxf>
    <dxf>
      <font>
        <name val="Aptos"/>
      </font>
    </dxf>
    <dxf>
      <font>
        <name val="Aptos"/>
      </font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name val="Aptos"/>
      </font>
    </dxf>
    <dxf>
      <font>
        <name val="Aptos"/>
      </font>
    </dxf>
    <dxf>
      <font>
        <name val="Aptos"/>
      </font>
    </dxf>
    <dxf>
      <font>
        <name val="Aptos"/>
      </font>
    </dxf>
    <dxf>
      <font>
        <name val="Aptos"/>
      </font>
    </dxf>
    <dxf>
      <font>
        <name val="Aptos"/>
      </font>
    </dxf>
    <dxf>
      <font>
        <name val="Aptos"/>
      </font>
    </dxf>
    <dxf>
      <font>
        <name val="Aptos"/>
      </font>
    </dxf>
    <dxf>
      <font>
        <name val="Aptos"/>
      </font>
    </dxf>
    <dxf>
      <font>
        <name val="Aptos"/>
      </font>
    </dxf>
    <dxf>
      <font>
        <name val="Aptos"/>
      </font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font>
        <name val="TW Cen MT"/>
      </font>
    </dxf>
    <dxf>
      <font>
        <name val="TW Cen MT"/>
      </font>
    </dxf>
    <dxf>
      <font>
        <name val="TW Cen MT"/>
      </font>
    </dxf>
    <dxf>
      <font>
        <name val="TW Cen MT"/>
      </font>
    </dxf>
    <dxf>
      <font>
        <name val="TW Cen MT"/>
      </font>
    </dxf>
    <dxf>
      <font>
        <name val="TW Cen MT"/>
      </font>
    </dxf>
    <dxf>
      <font>
        <name val="TW Cen MT"/>
      </font>
    </dxf>
    <dxf>
      <font>
        <name val="TW Cen MT"/>
      </font>
    </dxf>
    <dxf>
      <font>
        <name val="TW Cen MT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name val="Aptos"/>
      </font>
    </dxf>
    <dxf>
      <font>
        <name val="Aptos"/>
      </font>
    </dxf>
    <dxf>
      <font>
        <name val="Aptos"/>
      </font>
    </dxf>
    <dxf>
      <font>
        <name val="Aptos"/>
      </font>
    </dxf>
    <dxf>
      <font>
        <name val="Aptos"/>
      </font>
    </dxf>
    <dxf>
      <font>
        <name val="Aptos"/>
      </font>
    </dxf>
    <dxf>
      <font>
        <name val="Aptos"/>
      </font>
    </dxf>
    <dxf>
      <alignment indent="0"/>
    </dxf>
    <dxf>
      <alignment indent="0"/>
    </dxf>
    <dxf>
      <alignment indent="0"/>
    </dxf>
    <dxf>
      <alignment indent="0"/>
    </dxf>
    <dxf>
      <alignment indent="0"/>
    </dxf>
    <dxf>
      <alignment indent="0"/>
    </dxf>
    <dxf>
      <alignment indent="0"/>
    </dxf>
    <dxf>
      <alignment indent="0"/>
    </dxf>
    <dxf>
      <alignment indent="0"/>
    </dxf>
    <dxf>
      <alignment indent="0"/>
    </dxf>
    <dxf>
      <alignment indent="0"/>
    </dxf>
    <dxf>
      <alignment indent="0"/>
    </dxf>
    <dxf>
      <alignment indent="0"/>
    </dxf>
    <dxf>
      <alignment indent="0"/>
    </dxf>
    <dxf>
      <alignment indent="0"/>
    </dxf>
    <dxf>
      <alignment indent="0"/>
    </dxf>
    <dxf>
      <alignment indent="0"/>
    </dxf>
    <dxf>
      <alignment indent="0"/>
    </dxf>
    <dxf>
      <alignment indent="0"/>
    </dxf>
    <dxf>
      <alignment indent="0"/>
    </dxf>
    <dxf>
      <alignment indent="0"/>
    </dxf>
    <dxf>
      <alignment indent="0"/>
    </dxf>
    <dxf>
      <alignment indent="0"/>
    </dxf>
    <dxf>
      <alignment indent="0"/>
    </dxf>
    <dxf>
      <alignment indent="0"/>
    </dxf>
    <dxf>
      <alignment indent="0"/>
    </dxf>
    <dxf>
      <alignment indent="0"/>
    </dxf>
    <dxf>
      <alignment indent="0"/>
    </dxf>
    <dxf>
      <alignment indent="0"/>
    </dxf>
    <dxf>
      <alignment indent="0"/>
    </dxf>
    <dxf>
      <alignment indent="0"/>
    </dxf>
    <dxf>
      <font>
        <name val="Aptos"/>
      </font>
    </dxf>
    <dxf>
      <font>
        <name val="Aptos"/>
      </font>
    </dxf>
    <dxf>
      <font>
        <name val="Aptos"/>
      </font>
    </dxf>
    <dxf>
      <font>
        <name val="Aptos"/>
      </font>
    </dxf>
    <dxf>
      <font>
        <name val="Aptos"/>
      </font>
    </dxf>
    <dxf>
      <font>
        <name val="Aptos"/>
      </font>
    </dxf>
    <dxf>
      <font>
        <name val="Aptos"/>
      </font>
    </dxf>
    <dxf>
      <font>
        <name val="Aptos"/>
      </font>
    </dxf>
    <dxf>
      <font>
        <name val="Aptos"/>
      </font>
    </dxf>
    <dxf>
      <font>
        <name val="Aptos"/>
      </font>
    </dxf>
    <dxf>
      <font>
        <name val="Aptos"/>
      </font>
    </dxf>
    <dxf>
      <font>
        <name val="Aptos"/>
      </font>
    </dxf>
    <dxf>
      <font>
        <name val="Aptos"/>
      </font>
    </dxf>
    <dxf>
      <font>
        <name val="Aptos"/>
      </font>
    </dxf>
    <dxf>
      <font>
        <name val="Aptos"/>
      </font>
    </dxf>
    <dxf>
      <font>
        <name val="Aptos"/>
      </font>
    </dxf>
    <dxf>
      <font>
        <name val="Aptos"/>
      </font>
    </dxf>
    <dxf>
      <font>
        <name val="Aptos"/>
      </font>
    </dxf>
    <dxf>
      <font>
        <name val="Aptos"/>
      </font>
    </dxf>
    <dxf>
      <font>
        <name val="Aptos"/>
      </font>
    </dxf>
    <dxf>
      <font>
        <name val="Aptos"/>
      </font>
    </dxf>
    <dxf>
      <font>
        <name val="Aptos"/>
      </font>
    </dxf>
    <dxf>
      <font>
        <name val="Aptos"/>
      </font>
    </dxf>
    <dxf>
      <font>
        <name val="Aptos"/>
      </font>
    </dxf>
    <dxf>
      <font>
        <name val="Aptos"/>
      </font>
    </dxf>
    <dxf>
      <font>
        <name val="Aptos"/>
      </font>
    </dxf>
    <dxf>
      <font>
        <name val="Aptos"/>
      </font>
    </dxf>
    <dxf>
      <font>
        <name val="Aptos"/>
      </font>
    </dxf>
    <dxf>
      <font>
        <name val="Aptos"/>
      </font>
    </dxf>
    <dxf>
      <font>
        <name val="Aptos"/>
      </font>
    </dxf>
    <dxf>
      <font>
        <name val="Aptos"/>
      </font>
    </dxf>
    <dxf>
      <alignment vertical="center"/>
    </dxf>
    <dxf>
      <alignment vertical="center"/>
    </dxf>
    <dxf>
      <alignment vertical="center"/>
    </dxf>
    <dxf>
      <font>
        <sz val="10"/>
      </font>
    </dxf>
    <dxf>
      <font>
        <sz val="10"/>
      </font>
    </dxf>
    <dxf>
      <font>
        <sz val="10"/>
      </font>
    </dxf>
    <dxf>
      <font>
        <name val="Aptos"/>
      </font>
    </dxf>
    <dxf>
      <font>
        <name val="Aptos"/>
      </font>
    </dxf>
    <dxf>
      <font>
        <name val="Aptos"/>
      </font>
    </dxf>
    <dxf>
      <alignment vertical="center"/>
    </dxf>
    <dxf>
      <font>
        <sz val="10"/>
      </font>
    </dxf>
    <dxf>
      <font>
        <name val="TW Cen MT"/>
        <scheme val="none"/>
      </font>
    </dxf>
    <dxf>
      <font>
        <name val="微软雅黑"/>
        <scheme val="none"/>
      </font>
    </dxf>
    <dxf>
      <alignment vertical="center"/>
    </dxf>
    <dxf>
      <font>
        <sz val="10"/>
      </font>
    </dxf>
    <dxf>
      <font>
        <name val="TW Cen MT"/>
        <scheme val="none"/>
      </font>
    </dxf>
    <dxf>
      <font>
        <name val="微软雅黑"/>
        <scheme val="none"/>
      </font>
    </dxf>
    <dxf>
      <alignment vertical="center"/>
    </dxf>
    <dxf>
      <font>
        <sz val="10"/>
      </font>
    </dxf>
    <dxf>
      <font>
        <name val="TW Cen MT"/>
        <scheme val="none"/>
      </font>
    </dxf>
    <dxf>
      <font>
        <name val="微软雅黑"/>
        <scheme val="none"/>
      </font>
    </dxf>
    <dxf>
      <font>
        <name val="TW Cen MT"/>
        <scheme val="none"/>
      </font>
    </dxf>
    <dxf>
      <alignment vertical="center"/>
    </dxf>
    <dxf>
      <alignment vertical="center"/>
    </dxf>
    <dxf>
      <alignment vertical="center"/>
    </dxf>
    <dxf>
      <alignment vertical="center"/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name val="TW Cen MT"/>
        <scheme val="none"/>
      </font>
    </dxf>
    <dxf>
      <font>
        <name val="TW Cen MT"/>
        <scheme val="none"/>
      </font>
    </dxf>
    <dxf>
      <font>
        <name val="TW Cen MT"/>
        <scheme val="none"/>
      </font>
    </dxf>
    <dxf>
      <font>
        <name val="TW Cen MT"/>
        <scheme val="none"/>
      </font>
    </dxf>
    <dxf>
      <alignment vertical="center"/>
    </dxf>
    <dxf>
      <alignment vertical="center"/>
    </dxf>
    <dxf>
      <alignment vertical="center"/>
    </dxf>
    <dxf>
      <alignment vertical="center"/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name val="TW Cen MT"/>
        <scheme val="none"/>
      </font>
    </dxf>
    <dxf>
      <font>
        <name val="TW Cen MT"/>
        <scheme val="none"/>
      </font>
    </dxf>
    <dxf>
      <font>
        <name val="TW Cen MT"/>
        <scheme val="none"/>
      </font>
    </dxf>
    <dxf>
      <font>
        <name val="TW Cen MT"/>
        <scheme val="none"/>
      </font>
    </dxf>
    <dxf>
      <alignment vertical="center"/>
    </dxf>
    <dxf>
      <alignment vertical="center"/>
    </dxf>
    <dxf>
      <alignment vertical="center"/>
    </dxf>
    <dxf>
      <alignment vertical="center"/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name val="TW Cen MT"/>
        <scheme val="none"/>
      </font>
    </dxf>
    <dxf>
      <font>
        <name val="TW Cen MT"/>
        <scheme val="none"/>
      </font>
    </dxf>
    <dxf>
      <font>
        <name val="TW Cen MT"/>
        <scheme val="none"/>
      </font>
    </dxf>
    <dxf>
      <font>
        <name val="TW Cen MT"/>
        <scheme val="none"/>
      </font>
    </dxf>
    <dxf>
      <alignment vertical="center"/>
    </dxf>
    <dxf>
      <alignment vertical="center"/>
    </dxf>
    <dxf>
      <alignment vertical="center"/>
    </dxf>
    <dxf>
      <alignment vertical="center"/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name val="TW Cen MT"/>
        <scheme val="none"/>
      </font>
    </dxf>
    <dxf>
      <font>
        <name val="TW Cen MT"/>
        <scheme val="none"/>
      </font>
    </dxf>
    <dxf>
      <font>
        <name val="TW Cen MT"/>
        <scheme val="none"/>
      </font>
    </dxf>
    <dxf>
      <font>
        <name val="TW Cen MT"/>
        <scheme val="none"/>
      </font>
    </dxf>
    <dxf>
      <alignment vertical="center"/>
    </dxf>
    <dxf>
      <alignment vertical="center"/>
    </dxf>
    <dxf>
      <alignment vertical="center"/>
    </dxf>
    <dxf>
      <alignment vertical="center"/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name val="TW Cen MT"/>
        <scheme val="none"/>
      </font>
    </dxf>
    <dxf>
      <font>
        <name val="TW Cen MT"/>
        <scheme val="none"/>
      </font>
    </dxf>
    <dxf>
      <font>
        <name val="TW Cen MT"/>
        <scheme val="none"/>
      </font>
    </dxf>
    <dxf>
      <font>
        <name val="TW Cen MT"/>
        <scheme val="none"/>
      </font>
    </dxf>
    <dxf>
      <font>
        <name val="Aptos"/>
      </font>
    </dxf>
    <dxf>
      <font>
        <name val="Aptos"/>
      </font>
    </dxf>
    <dxf>
      <font>
        <name val="Aptos"/>
      </font>
    </dxf>
    <dxf>
      <font>
        <name val="Aptos"/>
      </font>
    </dxf>
    <dxf>
      <font>
        <name val="Aptos"/>
      </font>
    </dxf>
    <dxf>
      <font>
        <name val="Aptos"/>
      </font>
    </dxf>
    <dxf>
      <font>
        <name val="Aptos"/>
      </font>
    </dxf>
    <dxf>
      <font>
        <name val="Aptos"/>
      </font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name val="Aptos"/>
      </font>
    </dxf>
    <dxf>
      <font>
        <name val="Aptos"/>
      </font>
    </dxf>
    <dxf>
      <font>
        <name val="Aptos"/>
      </font>
    </dxf>
    <dxf>
      <font>
        <name val="Aptos"/>
      </font>
    </dxf>
    <dxf>
      <font>
        <name val="Aptos"/>
      </font>
    </dxf>
    <dxf>
      <font>
        <name val="Aptos"/>
      </font>
    </dxf>
    <dxf>
      <font>
        <name val="Aptos"/>
      </font>
    </dxf>
    <dxf>
      <font>
        <name val="Aptos"/>
      </font>
    </dxf>
    <dxf>
      <fill>
        <patternFill patternType="solid">
          <bgColor rgb="FF92D050"/>
        </patternFill>
      </fill>
    </dxf>
    <dxf>
      <font>
        <color theme="0"/>
      </font>
    </dxf>
    <dxf>
      <alignment indent="0"/>
    </dxf>
    <dxf>
      <alignment indent="0"/>
    </dxf>
    <dxf>
      <alignment indent="0"/>
    </dxf>
    <dxf>
      <alignment indent="0"/>
    </dxf>
    <dxf>
      <alignment indent="0"/>
    </dxf>
    <dxf>
      <alignment indent="0"/>
    </dxf>
    <dxf>
      <font>
        <name val="Aptos"/>
      </font>
    </dxf>
    <dxf>
      <font>
        <name val="Aptos"/>
      </font>
    </dxf>
    <dxf>
      <font>
        <name val="Aptos"/>
      </font>
    </dxf>
    <dxf>
      <font>
        <name val="Aptos"/>
      </font>
    </dxf>
    <dxf>
      <font>
        <name val="Aptos"/>
      </font>
    </dxf>
    <dxf>
      <font>
        <name val="Aptos"/>
      </font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name val="Aptos"/>
      </font>
    </dxf>
    <dxf>
      <font>
        <name val="Aptos"/>
      </font>
    </dxf>
    <dxf>
      <font>
        <name val="Aptos"/>
      </font>
    </dxf>
    <dxf>
      <font>
        <name val="Aptos"/>
      </font>
    </dxf>
    <dxf>
      <font>
        <name val="Aptos"/>
      </font>
    </dxf>
    <dxf>
      <font>
        <name val="Aptos"/>
      </font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name val="TW Cen MT"/>
        <scheme val="none"/>
      </font>
    </dxf>
    <dxf>
      <font>
        <name val="TW Cen MT"/>
        <scheme val="none"/>
      </font>
    </dxf>
    <dxf>
      <font>
        <name val="TW Cen MT"/>
        <scheme val="none"/>
      </font>
    </dxf>
    <dxf>
      <font>
        <name val="TW Cen MT"/>
        <scheme val="none"/>
      </font>
    </dxf>
    <dxf>
      <font>
        <name val="TW Cen MT"/>
        <scheme val="none"/>
      </font>
    </dxf>
    <dxf>
      <font>
        <name val="TW Cen MT"/>
        <scheme val="none"/>
      </font>
    </dxf>
    <dxf>
      <alignment vertical="center"/>
    </dxf>
    <dxf>
      <alignment vertical="center"/>
    </dxf>
    <dxf>
      <numFmt numFmtId="178" formatCode="0.00_);[Red]\(0.00\)"/>
    </dxf>
    <dxf>
      <numFmt numFmtId="178" formatCode="0.00_);[Red]\(0.00\)"/>
    </dxf>
    <dxf>
      <numFmt numFmtId="178" formatCode="0.00_);[Red]\(0.00\)"/>
    </dxf>
    <dxf>
      <numFmt numFmtId="178" formatCode="0.00_);[Red]\(0.00\)"/>
    </dxf>
    <dxf>
      <alignment wrapText="1"/>
    </dxf>
    <dxf>
      <alignment wrapText="1"/>
    </dxf>
    <dxf>
      <numFmt numFmtId="178" formatCode="0.00_);[Red]\(0.00\)"/>
    </dxf>
    <dxf>
      <numFmt numFmtId="178" formatCode="0.00_);[Red]\(0.00\)"/>
    </dxf>
    <dxf>
      <font>
        <name val="Calibri"/>
        <family val="2"/>
        <scheme val="none"/>
      </font>
    </dxf>
    <dxf>
      <font>
        <name val="Calibri"/>
        <family val="2"/>
        <scheme val="none"/>
      </font>
    </dxf>
    <dxf>
      <font>
        <name val="Calibri"/>
        <family val="2"/>
        <scheme val="none"/>
      </font>
    </dxf>
    <dxf>
      <font>
        <name val="Aptos"/>
      </font>
    </dxf>
    <dxf>
      <font>
        <name val="Aptos"/>
      </font>
    </dxf>
    <dxf>
      <font>
        <name val="Aptos"/>
      </font>
    </dxf>
    <dxf>
      <font>
        <name val="Aptos"/>
      </font>
    </dxf>
    <dxf>
      <font>
        <name val="Aptos"/>
      </font>
    </dxf>
    <dxf>
      <font>
        <name val="Aptos"/>
      </font>
    </dxf>
    <dxf>
      <font>
        <name val="Aptos"/>
      </font>
    </dxf>
    <dxf>
      <font>
        <name val="Aptos"/>
      </font>
    </dxf>
    <dxf>
      <font>
        <name val="Aptos"/>
      </font>
    </dxf>
    <dxf>
      <font>
        <name val="Aptos"/>
      </font>
    </dxf>
    <dxf>
      <font>
        <name val="Aptos"/>
      </font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name val="Aptos"/>
      </font>
    </dxf>
    <dxf>
      <font>
        <name val="Aptos"/>
      </font>
    </dxf>
    <dxf>
      <font>
        <name val="Aptos"/>
      </font>
    </dxf>
    <dxf>
      <font>
        <name val="Aptos"/>
      </font>
    </dxf>
    <dxf>
      <font>
        <name val="Aptos"/>
      </font>
    </dxf>
    <dxf>
      <font>
        <name val="Aptos"/>
      </font>
    </dxf>
    <dxf>
      <font>
        <name val="Aptos"/>
      </font>
    </dxf>
    <dxf>
      <font>
        <name val="Aptos"/>
      </font>
    </dxf>
    <dxf>
      <font>
        <name val="Aptos"/>
      </font>
    </dxf>
    <dxf>
      <font>
        <name val="Aptos"/>
      </font>
    </dxf>
    <dxf>
      <font>
        <name val="Aptos"/>
      </font>
    </dxf>
    <dxf>
      <alignment vertical="center" indent="0"/>
    </dxf>
    <dxf>
      <alignment vertical="center" indent="0"/>
    </dxf>
    <dxf>
      <alignment vertical="center" indent="0"/>
    </dxf>
    <dxf>
      <alignment vertical="center" indent="0"/>
    </dxf>
    <dxf>
      <alignment vertical="center" indent="0"/>
    </dxf>
    <dxf>
      <alignment vertical="center" indent="0"/>
    </dxf>
    <dxf>
      <alignment vertical="center" indent="0"/>
    </dxf>
    <dxf>
      <alignment vertical="center" indent="0"/>
    </dxf>
    <dxf>
      <alignment vertical="center" indent="0"/>
    </dxf>
    <dxf>
      <alignment vertical="center" indent="0"/>
    </dxf>
    <dxf>
      <alignment vertical="center" indent="0"/>
    </dxf>
    <dxf>
      <alignment vertical="center" indent="0"/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name val="Aptos"/>
      </font>
    </dxf>
    <dxf>
      <font>
        <name val="Aptos"/>
      </font>
    </dxf>
    <dxf>
      <font>
        <name val="Aptos"/>
      </font>
    </dxf>
    <dxf>
      <font>
        <name val="Aptos"/>
      </font>
    </dxf>
    <dxf>
      <font>
        <name val="Aptos"/>
      </font>
    </dxf>
    <dxf>
      <font>
        <name val="Aptos"/>
      </font>
    </dxf>
    <dxf>
      <font>
        <name val="Aptos"/>
      </font>
    </dxf>
    <dxf>
      <font>
        <name val="Aptos"/>
      </font>
    </dxf>
    <dxf>
      <font>
        <name val="Aptos"/>
      </font>
    </dxf>
    <dxf>
      <font>
        <name val="Aptos"/>
      </font>
    </dxf>
    <dxf>
      <font>
        <name val="Aptos"/>
      </font>
    </dxf>
    <dxf>
      <font>
        <name val="Aptos"/>
      </font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name val="TW Cen MT"/>
        <scheme val="none"/>
      </font>
    </dxf>
    <dxf>
      <font>
        <name val="TW Cen MT"/>
        <scheme val="none"/>
      </font>
    </dxf>
    <dxf>
      <font>
        <name val="TW Cen MT"/>
        <scheme val="none"/>
      </font>
    </dxf>
    <dxf>
      <font>
        <name val="TW Cen MT"/>
        <scheme val="none"/>
      </font>
    </dxf>
    <dxf>
      <font>
        <name val="TW Cen MT"/>
        <scheme val="none"/>
      </font>
    </dxf>
    <dxf>
      <font>
        <name val="TW Cen MT"/>
        <scheme val="none"/>
      </font>
    </dxf>
    <dxf>
      <font>
        <name val="TW Cen MT"/>
        <scheme val="none"/>
      </font>
    </dxf>
    <dxf>
      <font>
        <name val="TW Cen MT"/>
        <scheme val="none"/>
      </font>
    </dxf>
    <dxf>
      <font>
        <name val="TW Cen MT"/>
        <scheme val="none"/>
      </font>
    </dxf>
    <dxf>
      <font>
        <name val="TW Cen MT"/>
        <scheme val="none"/>
      </font>
    </dxf>
    <dxf>
      <font>
        <name val="TW Cen MT"/>
        <scheme val="none"/>
      </font>
    </dxf>
    <dxf>
      <font>
        <name val="TW Cen MT"/>
        <scheme val="none"/>
      </font>
    </dxf>
    <dxf>
      <numFmt numFmtId="179" formatCode="_ * #,##0_ ;_ * \-#,##0_ ;_ * &quot;-&quot;??_ ;_ @_ "/>
    </dxf>
    <dxf>
      <numFmt numFmtId="179" formatCode="_ * #,##0_ ;_ * \-#,##0_ ;_ * &quot;-&quot;??_ ;_ @_ "/>
    </dxf>
    <dxf>
      <alignment vertical="center"/>
    </dxf>
    <dxf>
      <font>
        <sz val="10"/>
      </font>
    </dxf>
    <dxf>
      <font>
        <name val="TW Cen MT"/>
        <scheme val="none"/>
      </font>
    </dxf>
    <dxf>
      <font>
        <name val="微软雅黑"/>
        <scheme val="none"/>
      </font>
    </dxf>
    <dxf>
      <alignment vertical="center"/>
    </dxf>
    <dxf>
      <font>
        <sz val="10"/>
      </font>
    </dxf>
    <dxf>
      <font>
        <name val="TW Cen MT"/>
        <scheme val="none"/>
      </font>
    </dxf>
    <dxf>
      <font>
        <name val="微软雅黑"/>
        <scheme val="none"/>
      </font>
    </dxf>
    <dxf>
      <alignment vertical="center"/>
    </dxf>
    <dxf>
      <font>
        <sz val="10"/>
      </font>
    </dxf>
    <dxf>
      <font>
        <name val="TW Cen MT"/>
        <scheme val="none"/>
      </font>
    </dxf>
    <dxf>
      <font>
        <name val="微软雅黑"/>
        <scheme val="none"/>
      </font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name val="TW Cen MT"/>
        <scheme val="none"/>
      </font>
    </dxf>
    <dxf>
      <font>
        <name val="TW Cen MT"/>
        <scheme val="none"/>
      </font>
    </dxf>
    <dxf>
      <font>
        <name val="TW Cen MT"/>
        <scheme val="none"/>
      </font>
    </dxf>
    <dxf>
      <font>
        <name val="TW Cen MT"/>
        <scheme val="none"/>
      </font>
    </dxf>
    <dxf>
      <font>
        <name val="TW Cen MT"/>
        <scheme val="none"/>
      </font>
    </dxf>
    <dxf>
      <font>
        <name val="TW Cen MT"/>
        <scheme val="none"/>
      </font>
    </dxf>
    <dxf>
      <font>
        <name val="TW Cen MT"/>
        <scheme val="none"/>
      </font>
    </dxf>
    <dxf>
      <font>
        <name val="TW Cen MT"/>
        <scheme val="none"/>
      </font>
    </dxf>
    <dxf>
      <font>
        <name val="TW Cen MT"/>
        <scheme val="none"/>
      </font>
    </dxf>
    <dxf>
      <alignment horizontal="center"/>
    </dxf>
    <dxf>
      <numFmt numFmtId="185" formatCode="_ * #,##0.0_ ;_ * \-#,##0.0_ ;_ * &quot;-&quot;??_ ;_ @_ 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name val="TW Cen MT"/>
        <scheme val="none"/>
      </font>
    </dxf>
    <dxf>
      <font>
        <name val="TW Cen MT"/>
        <scheme val="none"/>
      </font>
    </dxf>
    <dxf>
      <font>
        <name val="TW Cen MT"/>
        <scheme val="none"/>
      </font>
    </dxf>
    <dxf>
      <font>
        <name val="TW Cen MT"/>
        <scheme val="none"/>
      </font>
    </dxf>
    <dxf>
      <font>
        <name val="TW Cen MT"/>
        <scheme val="none"/>
      </font>
    </dxf>
    <dxf>
      <font>
        <name val="TW Cen MT"/>
        <scheme val="none"/>
      </font>
    </dxf>
    <dxf>
      <font>
        <b/>
        <color theme="1"/>
      </font>
      <border>
        <bottom style="thin">
          <color theme="4"/>
        </bottom>
        <vertical/>
        <horizontal/>
      </border>
    </dxf>
    <dxf>
      <font>
        <color theme="1"/>
        <name val="Tw Cen MT"/>
        <family val="2"/>
        <scheme val="none"/>
      </font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/>
        <horizontal/>
      </border>
    </dxf>
  </dxfs>
  <tableStyles count="1" defaultTableStyle="TableStyleMedium2" defaultPivotStyle="PivotStyleMedium9">
    <tableStyle name="SlicerStyleLight1 2" pivot="0" table="0" count="10" xr9:uid="{E0209980-45CA-4469-BAED-EAA3828F1022}">
      <tableStyleElement type="wholeTable" dxfId="874"/>
      <tableStyleElement type="headerRow" dxfId="873"/>
    </tableStyle>
  </tableStyles>
  <colors>
    <mruColors>
      <color rgb="FF000000"/>
      <color rgb="FFFF0000"/>
    </mruColors>
  </colors>
  <extLst>
    <ext xmlns:x14="http://schemas.microsoft.com/office/spreadsheetml/2009/9/main" uri="{46F421CA-312F-682f-3DD2-61675219B42D}">
      <x14:dxfs count="8"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patternFill patternType="solid">
              <fgColor theme="4" tint="0.79952391125217448"/>
              <bgColor theme="4" tint="0.79952391125217448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theme="4" tint="0.59999389629810485"/>
              <bgColor theme="4" tint="0.59999389629810485"/>
            </pattern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patternFill patternType="solid">
              <fgColor rgb="FFFFFFFF"/>
              <bgColor rgb="FFFFFFFF"/>
            </patternFill>
          </fill>
          <border>
            <left style="thin">
              <color rgb="FFE0E0E0"/>
            </left>
            <right style="thin">
              <color rgb="FFE0E0E0"/>
            </right>
            <top style="thin">
              <color rgb="FFE0E0E0"/>
            </top>
            <bottom style="thin">
              <color rgb="FFE0E0E0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rgb="FFFFFFFF"/>
              <bgColor rgb="FFFFFFFF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</x14:dxfs>
    </ext>
    <ext xmlns:x14="http://schemas.microsoft.com/office/spreadsheetml/2009/9/main" uri="{EB79DEF2-80B8-43e5-95BD-54CBDDF9020C}">
      <x14:slicerStyles defaultSlicerStyle="SlicerStyleLight1">
        <x14:slicerStyle name="SlicerStyleLight1 2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2.xml"/><Relationship Id="rId18" Type="http://schemas.microsoft.com/office/2007/relationships/slicerCache" Target="slicerCaches/slicerCache2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microsoft.com/office/2007/relationships/slicerCache" Target="slicerCaches/slicerCache5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1.xml"/><Relationship Id="rId17" Type="http://schemas.microsoft.com/office/2007/relationships/slicerCache" Target="slicerCaches/slicerCache1.xml"/><Relationship Id="rId25" Type="http://schemas.microsoft.com/office/2011/relationships/timelineCache" Target="timelineCaches/timelineCache3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5.xml"/><Relationship Id="rId20" Type="http://schemas.microsoft.com/office/2007/relationships/slicerCache" Target="slicerCaches/slicerCache4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11/relationships/timelineCache" Target="timelineCaches/timelineCache2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4.xml"/><Relationship Id="rId23" Type="http://schemas.microsoft.com/office/2011/relationships/timelineCache" Target="timelineCaches/timelineCache1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microsoft.com/office/2007/relationships/slicerCache" Target="slicerCaches/slicerCache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3.xml"/><Relationship Id="rId22" Type="http://schemas.microsoft.com/office/2007/relationships/slicerCache" Target="slicerCaches/slicerCache6.xml"/><Relationship Id="rId27" Type="http://schemas.openxmlformats.org/officeDocument/2006/relationships/styles" Target="styles.xml"/><Relationship Id="rId30" Type="http://schemas.microsoft.com/office/2006/relationships/vbaProject" Target="vbaProject.bin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" name="提货时间 2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0" y="0"/>
          <a:ext cx="0" cy="0"/>
        </a:xfrm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4" name="提货时间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0" y="0"/>
          <a:ext cx="0" cy="0"/>
        </a:xfrm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5" name="提货时间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0" y="0"/>
          <a:ext cx="0" cy="0"/>
        </a:xfrm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6" name="提货时间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0" y="0"/>
          <a:ext cx="0" cy="0"/>
        </a:xfrm>
      </xdr:spPr>
    </xdr:sp>
    <xdr:clientData/>
  </xdr:twoCellAnchor>
  <xdr:twoCellAnchor editAs="oneCell">
    <xdr:from>
      <xdr:col>1</xdr:col>
      <xdr:colOff>11994</xdr:colOff>
      <xdr:row>0</xdr:row>
      <xdr:rowOff>0</xdr:rowOff>
    </xdr:from>
    <xdr:to>
      <xdr:col>12</xdr:col>
      <xdr:colOff>211664</xdr:colOff>
      <xdr:row>10</xdr:row>
      <xdr:rowOff>169333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7" name="提货时间 1">
              <a:extLst>
                <a:ext uri="{FF2B5EF4-FFF2-40B4-BE49-F238E27FC236}">
                  <a16:creationId xmlns:a16="http://schemas.microsoft.com/office/drawing/2014/main" id="{65751957-40B9-809F-DA44-723D61365EB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提货时间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39939" y="0"/>
              <a:ext cx="8228894" cy="1933222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zh-CN" altLang="en-US" sz="1100"/>
                <a:t>日程表: 适用于 Excel 2013 或更高版本。请勿移动或调整大小。</a:t>
              </a:r>
            </a:p>
          </xdr:txBody>
        </xdr:sp>
      </mc:Fallback>
    </mc:AlternateContent>
    <xdr:clientData/>
  </xdr:twoCellAnchor>
  <xdr:twoCellAnchor editAs="oneCell">
    <xdr:from>
      <xdr:col>13</xdr:col>
      <xdr:colOff>273756</xdr:colOff>
      <xdr:row>0</xdr:row>
      <xdr:rowOff>62795</xdr:rowOff>
    </xdr:from>
    <xdr:to>
      <xdr:col>18</xdr:col>
      <xdr:colOff>510824</xdr:colOff>
      <xdr:row>11</xdr:row>
      <xdr:rowOff>21166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国家">
              <a:extLst>
                <a:ext uri="{FF2B5EF4-FFF2-40B4-BE49-F238E27FC236}">
                  <a16:creationId xmlns:a16="http://schemas.microsoft.com/office/drawing/2014/main" id="{7AD04264-1B30-E3C6-5571-4196586C1EE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国家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662812" y="62795"/>
              <a:ext cx="3331634" cy="189864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zh-CN" altLang="en-US" sz="1100"/>
                <a:t>此形状代表切片器。Excel 2010 或更高版本支持切片器。
如果形状是在较早版本的 Excel 中修改，或者工作簿是在 Excel 2003 或更早版本中保存，则无法使用切片器。</a:t>
              </a:r>
            </a:p>
          </xdr:txBody>
        </xdr:sp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" name="提货时间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0" y="0"/>
          <a:ext cx="0" cy="0"/>
        </a:xfrm>
      </xdr:spPr>
    </xdr:sp>
    <xdr:clientData/>
  </xdr:twoCellAnchor>
  <xdr:twoCellAnchor editAs="absolute">
    <xdr:from>
      <xdr:col>12</xdr:col>
      <xdr:colOff>196533</xdr:colOff>
      <xdr:row>0</xdr:row>
      <xdr:rowOff>45720</xdr:rowOff>
    </xdr:from>
    <xdr:to>
      <xdr:col>15</xdr:col>
      <xdr:colOff>603250</xdr:colOff>
      <xdr:row>1</xdr:row>
      <xdr:rowOff>754380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国家 1">
              <a:extLst>
                <a:ext uri="{FF2B5EF4-FFF2-40B4-BE49-F238E27FC236}">
                  <a16:creationId xmlns:a16="http://schemas.microsoft.com/office/drawing/2014/main" id="{00000000-0008-0000-01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国家 1"/>
            </a:graphicData>
          </a:graphic>
        </xdr:graphicFrame>
      </mc:Choice>
      <mc:Fallback xmlns="" xmlns:r="http://schemas.openxmlformats.org/officeDocument/2006/relationships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432415" y="45720"/>
              <a:ext cx="2322195" cy="164846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sz="1100"/>
                <a:t>此形状表示切片器。
当前版本不支持切片器，请升级到最新版的WPS。</a:t>
              </a:r>
            </a:p>
          </xdr:txBody>
        </xdr:sp>
      </mc:Fallback>
    </mc:AlternateContent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6" name="提货时间 1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0" y="0"/>
          <a:ext cx="0" cy="0"/>
        </a:xfrm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7" name="提货时间 1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>
          <a:off x="0" y="0"/>
          <a:ext cx="0" cy="0"/>
        </a:xfrm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8" name="提货时间 1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0" y="0"/>
          <a:ext cx="0" cy="0"/>
        </a:xfrm>
      </xdr:spPr>
    </xdr:sp>
    <xdr:clientData/>
  </xdr:twoCellAnchor>
  <xdr:twoCellAnchor editAs="oneCell">
    <xdr:from>
      <xdr:col>0</xdr:col>
      <xdr:colOff>252412</xdr:colOff>
      <xdr:row>0</xdr:row>
      <xdr:rowOff>0</xdr:rowOff>
    </xdr:from>
    <xdr:to>
      <xdr:col>7</xdr:col>
      <xdr:colOff>151448</xdr:colOff>
      <xdr:row>1</xdr:row>
      <xdr:rowOff>814387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9" name="提货时间">
              <a:extLst>
                <a:ext uri="{FF2B5EF4-FFF2-40B4-BE49-F238E27FC236}">
                  <a16:creationId xmlns:a16="http://schemas.microsoft.com/office/drawing/2014/main" id="{A5AE9CF8-FAD4-EB57-11CA-E13746B7D05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提货时间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52412" y="0"/>
              <a:ext cx="6315076" cy="1752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zh-CN" altLang="en-US" sz="1100"/>
                <a:t>日程表: 适用于 Excel 2013 或更高版本。请勿移动或调整大小。</a:t>
              </a:r>
            </a:p>
          </xdr:txBody>
        </xdr:sp>
      </mc:Fallback>
    </mc:AlternateContent>
    <xdr:clientData/>
  </xdr:twoCellAnchor>
  <xdr:twoCellAnchor editAs="oneCell">
    <xdr:from>
      <xdr:col>11</xdr:col>
      <xdr:colOff>259080</xdr:colOff>
      <xdr:row>2</xdr:row>
      <xdr:rowOff>22860</xdr:rowOff>
    </xdr:from>
    <xdr:to>
      <xdr:col>16</xdr:col>
      <xdr:colOff>266700</xdr:colOff>
      <xdr:row>13</xdr:row>
      <xdr:rowOff>74295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父型号-有公式">
              <a:extLst>
                <a:ext uri="{FF2B5EF4-FFF2-40B4-BE49-F238E27FC236}">
                  <a16:creationId xmlns:a16="http://schemas.microsoft.com/office/drawing/2014/main" id="{386B58AD-66D1-E86C-EE34-1E8247AF4AAA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父型号-有公式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639300" y="1897380"/>
              <a:ext cx="3131820" cy="22383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zh-CN" altLang="en-US" sz="1100"/>
                <a:t>此形状代表切片器。Excel 2010 或更高版本支持切片器。
如果形状是在较早版本的 Excel 中修改，或者工作簿是在 Excel 2003 或更早版本中保存，则无法使用切片器。</a:t>
              </a:r>
            </a:p>
          </xdr:txBody>
        </xdr:sp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" name="提货日期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0" y="0"/>
          <a:ext cx="0" cy="0"/>
        </a:xfrm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6" name="提货日期 1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0" y="0"/>
          <a:ext cx="0" cy="0"/>
        </a:xfrm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5" name="提货日期 1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0" y="0"/>
          <a:ext cx="0" cy="0"/>
        </a:xfrm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7" name="提货日期 1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0" y="0"/>
          <a:ext cx="0" cy="0"/>
        </a:xfrm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8" name="提货日期 1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/>
      </xdr:nvSpPr>
      <xdr:spPr>
        <a:xfrm>
          <a:off x="0" y="0"/>
          <a:ext cx="0" cy="0"/>
        </a:xfrm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9" name="提货日期 1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SpPr/>
      </xdr:nvSpPr>
      <xdr:spPr>
        <a:xfrm>
          <a:off x="0" y="0"/>
          <a:ext cx="0" cy="0"/>
        </a:xfrm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10" name="提货日期 1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SpPr/>
      </xdr:nvSpPr>
      <xdr:spPr>
        <a:xfrm>
          <a:off x="0" y="0"/>
          <a:ext cx="0" cy="0"/>
        </a:xfrm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11" name="提货日期 1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SpPr/>
      </xdr:nvSpPr>
      <xdr:spPr>
        <a:xfrm>
          <a:off x="0" y="0"/>
          <a:ext cx="0" cy="0"/>
        </a:xfrm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12" name="提货时间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/>
      </xdr:nvSpPr>
      <xdr:spPr>
        <a:xfrm>
          <a:off x="0" y="0"/>
          <a:ext cx="0" cy="0"/>
        </a:xfrm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13" name="提货时间 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/>
      </xdr:nvSpPr>
      <xdr:spPr>
        <a:xfrm>
          <a:off x="0" y="0"/>
          <a:ext cx="0" cy="0"/>
        </a:xfrm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14" name="提货时间 2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SpPr/>
      </xdr:nvSpPr>
      <xdr:spPr>
        <a:xfrm>
          <a:off x="0" y="0"/>
          <a:ext cx="0" cy="0"/>
        </a:xfrm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15" name="提货时间 2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SpPr/>
      </xdr:nvSpPr>
      <xdr:spPr>
        <a:xfrm>
          <a:off x="0" y="0"/>
          <a:ext cx="0" cy="0"/>
        </a:xfrm>
      </xdr:spPr>
    </xdr:sp>
    <xdr:clientData/>
  </xdr:twoCellAnchor>
  <xdr:twoCellAnchor editAs="absolute">
    <xdr:from>
      <xdr:col>0</xdr:col>
      <xdr:colOff>0</xdr:colOff>
      <xdr:row>0</xdr:row>
      <xdr:rowOff>25400</xdr:rowOff>
    </xdr:from>
    <xdr:to>
      <xdr:col>4</xdr:col>
      <xdr:colOff>209550</xdr:colOff>
      <xdr:row>8</xdr:row>
      <xdr:rowOff>101600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16" name="提货时间 2">
              <a:extLst>
                <a:ext uri="{FF2B5EF4-FFF2-40B4-BE49-F238E27FC236}">
                  <a16:creationId xmlns:a16="http://schemas.microsoft.com/office/drawing/2014/main" id="{A94D338F-3291-E494-AB69-F658BBBB052D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提货时间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25400"/>
              <a:ext cx="4692650" cy="1498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zh-CN" altLang="en-US" sz="1100"/>
                <a:t>日程表: 适用于 Excel 2013 或更高版本。请勿移动或调整大小。</a:t>
              </a:r>
            </a:p>
          </xdr:txBody>
        </xdr:sp>
      </mc:Fallback>
    </mc:AlternateContent>
    <xdr:clientData/>
  </xdr:twoCellAnchor>
  <xdr:twoCellAnchor editAs="oneCell">
    <xdr:from>
      <xdr:col>6</xdr:col>
      <xdr:colOff>377190</xdr:colOff>
      <xdr:row>0</xdr:row>
      <xdr:rowOff>86361</xdr:rowOff>
    </xdr:from>
    <xdr:to>
      <xdr:col>12</xdr:col>
      <xdr:colOff>190500</xdr:colOff>
      <xdr:row>8</xdr:row>
      <xdr:rowOff>93981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父型号-有公式 1">
              <a:extLst>
                <a:ext uri="{FF2B5EF4-FFF2-40B4-BE49-F238E27FC236}">
                  <a16:creationId xmlns:a16="http://schemas.microsoft.com/office/drawing/2014/main" id="{38CC1535-D377-9D44-E97F-E1700B2AE93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父型号-有公式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146040" y="86361"/>
              <a:ext cx="3585210" cy="143002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zh-CN" altLang="en-US" sz="1100"/>
                <a:t>此形状代表切片器。Excel 2010 或更高版本支持切片器。
如果形状是在较早版本的 Excel 中修改，或者工作簿是在 Excel 2003 或更早版本中保存，则无法使用切片器。</a:t>
              </a:r>
            </a:p>
          </xdr:txBody>
        </xdr:sp>
      </mc:Fallback>
    </mc:AlternateContent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336550</xdr:colOff>
      <xdr:row>26</xdr:row>
      <xdr:rowOff>114300</xdr:rowOff>
    </xdr:from>
    <xdr:to>
      <xdr:col>18</xdr:col>
      <xdr:colOff>31750</xdr:colOff>
      <xdr:row>31</xdr:row>
      <xdr:rowOff>171450</xdr:rowOff>
    </xdr:to>
    <xdr:pic macro="[0]!到港追踪自动回填数据">
      <xdr:nvPicPr>
        <xdr:cNvPr id="4" name="图形 3" descr="剪贴板 纯色填充">
          <a:extLst>
            <a:ext uri="{FF2B5EF4-FFF2-40B4-BE49-F238E27FC236}">
              <a16:creationId xmlns:a16="http://schemas.microsoft.com/office/drawing/2014/main" id="{C4E6885D-36E6-C40A-B340-7D0B85B9D8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2369800" y="4406900"/>
          <a:ext cx="914400" cy="914400"/>
        </a:xfrm>
        <a:prstGeom prst="rect">
          <a:avLst/>
        </a:prstGeom>
      </xdr:spPr>
    </xdr:pic>
    <xdr:clientData/>
  </xdr:twoCellAnchor>
  <xdr:twoCellAnchor editAs="oneCell">
    <xdr:from>
      <xdr:col>4</xdr:col>
      <xdr:colOff>603250</xdr:colOff>
      <xdr:row>0</xdr:row>
      <xdr:rowOff>50800</xdr:rowOff>
    </xdr:from>
    <xdr:to>
      <xdr:col>9</xdr:col>
      <xdr:colOff>436880</xdr:colOff>
      <xdr:row>7</xdr:row>
      <xdr:rowOff>108585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货代名称">
              <a:extLst>
                <a:ext uri="{FF2B5EF4-FFF2-40B4-BE49-F238E27FC236}">
                  <a16:creationId xmlns:a16="http://schemas.microsoft.com/office/drawing/2014/main" id="{2FDAC2D7-7308-4DB4-DEC3-49319D56F07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货代名称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587750" y="50800"/>
              <a:ext cx="3384550" cy="11303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zh-CN" altLang="en-US" sz="1100"/>
                <a:t>此形状代表切片器。Excel 2010 或更高版本支持切片器。
如果形状是在较早版本的 Excel 中修改，或者工作簿是在 Excel 2003 或更早版本中保存，则无法使用切片器。</a:t>
              </a:r>
            </a:p>
          </xdr:txBody>
        </xdr:sp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184150</xdr:colOff>
      <xdr:row>2</xdr:row>
      <xdr:rowOff>19050</xdr:rowOff>
    </xdr:from>
    <xdr:to>
      <xdr:col>14</xdr:col>
      <xdr:colOff>165100</xdr:colOff>
      <xdr:row>11</xdr:row>
      <xdr:rowOff>115887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货代名称 1">
              <a:extLst>
                <a:ext uri="{FF2B5EF4-FFF2-40B4-BE49-F238E27FC236}">
                  <a16:creationId xmlns:a16="http://schemas.microsoft.com/office/drawing/2014/main" id="{5CD46B10-B1DE-49D1-BA8F-F06B43A6FA7E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货代名称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026400" y="387350"/>
              <a:ext cx="1828800" cy="15367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zh-CN" altLang="en-US" sz="1100"/>
                <a:t>此形状代表切片器。Excel 2010 或更高版本支持切片器。
如果形状是在较早版本的 Excel 中修改，或者工作簿是在 Excel 2003 或更早版本中保存，则无法使用切片器。</a:t>
              </a:r>
            </a:p>
          </xdr:txBody>
        </xdr:sp>
      </mc:Fallback>
    </mc:AlternateContent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186764</xdr:rowOff>
    </xdr:from>
    <xdr:to>
      <xdr:col>1</xdr:col>
      <xdr:colOff>851646</xdr:colOff>
      <xdr:row>0</xdr:row>
      <xdr:rowOff>582705</xdr:rowOff>
    </xdr:to>
    <xdr:sp macro="[0]!从发货表拉取数据" textlink="">
      <xdr:nvSpPr>
        <xdr:cNvPr id="2" name="矩形: 圆角 1">
          <a:extLst>
            <a:ext uri="{FF2B5EF4-FFF2-40B4-BE49-F238E27FC236}">
              <a16:creationId xmlns:a16="http://schemas.microsoft.com/office/drawing/2014/main" id="{045E2D45-500B-0F1E-A3F4-BE8D925FDCD0}"/>
            </a:ext>
          </a:extLst>
        </xdr:cNvPr>
        <xdr:cNvSpPr/>
      </xdr:nvSpPr>
      <xdr:spPr>
        <a:xfrm>
          <a:off x="0" y="186764"/>
          <a:ext cx="1479175" cy="395941"/>
        </a:xfrm>
        <a:prstGeom prst="roundRect">
          <a:avLst/>
        </a:prstGeom>
        <a:solidFill>
          <a:schemeClr val="bg1"/>
        </a:solidFill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zh-CN" altLang="en-US" sz="1200">
              <a:latin typeface="微软雅黑" panose="020B0503020204020204" pitchFamily="34" charset="-122"/>
              <a:ea typeface="微软雅黑" panose="020B0503020204020204" pitchFamily="34" charset="-122"/>
            </a:rPr>
            <a:t>从发货表拉取数据</a:t>
          </a:r>
        </a:p>
      </xdr:txBody>
    </xdr:sp>
    <xdr:clientData/>
  </xdr:twoCellAnchor>
  <xdr:twoCellAnchor>
    <xdr:from>
      <xdr:col>15</xdr:col>
      <xdr:colOff>98611</xdr:colOff>
      <xdr:row>0</xdr:row>
      <xdr:rowOff>179294</xdr:rowOff>
    </xdr:from>
    <xdr:to>
      <xdr:col>15</xdr:col>
      <xdr:colOff>941293</xdr:colOff>
      <xdr:row>0</xdr:row>
      <xdr:rowOff>575235</xdr:rowOff>
    </xdr:to>
    <xdr:sp macro="[0]!检查CBM计费重与重量汇总" textlink="">
      <xdr:nvSpPr>
        <xdr:cNvPr id="4" name="矩形: 圆角 3">
          <a:extLst>
            <a:ext uri="{FF2B5EF4-FFF2-40B4-BE49-F238E27FC236}">
              <a16:creationId xmlns:a16="http://schemas.microsoft.com/office/drawing/2014/main" id="{0ED2DF76-03D5-42AD-9CAB-B015A3DFA190}"/>
            </a:ext>
          </a:extLst>
        </xdr:cNvPr>
        <xdr:cNvSpPr/>
      </xdr:nvSpPr>
      <xdr:spPr>
        <a:xfrm>
          <a:off x="13473952" y="179294"/>
          <a:ext cx="842682" cy="395941"/>
        </a:xfrm>
        <a:prstGeom prst="roundRect">
          <a:avLst/>
        </a:prstGeom>
        <a:solidFill>
          <a:schemeClr val="bg1"/>
        </a:solidFill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zh-CN" altLang="en-US" sz="1200">
              <a:latin typeface="微软雅黑" panose="020B0503020204020204" pitchFamily="34" charset="-122"/>
              <a:ea typeface="微软雅黑" panose="020B0503020204020204" pitchFamily="34" charset="-122"/>
            </a:rPr>
            <a:t>异常检查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oney Tree TY" refreshedDate="46133.499857523151" createdVersion="8" refreshedVersion="8" minRefreshableVersion="3" recordCount="470" xr:uid="{AFAEC095-4248-4DE0-9280-D9C2F2E1197F}">
  <cacheSource type="worksheet">
    <worksheetSource ref="A1:AG1048576" sheet="亚马逊头程2026"/>
  </cacheSource>
  <cacheFields count="38">
    <cacheField name="序号" numFmtId="0">
      <sharedItems containsString="0" containsBlank="1" containsNumber="1" containsInteger="1" minValue="1" maxValue="469"/>
    </cacheField>
    <cacheField name="备注" numFmtId="0">
      <sharedItems containsBlank="1"/>
    </cacheField>
    <cacheField name="报关周次" numFmtId="0">
      <sharedItems containsBlank="1"/>
    </cacheField>
    <cacheField name="货件单号" numFmtId="49">
      <sharedItems containsBlank="1"/>
    </cacheField>
    <cacheField name="店铺" numFmtId="0">
      <sharedItems containsBlank="1"/>
    </cacheField>
    <cacheField name="国家" numFmtId="0">
      <sharedItems containsBlank="1" count="7">
        <s v="美国"/>
        <s v="德国"/>
        <s v="英国"/>
        <s v="加拿大"/>
        <s v="澳洲"/>
        <s v="阿联酋"/>
        <m/>
      </sharedItems>
    </cacheField>
    <cacheField name="SKU" numFmtId="49">
      <sharedItems containsBlank="1"/>
    </cacheField>
    <cacheField name="申报量" numFmtId="0">
      <sharedItems containsString="0" containsBlank="1" containsNumber="1" containsInteger="1" minValue="10" maxValue="3300"/>
    </cacheField>
    <cacheField name="货代名称" numFmtId="0">
      <sharedItems containsBlank="1"/>
    </cacheField>
    <cacheField name="路线归类" numFmtId="0">
      <sharedItems containsBlank="1"/>
    </cacheField>
    <cacheField name="物流中心编码" numFmtId="49">
      <sharedItems containsBlank="1"/>
    </cacheField>
    <cacheField name="子型号-有公式" numFmtId="0">
      <sharedItems containsBlank="1" count="138">
        <s v="ANZ-B"/>
        <s v="ANX-B"/>
        <s v="ANX-2PC-BS"/>
        <s v="ANX-RP"/>
        <s v="ANX-SG"/>
        <s v="ADXKIT_B_TX33_30ML"/>
        <s v="AN6KIT-B_2X20K01"/>
        <s v="AN6KIT-B_4X10ML"/>
        <s v="AN6KIT-B_RZ30ml"/>
        <s v="AN6KIT-WH_SJ30ML"/>
        <s v="AN8KIT-B_4X10K01"/>
        <s v="AN8KIT-B_4X10K02"/>
        <s v="AN8KIT-WH_4X10K01"/>
        <s v="ANXKIT-B_RZ30ml"/>
        <s v="AN8KIT-B_2X20K01"/>
        <s v="AN8KIT-WH_2X20K01"/>
        <s v="AN6-2PC-BB"/>
        <s v="AN6-B"/>
        <s v="AN6-W"/>
        <s v="AN6-YG"/>
        <s v="AND-B"/>
        <s v="AND-DT"/>
        <s v="ANZKIT-B_HILTON30ML"/>
        <s v="SJ1-100ML_TZ"/>
        <s v="W1-100ML_TZ"/>
        <s v="AC1-WH_US"/>
        <s v="AC1KIT_WH_WH_US"/>
        <s v="AC1-WH_EU"/>
        <s v="AC1KIT-WH_WH_EU"/>
        <s v="AN6KIT-WH_4X10ML"/>
        <s v="ANXKIT-T_4X10ML"/>
        <s v="AN8-B"/>
        <s v="AN8KIT-B_B"/>
        <s v="AN8-WH"/>
        <s v="AN8NZ-B"/>
        <s v="AN6-GL"/>
        <s v="ANX-IB"/>
        <s v="ANX-DT"/>
        <s v="ANZKIT-B_4X10K04_TZ"/>
        <s v="ANA-WH_EU"/>
        <s v="ANW-B"/>
        <s v="ANW-W"/>
        <s v="ANAKIT-B_US_2X100K03"/>
        <s v="ANAKIT-WH_US_2X100K03"/>
        <s v="ANWKIT-WH_US_2X100K03"/>
        <s v="HOTEL6KIT1-6X10K01"/>
        <s v="A-RZ3-100"/>
        <s v="BCRT1-100ML"/>
        <s v="BLG1-100ML"/>
        <s v="A-JY-100"/>
        <s v="A-MWAY-100"/>
        <s v="WST1-100ML"/>
        <s v="ANX-2PC-BB"/>
        <s v="ANZ-WH"/>
        <s v="ADXKIT-B_4X10K04_TZ"/>
        <s v="ADXKIT-DT_4X10K04_TZ"/>
        <s v="AN6KIT-WH_SJ30ML_TZ"/>
        <s v="AN8KIT-B_2X20K03"/>
        <s v="AND-LV"/>
        <s v="AND-MT"/>
        <s v="RZ-500ML"/>
        <s v="HILTON1-100ML_TZ"/>
        <s v="BCRT1-100ML_TZ"/>
        <s v="G1-B"/>
        <s v="G1-DT"/>
        <s v="G1-SILV"/>
        <s v="H2-B"/>
        <s v="H2-SILV"/>
        <s v="AN6-LV"/>
        <s v="AN6NZ-B"/>
        <s v="ANXKIT-B_4X10K04_TZ"/>
        <s v="ANXKIT-T_4X10K04_TZ"/>
        <s v="AP2F-H14"/>
        <s v="AP2F-H13"/>
        <s v="AN6KIT-B_4X10K04_TZ"/>
        <s v="AN6KIT-WH_4X10K04_TZ"/>
        <s v="X1-B"/>
        <s v="X1-SG"/>
        <s v="X3-B"/>
        <s v="M1-B"/>
        <s v="M1-T"/>
        <s v="MD1-B"/>
        <s v="MD1-SILV"/>
        <s v="MD1-T"/>
        <s v="MK1-B"/>
        <s v="MK1-SILV"/>
        <s v="MK1-T"/>
        <s v="A-MT-100"/>
        <s v="A-WHOTEL-100"/>
        <s v="YH1-100ML_TZ"/>
        <s v="WST1-100ML_TZ"/>
        <s v="AP2US-H13"/>
        <s v="ANX-SILV"/>
        <s v="ANXKIT-B_4X10ML"/>
        <s v="AN8KIT-B_B_2X30K02"/>
        <s v="M1-SILV"/>
        <s v="AP2US-H14"/>
        <s v="RD1PJ-BOT"/>
        <s v="RD1KIT-T_2X30K04"/>
        <s v="AN6NZ-W"/>
        <s v="AN6-LB"/>
        <s v="RD1-B"/>
        <s v="TX331_100ML"/>
        <s v="YZTT1_100ML"/>
        <s v="TXY1_100ML"/>
        <s v="ATS1_100ML_TZ"/>
        <s v="K1-B"/>
        <s v="K1-S+S"/>
        <s v="K1-SILV"/>
        <s v="ANZKIT-W_4X10K04_TZ"/>
        <s v="RD1-DT"/>
        <s v="AN8KIT-WH_4X10K05_TZ"/>
        <s v="RDXKIT-B_US_2X100K04"/>
        <s v="AND-IB"/>
        <s v="ANZKIT-W_SJ30ML"/>
        <s v="ANP-W_US"/>
        <s v="BGR1_100ML_TZ"/>
        <s v="AN8KIT-B_4X10K05_TZ"/>
        <s v="AN6-G"/>
        <s v="ANZKIT-B_B"/>
        <s v="ANWKIT-B_US_2X100K03"/>
        <s v="ANPKIT-B_US_3X20K01_TZ"/>
        <s v="ANPKIT-WH_US_3X20K01_TZ"/>
        <s v="ANPPJ-BOT"/>
        <s v="ANW-Wbot"/>
        <s v="RDX-B_US"/>
        <s v="H2-G"/>
        <s v="ANXKIT-GD_RZ30ml"/>
        <s v="ANW-Bbot"/>
        <s v="ES1-B"/>
        <s v="ES1-Bkit"/>
        <s v="ES1KIT-W_W"/>
        <s v="ES1-W"/>
        <s v="ADXKIT-B_DT"/>
        <s v="RD2KIT-B_2X30K06_TZ"/>
        <s v="ANP-B_US"/>
        <s v="RZ1-500ML_TZ"/>
        <m/>
      </sharedItems>
    </cacheField>
    <cacheField name="品名-有公式" numFmtId="0">
      <sharedItems containsBlank="1"/>
    </cacheField>
    <cacheField name="父型号-有公式" numFmtId="0">
      <sharedItems containsBlank="1" count="32">
        <s v="ANZ"/>
        <s v="ANX"/>
        <s v="ADX"/>
        <s v="AN6"/>
        <s v="AN8"/>
        <s v="AND"/>
        <s v="Oil-TZ"/>
        <s v="AC1"/>
        <s v="AN8-AC"/>
        <s v="ANA"/>
        <s v="ANW"/>
        <s v="Oil-HQ"/>
        <s v="G1"/>
        <s v="H2"/>
        <s v="AN6-AC"/>
        <s v="AP2F"/>
        <s v="X1"/>
        <s v="X3"/>
        <s v="M1"/>
        <s v="MD1"/>
        <s v="MK1"/>
        <s v="AP2"/>
        <s v="RD1-AC"/>
        <s v="RD1"/>
        <s v="K1"/>
        <s v="RDX"/>
        <s v="ANP"/>
        <s v="ANP-AC"/>
        <s v="ANW-AC"/>
        <s v="ES1"/>
        <s v="RD2"/>
        <m/>
      </sharedItems>
    </cacheField>
    <cacheField name="箱数" numFmtId="0">
      <sharedItems containsString="0" containsBlank="1" containsNumber="1" minValue="0.25" maxValue="112"/>
    </cacheField>
    <cacheField name="货件计费重" numFmtId="0">
      <sharedItems containsString="0" containsBlank="1" containsNumber="1" minValue="3.9230769230769229E-2" maxValue="1757.9508064516131"/>
    </cacheField>
    <cacheField name="收费标准" numFmtId="177">
      <sharedItems containsBlank="1"/>
    </cacheField>
    <cacheField name="物流单价" numFmtId="0">
      <sharedItems containsString="0" containsBlank="1" containsNumber="1" minValue="2.8" maxValue="2030"/>
    </cacheField>
    <cacheField name="报关或其他费" numFmtId="0">
      <sharedItems containsBlank="1" containsMixedTypes="1" containsNumber="1" minValue="180" maxValue="1036.08"/>
    </cacheField>
    <cacheField name="报关或其他费分摊" numFmtId="176">
      <sharedItems containsString="0" containsBlank="1" containsNumber="1" minValue="0.27472527472527442" maxValue="659.3236363636363"/>
    </cacheField>
    <cacheField name="预估运费" numFmtId="176">
      <sharedItems containsString="0" containsBlank="1" containsNumber="1" minValue="16.302499999999998" maxValue="7570.9060759493677"/>
    </cacheField>
    <cacheField name="单台运费￥" numFmtId="0">
      <sharedItems containsString="0" containsBlank="1" containsNumber="1" minValue="0.22715079365079366" maxValue="38.049999999999997"/>
    </cacheField>
    <cacheField name="$" numFmtId="0">
      <sharedItems containsString="0" containsBlank="1" containsNumber="1" minValue="3.3903103529969204E-2" maxValue="5.6791044776119399"/>
    </cacheField>
    <cacheField name="税金-相同报关单" numFmtId="0">
      <sharedItems containsNonDate="0" containsString="0" containsBlank="1"/>
    </cacheField>
    <cacheField name="税金" numFmtId="0">
      <sharedItems containsNonDate="0" containsString="0" containsBlank="1"/>
    </cacheField>
    <cacheField name="税金是否录入" numFmtId="176">
      <sharedItems containsBlank="1"/>
    </cacheField>
    <cacheField name="提货时间" numFmtId="14">
      <sharedItems containsNonDate="0" containsDate="1" containsString="0" containsBlank="1" minDate="2026-01-09T00:00:00" maxDate="2026-04-18T00:00:00" count="27">
        <d v="2026-01-09T00:00:00"/>
        <d v="2026-01-16T00:00:00"/>
        <d v="2026-01-23T00:00:00"/>
        <d v="2026-01-29T00:00:00"/>
        <d v="2026-01-28T00:00:00"/>
        <d v="2026-01-30T00:00:00"/>
        <d v="2026-02-02T00:00:00"/>
        <d v="2026-02-06T00:00:00"/>
        <d v="2026-02-03T00:00:00"/>
        <d v="2026-03-06T00:00:00"/>
        <d v="2026-03-13T00:00:00"/>
        <d v="2026-03-14T00:00:00"/>
        <d v="2026-03-21T00:00:00"/>
        <d v="2026-03-22T00:00:00"/>
        <d v="2026-03-23T00:00:00"/>
        <d v="2026-03-20T00:00:00"/>
        <d v="2026-03-28T00:00:00"/>
        <d v="2026-03-26T00:00:00"/>
        <d v="2026-03-27T00:00:00"/>
        <d v="2026-04-04T00:00:00"/>
        <d v="2026-04-03T00:00:00"/>
        <d v="2026-04-02T00:00:00"/>
        <d v="2026-04-11T00:00:00"/>
        <d v="2026-04-10T00:00:00"/>
        <d v="2026-04-17T00:00:00"/>
        <d v="2026-04-16T00:00:00"/>
        <m/>
      </sharedItems>
    </cacheField>
    <cacheField name="到港日期" numFmtId="14">
      <sharedItems containsNonDate="0" containsDate="1" containsString="0" containsBlank="1" minDate="2026-01-29T00:00:00" maxDate="2026-05-14T00:00:00"/>
    </cacheField>
    <cacheField name="预计派送日期" numFmtId="14">
      <sharedItems containsNonDate="0" containsString="0" containsBlank="1"/>
    </cacheField>
    <cacheField name="入库配置费/unit" numFmtId="176">
      <sharedItems containsString="0" containsBlank="1" containsNumber="1" minValue="0" maxValue="0.7"/>
    </cacheField>
    <cacheField name="总入库配置费 $" numFmtId="176">
      <sharedItems containsString="0" containsBlank="1" containsNumber="1" minValue="0" maxValue="1452"/>
    </cacheField>
    <cacheField name="Delivered" numFmtId="14">
      <sharedItems containsNonDate="0" containsDate="1" containsString="0" containsBlank="1" minDate="2026-01-22T00:00:00" maxDate="2026-04-11T00:00:00"/>
    </cacheField>
    <cacheField name="在途周期/天" numFmtId="0">
      <sharedItems containsString="0" containsBlank="1" containsNumber="1" containsInteger="1" minValue="-46109" maxValue="69"/>
    </cacheField>
    <cacheField name="check-in" numFmtId="14">
      <sharedItems containsNonDate="0" containsDate="1" containsString="0" containsBlank="1" minDate="2026-01-22T00:00:00" maxDate="2026-04-11T00:00:00"/>
    </cacheField>
    <cacheField name="单台运费" numFmtId="0" formula="预估运费/申报量" databaseField="0"/>
    <cacheField name="含税运费" numFmtId="0" formula="(预估运费+税金)/申报量" databaseField="0"/>
    <cacheField name="USD 运费" numFmtId="0" formula="单台运费/7" databaseField="0"/>
    <cacheField name="字段1" numFmtId="0" formula="'USD 运费'*0.8" databaseField="0"/>
  </cacheFields>
  <extLst>
    <ext xmlns:x14="http://schemas.microsoft.com/office/spreadsheetml/2009/9/main" uri="{725AE2AE-9491-48be-B2B4-4EB974FC3084}">
      <x14:pivotCacheDefinition pivotCacheId="1869035553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oney Tree TY" refreshedDate="46133.500187268517" createdVersion="8" refreshedVersion="8" minRefreshableVersion="3" recordCount="470" xr:uid="{8E8F921B-D318-45C4-932A-BB8D8749D797}">
  <cacheSource type="worksheet">
    <worksheetSource ref="A1:AN1048576" sheet="亚马逊头程2026"/>
  </cacheSource>
  <cacheFields count="41">
    <cacheField name="序号" numFmtId="0">
      <sharedItems containsString="0" containsBlank="1" containsNumber="1" containsInteger="1" minValue="1" maxValue="469"/>
    </cacheField>
    <cacheField name="备注" numFmtId="0">
      <sharedItems containsBlank="1"/>
    </cacheField>
    <cacheField name="报关周次" numFmtId="0">
      <sharedItems containsBlank="1"/>
    </cacheField>
    <cacheField name="货件单号" numFmtId="49">
      <sharedItems containsBlank="1"/>
    </cacheField>
    <cacheField name="店铺" numFmtId="0">
      <sharedItems containsBlank="1"/>
    </cacheField>
    <cacheField name="国家" numFmtId="0">
      <sharedItems containsBlank="1" count="7">
        <s v="美国"/>
        <s v="德国"/>
        <s v="英国"/>
        <s v="加拿大"/>
        <s v="澳洲"/>
        <s v="阿联酋"/>
        <m/>
      </sharedItems>
    </cacheField>
    <cacheField name="SKU" numFmtId="49">
      <sharedItems containsBlank="1"/>
    </cacheField>
    <cacheField name="申报量" numFmtId="0">
      <sharedItems containsString="0" containsBlank="1" containsNumber="1" containsInteger="1" minValue="10" maxValue="3300"/>
    </cacheField>
    <cacheField name="货代名称" numFmtId="0">
      <sharedItems containsBlank="1"/>
    </cacheField>
    <cacheField name="路线归类" numFmtId="0">
      <sharedItems containsBlank="1" count="13">
        <s v="盐田海卡"/>
        <s v="美国空派"/>
        <s v="欧洲空派"/>
        <s v="英国海卡"/>
        <s v="欧洲海卡"/>
        <s v="加拿大海卡"/>
        <s v="以星海卡"/>
        <s v="澳洲海卡"/>
        <s v="美东海卡"/>
        <s v="美中海卡"/>
        <s v="沙特海卡"/>
        <s v="美森海卡"/>
        <m/>
      </sharedItems>
    </cacheField>
    <cacheField name="物流中心编码" numFmtId="49">
      <sharedItems containsBlank="1" count="40">
        <s v="TCY2"/>
        <s v="TCY1"/>
        <s v="PSC2"/>
        <s v="DTM1"/>
        <s v="GEU2"/>
        <s v="GEU3"/>
        <s v="LBA4"/>
        <s v="HLI2"/>
        <s v="HAJ1"/>
        <s v="YHM1"/>
        <s v="GEU5"/>
        <s v="QXY8"/>
        <s v="YOW3"/>
        <s v="BHX4"/>
        <s v="BWU2"/>
        <s v="MIT2"/>
        <s v="OAK3"/>
        <s v="ACY2"/>
        <s v="HSV1"/>
        <s v="MDT1"/>
        <s v="FOE1"/>
        <s v="DTM9"/>
        <s v="DXB5"/>
        <s v="POC2"/>
        <s v="MGE3"/>
        <s v="SWF1"/>
        <s v="FAT2"/>
        <s v="AKR1"/>
        <s v="LFT1"/>
        <s v="YVR4"/>
        <s v="BER8"/>
        <s v="POC3"/>
        <s v="POC1"/>
        <s v="YYZ4"/>
        <s v="YYZ7"/>
        <s v="FTW5"/>
        <s v="TPA2"/>
        <s v="TEB6"/>
        <s v="DEN8"/>
        <m/>
      </sharedItems>
    </cacheField>
    <cacheField name="子型号-有公式" numFmtId="0">
      <sharedItems containsBlank="1"/>
    </cacheField>
    <cacheField name="品名-有公式" numFmtId="0">
      <sharedItems containsBlank="1"/>
    </cacheField>
    <cacheField name="父型号-有公式" numFmtId="0">
      <sharedItems containsBlank="1"/>
    </cacheField>
    <cacheField name="箱数" numFmtId="0">
      <sharedItems containsString="0" containsBlank="1" containsNumber="1" minValue="0.25" maxValue="112"/>
    </cacheField>
    <cacheField name="货件计费重" numFmtId="0">
      <sharedItems containsString="0" containsBlank="1" containsNumber="1" minValue="3.9230769230769229E-2" maxValue="1757.9508064516131"/>
    </cacheField>
    <cacheField name="收费标准" numFmtId="177">
      <sharedItems containsBlank="1" count="3">
        <s v="重量收费"/>
        <s v="CBM收费"/>
        <m/>
      </sharedItems>
    </cacheField>
    <cacheField name="物流单价" numFmtId="0">
      <sharedItems containsString="0" containsBlank="1" containsNumber="1" minValue="2.8" maxValue="2030"/>
    </cacheField>
    <cacheField name="报关或其他费" numFmtId="0">
      <sharedItems containsBlank="1" containsMixedTypes="1" containsNumber="1" minValue="180" maxValue="1036.08"/>
    </cacheField>
    <cacheField name="报关或其他费分摊" numFmtId="176">
      <sharedItems containsString="0" containsBlank="1" containsNumber="1" minValue="0.27472527472527442" maxValue="659.3236363636363"/>
    </cacheField>
    <cacheField name="预估运费" numFmtId="176">
      <sharedItems containsString="0" containsBlank="1" containsNumber="1" minValue="16.302499999999998" maxValue="7570.9060759493677"/>
    </cacheField>
    <cacheField name="单台运费￥" numFmtId="0">
      <sharedItems containsString="0" containsBlank="1" containsNumber="1" minValue="0.22715079365079366" maxValue="38.049999999999997"/>
    </cacheField>
    <cacheField name="$" numFmtId="0">
      <sharedItems containsString="0" containsBlank="1" containsNumber="1" minValue="3.3903103529969204E-2" maxValue="5.6791044776119399"/>
    </cacheField>
    <cacheField name="税金-相同报关单" numFmtId="0">
      <sharedItems containsNonDate="0" containsString="0" containsBlank="1"/>
    </cacheField>
    <cacheField name="税金" numFmtId="0">
      <sharedItems containsNonDate="0" containsString="0" containsBlank="1"/>
    </cacheField>
    <cacheField name="税金是否录入" numFmtId="176">
      <sharedItems containsBlank="1"/>
    </cacheField>
    <cacheField name="提货时间" numFmtId="14">
      <sharedItems containsNonDate="0" containsDate="1" containsString="0" containsBlank="1" minDate="2026-01-09T00:00:00" maxDate="2026-04-18T00:00:00" count="27">
        <d v="2026-01-09T00:00:00"/>
        <d v="2026-01-16T00:00:00"/>
        <d v="2026-01-23T00:00:00"/>
        <d v="2026-01-29T00:00:00"/>
        <d v="2026-01-28T00:00:00"/>
        <d v="2026-01-30T00:00:00"/>
        <d v="2026-02-02T00:00:00"/>
        <d v="2026-02-06T00:00:00"/>
        <d v="2026-02-03T00:00:00"/>
        <d v="2026-03-06T00:00:00"/>
        <d v="2026-03-13T00:00:00"/>
        <d v="2026-03-14T00:00:00"/>
        <d v="2026-03-21T00:00:00"/>
        <d v="2026-03-22T00:00:00"/>
        <d v="2026-03-23T00:00:00"/>
        <d v="2026-03-20T00:00:00"/>
        <d v="2026-03-28T00:00:00"/>
        <d v="2026-03-26T00:00:00"/>
        <d v="2026-03-27T00:00:00"/>
        <d v="2026-04-04T00:00:00"/>
        <d v="2026-04-03T00:00:00"/>
        <d v="2026-04-02T00:00:00"/>
        <d v="2026-04-11T00:00:00"/>
        <d v="2026-04-10T00:00:00"/>
        <d v="2026-04-17T00:00:00"/>
        <d v="2026-04-16T00:00:00"/>
        <m/>
      </sharedItems>
    </cacheField>
    <cacheField name="到港日期" numFmtId="14">
      <sharedItems containsNonDate="0" containsDate="1" containsString="0" containsBlank="1" minDate="2026-01-29T00:00:00" maxDate="2026-05-14T00:00:00"/>
    </cacheField>
    <cacheField name="预计派送日期" numFmtId="14">
      <sharedItems containsNonDate="0" containsString="0" containsBlank="1"/>
    </cacheField>
    <cacheField name="入库配置费/unit" numFmtId="176">
      <sharedItems containsString="0" containsBlank="1" containsNumber="1" minValue="0" maxValue="0.7"/>
    </cacheField>
    <cacheField name="总入库配置费 $" numFmtId="176">
      <sharedItems containsString="0" containsBlank="1" containsNumber="1" minValue="0" maxValue="1452"/>
    </cacheField>
    <cacheField name="Delivered" numFmtId="14">
      <sharedItems containsNonDate="0" containsDate="1" containsString="0" containsBlank="1" minDate="2026-01-22T00:00:00" maxDate="2026-04-11T00:00:00"/>
    </cacheField>
    <cacheField name="在途周期/天" numFmtId="0">
      <sharedItems containsString="0" containsBlank="1" containsNumber="1" containsInteger="1" minValue="-46109" maxValue="69"/>
    </cacheField>
    <cacheField name="check-in" numFmtId="14">
      <sharedItems containsNonDate="0" containsDate="1" containsString="0" containsBlank="1" minDate="2026-01-22T00:00:00" maxDate="2026-04-11T00:00:00"/>
    </cacheField>
    <cacheField name="上架完成" numFmtId="14">
      <sharedItems containsNonDate="0" containsDate="1" containsString="0" containsBlank="1" minDate="2026-02-11T00:00:00" maxDate="2026-04-10T00:00:00"/>
    </cacheField>
    <cacheField name="上架数量" numFmtId="177">
      <sharedItems containsString="0" containsBlank="1" containsNumber="1" containsInteger="1" minValue="10" maxValue="2972"/>
    </cacheField>
    <cacheField name="上架周期" numFmtId="177">
      <sharedItems containsString="0" containsBlank="1" containsNumber="1" containsInteger="1" minValue="-46122" maxValue="39"/>
    </cacheField>
    <cacheField name="累积时效" numFmtId="177">
      <sharedItems containsNonDate="0" containsString="0" containsBlank="1"/>
    </cacheField>
    <cacheField name="追踪号" numFmtId="49">
      <sharedItems containsBlank="1"/>
    </cacheField>
    <cacheField name="报关单价" numFmtId="0">
      <sharedItems containsNonDate="0" containsString="0" containsBlank="1"/>
    </cacheField>
    <cacheField name="报关金额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 pivotCacheId="1263523688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qiu long" refreshedDate="46171.743192824077" createdVersion="8" refreshedVersion="8" minRefreshableVersion="3" recordCount="703" xr:uid="{C385939E-DA41-431A-99BC-F9DDDD3937C1}">
  <cacheSource type="worksheet">
    <worksheetSource ref="B1:AN1793" sheet="亚马逊头程2026"/>
  </cacheSource>
  <cacheFields count="44">
    <cacheField name="备注" numFmtId="0">
      <sharedItems containsBlank="1"/>
    </cacheField>
    <cacheField name="报关周次" numFmtId="0">
      <sharedItems containsBlank="1"/>
    </cacheField>
    <cacheField name="货件单号" numFmtId="49">
      <sharedItems containsBlank="1"/>
    </cacheField>
    <cacheField name="店铺" numFmtId="0">
      <sharedItems containsBlank="1"/>
    </cacheField>
    <cacheField name="国家" numFmtId="0">
      <sharedItems containsBlank="1" count="7">
        <s v="美国"/>
        <s v="德国"/>
        <s v="英国"/>
        <s v="加拿大"/>
        <s v="澳洲"/>
        <s v="阿联酋"/>
        <m/>
      </sharedItems>
    </cacheField>
    <cacheField name="SKU" numFmtId="49">
      <sharedItems containsBlank="1"/>
    </cacheField>
    <cacheField name="申报量" numFmtId="0">
      <sharedItems containsString="0" containsBlank="1" containsNumber="1" containsInteger="1" minValue="10" maxValue="3300"/>
    </cacheField>
    <cacheField name="货代名称" numFmtId="0">
      <sharedItems containsBlank="1"/>
    </cacheField>
    <cacheField name="路线归类" numFmtId="0">
      <sharedItems containsBlank="1"/>
    </cacheField>
    <cacheField name="物流中心编码" numFmtId="49">
      <sharedItems containsBlank="1"/>
    </cacheField>
    <cacheField name="子型号-有公式" numFmtId="0">
      <sharedItems containsBlank="1" count="169">
        <s v="ANZ-B"/>
        <s v="ANX-B"/>
        <s v="ANX-2PC-BS"/>
        <s v="ANX-RP"/>
        <s v="ANX-SG"/>
        <s v="ADXKIT_B_TX33_30ML"/>
        <s v="AN6KIT-B_2X20K01"/>
        <s v="AN6KIT-B_4X10ML"/>
        <s v="AN6KIT-B_RZ30ml"/>
        <s v="AN6KIT-WH_SJ30ML"/>
        <s v="AN8KIT-B_4X10K01"/>
        <s v="AN8KIT-B_4X10K02"/>
        <s v="AN8KIT-WH_4X10K01"/>
        <s v="ANXKIT-B_RZ30ml"/>
        <s v="AN8KIT-B_2X20K01"/>
        <s v="AN8KIT-WH_2X20K01"/>
        <s v="AN6-2PC-BB"/>
        <s v="AN6-B"/>
        <s v="AN6-W"/>
        <s v="AN6-YG"/>
        <s v="AND-B"/>
        <s v="AND-DT"/>
        <s v="ANZKIT-B_HILTON30ML"/>
        <s v="SJ1-100ML_TZ"/>
        <s v="W1-100ML_TZ"/>
        <s v="AC1-WH_US"/>
        <s v="AC1KIT_WH_WH_US"/>
        <s v="AC1-WH_EU"/>
        <s v="AC1KIT-WH_WH_EU"/>
        <s v="AN6KIT-WH_4X10ML"/>
        <s v="ANXKIT-T_4X10ML"/>
        <s v="AN8-B"/>
        <s v="AN8KIT-B_B"/>
        <s v="AN8-WH"/>
        <s v="AN8NZ-B"/>
        <s v="AN6-GL"/>
        <s v="ANX-IB"/>
        <s v="ANX-DT"/>
        <s v="ANZKIT-B_4X10K04_TZ"/>
        <s v="ANA-WH_EU"/>
        <s v="ANW-B"/>
        <s v="ANW-W"/>
        <s v="ANAKIT-B_US_2X100K03"/>
        <s v="ANAKIT-WH_US_2X100K03"/>
        <s v="ANWKIT-WH_US_2X100K03"/>
        <s v="HOTEL6KIT1-6X10K01"/>
        <s v="A-RZ3-100"/>
        <s v="BCRT1-100ML"/>
        <s v="BLG1-100ML"/>
        <s v="A-JY-100"/>
        <s v="A-MWAY-100"/>
        <s v="WST1-100ML"/>
        <s v="ANX-2PC-BB"/>
        <s v="ANZ-WH"/>
        <s v="ADXKIT-B_4X10K04_TZ"/>
        <s v="ADXKIT-DT_4X10K04_TZ"/>
        <s v="AN6KIT-WH_SJ30ML_TZ"/>
        <s v="AN8KIT-B_2X20K03"/>
        <s v="AND-LV"/>
        <s v="AND-MT"/>
        <s v="RZ-500ML"/>
        <s v="HILTON1-100ML_TZ"/>
        <s v="BCRT1-100ML_TZ"/>
        <s v="G1-B"/>
        <s v="G1-DT"/>
        <s v="G1-SILV"/>
        <s v="H2-B"/>
        <s v="H2-SILV"/>
        <s v="AN6-LV"/>
        <s v="AN6NZ-B"/>
        <s v="ANXKIT-B_4X10K04_TZ"/>
        <s v="ANXKIT-T_4X10K04_TZ"/>
        <s v="AP2F-H14"/>
        <s v="AP2F-H13"/>
        <s v="AN6KIT-B_4X10K04_TZ"/>
        <s v="AN6KIT-WH_4X10K04_TZ"/>
        <s v="X1-B"/>
        <s v="X1-SG"/>
        <s v="X3-B"/>
        <s v="M1-B"/>
        <s v="M1-T"/>
        <s v="MD1-B"/>
        <s v="MD1-SILV"/>
        <s v="MD1-T"/>
        <s v="MK1-B"/>
        <s v="MK1-SILV"/>
        <s v="MK1-T"/>
        <s v="A-MT-100"/>
        <s v="A-WHOTEL-100"/>
        <s v="YH1-100ML_TZ"/>
        <s v="WST1-100ML_TZ"/>
        <s v="AP2US-H13"/>
        <s v="ANX-SILV"/>
        <s v="ANXKIT-B_4X10ML"/>
        <s v="AN8KIT-B_B_2X30K02"/>
        <s v="M1-SILV"/>
        <s v="AP2US-H14"/>
        <s v="RD1PJ-BOT"/>
        <s v="RD1KIT-T_2X30K04"/>
        <s v="AN6NZ-W"/>
        <s v="AN6-LB"/>
        <s v="RD1-B"/>
        <s v="TX331_100ML"/>
        <s v="YZTT1_100ML"/>
        <s v="TXY1_100ML"/>
        <s v="ATS1_100ML_TZ"/>
        <s v="K1-B"/>
        <s v="K1-S+S"/>
        <s v="K1-SILV"/>
        <s v="ANZKIT-W_4X10K04_TZ"/>
        <s v="RD1-DT"/>
        <s v="AN8KIT-WH_4X10K05_TZ"/>
        <s v="RDXKIT-B_US_2X100K04"/>
        <s v="AND-IB"/>
        <s v="ANZKIT-W_SJ30ML"/>
        <s v="ANP-W_US"/>
        <s v="BGR1_100ML_TZ"/>
        <s v="AN8KIT-B_4X10K05_TZ"/>
        <s v="AN6-G"/>
        <s v="ANZKIT-B_B"/>
        <s v="ANWKIT-B_US_2X100K03"/>
        <s v="ANPKIT-B_US_3X20K01_TZ"/>
        <s v="ANPKIT-WH_US_3X20K01_TZ"/>
        <s v="ANPPJ-BOT"/>
        <s v="ANW-Wbot"/>
        <s v="RDX-B_US"/>
        <s v="H2-G"/>
        <s v="ANXKIT-GD_RZ30ml"/>
        <s v="ANW-Bbot"/>
        <s v="ES1-B"/>
        <s v="ES1-Bkit"/>
        <s v="ES1KIT-W_W"/>
        <s v="ES1-W"/>
        <s v="ADXKIT-B_DT"/>
        <s v="RD2KIT-B_2X30K06_TZ"/>
        <s v="ANP-B_US"/>
        <s v="RZ1-500ML_TZ"/>
        <s v="AND-G"/>
        <s v="AN6B-NZB"/>
        <s v="RDX-SILV_US"/>
        <s v="RDXKIT-SILV_US_2X100K04"/>
        <s v="RD2-B"/>
        <s v="ANZKIT-B_B_2X30K01"/>
        <s v="RD1-G"/>
        <s v="RD2KIT-SILV_2X30K07_TZ"/>
        <s v="RD2-SILV"/>
        <s v="U1KIT-B_US_2X50K01_TZ"/>
        <s v="U1-B_US"/>
        <s v="RZ1-100ML_TZ"/>
        <s v="ANZKIT-B_BGR30ML_TZ"/>
        <s v="ANZKIT-W_BGR30ML_TZ"/>
        <s v="ANZKIT-B_RZ30ML_TZ"/>
        <s v="ANZKIT-W_RZ30ML_TZ"/>
        <s v="U1KIT-BG_US_2X50K01_TZ"/>
        <s v="U1-BG_US"/>
        <s v="ANA-B_US"/>
        <s v="HOTEL6KIT1-6X10K03_TZ"/>
        <s v="SJ1-500ML_TZ"/>
        <s v="HILTON1-500ML_TZ"/>
        <s v="AH1B-WH_US"/>
        <s v="ANX-2PC-BGD"/>
        <s v="GK1-B"/>
        <s v="ANAKIT-B_EU_2X100K03"/>
        <s v="ANAKIT-WH_EU_2X100K03"/>
        <s v="ANANZ-B"/>
        <s v="ANANZ-WH"/>
        <s v="AP2EU-H14"/>
        <s v="AH1B-WH_EU"/>
        <m/>
      </sharedItems>
    </cacheField>
    <cacheField name="品名-有公式" numFmtId="0">
      <sharedItems containsBlank="1"/>
    </cacheField>
    <cacheField name="父型号-有公式" numFmtId="0">
      <sharedItems containsBlank="1" count="36">
        <s v="ANZ"/>
        <s v="ANX"/>
        <s v="ADX"/>
        <s v="AN6"/>
        <s v="AN8"/>
        <s v="AND"/>
        <s v="Oil-TZ"/>
        <s v="AC1"/>
        <s v="AN8-AC"/>
        <s v="ANA"/>
        <s v="ANW"/>
        <s v="Oil-HQ"/>
        <s v="G1"/>
        <s v="H2"/>
        <s v="AN6-AC"/>
        <s v="AP2F"/>
        <s v="X1"/>
        <s v="X3"/>
        <s v="M1"/>
        <s v="MD1"/>
        <s v="MK1"/>
        <s v="AP2"/>
        <s v="RD1-AC"/>
        <s v="RD1"/>
        <s v="K1"/>
        <s v="RDX"/>
        <s v="ANP"/>
        <s v="ANP-AC"/>
        <s v="ANW-AC"/>
        <s v="ES1"/>
        <s v="RD2"/>
        <s v="U1"/>
        <s v="AH1B"/>
        <s v="GK1"/>
        <s v="ANA-AC"/>
        <m/>
      </sharedItems>
    </cacheField>
    <cacheField name="箱数" numFmtId="0">
      <sharedItems containsString="0" containsBlank="1" containsNumber="1" minValue="0.25" maxValue="128"/>
    </cacheField>
    <cacheField name="货件计费重" numFmtId="0">
      <sharedItems containsString="0" containsBlank="1" containsNumber="1" minValue="3.9230769230769229E-2" maxValue="2202"/>
    </cacheField>
    <cacheField name="收费标准" numFmtId="177">
      <sharedItems containsBlank="1"/>
    </cacheField>
    <cacheField name="物流单价" numFmtId="0">
      <sharedItems containsString="0" containsBlank="1" containsNumber="1" minValue="2.8" maxValue="1890"/>
    </cacheField>
    <cacheField name="报关或其他费" numFmtId="0">
      <sharedItems containsBlank="1" containsMixedTypes="1" containsNumber="1" minValue="180" maxValue="1036.08"/>
    </cacheField>
    <cacheField name="报关或其他费分摊" numFmtId="176">
      <sharedItems containsString="0" containsBlank="1" containsNumber="1" minValue="0.27472527472527442" maxValue="659.3236363636363"/>
    </cacheField>
    <cacheField name="预估运费" numFmtId="176">
      <sharedItems containsString="0" containsBlank="1" containsNumber="1" minValue="16.302499999999998" maxValue="10989.800000000001"/>
    </cacheField>
    <cacheField name="单台运费￥" numFmtId="0">
      <sharedItems containsString="0" containsBlank="1" containsNumber="1" minValue="0.22715079365079366" maxValue="43.54666666666666"/>
    </cacheField>
    <cacheField name="$" numFmtId="0">
      <sharedItems containsString="0" containsBlank="1" containsNumber="1" minValue="3.3903103529969204E-2" maxValue="6.4995024875621876"/>
    </cacheField>
    <cacheField name="税金-相同报关单" numFmtId="0">
      <sharedItems containsString="0" containsBlank="1" containsNumber="1" minValue="576.35" maxValue="576.35"/>
    </cacheField>
    <cacheField name="税金" numFmtId="0">
      <sharedItems containsString="0" containsBlank="1" containsNumber="1" minValue="57.635000000000005" maxValue="345.81"/>
    </cacheField>
    <cacheField name="税金是否录入" numFmtId="0">
      <sharedItems containsBlank="1"/>
    </cacheField>
    <cacheField name="提货时间" numFmtId="14">
      <sharedItems containsNonDate="0" containsDate="1" containsString="0" containsBlank="1" minDate="2026-01-09T00:00:00" maxDate="2026-05-23T00:00:00" count="39">
        <d v="2026-01-09T00:00:00"/>
        <d v="2026-01-16T00:00:00"/>
        <d v="2026-01-23T00:00:00"/>
        <d v="2026-01-29T00:00:00"/>
        <d v="2026-01-28T00:00:00"/>
        <d v="2026-01-30T00:00:00"/>
        <d v="2026-02-02T00:00:00"/>
        <d v="2026-02-06T00:00:00"/>
        <d v="2026-02-03T00:00:00"/>
        <d v="2026-03-06T00:00:00"/>
        <d v="2026-03-13T00:00:00"/>
        <d v="2026-03-14T00:00:00"/>
        <d v="2026-03-21T00:00:00"/>
        <d v="2026-03-22T00:00:00"/>
        <d v="2026-03-23T00:00:00"/>
        <d v="2026-03-20T00:00:00"/>
        <d v="2026-03-28T00:00:00"/>
        <d v="2026-03-26T00:00:00"/>
        <d v="2026-03-27T00:00:00"/>
        <d v="2026-04-04T00:00:00"/>
        <d v="2026-04-03T00:00:00"/>
        <d v="2026-04-02T00:00:00"/>
        <d v="2026-04-11T00:00:00"/>
        <d v="2026-04-10T00:00:00"/>
        <d v="2026-04-17T00:00:00"/>
        <d v="2026-04-16T00:00:00"/>
        <d v="2026-04-24T00:00:00"/>
        <d v="2026-04-26T00:00:00"/>
        <d v="2026-04-25T00:00:00"/>
        <d v="2026-04-30T00:00:00"/>
        <d v="2026-04-29T00:00:00"/>
        <d v="2026-05-09T00:00:00"/>
        <d v="2026-05-08T00:00:00"/>
        <d v="2026-05-14T00:00:00"/>
        <d v="2026-05-15T00:00:00"/>
        <d v="2026-05-16T00:00:00"/>
        <d v="2026-05-22T00:00:00"/>
        <d v="2026-05-21T00:00:00"/>
        <m/>
      </sharedItems>
    </cacheField>
    <cacheField name="到港日期" numFmtId="14">
      <sharedItems containsNonDate="0" containsDate="1" containsString="0" containsBlank="1" minDate="2025-06-10T00:00:00" maxDate="2026-06-25T00:00:00"/>
    </cacheField>
    <cacheField name="预计派送日期" numFmtId="14">
      <sharedItems containsNonDate="0" containsString="0" containsBlank="1"/>
    </cacheField>
    <cacheField name="入库配置费/unit" numFmtId="176">
      <sharedItems containsString="0" containsBlank="1" containsNumber="1" minValue="0" maxValue="0.70358974358974358"/>
    </cacheField>
    <cacheField name="总入库配置费 $" numFmtId="176">
      <sharedItems containsString="0" containsBlank="1" containsNumber="1" minValue="0" maxValue="1452"/>
    </cacheField>
    <cacheField name="Delivered" numFmtId="14">
      <sharedItems containsNonDate="0" containsDate="1" containsString="0" containsBlank="1" minDate="2026-01-22T00:00:00" maxDate="2026-05-30T00:00:00"/>
    </cacheField>
    <cacheField name="在途周期/天" numFmtId="0">
      <sharedItems containsString="0" containsBlank="1" containsNumber="1" containsInteger="1" minValue="-46129" maxValue="78"/>
    </cacheField>
    <cacheField name="上架完成" numFmtId="14">
      <sharedItems containsNonDate="0" containsDate="1" containsString="0" containsBlank="1" minDate="2026-02-11T00:00:00" maxDate="2026-05-29T00:00:00"/>
    </cacheField>
    <cacheField name="上架数量" numFmtId="177">
      <sharedItems containsString="0" containsBlank="1" containsNumber="1" containsInteger="1" minValue="10" maxValue="2972"/>
    </cacheField>
    <cacheField name="上架周期" numFmtId="177">
      <sharedItems containsString="0" containsBlank="1" containsNumber="1" containsInteger="1" minValue="-46164" maxValue="61"/>
    </cacheField>
    <cacheField name="累积时效" numFmtId="177">
      <sharedItems containsNonDate="0" containsString="0" containsBlank="1"/>
    </cacheField>
    <cacheField name="追踪号" numFmtId="49">
      <sharedItems containsBlank="1"/>
    </cacheField>
    <cacheField name="报关单价" numFmtId="0">
      <sharedItems containsNonDate="0" containsString="0" containsBlank="1"/>
    </cacheField>
    <cacheField name="报关金额" numFmtId="0">
      <sharedItems containsNonDate="0" containsString="0" containsBlank="1"/>
    </cacheField>
    <cacheField name="运费单价1" numFmtId="0" formula="预估运费/#NAME?" databaseField="0"/>
    <cacheField name="单台运费2" numFmtId="0" formula="(预估运费+税金)/#NAME?" databaseField="0"/>
    <cacheField name="单台运费3" numFmtId="0" formula="单台运费2/7.2*0.8" databaseField="0"/>
    <cacheField name="单台运费4" numFmtId="0" formula="单台运费2/7" databaseField="0"/>
    <cacheField name="总入库配置费2" numFmtId="0" formula="#NAME?*'入库配置费/unit'" databaseField="0"/>
  </cacheFields>
  <extLst>
    <ext xmlns:x14="http://schemas.microsoft.com/office/spreadsheetml/2009/9/main" uri="{725AE2AE-9491-48be-B2B4-4EB974FC3084}">
      <x14:pivotCacheDefinition pivotCacheId="1872381180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润点" refreshedDate="46195.467535069445" createdVersion="8" refreshedVersion="8" minRefreshableVersion="3" recordCount="811" xr:uid="{6BBB32EA-C2AC-45D6-95CA-8429212CADBA}">
  <cacheSource type="worksheet">
    <worksheetSource ref="A1:P1048576" sheet="亚马逊头程2026"/>
  </cacheSource>
  <cacheFields count="16">
    <cacheField name="序号" numFmtId="0">
      <sharedItems containsString="0" containsBlank="1" containsNumber="1" containsInteger="1" minValue="1" maxValue="810"/>
    </cacheField>
    <cacheField name="备注" numFmtId="0">
      <sharedItems containsBlank="1"/>
    </cacheField>
    <cacheField name="报关周次" numFmtId="0">
      <sharedItems containsBlank="1"/>
    </cacheField>
    <cacheField name="货件单号" numFmtId="49">
      <sharedItems containsBlank="1" count="330">
        <s v="FBA195L9WC0P"/>
        <s v="FBA195LB0WFL"/>
        <s v="FBA195LCJDMZ"/>
        <s v="FBA195LBB4TM"/>
        <s v="FBA195LB2C32"/>
        <s v="FBA195LDDMB5"/>
        <s v="FBA195L9WKNH"/>
        <s v="FBA195TXJ79C"/>
        <s v="FBA15L9C2DCR"/>
        <s v="FBA1962WJ10Y"/>
        <s v="FBA195WQT42J"/>
        <s v="FBA15L9NCNFT"/>
        <s v="FBA195X71HBT"/>
        <s v="FBA19630ZHP6"/>
        <s v="FBA15L9C90G5"/>
        <s v="FBA196675KXQ"/>
        <s v="FBA195TQGKS4"/>
        <s v="FBA195WSLNLM"/>
        <s v="FBA195X3NXZ7"/>
        <s v="FBA195X3FRY0"/>
        <s v="FBA1967GPG1X"/>
        <s v="FBA1967FNB50"/>
        <s v="FBA196FDHR3M"/>
        <s v="FBA196FG6V2S"/>
        <s v="FBA196866S65"/>
        <s v="FBA1969SRVSY"/>
        <s v="FBA196837WL2"/>
        <s v="FBA19683VMP8"/>
        <s v="FBA19682VZWD"/>
        <s v="FBA1968392KJ"/>
        <s v="FBA19686T54K"/>
        <s v="FBA1967F889Z"/>
        <s v="FBA1967XZYX3"/>
        <s v="FBA15LCDDPG8"/>
        <s v="FBA196P9L68R"/>
        <s v="FBA196P93TMX"/>
        <s v="FBA196PBJHGY"/>
        <s v="FBA196PD1BWG"/>
        <s v="FBA15G5ZVZZ2"/>
        <s v="FBA196VGYP1S"/>
        <s v="FBA196PDTG5X"/>
        <s v="FBA196P88RYV"/>
        <s v="FBA1969S9B3Z"/>
        <s v="FBA196P9YDLV"/>
        <s v="FBA196PCKJBN"/>
        <s v="FBA196PBH7G8"/>
        <s v="FBA196XYH2CB"/>
        <s v="FBA196XLRQQD"/>
        <s v="FBA196P9WPZ7"/>
        <s v="FBA196PCP9HX"/>
        <s v="FBA196NCXD8J"/>
        <s v="FBA196NCJYG5"/>
        <s v="FBA196N9B79B"/>
        <s v="FBA196NCQYR0"/>
        <s v="FBA196NB4NXF"/>
        <s v="FBA196ZPNG0Z"/>
        <s v="FBA196ZQYZK7"/>
        <s v="FBA15LD5H4FM"/>
        <s v="FBA15LD5WXF3"/>
        <s v="FBA196ZPM7XN"/>
        <s v="FBA196ZJWR8P"/>
        <s v="FBA197DXB0VL"/>
        <s v="FBA1976WKL4D"/>
        <s v="FBA1976LX63R"/>
        <s v="FBA1976MP8CY"/>
        <s v="FBA1976N1PRR"/>
        <s v="FBA1976NHDF8"/>
        <s v="FBA1976MCGX6"/>
        <s v="FBA197D77P3S"/>
        <s v="FBA1987594KP"/>
        <s v="FBA198F648V6"/>
        <s v="FBA198CCWL4Q"/>
        <s v="FBA19873RZMP"/>
        <s v="FBA198354HLL"/>
        <s v="FBA198F4S73Q"/>
        <s v="FBA198K79B9C"/>
        <s v="FBA198K5X4YB"/>
        <s v="FBA15LHXTKQ1"/>
        <s v="FBA15LJ7LFCF"/>
        <s v="FBA198R5WZBL"/>
        <s v="FBA198R5V676"/>
        <s v="FBA198KBXJ4X"/>
        <s v="FBA198KC8HBQ"/>
        <s v="FBA198K8QZC5"/>
        <s v="FBA198KFN9NS"/>
        <s v="FBA198K9RVMY"/>
        <s v="FBA198LLVD5S"/>
        <s v="FBA198LLBYQJ"/>
        <s v="FBA198LK2T65"/>
        <s v="FBA198LHZYBC"/>
        <s v="FBA198PY9806"/>
        <s v="FBA198VX409J"/>
        <s v="FBA198X547X1"/>
        <s v="FBA198W2C0D1"/>
        <s v="FBA198W7XC64"/>
        <s v="FBA198XML3L7"/>
        <s v="FBA19903R9DH"/>
        <s v="FBA19994C4F1"/>
        <s v="FBA19993QKM2"/>
        <s v="FBA15G7HFC4R"/>
        <s v="FBA19922135M"/>
        <s v="FBA198X3QKQ1"/>
        <s v="FBA198X58NK5"/>
        <s v="FBA198XV6SCX"/>
        <s v="FBA198W8K669"/>
        <s v="FBA198VY9H04"/>
        <s v="FBA198W7ZHBG"/>
        <s v="FBA199220GQD"/>
        <s v="FBA198W7P8C9"/>
        <s v="FBA19985BHPR"/>
        <s v="FBA1997PDD0Z"/>
        <s v="FBA199C7XWBM"/>
        <s v="FBA1998DXN77"/>
        <s v="FBA19981TS59"/>
        <s v="FBA19982BL68"/>
        <s v="FBA1997ZZGG7"/>
        <s v="FBA19981L65S"/>
        <s v="FBA15LKVV9JS"/>
        <s v="FBA15LKZVHYC"/>
        <s v="FBA1990KKRQ3"/>
        <s v="FBA1998CWPX7"/>
        <s v="FBA1998BJR8W"/>
        <s v="FBA1998CHTC2"/>
        <s v="FBA1998BTZST"/>
        <s v="FBA19968P4N3"/>
        <s v="FBA198XY9VBP"/>
        <s v="FBA199664Z1H"/>
        <s v="FBA19987CYJC"/>
        <s v="FBA199632TX8"/>
        <s v="FBA1996418F0"/>
        <s v="FBA15LKFVN1C"/>
        <s v="FBA199KPSFXM"/>
        <s v="FBA199KNT8RY"/>
        <s v="FBA199JBH82C"/>
        <s v="FBA199J9RQ5K"/>
        <s v="FBA199JCMDW7"/>
        <s v="FBA199ND5Y2G"/>
        <s v="FBA199JC2QFL"/>
        <s v="FBA199J9FWBW"/>
        <s v="FBA199JBK252"/>
        <s v="FBA199KWXBZZ"/>
        <s v="FBA199J8WL2C"/>
        <s v="FBA199J7KYFZ"/>
        <s v="FBA199JB9GX5"/>
        <s v="FBA199J506NT"/>
        <s v="FBA199JBCYRR"/>
        <s v="FBA199V9G06K"/>
        <s v="FBA19B7DZGDV"/>
        <s v="FBA199V98MJG"/>
        <s v="FBA199WVYDVD"/>
        <s v="FBA199WX2PW7"/>
        <s v="FBA199WV8JXK"/>
        <s v="FBA199X2YQJT"/>
        <s v="FBA199V40XDQ"/>
        <s v="FBA199V5RZPW"/>
        <s v="FBA15LMGRQ7F"/>
        <s v="FBA199WG4JL3"/>
        <s v="FBA199TT251G"/>
        <s v="FBA199WTFJB1"/>
        <s v="FBA199V32GNW"/>
        <s v="FBA199WGX66P"/>
        <s v="FBA199TTG21T"/>
        <s v="FBA19B9KJ2QH"/>
        <s v="FBA19B9LM3JV"/>
        <s v="FBA15LN44JQQ"/>
        <s v="FBA15G8D1ZB2"/>
        <s v="FBA19BBRVKSC"/>
        <s v="FBA19B9C8RDL"/>
        <s v="FBA19BC498R6"/>
        <s v="FBA19BC2TT08"/>
        <s v="FBA19B9HK18P"/>
        <s v="FBA19BK8QFSK"/>
        <s v="FBA19BCDLF7B"/>
        <s v="FBA19BCGVYN1"/>
        <s v="FBA19BCK42Y8"/>
        <s v="FBA19B9NXYNH"/>
        <s v="FBA19B7B1PZ2"/>
        <s v="FBA19B79W7D9"/>
        <s v="FBA19B7N189J"/>
        <s v="FBA19B7J1BX9"/>
        <s v="FBA19B9HSTHR"/>
        <s v="FBA19B9DG84G"/>
        <s v="FBA19B9DKZG9"/>
        <s v="FBA19B9HCN3R"/>
        <s v="FBA19B9HCF21"/>
        <s v="FBA19B9DLDTH"/>
        <s v="FBA15LN4716N"/>
        <s v="FBA15LP65LXZ"/>
        <s v="FBA15G8QSTZS"/>
        <s v="FBA19BY3VMYT"/>
        <s v="FBA19BY83NF8"/>
        <s v="FBA19BS18QGQ"/>
        <s v="FBA19BS5LVP7"/>
        <s v="FBA19BRTCW8K"/>
        <s v="FBA19BY2DDBJ"/>
        <s v="FBA19BRD7JZ3"/>
        <s v="FBA19BRN46FT"/>
        <s v="FBA19BS9WBMQ"/>
        <s v="FBA19BRK5DWK"/>
        <s v="FBA19BRWKFV5"/>
        <s v="FBA19BRVKMS2"/>
        <s v="FBA19BRVNNYF"/>
        <s v="FBA19C2Q5YYR"/>
        <s v="FBA19C5419DM"/>
        <s v="FBA19C4KVPDZ"/>
        <s v="FBA19C54L6RG"/>
        <s v="FBA19C53QL9F"/>
        <s v="FBA19C5HZZP9"/>
        <s v="FBA19C5PCDN1"/>
        <s v="FBA19C5PLM9L"/>
        <s v="FBA19CFN1JVG"/>
        <s v="FBA19CCGJKBD"/>
        <s v="FBA19CCPRKWP"/>
        <s v="FBA19CCTKGCQ"/>
        <s v="FBA19C5F8QF9"/>
        <s v="FBA19C589LLD"/>
        <s v="FBA19CK1JT4K"/>
        <s v="FBA19CJY2VB7"/>
        <s v="FBA19C12J46C"/>
        <s v="FBA19C53HQWX"/>
        <s v="FBA19C12XM4V"/>
        <s v="FBA19CVVZN2V"/>
        <s v="FBA19CVTGBRQ"/>
        <s v="FBA19CVTVQS7"/>
        <s v="FBA19CVZRY66"/>
        <s v="FBA19CKXTVFC"/>
        <s v="FBA19CJWGL14"/>
        <s v="FBA15LQTG88C"/>
        <s v="FBA19CSDPQT6"/>
        <s v="FBA19CSKJ9TY"/>
        <s v="FBA19CSMTF0M"/>
        <s v="FBA19CTYDDLS"/>
        <s v="FBA19CKRNYM2"/>
        <s v="FBA19CS2J6FM"/>
        <s v="FBA15LQTBB8F"/>
        <s v="FBA15LQT5NPH"/>
        <s v="FBA19CY3S27T"/>
        <s v="FBA19CY3DWCX"/>
        <s v="FBA19CYBYB8S"/>
        <s v="FBA19D0YVFRX"/>
        <s v="FBA19D384MDF"/>
        <s v="FBA19D4HMDZM"/>
        <s v="FBA19CXM6Z07"/>
        <s v="FBA19CXL7FRP"/>
        <s v="FBA19D2J6WFH"/>
        <s v="FBA19D0H6V9R"/>
        <s v="FBA19D0HJ1ZW"/>
        <s v="FBA19D4B6M9C"/>
        <s v="FBA19D93KMHJ"/>
        <s v="FBA19D94S4L0"/>
        <s v="FBA19DCNSFXR"/>
        <s v="FBA19DCQDFHJ"/>
        <s v="FBA19DCSC490"/>
        <s v="FBA19DCRKGGZ"/>
        <s v="FBA19DCSKYDJ"/>
        <s v="FBA19DCDFPP1"/>
        <s v="FBA19CYJ3DZ0"/>
        <s v="FBA19DBKJ7ZY"/>
        <s v="FBA19DCLY68K"/>
        <s v="FBA19DCNNMVR"/>
        <s v="FBA19DHFYLGN"/>
        <s v="FBA19DHCQZSK"/>
        <s v="FBA19DC9Y40J"/>
        <s v="FBA19DHFYR3J"/>
        <s v="FBA15LRDVZJC"/>
        <s v="FBA19DBRV3ML"/>
        <s v="FBA19DBWHMS4"/>
        <s v="FBA19DCGXCHB"/>
        <s v="FBA19D747B01"/>
        <s v="FBA15LSK9KTJ"/>
        <s v="FBA15LTKZKLC"/>
        <s v="FBA19F6GKFQ6"/>
        <s v="FBA19DX4J71R"/>
        <s v="FBA19DX51Y1T"/>
        <s v="FBA19DZ91P1W"/>
        <s v="FBA19DZB5TF6"/>
        <s v="FBA19DZDJ9ZD"/>
        <s v="FBA19F1CKNMZ"/>
        <s v="FBA19DPVDG0V"/>
        <s v="FBA19DZ6Y1S9"/>
        <s v="FBA19DVRJ4T5"/>
        <s v="FBA19F4M4RD6"/>
        <s v="FBA19F4KJ9DZ"/>
        <s v="FBA15LTQTFQ1"/>
        <s v="FBA19F46GJLZ"/>
        <s v="FBA19F4LL08N"/>
        <s v="FBA19F4J942R"/>
        <s v="FBA15LVJ20F1"/>
        <s v="FBA15GC5P5Z1"/>
        <s v="FBA19FBGSKKJ"/>
        <s v="FBA19FF0MFN3"/>
        <s v="FBA15LVHR86N"/>
        <s v="FBA15LRLM5FN"/>
        <s v="FBA19F4L4GBL"/>
        <s v="FBA19F4CS4GC"/>
        <s v="FBA19F4F3XKR"/>
        <s v="FBA19FCRN9Z5"/>
        <s v="FBA19FDYM0XZ"/>
        <s v="FBA19FF0RZTW"/>
        <s v="FBA19FDYT4WC"/>
        <s v="FBA19FF07F7L"/>
        <s v="FBA19FCWZXLS"/>
        <s v="FBA19FKG454G"/>
        <s v="FBA15LVTVJHZ"/>
        <s v="FBA15LW37NF8"/>
        <s v="FBA19FK42PG0"/>
        <s v="FBA19FKPN62D"/>
        <s v="FBA19FKPGCGP"/>
        <s v="FBA19FKMFZC8"/>
        <s v="FBA19FLS58YS"/>
        <s v="FBA19FKM69ZK"/>
        <s v="FBA19FKP1YD8"/>
        <s v="FBA19FLSZ71L"/>
        <s v="FBA19FX4LWX3"/>
        <s v="FBA19FVYP714"/>
        <s v="FBA19FKLZ68M"/>
        <s v="FBA19FKLZWFR"/>
        <s v="FBA19FRFSK56"/>
        <s v="FBA19FBSKGK6"/>
        <s v="FBA19FYYN3FG"/>
        <s v="FBA19G1RZZM4"/>
        <s v="FBA19FZ47Y4S"/>
        <s v="FBA19G5WQ01D"/>
        <s v="FBA19G690J88"/>
        <s v="FBA19FZ40R9D"/>
        <s v="FBA19FYY4NKY"/>
        <s v="FBA19G1QV4FP"/>
        <s v="FBA19FZ34LHX"/>
        <s v="FBA19FZ39DLV"/>
        <m/>
      </sharedItems>
    </cacheField>
    <cacheField name="店铺" numFmtId="0">
      <sharedItems containsBlank="1"/>
    </cacheField>
    <cacheField name="国家" numFmtId="0">
      <sharedItems containsBlank="1"/>
    </cacheField>
    <cacheField name="SKU" numFmtId="49">
      <sharedItems containsBlank="1"/>
    </cacheField>
    <cacheField name="申报量" numFmtId="0">
      <sharedItems containsString="0" containsBlank="1" containsNumber="1" containsInteger="1" minValue="10" maxValue="3300"/>
    </cacheField>
    <cacheField name="货代名称" numFmtId="0">
      <sharedItems containsBlank="1" count="12">
        <s v="万邦"/>
        <s v="积米"/>
        <s v="嘀嗒嘀"/>
        <s v="天盛"/>
        <s v="澳鹰"/>
        <s v="亦邦物流"/>
        <s v="德速物流"/>
        <s v="国润通"/>
        <s v="京弈达"/>
        <s v="合联中东"/>
        <s v="旗云"/>
        <m/>
      </sharedItems>
    </cacheField>
    <cacheField name="路线归类" numFmtId="0">
      <sharedItems containsBlank="1"/>
    </cacheField>
    <cacheField name="物流中心编码" numFmtId="49">
      <sharedItems containsBlank="1"/>
    </cacheField>
    <cacheField name="子型号-有公式" numFmtId="0">
      <sharedItems containsBlank="1"/>
    </cacheField>
    <cacheField name="品名-有公式" numFmtId="0">
      <sharedItems containsBlank="1"/>
    </cacheField>
    <cacheField name="父型号-有公式" numFmtId="0">
      <sharedItems containsBlank="1"/>
    </cacheField>
    <cacheField name="箱数" numFmtId="0">
      <sharedItems containsString="0" containsBlank="1" containsNumber="1" minValue="0.25" maxValue="128"/>
    </cacheField>
    <cacheField name="货件计费重" numFmtId="0">
      <sharedItems containsString="0" containsBlank="1" containsNumber="1" minValue="3.8695652173913041E-2" maxValue="2202" count="726">
        <n v="326.95999999999998"/>
        <n v="91.549230769230775"/>
        <n v="170.02"/>
        <n v="39.235384615384618"/>
        <n v="493.09632653061226"/>
        <n v="597.69251700680275"/>
        <n v="298.84625850340137"/>
        <n v="896.53877551020412"/>
        <n v="224.13469387755103"/>
        <n v="1494.2312925170068"/>
        <n v="104.59619047619047"/>
        <n v="119.53850340136054"/>
        <n v="149.42312925170069"/>
        <n v="4.980770975056684"/>
        <n v="9.9615419501133822"/>
        <n v="74.711403508771937"/>
        <n v="448.2684210526316"/>
        <n v="179.30736842105264"/>
        <n v="44.826842105263161"/>
        <n v="29.884561403508773"/>
        <n v="194.25"/>
        <n v="71.25"/>
        <n v="42.75"/>
        <n v="53.5"/>
        <n v="17.5"/>
        <n v="909.75818181818192"/>
        <n v="197.11427272727275"/>
        <n v="500.36700000000002"/>
        <n v="60.650545454545458"/>
        <n v="681.94444444444446"/>
        <n v="109.11111111111111"/>
        <n v="136.38888888888889"/>
        <n v="40.916666666666671"/>
        <n v="13.638888888888889"/>
        <n v="82.199999999999989"/>
        <n v="13.7"/>
        <n v="41.099999999999994"/>
        <n v="40.275000000000006"/>
        <n v="93.975000000000009"/>
        <n v="402.75"/>
        <n v="197.11"/>
        <n v="177"/>
        <n v="87.6"/>
        <n v="58.4"/>
        <n v="956.18243243243251"/>
        <n v="660.63513513513522"/>
        <n v="152"/>
        <n v="286.58999999999997"/>
        <n v="20.470500000000001"/>
        <n v="286.58699999999999"/>
        <n v="40.941000000000003"/>
        <n v="106.57627118644068"/>
        <n v="133.22033898305085"/>
        <n v="399.66101694915255"/>
        <n v="146.54237288135593"/>
        <n v="319.62"/>
        <n v="319.61971830985919"/>
        <n v="95.88591549295775"/>
        <n v="79.904929577464799"/>
        <n v="159.8098591549296"/>
        <n v="159.80714285714285"/>
        <n v="31.96142857142857"/>
        <n v="56"/>
        <n v="83"/>
        <n v="157"/>
        <n v="1.0828125"/>
        <n v="0.2578125"/>
        <n v="0.20624999999999999"/>
        <n v="0.10312499999999999"/>
        <n v="130"/>
        <n v="86.84210526315789"/>
        <n v="130.26315789473682"/>
        <n v="57.89473684210526"/>
        <n v="911.81818181818176"/>
        <n v="134.09090909090909"/>
        <n v="266.65517241379314"/>
        <n v="140.34482758620692"/>
        <n v="0.52433333333333332"/>
        <n v="0.14299999999999999"/>
        <n v="0.3813333333333333"/>
        <n v="0.28599999999999998"/>
        <n v="9.5333333333333325E-2"/>
        <n v="194.69"/>
        <n v="374.40517241379314"/>
        <n v="44.928620689655176"/>
        <n v="14.976206896551725"/>
        <n v="145.7138888888889"/>
        <n v="87.428333333333342"/>
        <n v="291.42777777777781"/>
        <n v="247.71463768115939"/>
        <n v="43.71434782608695"/>
        <n v="364.28623188405794"/>
        <n v="145.71449275362318"/>
        <n v="12.545454545454545"/>
        <n v="50.18181818181818"/>
        <n v="25.09090909090909"/>
        <n v="72.857246376811588"/>
        <n v="29.142898550724635"/>
        <n v="102.00014492753623"/>
        <n v="460.72727272727269"/>
        <n v="263.27272727272725"/>
        <n v="1704.55"/>
        <n v="304.38235294117652"/>
        <n v="213.06764705882355"/>
        <n v="69"/>
        <n v="873.29629629629619"/>
        <n v="410.96296296296293"/>
        <n v="102.74074074074073"/>
        <n v="75.039682539682545"/>
        <n v="630.33333333333337"/>
        <n v="555.29365079365084"/>
        <n v="225.11904761904762"/>
        <n v="255.13492063492063"/>
        <n v="15.007936507936508"/>
        <n v="60.031746031746032"/>
        <n v="80"/>
        <n v="96"/>
        <n v="0.33333333333333331"/>
        <n v="0.66666666666666663"/>
        <n v="57.5"/>
        <n v="19.166666666666668"/>
        <n v="38.333333333333336"/>
        <n v="43.748571428571424"/>
        <n v="58.331428571428567"/>
        <n v="43.751999999999995"/>
        <n v="29.167999999999999"/>
        <n v="302"/>
        <n v="280"/>
        <n v="303"/>
        <n v="268.53684210526319"/>
        <n v="80.561052631578946"/>
        <n v="40.280526315789473"/>
        <n v="147.69526315789474"/>
        <n v="228.25631578947369"/>
        <n v="50.099999999999994"/>
        <n v="116.89999999999999"/>
        <n v="41.307692307692307"/>
        <n v="68.846153846153854"/>
        <n v="0.38181818181818178"/>
        <n v="0.05"/>
        <n v="0.16363636363636364"/>
        <n v="40.280769230769238"/>
        <n v="134.26923076923077"/>
        <n v="80.56"/>
        <n v="223.63636363636363"/>
        <n v="164"/>
        <n v="283.27272727272725"/>
        <n v="238.54545454545453"/>
        <n v="193.81818181818181"/>
        <n v="29.818181818181817"/>
        <n v="14.909090909090908"/>
        <n v="121.5"/>
        <n v="476"/>
        <n v="474"/>
        <n v="478"/>
        <n v="142"/>
        <n v="73.849999999999994"/>
        <n v="202"/>
        <n v="295.39555555555557"/>
        <n v="177.23733333333334"/>
        <n v="14.769777777777778"/>
        <n v="147.69753086419752"/>
        <n v="590.79012345679007"/>
        <n v="221.5462962962963"/>
        <n v="236.31604938271605"/>
        <n v="54.8"/>
        <n v="68.5"/>
        <n v="10.274999999999999"/>
        <n v="3.4249999999999998"/>
        <n v="44.31"/>
        <n v="136"/>
        <n v="53"/>
        <n v="159"/>
        <n v="80.400000000000006"/>
        <n v="26.8"/>
        <n v="81.599999999999994"/>
        <n v="54.4"/>
        <n v="273"/>
        <n v="968.99999999999989"/>
        <n v="535.15"/>
        <n v="45.870000000000005"/>
        <n v="229.35000000000002"/>
        <n v="76.45"/>
        <n v="91.740000000000009"/>
        <n v="15.290000000000001"/>
        <n v="198.76875000000001"/>
        <n v="61.159615384615385"/>
        <n v="1070.2932692307693"/>
        <n v="259.9283653846154"/>
        <n v="155"/>
        <n v="465"/>
        <n v="86"/>
        <n v="572"/>
        <n v="0.46800000000000003"/>
        <n v="5.2000000000000005E-2"/>
        <n v="0.31636363636363635"/>
        <n v="0.26363636363636361"/>
        <n v="0.125"/>
        <n v="8.3333333333333329E-2"/>
        <n v="0.25"/>
        <n v="0.16666666666666666"/>
        <n v="4.1666666666666664E-2"/>
        <n v="30"/>
        <n v="676.71232876712338"/>
        <n v="81.205479452054803"/>
        <n v="230.08219178082194"/>
        <n v="0.78"/>
        <n v="154.5"/>
        <n v="106.73696969696971"/>
        <n v="333.55303030303037"/>
        <n v="1.0333333333333332"/>
        <n v="0.20666666666666667"/>
        <n v="129.83050847457628"/>
        <n v="162.28813559322035"/>
        <n v="48.686440677966104"/>
        <n v="1136.0169491525423"/>
        <n v="16.228813559322035"/>
        <n v="421.94915254237287"/>
        <n v="420"/>
        <n v="42"/>
        <n v="140"/>
        <n v="70"/>
        <n v="182"/>
        <n v="14"/>
        <n v="148"/>
        <n v="592"/>
        <n v="13.636363636363637"/>
        <n v="54.545454545454547"/>
        <n v="40.909090909090907"/>
        <n v="95.454545454545453"/>
        <n v="27.272727272727273"/>
        <n v="66.709999999999994"/>
        <n v="30.153846153846153"/>
        <n v="165.84615384615384"/>
        <n v="0.32599999999999996"/>
        <n v="1.3039999999999998"/>
        <n v="256"/>
        <n v="143"/>
        <n v="214.24242424242422"/>
        <n v="1142.6262626262626"/>
        <n v="57.131313131313128"/>
        <n v="0.41666666666666663"/>
        <n v="154"/>
        <n v="648"/>
        <n v="681.18279569892468"/>
        <n v="40.87096774193548"/>
        <n v="204.35483870967741"/>
        <n v="68.118279569892465"/>
        <n v="108.98924731182795"/>
        <n v="136.23655913978493"/>
        <n v="13.623655913978494"/>
        <n v="6.811827956989247"/>
        <n v="158.79611650485435"/>
        <n v="301.71262135922331"/>
        <n v="793.98058252427188"/>
        <n v="381.11067961165048"/>
        <n v="79.400000000000006"/>
        <n v="287.14"/>
        <n v="114.86"/>
        <n v="192.54545454545456"/>
        <n v="160.45454545454547"/>
        <n v="76.89473684210526"/>
        <n v="89.71052631578948"/>
        <n v="192.23684210526315"/>
        <n v="128.15789473684211"/>
        <n v="24.5"/>
        <n v="85.75"/>
        <n v="36.75"/>
        <n v="79.5"/>
        <n v="47.7"/>
        <n v="104"/>
        <n v="175.99924528301887"/>
        <n v="58.666415094339627"/>
        <n v="483.99792452830189"/>
        <n v="14.666603773584907"/>
        <n v="29.333207547169813"/>
        <n v="146.66999999999999"/>
        <n v="29.666666666666668"/>
        <n v="44.5"/>
        <n v="14.833333333333334"/>
        <n v="522.45283018867917"/>
        <n v="400.54716981132071"/>
        <n v="120.89999999999999"/>
        <n v="261.95"/>
        <n v="20.149999999999999"/>
        <n v="213.62903225806451"/>
        <n v="498.4677419354839"/>
        <n v="156.66129032258064"/>
        <n v="14.241935483870968"/>
        <n v="1"/>
        <n v="0.49"/>
        <n v="0.19666666666666666"/>
        <n v="9.8333333333333328E-2"/>
        <n v="0.29499999999999998"/>
        <n v="31.8"/>
        <n v="431.49648648648645"/>
        <n v="159.8135135135135"/>
        <n v="202.02073170731708"/>
        <n v="67.340243902439028"/>
        <n v="673.40243902439033"/>
        <n v="161.61658536585367"/>
        <n v="67.34"/>
        <n v="223.73919354838711"/>
        <n v="1757.9508064516131"/>
        <n v="336.7037037037037"/>
        <n v="80.808888888888887"/>
        <n v="107.74518518518518"/>
        <n v="121.21333333333332"/>
        <n v="67.340740740740742"/>
        <n v="13.468148148148147"/>
        <n v="151.80000000000001"/>
        <n v="607.20000000000005"/>
        <n v="1.6217021276595744"/>
        <n v="0.4382978723404255"/>
        <n v="286.34827586206893"/>
        <n v="544.06172413793104"/>
        <n v="84"/>
        <n v="71.59"/>
        <n v="9.3333333333333338E-2"/>
        <n v="4.6666666666666669E-2"/>
        <n v="0.14000000000000001"/>
        <n v="0.32200000000000001"/>
        <n v="0.13800000000000001"/>
        <n v="0.13750000000000001"/>
        <n v="9.1666666666666674E-2"/>
        <n v="0.32083333333333336"/>
        <n v="27.111111111111111"/>
        <n v="189.77777777777777"/>
        <n v="393.11111111111109"/>
        <n v="203.60847457627119"/>
        <n v="407.21694915254238"/>
        <n v="81.44338983050848"/>
        <n v="108.59118644067797"/>
        <n v="468"/>
        <n v="1741.219512195122"/>
        <n v="158.29268292682929"/>
        <n v="47.487804878048784"/>
        <n v="75"/>
        <n v="81.443571428571431"/>
        <n v="475.08749999999998"/>
        <n v="203.60892857142855"/>
        <n v="223"/>
        <n v="501.27272727272725"/>
        <n v="97.469696969696969"/>
        <n v="139.24242424242425"/>
        <n v="69.621212121212125"/>
        <n v="41.772727272727273"/>
        <n v="568.5625"/>
        <n v="258.4375"/>
        <n v="283.125"/>
        <n v="155.71875"/>
        <n v="14.15625"/>
        <n v="178"/>
        <n v="101.67"/>
        <n v="60.997500000000002"/>
        <n v="20.3325"/>
        <n v="59.272727272727273"/>
        <n v="29.636363636363637"/>
        <n v="14.818181818181818"/>
        <n v="13.25"/>
        <n v="66.25"/>
        <n v="6.625"/>
        <n v="201"/>
        <n v="161.65217391304347"/>
        <n v="62.173913043478265"/>
        <n v="253"/>
        <n v="93.545454545454547"/>
        <n v="26.727272727272727"/>
        <n v="100"/>
        <n v="559.69306930693074"/>
        <n v="169.60396039603961"/>
        <n v="135.68316831683168"/>
        <n v="678.41584158415844"/>
        <n v="27.754716981132077"/>
        <n v="693.86792452830196"/>
        <n v="111.01886792452831"/>
        <n v="235.91509433962267"/>
        <n v="305.30188679245282"/>
        <n v="97.14150943396227"/>
        <n v="52"/>
        <n v="538.57000000000005"/>
        <n v="164.5"/>
        <n v="331.43"/>
        <n v="1.6445783132530121"/>
        <n v="0.82228915662650603"/>
        <n v="1.3704819277108433"/>
        <n v="0.71265060240963851"/>
        <n v="261.09375"/>
        <n v="295.90625"/>
        <n v="574.13793103448279"/>
        <n v="904.26724137931035"/>
        <n v="186.59482758620689"/>
        <n v="57.714285714285715"/>
        <n v="43.285714285714285"/>
        <n v="0.72"/>
        <n v="0.22000000000000003"/>
        <n v="0.11000000000000001"/>
        <n v="0.31384615384615383"/>
        <n v="7.8461538461538458E-2"/>
        <n v="0.15692307692307692"/>
        <n v="3.9230769230769229E-2"/>
        <n v="0.2"/>
        <n v="96.25"/>
        <n v="68.75"/>
        <n v="275"/>
        <n v="425"/>
        <n v="438"/>
        <n v="437"/>
        <n v="22"/>
        <n v="101.0625"/>
        <n v="28.875"/>
        <n v="57.75"/>
        <n v="43.3125"/>
        <n v="44.53846153846154"/>
        <n v="14.846153846153847"/>
        <n v="29.692307692307693"/>
        <n v="59.384615384615387"/>
        <n v="402.85714285714289"/>
        <n v="67.142857142857139"/>
        <n v="133"/>
        <n v="87.333333333333329"/>
        <n v="37.428571428571431"/>
        <n v="62.38095238095238"/>
        <n v="74.857142857142861"/>
        <n v="120.85714285714286"/>
        <n v="470"/>
        <n v="26.857142857142858"/>
        <n v="134.28571428571428"/>
        <n v="84.73684210526315"/>
        <n v="237.26315789473682"/>
        <n v="464.40000000000003"/>
        <n v="309.60000000000002"/>
        <n v="384.91304347826087"/>
        <n v="296.08695652173913"/>
        <n v="50.285714285714285"/>
        <n v="12.571428571428571"/>
        <n v="25.142857142857142"/>
        <n v="145.66265060240963"/>
        <n v="407.85542168674698"/>
        <n v="436.98795180722891"/>
        <n v="72.831325301204814"/>
        <n v="676.12815533980574"/>
        <n v="1064.9018446601942"/>
        <n v="354.97"/>
        <n v="221.47368421052633"/>
        <n v="96.894736842105274"/>
        <n v="207.63157894736844"/>
        <n v="68"/>
        <n v="204"/>
        <n v="555.00224719101129"/>
        <n v="69.375280898876412"/>
        <n v="180.37573033707866"/>
        <n v="97.125393258426968"/>
        <n v="138.75056179775282"/>
        <n v="27.750112359550563"/>
        <n v="171.08055555555555"/>
        <n v="108.86944444444444"/>
        <n v="142.13999999999999"/>
        <n v="56.86"/>
        <n v="13.5"/>
        <n v="67"/>
        <n v="66.219512195121951"/>
        <n v="450.29268292682929"/>
        <n v="13.24390243902439"/>
        <n v="208.12"/>
        <n v="155.52500000000001"/>
        <n v="572.08333333333337"/>
        <n v="715.10416666666674"/>
        <n v="71.510416666666671"/>
        <n v="14.302083333333334"/>
        <n v="171"/>
        <n v="281"/>
        <n v="40.285714285714285"/>
        <n v="20.142857142857142"/>
        <n v="0.8"/>
        <n v="0.26666666666666666"/>
        <n v="417.85714285714289"/>
        <n v="41.785714285714285"/>
        <n v="348.21428571428572"/>
        <n v="27.857142857142858"/>
        <n v="139.28571428571428"/>
        <n v="38"/>
        <n v="275.2"/>
        <n v="68.8"/>
        <n v="158.33000000000001"/>
        <n v="267"/>
        <n v="126.67"/>
        <n v="2202"/>
        <n v="973.99999999999989"/>
        <n v="43.018867924528301"/>
        <n v="716.98113207547169"/>
        <n v="113"/>
        <n v="358"/>
        <n v="0.5"/>
        <n v="0.39636363636363642"/>
        <n v="0.14863636363636365"/>
        <n v="0.24772727272727277"/>
        <n v="0.19818181818181821"/>
        <n v="9.9090909090909104E-2"/>
        <n v="86.711351351351368"/>
        <n v="433.55675675675678"/>
        <n v="115.61513513513515"/>
        <n v="72.259459459459464"/>
        <n v="144.51891891891893"/>
        <n v="216.78"/>
        <n v="158.64461538461538"/>
        <n v="26.440769230769231"/>
        <n v="39.659999999999997"/>
        <n v="144.52000000000001"/>
        <n v="72.260000000000005"/>
        <n v="264.40666666666669"/>
        <n v="132.20333333333335"/>
        <n v="1158.82"/>
        <n v="662.17999999999984"/>
        <n v="286.26865671641792"/>
        <n v="429.40298507462688"/>
        <n v="114.50746268656717"/>
        <n v="128.82089552238807"/>
        <n v="0.51600000000000001"/>
        <n v="0.38700000000000001"/>
        <n v="0.75"/>
        <n v="41.53846153846154"/>
        <n v="69.230769230769226"/>
        <n v="298.64"/>
        <n v="358.36"/>
        <n v="158"/>
        <n v="75.75"/>
        <n v="25.25"/>
        <n v="139"/>
        <n v="60"/>
        <n v="45"/>
        <n v="278.26086956521738"/>
        <n v="208.69565217391303"/>
        <n v="41.739130434782609"/>
        <n v="83.478260869565219"/>
        <n v="13.913043478260869"/>
        <n v="204.88"/>
        <n v="78.8"/>
        <n v="315.2"/>
        <n v="219"/>
        <n v="189.12"/>
        <n v="0.12774193548387097"/>
        <n v="0.38322580645161292"/>
        <n v="0.57483870967741935"/>
        <n v="0.3193548387096774"/>
        <n v="0.19161290322580646"/>
        <n v="1.33"/>
        <n v="103.33333333333333"/>
        <n v="206.66666666666666"/>
        <n v="498.66771428571428"/>
        <n v="15.111142857142857"/>
        <n v="151.11000000000001"/>
        <n v="208"/>
        <n v="20.2"/>
        <n v="80.8"/>
        <n v="40.4"/>
        <n v="1095.3191489361702"/>
        <n v="48.680851063829785"/>
        <n v="153.33333333333334"/>
        <n v="61.333333333333336"/>
        <n v="46"/>
        <n v="138.26086956521738"/>
        <n v="318"/>
        <n v="41.478260869565219"/>
        <n v="206"/>
        <n v="315.52238805970148"/>
        <n v="205.08955223880596"/>
        <n v="94.656716417910445"/>
        <n v="1104.3283582089553"/>
        <n v="78.880597014925371"/>
        <n v="54.285714285714285"/>
        <n v="40.714285714285715"/>
        <n v="14.333333333333334"/>
        <n v="143.33333333333334"/>
        <n v="13.6"/>
        <n v="7.9333333333333325E-2"/>
        <n v="0.15866666666666665"/>
        <n v="0.79333333333333322"/>
        <n v="0.18857142857142856"/>
        <n v="1.1314285714285715"/>
        <n v="296"/>
        <n v="133.39500000000001"/>
        <n v="800.38"/>
        <n v="0.38888888888888884"/>
        <n v="0.22222222222222221"/>
        <n v="0.1111111111111111"/>
        <n v="0.27777777777777779"/>
        <n v="50"/>
        <n v="37.5"/>
        <n v="12.5"/>
        <n v="206.0233918128655"/>
        <n v="79.239766081871338"/>
        <n v="633.9181286549707"/>
        <n v="316.95906432748535"/>
        <n v="1109.3567251461989"/>
        <n v="364.50292397660814"/>
        <n v="200.09423076923076"/>
        <n v="133.39615384615382"/>
        <n v="6.6698076923076917"/>
        <n v="103.16"/>
        <n v="14.737142857142857"/>
        <n v="88.42285714285714"/>
        <n v="75.9375"/>
        <n v="45.5625"/>
        <n v="60.75"/>
        <n v="7.59375"/>
        <n v="90"/>
        <n v="14.736000000000001"/>
        <n v="58.944000000000003"/>
        <n v="396"/>
        <n v="175"/>
        <n v="102"/>
        <n v="295.87234042553195"/>
        <n v="522.12765957446811"/>
        <n v="143.66666666666669"/>
        <n v="718.33333333333337"/>
        <n v="61.629090909090905"/>
        <n v="107.85090909090908"/>
        <n v="107.85250000000001"/>
        <n v="138.66750000000002"/>
        <n v="54.5"/>
        <n v="163.5"/>
        <n v="160"/>
        <n v="9.6363636363636374E-2"/>
        <n v="0.14454545454545456"/>
        <n v="0.14400000000000002"/>
        <n v="9.6000000000000002E-2"/>
        <n v="0.192"/>
        <n v="26"/>
        <n v="13"/>
        <n v="14.3125"/>
        <n v="57.25"/>
        <n v="286.25"/>
        <n v="100.1875"/>
        <n v="65.924999999999997"/>
        <n v="26.37"/>
        <n v="158.22"/>
        <n v="92.295000000000002"/>
        <n v="13.19"/>
        <n v="275.12883435582819"/>
        <n v="161.84049079754601"/>
        <n v="1602.2208588957055"/>
        <n v="80.920245398773005"/>
        <n v="178.02453987730061"/>
        <n v="16.184049079754601"/>
        <n v="226.95"/>
        <n v="66.75"/>
        <n v="146.85"/>
        <n v="26.7"/>
        <n v="852"/>
        <n v="356.63265306122452"/>
        <n v="342.36734693877554"/>
        <n v="278.76923076923077"/>
        <n v="174.23076923076923"/>
        <n v="144.28571428571428"/>
        <n v="7.1428571428571425E-2"/>
        <n v="0.14285714285714285"/>
        <n v="0.2857142857142857"/>
        <n v="0.4375"/>
        <n v="0.26249999999999996"/>
        <n v="0.19347826086956521"/>
        <n v="0.50304347826086948"/>
        <n v="0.15478260869565216"/>
        <n v="3.8695652173913041E-2"/>
        <n v="2.78"/>
        <n v="92.1786046511628"/>
        <n v="408.21953488372094"/>
        <n v="65.841860465116284"/>
        <n v="114.11926605504587"/>
        <n v="163.02752293577981"/>
        <n v="1141.1926605504586"/>
        <n v="358.66055045871559"/>
        <n v="39.504827586206893"/>
        <n v="526.73103448275856"/>
        <n v="197.52413793103449"/>
        <n v="14.058823529411764"/>
        <n v="224.94117647058823"/>
        <n v="291"/>
        <n v="398.5"/>
        <n v="191.71428571428569"/>
        <n v="174.28571428571428"/>
        <n v="50.441860465116278"/>
        <n v="672.55813953488371"/>
        <n v="580"/>
        <m/>
        <n v="2.02" u="1"/>
        <n v="1.6833333333333333" u="1"/>
        <n v="0.33666666666666667" u="1"/>
        <n v="326.55882352941251" u="1"/>
        <n v="91.436470588235494" u="1"/>
        <n v="169.81058823529449" u="1"/>
        <n v="39.187058823529497" u="1"/>
        <n v="493.02453296703419" u="1"/>
        <n v="597.60549450549593" u="1"/>
        <n v="298.80274725274796" u="1"/>
        <n v="896.408241758244" u="1"/>
        <n v="224.102060439561" u="1"/>
        <n v="1494.0137362637399" u="1"/>
        <n v="104.58096153846179" u="1"/>
        <n v="119.52109890109919" u="1"/>
        <n v="149.40137362637398" u="1"/>
        <n v="4.9800457875457944" u="1"/>
        <n v="9.960091575091603" u="1"/>
        <n v="74.700686813186991" u="1"/>
        <n v="448.204120879122" u="1"/>
        <n v="179.28164835164878" u="1"/>
        <n v="44.820412087912196" u="1"/>
        <n v="29.880274725274798" u="1"/>
        <n v="194.2217857142862" u="1"/>
        <n v="53.180000000000092" u="1"/>
        <n v="319.61904761904759" u="1"/>
        <n v="95.885714285714286" u="1"/>
        <n v="79.904761904761898" u="1"/>
        <n v="159.8095238095238" u="1"/>
        <n v="31.961904761904762" u="1"/>
        <n v="5.4545454545454543E-2" u="1"/>
        <n v="84.146666666666661" u="1"/>
        <n v="168.29333333333332" u="1"/>
        <n v="57.414999999999992" u="1"/>
        <n v="19.138333333333332" u="1"/>
        <n v="38.276666666666664" u="1"/>
        <n v="0.33727272727272728" u="1"/>
        <n v="4.8181818181818187E-2" u="1"/>
        <n v="93.488181818181815" u="1"/>
        <n v="13.355454545454545" u="1"/>
        <n v="40.066363636363633" u="1"/>
      </sharedItems>
    </cacheField>
  </cacheFields>
  <extLst>
    <ext xmlns:x14="http://schemas.microsoft.com/office/spreadsheetml/2009/9/main" uri="{725AE2AE-9491-48be-B2B4-4EB974FC3084}">
      <x14:pivotCacheDefinition pivotCacheId="1541059757"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润点" refreshedDate="46195.473552777781" createdVersion="8" refreshedVersion="8" minRefreshableVersion="3" recordCount="811" xr:uid="{B1673268-95E5-49BD-8FE6-075EDE9C3FC1}">
  <cacheSource type="worksheet">
    <worksheetSource ref="A1:AN1583" sheet="亚马逊头程2026"/>
  </cacheSource>
  <cacheFields count="40">
    <cacheField name="序号" numFmtId="0">
      <sharedItems containsString="0" containsBlank="1" containsNumber="1" containsInteger="1" minValue="1" maxValue="810"/>
    </cacheField>
    <cacheField name="备注" numFmtId="0">
      <sharedItems containsBlank="1"/>
    </cacheField>
    <cacheField name="报关周次" numFmtId="0">
      <sharedItems containsBlank="1"/>
    </cacheField>
    <cacheField name="货件单号" numFmtId="49">
      <sharedItems containsBlank="1" count="330">
        <s v="FBA195L9WC0P"/>
        <s v="FBA195LB0WFL"/>
        <s v="FBA195LCJDMZ"/>
        <s v="FBA195LBB4TM"/>
        <s v="FBA195LB2C32"/>
        <s v="FBA195LDDMB5"/>
        <s v="FBA195L9WKNH"/>
        <s v="FBA195TXJ79C"/>
        <s v="FBA15L9C2DCR"/>
        <s v="FBA1962WJ10Y"/>
        <s v="FBA195WQT42J"/>
        <s v="FBA15L9NCNFT"/>
        <s v="FBA195X71HBT"/>
        <s v="FBA19630ZHP6"/>
        <s v="FBA15L9C90G5"/>
        <s v="FBA196675KXQ"/>
        <s v="FBA195TQGKS4"/>
        <s v="FBA195WSLNLM"/>
        <s v="FBA195X3NXZ7"/>
        <s v="FBA195X3FRY0"/>
        <s v="FBA1967GPG1X"/>
        <s v="FBA1967FNB50"/>
        <s v="FBA196FDHR3M"/>
        <s v="FBA196FG6V2S"/>
        <s v="FBA196866S65"/>
        <s v="FBA1969SRVSY"/>
        <s v="FBA196837WL2"/>
        <s v="FBA19683VMP8"/>
        <s v="FBA19682VZWD"/>
        <s v="FBA1968392KJ"/>
        <s v="FBA19686T54K"/>
        <s v="FBA1967F889Z"/>
        <s v="FBA1967XZYX3"/>
        <s v="FBA15LCDDPG8"/>
        <s v="FBA196P9L68R"/>
        <s v="FBA196P93TMX"/>
        <s v="FBA196PBJHGY"/>
        <s v="FBA196PD1BWG"/>
        <s v="FBA15G5ZVZZ2"/>
        <s v="FBA196VGYP1S"/>
        <s v="FBA196PDTG5X"/>
        <s v="FBA196P88RYV"/>
        <s v="FBA1969S9B3Z"/>
        <s v="FBA196P9YDLV"/>
        <s v="FBA196PCKJBN"/>
        <s v="FBA196PBH7G8"/>
        <s v="FBA196XYH2CB"/>
        <s v="FBA196XLRQQD"/>
        <s v="FBA196P9WPZ7"/>
        <s v="FBA196PCP9HX"/>
        <s v="FBA196NCXD8J"/>
        <s v="FBA196NCJYG5"/>
        <s v="FBA196N9B79B"/>
        <s v="FBA196NCQYR0"/>
        <s v="FBA196NB4NXF"/>
        <s v="FBA196ZPNG0Z"/>
        <s v="FBA196ZQYZK7"/>
        <s v="FBA15LD5H4FM"/>
        <s v="FBA15LD5WXF3"/>
        <s v="FBA196ZPM7XN"/>
        <s v="FBA196ZJWR8P"/>
        <s v="FBA197DXB0VL"/>
        <s v="FBA1976WKL4D"/>
        <s v="FBA1976LX63R"/>
        <s v="FBA1976MP8CY"/>
        <s v="FBA1976N1PRR"/>
        <s v="FBA1976NHDF8"/>
        <s v="FBA1976MCGX6"/>
        <s v="FBA197D77P3S"/>
        <s v="FBA1987594KP"/>
        <s v="FBA198F648V6"/>
        <s v="FBA198CCWL4Q"/>
        <s v="FBA19873RZMP"/>
        <s v="FBA198354HLL"/>
        <s v="FBA198F4S73Q"/>
        <s v="FBA198K79B9C"/>
        <s v="FBA198K5X4YB"/>
        <s v="FBA15LHXTKQ1"/>
        <s v="FBA15LJ7LFCF"/>
        <s v="FBA198R5WZBL"/>
        <s v="FBA198R5V676"/>
        <s v="FBA198KBXJ4X"/>
        <s v="FBA198KC8HBQ"/>
        <s v="FBA198K8QZC5"/>
        <s v="FBA198KFN9NS"/>
        <s v="FBA198K9RVMY"/>
        <s v="FBA198LLVD5S"/>
        <s v="FBA198LLBYQJ"/>
        <s v="FBA198LK2T65"/>
        <s v="FBA198LHZYBC"/>
        <s v="FBA198PY9806"/>
        <s v="FBA198VX409J"/>
        <s v="FBA198X547X1"/>
        <s v="FBA198W2C0D1"/>
        <s v="FBA198W7XC64"/>
        <s v="FBA198XML3L7"/>
        <s v="FBA19903R9DH"/>
        <s v="FBA19994C4F1"/>
        <s v="FBA19993QKM2"/>
        <s v="FBA15G7HFC4R"/>
        <s v="FBA19922135M"/>
        <s v="FBA198X3QKQ1"/>
        <s v="FBA198X58NK5"/>
        <s v="FBA198XV6SCX"/>
        <s v="FBA198W8K669"/>
        <s v="FBA198VY9H04"/>
        <s v="FBA198W7ZHBG"/>
        <s v="FBA199220GQD"/>
        <s v="FBA198W7P8C9"/>
        <s v="FBA19985BHPR"/>
        <s v="FBA1997PDD0Z"/>
        <s v="FBA199C7XWBM"/>
        <s v="FBA1998DXN77"/>
        <s v="FBA19981TS59"/>
        <s v="FBA19982BL68"/>
        <s v="FBA1997ZZGG7"/>
        <s v="FBA19981L65S"/>
        <s v="FBA15LKVV9JS"/>
        <s v="FBA15LKZVHYC"/>
        <s v="FBA1990KKRQ3"/>
        <s v="FBA1998CWPX7"/>
        <s v="FBA1998BJR8W"/>
        <s v="FBA1998CHTC2"/>
        <s v="FBA1998BTZST"/>
        <s v="FBA19968P4N3"/>
        <s v="FBA198XY9VBP"/>
        <s v="FBA199664Z1H"/>
        <s v="FBA19987CYJC"/>
        <s v="FBA199632TX8"/>
        <s v="FBA1996418F0"/>
        <s v="FBA15LKFVN1C"/>
        <s v="FBA199KPSFXM"/>
        <s v="FBA199KNT8RY"/>
        <s v="FBA199JBH82C"/>
        <s v="FBA199J9RQ5K"/>
        <s v="FBA199JCMDW7"/>
        <s v="FBA199ND5Y2G"/>
        <s v="FBA199JC2QFL"/>
        <s v="FBA199J9FWBW"/>
        <s v="FBA199JBK252"/>
        <s v="FBA199KWXBZZ"/>
        <s v="FBA199J8WL2C"/>
        <s v="FBA199J7KYFZ"/>
        <s v="FBA199JB9GX5"/>
        <s v="FBA199J506NT"/>
        <s v="FBA199JBCYRR"/>
        <s v="FBA199V9G06K"/>
        <s v="FBA19B7DZGDV"/>
        <s v="FBA199V98MJG"/>
        <s v="FBA199WVYDVD"/>
        <s v="FBA199WX2PW7"/>
        <s v="FBA199WV8JXK"/>
        <s v="FBA199X2YQJT"/>
        <s v="FBA199V40XDQ"/>
        <s v="FBA199V5RZPW"/>
        <s v="FBA15LMGRQ7F"/>
        <s v="FBA199WG4JL3"/>
        <s v="FBA199TT251G"/>
        <s v="FBA199WTFJB1"/>
        <s v="FBA199V32GNW"/>
        <s v="FBA199WGX66P"/>
        <s v="FBA199TTG21T"/>
        <s v="FBA19B9KJ2QH"/>
        <s v="FBA19B9LM3JV"/>
        <s v="FBA15LN44JQQ"/>
        <s v="FBA15G8D1ZB2"/>
        <s v="FBA19BBRVKSC"/>
        <s v="FBA19B9C8RDL"/>
        <s v="FBA19BC498R6"/>
        <s v="FBA19BC2TT08"/>
        <s v="FBA19B9HK18P"/>
        <s v="FBA19BK8QFSK"/>
        <s v="FBA19BCDLF7B"/>
        <s v="FBA19BCGVYN1"/>
        <s v="FBA19BCK42Y8"/>
        <s v="FBA19B9NXYNH"/>
        <s v="FBA19B7B1PZ2"/>
        <s v="FBA19B79W7D9"/>
        <s v="FBA19B7N189J"/>
        <s v="FBA19B7J1BX9"/>
        <s v="FBA19B9HSTHR"/>
        <s v="FBA19B9DG84G"/>
        <s v="FBA19B9DKZG9"/>
        <s v="FBA19B9HCN3R"/>
        <s v="FBA19B9HCF21"/>
        <s v="FBA19B9DLDTH"/>
        <s v="FBA15LN4716N"/>
        <s v="FBA15LP65LXZ"/>
        <s v="FBA15G8QSTZS"/>
        <s v="FBA19BY3VMYT"/>
        <s v="FBA19BY83NF8"/>
        <s v="FBA19BS18QGQ"/>
        <s v="FBA19BS5LVP7"/>
        <s v="FBA19BRTCW8K"/>
        <s v="FBA19BY2DDBJ"/>
        <s v="FBA19BRD7JZ3"/>
        <s v="FBA19BRN46FT"/>
        <s v="FBA19BS9WBMQ"/>
        <s v="FBA19BRK5DWK"/>
        <s v="FBA19BRWKFV5"/>
        <s v="FBA19BRVKMS2"/>
        <s v="FBA19BRVNNYF"/>
        <s v="FBA19C2Q5YYR"/>
        <s v="FBA19C5419DM"/>
        <s v="FBA19C4KVPDZ"/>
        <s v="FBA19C54L6RG"/>
        <s v="FBA19C53QL9F"/>
        <s v="FBA19C5HZZP9"/>
        <s v="FBA19C5PCDN1"/>
        <s v="FBA19C5PLM9L"/>
        <s v="FBA19CFN1JVG"/>
        <s v="FBA19CCGJKBD"/>
        <s v="FBA19CCPRKWP"/>
        <s v="FBA19CCTKGCQ"/>
        <s v="FBA19C5F8QF9"/>
        <s v="FBA19C589LLD"/>
        <s v="FBA19CK1JT4K"/>
        <s v="FBA19CJY2VB7"/>
        <s v="FBA19C12J46C"/>
        <s v="FBA19C53HQWX"/>
        <s v="FBA19C12XM4V"/>
        <s v="FBA19CVVZN2V"/>
        <s v="FBA19CVTGBRQ"/>
        <s v="FBA19CVTVQS7"/>
        <s v="FBA19CVZRY66"/>
        <s v="FBA19CKXTVFC"/>
        <s v="FBA19CJWGL14"/>
        <s v="FBA15LQTG88C"/>
        <s v="FBA19CSDPQT6"/>
        <s v="FBA19CSKJ9TY"/>
        <s v="FBA19CSMTF0M"/>
        <s v="FBA19CTYDDLS"/>
        <s v="FBA19CKRNYM2"/>
        <s v="FBA19CS2J6FM"/>
        <s v="FBA15LQTBB8F"/>
        <s v="FBA15LQT5NPH"/>
        <s v="FBA19CY3S27T"/>
        <s v="FBA19CY3DWCX"/>
        <s v="FBA19CYBYB8S"/>
        <s v="FBA19D0YVFRX"/>
        <s v="FBA19D384MDF"/>
        <s v="FBA19D4HMDZM"/>
        <s v="FBA19CXM6Z07"/>
        <s v="FBA19CXL7FRP"/>
        <s v="FBA19D2J6WFH"/>
        <s v="FBA19D0H6V9R"/>
        <s v="FBA19D0HJ1ZW"/>
        <s v="FBA19D4B6M9C"/>
        <s v="FBA19D93KMHJ"/>
        <s v="FBA19D94S4L0"/>
        <s v="FBA19DCNSFXR"/>
        <s v="FBA19DCQDFHJ"/>
        <s v="FBA19DCSC490"/>
        <s v="FBA19DCRKGGZ"/>
        <s v="FBA19DCSKYDJ"/>
        <s v="FBA19DCDFPP1"/>
        <s v="FBA19CYJ3DZ0"/>
        <s v="FBA19DBKJ7ZY"/>
        <s v="FBA19DCLY68K"/>
        <s v="FBA19DCNNMVR"/>
        <s v="FBA19DHFYLGN"/>
        <s v="FBA19DHCQZSK"/>
        <s v="FBA19DC9Y40J"/>
        <s v="FBA19DHFYR3J"/>
        <s v="FBA15LRDVZJC"/>
        <s v="FBA19DBRV3ML"/>
        <s v="FBA19DBWHMS4"/>
        <s v="FBA19DCGXCHB"/>
        <s v="FBA19D747B01"/>
        <s v="FBA15LSK9KTJ"/>
        <s v="FBA15LTKZKLC"/>
        <s v="FBA19F6GKFQ6"/>
        <s v="FBA19DX4J71R"/>
        <s v="FBA19DX51Y1T"/>
        <s v="FBA19DZ91P1W"/>
        <s v="FBA19DZB5TF6"/>
        <s v="FBA19DZDJ9ZD"/>
        <s v="FBA19F1CKNMZ"/>
        <s v="FBA19DPVDG0V"/>
        <s v="FBA19DZ6Y1S9"/>
        <s v="FBA19DVRJ4T5"/>
        <s v="FBA19F4M4RD6"/>
        <s v="FBA19F4KJ9DZ"/>
        <s v="FBA15LTQTFQ1"/>
        <s v="FBA19F46GJLZ"/>
        <s v="FBA19F4LL08N"/>
        <s v="FBA19F4J942R"/>
        <s v="FBA15LVJ20F1"/>
        <s v="FBA15GC5P5Z1"/>
        <s v="FBA19FBGSKKJ"/>
        <s v="FBA19FF0MFN3"/>
        <s v="FBA15LVHR86N"/>
        <s v="FBA15LRLM5FN"/>
        <s v="FBA19F4L4GBL"/>
        <s v="FBA19F4CS4GC"/>
        <s v="FBA19F4F3XKR"/>
        <s v="FBA19FCRN9Z5"/>
        <s v="FBA19FDYM0XZ"/>
        <s v="FBA19FF0RZTW"/>
        <s v="FBA19FDYT4WC"/>
        <s v="FBA19FF07F7L"/>
        <s v="FBA19FCWZXLS"/>
        <s v="FBA19FKG454G"/>
        <s v="FBA15LVTVJHZ"/>
        <s v="FBA15LW37NF8"/>
        <s v="FBA19FK42PG0"/>
        <s v="FBA19FKPN62D"/>
        <s v="FBA19FKPGCGP"/>
        <s v="FBA19FKMFZC8"/>
        <s v="FBA19FLS58YS"/>
        <s v="FBA19FKM69ZK"/>
        <s v="FBA19FKP1YD8"/>
        <s v="FBA19FLSZ71L"/>
        <s v="FBA19FX4LWX3"/>
        <s v="FBA19FVYP714"/>
        <s v="FBA19FKLZ68M"/>
        <s v="FBA19FKLZWFR"/>
        <s v="FBA19FRFSK56"/>
        <s v="FBA19FBSKGK6"/>
        <s v="FBA19FYYN3FG"/>
        <s v="FBA19G1RZZM4"/>
        <s v="FBA19FZ47Y4S"/>
        <s v="FBA19G5WQ01D"/>
        <s v="FBA19G690J88"/>
        <s v="FBA19FZ40R9D"/>
        <s v="FBA19FYY4NKY"/>
        <s v="FBA19G1QV4FP"/>
        <s v="FBA19FZ34LHX"/>
        <s v="FBA19FZ39DLV"/>
        <m/>
      </sharedItems>
    </cacheField>
    <cacheField name="店铺" numFmtId="0">
      <sharedItems containsBlank="1"/>
    </cacheField>
    <cacheField name="国家" numFmtId="0">
      <sharedItems containsBlank="1"/>
    </cacheField>
    <cacheField name="SKU" numFmtId="49">
      <sharedItems containsBlank="1"/>
    </cacheField>
    <cacheField name="申报量" numFmtId="0">
      <sharedItems containsString="0" containsBlank="1" containsNumber="1" containsInteger="1" minValue="10" maxValue="3300"/>
    </cacheField>
    <cacheField name="货代名称" numFmtId="0">
      <sharedItems containsBlank="1" count="12">
        <s v="万邦"/>
        <s v="积米"/>
        <s v="嘀嗒嘀"/>
        <s v="天盛"/>
        <s v="澳鹰"/>
        <s v="亦邦物流"/>
        <s v="德速物流"/>
        <s v="国润通"/>
        <s v="京弈达"/>
        <s v="合联中东"/>
        <s v="旗云"/>
        <m/>
      </sharedItems>
    </cacheField>
    <cacheField name="路线归类" numFmtId="0">
      <sharedItems containsBlank="1"/>
    </cacheField>
    <cacheField name="物流中心编码" numFmtId="49">
      <sharedItems containsBlank="1"/>
    </cacheField>
    <cacheField name="子型号-有公式" numFmtId="0">
      <sharedItems containsBlank="1"/>
    </cacheField>
    <cacheField name="品名-有公式" numFmtId="0">
      <sharedItems containsBlank="1"/>
    </cacheField>
    <cacheField name="父型号-有公式" numFmtId="0">
      <sharedItems containsBlank="1"/>
    </cacheField>
    <cacheField name="箱数" numFmtId="0">
      <sharedItems containsString="0" containsBlank="1" containsNumber="1" minValue="0.25" maxValue="128"/>
    </cacheField>
    <cacheField name="货件计费重" numFmtId="0">
      <sharedItems containsString="0" containsBlank="1" containsNumber="1" minValue="3.8695652173913041E-2" maxValue="2202"/>
    </cacheField>
    <cacheField name="收费标准" numFmtId="177">
      <sharedItems containsBlank="1"/>
    </cacheField>
    <cacheField name="物流单价" numFmtId="0">
      <sharedItems containsString="0" containsBlank="1" containsNumber="1" minValue="2.8" maxValue="2100"/>
    </cacheField>
    <cacheField name="报关或其他费" numFmtId="0">
      <sharedItems containsBlank="1" containsMixedTypes="1" containsNumber="1" minValue="180" maxValue="1036.08"/>
    </cacheField>
    <cacheField name="报关或其他费分摊" numFmtId="176">
      <sharedItems containsString="0" containsBlank="1" containsNumber="1" minValue="0.27472527472527442" maxValue="659.3236363636363"/>
    </cacheField>
    <cacheField name="预估运费" numFmtId="176">
      <sharedItems containsString="0" containsBlank="1" containsNumber="1" minValue="17.707423687423667" maxValue="10989.800000000001"/>
    </cacheField>
    <cacheField name="单台运费￥" numFmtId="0">
      <sharedItems containsString="0" containsBlank="1" containsNumber="1" minValue="0.22715079365079366" maxValue="43.54666666666666"/>
    </cacheField>
    <cacheField name="$" numFmtId="0">
      <sharedItems containsString="0" containsBlank="1" containsNumber="1" minValue="3.3903103529969204E-2" maxValue="6.4995024875621876"/>
    </cacheField>
    <cacheField name="税金-相同报关单" numFmtId="0">
      <sharedItems containsString="0" containsBlank="1" containsNumber="1" minValue="428.1" maxValue="635.94000000000005"/>
    </cacheField>
    <cacheField name="税金" numFmtId="0">
      <sharedItems containsString="0" containsBlank="1" containsNumber="1" minValue="57.635000000000005" maxValue="345.81"/>
    </cacheField>
    <cacheField name="税金是否录入" numFmtId="0">
      <sharedItems containsBlank="1"/>
    </cacheField>
    <cacheField name="提货时间" numFmtId="14">
      <sharedItems containsNonDate="0" containsDate="1" containsString="0" containsBlank="1" minDate="2026-01-09T00:00:00" maxDate="2026-06-19T00:00:00" count="47">
        <d v="2026-01-09T00:00:00"/>
        <d v="2026-01-16T00:00:00"/>
        <d v="2026-01-23T00:00:00"/>
        <d v="2026-01-29T00:00:00"/>
        <d v="2026-01-28T00:00:00"/>
        <d v="2026-01-30T00:00:00"/>
        <d v="2026-02-02T00:00:00"/>
        <d v="2026-02-06T00:00:00"/>
        <d v="2026-02-03T00:00:00"/>
        <d v="2026-03-06T00:00:00"/>
        <d v="2026-03-13T00:00:00"/>
        <d v="2026-03-14T00:00:00"/>
        <d v="2026-03-21T00:00:00"/>
        <d v="2026-03-22T00:00:00"/>
        <d v="2026-03-23T00:00:00"/>
        <d v="2026-03-20T00:00:00"/>
        <d v="2026-03-28T00:00:00"/>
        <d v="2026-03-26T00:00:00"/>
        <d v="2026-03-27T00:00:00"/>
        <d v="2026-04-04T00:00:00"/>
        <d v="2026-04-03T00:00:00"/>
        <d v="2026-04-02T00:00:00"/>
        <d v="2026-04-11T00:00:00"/>
        <d v="2026-04-10T00:00:00"/>
        <d v="2026-04-17T00:00:00"/>
        <d v="2026-04-16T00:00:00"/>
        <d v="2026-04-24T00:00:00"/>
        <d v="2026-04-26T00:00:00"/>
        <d v="2026-04-25T00:00:00"/>
        <d v="2026-04-30T00:00:00"/>
        <d v="2026-04-29T00:00:00"/>
        <d v="2026-05-09T00:00:00"/>
        <d v="2026-05-08T00:00:00"/>
        <d v="2026-05-14T00:00:00"/>
        <d v="2026-05-15T00:00:00"/>
        <d v="2026-05-16T00:00:00"/>
        <d v="2026-05-22T00:00:00"/>
        <d v="2026-05-21T00:00:00"/>
        <d v="2026-05-29T00:00:00"/>
        <d v="2026-06-06T00:00:00"/>
        <d v="2026-06-04T00:00:00"/>
        <d v="2026-06-05T00:00:00"/>
        <d v="2026-06-12T00:00:00"/>
        <d v="2026-06-13T00:00:00"/>
        <d v="2026-06-11T00:00:00"/>
        <d v="2026-06-18T00:00:00"/>
        <m/>
      </sharedItems>
    </cacheField>
    <cacheField name="到港日期" numFmtId="0">
      <sharedItems containsNonDate="0" containsDate="1" containsString="0" containsBlank="1" minDate="2025-06-10T00:00:00" maxDate="2026-07-17T00:00:00" count="109">
        <d v="2026-02-01T00:00:00"/>
        <d v="2026-01-29T00:00:00"/>
        <d v="2026-02-09T00:00:00"/>
        <d v="2026-02-07T00:00:00"/>
        <d v="2026-03-13T00:00:00"/>
        <d v="2026-03-01T00:00:00"/>
        <d v="2026-02-25T00:00:00"/>
        <d v="2026-02-10T00:00:00"/>
        <d v="2026-02-05T00:00:00"/>
        <d v="2026-02-14T00:00:00"/>
        <d v="2026-03-08T00:00:00"/>
        <d v="2026-03-12T00:00:00"/>
        <d v="2026-02-12T00:00:00"/>
        <d v="2026-02-22T00:00:00"/>
        <d v="2026-03-06T00:00:00"/>
        <d v="2026-02-19T00:00:00"/>
        <d v="2026-03-14T00:00:00"/>
        <d v="2026-03-16T00:00:00"/>
        <d v="2026-03-15T00:00:00"/>
        <d v="2026-03-22T00:00:00"/>
        <d v="2026-02-26T00:00:00"/>
        <d v="2026-03-04T00:00:00"/>
        <d v="2026-03-17T00:00:00"/>
        <d v="2026-03-21T00:00:00"/>
        <d v="2026-04-07T00:00:00"/>
        <d v="2026-03-28T00:00:00"/>
        <d v="2026-03-25T00:00:00"/>
        <d v="2026-04-09T00:00:00"/>
        <d v="2026-03-29T00:00:00"/>
        <d v="2026-04-06T00:00:00"/>
        <d v="2026-04-26T00:00:00"/>
        <d v="2026-04-18T00:00:00"/>
        <d v="2026-04-04T00:00:00"/>
        <d v="2026-04-02T00:00:00"/>
        <d v="2026-04-13T00:00:00"/>
        <d v="2026-04-14T00:00:00"/>
        <d v="2026-04-05T00:00:00"/>
        <d v="2026-04-10T00:00:00"/>
        <d v="2026-04-19T00:00:00"/>
        <d v="2026-04-22T00:00:00"/>
        <d v="2026-04-17T00:00:00"/>
        <d v="2026-04-12T00:00:00"/>
        <d v="2026-05-11T00:00:00"/>
        <d v="2026-05-09T00:00:00"/>
        <d v="2026-04-20T00:00:00"/>
        <d v="2026-04-27T00:00:00"/>
        <d v="2026-04-25T00:00:00"/>
        <d v="2026-04-28T00:00:00"/>
        <d v="2026-05-05T00:00:00"/>
        <d v="2026-05-03T00:00:00"/>
        <d v="2026-05-21T00:00:00"/>
        <d v="2026-05-02T00:00:00"/>
        <d v="2026-05-10T00:00:00"/>
        <d v="2026-05-26T00:00:00"/>
        <d v="2026-05-19T00:00:00"/>
        <d v="2026-05-08T00:00:00"/>
        <d v="2026-05-22T00:00:00"/>
        <d v="2026-05-29T00:00:00"/>
        <d v="2026-05-27T00:00:00"/>
        <d v="2026-06-08T00:00:00"/>
        <d v="2026-05-15T00:00:00"/>
        <d v="2026-05-17T00:00:00"/>
        <d v="2026-05-28T00:00:00"/>
        <d v="2026-06-04T00:00:00"/>
        <d v="2026-05-24T00:00:00"/>
        <d v="2026-05-25T00:00:00"/>
        <d v="2026-05-23T00:00:00"/>
        <d v="2026-06-01T00:00:00"/>
        <d v="2025-06-10T00:00:00"/>
        <d v="2026-05-30T00:00:00"/>
        <d v="2026-06-24T00:00:00"/>
        <d v="2026-06-21T00:00:00"/>
        <d v="2026-06-07T00:00:00"/>
        <d v="2026-06-15T00:00:00"/>
        <d v="2026-06-02T00:00:00"/>
        <d v="2026-06-22T00:00:00"/>
        <d v="2026-06-06T00:00:00"/>
        <d v="2026-06-10T00:00:00"/>
        <d v="2026-06-27T00:00:00"/>
        <d v="2026-06-23T00:00:00"/>
        <d v="2026-06-13T00:00:00"/>
        <d v="2026-06-12T00:00:00"/>
        <d v="2026-06-28T00:00:00"/>
        <d v="2026-06-14T00:00:00"/>
        <d v="2026-07-04T00:00:00"/>
        <d v="2026-06-20T00:00:00"/>
        <d v="2026-07-02T00:00:00"/>
        <d v="2026-07-12T00:00:00"/>
        <m/>
        <d v="2026-07-08T00:00:00"/>
        <d v="2026-07-01T00:00:00"/>
        <d v="2026-06-29T00:00:00"/>
        <d v="2026-07-06T00:00:00"/>
        <d v="2026-07-11T00:00:00"/>
        <d v="2026-07-16T00:00:00"/>
        <d v="2026-07-07T00:00:00"/>
        <d v="2026-06-03T00:00:00" u="1"/>
        <d v="2026-06-05T00:00:00" u="1"/>
        <d v="2026-06-09T00:00:00" u="1"/>
        <d v="2026-06-19T00:00:00" u="1"/>
        <d v="2026-05-20T00:00:00" u="1"/>
        <d v="2026-05-18T00:00:00" u="1"/>
        <d v="2026-05-13T00:00:00" u="1"/>
        <d v="2026-04-29T00:00:00" u="1"/>
        <d v="2026-03-11T00:00:00" u="1"/>
        <d v="2026-03-10T00:00:00" u="1"/>
        <d v="2026-02-28T00:00:00" u="1"/>
        <d v="2026-02-20T00:00:00" u="1"/>
        <d v="2026-03-05T00:00:00" u="1"/>
      </sharedItems>
    </cacheField>
    <cacheField name="预计派送日期" numFmtId="14">
      <sharedItems containsNonDate="0" containsString="0" containsBlank="1"/>
    </cacheField>
    <cacheField name="入库配置费/unit" numFmtId="176">
      <sharedItems containsString="0" containsBlank="1" containsNumber="1" minValue="0" maxValue="0.70358974358974358"/>
    </cacheField>
    <cacheField name="总入库配置费 $" numFmtId="176">
      <sharedItems containsString="0" containsBlank="1" containsNumber="1" minValue="0" maxValue="1452"/>
    </cacheField>
    <cacheField name="Delivered" numFmtId="14">
      <sharedItems containsNonDate="0" containsDate="1" containsString="0" containsBlank="1" minDate="2026-01-22T00:00:00" maxDate="2026-06-13T00:00:00"/>
    </cacheField>
    <cacheField name="在途周期/天" numFmtId="0">
      <sharedItems containsString="0" containsBlank="1" containsNumber="1" containsInteger="1" minValue="-46179" maxValue="78"/>
    </cacheField>
    <cacheField name="上架完成" numFmtId="14">
      <sharedItems containsNonDate="0" containsDate="1" containsString="0" containsBlank="1" minDate="2026-02-11T00:00:00" maxDate="2026-06-10T00:00:00"/>
    </cacheField>
    <cacheField name="上架数量" numFmtId="177">
      <sharedItems containsString="0" containsBlank="1" containsNumber="1" containsInteger="1" minValue="10" maxValue="2972"/>
    </cacheField>
    <cacheField name="上架周期" numFmtId="177">
      <sharedItems containsString="0" containsBlank="1" containsNumber="1" containsInteger="1" minValue="-46181" maxValue="61"/>
    </cacheField>
    <cacheField name="累积时效" numFmtId="177">
      <sharedItems containsNonDate="0" containsString="0" containsBlank="1"/>
    </cacheField>
    <cacheField name="追踪号" numFmtId="49">
      <sharedItems containsBlank="1"/>
    </cacheField>
    <cacheField name="报关单价" numFmtId="0">
      <sharedItems containsNonDate="0" containsString="0" containsBlank="1"/>
    </cacheField>
    <cacheField name="报关金额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 pivotCacheId="630297928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70">
  <r>
    <n v="1"/>
    <m/>
    <s v="W020005"/>
    <s v="FBA195L9WC0P"/>
    <s v="E-US"/>
    <x v="0"/>
    <s v="ANZ-B"/>
    <n v="1000"/>
    <s v="万邦"/>
    <s v="盐田海卡"/>
    <s v="TCY2"/>
    <x v="0"/>
    <s v="ANZ-B 便携式扩香仪 黑色"/>
    <x v="0"/>
    <n v="25"/>
    <n v="326.95999999999998"/>
    <s v="重量收费"/>
    <n v="3.5"/>
    <m/>
    <m/>
    <n v="1144.3599999999999"/>
    <n v="1.1443599999999998"/>
    <n v="0.17079999999999998"/>
    <m/>
    <m/>
    <m/>
    <x v="0"/>
    <d v="2026-02-01T00:00:00"/>
    <m/>
    <n v="0.34"/>
    <n v="340"/>
    <d v="2026-02-11T00:00:00"/>
    <n v="33"/>
    <d v="2026-02-11T00:00:00"/>
  </r>
  <r>
    <n v="2"/>
    <m/>
    <s v="W020005"/>
    <s v="FBA195LB0WFL"/>
    <s v="E-US"/>
    <x v="0"/>
    <s v="001000045"/>
    <n v="210"/>
    <s v="万邦"/>
    <s v="盐田海卡"/>
    <s v="TCY2"/>
    <x v="1"/>
    <s v="ANX-B 便携式扩香仪 黑色"/>
    <x v="1"/>
    <n v="7"/>
    <n v="91.549230769230775"/>
    <s v="重量收费"/>
    <n v="3.5"/>
    <m/>
    <m/>
    <n v="320.4223076923077"/>
    <n v="1.5258205128205129"/>
    <n v="0.22773440489858401"/>
    <m/>
    <m/>
    <m/>
    <x v="0"/>
    <d v="2026-02-01T00:00:00"/>
    <m/>
    <n v="0.43782608695652175"/>
    <n v="91.943478260869568"/>
    <d v="2026-02-11T00:00:00"/>
    <n v="33"/>
    <d v="2026-02-11T00:00:00"/>
  </r>
  <r>
    <n v="3"/>
    <m/>
    <s v="W020005"/>
    <s v="FBA195LB0WFL"/>
    <s v="E-US"/>
    <x v="0"/>
    <s v="001000058"/>
    <n v="208"/>
    <s v="万邦"/>
    <s v="盐田海卡"/>
    <s v="TCY2"/>
    <x v="2"/>
    <s v="ANX-2PC-BS 便携式扩香仪套装 黑+银"/>
    <x v="1"/>
    <n v="13"/>
    <n v="170.02"/>
    <s v="重量收费"/>
    <n v="3.5"/>
    <m/>
    <m/>
    <n v="595.07000000000005"/>
    <n v="2.8609134615384617"/>
    <n v="0.42700200918484504"/>
    <m/>
    <m/>
    <m/>
    <x v="0"/>
    <d v="2026-02-01T00:00:00"/>
    <m/>
    <n v="0.43782608695652175"/>
    <n v="91.067826086956529"/>
    <d v="2026-02-11T00:00:00"/>
    <n v="33"/>
    <d v="2026-02-11T00:00:00"/>
  </r>
  <r>
    <n v="4"/>
    <m/>
    <s v="W020005"/>
    <s v="FBA195LB0WFL"/>
    <s v="E-US"/>
    <x v="0"/>
    <s v="001000050"/>
    <n v="90"/>
    <s v="万邦"/>
    <s v="盐田海卡"/>
    <s v="TCY2"/>
    <x v="3"/>
    <s v="ANX-RP 便携式扩香仪 红粉色"/>
    <x v="1"/>
    <n v="3"/>
    <n v="39.235384615384618"/>
    <s v="重量收费"/>
    <n v="3.5"/>
    <m/>
    <m/>
    <n v="137.32384615384615"/>
    <n v="1.5258205128205127"/>
    <n v="0.22773440489858399"/>
    <m/>
    <m/>
    <m/>
    <x v="0"/>
    <d v="2026-02-01T00:00:00"/>
    <m/>
    <n v="0.43782608695652175"/>
    <n v="39.404347826086955"/>
    <d v="2026-02-11T00:00:00"/>
    <n v="33"/>
    <d v="2026-02-11T00:00:00"/>
  </r>
  <r>
    <n v="5"/>
    <m/>
    <s v="W020005"/>
    <s v="FBA195LB0WFL"/>
    <s v="E-US"/>
    <x v="0"/>
    <s v="001000051"/>
    <n v="90"/>
    <s v="万邦"/>
    <s v="盐田海卡"/>
    <s v="TCY2"/>
    <x v="4"/>
    <s v="ANX-SG 便携式扩香仪 太空灰色"/>
    <x v="1"/>
    <n v="3"/>
    <n v="39.235384615384618"/>
    <s v="重量收费"/>
    <n v="3.5"/>
    <m/>
    <m/>
    <n v="137.32384615384615"/>
    <n v="1.5258205128205127"/>
    <n v="0.22773440489858399"/>
    <m/>
    <m/>
    <m/>
    <x v="0"/>
    <d v="2026-02-01T00:00:00"/>
    <m/>
    <n v="0.43782608695652175"/>
    <n v="39.404347826086955"/>
    <d v="2026-02-11T00:00:00"/>
    <n v="33"/>
    <d v="2026-02-11T00:00:00"/>
  </r>
  <r>
    <n v="6"/>
    <m/>
    <s v="W020004"/>
    <s v="FBA195LCJDMZ"/>
    <s v="V-US"/>
    <x v="0"/>
    <s v="ADXKIT_B_TX33_30ML"/>
    <n v="990"/>
    <s v="万邦"/>
    <s v="盐田海卡"/>
    <s v="TCY1"/>
    <x v="5"/>
    <s v="ADXKIT_B_TX33_30ML ADX黑色机器+30mL檀香33香氛油（天竺） 机油套装"/>
    <x v="2"/>
    <n v="33"/>
    <n v="493.09632653061226"/>
    <s v="重量收费"/>
    <n v="3.5"/>
    <n v="300"/>
    <n v="27.197802197802197"/>
    <n v="1753.0349450549452"/>
    <n v="1.7707423687423689"/>
    <n v="0.2642899057824431"/>
    <m/>
    <m/>
    <m/>
    <x v="0"/>
    <d v="2026-02-01T00:00:00"/>
    <m/>
    <n v="0.41"/>
    <n v="405.9"/>
    <d v="2026-02-13T00:00:00"/>
    <n v="35"/>
    <d v="2026-02-13T00:00:00"/>
  </r>
  <r>
    <n v="7"/>
    <m/>
    <s v="W020004"/>
    <s v="FBA195LCJDMZ"/>
    <s v="V-US"/>
    <x v="0"/>
    <s v="AN6KIT-B_2X20K01"/>
    <n v="1200"/>
    <s v="万邦"/>
    <s v="盐田海卡"/>
    <s v="TCY1"/>
    <x v="6"/>
    <s v="AN6KIT-B_2X20K01 AN6黑色机器+2X20mL酒店香氛油 机油套装"/>
    <x v="3"/>
    <n v="40"/>
    <n v="597.69251700680275"/>
    <s v="重量收费"/>
    <n v="3.5"/>
    <n v="300.00000000000006"/>
    <n v="32.967032967032964"/>
    <n v="2124.8908424908427"/>
    <n v="1.7707423687423689"/>
    <n v="0.2642899057824431"/>
    <m/>
    <m/>
    <m/>
    <x v="0"/>
    <d v="2026-02-01T00:00:00"/>
    <m/>
    <n v="0.41"/>
    <n v="491.99999999999994"/>
    <d v="2026-02-13T00:00:00"/>
    <n v="35"/>
    <d v="2026-02-13T00:00:00"/>
  </r>
  <r>
    <n v="8"/>
    <m/>
    <s v="W020004"/>
    <s v="FBA195LCJDMZ"/>
    <s v="V-US"/>
    <x v="0"/>
    <s v="AN6KIT-B_4X10ML"/>
    <n v="600"/>
    <s v="万邦"/>
    <s v="盐田海卡"/>
    <s v="TCY1"/>
    <x v="7"/>
    <s v="AN6KIT-B_4X10ML AN6黑色机器+4x10mL香氛油（天竺） 机油套装"/>
    <x v="3"/>
    <n v="20"/>
    <n v="298.84625850340137"/>
    <s v="重量收费"/>
    <n v="3.5"/>
    <m/>
    <n v="16.483516483516482"/>
    <n v="1062.4454212454214"/>
    <n v="1.7707423687423689"/>
    <n v="0.2642899057824431"/>
    <m/>
    <m/>
    <m/>
    <x v="0"/>
    <d v="2026-02-01T00:00:00"/>
    <m/>
    <n v="0.41"/>
    <n v="245.99999999999997"/>
    <d v="2026-02-13T00:00:00"/>
    <n v="35"/>
    <d v="2026-02-13T00:00:00"/>
  </r>
  <r>
    <n v="9"/>
    <m/>
    <s v="W020004"/>
    <s v="FBA195LCJDMZ"/>
    <s v="V-US"/>
    <x v="0"/>
    <s v="AN6KIT-B_RZ30ml"/>
    <n v="1800"/>
    <s v="万邦"/>
    <s v="盐田海卡"/>
    <s v="TCY1"/>
    <x v="8"/>
    <s v="AN6KIT-B_RZ30ml AN6黑色机器+30mL丽思香氛油 机油套装"/>
    <x v="3"/>
    <n v="60"/>
    <n v="896.53877551020412"/>
    <s v="重量收费"/>
    <n v="3.5"/>
    <m/>
    <n v="49.450549450549453"/>
    <n v="3187.3362637362638"/>
    <n v="1.7707423687423689"/>
    <n v="0.2642899057824431"/>
    <m/>
    <m/>
    <m/>
    <x v="0"/>
    <d v="2026-02-01T00:00:00"/>
    <m/>
    <n v="0.41"/>
    <n v="738"/>
    <d v="2026-02-13T00:00:00"/>
    <n v="35"/>
    <d v="2026-02-13T00:00:00"/>
  </r>
  <r>
    <n v="10"/>
    <m/>
    <s v="W020004"/>
    <s v="FBA195LCJDMZ"/>
    <s v="V-US"/>
    <x v="0"/>
    <s v="AN6KIT-WH_SJ30ML"/>
    <n v="450"/>
    <s v="万邦"/>
    <s v="盐田海卡"/>
    <s v="TCY1"/>
    <x v="9"/>
    <s v="AN6KIT-WH_SJ30ML AN6白色机器+30mL四季酒店香氛油 机油套装"/>
    <x v="3"/>
    <n v="15"/>
    <n v="224.13469387755103"/>
    <s v="重量收费"/>
    <n v="3.5"/>
    <m/>
    <n v="12.362637362637363"/>
    <n v="796.83406593406596"/>
    <n v="1.7707423687423689"/>
    <n v="0.2642899057824431"/>
    <m/>
    <m/>
    <m/>
    <x v="0"/>
    <d v="2026-02-01T00:00:00"/>
    <m/>
    <n v="0.41"/>
    <n v="184.5"/>
    <d v="2026-02-13T00:00:00"/>
    <n v="35"/>
    <d v="2026-02-13T00:00:00"/>
  </r>
  <r>
    <n v="11"/>
    <m/>
    <s v="W020004"/>
    <s v="FBA195LCJDMZ"/>
    <s v="V-US"/>
    <x v="0"/>
    <s v="AN8KIT-B_4X10K01"/>
    <n v="3000"/>
    <s v="万邦"/>
    <s v="盐田海卡"/>
    <s v="TCY1"/>
    <x v="10"/>
    <s v="AN8KIT-B_4X10K01 AN8黑色机器+4x10mL酒店香氛油 机油套装"/>
    <x v="4"/>
    <n v="100"/>
    <n v="1494.2312925170068"/>
    <s v="重量收费"/>
    <n v="3.5"/>
    <m/>
    <n v="82.417582417582423"/>
    <n v="5312.2271062271066"/>
    <n v="1.7707423687423689"/>
    <n v="0.2642899057824431"/>
    <m/>
    <m/>
    <m/>
    <x v="0"/>
    <d v="2026-02-01T00:00:00"/>
    <m/>
    <n v="0.41"/>
    <n v="1230"/>
    <d v="2026-02-13T00:00:00"/>
    <n v="35"/>
    <d v="2026-02-13T00:00:00"/>
  </r>
  <r>
    <n v="12"/>
    <m/>
    <s v="W020004"/>
    <s v="FBA195LCJDMZ"/>
    <s v="V-US"/>
    <x v="0"/>
    <s v="AN8KIT-B_4X10K02"/>
    <n v="210"/>
    <s v="万邦"/>
    <s v="盐田海卡"/>
    <s v="TCY1"/>
    <x v="11"/>
    <s v="AN8KIT-B_4X10K02 AN8黑色机器+4x10mL（天竺）香氛油 机油套装"/>
    <x v="4"/>
    <n v="7"/>
    <n v="104.59619047619047"/>
    <s v="重量收费"/>
    <n v="3.5"/>
    <m/>
    <n v="5.7692307692307692"/>
    <n v="371.85589743589742"/>
    <n v="1.7707423687423687"/>
    <n v="0.2642899057824431"/>
    <m/>
    <m/>
    <m/>
    <x v="0"/>
    <d v="2026-02-01T00:00:00"/>
    <m/>
    <n v="0.41"/>
    <n v="86.1"/>
    <d v="2026-02-13T00:00:00"/>
    <n v="35"/>
    <d v="2026-02-13T00:00:00"/>
  </r>
  <r>
    <n v="13"/>
    <m/>
    <s v="W020004"/>
    <s v="FBA195LCJDMZ"/>
    <s v="V-US"/>
    <x v="0"/>
    <s v="AN8KIT-WH_4X10K01"/>
    <n v="240"/>
    <s v="万邦"/>
    <s v="盐田海卡"/>
    <s v="TCY1"/>
    <x v="12"/>
    <s v="AN8KIT-WH_4X10K01 AN8白色机器+4x10mL酒店香氛油 机油套装"/>
    <x v="4"/>
    <n v="8"/>
    <n v="119.53850340136054"/>
    <s v="重量收费"/>
    <n v="3.5"/>
    <m/>
    <n v="6.5934065934065931"/>
    <n v="424.97816849816849"/>
    <n v="1.7707423687423687"/>
    <n v="0.2642899057824431"/>
    <m/>
    <m/>
    <m/>
    <x v="0"/>
    <d v="2026-02-01T00:00:00"/>
    <m/>
    <n v="0.41"/>
    <n v="98.399999999999991"/>
    <d v="2026-02-13T00:00:00"/>
    <n v="35"/>
    <d v="2026-02-13T00:00:00"/>
  </r>
  <r>
    <n v="14"/>
    <m/>
    <s v="W020004"/>
    <s v="FBA195LCJDMZ"/>
    <s v="V-US"/>
    <x v="0"/>
    <s v="ANXKIT-B_RZ30ml"/>
    <n v="300"/>
    <s v="万邦"/>
    <s v="盐田海卡"/>
    <s v="TCY1"/>
    <x v="13"/>
    <s v="ANXKIT-B_RZ30ml ANX黑色机器+30mL丽思香氛油 机油套装"/>
    <x v="1"/>
    <n v="10"/>
    <n v="149.42312925170069"/>
    <s v="重量收费"/>
    <n v="3.5"/>
    <m/>
    <n v="8.2417582417582409"/>
    <n v="531.22271062271068"/>
    <n v="1.7707423687423689"/>
    <n v="0.2642899057824431"/>
    <m/>
    <m/>
    <m/>
    <x v="0"/>
    <d v="2026-02-01T00:00:00"/>
    <m/>
    <n v="0.41"/>
    <n v="122.99999999999999"/>
    <d v="2026-02-13T00:00:00"/>
    <n v="35"/>
    <d v="2026-02-13T00:00:00"/>
  </r>
  <r>
    <n v="15"/>
    <m/>
    <s v="W020004"/>
    <s v="FBA195LCJDMZ"/>
    <s v="V-US"/>
    <x v="0"/>
    <s v="AN8KIT-B_2X20K01"/>
    <n v="10"/>
    <s v="万邦"/>
    <s v="盐田海卡"/>
    <s v="TCY1"/>
    <x v="14"/>
    <s v="AN8KIT-B_2X20K01 AN8黑色机器+2X20mL酒店香氛油 机油套装"/>
    <x v="4"/>
    <n v="0.33333333333333298"/>
    <n v="4.980770975056684"/>
    <s v="重量收费"/>
    <n v="3.5"/>
    <m/>
    <n v="0.27472527472527442"/>
    <n v="17.707423687423667"/>
    <n v="1.7707423687423667"/>
    <n v="0.26428990578244277"/>
    <m/>
    <m/>
    <m/>
    <x v="0"/>
    <d v="2026-02-01T00:00:00"/>
    <m/>
    <n v="0.41"/>
    <n v="4.0999999999999996"/>
    <d v="2026-02-13T00:00:00"/>
    <n v="35"/>
    <d v="2026-02-13T00:00:00"/>
  </r>
  <r>
    <n v="16"/>
    <m/>
    <s v="W020004"/>
    <s v="FBA195LCJDMZ"/>
    <s v="V-US"/>
    <x v="0"/>
    <s v="AN8KIT-WH_2X20K01"/>
    <n v="20"/>
    <s v="万邦"/>
    <s v="盐田海卡"/>
    <s v="TCY1"/>
    <x v="15"/>
    <s v="AN8KIT-WH_2X20K01 AN8白色机器+2X20mL酒店香氛油 机油套装"/>
    <x v="4"/>
    <n v="0.66666666666666696"/>
    <n v="9.9615419501133822"/>
    <s v="重量收费"/>
    <n v="3.5"/>
    <m/>
    <n v="0.54945054945054972"/>
    <n v="35.414847374847383"/>
    <n v="1.7707423687423691"/>
    <n v="0.26428990578244316"/>
    <m/>
    <m/>
    <m/>
    <x v="0"/>
    <d v="2026-02-01T00:00:00"/>
    <m/>
    <n v="0.41"/>
    <n v="8.1999999999999993"/>
    <d v="2026-02-13T00:00:00"/>
    <n v="35"/>
    <d v="2026-02-13T00:00:00"/>
  </r>
  <r>
    <n v="17"/>
    <m/>
    <s v="W020004"/>
    <s v="FBA195LBB4TM"/>
    <s v="V-US"/>
    <x v="0"/>
    <s v="001000028"/>
    <n v="100"/>
    <s v="万邦"/>
    <s v="盐田海卡"/>
    <s v="TCY1"/>
    <x v="16"/>
    <s v="AN6-2PC-BB 便携式扩香仪套装 黑+黑"/>
    <x v="3"/>
    <n v="5"/>
    <n v="74.711403508771937"/>
    <s v="重量收费"/>
    <n v="3.5"/>
    <m/>
    <n v="4.1208791208791204"/>
    <n v="265.61079140158091"/>
    <n v="2.6561079140158093"/>
    <n v="0.39643401701728498"/>
    <m/>
    <m/>
    <m/>
    <x v="0"/>
    <d v="2026-02-01T00:00:00"/>
    <m/>
    <n v="0.35028436018957348"/>
    <n v="35.02843601895735"/>
    <d v="2026-02-16T00:00:00"/>
    <n v="38"/>
    <d v="2026-02-16T00:00:00"/>
  </r>
  <r>
    <n v="18"/>
    <m/>
    <s v="W020004"/>
    <s v="FBA195LBB4TM"/>
    <s v="V-US"/>
    <x v="0"/>
    <s v="001000019"/>
    <n v="1200"/>
    <s v="万邦"/>
    <s v="盐田海卡"/>
    <s v="TCY1"/>
    <x v="17"/>
    <s v="AN6-B 便携式扩香仪 黑色"/>
    <x v="3"/>
    <n v="30"/>
    <n v="448.2684210526316"/>
    <s v="重量收费"/>
    <n v="3.5"/>
    <m/>
    <n v="24.725274725274726"/>
    <n v="1593.6647484094851"/>
    <n v="1.3280539570079042"/>
    <n v="0.19821700850864241"/>
    <m/>
    <m/>
    <m/>
    <x v="0"/>
    <d v="2026-02-01T00:00:00"/>
    <m/>
    <n v="0.35028436018957348"/>
    <n v="420.34123222748821"/>
    <d v="2026-02-16T00:00:00"/>
    <n v="38"/>
    <d v="2026-02-16T00:00:00"/>
  </r>
  <r>
    <n v="19"/>
    <m/>
    <s v="W020004"/>
    <s v="FBA195LBB4TM"/>
    <s v="V-US"/>
    <x v="0"/>
    <s v="001000020"/>
    <n v="480"/>
    <s v="万邦"/>
    <s v="盐田海卡"/>
    <s v="TCY1"/>
    <x v="18"/>
    <s v="AN6-W 便携式扩香仪 白色"/>
    <x v="3"/>
    <n v="12"/>
    <n v="179.30736842105264"/>
    <s v="重量收费"/>
    <n v="3.5"/>
    <m/>
    <n v="9.8901098901098905"/>
    <n v="637.46589936379416"/>
    <n v="1.3280539570079044"/>
    <n v="0.19821700850864243"/>
    <m/>
    <m/>
    <m/>
    <x v="0"/>
    <d v="2026-02-01T00:00:00"/>
    <m/>
    <n v="0.35028436018957348"/>
    <n v="168.13649289099527"/>
    <d v="2026-02-16T00:00:00"/>
    <n v="38"/>
    <d v="2026-02-16T00:00:00"/>
  </r>
  <r>
    <n v="20"/>
    <m/>
    <s v="W020004"/>
    <s v="FBA195LBB4TM"/>
    <s v="V-US"/>
    <x v="0"/>
    <s v="AN6-YG"/>
    <n v="120"/>
    <s v="万邦"/>
    <s v="盐田海卡"/>
    <s v="TCY1"/>
    <x v="19"/>
    <s v="AN6-YG 便携式扩香仪 乳酪色"/>
    <x v="3"/>
    <n v="3"/>
    <n v="44.826842105263161"/>
    <s v="重量收费"/>
    <n v="3.5"/>
    <m/>
    <n v="2.4725274725274726"/>
    <n v="159.36647484094854"/>
    <n v="1.3280539570079044"/>
    <n v="0.19821700850864243"/>
    <m/>
    <m/>
    <m/>
    <x v="0"/>
    <d v="2026-02-01T00:00:00"/>
    <m/>
    <n v="0.35028436018957348"/>
    <n v="42.034123222748818"/>
    <d v="2026-02-16T00:00:00"/>
    <n v="38"/>
    <d v="2026-02-16T00:00:00"/>
  </r>
  <r>
    <n v="21"/>
    <m/>
    <s v="W020004"/>
    <s v="FBA195LBB4TM"/>
    <s v="V-US"/>
    <x v="0"/>
    <s v="AND-B"/>
    <n v="60"/>
    <s v="万邦"/>
    <s v="盐田海卡"/>
    <s v="TCY1"/>
    <x v="20"/>
    <s v="AND-B 便携式双喷扩香仪 黑色"/>
    <x v="5"/>
    <n v="2"/>
    <n v="29.884561403508773"/>
    <s v="重量收费"/>
    <n v="3.5"/>
    <m/>
    <n v="1.6483516483516483"/>
    <n v="106.24431656063236"/>
    <n v="1.7707386093438726"/>
    <n v="0.26428934467818993"/>
    <m/>
    <m/>
    <m/>
    <x v="0"/>
    <d v="2026-02-01T00:00:00"/>
    <m/>
    <n v="0.35028436018957348"/>
    <n v="21.017061611374409"/>
    <d v="2026-02-16T00:00:00"/>
    <n v="38"/>
    <d v="2026-02-16T00:00:00"/>
  </r>
  <r>
    <n v="22"/>
    <m/>
    <s v="W020004"/>
    <s v="FBA195LBB4TM"/>
    <s v="V-US"/>
    <x v="0"/>
    <s v="AND-DT"/>
    <n v="150"/>
    <s v="万邦"/>
    <s v="盐田海卡"/>
    <s v="TCY1"/>
    <x v="21"/>
    <s v="AND-DT 便携式双喷扩香仪 沙漠钛色"/>
    <x v="5"/>
    <n v="5"/>
    <n v="74.711403508771937"/>
    <s v="重量收费"/>
    <n v="3.5"/>
    <m/>
    <n v="4.1208791208791204"/>
    <n v="265.61079140158091"/>
    <n v="1.7707386093438728"/>
    <n v="0.26428934467818999"/>
    <m/>
    <m/>
    <m/>
    <x v="0"/>
    <d v="2026-02-01T00:00:00"/>
    <m/>
    <n v="0.35028436018957348"/>
    <n v="52.542654028436026"/>
    <d v="2026-02-16T00:00:00"/>
    <n v="38"/>
    <d v="2026-02-16T00:00:00"/>
  </r>
  <r>
    <n v="23"/>
    <m/>
    <s v="W020004"/>
    <s v="FBA195LB2C32"/>
    <s v="A-US"/>
    <x v="0"/>
    <s v="ANZKIT-B_HILTON30ML"/>
    <n v="390"/>
    <s v="万邦"/>
    <s v="盐田海卡"/>
    <s v="TCY1"/>
    <x v="22"/>
    <s v="ANZKIT-B_HILTON30ML ANZ黑色机器+30mL希尔顿酒店香氛油（天竺） 机油套装"/>
    <x v="0"/>
    <n v="13"/>
    <n v="194.25"/>
    <s v="重量收费"/>
    <n v="3.5"/>
    <m/>
    <n v="10.714285714285714"/>
    <n v="690.58928571428567"/>
    <n v="1.7707417582417582"/>
    <n v="0.26428981466294899"/>
    <m/>
    <m/>
    <m/>
    <x v="0"/>
    <d v="2026-02-01T00:00:00"/>
    <m/>
    <n v="0.41000000000000003"/>
    <n v="159.9"/>
    <d v="2026-02-13T00:00:00"/>
    <n v="35"/>
    <d v="2026-02-13T00:00:00"/>
  </r>
  <r>
    <n v="24"/>
    <m/>
    <s v="W020003"/>
    <s v="FBA195LDDMB5"/>
    <s v="E-US"/>
    <x v="0"/>
    <s v="SJ1-100ML_TZ"/>
    <n v="320"/>
    <s v="积米"/>
    <s v="盐田海卡"/>
    <s v="TCY1"/>
    <x v="23"/>
    <s v="SJ1-100ML_TZ 四季酒店100mL香氛油（天竺） 销售包装"/>
    <x v="6"/>
    <n v="5"/>
    <n v="71.25"/>
    <s v="重量收费"/>
    <n v="5.6"/>
    <n v="350"/>
    <n v="218.75"/>
    <n v="617.75"/>
    <n v="1.93046875"/>
    <n v="0.28812966417910446"/>
    <m/>
    <m/>
    <m/>
    <x v="0"/>
    <d v="2026-01-29T00:00:00"/>
    <m/>
    <n v="0.33999999999999997"/>
    <n v="108.79999999999998"/>
    <d v="2026-02-11T00:00:00"/>
    <n v="33"/>
    <d v="2026-02-11T00:00:00"/>
  </r>
  <r>
    <n v="25"/>
    <m/>
    <s v="W020003"/>
    <s v="FBA195L9WKNH"/>
    <s v="V-US"/>
    <x v="0"/>
    <s v="W1-100ML_TZ"/>
    <n v="192"/>
    <s v="积米"/>
    <s v="盐田海卡"/>
    <s v="TCY1"/>
    <x v="24"/>
    <s v="W1-100ML_TZ W酒店100mL香氛油（天竺） 销售包装"/>
    <x v="6"/>
    <n v="3"/>
    <n v="42.75"/>
    <s v="重量收费"/>
    <n v="5.6"/>
    <n v="350"/>
    <n v="131.25"/>
    <n v="370.65"/>
    <n v="1.93046875"/>
    <n v="0.28812966417910446"/>
    <m/>
    <m/>
    <m/>
    <x v="0"/>
    <d v="2026-01-29T00:00:00"/>
    <m/>
    <n v="0.34"/>
    <n v="65.28"/>
    <d v="2026-02-11T00:00:00"/>
    <n v="33"/>
    <d v="2026-02-11T00:00:00"/>
  </r>
  <r>
    <n v="26"/>
    <m/>
    <s v="W020001"/>
    <s v="FBA195TXJ79C"/>
    <s v="E-US"/>
    <x v="0"/>
    <s v="AC1-WH_US"/>
    <n v="360"/>
    <s v="万邦"/>
    <s v="美国空派"/>
    <s v="PSC2"/>
    <x v="25"/>
    <s v="AC1-WH_US 智能控制器 美规 白色 一个装"/>
    <x v="7"/>
    <n v="3"/>
    <n v="53.5"/>
    <s v="重量收费"/>
    <n v="44.5"/>
    <n v="355.74"/>
    <n v="177.87"/>
    <n v="2558.62"/>
    <n v="7.1072777777777771"/>
    <n v="1.0607877280265339"/>
    <m/>
    <m/>
    <m/>
    <x v="0"/>
    <d v="2026-02-09T00:00:00"/>
    <m/>
    <n v="0.3"/>
    <n v="108"/>
    <d v="2026-01-22T00:00:00"/>
    <n v="13"/>
    <d v="2026-01-22T00:00:00"/>
  </r>
  <r>
    <n v="27"/>
    <m/>
    <s v="W020001"/>
    <s v="FBA195TXJ79C"/>
    <s v="E-US"/>
    <x v="0"/>
    <s v="AC1KIT_WH_WH_US"/>
    <n v="360"/>
    <s v="万邦"/>
    <s v="美国空派"/>
    <s v="PSC2"/>
    <x v="26"/>
    <s v="AC1KIT_WH_WH_US 智能控制器 美规 白色 两个装"/>
    <x v="7"/>
    <n v="3"/>
    <n v="53.5"/>
    <s v="重量收费"/>
    <n v="44.5"/>
    <n v="355.74"/>
    <n v="177.87"/>
    <n v="2558.62"/>
    <n v="7.1072777777777771"/>
    <n v="1.0607877280265339"/>
    <m/>
    <m/>
    <m/>
    <x v="0"/>
    <d v="2026-02-09T00:00:00"/>
    <m/>
    <n v="0.3"/>
    <n v="108"/>
    <d v="2026-01-22T00:00:00"/>
    <n v="13"/>
    <d v="2026-01-22T00:00:00"/>
  </r>
  <r>
    <n v="28"/>
    <m/>
    <s v="W020002"/>
    <s v="FBA15L9C2DCR"/>
    <s v="W-DE"/>
    <x v="1"/>
    <s v="AC1-WH_EU"/>
    <n v="120"/>
    <s v="万邦"/>
    <s v="欧洲空派"/>
    <s v="DTM1"/>
    <x v="27"/>
    <s v="AC1-WH_EU 智能控制器 欧规 白色 一个装"/>
    <x v="7"/>
    <n v="1"/>
    <n v="17.5"/>
    <s v="重量收费"/>
    <n v="51"/>
    <n v="301.90999999999997"/>
    <n v="150.95499999999998"/>
    <n v="1043.4549999999999"/>
    <n v="8.6954583333333328"/>
    <n v="1.2978296019900497"/>
    <m/>
    <m/>
    <m/>
    <x v="0"/>
    <d v="2026-02-09T00:00:00"/>
    <m/>
    <n v="0"/>
    <n v="0"/>
    <d v="2026-01-28T00:00:00"/>
    <n v="19"/>
    <d v="2026-01-28T00:00:00"/>
  </r>
  <r>
    <n v="29"/>
    <m/>
    <s v="W020002"/>
    <s v="FBA15L9C2DCR"/>
    <s v="W-DE"/>
    <x v="1"/>
    <s v="AC1KIT-WH_WH_EU"/>
    <n v="120"/>
    <s v="万邦"/>
    <s v="欧洲空派"/>
    <s v="DTM1"/>
    <x v="28"/>
    <s v="AC1KIT-WH_WH_EU 智能控制器 欧规 白色 两个装"/>
    <x v="7"/>
    <n v="1"/>
    <n v="17.5"/>
    <s v="重量收费"/>
    <n v="51"/>
    <n v="301.90999999999997"/>
    <n v="150.95499999999998"/>
    <n v="1043.4549999999999"/>
    <n v="8.6954583333333328"/>
    <n v="1.2978296019900497"/>
    <m/>
    <m/>
    <m/>
    <x v="0"/>
    <d v="2026-02-09T00:00:00"/>
    <m/>
    <n v="0"/>
    <n v="0"/>
    <d v="2026-01-28T00:00:00"/>
    <n v="19"/>
    <d v="2026-01-28T00:00:00"/>
  </r>
  <r>
    <n v="30"/>
    <m/>
    <s v="W03005"/>
    <s v="FBA1962WJ10Y"/>
    <s v="V-US"/>
    <x v="0"/>
    <s v="AN6KIT-B_RZ30ml"/>
    <n v="1800"/>
    <s v="万邦"/>
    <s v="盐田海卡"/>
    <s v="GEU2"/>
    <x v="8"/>
    <s v="AN6KIT-B_RZ30ml AN6黑色机器+30mL丽思香氛油 机油套装"/>
    <x v="3"/>
    <n v="60"/>
    <n v="909.75818181818192"/>
    <s v="重量收费"/>
    <n v="3.9"/>
    <n v="250"/>
    <n v="55.350553505535053"/>
    <n v="3603.4074625964445"/>
    <n v="2.0018930347758026"/>
    <n v="0.29879000519041832"/>
    <m/>
    <m/>
    <m/>
    <x v="1"/>
    <d v="2026-02-07T00:00:00"/>
    <m/>
    <n v="0.41"/>
    <n v="738"/>
    <d v="2026-02-14T00:00:00"/>
    <n v="29"/>
    <d v="2026-02-14T00:00:00"/>
  </r>
  <r>
    <n v="31"/>
    <m/>
    <s v="W03005"/>
    <s v="FBA1962WJ10Y"/>
    <s v="V-US"/>
    <x v="0"/>
    <s v="AN6KIT-WH_4X10ML"/>
    <n v="390"/>
    <s v="万邦"/>
    <s v="盐田海卡"/>
    <s v="GEU2"/>
    <x v="29"/>
    <s v="AN6KIT-WH_4X10ML AN6白色机器+4x10mL香氛油（天竺） 机油套装"/>
    <x v="3"/>
    <n v="13"/>
    <n v="197.11427272727275"/>
    <s v="重量收费"/>
    <n v="3.9"/>
    <n v="250"/>
    <n v="11.992619926199263"/>
    <n v="780.73828356256297"/>
    <n v="2.0018930347758026"/>
    <n v="0.29879000519041832"/>
    <m/>
    <m/>
    <m/>
    <x v="1"/>
    <d v="2026-02-07T00:00:00"/>
    <m/>
    <n v="0.41"/>
    <n v="159.89999999999998"/>
    <d v="2026-02-14T00:00:00"/>
    <n v="29"/>
    <d v="2026-02-14T00:00:00"/>
  </r>
  <r>
    <n v="32"/>
    <m/>
    <s v="W03005"/>
    <s v="FBA1962WJ10Y"/>
    <s v="V-US"/>
    <x v="0"/>
    <s v="AN8KIT-B_4X10K01"/>
    <n v="990"/>
    <s v="万邦"/>
    <s v="盐田海卡"/>
    <s v="GEU2"/>
    <x v="10"/>
    <s v="AN8KIT-B_4X10K01 AN8黑色机器+4x10mL酒店香氛油 机油套装"/>
    <x v="4"/>
    <n v="33"/>
    <n v="500.36700000000002"/>
    <s v="重量收费"/>
    <n v="3.9"/>
    <m/>
    <n v="30.44280442804428"/>
    <n v="1981.8741044280443"/>
    <n v="2.0018930347758022"/>
    <n v="0.29879000519041821"/>
    <m/>
    <m/>
    <m/>
    <x v="1"/>
    <d v="2026-02-07T00:00:00"/>
    <m/>
    <n v="0.41"/>
    <n v="405.9"/>
    <d v="2026-02-14T00:00:00"/>
    <n v="29"/>
    <d v="2026-02-14T00:00:00"/>
  </r>
  <r>
    <n v="33"/>
    <m/>
    <s v="W03005"/>
    <s v="FBA1962WJ10Y"/>
    <s v="V-US"/>
    <x v="0"/>
    <s v="ANXKIT-T_4X10ML"/>
    <n v="120"/>
    <s v="万邦"/>
    <s v="盐田海卡"/>
    <s v="GEU2"/>
    <x v="30"/>
    <s v="ANXKIT-T_4X10ML ANX钛色机器+4x10mL香氛油（天竺） 机油套装"/>
    <x v="1"/>
    <n v="4"/>
    <n v="60.650545454545458"/>
    <s v="重量收费"/>
    <n v="3.9"/>
    <m/>
    <n v="3.6900369003690039"/>
    <n v="240.22716417309627"/>
    <n v="2.0018930347758022"/>
    <n v="0.29879000519041821"/>
    <m/>
    <m/>
    <m/>
    <x v="1"/>
    <d v="2026-02-07T00:00:00"/>
    <m/>
    <n v="0.41"/>
    <n v="49.199999999999996"/>
    <d v="2026-02-14T00:00:00"/>
    <n v="29"/>
    <d v="2026-02-14T00:00:00"/>
  </r>
  <r>
    <n v="34"/>
    <m/>
    <s v="W03007"/>
    <s v="FBA195WQT42J"/>
    <s v="V-US"/>
    <x v="0"/>
    <s v="001000019"/>
    <n v="2000"/>
    <s v="嘀嗒嘀"/>
    <s v="盐田海卡"/>
    <s v="GEU3"/>
    <x v="17"/>
    <s v="AN6-B 便携式扩香仪 黑色"/>
    <x v="3"/>
    <n v="50"/>
    <n v="681.94444444444446"/>
    <s v="重量收费"/>
    <n v="3.2"/>
    <n v="200"/>
    <n v="89.285714285714292"/>
    <n v="2271.5079365079364"/>
    <n v="1.1357539682539681"/>
    <n v="0.16951551764984599"/>
    <m/>
    <m/>
    <m/>
    <x v="1"/>
    <d v="2026-02-07T00:00:00"/>
    <m/>
    <n v="0.34492957746478875"/>
    <n v="689.85915492957747"/>
    <d v="2026-02-17T00:00:00"/>
    <n v="32"/>
    <d v="2026-02-17T00:00:00"/>
  </r>
  <r>
    <n v="35"/>
    <m/>
    <s v="W03007"/>
    <s v="FBA195WQT42J"/>
    <s v="V-US"/>
    <x v="0"/>
    <s v="AN8-B"/>
    <n v="320"/>
    <s v="嘀嗒嘀"/>
    <s v="盐田海卡"/>
    <s v="GEU3"/>
    <x v="31"/>
    <s v="AN8-B 便携式扩香仪 黑色"/>
    <x v="4"/>
    <n v="8"/>
    <n v="109.11111111111111"/>
    <s v="重量收费"/>
    <n v="3.2"/>
    <n v="200"/>
    <n v="14.285714285714286"/>
    <n v="363.44126984126984"/>
    <n v="1.1357539682539683"/>
    <n v="0.16951551764984601"/>
    <m/>
    <m/>
    <m/>
    <x v="1"/>
    <d v="2026-02-07T00:00:00"/>
    <m/>
    <n v="0.34492957746478875"/>
    <n v="110.3774647887324"/>
    <d v="2026-02-17T00:00:00"/>
    <n v="32"/>
    <d v="2026-02-17T00:00:00"/>
  </r>
  <r>
    <n v="36"/>
    <m/>
    <s v="W03007"/>
    <s v="FBA195WQT42J"/>
    <s v="V-US"/>
    <x v="0"/>
    <s v="AN8KIT-B_B"/>
    <n v="200"/>
    <s v="嘀嗒嘀"/>
    <s v="盐田海卡"/>
    <s v="GEU3"/>
    <x v="32"/>
    <s v="AN8KIT-B_B 便携式扩香仪套装 黑+黑"/>
    <x v="4"/>
    <n v="10"/>
    <n v="136.38888888888889"/>
    <s v="重量收费"/>
    <n v="3.2"/>
    <m/>
    <n v="17.857142857142858"/>
    <n v="454.30158730158729"/>
    <n v="2.2715079365079363"/>
    <n v="0.33903103529969197"/>
    <m/>
    <m/>
    <m/>
    <x v="1"/>
    <d v="2026-02-07T00:00:00"/>
    <m/>
    <n v="0.34492957746478875"/>
    <n v="68.985915492957744"/>
    <d v="2026-02-17T00:00:00"/>
    <n v="32"/>
    <d v="2026-02-17T00:00:00"/>
  </r>
  <r>
    <n v="37"/>
    <m/>
    <s v="W03007"/>
    <s v="FBA195WQT42J"/>
    <s v="V-US"/>
    <x v="0"/>
    <s v="AN8-WH"/>
    <n v="120"/>
    <s v="嘀嗒嘀"/>
    <s v="盐田海卡"/>
    <s v="GEU3"/>
    <x v="33"/>
    <s v="AN8-WH 便携式扩香仪 白色"/>
    <x v="4"/>
    <n v="3"/>
    <n v="40.916666666666671"/>
    <s v="重量收费"/>
    <n v="3.2"/>
    <m/>
    <n v="5.3571428571428568"/>
    <n v="136.29047619047623"/>
    <n v="1.1357539682539686"/>
    <n v="0.16951551764984604"/>
    <m/>
    <m/>
    <m/>
    <x v="1"/>
    <d v="2026-02-07T00:00:00"/>
    <m/>
    <n v="0.34492957746478875"/>
    <n v="41.391549295774652"/>
    <d v="2026-02-17T00:00:00"/>
    <n v="32"/>
    <d v="2026-02-17T00:00:00"/>
  </r>
  <r>
    <n v="38"/>
    <m/>
    <s v="W03007"/>
    <s v="FBA195WQT42J"/>
    <s v="V-US"/>
    <x v="0"/>
    <s v="AN8NZ-B"/>
    <n v="200"/>
    <s v="嘀嗒嘀"/>
    <s v="盐田海卡"/>
    <s v="GEU3"/>
    <x v="34"/>
    <s v="AN8NZ-B AN8(Z)喷嘴配件套装 黑色"/>
    <x v="8"/>
    <n v="1"/>
    <n v="13.638888888888889"/>
    <s v="重量收费"/>
    <n v="3.2"/>
    <m/>
    <n v="1.7857142857142858"/>
    <n v="45.43015873015873"/>
    <n v="0.22715079365079366"/>
    <n v="3.3903103529969204E-2"/>
    <m/>
    <m/>
    <m/>
    <x v="1"/>
    <d v="2026-02-07T00:00:00"/>
    <m/>
    <n v="0.34492957746478875"/>
    <n v="68.985915492957744"/>
    <d v="2026-02-17T00:00:00"/>
    <n v="32"/>
    <d v="2026-02-17T00:00:00"/>
  </r>
  <r>
    <n v="39"/>
    <m/>
    <s v="W03006"/>
    <s v="FBA15L9NCNFT"/>
    <s v="E-UK"/>
    <x v="2"/>
    <s v="001000019"/>
    <n v="240"/>
    <s v="万邦"/>
    <s v="英国海卡"/>
    <s v="LBA4"/>
    <x v="17"/>
    <s v="AN6-B 便携式扩香仪 黑色"/>
    <x v="3"/>
    <n v="6"/>
    <n v="82.199999999999989"/>
    <s v="重量收费"/>
    <n v="4.8"/>
    <n v="600"/>
    <n v="360"/>
    <n v="754.56"/>
    <n v="3.1439999999999997"/>
    <n v="0.46925373134328352"/>
    <m/>
    <m/>
    <m/>
    <x v="1"/>
    <d v="2026-03-13T00:00:00"/>
    <m/>
    <n v="0"/>
    <n v="0"/>
    <d v="2026-03-21T00:00:00"/>
    <n v="64"/>
    <d v="2026-03-21T00:00:00"/>
  </r>
  <r>
    <n v="40"/>
    <m/>
    <s v="W03006"/>
    <s v="FBA15L9NCNFT"/>
    <s v="E-UK"/>
    <x v="2"/>
    <s v="001000039"/>
    <n v="40"/>
    <s v="万邦"/>
    <s v="英国海卡"/>
    <s v="LBA4"/>
    <x v="35"/>
    <s v="AN6-GL 便携式扩香仪 翠百合色"/>
    <x v="3"/>
    <n v="1"/>
    <n v="13.7"/>
    <s v="重量收费"/>
    <n v="4.8"/>
    <n v="600"/>
    <n v="60"/>
    <n v="125.75999999999999"/>
    <n v="3.1439999999999997"/>
    <n v="0.46925373134328352"/>
    <m/>
    <m/>
    <m/>
    <x v="1"/>
    <d v="2026-03-13T00:00:00"/>
    <m/>
    <n v="0"/>
    <n v="0"/>
    <d v="2026-03-21T00:00:00"/>
    <n v="64"/>
    <d v="2026-03-21T00:00:00"/>
  </r>
  <r>
    <n v="41"/>
    <m/>
    <s v="W03006"/>
    <s v="FBA15L9NCNFT"/>
    <s v="E-UK"/>
    <x v="2"/>
    <s v="001000020"/>
    <n v="120"/>
    <s v="万邦"/>
    <s v="英国海卡"/>
    <s v="LBA4"/>
    <x v="18"/>
    <s v="AN6-W 便携式扩香仪 白色"/>
    <x v="3"/>
    <n v="3"/>
    <n v="41.099999999999994"/>
    <s v="重量收费"/>
    <n v="4.8"/>
    <m/>
    <n v="180"/>
    <n v="377.28"/>
    <n v="3.1439999999999997"/>
    <n v="0.46925373134328352"/>
    <m/>
    <m/>
    <m/>
    <x v="1"/>
    <d v="2026-03-13T00:00:00"/>
    <m/>
    <n v="0"/>
    <n v="0"/>
    <d v="2026-03-21T00:00:00"/>
    <n v="64"/>
    <d v="2026-03-21T00:00:00"/>
  </r>
  <r>
    <n v="42"/>
    <m/>
    <s v="W03007"/>
    <s v="FBA195X71HBT"/>
    <s v="E-US"/>
    <x v="0"/>
    <s v="001000049"/>
    <n v="90"/>
    <s v="嘀嗒嘀"/>
    <s v="盐田海卡"/>
    <s v="HLI2"/>
    <x v="36"/>
    <s v="ANX-IB 便携式扩香仪 冰蓝色"/>
    <x v="1"/>
    <n v="3"/>
    <n v="40.275000000000006"/>
    <s v="重量收费"/>
    <n v="3.2"/>
    <m/>
    <n v="5.3571428571428568"/>
    <n v="134.23714285714289"/>
    <n v="1.4915238095238099"/>
    <n v="0.22261549395877758"/>
    <m/>
    <m/>
    <m/>
    <x v="1"/>
    <d v="2026-02-07T00:00:00"/>
    <m/>
    <n v="0.35399999999999998"/>
    <n v="31.86"/>
    <d v="2026-02-16T00:00:00"/>
    <n v="31"/>
    <d v="2026-02-16T00:00:00"/>
  </r>
  <r>
    <n v="43"/>
    <m/>
    <s v="W03007"/>
    <s v="FBA195X71HBT"/>
    <s v="E-US"/>
    <x v="0"/>
    <s v="001000052"/>
    <n v="210"/>
    <s v="嘀嗒嘀"/>
    <s v="盐田海卡"/>
    <s v="HLI2"/>
    <x v="37"/>
    <s v="ANX-DT 便携式扩香仪 沙漠钛色"/>
    <x v="1"/>
    <n v="7"/>
    <n v="93.975000000000009"/>
    <s v="重量收费"/>
    <n v="3.2"/>
    <m/>
    <n v="12.5"/>
    <n v="313.22000000000003"/>
    <n v="1.4915238095238097"/>
    <n v="0.22261549395877755"/>
    <m/>
    <m/>
    <m/>
    <x v="1"/>
    <d v="2026-02-07T00:00:00"/>
    <m/>
    <n v="0.35399999999999998"/>
    <n v="74.339999999999989"/>
    <d v="2026-02-16T00:00:00"/>
    <n v="31"/>
    <d v="2026-02-16T00:00:00"/>
  </r>
  <r>
    <n v="44"/>
    <m/>
    <s v="W03007"/>
    <s v="FBA195X71HBT"/>
    <s v="E-US"/>
    <x v="0"/>
    <s v="ANZ-B"/>
    <n v="1200"/>
    <s v="嘀嗒嘀"/>
    <s v="盐田海卡"/>
    <s v="HLI2"/>
    <x v="0"/>
    <s v="ANZ-B 便携式扩香仪 黑色"/>
    <x v="0"/>
    <n v="30"/>
    <n v="402.75"/>
    <s v="重量收费"/>
    <n v="3.2"/>
    <m/>
    <n v="53.571428571428569"/>
    <n v="1342.3714285714289"/>
    <n v="1.1186428571428573"/>
    <n v="0.16696162046908317"/>
    <m/>
    <m/>
    <m/>
    <x v="1"/>
    <d v="2026-02-07T00:00:00"/>
    <m/>
    <n v="0.35399999999999998"/>
    <n v="424.79999999999995"/>
    <d v="2026-02-16T00:00:00"/>
    <n v="31"/>
    <d v="2026-02-16T00:00:00"/>
  </r>
  <r>
    <n v="45"/>
    <m/>
    <s v="W03005"/>
    <s v="FBA19630ZHP6"/>
    <s v="E-US"/>
    <x v="0"/>
    <s v="ANZKIT-B_4X10K04_TZ"/>
    <n v="390"/>
    <s v="万邦"/>
    <s v="盐田海卡"/>
    <s v="GEU2"/>
    <x v="38"/>
    <s v="ANZKIT-B_4X10K04_TZ ANZ黑色机器+4x10mL酒店（天竺）香氛油 机油套装"/>
    <x v="0"/>
    <n v="13"/>
    <n v="197.11"/>
    <s v="重量收费"/>
    <n v="3.9"/>
    <m/>
    <n v="11.992619926199263"/>
    <n v="780.72161992619931"/>
    <n v="2.0018503075030751"/>
    <n v="0.2987836279855336"/>
    <m/>
    <m/>
    <m/>
    <x v="1"/>
    <d v="2026-02-07T00:00:00"/>
    <m/>
    <n v="0.41000000000000003"/>
    <n v="159.9"/>
    <d v="2026-02-17T00:00:00"/>
    <n v="32"/>
    <d v="2026-02-17T00:00:00"/>
  </r>
  <r>
    <n v="46"/>
    <m/>
    <s v="W03003"/>
    <s v="FBA15L9C90G5"/>
    <s v="W-DE"/>
    <x v="1"/>
    <s v="ANA-WH_EU"/>
    <n v="144"/>
    <s v="万邦"/>
    <s v="欧洲海卡"/>
    <s v="HAJ1"/>
    <x v="39"/>
    <s v="ANA-WH_EU 智能扩香仪 欧规 白色"/>
    <x v="9"/>
    <n v="12"/>
    <n v="177"/>
    <s v="重量收费"/>
    <n v="7.1"/>
    <n v="250"/>
    <n v="250"/>
    <n v="1506.7"/>
    <n v="10.463194444444445"/>
    <n v="1.5616708126036485"/>
    <m/>
    <m/>
    <m/>
    <x v="1"/>
    <d v="2026-03-01T00:00:00"/>
    <m/>
    <n v="0"/>
    <n v="0"/>
    <d v="2026-03-10T00:00:00"/>
    <n v="53"/>
    <d v="2026-03-10T00:00:00"/>
  </r>
  <r>
    <n v="47"/>
    <m/>
    <s v="W03004"/>
    <s v="FBA196675KXQ"/>
    <s v="V-CA"/>
    <x v="3"/>
    <s v="001000032"/>
    <n v="72"/>
    <s v="万邦"/>
    <s v="加拿大海卡"/>
    <s v="YHM1"/>
    <x v="40"/>
    <s v="ANW-B 智能扩香仪 黑色"/>
    <x v="10"/>
    <n v="6"/>
    <n v="87.6"/>
    <s v="重量收费"/>
    <n v="6"/>
    <n v="250"/>
    <n v="150"/>
    <n v="675.59999999999991"/>
    <n v="9.3833333333333329"/>
    <n v="1.4004975124378107"/>
    <m/>
    <m/>
    <m/>
    <x v="1"/>
    <d v="2026-02-25T00:00:00"/>
    <m/>
    <n v="0"/>
    <n v="0"/>
    <d v="2026-03-08T00:00:00"/>
    <n v="51"/>
    <d v="2026-03-08T00:00:00"/>
  </r>
  <r>
    <n v="48"/>
    <m/>
    <s v="W03004"/>
    <s v="FBA196675KXQ"/>
    <s v="V-CA"/>
    <x v="3"/>
    <s v="001000033"/>
    <n v="48"/>
    <s v="万邦"/>
    <s v="加拿大海卡"/>
    <s v="YHM1"/>
    <x v="41"/>
    <s v="ANW-W 智能扩香仪 白色"/>
    <x v="10"/>
    <n v="4"/>
    <n v="58.4"/>
    <s v="重量收费"/>
    <n v="6"/>
    <n v="250"/>
    <n v="100"/>
    <n v="450.4"/>
    <n v="9.3833333333333329"/>
    <n v="1.4004975124378107"/>
    <m/>
    <m/>
    <m/>
    <x v="1"/>
    <d v="2026-02-25T00:00:00"/>
    <m/>
    <n v="0"/>
    <n v="0"/>
    <d v="2026-03-08T00:00:00"/>
    <n v="51"/>
    <d v="2026-03-08T00:00:00"/>
  </r>
  <r>
    <n v="49"/>
    <m/>
    <s v="W03005"/>
    <s v="FBA195TQGKS4"/>
    <s v="V-US"/>
    <x v="0"/>
    <s v="ANAKIT-B_US_2X100K03"/>
    <n v="660"/>
    <s v="万邦"/>
    <s v="盐田海卡"/>
    <s v="GEU3"/>
    <x v="42"/>
    <s v="ANAKIT-B_US_2X100K03 ANA黑色机器+2X100mL酒店香氛油（天竺） 机油套装"/>
    <x v="9"/>
    <n v="55"/>
    <n v="956.18243243243251"/>
    <s v="重量收费"/>
    <n v="3.9"/>
    <m/>
    <n v="50.738007380073803"/>
    <n v="3779.8494938665604"/>
    <n v="5.7270446876766066"/>
    <n v="0.85478278920546369"/>
    <m/>
    <m/>
    <m/>
    <x v="1"/>
    <d v="2026-02-07T00:00:00"/>
    <m/>
    <n v="0.49"/>
    <n v="323.39999999999998"/>
    <d v="2026-02-17T00:00:00"/>
    <n v="32"/>
    <d v="2026-02-17T00:00:00"/>
  </r>
  <r>
    <n v="50"/>
    <m/>
    <s v="W03005"/>
    <s v="FBA195TQGKS4"/>
    <s v="V-US"/>
    <x v="0"/>
    <s v="ANAKIT-WH_US_2X100K03"/>
    <n v="660"/>
    <s v="万邦"/>
    <s v="盐田海卡"/>
    <s v="GEU3"/>
    <x v="43"/>
    <s v="ANAKIT-WH_US_2X100K03 ANA白色机器+2X100mL酒店香氛油（天竺） 机油套装"/>
    <x v="9"/>
    <n v="55"/>
    <n v="956.18243243243251"/>
    <s v="重量收费"/>
    <n v="3.9"/>
    <m/>
    <n v="50.738007380073803"/>
    <n v="3779.8494938665604"/>
    <n v="5.7270446876766066"/>
    <n v="0.85478278920546369"/>
    <m/>
    <m/>
    <m/>
    <x v="1"/>
    <d v="2026-02-07T00:00:00"/>
    <m/>
    <n v="0.49"/>
    <n v="323.39999999999998"/>
    <d v="2026-02-17T00:00:00"/>
    <n v="32"/>
    <d v="2026-02-17T00:00:00"/>
  </r>
  <r>
    <n v="51"/>
    <m/>
    <s v="W03005"/>
    <s v="FBA195TQGKS4"/>
    <s v="V-US"/>
    <x v="0"/>
    <s v="ANWKIT-WH_US_2X100K03"/>
    <n v="456"/>
    <s v="万邦"/>
    <s v="盐田海卡"/>
    <s v="GEU3"/>
    <x v="44"/>
    <s v="ANWKIT-WH_US_2X100K03 ANW白色机器+2X100mL酒店香氛油（天竺） 机油套装"/>
    <x v="10"/>
    <n v="38"/>
    <n v="660.63513513513522"/>
    <s v="重量收费"/>
    <n v="3.9"/>
    <m/>
    <n v="35.055350553505534"/>
    <n v="2611.5323775805327"/>
    <n v="5.7270446876766066"/>
    <n v="0.85478278920546369"/>
    <m/>
    <m/>
    <m/>
    <x v="1"/>
    <d v="2026-02-07T00:00:00"/>
    <m/>
    <n v="0.49"/>
    <n v="223.44"/>
    <d v="2026-02-17T00:00:00"/>
    <n v="32"/>
    <d v="2026-02-17T00:00:00"/>
  </r>
  <r>
    <n v="52"/>
    <m/>
    <s v="W03001"/>
    <s v="FBA195WSLNLM"/>
    <s v="E-US"/>
    <x v="0"/>
    <s v="HOTEL6KIT1-6X10K01"/>
    <n v="532"/>
    <s v="积米"/>
    <s v="以星海卡"/>
    <s v="GEU5"/>
    <x v="45"/>
    <s v="HOTEL6KIT1-6X10K01 酒店香氛油6款10mL套装"/>
    <x v="11"/>
    <n v="7"/>
    <n v="152"/>
    <s v="重量收费"/>
    <n v="6.5"/>
    <n v="350"/>
    <n v="350"/>
    <n v="1338"/>
    <n v="2.5150375939849625"/>
    <n v="0.37537874537088994"/>
    <m/>
    <m/>
    <m/>
    <x v="1"/>
    <d v="2026-02-10T00:00:00"/>
    <m/>
    <n v="0.33999999999999997"/>
    <n v="180.88"/>
    <d v="2026-02-22T00:00:00"/>
    <n v="37"/>
    <d v="2026-02-22T00:00:00"/>
  </r>
  <r>
    <n v="53"/>
    <m/>
    <s v="买单报关"/>
    <s v="FBA195X3NXZ7"/>
    <s v="V-US"/>
    <x v="0"/>
    <s v="006000024"/>
    <n v="1260"/>
    <s v="积米"/>
    <s v="盐田海卡"/>
    <s v="QXY8"/>
    <x v="46"/>
    <s v="A-Ritz Carlton Hotel 3-100 丽思卡尔顿酒店3香氛油100mL"/>
    <x v="11"/>
    <n v="14"/>
    <n v="286.58999999999997"/>
    <s v="重量收费"/>
    <n v="5.6"/>
    <n v="350"/>
    <m/>
    <n v="1604.9039999999998"/>
    <n v="1.2737333333333332"/>
    <n v="0.19010945273631838"/>
    <m/>
    <m/>
    <m/>
    <x v="1"/>
    <d v="2026-02-05T00:00:00"/>
    <m/>
    <n v="0.33999999999999997"/>
    <n v="428.4"/>
    <d v="2026-03-12T00:00:00"/>
    <n v="55"/>
    <d v="2026-03-12T00:00:00"/>
  </r>
  <r>
    <n v="54"/>
    <m/>
    <s v="买单报关"/>
    <s v="FBA195X3FRY0"/>
    <s v="E-US"/>
    <x v="0"/>
    <s v="BCRT1-100ML"/>
    <n v="90"/>
    <s v="积米"/>
    <s v="盐田海卡"/>
    <s v="QXY8"/>
    <x v="47"/>
    <s v="BCRT1-100ML 巴卡拉酒店香氛油100mL"/>
    <x v="11"/>
    <n v="1"/>
    <n v="20.470500000000001"/>
    <s v="重量收费"/>
    <n v="5.6"/>
    <m/>
    <m/>
    <n v="114.6348"/>
    <n v="1.27372"/>
    <n v="0.19010746268656714"/>
    <m/>
    <m/>
    <m/>
    <x v="1"/>
    <d v="2026-02-05T00:00:00"/>
    <m/>
    <n v="0.34"/>
    <n v="30.6"/>
    <d v="2026-03-12T00:00:00"/>
    <n v="55"/>
    <d v="2026-03-12T00:00:00"/>
  </r>
  <r>
    <n v="55"/>
    <m/>
    <s v="买单报关"/>
    <s v="FBA195X3FRY0"/>
    <s v="E-US"/>
    <x v="0"/>
    <s v="BLG1-100ML"/>
    <n v="90"/>
    <s v="积米"/>
    <s v="盐田海卡"/>
    <s v="QXY8"/>
    <x v="48"/>
    <s v="BLG1-100ML 百乐宫酒店香氛油100mL"/>
    <x v="11"/>
    <n v="1"/>
    <n v="20.470500000000001"/>
    <s v="重量收费"/>
    <n v="5.6"/>
    <m/>
    <m/>
    <n v="114.6348"/>
    <n v="1.27372"/>
    <n v="0.19010746268656714"/>
    <m/>
    <m/>
    <m/>
    <x v="1"/>
    <d v="2026-02-05T00:00:00"/>
    <m/>
    <n v="0.34"/>
    <n v="30.6"/>
    <d v="2026-03-12T00:00:00"/>
    <n v="55"/>
    <d v="2026-03-12T00:00:00"/>
  </r>
  <r>
    <n v="56"/>
    <s v="备注第3至第16箱，单独报关"/>
    <s v="W03002"/>
    <s v="FBA195X3FRY0"/>
    <s v="E-US"/>
    <x v="0"/>
    <s v="HOTEL6KIT1-6X10K01"/>
    <n v="1064"/>
    <s v="积米"/>
    <s v="盐田海卡"/>
    <s v="QXY8"/>
    <x v="45"/>
    <s v="HOTEL6KIT1-6X10K01 酒店香氛油6款10mL套装"/>
    <x v="11"/>
    <n v="14"/>
    <n v="286.58699999999999"/>
    <s v="重量收费"/>
    <n v="5.6"/>
    <n v="350"/>
    <n v="350"/>
    <n v="1954.8871999999999"/>
    <n v="1.8372999999999999"/>
    <n v="0.27422388059701491"/>
    <m/>
    <m/>
    <m/>
    <x v="1"/>
    <d v="2026-02-05T00:00:00"/>
    <m/>
    <n v="0.34"/>
    <n v="361.76000000000005"/>
    <d v="2026-03-12T00:00:00"/>
    <n v="55"/>
    <d v="2026-03-12T00:00:00"/>
  </r>
  <r>
    <n v="57"/>
    <m/>
    <s v="买单报关"/>
    <s v="FBA195X3FRY0"/>
    <s v="E-US"/>
    <x v="0"/>
    <s v="JY-100ML"/>
    <n v="90"/>
    <s v="积米"/>
    <s v="盐田海卡"/>
    <s v="QXY8"/>
    <x v="49"/>
    <s v="A-Grand Hyatt Hotel-100 君悦酒店香氛油100mL"/>
    <x v="11"/>
    <n v="1"/>
    <n v="20.470500000000001"/>
    <s v="重量收费"/>
    <n v="5.6"/>
    <n v="350"/>
    <m/>
    <n v="114.6348"/>
    <n v="1.27372"/>
    <n v="0.19010746268656714"/>
    <m/>
    <m/>
    <m/>
    <x v="1"/>
    <d v="2026-02-05T00:00:00"/>
    <m/>
    <n v="0.34"/>
    <n v="30.6"/>
    <d v="2026-03-12T00:00:00"/>
    <n v="55"/>
    <d v="2026-03-12T00:00:00"/>
  </r>
  <r>
    <n v="58"/>
    <m/>
    <s v="买单报关"/>
    <s v="FBA195X3FRY0"/>
    <s v="E-US"/>
    <x v="0"/>
    <s v="MWAY1-100ML"/>
    <n v="180"/>
    <s v="积米"/>
    <s v="盐田海卡"/>
    <s v="QXY8"/>
    <x v="50"/>
    <s v="A-MWAY Deluxe-100 特定香型香氛油100mL"/>
    <x v="11"/>
    <n v="2"/>
    <n v="40.941000000000003"/>
    <s v="重量收费"/>
    <n v="5.6"/>
    <m/>
    <m/>
    <n v="229.2696"/>
    <n v="1.27372"/>
    <n v="0.19010746268656714"/>
    <m/>
    <m/>
    <m/>
    <x v="1"/>
    <d v="2026-02-05T00:00:00"/>
    <m/>
    <n v="0.34"/>
    <n v="61.2"/>
    <d v="2026-03-12T00:00:00"/>
    <n v="55"/>
    <d v="2026-03-12T00:00:00"/>
  </r>
  <r>
    <n v="59"/>
    <m/>
    <s v="买单报关"/>
    <s v="FBA195X3FRY0"/>
    <s v="E-US"/>
    <x v="0"/>
    <s v="WST1-100ML"/>
    <n v="90"/>
    <s v="积米"/>
    <s v="盐田海卡"/>
    <s v="QXY8"/>
    <x v="51"/>
    <s v="WST1-100ML 威斯汀2酒店香氛油100mL"/>
    <x v="11"/>
    <n v="1"/>
    <n v="20.470500000000001"/>
    <s v="重量收费"/>
    <n v="5.6"/>
    <m/>
    <m/>
    <n v="114.6348"/>
    <n v="1.27372"/>
    <n v="0.19010746268656714"/>
    <m/>
    <m/>
    <m/>
    <x v="1"/>
    <d v="2026-02-05T00:00:00"/>
    <m/>
    <n v="0.34"/>
    <n v="30.6"/>
    <d v="2026-03-12T00:00:00"/>
    <n v="55"/>
    <d v="2026-03-12T00:00:00"/>
  </r>
  <r>
    <n v="60"/>
    <m/>
    <s v="W04003"/>
    <s v="FBA1967GPG1X"/>
    <s v="E-US"/>
    <x v="0"/>
    <s v="001000053"/>
    <n v="128"/>
    <s v="嘀嗒嘀"/>
    <s v="盐田海卡"/>
    <s v="QXY8"/>
    <x v="52"/>
    <s v="ANX-2PC-BB 便携式扩香仪套装 黑+黑"/>
    <x v="1"/>
    <n v="8"/>
    <n v="106.57627118644068"/>
    <s v="重量收费"/>
    <n v="3.4"/>
    <n v="200"/>
    <n v="10.884353741496598"/>
    <n v="373.24367577539493"/>
    <n v="2.9159662169952729"/>
    <n v="0.43521883835750341"/>
    <m/>
    <m/>
    <m/>
    <x v="2"/>
    <d v="2026-02-14T00:00:00"/>
    <m/>
    <n v="0.35943907156673116"/>
    <n v="46.008201160541589"/>
    <d v="2026-02-24T00:00:00"/>
    <n v="32"/>
    <d v="2026-02-24T00:00:00"/>
  </r>
  <r>
    <n v="61"/>
    <m/>
    <s v="W04003"/>
    <s v="FBA1967GPG1X"/>
    <s v="E-US"/>
    <x v="0"/>
    <s v="001000045"/>
    <n v="300"/>
    <s v="嘀嗒嘀"/>
    <s v="盐田海卡"/>
    <s v="QXY8"/>
    <x v="1"/>
    <s v="ANX-B 便携式扩香仪 黑色"/>
    <x v="1"/>
    <n v="10"/>
    <n v="133.22033898305085"/>
    <s v="重量收费"/>
    <n v="3.4"/>
    <n v="200"/>
    <n v="13.605442176870747"/>
    <n v="466.5545947192436"/>
    <n v="1.5551819823974786"/>
    <n v="0.23211671379066845"/>
    <m/>
    <m/>
    <m/>
    <x v="2"/>
    <d v="2026-02-14T00:00:00"/>
    <m/>
    <n v="0.35943907156673116"/>
    <n v="107.83172147001935"/>
    <d v="2026-02-24T00:00:00"/>
    <n v="32"/>
    <d v="2026-02-24T00:00:00"/>
  </r>
  <r>
    <n v="62"/>
    <m/>
    <s v="W04003"/>
    <s v="FBA1967GPG1X"/>
    <s v="E-US"/>
    <x v="0"/>
    <s v="ANZ-B"/>
    <n v="1200"/>
    <s v="嘀嗒嘀"/>
    <s v="盐田海卡"/>
    <s v="QXY8"/>
    <x v="0"/>
    <s v="ANZ-B 便携式扩香仪 黑色"/>
    <x v="0"/>
    <n v="30"/>
    <n v="399.66101694915255"/>
    <s v="重量收费"/>
    <n v="3.4"/>
    <m/>
    <n v="40.816326530612244"/>
    <n v="1399.663784157731"/>
    <n v="1.1663864867981091"/>
    <n v="0.17408753534300134"/>
    <m/>
    <m/>
    <m/>
    <x v="2"/>
    <d v="2026-02-14T00:00:00"/>
    <m/>
    <n v="0.35943907156673116"/>
    <n v="431.32688588007738"/>
    <d v="2026-02-24T00:00:00"/>
    <n v="32"/>
    <d v="2026-02-24T00:00:00"/>
  </r>
  <r>
    <n v="63"/>
    <m/>
    <s v="W04003"/>
    <s v="FBA1967GPG1X"/>
    <s v="E-US"/>
    <x v="0"/>
    <s v="ANZ-WH"/>
    <n v="440"/>
    <s v="嘀嗒嘀"/>
    <s v="盐田海卡"/>
    <s v="QXY8"/>
    <x v="53"/>
    <s v="ANZ-WH 便携式扩香仪 白色"/>
    <x v="0"/>
    <n v="11"/>
    <n v="146.54237288135593"/>
    <s v="重量收费"/>
    <n v="3.4"/>
    <m/>
    <n v="14.965986394557824"/>
    <n v="513.21005419116796"/>
    <n v="1.1663864867981091"/>
    <n v="0.17408753534300134"/>
    <m/>
    <m/>
    <m/>
    <x v="2"/>
    <d v="2026-02-14T00:00:00"/>
    <m/>
    <n v="0.35943907156673116"/>
    <n v="158.15319148936172"/>
    <d v="2026-02-24T00:00:00"/>
    <n v="32"/>
    <d v="2026-02-24T00:00:00"/>
  </r>
  <r>
    <n v="64"/>
    <m/>
    <s v="W04005"/>
    <s v="FBA1967FNB50"/>
    <s v="E-US"/>
    <x v="0"/>
    <s v="ANZKIT-B_4X10K04_TZ"/>
    <n v="600"/>
    <s v="万邦"/>
    <s v="盐田海卡"/>
    <s v="TCY1"/>
    <x v="38"/>
    <s v="ANZKIT-B_4X10K04_TZ ANZ黑色机器+4x10mL酒店（天竺）香氛油 机油套装"/>
    <x v="0"/>
    <n v="20"/>
    <n v="319.62"/>
    <s v="重量收费"/>
    <n v="3.9"/>
    <n v="250"/>
    <n v="45.871559633027523"/>
    <n v="1292.3895596330276"/>
    <n v="2.1539825993883794"/>
    <n v="0.32148994020722083"/>
    <m/>
    <m/>
    <m/>
    <x v="2"/>
    <d v="2026-03-08T00:00:00"/>
    <m/>
    <n v="0.41"/>
    <n v="245.99999999999997"/>
    <d v="2026-03-20T00:00:00"/>
    <n v="56"/>
    <d v="2026-03-20T00:00:00"/>
  </r>
  <r>
    <n v="65"/>
    <m/>
    <s v="W04005"/>
    <s v="FBA196FDHR3M"/>
    <s v="V-US"/>
    <x v="0"/>
    <s v="ADXKIT-B_4X10K04_TZ"/>
    <n v="600"/>
    <s v="万邦"/>
    <s v="盐田海卡"/>
    <s v="TCY1"/>
    <x v="54"/>
    <s v="ADXKIT-B_4X10K04_TZ ADX黑色机器+4x10mL酒店（天竺）香氛油 机油套装"/>
    <x v="2"/>
    <n v="20"/>
    <n v="319.61971830985919"/>
    <s v="重量收费"/>
    <n v="3.9"/>
    <n v="250"/>
    <n v="45.871559633027523"/>
    <n v="1292.3884610414784"/>
    <n v="2.1539807684024641"/>
    <n v="0.32148966692574088"/>
    <m/>
    <m/>
    <m/>
    <x v="2"/>
    <d v="2026-03-08T00:00:00"/>
    <m/>
    <n v="0.44"/>
    <n v="264"/>
    <d v="2026-03-20T00:00:00"/>
    <n v="56"/>
    <d v="2026-03-20T00:00:00"/>
  </r>
  <r>
    <n v="66"/>
    <m/>
    <s v="W04005"/>
    <s v="FBA196FDHR3M"/>
    <s v="V-US"/>
    <x v="0"/>
    <s v="ADXKIT-DT_4X10K04_TZ"/>
    <n v="180"/>
    <s v="万邦"/>
    <s v="盐田海卡"/>
    <s v="TCY1"/>
    <x v="55"/>
    <s v="ADXKIT-DT_4X10K04_TZ AD钛色机器+4x10mL酒店（天竺）香氛油 机油套装"/>
    <x v="2"/>
    <n v="6"/>
    <n v="95.88591549295775"/>
    <s v="重量收费"/>
    <n v="3.9"/>
    <m/>
    <n v="13.761467889908257"/>
    <n v="387.7165383124435"/>
    <n v="2.1539807684024641"/>
    <n v="0.32148966692574088"/>
    <m/>
    <m/>
    <m/>
    <x v="2"/>
    <d v="2026-03-08T00:00:00"/>
    <m/>
    <n v="0.44"/>
    <n v="79.2"/>
    <d v="2026-03-20T00:00:00"/>
    <n v="56"/>
    <d v="2026-03-20T00:00:00"/>
  </r>
  <r>
    <n v="67"/>
    <m/>
    <s v="W04005"/>
    <s v="FBA196FDHR3M"/>
    <s v="V-US"/>
    <x v="0"/>
    <s v="AN6KIT-WH_SJ30ML_TZ"/>
    <n v="150"/>
    <s v="万邦"/>
    <s v="盐田海卡"/>
    <s v="TCY1"/>
    <x v="56"/>
    <s v="AN6KIT-WH_SJ30ML_TZ AN6白色机器+30mL四季酒店香氛油（天竺） 机油套装"/>
    <x v="3"/>
    <n v="5"/>
    <n v="79.904929577464799"/>
    <s v="重量收费"/>
    <n v="3.9"/>
    <m/>
    <n v="11.467889908256881"/>
    <n v="323.09711526036961"/>
    <n v="2.1539807684024641"/>
    <n v="0.32148966692574088"/>
    <m/>
    <m/>
    <m/>
    <x v="2"/>
    <d v="2026-03-08T00:00:00"/>
    <m/>
    <n v="0.44"/>
    <n v="66"/>
    <d v="2026-03-20T00:00:00"/>
    <n v="56"/>
    <d v="2026-03-20T00:00:00"/>
  </r>
  <r>
    <n v="68"/>
    <m/>
    <s v="W04005"/>
    <s v="FBA196FDHR3M"/>
    <s v="V-US"/>
    <x v="0"/>
    <s v="AN8KIT-B_2X20K03"/>
    <n v="600"/>
    <s v="万邦"/>
    <s v="盐田海卡"/>
    <s v="TCY1"/>
    <x v="57"/>
    <s v="AN8KIT-B_2X20K03 AN8黑色机器+2X20mL（天竺）酒店香氛油 机油套装"/>
    <x v="4"/>
    <n v="20"/>
    <n v="319.61971830985919"/>
    <s v="重量收费"/>
    <n v="3.9"/>
    <m/>
    <n v="45.871559633027523"/>
    <n v="1292.3884610414784"/>
    <n v="2.1539807684024641"/>
    <n v="0.32148966692574088"/>
    <m/>
    <m/>
    <m/>
    <x v="2"/>
    <d v="2026-03-08T00:00:00"/>
    <m/>
    <n v="0.44"/>
    <n v="264"/>
    <d v="2026-03-20T00:00:00"/>
    <n v="56"/>
    <d v="2026-03-20T00:00:00"/>
  </r>
  <r>
    <n v="69"/>
    <m/>
    <s v="W04005"/>
    <s v="FBA196FDHR3M"/>
    <s v="V-US"/>
    <x v="0"/>
    <s v="AN8KIT-B_4X10K01"/>
    <n v="300"/>
    <s v="万邦"/>
    <s v="盐田海卡"/>
    <s v="TCY1"/>
    <x v="10"/>
    <s v="AN8KIT-B_4X10K01 AN8黑色机器+4x10mL酒店香氛油 机油套装"/>
    <x v="4"/>
    <n v="10"/>
    <n v="159.8098591549296"/>
    <s v="重量收费"/>
    <n v="3.9"/>
    <m/>
    <n v="22.935779816513762"/>
    <n v="646.19423052073921"/>
    <n v="2.1539807684024641"/>
    <n v="0.32148966692574088"/>
    <m/>
    <m/>
    <m/>
    <x v="2"/>
    <d v="2026-03-08T00:00:00"/>
    <m/>
    <n v="0.44"/>
    <n v="132"/>
    <d v="2026-03-20T00:00:00"/>
    <n v="56"/>
    <d v="2026-03-20T00:00:00"/>
  </r>
  <r>
    <n v="70"/>
    <m/>
    <s v="W04005"/>
    <s v="FBA196FDHR3M"/>
    <s v="V-US"/>
    <x v="0"/>
    <s v="AN8KIT-B_4X10K02"/>
    <n v="300"/>
    <s v="万邦"/>
    <s v="盐田海卡"/>
    <s v="TCY1"/>
    <x v="11"/>
    <s v="AN8KIT-B_4X10K02 AN8黑色机器+4x10mL（天竺）香氛油 机油套装"/>
    <x v="4"/>
    <n v="10"/>
    <n v="159.8098591549296"/>
    <s v="重量收费"/>
    <n v="3.9"/>
    <m/>
    <n v="22.935779816513762"/>
    <n v="646.19423052073921"/>
    <n v="2.1539807684024641"/>
    <n v="0.32148966692574088"/>
    <m/>
    <m/>
    <m/>
    <x v="2"/>
    <d v="2026-03-08T00:00:00"/>
    <m/>
    <n v="0.44"/>
    <n v="132"/>
    <d v="2026-03-20T00:00:00"/>
    <n v="56"/>
    <d v="2026-03-20T00:00:00"/>
  </r>
  <r>
    <n v="71"/>
    <m/>
    <s v="W04005"/>
    <s v="FBA196FG6V2S"/>
    <s v="V-US"/>
    <x v="0"/>
    <s v="001000039"/>
    <n v="400"/>
    <s v="万邦"/>
    <s v="盐田海卡"/>
    <s v="TCY1"/>
    <x v="35"/>
    <s v="AN6-GL 便携式扩香仪 翠百合色"/>
    <x v="3"/>
    <n v="10"/>
    <n v="159.80714285714285"/>
    <s v="重量收费"/>
    <n v="3.9"/>
    <m/>
    <n v="22.935779816513762"/>
    <n v="646.18363695937092"/>
    <n v="1.6154590923984273"/>
    <n v="0.2411132973728996"/>
    <m/>
    <m/>
    <m/>
    <x v="2"/>
    <d v="2026-03-08T00:00:00"/>
    <m/>
    <n v="0.37846153846153846"/>
    <n v="151.38461538461539"/>
    <d v="2026-03-20T00:00:00"/>
    <n v="56"/>
    <d v="2026-03-20T00:00:00"/>
  </r>
  <r>
    <n v="72"/>
    <m/>
    <s v="W04005"/>
    <s v="FBA196FG6V2S"/>
    <s v="V-US"/>
    <x v="0"/>
    <s v="AND-LV"/>
    <n v="60"/>
    <s v="万邦"/>
    <s v="盐田海卡"/>
    <s v="TCY1"/>
    <x v="58"/>
    <s v="AND-LV 便携式双喷扩香仪 薰衣草色"/>
    <x v="5"/>
    <n v="2"/>
    <n v="31.96142857142857"/>
    <s v="重量收费"/>
    <n v="3.9"/>
    <m/>
    <n v="4.5871559633027523"/>
    <n v="129.23672739187418"/>
    <n v="2.1539454565312366"/>
    <n v="0.32148439649719951"/>
    <m/>
    <m/>
    <m/>
    <x v="2"/>
    <d v="2026-03-08T00:00:00"/>
    <m/>
    <n v="0.37846153846153846"/>
    <n v="22.707692307692309"/>
    <d v="2026-03-20T00:00:00"/>
    <n v="56"/>
    <d v="2026-03-20T00:00:00"/>
  </r>
  <r>
    <n v="73"/>
    <m/>
    <s v="W04005"/>
    <s v="FBA196FG6V2S"/>
    <s v="V-US"/>
    <x v="0"/>
    <s v="AND-MT"/>
    <n v="60"/>
    <s v="万邦"/>
    <s v="盐田海卡"/>
    <s v="TCY1"/>
    <x v="59"/>
    <s v="AND-MT 便携式双喷扩香仪 薄荷绿色"/>
    <x v="5"/>
    <n v="2"/>
    <n v="31.96142857142857"/>
    <s v="重量收费"/>
    <n v="3.9"/>
    <m/>
    <n v="4.5871559633027523"/>
    <n v="129.23672739187418"/>
    <n v="2.1539454565312366"/>
    <n v="0.32148439649719951"/>
    <m/>
    <m/>
    <m/>
    <x v="2"/>
    <d v="2026-03-08T00:00:00"/>
    <m/>
    <n v="0.37846153846153846"/>
    <n v="22.707692307692309"/>
    <d v="2026-03-20T00:00:00"/>
    <n v="56"/>
    <d v="2026-03-20T00:00:00"/>
  </r>
  <r>
    <n v="74"/>
    <m/>
    <s v="W04005"/>
    <s v="FBA196866S65"/>
    <s v="A-US"/>
    <x v="0"/>
    <s v="ANZKIT-B_HILTON30ML"/>
    <n v="120"/>
    <s v="万邦"/>
    <s v="盐田海卡"/>
    <s v="TCY2"/>
    <x v="22"/>
    <s v="ANZKIT-B_HILTON30ML ANZ黑色机器+30mL希尔顿酒店香氛油（天竺） 机油套装"/>
    <x v="0"/>
    <n v="4"/>
    <n v="56"/>
    <s v="重量收费"/>
    <n v="3.9"/>
    <m/>
    <n v="9.1743119266055047"/>
    <n v="227.5743119266055"/>
    <n v="1.8964525993883792"/>
    <n v="0.28305262677438492"/>
    <m/>
    <m/>
    <m/>
    <x v="2"/>
    <d v="2026-03-08T00:00:00"/>
    <m/>
    <n v="0.44"/>
    <n v="52.8"/>
    <d v="2026-03-21T00:00:00"/>
    <n v="57"/>
    <d v="2026-03-21T00:00:00"/>
  </r>
  <r>
    <n v="75"/>
    <m/>
    <s v="W04004"/>
    <s v="FBA1969SRVSY"/>
    <s v="V-CA"/>
    <x v="3"/>
    <s v="001000019"/>
    <n v="240"/>
    <s v="嘀嗒嘀"/>
    <s v="加拿大海卡"/>
    <s v="YOW3"/>
    <x v="17"/>
    <s v="AN6-B 便携式扩香仪 黑色"/>
    <x v="3"/>
    <n v="6"/>
    <n v="83"/>
    <s v="重量收费"/>
    <n v="6"/>
    <n v="200"/>
    <n v="34.285714285714285"/>
    <n v="532.28571428571433"/>
    <n v="2.217857142857143"/>
    <n v="0.3310234541577825"/>
    <m/>
    <m/>
    <m/>
    <x v="2"/>
    <d v="2026-03-12T00:00:00"/>
    <m/>
    <n v="0"/>
    <n v="0"/>
    <d v="2026-03-14T00:00:00"/>
    <n v="50"/>
    <d v="2026-03-14T00:00:00"/>
  </r>
  <r>
    <n v="76"/>
    <m/>
    <s v="买单报关"/>
    <s v="FBA196837WL2"/>
    <s v="V-US"/>
    <x v="0"/>
    <s v="006000024"/>
    <n v="720"/>
    <s v="积米"/>
    <s v="盐田海卡"/>
    <s v="TCY1"/>
    <x v="46"/>
    <s v="A-Ritz Carlton Hotel 3-100 丽思卡尔顿酒店3香氛油100mL"/>
    <x v="11"/>
    <n v="8"/>
    <n v="157"/>
    <s v="重量收费"/>
    <n v="5.3"/>
    <m/>
    <m/>
    <n v="832.1"/>
    <n v="1.1556944444444446"/>
    <n v="0.17249170812603651"/>
    <m/>
    <m/>
    <m/>
    <x v="2"/>
    <d v="2026-02-12T00:00:00"/>
    <m/>
    <n v="0.36"/>
    <n v="259.2"/>
    <d v="2026-02-28T00:00:00"/>
    <n v="36"/>
    <d v="2026-02-28T00:00:00"/>
  </r>
  <r>
    <n v="77"/>
    <m/>
    <s v="W04002"/>
    <s v="FBA19683VMP8"/>
    <s v="V-US"/>
    <x v="0"/>
    <s v="006000024"/>
    <n v="1890"/>
    <s v="天盛"/>
    <s v="盐田海卡"/>
    <s v="GEU3"/>
    <x v="46"/>
    <s v="A-Ritz Carlton Hotel 3-100 丽思卡尔顿酒店3香氛油100mL"/>
    <x v="11"/>
    <n v="21"/>
    <n v="1.0828125"/>
    <s v="CBM收费"/>
    <n v="1150"/>
    <n v="190.8"/>
    <n v="125.21250000000001"/>
    <n v="1370.4468750000001"/>
    <n v="0.72510416666666666"/>
    <n v="0.10822450248756219"/>
    <m/>
    <m/>
    <m/>
    <x v="2"/>
    <d v="2026-02-10T00:00:00"/>
    <m/>
    <n v="0.36402010050251254"/>
    <n v="687.99798994974867"/>
    <d v="2026-02-27T00:00:00"/>
    <n v="35"/>
    <d v="2026-02-27T00:00:00"/>
  </r>
  <r>
    <n v="78"/>
    <m/>
    <s v="W04002"/>
    <s v="FBA19683VMP8"/>
    <s v="V-US"/>
    <x v="0"/>
    <s v="RZ-500ML"/>
    <n v="100"/>
    <s v="天盛"/>
    <s v="盐田海卡"/>
    <s v="GEU3"/>
    <x v="60"/>
    <s v="RZ-500ML 丽思卡尔顿酒店3香氛油500mL"/>
    <x v="11"/>
    <n v="5"/>
    <n v="0.2578125"/>
    <s v="CBM收费"/>
    <n v="1150"/>
    <n v="190.8"/>
    <n v="29.8125"/>
    <n v="326.296875"/>
    <n v="3.2629687500000002"/>
    <n v="0.48701026119402985"/>
    <m/>
    <m/>
    <m/>
    <x v="2"/>
    <d v="2026-02-10T00:00:00"/>
    <m/>
    <n v="0.36402010050251254"/>
    <n v="36.402010050251256"/>
    <d v="2026-02-27T00:00:00"/>
    <n v="35"/>
    <d v="2026-02-27T00:00:00"/>
  </r>
  <r>
    <n v="79"/>
    <m/>
    <s v="W04002"/>
    <s v="FBA19682VZWD"/>
    <s v="E-US"/>
    <x v="0"/>
    <s v="HOTEL6KIT1-6X10K01"/>
    <n v="304"/>
    <s v="天盛"/>
    <s v="盐田海卡"/>
    <s v="GEU3"/>
    <x v="45"/>
    <s v="HOTEL6KIT1-6X10K01 酒店香氛油6款10mL套装"/>
    <x v="11"/>
    <n v="4"/>
    <n v="0.20624999999999999"/>
    <s v="CBM收费"/>
    <n v="1150"/>
    <m/>
    <n v="23.85"/>
    <n v="261.03750000000002"/>
    <n v="0.85867598684210533"/>
    <n v="0.12816059505106051"/>
    <m/>
    <m/>
    <m/>
    <x v="2"/>
    <d v="2026-02-10T00:00:00"/>
    <m/>
    <n v="0.36000000000000004"/>
    <n v="109.44000000000001"/>
    <d v="2026-02-19T00:00:00"/>
    <n v="27"/>
    <d v="2026-02-19T00:00:00"/>
  </r>
  <r>
    <n v="80"/>
    <m/>
    <s v="W04002"/>
    <s v="FBA19682VZWD"/>
    <s v="E-US"/>
    <x v="0"/>
    <s v="JY-100ML"/>
    <n v="180"/>
    <s v="天盛"/>
    <s v="盐田海卡"/>
    <s v="GEU3"/>
    <x v="49"/>
    <s v="A-Grand Hyatt Hotel-100 君悦酒店香氛油100mL"/>
    <x v="11"/>
    <n v="2"/>
    <n v="0.10312499999999999"/>
    <s v="CBM收费"/>
    <n v="1150"/>
    <m/>
    <n v="11.925000000000001"/>
    <n v="130.51875000000001"/>
    <n v="0.72510416666666677"/>
    <n v="0.1082245024875622"/>
    <m/>
    <m/>
    <m/>
    <x v="2"/>
    <d v="2026-02-10T00:00:00"/>
    <m/>
    <n v="0.36000000000000004"/>
    <n v="64.800000000000011"/>
    <d v="2026-02-19T00:00:00"/>
    <n v="27"/>
    <d v="2026-02-19T00:00:00"/>
  </r>
  <r>
    <n v="81"/>
    <m/>
    <s v="买单报关"/>
    <s v="FBA1968392KJ"/>
    <s v="V-US"/>
    <x v="0"/>
    <s v="HILTON1-100ML_TZ"/>
    <n v="576"/>
    <s v="积米"/>
    <s v="盐田海卡"/>
    <s v="GEU3"/>
    <x v="61"/>
    <s v="HILTON1-100ML_TZ 希尔顿酒店100mL香氛油（天竺） 销售包装"/>
    <x v="6"/>
    <n v="9"/>
    <n v="130"/>
    <s v="重量收费"/>
    <n v="5.3"/>
    <m/>
    <m/>
    <n v="689"/>
    <n v="1.1961805555555556"/>
    <n v="0.17853441127694858"/>
    <m/>
    <m/>
    <m/>
    <x v="2"/>
    <d v="2026-02-12T00:00:00"/>
    <m/>
    <n v="0.36000000000000004"/>
    <n v="207.36"/>
    <d v="2026-02-26T00:00:00"/>
    <n v="34"/>
    <d v="2026-02-26T00:00:00"/>
  </r>
  <r>
    <n v="82"/>
    <m/>
    <s v="W04001"/>
    <s v="FBA19686T54K"/>
    <s v="E-US"/>
    <x v="0"/>
    <s v="BCRT1-100ML_TZ"/>
    <n v="384"/>
    <s v="积米"/>
    <s v="盐田海卡"/>
    <s v="TCY1"/>
    <x v="62"/>
    <s v="BCRT1-100ML_TZ 巴卡拉酒店100mL香氛油（天竺） 销售包装"/>
    <x v="6"/>
    <n v="6"/>
    <n v="86.84210526315789"/>
    <s v="重量收费"/>
    <n v="5.3"/>
    <n v="350"/>
    <n v="110.52631578947368"/>
    <n v="570.78947368421052"/>
    <n v="1.4864309210526316"/>
    <n v="0.22185536135113904"/>
    <m/>
    <m/>
    <m/>
    <x v="2"/>
    <d v="2026-02-12T00:00:00"/>
    <m/>
    <n v="0.36"/>
    <n v="138.24"/>
    <d v="2026-02-28T00:00:00"/>
    <n v="36"/>
    <d v="2026-02-28T00:00:00"/>
  </r>
  <r>
    <n v="83"/>
    <m/>
    <s v="W04001"/>
    <s v="FBA19686T54K"/>
    <s v="E-US"/>
    <x v="0"/>
    <s v="SJ1-100ML_TZ"/>
    <n v="576"/>
    <s v="积米"/>
    <s v="盐田海卡"/>
    <s v="TCY1"/>
    <x v="23"/>
    <s v="SJ1-100ML_TZ 四季酒店100mL香氛油（天竺） 销售包装"/>
    <x v="6"/>
    <n v="9"/>
    <n v="130.26315789473682"/>
    <s v="重量收费"/>
    <n v="5.3"/>
    <n v="350"/>
    <n v="165.78947368421052"/>
    <n v="856.18421052631561"/>
    <n v="1.4864309210526312"/>
    <n v="0.22185536135113898"/>
    <m/>
    <m/>
    <m/>
    <x v="2"/>
    <d v="2026-02-12T00:00:00"/>
    <m/>
    <n v="0.36"/>
    <n v="207.35999999999999"/>
    <d v="2026-02-28T00:00:00"/>
    <n v="36"/>
    <d v="2026-02-28T00:00:00"/>
  </r>
  <r>
    <n v="84"/>
    <m/>
    <s v="W04001"/>
    <s v="FBA19686T54K"/>
    <s v="E-US"/>
    <x v="0"/>
    <s v="W1-100ML_TZ"/>
    <n v="256"/>
    <s v="积米"/>
    <s v="盐田海卡"/>
    <s v="TCY1"/>
    <x v="24"/>
    <s v="W1-100ML_TZ W酒店100mL香氛油（天竺） 销售包装"/>
    <x v="6"/>
    <n v="4"/>
    <n v="57.89473684210526"/>
    <s v="重量收费"/>
    <n v="5.3"/>
    <m/>
    <n v="73.684210526315795"/>
    <n v="380.52631578947364"/>
    <n v="1.4864309210526314"/>
    <n v="0.22185536135113901"/>
    <m/>
    <m/>
    <m/>
    <x v="2"/>
    <d v="2026-02-12T00:00:00"/>
    <m/>
    <n v="0.36"/>
    <n v="92.16"/>
    <d v="2026-02-28T00:00:00"/>
    <n v="36"/>
    <d v="2026-02-28T00:00:00"/>
  </r>
  <r>
    <n v="85"/>
    <m/>
    <s v="W04003"/>
    <s v="FBA1967F889Z"/>
    <s v="W-US"/>
    <x v="0"/>
    <s v="G1-B"/>
    <n v="1088"/>
    <s v="嘀嗒嘀"/>
    <s v="盐田海卡"/>
    <s v="TCY1"/>
    <x v="63"/>
    <s v="G1-B 电子球形把手锁 黑色"/>
    <x v="12"/>
    <n v="68"/>
    <n v="911.81818181818176"/>
    <s v="重量收费"/>
    <n v="3.1"/>
    <m/>
    <n v="92.517006802721085"/>
    <n v="2919.1533704390845"/>
    <n v="2.6830453772418057"/>
    <n v="0.40045453391668739"/>
    <m/>
    <m/>
    <m/>
    <x v="2"/>
    <d v="2026-02-14T00:00:00"/>
    <m/>
    <n v="0.59022727272727271"/>
    <n v="642.16727272727269"/>
    <d v="2026-02-23T00:00:00"/>
    <n v="31"/>
    <d v="2026-02-23T00:00:00"/>
  </r>
  <r>
    <n v="86"/>
    <m/>
    <s v="W04003"/>
    <s v="FBA1967F889Z"/>
    <s v="W-US"/>
    <x v="0"/>
    <s v="G1-DT"/>
    <n v="160"/>
    <s v="嘀嗒嘀"/>
    <s v="盐田海卡"/>
    <s v="TCY1"/>
    <x v="64"/>
    <s v="G1-DT 电子球形把手锁 沙漠钛色"/>
    <x v="12"/>
    <n v="10"/>
    <n v="134.09090909090909"/>
    <s v="重量收费"/>
    <n v="3.1"/>
    <m/>
    <n v="13.605442176870747"/>
    <n v="429.28726035868891"/>
    <n v="2.6830453772418057"/>
    <n v="0.40045453391668739"/>
    <m/>
    <m/>
    <m/>
    <x v="2"/>
    <d v="2026-02-14T00:00:00"/>
    <m/>
    <n v="0.59022727272727271"/>
    <n v="94.436363636363637"/>
    <d v="2026-02-23T00:00:00"/>
    <n v="31"/>
    <d v="2026-02-23T00:00:00"/>
  </r>
  <r>
    <n v="87"/>
    <m/>
    <s v="W04003"/>
    <s v="FBA1967F889Z"/>
    <s v="W-US"/>
    <x v="0"/>
    <s v="G1-SILV"/>
    <n v="160"/>
    <s v="嘀嗒嘀"/>
    <s v="盐田海卡"/>
    <s v="TCY1"/>
    <x v="65"/>
    <s v="G1-SILV 电子球形把手锁 银色"/>
    <x v="12"/>
    <n v="10"/>
    <n v="134.09090909090909"/>
    <s v="重量收费"/>
    <n v="3.1"/>
    <m/>
    <n v="13.605442176870747"/>
    <n v="429.28726035868891"/>
    <n v="2.6830453772418057"/>
    <n v="0.40045453391668739"/>
    <m/>
    <m/>
    <m/>
    <x v="2"/>
    <d v="2026-02-14T00:00:00"/>
    <m/>
    <n v="0.59022727272727271"/>
    <n v="94.436363636363637"/>
    <d v="2026-02-23T00:00:00"/>
    <n v="31"/>
    <d v="2026-02-23T00:00:00"/>
  </r>
  <r>
    <n v="88"/>
    <m/>
    <s v="W04004"/>
    <s v="FBA1967XZYX3"/>
    <s v="A-CA"/>
    <x v="3"/>
    <s v="002000020"/>
    <n v="228"/>
    <s v="嘀嗒嘀"/>
    <s v="加拿大海卡"/>
    <s v="YHM1"/>
    <x v="66"/>
    <s v="H2-B 电子指纹球形把手锁-黑色"/>
    <x v="13"/>
    <n v="19"/>
    <n v="266.65517241379314"/>
    <s v="重量收费"/>
    <n v="6"/>
    <m/>
    <n v="108.57142857142857"/>
    <n v="1708.5024630541875"/>
    <n v="7.4934318555008224"/>
    <n v="1.1184226650001228"/>
    <m/>
    <m/>
    <m/>
    <x v="2"/>
    <d v="2026-03-12T00:00:00"/>
    <m/>
    <n v="0"/>
    <n v="0"/>
    <d v="2026-03-16T00:00:00"/>
    <n v="52"/>
    <d v="2026-03-16T00:00:00"/>
  </r>
  <r>
    <n v="89"/>
    <m/>
    <s v="W04004"/>
    <s v="FBA1967XZYX3"/>
    <s v="A-CA"/>
    <x v="3"/>
    <s v="002000023"/>
    <n v="120"/>
    <s v="嘀嗒嘀"/>
    <s v="加拿大海卡"/>
    <s v="YHM1"/>
    <x v="67"/>
    <s v="H2-SILV 电子指纹球形把手锁-银色"/>
    <x v="13"/>
    <n v="10"/>
    <n v="140.34482758620692"/>
    <s v="重量收费"/>
    <n v="6"/>
    <m/>
    <n v="57.142857142857146"/>
    <n v="899.21182266009862"/>
    <n v="7.4934318555008215"/>
    <n v="1.1184226650001226"/>
    <m/>
    <m/>
    <m/>
    <x v="2"/>
    <d v="2026-03-12T00:00:00"/>
    <m/>
    <n v="0"/>
    <n v="0"/>
    <d v="2026-03-16T00:00:00"/>
    <n v="52"/>
    <d v="2026-03-16T00:00:00"/>
  </r>
  <r>
    <n v="90"/>
    <m/>
    <s v="W05002"/>
    <s v="FBA15LCDDPG8"/>
    <s v="E-UK"/>
    <x v="2"/>
    <s v="001000019"/>
    <n v="440"/>
    <s v="嘀嗒嘀"/>
    <s v="英国海卡"/>
    <s v="BHX4"/>
    <x v="17"/>
    <s v="AN6-B 便携式扩香仪 黑色"/>
    <x v="3"/>
    <n v="11"/>
    <n v="0.52433333333333332"/>
    <s v="CBM收费"/>
    <n v="750"/>
    <n v="550"/>
    <n v="201.66666666666663"/>
    <n v="594.91666666666663"/>
    <n v="1.3520833333333333"/>
    <n v="0.20180348258706465"/>
    <m/>
    <m/>
    <s v="是"/>
    <x v="3"/>
    <d v="2026-03-13T00:00:00"/>
    <m/>
    <n v="0"/>
    <n v="0"/>
    <d v="2026-03-18T00:00:00"/>
    <n v="48"/>
    <d v="2026-03-18T00:00:00"/>
  </r>
  <r>
    <n v="91"/>
    <m/>
    <s v="W05002"/>
    <s v="FBA15LCDDPG8"/>
    <s v="E-UK"/>
    <x v="2"/>
    <s v="001000039"/>
    <n v="120"/>
    <s v="嘀嗒嘀"/>
    <s v="英国海卡"/>
    <s v="BHX4"/>
    <x v="35"/>
    <s v="AN6-GL 便携式扩香仪 翠百合色"/>
    <x v="3"/>
    <n v="3"/>
    <n v="0.14299999999999999"/>
    <s v="CBM收费"/>
    <n v="750"/>
    <n v="549.99999999999989"/>
    <n v="54.999999999999986"/>
    <n v="162.24999999999997"/>
    <n v="1.3520833333333331"/>
    <n v="0.20180348258706463"/>
    <m/>
    <m/>
    <s v="是"/>
    <x v="3"/>
    <d v="2026-03-13T00:00:00"/>
    <m/>
    <n v="0"/>
    <n v="0"/>
    <d v="2026-03-18T00:00:00"/>
    <n v="48"/>
    <d v="2026-03-18T00:00:00"/>
  </r>
  <r>
    <n v="92"/>
    <m/>
    <s v="W05002"/>
    <s v="FBA15LCDDPG8"/>
    <s v="E-UK"/>
    <x v="2"/>
    <s v="001000020"/>
    <n v="320"/>
    <s v="嘀嗒嘀"/>
    <s v="英国海卡"/>
    <s v="BHX4"/>
    <x v="18"/>
    <s v="AN6-W 便携式扩香仪 白色"/>
    <x v="3"/>
    <n v="8"/>
    <n v="0.3813333333333333"/>
    <s v="CBM收费"/>
    <n v="750"/>
    <m/>
    <n v="146.66666666666663"/>
    <n v="432.66666666666663"/>
    <n v="1.3520833333333333"/>
    <n v="0.20180348258706465"/>
    <m/>
    <m/>
    <s v="是"/>
    <x v="3"/>
    <d v="2026-03-13T00:00:00"/>
    <m/>
    <n v="0"/>
    <n v="0"/>
    <d v="2026-03-18T00:00:00"/>
    <n v="48"/>
    <d v="2026-03-18T00:00:00"/>
  </r>
  <r>
    <n v="93"/>
    <m/>
    <s v="W05002"/>
    <s v="FBA15LCDDPG8"/>
    <s v="E-UK"/>
    <x v="2"/>
    <s v="001000045"/>
    <n v="180"/>
    <s v="嘀嗒嘀"/>
    <s v="英国海卡"/>
    <s v="BHX4"/>
    <x v="1"/>
    <s v="ANX-B 便携式扩香仪 黑色"/>
    <x v="1"/>
    <n v="6"/>
    <n v="0.28599999999999998"/>
    <s v="CBM收费"/>
    <n v="750"/>
    <m/>
    <n v="109.99999999999997"/>
    <n v="324.49999999999994"/>
    <n v="1.8027777777777774"/>
    <n v="0.26907131011608615"/>
    <m/>
    <m/>
    <s v="是"/>
    <x v="3"/>
    <d v="2026-03-13T00:00:00"/>
    <m/>
    <n v="0"/>
    <n v="0"/>
    <d v="2026-03-18T00:00:00"/>
    <n v="48"/>
    <d v="2026-03-18T00:00:00"/>
  </r>
  <r>
    <n v="94"/>
    <m/>
    <s v="W05002"/>
    <s v="FBA15LCDDPG8"/>
    <s v="E-UK"/>
    <x v="2"/>
    <s v="001000052"/>
    <n v="60"/>
    <s v="嘀嗒嘀"/>
    <s v="英国海卡"/>
    <s v="BHX4"/>
    <x v="37"/>
    <s v="ANX-DT 便携式扩香仪 沙漠钛色"/>
    <x v="1"/>
    <n v="2"/>
    <n v="9.5333333333333325E-2"/>
    <s v="CBM收费"/>
    <n v="750"/>
    <m/>
    <n v="36.666666666666657"/>
    <n v="108.16666666666666"/>
    <n v="1.8027777777777776"/>
    <n v="0.2690713101160862"/>
    <m/>
    <m/>
    <s v="是"/>
    <x v="3"/>
    <d v="2026-03-13T00:00:00"/>
    <m/>
    <n v="0"/>
    <n v="0"/>
    <d v="2026-03-18T00:00:00"/>
    <n v="48"/>
    <d v="2026-03-18T00:00:00"/>
  </r>
  <r>
    <n v="95"/>
    <m/>
    <s v="W05012"/>
    <s v="FBA196P9L68R"/>
    <s v="V-US"/>
    <x v="0"/>
    <s v="ADXKIT-B_4X10K04_TZ"/>
    <n v="390"/>
    <s v="嘀嗒嘀"/>
    <s v="盐田海卡"/>
    <s v="TCY2"/>
    <x v="54"/>
    <s v="ADXKIT-B_4X10K04_TZ ADX黑色机器+4x10mL酒店（天竺）香氛油 机油套装"/>
    <x v="2"/>
    <n v="13"/>
    <n v="194.69"/>
    <s v="重量收费"/>
    <n v="3.9"/>
    <n v="200"/>
    <n v="11.403508771929825"/>
    <n v="770.6945087719298"/>
    <n v="1.9761397660818714"/>
    <n v="0.29494623374356288"/>
    <m/>
    <m/>
    <m/>
    <x v="3"/>
    <d v="2026-02-22T00:00:00"/>
    <m/>
    <n v="0.44"/>
    <n v="171.6"/>
    <d v="2026-03-03T00:00:00"/>
    <n v="33"/>
    <d v="2026-03-03T00:00:00"/>
  </r>
  <r>
    <n v="96"/>
    <m/>
    <s v="W05012"/>
    <s v="FBA196P93TMX"/>
    <s v="V-US"/>
    <x v="0"/>
    <s v="001000019"/>
    <n v="1000"/>
    <s v="嘀嗒嘀"/>
    <s v="盐田海卡"/>
    <s v="TCY2"/>
    <x v="17"/>
    <s v="AN6-B 便携式扩香仪 黑色"/>
    <x v="3"/>
    <n v="25"/>
    <n v="374.40517241379314"/>
    <s v="重量收费"/>
    <n v="3.9"/>
    <n v="199.99999999999997"/>
    <n v="21.92982456140351"/>
    <n v="1482.1099969751967"/>
    <n v="1.4821099969751967"/>
    <n v="0.22121044730973086"/>
    <m/>
    <m/>
    <m/>
    <x v="3"/>
    <d v="2026-02-22T00:00:00"/>
    <m/>
    <n v="0.36"/>
    <n v="360"/>
    <d v="2026-03-03T00:00:00"/>
    <n v="33"/>
    <d v="2026-03-03T00:00:00"/>
  </r>
  <r>
    <n v="97"/>
    <m/>
    <s v="W05012"/>
    <s v="FBA196P93TMX"/>
    <s v="V-US"/>
    <x v="0"/>
    <s v="AN6-LV"/>
    <n v="120"/>
    <s v="嘀嗒嘀"/>
    <s v="盐田海卡"/>
    <s v="TCY2"/>
    <x v="68"/>
    <s v="AN6-LV 便携式扩香仪 薰衣草"/>
    <x v="3"/>
    <n v="3"/>
    <n v="44.928620689655176"/>
    <s v="重量收费"/>
    <n v="3.9"/>
    <m/>
    <n v="2.6315789473684212"/>
    <n v="177.85319963702361"/>
    <n v="1.4821099969751967"/>
    <n v="0.22121044730973086"/>
    <m/>
    <m/>
    <m/>
    <x v="3"/>
    <d v="2026-02-22T00:00:00"/>
    <m/>
    <n v="0.36"/>
    <n v="43.199999999999996"/>
    <d v="2026-03-03T00:00:00"/>
    <n v="33"/>
    <d v="2026-03-03T00:00:00"/>
  </r>
  <r>
    <n v="98"/>
    <m/>
    <s v="W05012"/>
    <s v="FBA196P93TMX"/>
    <s v="V-US"/>
    <x v="0"/>
    <s v="001000021"/>
    <n v="200"/>
    <s v="嘀嗒嘀"/>
    <s v="盐田海卡"/>
    <s v="TCY2"/>
    <x v="69"/>
    <s v="AN6NZ-B AN6喷嘴配件套装 黑色"/>
    <x v="14"/>
    <n v="1"/>
    <n v="14.976206896551725"/>
    <s v="重量收费"/>
    <n v="3.9"/>
    <m/>
    <n v="0.8771929824561403"/>
    <n v="59.284399879007864"/>
    <n v="0.29642199939503933"/>
    <n v="4.4242089461946167E-2"/>
    <m/>
    <m/>
    <m/>
    <x v="3"/>
    <d v="2026-02-22T00:00:00"/>
    <m/>
    <n v="0.36"/>
    <n v="72"/>
    <d v="2026-03-03T00:00:00"/>
    <n v="33"/>
    <d v="2026-03-03T00:00:00"/>
  </r>
  <r>
    <n v="99"/>
    <m/>
    <s v="W05012"/>
    <s v="FBA196PBJHGY"/>
    <s v="E-US"/>
    <x v="0"/>
    <s v="ANXKIT-B_4X10K04_TZ"/>
    <n v="300"/>
    <s v="嘀嗒嘀"/>
    <s v="盐田海卡"/>
    <s v="TCY1"/>
    <x v="70"/>
    <s v="ANXKIT-B_4X10K04_TZ ANX黑色机器+4x10mL酒店（天竺）香氛油 机油套装"/>
    <x v="1"/>
    <n v="10"/>
    <n v="145.7138888888889"/>
    <s v="重量收费"/>
    <n v="3.6"/>
    <m/>
    <n v="8.7719298245614041"/>
    <n v="533.34192982456148"/>
    <n v="1.7778064327485383"/>
    <n v="0.26534424369381171"/>
    <m/>
    <m/>
    <m/>
    <x v="3"/>
    <d v="2026-02-22T00:00:00"/>
    <m/>
    <n v="0.44"/>
    <n v="132"/>
    <d v="2026-03-02T00:00:00"/>
    <n v="32"/>
    <d v="2026-03-02T00:00:00"/>
  </r>
  <r>
    <n v="100"/>
    <m/>
    <s v="W05012"/>
    <s v="FBA196PBJHGY"/>
    <s v="E-US"/>
    <x v="0"/>
    <s v="ANXKIT-T_4X10K04_TZ"/>
    <n v="180"/>
    <s v="嘀嗒嘀"/>
    <s v="盐田海卡"/>
    <s v="TCY1"/>
    <x v="71"/>
    <s v="ANXKIT-T_4X10K04_TZ ANX钛色机器+4x10mL酒店（天竺）香氛油 机油套装"/>
    <x v="1"/>
    <n v="6"/>
    <n v="87.428333333333342"/>
    <s v="重量收费"/>
    <n v="3.6"/>
    <m/>
    <n v="5.2631578947368425"/>
    <n v="320.00515789473684"/>
    <n v="1.7778064327485379"/>
    <n v="0.2653442436938116"/>
    <m/>
    <m/>
    <m/>
    <x v="3"/>
    <d v="2026-02-22T00:00:00"/>
    <m/>
    <n v="0.44"/>
    <n v="79.2"/>
    <d v="2026-03-02T00:00:00"/>
    <n v="32"/>
    <d v="2026-03-02T00:00:00"/>
  </r>
  <r>
    <n v="101"/>
    <m/>
    <s v="W05012"/>
    <s v="FBA196PBJHGY"/>
    <s v="E-US"/>
    <x v="0"/>
    <s v="ANZKIT-B_4X10K04_TZ"/>
    <n v="600"/>
    <s v="嘀嗒嘀"/>
    <s v="盐田海卡"/>
    <s v="TCY1"/>
    <x v="38"/>
    <s v="ANZKIT-B_4X10K04_TZ ANZ黑色机器+4x10mL酒店（天竺）香氛油 机油套装"/>
    <x v="0"/>
    <n v="20"/>
    <n v="291.42777777777781"/>
    <s v="重量收费"/>
    <n v="3.6"/>
    <m/>
    <n v="17.543859649122808"/>
    <n v="1066.683859649123"/>
    <n v="1.7778064327485383"/>
    <n v="0.26534424369381171"/>
    <m/>
    <m/>
    <m/>
    <x v="3"/>
    <d v="2026-02-22T00:00:00"/>
    <m/>
    <n v="0.44"/>
    <n v="264"/>
    <d v="2026-03-02T00:00:00"/>
    <n v="32"/>
    <d v="2026-03-02T00:00:00"/>
  </r>
  <r>
    <n v="102"/>
    <m/>
    <s v="W05012"/>
    <s v="FBA196PD1BWG"/>
    <s v="E-US"/>
    <x v="0"/>
    <s v="001000045"/>
    <n v="510"/>
    <s v="嘀嗒嘀"/>
    <s v="盐田海卡"/>
    <s v="TCY1"/>
    <x v="1"/>
    <s v="ANX-B 便携式扩香仪 黑色"/>
    <x v="1"/>
    <n v="17"/>
    <n v="247.71463768115939"/>
    <s v="重量收费"/>
    <n v="3.6"/>
    <m/>
    <n v="14.912280701754385"/>
    <n v="906.68497635392828"/>
    <n v="1.7778136791253496"/>
    <n v="0.26534532524258947"/>
    <m/>
    <m/>
    <m/>
    <x v="3"/>
    <d v="2026-02-22T00:00:00"/>
    <m/>
    <n v="0.40734824281150162"/>
    <n v="207.74760383386581"/>
    <d v="2026-03-02T00:00:00"/>
    <n v="32"/>
    <d v="2026-03-02T00:00:00"/>
  </r>
  <r>
    <n v="103"/>
    <m/>
    <s v="W05012"/>
    <s v="FBA196PD1BWG"/>
    <s v="E-US"/>
    <x v="0"/>
    <s v="001000050"/>
    <n v="90"/>
    <s v="嘀嗒嘀"/>
    <s v="盐田海卡"/>
    <s v="TCY1"/>
    <x v="3"/>
    <s v="ANX-RP 便携式扩香仪 红粉色"/>
    <x v="1"/>
    <n v="3"/>
    <n v="43.71434782608695"/>
    <s v="重量收费"/>
    <n v="3.6"/>
    <m/>
    <n v="2.6315789473684212"/>
    <n v="160.00323112128143"/>
    <n v="1.7778136791253492"/>
    <n v="0.26534532524258941"/>
    <m/>
    <m/>
    <m/>
    <x v="3"/>
    <d v="2026-02-22T00:00:00"/>
    <m/>
    <n v="0.40734824281150162"/>
    <n v="36.661341853035147"/>
    <d v="2026-03-02T00:00:00"/>
    <n v="32"/>
    <d v="2026-03-02T00:00:00"/>
  </r>
  <r>
    <n v="104"/>
    <m/>
    <s v="W05012"/>
    <s v="FBA196PD1BWG"/>
    <s v="E-US"/>
    <x v="0"/>
    <s v="ANZ-B"/>
    <n v="1000"/>
    <s v="嘀嗒嘀"/>
    <s v="盐田海卡"/>
    <s v="TCY1"/>
    <x v="0"/>
    <s v="ANZ-B 便携式扩香仪 黑色"/>
    <x v="0"/>
    <n v="25"/>
    <n v="364.28623188405794"/>
    <s v="重量收费"/>
    <n v="3.6"/>
    <m/>
    <n v="21.92982456140351"/>
    <n v="1333.3602593440123"/>
    <n v="1.3333602593440124"/>
    <n v="0.19900899393194213"/>
    <m/>
    <m/>
    <m/>
    <x v="3"/>
    <d v="2026-02-22T00:00:00"/>
    <m/>
    <n v="0.40734824281150162"/>
    <n v="407.34824281150162"/>
    <d v="2026-03-02T00:00:00"/>
    <n v="32"/>
    <d v="2026-03-02T00:00:00"/>
  </r>
  <r>
    <n v="105"/>
    <m/>
    <s v="W05012"/>
    <s v="FBA196PD1BWG"/>
    <s v="E-US"/>
    <x v="0"/>
    <s v="ANZ-WH"/>
    <n v="400"/>
    <s v="嘀嗒嘀"/>
    <s v="盐田海卡"/>
    <s v="TCY1"/>
    <x v="53"/>
    <s v="ANZ-WH 便携式扩香仪 白色"/>
    <x v="0"/>
    <n v="10"/>
    <n v="145.71449275362318"/>
    <s v="重量收费"/>
    <n v="3.6"/>
    <m/>
    <n v="8.7719298245614041"/>
    <n v="533.34410373760488"/>
    <n v="1.3333602593440121"/>
    <n v="0.1990089939319421"/>
    <m/>
    <m/>
    <m/>
    <x v="3"/>
    <d v="2026-02-22T00:00:00"/>
    <m/>
    <n v="0.40734824281150162"/>
    <n v="162.93929712460064"/>
    <d v="2026-03-02T00:00:00"/>
    <n v="32"/>
    <d v="2026-03-02T00:00:00"/>
  </r>
  <r>
    <n v="106"/>
    <m/>
    <s v="W05004"/>
    <s v="FBA15G5ZVZZ2"/>
    <s v="E-AU"/>
    <x v="4"/>
    <s v="AND-B"/>
    <n v="30"/>
    <s v="澳鹰"/>
    <s v="澳洲海卡"/>
    <s v="BWU2"/>
    <x v="20"/>
    <s v="AND-B 便携式双喷扩香仪 黑色"/>
    <x v="5"/>
    <n v="1"/>
    <n v="12.545454545454545"/>
    <s v="重量收费"/>
    <n v="7"/>
    <n v="350"/>
    <n v="31.818181818181817"/>
    <n v="119.63636363636363"/>
    <n v="3.9878787878787874"/>
    <n v="0.59520578923563994"/>
    <m/>
    <m/>
    <m/>
    <x v="4"/>
    <d v="2026-03-06T00:00:00"/>
    <m/>
    <n v="0"/>
    <n v="0"/>
    <d v="2026-03-17T00:00:00"/>
    <n v="48"/>
    <d v="2026-03-17T00:00:00"/>
  </r>
  <r>
    <n v="107"/>
    <m/>
    <s v="W05004"/>
    <s v="FBA15G5ZVZZ2"/>
    <s v="E-AU"/>
    <x v="4"/>
    <s v="001000045"/>
    <n v="120"/>
    <s v="澳鹰"/>
    <s v="澳洲海卡"/>
    <s v="BWU2"/>
    <x v="1"/>
    <s v="ANX-B 便携式扩香仪 黑色"/>
    <x v="1"/>
    <n v="4"/>
    <n v="50.18181818181818"/>
    <s v="重量收费"/>
    <n v="7"/>
    <n v="350"/>
    <n v="127.27272727272727"/>
    <n v="478.5454545454545"/>
    <n v="3.9878787878787874"/>
    <n v="0.59520578923563994"/>
    <m/>
    <m/>
    <m/>
    <x v="4"/>
    <d v="2026-03-06T00:00:00"/>
    <m/>
    <n v="0"/>
    <n v="0"/>
    <d v="2026-03-17T00:00:00"/>
    <n v="48"/>
    <d v="2026-03-17T00:00:00"/>
  </r>
  <r>
    <n v="108"/>
    <m/>
    <s v="W05004"/>
    <s v="FBA15G5ZVZZ2"/>
    <s v="E-AU"/>
    <x v="4"/>
    <s v="001000052"/>
    <n v="60"/>
    <s v="澳鹰"/>
    <s v="澳洲海卡"/>
    <s v="BWU2"/>
    <x v="37"/>
    <s v="ANX-DT 便携式扩香仪 沙漠钛色"/>
    <x v="1"/>
    <n v="2"/>
    <n v="25.09090909090909"/>
    <s v="重量收费"/>
    <n v="7"/>
    <m/>
    <n v="63.636363636363633"/>
    <n v="239.27272727272725"/>
    <n v="3.9878787878787874"/>
    <n v="0.59520578923563994"/>
    <m/>
    <m/>
    <m/>
    <x v="4"/>
    <d v="2026-03-06T00:00:00"/>
    <m/>
    <n v="0"/>
    <n v="0"/>
    <d v="2026-03-17T00:00:00"/>
    <n v="48"/>
    <d v="2026-03-17T00:00:00"/>
  </r>
  <r>
    <n v="109"/>
    <m/>
    <s v="W05004"/>
    <s v="FBA15G5ZVZZ2"/>
    <s v="E-AU"/>
    <x v="4"/>
    <s v="001000049"/>
    <n v="60"/>
    <s v="澳鹰"/>
    <s v="澳洲海卡"/>
    <s v="BWU2"/>
    <x v="36"/>
    <s v="ANX-IB 便携式扩香仪 冰蓝色"/>
    <x v="1"/>
    <n v="2"/>
    <n v="25.09090909090909"/>
    <s v="重量收费"/>
    <n v="7"/>
    <m/>
    <n v="63.636363636363633"/>
    <n v="239.27272727272725"/>
    <n v="3.9878787878787874"/>
    <n v="0.59520578923563994"/>
    <m/>
    <m/>
    <m/>
    <x v="4"/>
    <d v="2026-03-06T00:00:00"/>
    <m/>
    <n v="0"/>
    <n v="0"/>
    <d v="2026-03-17T00:00:00"/>
    <n v="48"/>
    <d v="2026-03-17T00:00:00"/>
  </r>
  <r>
    <n v="110"/>
    <m/>
    <s v="W05004"/>
    <s v="FBA15G5ZVZZ2"/>
    <s v="E-AU"/>
    <x v="4"/>
    <s v="001000050"/>
    <n v="60"/>
    <s v="澳鹰"/>
    <s v="澳洲海卡"/>
    <s v="BWU2"/>
    <x v="3"/>
    <s v="ANX-RP 便携式扩香仪 红粉色"/>
    <x v="1"/>
    <n v="2"/>
    <n v="25.09090909090909"/>
    <s v="重量收费"/>
    <n v="7"/>
    <m/>
    <n v="63.636363636363633"/>
    <n v="239.27272727272725"/>
    <n v="3.9878787878787874"/>
    <n v="0.59520578923563994"/>
    <m/>
    <m/>
    <m/>
    <x v="4"/>
    <d v="2026-03-06T00:00:00"/>
    <m/>
    <n v="0"/>
    <n v="0"/>
    <d v="2026-03-17T00:00:00"/>
    <n v="48"/>
    <d v="2026-03-17T00:00:00"/>
  </r>
  <r>
    <n v="111"/>
    <m/>
    <s v="W05012"/>
    <s v="FBA196PD1BWG"/>
    <s v="E-US"/>
    <x v="0"/>
    <s v="003000007"/>
    <n v="180"/>
    <s v="嘀嗒嘀"/>
    <s v="盐田海卡"/>
    <s v="TCY1"/>
    <x v="72"/>
    <s v="AP2F-H14 空气净化器滤网2-H14"/>
    <x v="15"/>
    <n v="5"/>
    <n v="72.857246376811588"/>
    <s v="重量收费"/>
    <n v="3.6"/>
    <s v=" "/>
    <n v="4.3859649122807021"/>
    <n v="266.67205186880244"/>
    <n v="1.4815113992711246"/>
    <n v="0.22112110436882457"/>
    <m/>
    <m/>
    <m/>
    <x v="3"/>
    <d v="2026-02-22T00:00:00"/>
    <m/>
    <n v="0.40734824281150162"/>
    <n v="73.322683706070293"/>
    <d v="2026-03-02T00:00:00"/>
    <n v="32"/>
    <d v="2026-03-02T00:00:00"/>
  </r>
  <r>
    <n v="112"/>
    <m/>
    <s v="W05012"/>
    <s v="FBA196PD1BWG"/>
    <s v="E-US"/>
    <x v="0"/>
    <s v="003000007"/>
    <n v="72"/>
    <s v="嘀嗒嘀"/>
    <s v="盐田海卡"/>
    <s v="TCY1"/>
    <x v="72"/>
    <s v="AP2F-H14 空气净化器滤网2-H14"/>
    <x v="15"/>
    <n v="2"/>
    <n v="29.142898550724635"/>
    <s v="重量收费"/>
    <n v="3.6"/>
    <s v=" "/>
    <n v="1.7543859649122806"/>
    <n v="106.66882074752095"/>
    <n v="1.4815113992711244"/>
    <n v="0.22112110436882454"/>
    <m/>
    <m/>
    <m/>
    <x v="3"/>
    <d v="2026-02-22T00:00:00"/>
    <m/>
    <n v="0.40734824281150162"/>
    <n v="29.329073482428115"/>
    <d v="2026-03-02T00:00:00"/>
    <n v="32"/>
    <d v="2026-03-02T00:00:00"/>
  </r>
  <r>
    <n v="113"/>
    <m/>
    <s v="W05012"/>
    <s v="FBA196PD1BWG"/>
    <s v="E-US"/>
    <x v="0"/>
    <s v="003000005"/>
    <n v="252"/>
    <s v="嘀嗒嘀"/>
    <s v="盐田海卡"/>
    <s v="TCY1"/>
    <x v="73"/>
    <s v="AP2F-H13 空气净化器滤网2-H13"/>
    <x v="15"/>
    <n v="7"/>
    <n v="102.00014492753623"/>
    <s v="重量收费"/>
    <n v="3.6"/>
    <m/>
    <n v="6.1403508771929829"/>
    <n v="373.3408726163234"/>
    <n v="1.4815113992711246"/>
    <n v="0.22112110436882457"/>
    <m/>
    <m/>
    <m/>
    <x v="3"/>
    <d v="2026-02-22T00:00:00"/>
    <m/>
    <n v="0.40734824281150162"/>
    <n v="102.65175718849841"/>
    <d v="2026-03-02T00:00:00"/>
    <n v="32"/>
    <d v="2026-03-02T00:00:00"/>
  </r>
  <r>
    <n v="114"/>
    <m/>
    <s v="W05013"/>
    <s v="FBA196VGYP1S"/>
    <s v="V-US"/>
    <x v="0"/>
    <s v="AN6KIT-B_4X10K04_TZ"/>
    <n v="840"/>
    <s v="万邦"/>
    <s v="盐田海卡"/>
    <s v="MIT2"/>
    <x v="74"/>
    <s v="AN6KIT-B_4X10K04_TZ AN6黑色机器+4x10mL酒店（天竺）香氛油 机油套装"/>
    <x v="3"/>
    <n v="28"/>
    <n v="460.72727272727269"/>
    <s v="重量收费"/>
    <n v="3.9"/>
    <n v="200"/>
    <n v="17.721518987341771"/>
    <n v="1814.5578826237054"/>
    <n v="2.1601879555044112"/>
    <n v="0.32241611276185239"/>
    <m/>
    <m/>
    <m/>
    <x v="3"/>
    <d v="2026-02-22T00:00:00"/>
    <m/>
    <n v="0.43999999999999995"/>
    <n v="369.59999999999997"/>
    <d v="2026-02-26T00:00:00"/>
    <n v="28"/>
    <d v="2026-02-26T00:00:00"/>
  </r>
  <r>
    <n v="115"/>
    <m/>
    <s v="W05013"/>
    <s v="FBA196VGYP1S"/>
    <s v="V-US"/>
    <x v="0"/>
    <s v="AN6KIT-WH_4X10K04_TZ"/>
    <n v="480"/>
    <s v="万邦"/>
    <s v="盐田海卡"/>
    <s v="MIT2"/>
    <x v="75"/>
    <s v="AN6KIT-WH_4X10K04_TZ AN6白色机器+4x10mL酒店（天竺）香氛油 机油套装"/>
    <x v="3"/>
    <n v="16"/>
    <n v="263.27272727272725"/>
    <s v="重量收费"/>
    <n v="3.9"/>
    <n v="200.00000000000006"/>
    <n v="10.126582278481013"/>
    <n v="1036.8902186421174"/>
    <n v="2.1601879555044112"/>
    <n v="0.32241611276185239"/>
    <m/>
    <m/>
    <m/>
    <x v="3"/>
    <d v="2026-02-22T00:00:00"/>
    <m/>
    <n v="0.43999999999999995"/>
    <n v="211.2"/>
    <d v="2026-02-26T00:00:00"/>
    <n v="28"/>
    <d v="2026-02-26T00:00:00"/>
  </r>
  <r>
    <n v="116"/>
    <m/>
    <s v="W05013"/>
    <s v="FBA196PDTG5X"/>
    <s v="V-US"/>
    <x v="0"/>
    <s v="001000033"/>
    <n v="1344"/>
    <s v="万邦"/>
    <s v="盐田海卡"/>
    <s v="TCY2"/>
    <x v="41"/>
    <s v="ANW-W 智能扩香仪 白色"/>
    <x v="10"/>
    <n v="112"/>
    <n v="1704.55"/>
    <s v="重量收费"/>
    <n v="4.4000000000000004"/>
    <m/>
    <n v="70.886075949367083"/>
    <n v="7570.9060759493677"/>
    <n v="5.6331146398432796"/>
    <n v="0.84076337908108645"/>
    <m/>
    <m/>
    <m/>
    <x v="3"/>
    <d v="2026-02-22T00:00:00"/>
    <m/>
    <n v="0.55999999999999994"/>
    <n v="752.63999999999987"/>
    <d v="2026-02-26T00:00:00"/>
    <n v="28"/>
    <d v="2026-02-26T00:00:00"/>
  </r>
  <r>
    <n v="117"/>
    <m/>
    <s v="W05013"/>
    <s v="FBA196P88RYV"/>
    <s v="V-US"/>
    <x v="0"/>
    <s v="ANAKIT-B_US_2X100K03"/>
    <n v="240"/>
    <s v="万邦"/>
    <s v="盐田海卡"/>
    <s v="TCY2"/>
    <x v="42"/>
    <s v="ANAKIT-B_US_2X100K03 ANA黑色机器+2X100mL酒店香氛油（天竺） 机油套装"/>
    <x v="9"/>
    <n v="20"/>
    <n v="304.38235294117652"/>
    <s v="重量收费"/>
    <n v="4.4000000000000004"/>
    <m/>
    <n v="12.658227848101266"/>
    <n v="1351.9405807892781"/>
    <n v="5.6330857532886585"/>
    <n v="0.84075906765502362"/>
    <m/>
    <m/>
    <m/>
    <x v="3"/>
    <d v="2026-02-22T00:00:00"/>
    <m/>
    <n v="0.55999999999999994"/>
    <n v="134.39999999999998"/>
    <d v="2026-02-26T00:00:00"/>
    <n v="28"/>
    <d v="2026-02-26T00:00:00"/>
  </r>
  <r>
    <n v="118"/>
    <m/>
    <s v="W05013"/>
    <s v="FBA196P88RYV"/>
    <s v="V-US"/>
    <x v="0"/>
    <s v="ANAKIT-WH_US_2X100K03"/>
    <n v="168"/>
    <s v="万邦"/>
    <s v="盐田海卡"/>
    <s v="TCY2"/>
    <x v="43"/>
    <s v="ANAKIT-WH_US_2X100K03 ANA白色机器+2X100mL酒店香氛油（天竺） 机油套装"/>
    <x v="9"/>
    <n v="14"/>
    <n v="213.06764705882355"/>
    <s v="重量收费"/>
    <n v="4.4000000000000004"/>
    <m/>
    <n v="8.8607594936708853"/>
    <n v="946.35840655249467"/>
    <n v="5.6330857532886585"/>
    <n v="0.84075906765502362"/>
    <m/>
    <m/>
    <m/>
    <x v="3"/>
    <d v="2026-02-22T00:00:00"/>
    <m/>
    <n v="0.55999999999999994"/>
    <n v="94.079999999999984"/>
    <d v="2026-02-26T00:00:00"/>
    <n v="28"/>
    <d v="2026-02-26T00:00:00"/>
  </r>
  <r>
    <n v="119"/>
    <m/>
    <s v="W05003"/>
    <s v="FBA1969S9B3Z"/>
    <s v="W-CA"/>
    <x v="3"/>
    <s v="007000001"/>
    <n v="64"/>
    <s v="嘀嗒嘀"/>
    <s v="加拿大海卡"/>
    <s v="YHM1"/>
    <x v="76"/>
    <s v="X1-B 智能入户门锁 黑色"/>
    <x v="16"/>
    <n v="4"/>
    <n v="69"/>
    <s v="重量收费"/>
    <n v="6"/>
    <n v="200"/>
    <n v="200"/>
    <n v="614"/>
    <n v="9.59375"/>
    <n v="1.4319029850746268"/>
    <m/>
    <m/>
    <m/>
    <x v="3"/>
    <d v="2026-03-06T00:00:00"/>
    <m/>
    <n v="0"/>
    <n v="0"/>
    <d v="2026-03-23T00:00:00"/>
    <n v="53"/>
    <d v="2026-03-23T00:00:00"/>
  </r>
  <r>
    <n v="120"/>
    <m/>
    <s v="W05012"/>
    <s v="FBA196P9YDLV"/>
    <s v="W-US"/>
    <x v="0"/>
    <s v="007000001"/>
    <n v="816"/>
    <s v="嘀嗒嘀"/>
    <s v="盐田海卡"/>
    <s v="TCY2"/>
    <x v="76"/>
    <s v="X1-B 智能入户门锁 黑色"/>
    <x v="16"/>
    <n v="51"/>
    <n v="873.29629629629619"/>
    <s v="重量收费"/>
    <n v="3.7"/>
    <n v="200"/>
    <n v="44.736842105263158"/>
    <n v="3275.9331384015595"/>
    <n v="4.0146239441195579"/>
    <n v="0.59919760359993401"/>
    <m/>
    <m/>
    <m/>
    <x v="3"/>
    <d v="2026-02-22T00:00:00"/>
    <m/>
    <n v="0.55999999999999994"/>
    <n v="456.96"/>
    <d v="2026-03-03T00:00:00"/>
    <n v="33"/>
    <d v="2026-03-03T00:00:00"/>
  </r>
  <r>
    <n v="121"/>
    <m/>
    <s v="W05012"/>
    <s v="FBA196P9YDLV"/>
    <s v="W-US"/>
    <x v="0"/>
    <s v="007000002"/>
    <n v="384"/>
    <s v="嘀嗒嘀"/>
    <s v="盐田海卡"/>
    <s v="TCY2"/>
    <x v="77"/>
    <s v="X1-SG 智能入户门锁 太空灰色"/>
    <x v="16"/>
    <n v="24"/>
    <n v="410.96296296296293"/>
    <s v="重量收费"/>
    <n v="3.7"/>
    <m/>
    <n v="21.05263157894737"/>
    <n v="1541.6155945419102"/>
    <n v="4.0146239441195579"/>
    <n v="0.59919760359993401"/>
    <m/>
    <m/>
    <m/>
    <x v="3"/>
    <d v="2026-02-22T00:00:00"/>
    <m/>
    <n v="0.55999999999999994"/>
    <n v="215.03999999999996"/>
    <d v="2026-03-03T00:00:00"/>
    <n v="33"/>
    <d v="2026-03-03T00:00:00"/>
  </r>
  <r>
    <n v="122"/>
    <m/>
    <s v="W05012"/>
    <s v="FBA196P9YDLV"/>
    <s v="W-US"/>
    <x v="0"/>
    <s v="X3-B"/>
    <n v="96"/>
    <s v="嘀嗒嘀"/>
    <s v="盐田海卡"/>
    <s v="TCY2"/>
    <x v="78"/>
    <s v="X3-B 智能入户门锁 黑色"/>
    <x v="17"/>
    <n v="6"/>
    <n v="102.74074074074073"/>
    <s v="重量收费"/>
    <n v="3.7"/>
    <m/>
    <n v="5.2631578947368425"/>
    <n v="385.40389863547756"/>
    <n v="4.0146239441195579"/>
    <n v="0.59919760359993401"/>
    <m/>
    <m/>
    <m/>
    <x v="3"/>
    <d v="2026-02-22T00:00:00"/>
    <m/>
    <n v="0.55999999999999994"/>
    <n v="53.759999999999991"/>
    <d v="2026-03-03T00:00:00"/>
    <n v="33"/>
    <d v="2026-03-03T00:00:00"/>
  </r>
  <r>
    <n v="123"/>
    <m/>
    <s v="W05013"/>
    <s v="FBA196PCKJBN"/>
    <s v="W-US"/>
    <x v="0"/>
    <s v="002000027"/>
    <n v="80"/>
    <s v="万邦"/>
    <s v="盐田海卡"/>
    <s v="TCY2"/>
    <x v="79"/>
    <s v="M1-B 电子球形把手锁 黑色"/>
    <x v="18"/>
    <n v="5"/>
    <n v="75.039682539682545"/>
    <s v="重量收费"/>
    <n v="3.9"/>
    <m/>
    <n v="3.1645569620253164"/>
    <n v="295.81931886678723"/>
    <n v="3.6977414858348405"/>
    <n v="0.55190171430370749"/>
    <m/>
    <m/>
    <m/>
    <x v="3"/>
    <d v="2026-02-22T00:00:00"/>
    <m/>
    <n v="0.56000000000000005"/>
    <n v="44.800000000000004"/>
    <d v="2026-02-26T00:00:00"/>
    <n v="28"/>
    <d v="2026-02-26T00:00:00"/>
  </r>
  <r>
    <n v="124"/>
    <m/>
    <s v="W05013"/>
    <s v="FBA196PCKJBN"/>
    <s v="W-US"/>
    <x v="0"/>
    <s v="002000028"/>
    <n v="672"/>
    <s v="万邦"/>
    <s v="盐田海卡"/>
    <s v="TCY2"/>
    <x v="80"/>
    <s v="M1-T 电子球形把手锁 钛灰色"/>
    <x v="18"/>
    <n v="42"/>
    <n v="630.33333333333337"/>
    <s v="重量收费"/>
    <n v="3.9"/>
    <m/>
    <n v="26.582278481012658"/>
    <n v="2484.8822784810127"/>
    <n v="3.6977414858348405"/>
    <n v="0.55190171430370749"/>
    <m/>
    <m/>
    <m/>
    <x v="3"/>
    <d v="2026-02-22T00:00:00"/>
    <m/>
    <n v="0.56000000000000005"/>
    <n v="376.32000000000005"/>
    <d v="2026-02-26T00:00:00"/>
    <n v="28"/>
    <d v="2026-02-26T00:00:00"/>
  </r>
  <r>
    <n v="125"/>
    <m/>
    <s v="W05013"/>
    <s v="FBA196PCKJBN"/>
    <s v="W-US"/>
    <x v="0"/>
    <s v="002000029"/>
    <n v="592"/>
    <s v="万邦"/>
    <s v="盐田海卡"/>
    <s v="TCY2"/>
    <x v="81"/>
    <s v="MD1-B 电子球形把手锁 指纹 黑色"/>
    <x v="19"/>
    <n v="37"/>
    <n v="555.29365079365084"/>
    <s v="重量收费"/>
    <n v="3.9"/>
    <m/>
    <n v="23.417721518987342"/>
    <n v="2189.0629596142257"/>
    <n v="3.697741485834841"/>
    <n v="0.5519017143037076"/>
    <m/>
    <m/>
    <m/>
    <x v="3"/>
    <d v="2026-02-22T00:00:00"/>
    <m/>
    <n v="0.56000000000000005"/>
    <n v="331.52000000000004"/>
    <d v="2026-02-26T00:00:00"/>
    <n v="28"/>
    <d v="2026-02-26T00:00:00"/>
  </r>
  <r>
    <n v="126"/>
    <m/>
    <s v="W05013"/>
    <s v="FBA196PCKJBN"/>
    <s v="W-US"/>
    <x v="0"/>
    <s v="002000038"/>
    <n v="240"/>
    <s v="万邦"/>
    <s v="盐田海卡"/>
    <s v="TCY2"/>
    <x v="82"/>
    <s v="MD1-SILV 电子球形把手锁 指纹 银色"/>
    <x v="19"/>
    <n v="15"/>
    <n v="225.11904761904762"/>
    <s v="重量收费"/>
    <n v="3.9"/>
    <m/>
    <n v="9.4936708860759502"/>
    <n v="887.45795660036163"/>
    <n v="3.6977414858348401"/>
    <n v="0.55190171430370749"/>
    <m/>
    <m/>
    <m/>
    <x v="3"/>
    <d v="2026-02-22T00:00:00"/>
    <m/>
    <n v="0.56000000000000005"/>
    <n v="134.4"/>
    <d v="2026-02-26T00:00:00"/>
    <n v="28"/>
    <d v="2026-02-26T00:00:00"/>
  </r>
  <r>
    <n v="127"/>
    <m/>
    <s v="W05013"/>
    <s v="FBA196PCKJBN"/>
    <s v="W-US"/>
    <x v="0"/>
    <s v="002000030"/>
    <n v="272"/>
    <s v="万邦"/>
    <s v="盐田海卡"/>
    <s v="TCY2"/>
    <x v="83"/>
    <s v="MD1-T 电子球形把手锁 指纹 钛灰色"/>
    <x v="19"/>
    <n v="17"/>
    <n v="255.13492063492063"/>
    <s v="重量收费"/>
    <n v="3.9"/>
    <m/>
    <n v="10.759493670886076"/>
    <n v="1005.7856841470765"/>
    <n v="3.6977414858348401"/>
    <n v="0.55190171430370749"/>
    <m/>
    <m/>
    <m/>
    <x v="3"/>
    <d v="2026-02-22T00:00:00"/>
    <m/>
    <n v="0.56000000000000005"/>
    <n v="152.32000000000002"/>
    <d v="2026-02-26T00:00:00"/>
    <n v="28"/>
    <d v="2026-02-26T00:00:00"/>
  </r>
  <r>
    <n v="128"/>
    <m/>
    <s v="W05013"/>
    <s v="FBA196PCKJBN"/>
    <s v="W-US"/>
    <x v="0"/>
    <s v="002000031"/>
    <n v="16"/>
    <s v="万邦"/>
    <s v="盐田海卡"/>
    <s v="TCY2"/>
    <x v="84"/>
    <s v="MK1-B 智能球形把手锁 黑色"/>
    <x v="20"/>
    <n v="1"/>
    <n v="15.007936507936508"/>
    <s v="重量收费"/>
    <n v="3.9"/>
    <m/>
    <n v="0.63291139240506333"/>
    <n v="59.163863773357441"/>
    <n v="3.6977414858348401"/>
    <n v="0.55190171430370749"/>
    <m/>
    <m/>
    <m/>
    <x v="3"/>
    <d v="2026-02-22T00:00:00"/>
    <m/>
    <n v="0.56000000000000005"/>
    <n v="8.9600000000000009"/>
    <d v="2026-02-26T00:00:00"/>
    <n v="28"/>
    <d v="2026-02-26T00:00:00"/>
  </r>
  <r>
    <n v="129"/>
    <m/>
    <s v="W05013"/>
    <s v="FBA196PCKJBN"/>
    <s v="W-US"/>
    <x v="0"/>
    <s v="002000033"/>
    <n v="80"/>
    <s v="万邦"/>
    <s v="盐田海卡"/>
    <s v="TCY2"/>
    <x v="85"/>
    <s v="MK1-SILV 智能球形把手锁 银色"/>
    <x v="20"/>
    <n v="5"/>
    <n v="75.039682539682545"/>
    <s v="重量收费"/>
    <n v="3.9"/>
    <m/>
    <n v="3.1645569620253164"/>
    <n v="295.81931886678723"/>
    <n v="3.6977414858348405"/>
    <n v="0.55190171430370749"/>
    <m/>
    <m/>
    <m/>
    <x v="3"/>
    <d v="2026-02-22T00:00:00"/>
    <m/>
    <n v="0.56000000000000005"/>
    <n v="44.800000000000004"/>
    <d v="2026-02-26T00:00:00"/>
    <n v="28"/>
    <d v="2026-02-26T00:00:00"/>
  </r>
  <r>
    <n v="130"/>
    <m/>
    <s v="W05013"/>
    <s v="FBA196PCKJBN"/>
    <s v="W-US"/>
    <x v="0"/>
    <s v="002000032"/>
    <n v="64"/>
    <s v="万邦"/>
    <s v="盐田海卡"/>
    <s v="TCY2"/>
    <x v="86"/>
    <s v="MK1-T 智能球形把手锁 钛色"/>
    <x v="20"/>
    <n v="4"/>
    <n v="60.031746031746032"/>
    <s v="重量收费"/>
    <n v="3.9"/>
    <m/>
    <n v="2.5316455696202533"/>
    <n v="236.65545509342977"/>
    <n v="3.6977414858348401"/>
    <n v="0.55190171430370749"/>
    <m/>
    <m/>
    <m/>
    <x v="3"/>
    <d v="2026-02-22T00:00:00"/>
    <m/>
    <n v="0.56000000000000005"/>
    <n v="35.840000000000003"/>
    <d v="2026-02-26T00:00:00"/>
    <n v="28"/>
    <d v="2026-02-26T00:00:00"/>
  </r>
  <r>
    <n v="131"/>
    <m/>
    <s v="W05005"/>
    <s v="FBA196PBH7G8"/>
    <s v="V-US"/>
    <x v="0"/>
    <s v="006000024"/>
    <n v="450"/>
    <s v="积米"/>
    <s v="盐田海卡"/>
    <s v="TCY2"/>
    <x v="46"/>
    <s v="A-Ritz Carlton Hotel 3-100 丽思卡尔顿酒店3香氛油100mL"/>
    <x v="11"/>
    <n v="5"/>
    <n v="80"/>
    <s v="重量收费"/>
    <n v="5.6"/>
    <n v="200"/>
    <n v="90.909090909090907"/>
    <n v="538.90909090909088"/>
    <n v="1.1975757575757575"/>
    <n v="0.17874265038444143"/>
    <m/>
    <m/>
    <m/>
    <x v="5"/>
    <d v="2026-02-19T00:00:00"/>
    <m/>
    <n v="0.37684210526315792"/>
    <n v="169.57894736842107"/>
    <d v="2026-03-05T00:00:00"/>
    <n v="34"/>
    <d v="2026-03-05T00:00:00"/>
  </r>
  <r>
    <n v="132"/>
    <m/>
    <s v="W05005"/>
    <s v="FBA196PBH7G8"/>
    <s v="V-US"/>
    <x v="0"/>
    <s v="RZ-500ML"/>
    <n v="120"/>
    <s v="积米"/>
    <s v="盐田海卡"/>
    <s v="TCY2"/>
    <x v="60"/>
    <s v="RZ-500ML 丽思卡尔顿酒店3香氛油500mL"/>
    <x v="11"/>
    <n v="6"/>
    <n v="96"/>
    <s v="重量收费"/>
    <n v="5.6"/>
    <n v="200"/>
    <n v="109.09090909090909"/>
    <n v="646.69090909090903"/>
    <n v="5.3890909090909087"/>
    <n v="0.80434192672998639"/>
    <m/>
    <m/>
    <m/>
    <x v="5"/>
    <d v="2026-02-19T00:00:00"/>
    <m/>
    <n v="0.37684210526315792"/>
    <n v="45.221052631578949"/>
    <d v="2026-03-05T00:00:00"/>
    <n v="34"/>
    <d v="2026-03-05T00:00:00"/>
  </r>
  <r>
    <n v="133"/>
    <m/>
    <s v="W05006"/>
    <s v="FBA196XYH2CB"/>
    <s v="E-US"/>
    <x v="0"/>
    <s v="BLG1-100ML"/>
    <n v="360"/>
    <s v="天盛"/>
    <s v="盐田海卡"/>
    <s v="GEU5"/>
    <x v="48"/>
    <s v="BLG1-100ML 百乐宫酒店香氛油100mL"/>
    <x v="11"/>
    <n v="4"/>
    <n v="0.33333333333333331"/>
    <s v="CBM收费"/>
    <n v="1150"/>
    <n v="190.8"/>
    <n v="63.6"/>
    <n v="446.93333333333334"/>
    <n v="1.2414814814814814"/>
    <n v="0.18529574350469871"/>
    <m/>
    <m/>
    <m/>
    <x v="5"/>
    <d v="2026-02-22T00:00:00"/>
    <m/>
    <n v="0.36000000000000004"/>
    <n v="129.60000000000002"/>
    <d v="2026-03-03T00:00:00"/>
    <n v="32"/>
    <d v="2026-03-03T00:00:00"/>
  </r>
  <r>
    <n v="134"/>
    <m/>
    <s v="W05006"/>
    <s v="FBA196XYH2CB"/>
    <s v="E-US"/>
    <x v="0"/>
    <s v="HOTEL6KIT1-6X10K01"/>
    <n v="608"/>
    <s v="天盛"/>
    <s v="盐田海卡"/>
    <s v="GEU5"/>
    <x v="45"/>
    <s v="HOTEL6KIT1-6X10K01 酒店香氛油6款10mL套装"/>
    <x v="11"/>
    <n v="8"/>
    <n v="0.66666666666666663"/>
    <s v="CBM收费"/>
    <n v="1150"/>
    <n v="190.8"/>
    <n v="127.2"/>
    <n v="893.86666666666667"/>
    <n v="1.4701754385964911"/>
    <n v="0.21942916993977479"/>
    <m/>
    <m/>
    <m/>
    <x v="5"/>
    <d v="2026-02-22T00:00:00"/>
    <m/>
    <n v="0.36000000000000004"/>
    <n v="218.88000000000002"/>
    <d v="2026-03-03T00:00:00"/>
    <n v="32"/>
    <d v="2026-03-03T00:00:00"/>
  </r>
  <r>
    <n v="135"/>
    <m/>
    <s v="买单报关"/>
    <s v="FBA196XLRQQD"/>
    <s v="E-US"/>
    <x v="0"/>
    <s v="006000026"/>
    <n v="270"/>
    <s v="天盛"/>
    <s v="盐田海卡"/>
    <s v="GEU5"/>
    <x v="87"/>
    <s v="A-Marriott Hotel 1-100 万豪酒店1香氛油100mL"/>
    <x v="11"/>
    <n v="3"/>
    <n v="57.5"/>
    <s v="重量收费"/>
    <n v="5.8"/>
    <m/>
    <m/>
    <n v="333.5"/>
    <n v="1.2351851851851852"/>
    <n v="0.1843559977888336"/>
    <m/>
    <m/>
    <m/>
    <x v="5"/>
    <d v="2026-02-19T00:00:00"/>
    <m/>
    <n v="0.36"/>
    <n v="97.2"/>
    <d v="2026-03-03T00:00:00"/>
    <n v="32"/>
    <d v="2026-03-03T00:00:00"/>
  </r>
  <r>
    <n v="136"/>
    <m/>
    <s v="买单报关"/>
    <s v="FBA196XLRQQD"/>
    <s v="E-US"/>
    <x v="0"/>
    <s v="W-100ML"/>
    <n v="90"/>
    <s v="天盛"/>
    <s v="盐田海卡"/>
    <s v="GEU5"/>
    <x v="88"/>
    <s v="A-W Hotel-100 W酒店香氛油100mL"/>
    <x v="11"/>
    <n v="1"/>
    <n v="19.166666666666668"/>
    <s v="重量收费"/>
    <n v="5.8"/>
    <m/>
    <m/>
    <n v="111.16666666666667"/>
    <n v="1.2351851851851852"/>
    <n v="0.1843559977888336"/>
    <m/>
    <m/>
    <m/>
    <x v="5"/>
    <d v="2026-02-19T00:00:00"/>
    <m/>
    <n v="0.36"/>
    <n v="32.4"/>
    <d v="2026-03-03T00:00:00"/>
    <n v="32"/>
    <d v="2026-03-03T00:00:00"/>
  </r>
  <r>
    <n v="137"/>
    <m/>
    <s v="买单报关"/>
    <s v="FBA196XLRQQD"/>
    <s v="E-US"/>
    <x v="0"/>
    <s v="WST1-100ML"/>
    <n v="180"/>
    <s v="天盛"/>
    <s v="盐田海卡"/>
    <s v="GEU5"/>
    <x v="51"/>
    <s v="WST1-100ML 威斯汀2酒店香氛油100mL"/>
    <x v="11"/>
    <n v="2"/>
    <n v="38.333333333333336"/>
    <s v="重量收费"/>
    <n v="5.8"/>
    <m/>
    <m/>
    <n v="222.33333333333334"/>
    <n v="1.2351851851851852"/>
    <n v="0.1843559977888336"/>
    <m/>
    <m/>
    <m/>
    <x v="5"/>
    <d v="2026-02-19T00:00:00"/>
    <m/>
    <n v="0.36"/>
    <n v="64.8"/>
    <d v="2026-03-03T00:00:00"/>
    <n v="32"/>
    <d v="2026-03-03T00:00:00"/>
  </r>
  <r>
    <n v="138"/>
    <m/>
    <s v="W05011"/>
    <s v="FBA196P9WPZ7"/>
    <s v="E-US"/>
    <x v="0"/>
    <s v="W1-100ML_TZ"/>
    <n v="192"/>
    <s v="积米"/>
    <s v="盐田海卡"/>
    <s v="TCY1"/>
    <x v="24"/>
    <s v="W1-100ML_TZ W酒店100mL香氛油（天竺） 销售包装"/>
    <x v="6"/>
    <n v="3"/>
    <n v="43.748571428571424"/>
    <s v="重量收费"/>
    <n v="5.6"/>
    <n v="200"/>
    <n v="50"/>
    <n v="294.99199999999996"/>
    <n v="1.5364166666666665"/>
    <n v="0.22931592039800994"/>
    <m/>
    <m/>
    <m/>
    <x v="3"/>
    <d v="2026-02-19T00:00:00"/>
    <m/>
    <n v="0.40571428571428569"/>
    <n v="77.897142857142853"/>
    <d v="2026-03-08T00:00:00"/>
    <n v="38"/>
    <d v="2026-03-08T00:00:00"/>
  </r>
  <r>
    <n v="139"/>
    <m/>
    <s v="W05011"/>
    <s v="FBA196P9WPZ7"/>
    <s v="E-US"/>
    <x v="0"/>
    <s v="YH1-100ML_TZ"/>
    <n v="256"/>
    <s v="积米"/>
    <s v="盐田海卡"/>
    <s v="TCY1"/>
    <x v="89"/>
    <s v="YH1-100ML_TZ 樱花100mL香氛油（天竺）销售包装"/>
    <x v="6"/>
    <n v="4"/>
    <n v="58.331428571428567"/>
    <s v="重量收费"/>
    <n v="5.6"/>
    <n v="200.00000000000003"/>
    <n v="66.666666666666671"/>
    <n v="393.32266666666663"/>
    <n v="1.5364166666666665"/>
    <n v="0.22931592039800994"/>
    <m/>
    <m/>
    <m/>
    <x v="3"/>
    <d v="2026-02-19T00:00:00"/>
    <m/>
    <n v="0.40571428571428569"/>
    <n v="103.86285714285714"/>
    <d v="2026-03-08T00:00:00"/>
    <n v="38"/>
    <d v="2026-03-08T00:00:00"/>
  </r>
  <r>
    <n v="140"/>
    <m/>
    <s v="W05011"/>
    <s v="FBA196PCP9HX"/>
    <s v="E-US"/>
    <x v="0"/>
    <s v="SJ1-100ML_TZ"/>
    <n v="192"/>
    <s v="积米"/>
    <s v="盐田海卡"/>
    <s v="TCY1"/>
    <x v="23"/>
    <s v="SJ1-100ML_TZ 四季酒店100mL香氛油（天竺） 销售包装"/>
    <x v="6"/>
    <n v="3"/>
    <n v="43.751999999999995"/>
    <s v="重量收费"/>
    <n v="5.6"/>
    <m/>
    <n v="50"/>
    <n v="295.01119999999992"/>
    <n v="1.5365166666666663"/>
    <n v="0.22933084577114421"/>
    <m/>
    <m/>
    <m/>
    <x v="3"/>
    <d v="2026-02-19T00:00:00"/>
    <m/>
    <n v="0.36"/>
    <n v="69.12"/>
    <d v="2026-03-08T00:00:00"/>
    <n v="38"/>
    <d v="2026-03-08T00:00:00"/>
  </r>
  <r>
    <n v="141"/>
    <m/>
    <s v="W05011"/>
    <s v="FBA196PCP9HX"/>
    <s v="E-US"/>
    <x v="0"/>
    <s v="WST1-100ML_TZ"/>
    <n v="128"/>
    <s v="积米"/>
    <s v="盐田海卡"/>
    <s v="TCY1"/>
    <x v="90"/>
    <s v="WST1-100ML_TZ 威斯汀酒店白茶100mL香氛油（天竺） 销售包装"/>
    <x v="6"/>
    <n v="2"/>
    <n v="29.167999999999999"/>
    <s v="重量收费"/>
    <n v="5.6"/>
    <m/>
    <n v="33.333333333333336"/>
    <n v="196.67413333333332"/>
    <n v="1.5365166666666665"/>
    <n v="0.22933084577114426"/>
    <m/>
    <m/>
    <m/>
    <x v="3"/>
    <d v="2026-02-19T00:00:00"/>
    <m/>
    <n v="0.36"/>
    <n v="46.08"/>
    <d v="2026-03-08T00:00:00"/>
    <n v="38"/>
    <d v="2026-03-08T00:00:00"/>
  </r>
  <r>
    <n v="142"/>
    <m/>
    <s v="W05007"/>
    <s v="FBA196NCXD8J"/>
    <s v="E-US"/>
    <x v="0"/>
    <s v="003000009"/>
    <n v="52"/>
    <s v="嘀嗒嘀"/>
    <s v="盐田海卡"/>
    <s v="OAK3"/>
    <x v="91"/>
    <s v="AP2US-H13 内置H13滤网桌面式空气净化器2-美规"/>
    <x v="21"/>
    <n v="13"/>
    <n v="302"/>
    <s v="重量收费"/>
    <n v="4.2"/>
    <n v="200"/>
    <n v="200"/>
    <n v="1468.4"/>
    <n v="28.238461538461539"/>
    <n v="4.2146957520091846"/>
    <m/>
    <m/>
    <m/>
    <x v="3"/>
    <d v="2026-02-22T00:00:00"/>
    <m/>
    <n v="0"/>
    <n v="0"/>
    <d v="2026-03-06T00:00:00"/>
    <n v="36"/>
    <d v="2026-03-06T00:00:00"/>
  </r>
  <r>
    <n v="143"/>
    <m/>
    <s v="W05008"/>
    <s v="FBA196NCJYG5"/>
    <s v="E-US"/>
    <x v="0"/>
    <s v="003000009"/>
    <n v="48"/>
    <s v="嘀嗒嘀"/>
    <s v="美东海卡"/>
    <s v="ACY2"/>
    <x v="91"/>
    <s v="AP2US-H13 内置H13滤网桌面式空气净化器2-美规"/>
    <x v="21"/>
    <n v="12"/>
    <n v="280"/>
    <s v="重量收费"/>
    <n v="4.5"/>
    <n v="200"/>
    <n v="96"/>
    <n v="1356"/>
    <n v="28.25"/>
    <n v="4.2164179104477615"/>
    <m/>
    <m/>
    <m/>
    <x v="3"/>
    <d v="2026-03-14T00:00:00"/>
    <m/>
    <n v="0"/>
    <n v="0"/>
    <d v="2026-03-19T00:00:00"/>
    <n v="49"/>
    <d v="2026-03-19T00:00:00"/>
  </r>
  <r>
    <n v="144"/>
    <m/>
    <s v="W05009"/>
    <s v="FBA196N9B79B"/>
    <s v="E-US"/>
    <x v="0"/>
    <s v="003000009"/>
    <n v="52"/>
    <s v="嘀嗒嘀"/>
    <s v="美东海卡"/>
    <s v="HSV1"/>
    <x v="91"/>
    <s v="AP2US-H13 内置H13滤网桌面式空气净化器2-美规"/>
    <x v="21"/>
    <n v="13"/>
    <n v="303"/>
    <s v="重量收费"/>
    <n v="5.5"/>
    <n v="200"/>
    <n v="200"/>
    <n v="1866.5"/>
    <n v="35.894230769230766"/>
    <n v="5.3573478760045923"/>
    <m/>
    <m/>
    <m/>
    <x v="3"/>
    <d v="2026-03-16T00:00:00"/>
    <m/>
    <n v="0"/>
    <n v="0"/>
    <d v="2026-03-30T00:00:00"/>
    <n v="60"/>
    <d v="2026-03-30T00:00:00"/>
  </r>
  <r>
    <n v="145"/>
    <m/>
    <s v="W05008"/>
    <s v="FBA196NCQYR0"/>
    <s v="E-US"/>
    <x v="0"/>
    <s v="003000009"/>
    <n v="52"/>
    <s v="嘀嗒嘀"/>
    <s v="美东海卡"/>
    <s v="MDT1"/>
    <x v="91"/>
    <s v="AP2US-H13 内置H13滤网桌面式空气净化器2-美规"/>
    <x v="21"/>
    <n v="13"/>
    <n v="303"/>
    <s v="重量收费"/>
    <n v="4.9000000000000004"/>
    <n v="200"/>
    <n v="104"/>
    <n v="1588.7"/>
    <n v="30.551923076923078"/>
    <n v="4.5599885189437428"/>
    <m/>
    <m/>
    <m/>
    <x v="3"/>
    <d v="2026-03-14T00:00:00"/>
    <m/>
    <n v="0"/>
    <n v="0"/>
    <d v="2026-03-28T00:00:00"/>
    <n v="58"/>
    <d v="2026-03-28T00:00:00"/>
  </r>
  <r>
    <n v="146"/>
    <m/>
    <s v="W05010"/>
    <s v="FBA196NB4NXF"/>
    <s v="E-US"/>
    <x v="0"/>
    <s v="003000009"/>
    <n v="52"/>
    <s v="嘀嗒嘀"/>
    <s v="美中海卡"/>
    <s v="FOE1"/>
    <x v="91"/>
    <s v="AP2US-H13 内置H13滤网桌面式空气净化器2-美规"/>
    <x v="21"/>
    <n v="13"/>
    <n v="302"/>
    <s v="重量收费"/>
    <n v="5.6"/>
    <n v="200"/>
    <n v="200"/>
    <n v="1891.1999999999998"/>
    <n v="36.369230769230768"/>
    <n v="5.4282433983926515"/>
    <m/>
    <m/>
    <m/>
    <x v="3"/>
    <d v="2026-03-14T00:00:00"/>
    <m/>
    <n v="0"/>
    <n v="0"/>
    <d v="2026-04-08T00:00:00"/>
    <n v="69"/>
    <d v="2026-04-08T00:00:00"/>
  </r>
  <r>
    <n v="147"/>
    <m/>
    <s v="W06002"/>
    <s v="FBA196ZPNG0Z"/>
    <s v="E-US"/>
    <x v="0"/>
    <s v="001000045"/>
    <n v="600"/>
    <s v="嘀嗒嘀"/>
    <s v="盐田海卡"/>
    <s v="TCY1"/>
    <x v="1"/>
    <s v="ANX-B 便携式扩香仪 黑色"/>
    <x v="1"/>
    <n v="20"/>
    <n v="268.53684210526319"/>
    <s v="重量收费"/>
    <n v="3.5"/>
    <n v="200"/>
    <n v="43.478260869565219"/>
    <n v="983.35720823798647"/>
    <n v="1.6389286803966441"/>
    <n v="0.24461622095472299"/>
    <m/>
    <m/>
    <m/>
    <x v="6"/>
    <d v="2026-03-15T00:00:00"/>
    <m/>
    <n v="0.41106382978723399"/>
    <n v="246.63829787234039"/>
    <d v="2026-04-04T00:00:00"/>
    <n v="61"/>
    <d v="2026-04-04T00:00:00"/>
  </r>
  <r>
    <n v="148"/>
    <m/>
    <s v="W06002"/>
    <s v="FBA196ZPNG0Z"/>
    <s v="E-US"/>
    <x v="0"/>
    <s v="001000049"/>
    <n v="180"/>
    <s v="嘀嗒嘀"/>
    <s v="盐田海卡"/>
    <s v="TCY1"/>
    <x v="36"/>
    <s v="ANX-IB 便携式扩香仪 冰蓝色"/>
    <x v="1"/>
    <n v="6"/>
    <n v="80.561052631578946"/>
    <s v="重量收费"/>
    <n v="3.5"/>
    <n v="200"/>
    <n v="13.043478260869565"/>
    <n v="295.00716247139587"/>
    <n v="1.6389286803966436"/>
    <n v="0.24461622095472293"/>
    <m/>
    <m/>
    <m/>
    <x v="6"/>
    <d v="2026-03-15T00:00:00"/>
    <m/>
    <n v="0.41106382978723399"/>
    <n v="73.991489361702122"/>
    <d v="2026-04-04T00:00:00"/>
    <n v="61"/>
    <d v="2026-04-04T00:00:00"/>
  </r>
  <r>
    <n v="149"/>
    <m/>
    <s v="W06002"/>
    <s v="FBA196ZPNG0Z"/>
    <s v="E-US"/>
    <x v="0"/>
    <s v="001000046"/>
    <n v="90"/>
    <s v="嘀嗒嘀"/>
    <s v="盐田海卡"/>
    <s v="TCY1"/>
    <x v="92"/>
    <s v="ANX-SILV 便携式扩香仪 银色"/>
    <x v="1"/>
    <n v="3"/>
    <n v="40.280526315789473"/>
    <s v="重量收费"/>
    <n v="3.5"/>
    <m/>
    <n v="6.5217391304347823"/>
    <n v="147.50358123569794"/>
    <n v="1.6389286803966436"/>
    <n v="0.24461622095472293"/>
    <m/>
    <m/>
    <m/>
    <x v="6"/>
    <d v="2026-03-15T00:00:00"/>
    <m/>
    <n v="0.41106382978723399"/>
    <n v="36.995744680851061"/>
    <d v="2026-04-04T00:00:00"/>
    <n v="61"/>
    <d v="2026-04-04T00:00:00"/>
  </r>
  <r>
    <n v="150"/>
    <m/>
    <s v="W06002"/>
    <s v="FBA196ZPNG0Z"/>
    <s v="E-US"/>
    <x v="0"/>
    <s v="001000052"/>
    <n v="330"/>
    <s v="嘀嗒嘀"/>
    <s v="盐田海卡"/>
    <s v="TCY1"/>
    <x v="37"/>
    <s v="ANX-DT 便携式扩香仪 沙漠钛色"/>
    <x v="1"/>
    <n v="11"/>
    <n v="147.69526315789474"/>
    <s v="重量收费"/>
    <n v="3.5"/>
    <m/>
    <n v="23.913043478260871"/>
    <n v="540.84646453089249"/>
    <n v="1.6389286803966439"/>
    <n v="0.24461622095472296"/>
    <m/>
    <m/>
    <m/>
    <x v="6"/>
    <d v="2026-03-15T00:00:00"/>
    <m/>
    <n v="0.41106382978723399"/>
    <n v="135.6510638297872"/>
    <d v="2026-04-04T00:00:00"/>
    <n v="61"/>
    <d v="2026-04-04T00:00:00"/>
  </r>
  <r>
    <n v="151"/>
    <m/>
    <s v="W06002"/>
    <s v="FBA196ZPNG0Z"/>
    <s v="E-US"/>
    <x v="0"/>
    <s v="ANZ-WH"/>
    <n v="680"/>
    <s v="嘀嗒嘀"/>
    <s v="盐田海卡"/>
    <s v="TCY1"/>
    <x v="53"/>
    <s v="ANZ-WH 便携式扩香仪 白色"/>
    <x v="0"/>
    <n v="17"/>
    <n v="228.25631578947369"/>
    <s v="重量收费"/>
    <n v="3.5"/>
    <m/>
    <n v="36.956521739130437"/>
    <n v="835.85362700228825"/>
    <n v="1.2291965102974827"/>
    <n v="0.18346216571604218"/>
    <m/>
    <m/>
    <m/>
    <x v="6"/>
    <d v="2026-03-15T00:00:00"/>
    <m/>
    <n v="0.41106382978723399"/>
    <n v="279.52340425531912"/>
    <d v="2026-04-04T00:00:00"/>
    <n v="61"/>
    <d v="2026-04-04T00:00:00"/>
  </r>
  <r>
    <n v="152"/>
    <m/>
    <s v="W06002"/>
    <s v="FBA196ZQYZK7"/>
    <s v="E-US"/>
    <x v="0"/>
    <s v="ANXKIT-B_4X10ML"/>
    <n v="90"/>
    <s v="嘀嗒嘀"/>
    <s v="盐田海卡"/>
    <s v="HLI2"/>
    <x v="93"/>
    <s v="ANXKIT-B_4X10ML ANX黑色机器+4x10mL香氛油（天竺） 机油套装"/>
    <x v="1"/>
    <n v="3"/>
    <n v="50.099999999999994"/>
    <s v="重量收费"/>
    <n v="3.6"/>
    <m/>
    <n v="6.5217391304347823"/>
    <n v="186.88173913043477"/>
    <n v="2.0764637681159419"/>
    <n v="0.30991996539043909"/>
    <m/>
    <m/>
    <m/>
    <x v="6"/>
    <d v="2026-03-15T00:00:00"/>
    <m/>
    <n v="0.44"/>
    <n v="39.6"/>
    <d v="2026-03-26T00:00:00"/>
    <n v="52"/>
    <d v="2026-03-26T00:00:00"/>
  </r>
  <r>
    <n v="153"/>
    <m/>
    <s v="W06002"/>
    <s v="FBA196ZQYZK7"/>
    <s v="E-US"/>
    <x v="0"/>
    <s v="ANZKIT-B_4X10K04_TZ"/>
    <n v="210"/>
    <s v="嘀嗒嘀"/>
    <s v="盐田海卡"/>
    <s v="HLI2"/>
    <x v="38"/>
    <s v="ANZKIT-B_4X10K04_TZ ANZ黑色机器+4x10mL酒店（天竺）香氛油 机油套装"/>
    <x v="0"/>
    <n v="7"/>
    <n v="116.89999999999999"/>
    <s v="重量收费"/>
    <n v="3.6"/>
    <m/>
    <n v="15.217391304347826"/>
    <n v="436.05739130434779"/>
    <n v="2.0764637681159419"/>
    <n v="0.30991996539043909"/>
    <m/>
    <m/>
    <m/>
    <x v="6"/>
    <d v="2026-03-15T00:00:00"/>
    <m/>
    <n v="0.44"/>
    <n v="92.4"/>
    <d v="2026-03-26T00:00:00"/>
    <n v="52"/>
    <d v="2026-03-26T00:00:00"/>
  </r>
  <r>
    <n v="154"/>
    <m/>
    <s v="W06003"/>
    <s v="FBA15LD5H4FM"/>
    <s v="W-DE"/>
    <x v="1"/>
    <s v="001000019"/>
    <n v="120"/>
    <s v="嘀嗒嘀"/>
    <s v="欧洲海卡"/>
    <s v="DTM9"/>
    <x v="17"/>
    <s v="AN6-B 便携式扩香仪 黑色"/>
    <x v="3"/>
    <n v="3"/>
    <n v="41.307692307692307"/>
    <s v="重量收费"/>
    <n v="7.3"/>
    <n v="250"/>
    <n v="57.692307692307693"/>
    <n v="359.23846153846154"/>
    <n v="2.9936538461538462"/>
    <n v="0.44681400688863376"/>
    <m/>
    <m/>
    <m/>
    <x v="6"/>
    <d v="2026-03-22T00:00:00"/>
    <m/>
    <n v="0"/>
    <n v="0"/>
    <d v="2026-04-07T00:00:00"/>
    <n v="64"/>
    <d v="2026-04-07T00:00:00"/>
  </r>
  <r>
    <n v="155"/>
    <m/>
    <s v="W06003"/>
    <s v="FBA15LD5H4FM"/>
    <s v="W-DE"/>
    <x v="1"/>
    <s v="001000039"/>
    <n v="200"/>
    <s v="嘀嗒嘀"/>
    <s v="欧洲海卡"/>
    <s v="DTM9"/>
    <x v="35"/>
    <s v="AN6-GL 便携式扩香仪 翠百合色"/>
    <x v="3"/>
    <n v="5"/>
    <n v="68.846153846153854"/>
    <s v="重量收费"/>
    <n v="7.3"/>
    <n v="250.00000000000003"/>
    <n v="96.15384615384616"/>
    <n v="598.73076923076928"/>
    <n v="2.9936538461538462"/>
    <n v="0.44681400688863376"/>
    <m/>
    <m/>
    <m/>
    <x v="6"/>
    <d v="2026-03-22T00:00:00"/>
    <m/>
    <n v="0"/>
    <n v="0"/>
    <d v="2026-04-07T00:00:00"/>
    <n v="64"/>
    <d v="2026-04-07T00:00:00"/>
  </r>
  <r>
    <n v="156"/>
    <m/>
    <s v="W06003"/>
    <s v="FBA15LD5H4FM"/>
    <s v="W-DE"/>
    <x v="1"/>
    <s v="001000020"/>
    <n v="200"/>
    <s v="嘀嗒嘀"/>
    <s v="欧洲海卡"/>
    <s v="DTM9"/>
    <x v="18"/>
    <s v="AN6-W 便携式扩香仪 白色"/>
    <x v="3"/>
    <n v="5"/>
    <n v="68.846153846153854"/>
    <s v="重量收费"/>
    <n v="7.3"/>
    <m/>
    <n v="96.15384615384616"/>
    <n v="598.73076923076928"/>
    <n v="2.9936538461538462"/>
    <n v="0.44681400688863376"/>
    <m/>
    <m/>
    <m/>
    <x v="6"/>
    <d v="2026-03-22T00:00:00"/>
    <m/>
    <n v="0"/>
    <n v="0"/>
    <d v="2026-04-07T00:00:00"/>
    <n v="64"/>
    <d v="2026-04-07T00:00:00"/>
  </r>
  <r>
    <n v="157"/>
    <s v="不包提货（报关费400+战争附加费120+头程费516.08）"/>
    <s v="W06001"/>
    <s v="FBA15LD5WXF3"/>
    <s v="E-AE"/>
    <x v="5"/>
    <s v="001000019"/>
    <n v="280"/>
    <s v="亦邦物流"/>
    <s v="沙特海卡"/>
    <s v="DXB5"/>
    <x v="17"/>
    <s v="AN6-B 便携式扩香仪 黑色"/>
    <x v="3"/>
    <n v="7"/>
    <n v="0.38181818181818178"/>
    <s v="CBM收费"/>
    <n v="740"/>
    <n v="1036.08"/>
    <n v="659.3236363636363"/>
    <n v="941.8690909090908"/>
    <n v="3.3638181818181816"/>
    <n v="0.50206241519674355"/>
    <m/>
    <m/>
    <m/>
    <x v="6"/>
    <d v="2026-02-26T00:00:00"/>
    <m/>
    <n v="0"/>
    <n v="0"/>
    <m/>
    <n v="-46055"/>
    <m/>
  </r>
  <r>
    <n v="158"/>
    <s v="不包提货（报关费400+战争附加费120+头程费516.08）"/>
    <s v="W06001"/>
    <s v="FBA15LD5WXF3"/>
    <s v="E-AE"/>
    <x v="5"/>
    <s v="001000020"/>
    <n v="40"/>
    <s v="亦邦物流"/>
    <s v="沙特海卡"/>
    <s v="DXB5"/>
    <x v="18"/>
    <s v="AN6-W 便携式扩香仪 白色"/>
    <x v="3"/>
    <n v="1"/>
    <n v="0.05"/>
    <s v="CBM收费"/>
    <n v="740"/>
    <n v="1036.08"/>
    <n v="94.189090909090908"/>
    <n v="131.18909090909091"/>
    <n v="3.2797272727272726"/>
    <n v="0.4895115332428765"/>
    <m/>
    <m/>
    <m/>
    <x v="6"/>
    <d v="2026-02-26T00:00:00"/>
    <m/>
    <n v="0"/>
    <n v="0"/>
    <m/>
    <n v="-46055"/>
    <m/>
  </r>
  <r>
    <n v="159"/>
    <s v="不包提货（报关费400+战争附加费120+头程费516.08）"/>
    <s v="W06001"/>
    <s v="FBA15LD5WXF3"/>
    <s v="E-AE"/>
    <x v="5"/>
    <s v="001000045"/>
    <n v="90"/>
    <s v="亦邦物流"/>
    <s v="沙特海卡"/>
    <s v="DXB5"/>
    <x v="1"/>
    <s v="ANX-B 便携式扩香仪 黑色"/>
    <x v="1"/>
    <n v="3"/>
    <n v="0.16363636363636364"/>
    <s v="CBM收费"/>
    <n v="740"/>
    <m/>
    <n v="282.56727272727272"/>
    <n v="403.65818181818179"/>
    <n v="4.4850909090909088"/>
    <n v="0.66941655359565799"/>
    <m/>
    <m/>
    <m/>
    <x v="6"/>
    <d v="2026-02-26T00:00:00"/>
    <m/>
    <n v="0"/>
    <n v="0"/>
    <m/>
    <n v="-46055"/>
    <m/>
  </r>
  <r>
    <n v="160"/>
    <m/>
    <s v="W06002"/>
    <s v="FBA196ZPM7XN"/>
    <s v="V-US"/>
    <x v="0"/>
    <s v="AN8KIT-B_B_2X30K02"/>
    <n v="60"/>
    <s v="嘀嗒嘀"/>
    <s v="盐田海卡"/>
    <s v="TCY1"/>
    <x v="94"/>
    <s v="AN8KIT-B_B_2X30K02 AN8黑色机器两个装+2X30mL香氛油（天竺） 机油套装"/>
    <x v="4"/>
    <n v="3"/>
    <n v="40.280769230769238"/>
    <s v="重量收费"/>
    <n v="3.5"/>
    <m/>
    <n v="6.5217391304347823"/>
    <n v="147.50443143812711"/>
    <n v="2.4584071906354521"/>
    <n v="0.3669264463635003"/>
    <m/>
    <m/>
    <m/>
    <x v="6"/>
    <d v="2026-03-15T00:00:00"/>
    <m/>
    <n v="0.45999999999999996"/>
    <n v="27.599999999999998"/>
    <d v="2026-04-04T00:00:00"/>
    <n v="61"/>
    <d v="2026-04-04T00:00:00"/>
  </r>
  <r>
    <n v="161"/>
    <m/>
    <s v="W06002"/>
    <s v="FBA196ZPM7XN"/>
    <s v="V-US"/>
    <x v="0"/>
    <s v="AN8KIT-B_4X10K01"/>
    <n v="300"/>
    <s v="嘀嗒嘀"/>
    <s v="盐田海卡"/>
    <s v="TCY1"/>
    <x v="10"/>
    <s v="AN8KIT-B_4X10K01 AN8黑色机器+4x10mL酒店香氛油 机油套装"/>
    <x v="4"/>
    <n v="10"/>
    <n v="134.26923076923077"/>
    <s v="重量收费"/>
    <n v="3.5"/>
    <m/>
    <n v="21.739130434782609"/>
    <n v="491.68143812709036"/>
    <n v="1.6389381270903012"/>
    <n v="0.24461763090900016"/>
    <m/>
    <m/>
    <m/>
    <x v="6"/>
    <d v="2026-03-15T00:00:00"/>
    <m/>
    <n v="0.45999999999999996"/>
    <n v="138"/>
    <d v="2026-04-04T00:00:00"/>
    <n v="61"/>
    <d v="2026-04-04T00:00:00"/>
  </r>
  <r>
    <n v="162"/>
    <m/>
    <s v="W06002"/>
    <s v="FBA196ZJWR8P"/>
    <s v="V-US"/>
    <x v="0"/>
    <s v="AN8KIT-B_B"/>
    <n v="120"/>
    <s v="嘀嗒嘀"/>
    <s v="盐田海卡"/>
    <s v="TCY1"/>
    <x v="32"/>
    <s v="AN8KIT-B_B 便携式扩香仪套装 黑+黑"/>
    <x v="4"/>
    <n v="6"/>
    <n v="80.56"/>
    <s v="重量收费"/>
    <n v="3.5"/>
    <m/>
    <n v="13.043478260869565"/>
    <n v="295.0034782608696"/>
    <n v="2.4583623188405799"/>
    <n v="0.36691974908068353"/>
    <m/>
    <m/>
    <m/>
    <x v="6"/>
    <d v="2026-03-15T00:00:00"/>
    <m/>
    <n v="0.38666666666666666"/>
    <n v="46.4"/>
    <d v="2026-04-04T00:00:00"/>
    <n v="61"/>
    <d v="2026-04-04T00:00:00"/>
  </r>
  <r>
    <n v="163"/>
    <m/>
    <s v="W06002"/>
    <s v="FBA196ZJWR8P"/>
    <s v="V-US"/>
    <x v="0"/>
    <s v="AN8-WH"/>
    <n v="240"/>
    <s v="嘀嗒嘀"/>
    <s v="盐田海卡"/>
    <s v="TCY1"/>
    <x v="33"/>
    <s v="AN8-WH 便携式扩香仪 白色"/>
    <x v="4"/>
    <n v="6"/>
    <n v="80.56"/>
    <s v="重量收费"/>
    <n v="3.5"/>
    <m/>
    <n v="13.043478260869565"/>
    <n v="295.0034782608696"/>
    <n v="1.2291811594202899"/>
    <n v="0.18345987454034177"/>
    <m/>
    <m/>
    <m/>
    <x v="6"/>
    <d v="2026-03-15T00:00:00"/>
    <m/>
    <n v="0.38666666666666666"/>
    <n v="92.8"/>
    <d v="2026-04-04T00:00:00"/>
    <n v="61"/>
    <d v="2026-04-04T00:00:00"/>
  </r>
  <r>
    <n v="164"/>
    <m/>
    <s v="W06011"/>
    <s v="FBA197DXB0VL"/>
    <s v="W-US"/>
    <x v="0"/>
    <s v="002000027"/>
    <n v="240"/>
    <s v="万邦"/>
    <s v="盐田海卡"/>
    <s v="POC2"/>
    <x v="79"/>
    <s v="M1-B 电子球形把手锁 黑色"/>
    <x v="18"/>
    <n v="15"/>
    <n v="223.63636363636363"/>
    <s v="重量收费"/>
    <n v="3.3"/>
    <n v="200"/>
    <n v="38.961038961038959"/>
    <n v="776.96103896103887"/>
    <n v="3.2373376623376617"/>
    <n v="0.48318472572203908"/>
    <m/>
    <m/>
    <m/>
    <x v="7"/>
    <d v="2026-03-04T00:00:00"/>
    <m/>
    <n v="0.55999999999999994"/>
    <n v="134.39999999999998"/>
    <d v="2026-03-11T00:00:00"/>
    <n v="33"/>
    <d v="2026-03-11T00:00:00"/>
  </r>
  <r>
    <n v="165"/>
    <m/>
    <s v="W06011"/>
    <s v="FBA197DXB0VL"/>
    <s v="W-US"/>
    <x v="0"/>
    <s v="002000037"/>
    <n v="176"/>
    <s v="万邦"/>
    <s v="盐田海卡"/>
    <s v="POC2"/>
    <x v="95"/>
    <s v="M1-SILV 电子球形把手锁 银色"/>
    <x v="18"/>
    <n v="11"/>
    <n v="164"/>
    <s v="重量收费"/>
    <n v="3.3"/>
    <n v="200"/>
    <n v="28.571428571428573"/>
    <n v="569.77142857142849"/>
    <n v="3.2373376623376617"/>
    <n v="0.48318472572203908"/>
    <m/>
    <m/>
    <m/>
    <x v="7"/>
    <d v="2026-03-04T00:00:00"/>
    <m/>
    <n v="0.55999999999999994"/>
    <n v="98.559999999999988"/>
    <d v="2026-03-11T00:00:00"/>
    <n v="33"/>
    <d v="2026-03-11T00:00:00"/>
  </r>
  <r>
    <n v="166"/>
    <m/>
    <s v="W06011"/>
    <s v="FBA197DXB0VL"/>
    <s v="W-US"/>
    <x v="0"/>
    <s v="002000029"/>
    <n v="304"/>
    <s v="万邦"/>
    <s v="盐田海卡"/>
    <s v="POC2"/>
    <x v="81"/>
    <s v="MD1-B 电子球形把手锁 指纹 黑色"/>
    <x v="19"/>
    <n v="19"/>
    <n v="283.27272727272725"/>
    <s v="重量收费"/>
    <n v="3.3"/>
    <m/>
    <n v="49.350649350649348"/>
    <n v="984.15064935064925"/>
    <n v="3.2373376623376622"/>
    <n v="0.48318472572203913"/>
    <m/>
    <m/>
    <m/>
    <x v="7"/>
    <d v="2026-03-04T00:00:00"/>
    <m/>
    <n v="0.55999999999999994"/>
    <n v="170.23999999999998"/>
    <d v="2026-03-11T00:00:00"/>
    <n v="33"/>
    <d v="2026-03-11T00:00:00"/>
  </r>
  <r>
    <n v="167"/>
    <m/>
    <s v="W06011"/>
    <s v="FBA197DXB0VL"/>
    <s v="W-US"/>
    <x v="0"/>
    <s v="002000038"/>
    <n v="256"/>
    <s v="万邦"/>
    <s v="盐田海卡"/>
    <s v="POC2"/>
    <x v="82"/>
    <s v="MD1-SILV 电子球形把手锁 指纹 银色"/>
    <x v="19"/>
    <n v="16"/>
    <n v="238.54545454545453"/>
    <s v="重量收费"/>
    <n v="3.3"/>
    <m/>
    <n v="41.558441558441558"/>
    <n v="828.75844155844152"/>
    <n v="3.2373376623376622"/>
    <n v="0.48318472572203913"/>
    <m/>
    <m/>
    <m/>
    <x v="7"/>
    <d v="2026-03-04T00:00:00"/>
    <m/>
    <n v="0.55999999999999994"/>
    <n v="143.35999999999999"/>
    <d v="2026-03-11T00:00:00"/>
    <n v="33"/>
    <d v="2026-03-11T00:00:00"/>
  </r>
  <r>
    <n v="168"/>
    <m/>
    <s v="W06011"/>
    <s v="FBA197DXB0VL"/>
    <s v="W-US"/>
    <x v="0"/>
    <s v="002000031"/>
    <n v="208"/>
    <s v="万邦"/>
    <s v="盐田海卡"/>
    <s v="POC2"/>
    <x v="84"/>
    <s v="MK1-B 智能球形把手锁 黑色"/>
    <x v="20"/>
    <n v="13"/>
    <n v="193.81818181818181"/>
    <s v="重量收费"/>
    <n v="3.3"/>
    <m/>
    <n v="33.766233766233768"/>
    <n v="673.36623376623368"/>
    <n v="3.2373376623376617"/>
    <n v="0.48318472572203908"/>
    <m/>
    <m/>
    <m/>
    <x v="7"/>
    <d v="2026-03-04T00:00:00"/>
    <m/>
    <n v="0.55999999999999994"/>
    <n v="116.47999999999999"/>
    <d v="2026-03-11T00:00:00"/>
    <n v="33"/>
    <d v="2026-03-11T00:00:00"/>
  </r>
  <r>
    <n v="169"/>
    <m/>
    <s v="W06011"/>
    <s v="FBA197DXB0VL"/>
    <s v="W-US"/>
    <x v="0"/>
    <s v="002000033"/>
    <n v="32"/>
    <s v="万邦"/>
    <s v="盐田海卡"/>
    <s v="POC2"/>
    <x v="85"/>
    <s v="MK1-SILV 智能球形把手锁 银色"/>
    <x v="20"/>
    <n v="2"/>
    <n v="29.818181818181817"/>
    <s v="重量收费"/>
    <n v="3.3"/>
    <m/>
    <n v="5.1948051948051948"/>
    <n v="103.59480519480519"/>
    <n v="3.2373376623376622"/>
    <n v="0.48318472572203913"/>
    <m/>
    <m/>
    <m/>
    <x v="7"/>
    <d v="2026-03-04T00:00:00"/>
    <m/>
    <n v="0.55999999999999994"/>
    <n v="17.919999999999998"/>
    <d v="2026-03-11T00:00:00"/>
    <n v="33"/>
    <d v="2026-03-11T00:00:00"/>
  </r>
  <r>
    <n v="170"/>
    <m/>
    <s v="W06011"/>
    <s v="FBA197DXB0VL"/>
    <s v="W-US"/>
    <x v="0"/>
    <s v="002000032"/>
    <n v="16"/>
    <s v="万邦"/>
    <s v="盐田海卡"/>
    <s v="POC2"/>
    <x v="86"/>
    <s v="MK1-T 智能球形把手锁 钛色"/>
    <x v="20"/>
    <n v="1"/>
    <n v="14.909090909090908"/>
    <s v="重量收费"/>
    <n v="3.3"/>
    <m/>
    <n v="2.5974025974025974"/>
    <n v="51.797402597402595"/>
    <n v="3.2373376623376622"/>
    <n v="0.48318472572203913"/>
    <m/>
    <m/>
    <m/>
    <x v="7"/>
    <d v="2026-03-04T00:00:00"/>
    <m/>
    <n v="0.55999999999999994"/>
    <n v="8.9599999999999991"/>
    <d v="2026-03-11T00:00:00"/>
    <n v="33"/>
    <d v="2026-03-11T00:00:00"/>
  </r>
  <r>
    <n v="171"/>
    <m/>
    <s v="W06010"/>
    <s v="FBA1976WKL4D"/>
    <s v="W-US"/>
    <x v="0"/>
    <s v="G1-DT"/>
    <n v="144"/>
    <s v="万邦"/>
    <s v="盐田海卡"/>
    <s v="GEU3"/>
    <x v="64"/>
    <s v="G1-DT 电子球形把手锁 沙漠钛色"/>
    <x v="12"/>
    <n v="9"/>
    <n v="121.5"/>
    <s v="重量收费"/>
    <n v="3"/>
    <n v="200"/>
    <n v="100"/>
    <n v="464.5"/>
    <n v="3.2256944444444446"/>
    <n v="0.48144693200663352"/>
    <m/>
    <m/>
    <m/>
    <x v="7"/>
    <d v="2026-03-01T00:00:00"/>
    <m/>
    <n v="0.56000000000000005"/>
    <n v="80.640000000000015"/>
    <d v="2026-03-13T00:00:00"/>
    <n v="35"/>
    <d v="2026-03-13T00:00:00"/>
  </r>
  <r>
    <n v="172"/>
    <m/>
    <s v="W06010"/>
    <s v="FBA1976WKL4D"/>
    <s v="W-US"/>
    <x v="0"/>
    <s v="G1-SILV"/>
    <n v="144"/>
    <s v="万邦"/>
    <s v="盐田海卡"/>
    <s v="GEU3"/>
    <x v="65"/>
    <s v="G1-SILV 电子球形把手锁 银色"/>
    <x v="12"/>
    <n v="9"/>
    <n v="121.5"/>
    <s v="重量收费"/>
    <n v="3"/>
    <n v="200"/>
    <n v="100"/>
    <n v="464.5"/>
    <n v="3.2256944444444446"/>
    <n v="0.48144693200663352"/>
    <m/>
    <m/>
    <m/>
    <x v="7"/>
    <d v="2026-03-01T00:00:00"/>
    <m/>
    <n v="0.56000000000000005"/>
    <n v="80.640000000000015"/>
    <d v="2026-03-13T00:00:00"/>
    <n v="35"/>
    <d v="2026-03-13T00:00:00"/>
  </r>
  <r>
    <n v="173"/>
    <m/>
    <s v="W06004"/>
    <s v="FBA1976LX63R"/>
    <s v="E-US"/>
    <x v="0"/>
    <s v="003000014"/>
    <n v="80"/>
    <s v="万邦"/>
    <s v="美东海卡"/>
    <s v="MGE3"/>
    <x v="96"/>
    <s v="AP2US-H14 内置H14滤网桌面式空气净化器2-美规"/>
    <x v="21"/>
    <n v="20"/>
    <n v="476"/>
    <s v="重量收费"/>
    <n v="4.9000000000000004"/>
    <n v="200"/>
    <n v="200"/>
    <n v="2532.4"/>
    <n v="31.655000000000001"/>
    <n v="4.7246268656716417"/>
    <m/>
    <m/>
    <m/>
    <x v="8"/>
    <d v="2026-03-17T00:00:00"/>
    <m/>
    <n v="0"/>
    <n v="0"/>
    <d v="2026-03-26T00:00:00"/>
    <n v="51"/>
    <d v="2026-03-26T00:00:00"/>
  </r>
  <r>
    <n v="174"/>
    <m/>
    <s v="W06005"/>
    <s v="FBA1976MP8CY"/>
    <s v="E-US"/>
    <x v="0"/>
    <s v="003000014"/>
    <n v="80"/>
    <s v="万邦"/>
    <s v="盐田海卡"/>
    <s v="SWF1"/>
    <x v="96"/>
    <s v="AP2US-H14 内置H14滤网桌面式空气净化器2-美规"/>
    <x v="21"/>
    <n v="20"/>
    <n v="474"/>
    <s v="重量收费"/>
    <n v="4.7"/>
    <n v="200"/>
    <n v="200"/>
    <n v="2427.8000000000002"/>
    <n v="30.347500000000004"/>
    <n v="4.5294776119402993"/>
    <m/>
    <m/>
    <m/>
    <x v="8"/>
    <d v="2026-03-21T00:00:00"/>
    <m/>
    <n v="0"/>
    <n v="0"/>
    <d v="2026-03-30T00:00:00"/>
    <n v="55"/>
    <d v="2026-03-30T00:00:00"/>
  </r>
  <r>
    <n v="175"/>
    <m/>
    <s v="W06006"/>
    <s v="FBA1976N1PRR"/>
    <s v="E-US"/>
    <x v="0"/>
    <s v="003000014"/>
    <n v="80"/>
    <s v="万邦"/>
    <s v="美东海卡"/>
    <s v="FAT2"/>
    <x v="96"/>
    <s v="AP2US-H14 内置H14滤网桌面式空气净化器2-美规"/>
    <x v="21"/>
    <n v="20"/>
    <n v="478"/>
    <s v="重量收费"/>
    <n v="4.4000000000000004"/>
    <n v="200"/>
    <n v="200"/>
    <n v="2303.2000000000003"/>
    <n v="28.790000000000003"/>
    <n v="4.2970149253731345"/>
    <m/>
    <m/>
    <m/>
    <x v="8"/>
    <d v="2026-03-04T00:00:00"/>
    <m/>
    <n v="0"/>
    <n v="0"/>
    <d v="2026-03-29T00:00:00"/>
    <n v="54"/>
    <d v="2026-03-29T00:00:00"/>
  </r>
  <r>
    <n v="176"/>
    <m/>
    <s v="W06007"/>
    <s v="FBA1976NHDF8"/>
    <s v="E-US"/>
    <x v="0"/>
    <s v="003000014"/>
    <n v="80"/>
    <s v="嘀嗒嘀"/>
    <s v="美中海卡"/>
    <s v="AKR1"/>
    <x v="96"/>
    <s v="AP2US-H14 内置H14滤网桌面式空气净化器2-美规"/>
    <x v="21"/>
    <n v="20"/>
    <n v="474"/>
    <s v="重量收费"/>
    <n v="6"/>
    <n v="200"/>
    <n v="200"/>
    <n v="3044"/>
    <n v="38.049999999999997"/>
    <n v="5.6791044776119399"/>
    <m/>
    <m/>
    <m/>
    <x v="8"/>
    <d v="2026-04-07T00:00:00"/>
    <m/>
    <n v="0"/>
    <n v="0"/>
    <m/>
    <n v="-46056"/>
    <m/>
  </r>
  <r>
    <n v="177"/>
    <m/>
    <s v="W06008"/>
    <s v="FBA1976MCGX6"/>
    <s v="E-US"/>
    <x v="0"/>
    <s v="003000014"/>
    <n v="80"/>
    <s v="万邦"/>
    <s v="美森海卡"/>
    <s v="LFT1"/>
    <x v="96"/>
    <s v="AP2US-H14 内置H14滤网桌面式空气净化器2-美规"/>
    <x v="21"/>
    <n v="20"/>
    <n v="474"/>
    <s v="重量收费"/>
    <n v="5.7"/>
    <n v="200"/>
    <n v="200"/>
    <n v="2901.8"/>
    <n v="36.272500000000001"/>
    <n v="5.4138059701492534"/>
    <m/>
    <m/>
    <m/>
    <x v="8"/>
    <d v="2026-03-14T00:00:00"/>
    <m/>
    <n v="0"/>
    <n v="0"/>
    <d v="2026-03-27T00:00:00"/>
    <n v="52"/>
    <d v="2026-03-27T00:00:00"/>
  </r>
  <r>
    <n v="178"/>
    <m/>
    <s v="W06009"/>
    <s v="FBA197D77P3S"/>
    <s v="W-US"/>
    <x v="0"/>
    <s v="002000031"/>
    <n v="160"/>
    <s v="万邦"/>
    <s v="美森海卡"/>
    <s v="POC2"/>
    <x v="84"/>
    <s v="MK1-B 智能球形把手锁 黑色"/>
    <x v="20"/>
    <n v="10"/>
    <n v="142"/>
    <s v="重量收费"/>
    <n v="9.5"/>
    <n v="200"/>
    <n v="200"/>
    <n v="1549"/>
    <n v="9.6812500000000004"/>
    <n v="1.4449626865671641"/>
    <m/>
    <m/>
    <m/>
    <x v="7"/>
    <d v="2026-02-22T00:00:00"/>
    <m/>
    <n v="0.55999999999999994"/>
    <n v="89.6"/>
    <d v="2026-03-11T00:00:00"/>
    <n v="33"/>
    <d v="2026-03-11T00:00:00"/>
  </r>
  <r>
    <n v="179"/>
    <m/>
    <s v="W10001"/>
    <s v="FBA1987594KP"/>
    <s v="E-US"/>
    <x v="0"/>
    <s v="ANZ-B"/>
    <n v="200"/>
    <s v="嘀嗒嘀"/>
    <s v="盐田海卡"/>
    <s v="TCY1"/>
    <x v="0"/>
    <s v="ANZ-B 便携式扩香仪 黑色"/>
    <x v="0"/>
    <n v="5"/>
    <n v="73.849999999999994"/>
    <s v="重量收费"/>
    <n v="3.3"/>
    <n v="200"/>
    <n v="7.1942446043165464"/>
    <n v="250.89924460431649"/>
    <n v="1.2544962230215824"/>
    <n v="0.1872382422420272"/>
    <m/>
    <m/>
    <m/>
    <x v="9"/>
    <d v="2026-03-28T00:00:00"/>
    <m/>
    <n v="0.36"/>
    <n v="72"/>
    <d v="2026-04-04T00:00:00"/>
    <n v="29"/>
    <d v="2026-04-04T00:00:00"/>
  </r>
  <r>
    <n v="180"/>
    <m/>
    <s v="W10003"/>
    <s v="FBA198F648V6"/>
    <s v="E-US"/>
    <x v="0"/>
    <s v="ANZ-B"/>
    <n v="600"/>
    <s v="嘀嗒嘀"/>
    <s v="以星海卡"/>
    <s v="TCY1"/>
    <x v="0"/>
    <s v="ANZ-B 便携式扩香仪 黑色"/>
    <x v="0"/>
    <n v="15"/>
    <n v="202"/>
    <s v="重量收费"/>
    <n v="4.2"/>
    <n v="200"/>
    <n v="200"/>
    <n v="1048.4000000000001"/>
    <n v="1.7473333333333334"/>
    <n v="0.2607960199004975"/>
    <m/>
    <m/>
    <m/>
    <x v="9"/>
    <d v="2026-03-25T00:00:00"/>
    <m/>
    <n v="0.36"/>
    <n v="216"/>
    <d v="2026-04-04T00:00:00"/>
    <n v="29"/>
    <d v="2026-04-04T00:00:00"/>
  </r>
  <r>
    <n v="181"/>
    <m/>
    <s v="W10001"/>
    <s v="FBA198CCWL4Q"/>
    <s v="V-US"/>
    <x v="0"/>
    <s v="001000019"/>
    <n v="800"/>
    <s v="嘀嗒嘀"/>
    <s v="盐田海卡"/>
    <s v="TCY1"/>
    <x v="17"/>
    <s v="AN6-B 便携式扩香仪 黑色"/>
    <x v="3"/>
    <n v="20"/>
    <n v="295.39555555555557"/>
    <s v="重量收费"/>
    <n v="3.3"/>
    <m/>
    <n v="28.776978417266186"/>
    <n v="1003.5823117505995"/>
    <n v="1.2544778896882494"/>
    <n v="0.18723550592361929"/>
    <m/>
    <m/>
    <m/>
    <x v="9"/>
    <d v="2026-03-28T00:00:00"/>
    <m/>
    <n v="0.3721518987341772"/>
    <n v="297.72151898734177"/>
    <d v="2026-04-04T00:00:00"/>
    <n v="29"/>
    <d v="2026-04-04T00:00:00"/>
  </r>
  <r>
    <n v="182"/>
    <m/>
    <s v="W10001"/>
    <s v="FBA198CCWL4Q"/>
    <s v="V-US"/>
    <x v="0"/>
    <s v="001000020"/>
    <n v="480"/>
    <s v="嘀嗒嘀"/>
    <s v="盐田海卡"/>
    <s v="TCY1"/>
    <x v="18"/>
    <s v="AN6-W 便携式扩香仪 白色"/>
    <x v="3"/>
    <n v="12"/>
    <n v="177.23733333333334"/>
    <s v="重量收费"/>
    <n v="3.3"/>
    <m/>
    <n v="17.266187050359711"/>
    <n v="602.14938705035968"/>
    <n v="1.2544778896882494"/>
    <n v="0.18723550592361929"/>
    <m/>
    <m/>
    <m/>
    <x v="9"/>
    <d v="2026-03-28T00:00:00"/>
    <m/>
    <n v="0.3721518987341772"/>
    <n v="178.63291139240505"/>
    <d v="2026-04-04T00:00:00"/>
    <n v="29"/>
    <d v="2026-04-04T00:00:00"/>
  </r>
  <r>
    <n v="183"/>
    <m/>
    <s v="W10001"/>
    <s v="FBA198CCWL4Q"/>
    <s v="V-US"/>
    <x v="0"/>
    <s v="AN8KIT-B_B"/>
    <n v="240"/>
    <s v="嘀嗒嘀"/>
    <s v="盐田海卡"/>
    <s v="TCY1"/>
    <x v="32"/>
    <s v="AN8KIT-B_B 便携式扩香仪套装 黑+黑"/>
    <x v="4"/>
    <n v="12"/>
    <n v="177.23733333333334"/>
    <s v="重量收费"/>
    <n v="3.3"/>
    <m/>
    <n v="17.266187050359711"/>
    <n v="602.14938705035968"/>
    <n v="2.5089557793764987"/>
    <n v="0.37447101184723858"/>
    <m/>
    <m/>
    <m/>
    <x v="9"/>
    <d v="2026-03-28T00:00:00"/>
    <m/>
    <n v="0.3721518987341772"/>
    <n v="89.316455696202524"/>
    <d v="2026-04-04T00:00:00"/>
    <n v="29"/>
    <d v="2026-04-04T00:00:00"/>
  </r>
  <r>
    <n v="184"/>
    <m/>
    <s v="W10001"/>
    <s v="FBA198CCWL4Q"/>
    <s v="V-US"/>
    <x v="0"/>
    <s v="RD1PJ-BOT"/>
    <n v="60"/>
    <s v="嘀嗒嘀"/>
    <s v="盐田海卡"/>
    <s v="TCY1"/>
    <x v="97"/>
    <s v="RD1PJ-BOT 便携式扩香仪100mL带盖替换玻璃瓶"/>
    <x v="22"/>
    <n v="1"/>
    <n v="14.769777777777778"/>
    <s v="重量收费"/>
    <n v="3.3"/>
    <m/>
    <n v="1.4388489208633093"/>
    <n v="50.179115587529971"/>
    <n v="0.8363185931254995"/>
    <n v="0.12482367061574619"/>
    <m/>
    <m/>
    <m/>
    <x v="9"/>
    <d v="2026-03-28T00:00:00"/>
    <m/>
    <n v="0.3721518987341772"/>
    <n v="22.329113924050631"/>
    <d v="2026-04-04T00:00:00"/>
    <n v="29"/>
    <d v="2026-04-04T00:00:00"/>
  </r>
  <r>
    <n v="185"/>
    <m/>
    <s v="W10001"/>
    <s v="FBA19873RZMP"/>
    <s v="V-US"/>
    <x v="0"/>
    <s v="AN6KIT-B_4X10ML"/>
    <n v="300"/>
    <s v="嘀嗒嘀"/>
    <s v="盐田海卡"/>
    <s v="TCY1"/>
    <x v="7"/>
    <s v="AN6KIT-B_4X10ML AN6黑色机器+4x10mL香氛油（天竺） 机油套装"/>
    <x v="3"/>
    <n v="10"/>
    <n v="147.69753086419752"/>
    <s v="重量收费"/>
    <n v="6"/>
    <m/>
    <n v="14.388489208633093"/>
    <n v="900.57367439381824"/>
    <n v="3.0019122479793943"/>
    <n v="0.44804660417602898"/>
    <m/>
    <m/>
    <m/>
    <x v="9"/>
    <d v="2026-03-28T00:00:00"/>
    <m/>
    <n v="0.44"/>
    <n v="132"/>
    <d v="2026-04-04T00:00:00"/>
    <n v="29"/>
    <m/>
  </r>
  <r>
    <n v="186"/>
    <m/>
    <s v="W10001"/>
    <s v="FBA19873RZMP"/>
    <s v="V-US"/>
    <x v="0"/>
    <s v="AN8KIT-B_4X10K01"/>
    <n v="1200"/>
    <s v="嘀嗒嘀"/>
    <s v="盐田海卡"/>
    <s v="TCY1"/>
    <x v="10"/>
    <s v="AN8KIT-B_4X10K01 AN8黑色机器+4x10mL酒店香氛油 机油套装"/>
    <x v="4"/>
    <n v="40"/>
    <n v="590.79012345679007"/>
    <s v="重量收费"/>
    <n v="6"/>
    <m/>
    <n v="57.553956834532372"/>
    <n v="3602.2946975752729"/>
    <n v="3.0019122479793943"/>
    <n v="0.44804660417602898"/>
    <m/>
    <m/>
    <m/>
    <x v="9"/>
    <d v="2026-03-28T00:00:00"/>
    <m/>
    <n v="0.44"/>
    <n v="528"/>
    <d v="2026-04-04T00:00:00"/>
    <n v="29"/>
    <m/>
  </r>
  <r>
    <n v="187"/>
    <m/>
    <s v="W10001"/>
    <s v="FBA19873RZMP"/>
    <s v="V-US"/>
    <x v="0"/>
    <s v="AN8KIT-WH_4X10K01"/>
    <n v="450"/>
    <s v="嘀嗒嘀"/>
    <s v="盐田海卡"/>
    <s v="TCY1"/>
    <x v="12"/>
    <s v="AN8KIT-WH_4X10K01 AN8白色机器+4x10mL酒店香氛油 机油套装"/>
    <x v="4"/>
    <n v="15"/>
    <n v="221.5462962962963"/>
    <s v="重量收费"/>
    <n v="6"/>
    <m/>
    <n v="21.582733812949641"/>
    <n v="1350.8605115907276"/>
    <n v="3.0019122479793947"/>
    <n v="0.44804660417602904"/>
    <m/>
    <m/>
    <m/>
    <x v="9"/>
    <d v="2026-03-28T00:00:00"/>
    <m/>
    <n v="0.44"/>
    <n v="198"/>
    <d v="2026-04-04T00:00:00"/>
    <n v="29"/>
    <m/>
  </r>
  <r>
    <n v="188"/>
    <m/>
    <s v="W10001"/>
    <s v="FBA19873RZMP"/>
    <s v="V-US"/>
    <x v="0"/>
    <s v="RD1KIT-T_2X30K04"/>
    <n v="320"/>
    <s v="嘀嗒嘀"/>
    <s v="盐田海卡"/>
    <s v="TCY1"/>
    <x v="98"/>
    <s v="RD1KIT-T_2X30K04 RD1沙漠钛色机器+2X30mL酒店香氛油 机油套装"/>
    <x v="23"/>
    <n v="16"/>
    <n v="236.31604938271605"/>
    <s v="重量收费"/>
    <n v="6"/>
    <m/>
    <n v="23.021582733812949"/>
    <n v="1440.9178790301091"/>
    <n v="4.5028683719690914"/>
    <n v="0.6720699062640435"/>
    <m/>
    <m/>
    <m/>
    <x v="9"/>
    <d v="2026-03-28T00:00:00"/>
    <m/>
    <n v="0.44"/>
    <n v="140.80000000000001"/>
    <d v="2026-04-04T00:00:00"/>
    <n v="29"/>
    <m/>
  </r>
  <r>
    <n v="189"/>
    <m/>
    <s v="W10002"/>
    <s v="FBA198354HLL"/>
    <s v="V-CA"/>
    <x v="3"/>
    <s v="001000019"/>
    <n v="160"/>
    <s v="嘀嗒嘀"/>
    <s v="加拿大海卡"/>
    <s v="YVR4"/>
    <x v="17"/>
    <s v="AN6-B 便携式扩香仪 黑色"/>
    <x v="3"/>
    <n v="4"/>
    <n v="54.8"/>
    <s v="重量收费"/>
    <n v="3.3"/>
    <n v="200"/>
    <n v="80"/>
    <n v="260.83999999999997"/>
    <n v="1.6302499999999998"/>
    <n v="0.243320895522388"/>
    <m/>
    <m/>
    <m/>
    <x v="9"/>
    <d v="2026-04-09T00:00:00"/>
    <m/>
    <n v="0"/>
    <n v="0"/>
    <m/>
    <n v="-46087"/>
    <m/>
  </r>
  <r>
    <n v="190"/>
    <m/>
    <s v="W10002"/>
    <s v="FBA198354HLL"/>
    <s v="V-CA"/>
    <x v="3"/>
    <s v="001000020"/>
    <n v="200"/>
    <s v="嘀嗒嘀"/>
    <s v="加拿大海卡"/>
    <s v="YVR4"/>
    <x v="18"/>
    <s v="AN6-W 便携式扩香仪 白色"/>
    <x v="3"/>
    <n v="5"/>
    <n v="68.5"/>
    <s v="重量收费"/>
    <n v="3.3"/>
    <n v="200"/>
    <n v="100"/>
    <n v="326.04999999999995"/>
    <n v="1.6302499999999998"/>
    <n v="0.243320895522388"/>
    <m/>
    <m/>
    <m/>
    <x v="9"/>
    <d v="2026-04-09T00:00:00"/>
    <m/>
    <n v="0"/>
    <n v="0"/>
    <m/>
    <n v="-46087"/>
    <m/>
  </r>
  <r>
    <n v="191"/>
    <m/>
    <s v="W10002"/>
    <s v="FBA198354HLL"/>
    <s v="V-CA"/>
    <x v="3"/>
    <s v="001000021"/>
    <n v="150"/>
    <s v="嘀嗒嘀"/>
    <s v="加拿大海卡"/>
    <s v="YVR4"/>
    <x v="69"/>
    <s v="AN6NZ-B AN6喷嘴配件套装 黑色"/>
    <x v="14"/>
    <n v="0.75"/>
    <n v="10.274999999999999"/>
    <s v="重量收费"/>
    <n v="3.3"/>
    <m/>
    <n v="15"/>
    <n v="48.907499999999992"/>
    <n v="0.32604999999999995"/>
    <n v="4.8664179104477602E-2"/>
    <m/>
    <m/>
    <m/>
    <x v="9"/>
    <d v="2026-04-09T00:00:00"/>
    <m/>
    <n v="0"/>
    <n v="0"/>
    <m/>
    <n v="-46087"/>
    <m/>
  </r>
  <r>
    <n v="192"/>
    <m/>
    <s v="W10002"/>
    <s v="FBA198354HLL"/>
    <s v="V-CA"/>
    <x v="3"/>
    <s v="001000022"/>
    <n v="50"/>
    <s v="嘀嗒嘀"/>
    <s v="加拿大海卡"/>
    <s v="YVR4"/>
    <x v="99"/>
    <s v="AN6NZ-W AN6喷嘴配件套装 白色"/>
    <x v="14"/>
    <n v="0.25"/>
    <n v="3.4249999999999998"/>
    <s v="重量收费"/>
    <n v="3.3"/>
    <m/>
    <n v="5"/>
    <n v="16.302499999999998"/>
    <n v="0.32604999999999995"/>
    <n v="4.8664179104477602E-2"/>
    <m/>
    <m/>
    <m/>
    <x v="9"/>
    <d v="2026-04-09T00:00:00"/>
    <m/>
    <n v="0"/>
    <n v="0"/>
    <m/>
    <n v="-46087"/>
    <m/>
  </r>
  <r>
    <n v="193"/>
    <m/>
    <s v="W10001"/>
    <s v="FBA198F4S73Q"/>
    <s v="V-US"/>
    <x v="0"/>
    <s v="001000019"/>
    <n v="200"/>
    <s v="嘀嗒嘀"/>
    <s v="盐田海卡"/>
    <s v="TCY1"/>
    <x v="17"/>
    <s v="AN6-B 便携式扩香仪 黑色"/>
    <x v="3"/>
    <n v="5"/>
    <n v="73.849999999999994"/>
    <s v="重量收费"/>
    <n v="3.3"/>
    <m/>
    <n v="7.1942446043165464"/>
    <n v="250.89924460431649"/>
    <n v="1.2544962230215824"/>
    <n v="0.1872382422420272"/>
    <m/>
    <m/>
    <m/>
    <x v="9"/>
    <d v="2026-03-28T00:00:00"/>
    <m/>
    <n v="0.36"/>
    <n v="72"/>
    <d v="2026-04-04T00:00:00"/>
    <n v="29"/>
    <d v="2026-04-04T00:00:00"/>
  </r>
  <r>
    <n v="194"/>
    <m/>
    <s v="W10001"/>
    <s v="FBA198F4S73Q"/>
    <s v="V-US"/>
    <x v="0"/>
    <s v="AN6-LV"/>
    <n v="120"/>
    <s v="嘀嗒嘀"/>
    <s v="盐田海卡"/>
    <s v="TCY1"/>
    <x v="68"/>
    <s v="AN6-LV 便携式扩香仪 薰衣草"/>
    <x v="3"/>
    <n v="3"/>
    <n v="44.31"/>
    <s v="重量收费"/>
    <n v="3.3"/>
    <m/>
    <n v="4.3165467625899279"/>
    <n v="150.53954676258994"/>
    <n v="1.2544962230215828"/>
    <n v="0.18723824224202729"/>
    <m/>
    <m/>
    <m/>
    <x v="9"/>
    <d v="2026-03-28T00:00:00"/>
    <m/>
    <n v="0.36"/>
    <n v="43.199999999999996"/>
    <d v="2026-04-04T00:00:00"/>
    <n v="29"/>
    <d v="2026-04-04T00:00:00"/>
  </r>
  <r>
    <n v="195"/>
    <m/>
    <s v="W11003"/>
    <s v="FBA198K79B9C"/>
    <s v="E-US"/>
    <x v="0"/>
    <s v="ANZ-B"/>
    <n v="400"/>
    <s v="嘀嗒嘀"/>
    <s v="美森海卡"/>
    <s v="POC2"/>
    <x v="0"/>
    <s v="ANZ-B 便携式扩香仪 黑色"/>
    <x v="0"/>
    <n v="10"/>
    <n v="136"/>
    <s v="重量收费"/>
    <n v="6.3"/>
    <n v="200"/>
    <n v="40"/>
    <n v="896.8"/>
    <n v="2.242"/>
    <n v="0.33462686567164179"/>
    <m/>
    <m/>
    <m/>
    <x v="10"/>
    <d v="2026-03-29T00:00:00"/>
    <m/>
    <n v="0.36"/>
    <n v="144"/>
    <d v="2026-04-03T00:00:00"/>
    <n v="21"/>
    <d v="2026-04-03T00:00:00"/>
  </r>
  <r>
    <n v="196"/>
    <m/>
    <s v="W11010"/>
    <s v="FBA198K5X4YB"/>
    <s v="E-US"/>
    <x v="0"/>
    <s v="001000051"/>
    <n v="120"/>
    <s v="嘀嗒嘀"/>
    <s v="盐田海卡"/>
    <s v="POC2"/>
    <x v="4"/>
    <s v="ANX-SG 便携式扩香仪 太空灰色"/>
    <x v="1"/>
    <n v="4"/>
    <n v="53"/>
    <s v="重量收费"/>
    <n v="3.1"/>
    <n v="200"/>
    <n v="50"/>
    <n v="214.3"/>
    <n v="1.7858333333333334"/>
    <n v="0.26654228855721396"/>
    <m/>
    <m/>
    <m/>
    <x v="10"/>
    <d v="2026-04-06T00:00:00"/>
    <m/>
    <n v="0.376"/>
    <n v="45.12"/>
    <m/>
    <n v="-46094"/>
    <m/>
  </r>
  <r>
    <n v="197"/>
    <m/>
    <s v="W11010"/>
    <s v="FBA198K5X4YB"/>
    <s v="E-US"/>
    <x v="0"/>
    <s v="ANZ-B"/>
    <n v="480"/>
    <s v="嘀嗒嘀"/>
    <s v="盐田海卡"/>
    <s v="POC2"/>
    <x v="0"/>
    <s v="ANZ-B 便携式扩香仪 黑色"/>
    <x v="0"/>
    <n v="12"/>
    <n v="159"/>
    <s v="重量收费"/>
    <n v="3.1"/>
    <n v="200"/>
    <n v="150"/>
    <n v="642.90000000000009"/>
    <n v="1.3393750000000002"/>
    <n v="0.19990671641791047"/>
    <m/>
    <m/>
    <m/>
    <x v="10"/>
    <d v="2026-04-06T00:00:00"/>
    <m/>
    <n v="0.376"/>
    <n v="180.48"/>
    <m/>
    <n v="-46094"/>
    <m/>
  </r>
  <r>
    <n v="198"/>
    <m/>
    <s v="W11005"/>
    <s v="FBA15LHXTKQ1"/>
    <s v="E-UK"/>
    <x v="2"/>
    <s v="001000039"/>
    <n v="240"/>
    <s v="嘀嗒嘀"/>
    <s v="英国海卡"/>
    <s v="BHX4"/>
    <x v="35"/>
    <s v="AN6-GL 便携式扩香仪 翠百合色"/>
    <x v="3"/>
    <n v="6"/>
    <n v="80.400000000000006"/>
    <s v="重量收费"/>
    <n v="4.0999999999999996"/>
    <n v="550"/>
    <n v="330"/>
    <n v="659.64"/>
    <n v="2.7484999999999999"/>
    <n v="0.41022388059701492"/>
    <m/>
    <m/>
    <m/>
    <x v="10"/>
    <d v="2026-04-26T00:00:00"/>
    <m/>
    <n v="0"/>
    <n v="0"/>
    <m/>
    <n v="-46094"/>
    <m/>
  </r>
  <r>
    <n v="199"/>
    <m/>
    <s v="W11005"/>
    <s v="FBA15LHXTKQ1"/>
    <s v="E-UK"/>
    <x v="2"/>
    <s v="001000040"/>
    <n v="80"/>
    <s v="嘀嗒嘀"/>
    <s v="英国海卡"/>
    <s v="BHX4"/>
    <x v="100"/>
    <s v="AN6-LB 便携式扩香仪 浅钢蓝色"/>
    <x v="3"/>
    <n v="2"/>
    <n v="26.8"/>
    <s v="重量收费"/>
    <n v="4.0999999999999996"/>
    <n v="550"/>
    <n v="110"/>
    <n v="219.88"/>
    <n v="2.7484999999999999"/>
    <n v="0.41022388059701492"/>
    <m/>
    <m/>
    <m/>
    <x v="10"/>
    <d v="2026-04-26T00:00:00"/>
    <m/>
    <n v="0"/>
    <n v="0"/>
    <m/>
    <n v="-46094"/>
    <m/>
  </r>
  <r>
    <n v="200"/>
    <m/>
    <s v="W11005"/>
    <s v="FBA15LHXTKQ1"/>
    <s v="E-UK"/>
    <x v="2"/>
    <s v="001000051"/>
    <n v="60"/>
    <s v="嘀嗒嘀"/>
    <s v="英国海卡"/>
    <s v="BHX4"/>
    <x v="4"/>
    <s v="ANX-SG 便携式扩香仪 太空灰色"/>
    <x v="1"/>
    <n v="2"/>
    <n v="26.8"/>
    <s v="重量收费"/>
    <n v="4.0999999999999996"/>
    <m/>
    <n v="110"/>
    <n v="219.88"/>
    <n v="3.6646666666666667"/>
    <n v="0.54696517412935319"/>
    <m/>
    <m/>
    <m/>
    <x v="10"/>
    <d v="2026-04-26T00:00:00"/>
    <m/>
    <n v="0"/>
    <n v="0"/>
    <m/>
    <n v="-46094"/>
    <m/>
  </r>
  <r>
    <n v="201"/>
    <m/>
    <s v="W11006"/>
    <s v="FBA15LJ7LFCF"/>
    <s v="W-DE"/>
    <x v="1"/>
    <s v="001000039"/>
    <n v="240"/>
    <s v="万邦"/>
    <s v="欧洲海卡"/>
    <s v="BER8"/>
    <x v="35"/>
    <s v="AN6-GL 便携式扩香仪 翠百合色"/>
    <x v="3"/>
    <n v="6"/>
    <n v="81.599999999999994"/>
    <s v="重量收费"/>
    <n v="6.7"/>
    <n v="250"/>
    <n v="150"/>
    <n v="696.72"/>
    <n v="2.903"/>
    <n v="0.43328358208955225"/>
    <m/>
    <m/>
    <m/>
    <x v="11"/>
    <d v="2026-04-18T00:00:00"/>
    <m/>
    <n v="0"/>
    <n v="0"/>
    <m/>
    <n v="-46095"/>
    <m/>
  </r>
  <r>
    <n v="202"/>
    <m/>
    <s v="W11006"/>
    <s v="FBA15LJ7LFCF"/>
    <s v="W-DE"/>
    <x v="1"/>
    <s v="001000020"/>
    <n v="160"/>
    <s v="万邦"/>
    <s v="欧洲海卡"/>
    <s v="BER8"/>
    <x v="18"/>
    <s v="AN6-W 便携式扩香仪 白色"/>
    <x v="3"/>
    <n v="4"/>
    <n v="54.4"/>
    <s v="重量收费"/>
    <n v="6.7"/>
    <n v="250"/>
    <n v="100"/>
    <n v="464.48"/>
    <n v="2.903"/>
    <n v="0.43328358208955225"/>
    <m/>
    <m/>
    <m/>
    <x v="11"/>
    <d v="2026-04-18T00:00:00"/>
    <m/>
    <n v="0"/>
    <n v="0"/>
    <m/>
    <n v="-46095"/>
    <m/>
  </r>
  <r>
    <n v="203"/>
    <m/>
    <s v="W11011"/>
    <s v="FBA198R5WZBL"/>
    <s v="V-US"/>
    <x v="0"/>
    <s v="AN8KIT-B_4X10K01"/>
    <n v="510"/>
    <s v="德速物流"/>
    <s v="盐田海卡"/>
    <s v="POC3"/>
    <x v="10"/>
    <s v="AN8KIT-B_4X10K01 AN8黑色机器+4x10mL酒店香氛油 机油套装"/>
    <x v="4"/>
    <n v="17"/>
    <n v="275"/>
    <s v="重量收费"/>
    <n v="3.5"/>
    <n v="200"/>
    <n v="200"/>
    <n v="1162.5"/>
    <n v="2.2794117647058822"/>
    <n v="0.34021071115013168"/>
    <m/>
    <m/>
    <m/>
    <x v="11"/>
    <d v="2026-04-04T00:00:00"/>
    <m/>
    <n v="0.44"/>
    <n v="224.4"/>
    <m/>
    <n v="-46095"/>
    <m/>
  </r>
  <r>
    <n v="204"/>
    <m/>
    <s v="W11004"/>
    <s v="FBA198R5V676"/>
    <s v="V-US"/>
    <x v="0"/>
    <s v="AN8KIT-B_4X10K01"/>
    <n v="1800"/>
    <s v="万邦"/>
    <s v="以星海卡"/>
    <s v="POC3"/>
    <x v="10"/>
    <s v="AN8KIT-B_4X10K01 AN8黑色机器+4x10mL酒店香氛油 机油套装"/>
    <x v="4"/>
    <n v="60"/>
    <n v="968.99999999999989"/>
    <s v="重量收费"/>
    <n v="4.2"/>
    <n v="200"/>
    <n v="200"/>
    <n v="4269.7999999999993"/>
    <n v="2.3721111111111108"/>
    <n v="0.35404643449419565"/>
    <m/>
    <m/>
    <m/>
    <x v="11"/>
    <d v="2026-04-02T00:00:00"/>
    <m/>
    <n v="0.44"/>
    <n v="792"/>
    <m/>
    <n v="-46095"/>
    <m/>
  </r>
  <r>
    <n v="205"/>
    <m/>
    <s v="W11012"/>
    <s v="FBA198KBXJ4X"/>
    <s v="V-US"/>
    <x v="0"/>
    <s v="001000019"/>
    <n v="1400"/>
    <s v="万邦"/>
    <s v="盐田海卡"/>
    <s v="HLI2"/>
    <x v="17"/>
    <s v="AN6-B 便携式扩香仪 黑色"/>
    <x v="3"/>
    <n v="35"/>
    <n v="535.15"/>
    <s v="重量收费"/>
    <n v="3.5"/>
    <n v="200"/>
    <n v="41.420118343195263"/>
    <n v="1914.4451183431952"/>
    <n v="1.3674607988165679"/>
    <n v="0.20409862668903997"/>
    <m/>
    <m/>
    <m/>
    <x v="11"/>
    <d v="2026-04-04T00:00:00"/>
    <m/>
    <n v="0.36533333333333334"/>
    <n v="511.4666666666667"/>
    <d v="2026-04-10T00:00:00"/>
    <n v="27"/>
    <d v="2026-04-10T00:00:00"/>
  </r>
  <r>
    <n v="206"/>
    <m/>
    <s v="W11012"/>
    <s v="FBA198KBXJ4X"/>
    <s v="V-US"/>
    <x v="0"/>
    <s v="AN6-LV"/>
    <n v="120"/>
    <s v="万邦"/>
    <s v="盐田海卡"/>
    <s v="HLI2"/>
    <x v="68"/>
    <s v="AN6-LV 便携式扩香仪 薰衣草"/>
    <x v="3"/>
    <n v="3"/>
    <n v="45.870000000000005"/>
    <s v="重量收费"/>
    <n v="3.5"/>
    <n v="200"/>
    <n v="3.5502958579881656"/>
    <n v="164.09529585798819"/>
    <n v="1.3674607988165683"/>
    <n v="0.20409862668904005"/>
    <m/>
    <m/>
    <m/>
    <x v="11"/>
    <d v="2026-04-04T00:00:00"/>
    <m/>
    <n v="0.36533333333333334"/>
    <n v="43.84"/>
    <d v="2026-04-10T00:00:00"/>
    <n v="27"/>
    <d v="2026-04-10T00:00:00"/>
  </r>
  <r>
    <n v="207"/>
    <m/>
    <s v="W11012"/>
    <s v="FBA198KBXJ4X"/>
    <s v="V-US"/>
    <x v="0"/>
    <s v="001000020"/>
    <n v="600"/>
    <s v="万邦"/>
    <s v="盐田海卡"/>
    <s v="HLI2"/>
    <x v="18"/>
    <s v="AN6-W 便携式扩香仪 白色"/>
    <x v="3"/>
    <n v="15"/>
    <n v="229.35000000000002"/>
    <s v="重量收费"/>
    <n v="3.5"/>
    <m/>
    <n v="17.751479289940828"/>
    <n v="820.47647928994093"/>
    <n v="1.3674607988165681"/>
    <n v="0.20409862668904002"/>
    <m/>
    <m/>
    <m/>
    <x v="11"/>
    <d v="2026-04-04T00:00:00"/>
    <m/>
    <n v="0.36533333333333334"/>
    <n v="219.20000000000002"/>
    <d v="2026-04-10T00:00:00"/>
    <n v="27"/>
    <d v="2026-04-10T00:00:00"/>
  </r>
  <r>
    <n v="208"/>
    <m/>
    <s v="W11012"/>
    <s v="FBA198KBXJ4X"/>
    <s v="V-US"/>
    <x v="0"/>
    <s v="AN6-YG"/>
    <n v="200"/>
    <s v="万邦"/>
    <s v="盐田海卡"/>
    <s v="HLI2"/>
    <x v="19"/>
    <s v="AN6-YG 便携式扩香仪 乳酪色"/>
    <x v="3"/>
    <n v="5"/>
    <n v="76.45"/>
    <s v="重量收费"/>
    <n v="3.5"/>
    <m/>
    <n v="5.9171597633136095"/>
    <n v="273.49215976331362"/>
    <n v="1.3674607988165681"/>
    <n v="0.20409862668904002"/>
    <m/>
    <m/>
    <m/>
    <x v="11"/>
    <d v="2026-04-04T00:00:00"/>
    <m/>
    <n v="0.36533333333333334"/>
    <n v="73.066666666666663"/>
    <d v="2026-04-10T00:00:00"/>
    <n v="27"/>
    <d v="2026-04-10T00:00:00"/>
  </r>
  <r>
    <n v="209"/>
    <m/>
    <s v="W11012"/>
    <s v="FBA198KBXJ4X"/>
    <s v="V-US"/>
    <x v="0"/>
    <s v="RD1-B"/>
    <n v="180"/>
    <s v="万邦"/>
    <s v="盐田海卡"/>
    <s v="HLI2"/>
    <x v="101"/>
    <s v="RD1-B 便携式扩香仪 黑色"/>
    <x v="23"/>
    <n v="6"/>
    <n v="91.740000000000009"/>
    <s v="重量收费"/>
    <n v="3.5"/>
    <m/>
    <n v="7.1005917159763312"/>
    <n v="328.19059171597638"/>
    <n v="1.8232810650887576"/>
    <n v="0.27213150225205335"/>
    <m/>
    <m/>
    <m/>
    <x v="11"/>
    <d v="2026-04-04T00:00:00"/>
    <m/>
    <n v="0.36533333333333334"/>
    <n v="65.760000000000005"/>
    <d v="2026-04-10T00:00:00"/>
    <n v="27"/>
    <d v="2026-04-10T00:00:00"/>
  </r>
  <r>
    <n v="210"/>
    <m/>
    <s v="W11012"/>
    <s v="FBA198KBXJ4X"/>
    <s v="V-US"/>
    <x v="0"/>
    <s v="001000021"/>
    <n v="200"/>
    <s v="万邦"/>
    <s v="盐田海卡"/>
    <s v="HLI2"/>
    <x v="69"/>
    <s v="AN6NZ-B AN6喷嘴配件套装 黑色"/>
    <x v="14"/>
    <n v="1"/>
    <n v="15.290000000000001"/>
    <s v="重量收费"/>
    <n v="3.5"/>
    <m/>
    <n v="1.1834319526627219"/>
    <n v="54.698431952662723"/>
    <n v="0.27349215976331359"/>
    <n v="4.0819725337807998E-2"/>
    <m/>
    <m/>
    <m/>
    <x v="11"/>
    <d v="2026-04-04T00:00:00"/>
    <m/>
    <n v="0.36533333333333334"/>
    <n v="73.066666666666663"/>
    <d v="2026-04-10T00:00:00"/>
    <n v="27"/>
    <d v="2026-04-10T00:00:00"/>
  </r>
  <r>
    <n v="211"/>
    <m/>
    <s v="W11012"/>
    <s v="FBA198KC8HBQ"/>
    <s v="V-US"/>
    <x v="0"/>
    <s v="AN6KIT-B_4X10ML"/>
    <n v="390"/>
    <s v="万邦"/>
    <s v="盐田海卡"/>
    <s v="HLI2"/>
    <x v="7"/>
    <s v="AN6KIT-B_4X10ML AN6黑色机器+4x10mL香氛油（天竺） 机油套装"/>
    <x v="3"/>
    <n v="13"/>
    <n v="198.76875000000001"/>
    <s v="重量收费"/>
    <n v="3.5"/>
    <m/>
    <n v="15.384615384615385"/>
    <n v="711.07524038461543"/>
    <n v="1.8232698471400395"/>
    <n v="0.27212982793134916"/>
    <m/>
    <m/>
    <m/>
    <x v="11"/>
    <d v="2026-04-04T00:00:00"/>
    <m/>
    <n v="0.44"/>
    <n v="171.6"/>
    <d v="2026-04-10T00:00:00"/>
    <n v="27"/>
    <d v="2026-04-10T00:00:00"/>
  </r>
  <r>
    <n v="212"/>
    <m/>
    <s v="W11012"/>
    <s v="FBA198KC8HBQ"/>
    <s v="V-US"/>
    <x v="0"/>
    <s v="AN6KIT-WH_4X10K04_TZ"/>
    <n v="120"/>
    <s v="万邦"/>
    <s v="盐田海卡"/>
    <s v="HLI2"/>
    <x v="75"/>
    <s v="AN6KIT-WH_4X10K04_TZ AN6白色机器+4x10mL酒店（天竺）香氛油 机油套装"/>
    <x v="3"/>
    <n v="4"/>
    <n v="61.159615384615385"/>
    <s v="重量收费"/>
    <n v="3.5"/>
    <m/>
    <n v="4.7337278106508878"/>
    <n v="218.79238165680474"/>
    <n v="1.8232698471400395"/>
    <n v="0.27212982793134916"/>
    <m/>
    <m/>
    <m/>
    <x v="11"/>
    <d v="2026-04-04T00:00:00"/>
    <m/>
    <n v="0.44"/>
    <n v="52.8"/>
    <d v="2026-04-10T00:00:00"/>
    <n v="27"/>
    <d v="2026-04-10T00:00:00"/>
  </r>
  <r>
    <n v="213"/>
    <m/>
    <s v="W11012"/>
    <s v="FBA198KC8HBQ"/>
    <s v="V-US"/>
    <x v="0"/>
    <s v="AN8KIT-B_4X10K01"/>
    <n v="2100"/>
    <s v="万邦"/>
    <s v="盐田海卡"/>
    <s v="HLI2"/>
    <x v="10"/>
    <s v="AN8KIT-B_4X10K01 AN8黑色机器+4x10mL酒店香氛油 机油套装"/>
    <x v="4"/>
    <n v="70"/>
    <n v="1070.2932692307693"/>
    <s v="重量收费"/>
    <n v="3.5"/>
    <m/>
    <n v="82.840236686390526"/>
    <n v="3828.866678994083"/>
    <n v="1.8232698471400395"/>
    <n v="0.27212982793134916"/>
    <m/>
    <m/>
    <m/>
    <x v="11"/>
    <d v="2026-04-04T00:00:00"/>
    <m/>
    <n v="0.44"/>
    <n v="924"/>
    <d v="2026-04-10T00:00:00"/>
    <n v="27"/>
    <d v="2026-04-10T00:00:00"/>
  </r>
  <r>
    <n v="214"/>
    <m/>
    <s v="W11012"/>
    <s v="FBA198KC8HBQ"/>
    <s v="V-US"/>
    <x v="0"/>
    <s v="AN8KIT-WH_4X10K01"/>
    <n v="510"/>
    <s v="万邦"/>
    <s v="盐田海卡"/>
    <s v="HLI2"/>
    <x v="12"/>
    <s v="AN8KIT-WH_4X10K01 AN8白色机器+4x10mL酒店香氛油 机油套装"/>
    <x v="4"/>
    <n v="17"/>
    <n v="259.9283653846154"/>
    <s v="重量收费"/>
    <n v="3.5"/>
    <m/>
    <n v="20.118343195266274"/>
    <n v="929.86762204142008"/>
    <n v="1.8232698471400393"/>
    <n v="0.27212982793134916"/>
    <m/>
    <m/>
    <m/>
    <x v="11"/>
    <d v="2026-04-04T00:00:00"/>
    <m/>
    <n v="0.44"/>
    <n v="224.4"/>
    <d v="2026-04-10T00:00:00"/>
    <n v="27"/>
    <d v="2026-04-10T00:00:00"/>
  </r>
  <r>
    <n v="215"/>
    <m/>
    <s v="W11003"/>
    <s v="FBA198K8QZC5"/>
    <s v="V-US"/>
    <x v="0"/>
    <s v="001000019"/>
    <n v="400"/>
    <s v="嘀嗒嘀"/>
    <s v="美森海卡"/>
    <s v="TCY2"/>
    <x v="17"/>
    <s v="AN6-B 便携式扩香仪 黑色"/>
    <x v="3"/>
    <n v="10"/>
    <n v="155"/>
    <s v="重量收费"/>
    <n v="7.7"/>
    <n v="200"/>
    <n v="40"/>
    <n v="1233.5"/>
    <n v="3.0837500000000002"/>
    <n v="0.46026119402985077"/>
    <m/>
    <m/>
    <m/>
    <x v="10"/>
    <d v="2026-03-29T00:00:00"/>
    <m/>
    <n v="0.41538461538461541"/>
    <n v="166.15384615384616"/>
    <d v="2026-04-03T00:00:00"/>
    <n v="21"/>
    <d v="2026-04-03T00:00:00"/>
  </r>
  <r>
    <n v="216"/>
    <m/>
    <s v="W11003"/>
    <s v="FBA198K8QZC5"/>
    <s v="V-US"/>
    <x v="0"/>
    <s v="AN8KIT-B_4X10K01"/>
    <n v="900"/>
    <s v="嘀嗒嘀"/>
    <s v="美森海卡"/>
    <s v="TCY2"/>
    <x v="10"/>
    <s v="AN8KIT-B_4X10K01 AN8黑色机器+4x10mL酒店香氛油 机油套装"/>
    <x v="4"/>
    <n v="30"/>
    <n v="465"/>
    <s v="重量收费"/>
    <n v="7.7"/>
    <n v="200"/>
    <n v="120"/>
    <n v="3700.5"/>
    <n v="4.1116666666666664"/>
    <n v="0.61368159203980088"/>
    <m/>
    <m/>
    <m/>
    <x v="10"/>
    <d v="2026-03-29T00:00:00"/>
    <m/>
    <n v="0.41538461538461541"/>
    <n v="373.84615384615387"/>
    <d v="2026-04-03T00:00:00"/>
    <n v="21"/>
    <d v="2026-04-03T00:00:00"/>
  </r>
  <r>
    <n v="217"/>
    <m/>
    <s v="W11008"/>
    <s v="FBA198KFN9NS"/>
    <s v="V-CA"/>
    <x v="3"/>
    <s v="001000033"/>
    <n v="72"/>
    <s v="国润通"/>
    <s v="加拿大海卡"/>
    <s v="YVR4"/>
    <x v="41"/>
    <s v="ANW-W 智能扩香仪 白色"/>
    <x v="10"/>
    <n v="6"/>
    <n v="86"/>
    <s v="重量收费"/>
    <n v="6.5"/>
    <n v="350"/>
    <n v="350"/>
    <n v="909"/>
    <n v="12.625"/>
    <n v="1.8843283582089552"/>
    <m/>
    <m/>
    <m/>
    <x v="10"/>
    <d v="2026-04-13T00:00:00"/>
    <m/>
    <n v="0"/>
    <n v="0"/>
    <m/>
    <n v="-46094"/>
    <m/>
  </r>
  <r>
    <n v="218"/>
    <m/>
    <s v="W11007"/>
    <s v="FBA198K9RVMY"/>
    <s v="V-US"/>
    <x v="0"/>
    <s v="001000033"/>
    <n v="480"/>
    <s v="国润通"/>
    <s v="盐田海卡"/>
    <s v="POC1"/>
    <x v="41"/>
    <s v="ANW-W 智能扩香仪 白色"/>
    <x v="10"/>
    <n v="40"/>
    <n v="572"/>
    <s v="重量收费"/>
    <n v="3.2"/>
    <n v="350"/>
    <n v="350"/>
    <n v="2180.4"/>
    <n v="4.5425000000000004"/>
    <n v="0.67798507462686575"/>
    <m/>
    <m/>
    <m/>
    <x v="10"/>
    <d v="2026-04-04T00:00:00"/>
    <m/>
    <n v="0.56000000000000005"/>
    <n v="268.8"/>
    <d v="2026-04-10T00:00:00"/>
    <n v="28"/>
    <d v="2026-04-10T00:00:00"/>
  </r>
  <r>
    <n v="219"/>
    <m/>
    <s v="W11001"/>
    <s v="FBA198LLVD5S"/>
    <s v="E-US"/>
    <x v="0"/>
    <s v="HOTEL6KIT1-6X10K01"/>
    <n v="684"/>
    <s v="天盛"/>
    <s v="盐田海卡"/>
    <s v="QXY8"/>
    <x v="45"/>
    <s v="HOTEL6KIT1-6X10K01 酒店香氛油6款10mL套装"/>
    <x v="11"/>
    <n v="9"/>
    <n v="0.46800000000000003"/>
    <s v="CBM收费"/>
    <n v="1380"/>
    <n v="180"/>
    <n v="77.142857142857139"/>
    <n v="722.98285714285714"/>
    <n v="1.0569924812030076"/>
    <n v="0.15776007182134441"/>
    <m/>
    <m/>
    <m/>
    <x v="10"/>
    <d v="2026-04-04T00:00:00"/>
    <m/>
    <n v="0.36"/>
    <n v="246.23999999999998"/>
    <m/>
    <n v="-46094"/>
    <m/>
  </r>
  <r>
    <n v="220"/>
    <m/>
    <s v="W11001"/>
    <s v="FBA198LLVD5S"/>
    <s v="E-US"/>
    <x v="0"/>
    <s v="MWAY1-100ML"/>
    <n v="90"/>
    <s v="天盛"/>
    <s v="盐田海卡"/>
    <s v="QXY8"/>
    <x v="50"/>
    <s v="A-MWAY Deluxe-100 特定香型香氛油100mL"/>
    <x v="11"/>
    <n v="1"/>
    <n v="5.2000000000000005E-2"/>
    <s v="CBM收费"/>
    <n v="1380"/>
    <n v="180"/>
    <n v="8.5714285714285712"/>
    <n v="80.331428571428575"/>
    <n v="0.89257142857142857"/>
    <n v="0.13321961620469083"/>
    <m/>
    <m/>
    <m/>
    <x v="10"/>
    <d v="2026-04-04T00:00:00"/>
    <m/>
    <n v="0.36"/>
    <n v="32.4"/>
    <m/>
    <n v="-46094"/>
    <m/>
  </r>
  <r>
    <n v="221"/>
    <m/>
    <s v="W11001"/>
    <s v="FBA198LLBYQJ"/>
    <s v="V-US"/>
    <x v="0"/>
    <s v="006000024"/>
    <n v="540"/>
    <s v="天盛"/>
    <s v="盐田海卡"/>
    <s v="QXY8"/>
    <x v="46"/>
    <s v="A-Ritz Carlton Hotel 3-100 丽思卡尔顿酒店3香氛油100mL"/>
    <x v="11"/>
    <n v="6"/>
    <n v="0.31636363636363635"/>
    <s v="CBM收费"/>
    <n v="1380"/>
    <m/>
    <n v="51.428571428571431"/>
    <n v="488.01038961038961"/>
    <n v="0.90372294372294371"/>
    <n v="0.13488402145118564"/>
    <m/>
    <m/>
    <m/>
    <x v="10"/>
    <d v="2026-04-04T00:00:00"/>
    <m/>
    <n v="0.3725"/>
    <n v="201.15"/>
    <m/>
    <n v="-46094"/>
    <m/>
  </r>
  <r>
    <n v="222"/>
    <m/>
    <s v="W11001"/>
    <s v="FBA198LLBYQJ"/>
    <s v="V-US"/>
    <x v="0"/>
    <s v="RZ-500ML"/>
    <n v="100"/>
    <s v="天盛"/>
    <s v="盐田海卡"/>
    <s v="QXY8"/>
    <x v="60"/>
    <s v="RZ-500ML 丽思卡尔顿酒店3香氛油500mL"/>
    <x v="11"/>
    <n v="5"/>
    <n v="0.26363636363636361"/>
    <s v="CBM收费"/>
    <n v="1380"/>
    <m/>
    <n v="42.857142857142854"/>
    <n v="406.67532467532465"/>
    <n v="4.0667532467532466"/>
    <n v="0.6069780965303353"/>
    <m/>
    <m/>
    <m/>
    <x v="10"/>
    <d v="2026-04-04T00:00:00"/>
    <m/>
    <n v="0.3725"/>
    <n v="37.25"/>
    <m/>
    <n v="-46094"/>
    <m/>
  </r>
  <r>
    <n v="223"/>
    <m/>
    <s v="W11002"/>
    <s v="FBA198LK2T65"/>
    <s v="E-US"/>
    <x v="0"/>
    <s v="SJ1-100ML_TZ"/>
    <n v="192"/>
    <s v="天盛"/>
    <s v="盐田海卡"/>
    <s v="QXY8"/>
    <x v="23"/>
    <s v="SJ1-100ML_TZ 四季酒店100mL香氛油（天竺） 销售包装"/>
    <x v="6"/>
    <n v="3"/>
    <n v="0.125"/>
    <s v="CBM收费"/>
    <n v="1380"/>
    <n v="180"/>
    <n v="20.76923076923077"/>
    <n v="193.26923076923077"/>
    <n v="1.0066105769230769"/>
    <n v="0.15024038461538461"/>
    <m/>
    <m/>
    <m/>
    <x v="10"/>
    <d v="2026-04-04T00:00:00"/>
    <m/>
    <n v="0.36000000000000004"/>
    <n v="69.12"/>
    <m/>
    <n v="-46094"/>
    <m/>
  </r>
  <r>
    <n v="224"/>
    <m/>
    <s v="W11002"/>
    <s v="FBA198LK2T65"/>
    <s v="E-US"/>
    <x v="0"/>
    <s v="TX331_100ML"/>
    <n v="128"/>
    <s v="天盛"/>
    <s v="盐田海卡"/>
    <s v="QXY8"/>
    <x v="102"/>
    <s v="TX331_100ML 檀香33号100mL香氛油（天竺） 销售包装"/>
    <x v="6"/>
    <n v="2"/>
    <n v="8.3333333333333329E-2"/>
    <s v="CBM收费"/>
    <n v="1380"/>
    <n v="180"/>
    <n v="13.846153846153847"/>
    <n v="128.84615384615384"/>
    <n v="1.0066105769230769"/>
    <n v="0.15024038461538461"/>
    <m/>
    <m/>
    <m/>
    <x v="10"/>
    <d v="2026-04-04T00:00:00"/>
    <m/>
    <n v="0.36000000000000004"/>
    <n v="46.080000000000005"/>
    <m/>
    <n v="-46094"/>
    <m/>
  </r>
  <r>
    <n v="225"/>
    <m/>
    <s v="W11002"/>
    <s v="FBA198LK2T65"/>
    <s v="E-US"/>
    <x v="0"/>
    <s v="W1-100ML_TZ"/>
    <n v="384"/>
    <s v="天盛"/>
    <s v="盐田海卡"/>
    <s v="QXY8"/>
    <x v="24"/>
    <s v="W1-100ML_TZ W酒店100mL香氛油（天竺） 销售包装"/>
    <x v="6"/>
    <n v="6"/>
    <n v="0.25"/>
    <s v="CBM收费"/>
    <n v="1380"/>
    <m/>
    <n v="41.53846153846154"/>
    <n v="386.53846153846155"/>
    <n v="1.0066105769230769"/>
    <n v="0.15024038461538461"/>
    <m/>
    <m/>
    <m/>
    <x v="10"/>
    <d v="2026-04-04T00:00:00"/>
    <m/>
    <n v="0.36000000000000004"/>
    <n v="138.24"/>
    <m/>
    <n v="-46094"/>
    <m/>
  </r>
  <r>
    <n v="226"/>
    <m/>
    <s v="W11002"/>
    <s v="FBA198LK2T65"/>
    <s v="E-US"/>
    <x v="0"/>
    <s v="WST1-100ML_TZ"/>
    <n v="256"/>
    <s v="天盛"/>
    <s v="盐田海卡"/>
    <s v="QXY8"/>
    <x v="90"/>
    <s v="WST1-100ML_TZ 威斯汀酒店白茶100mL香氛油（天竺） 销售包装"/>
    <x v="6"/>
    <n v="4"/>
    <n v="0.16666666666666666"/>
    <s v="CBM收费"/>
    <n v="1380"/>
    <m/>
    <n v="27.692307692307693"/>
    <n v="257.69230769230768"/>
    <n v="1.0066105769230769"/>
    <n v="0.15024038461538461"/>
    <m/>
    <m/>
    <m/>
    <x v="10"/>
    <d v="2026-04-04T00:00:00"/>
    <m/>
    <n v="0.36000000000000004"/>
    <n v="92.160000000000011"/>
    <m/>
    <n v="-46094"/>
    <m/>
  </r>
  <r>
    <n v="227"/>
    <m/>
    <s v="W11002"/>
    <s v="FBA198LK2T65"/>
    <s v="E-US"/>
    <x v="0"/>
    <s v="HILTON1-100ML_TZ"/>
    <n v="384"/>
    <s v="天盛"/>
    <s v="盐田海卡"/>
    <s v="QXY8"/>
    <x v="61"/>
    <s v="HILTON1-100ML_TZ 希尔顿酒店100mL香氛油（天竺） 销售包装"/>
    <x v="6"/>
    <n v="6"/>
    <n v="0.25"/>
    <s v="CBM收费"/>
    <n v="1380"/>
    <m/>
    <n v="41.53846153846154"/>
    <n v="386.53846153846155"/>
    <n v="1.0066105769230769"/>
    <n v="0.15024038461538461"/>
    <m/>
    <m/>
    <m/>
    <x v="10"/>
    <d v="2026-04-04T00:00:00"/>
    <m/>
    <n v="0.36000000000000004"/>
    <n v="138.24"/>
    <m/>
    <n v="-46094"/>
    <m/>
  </r>
  <r>
    <n v="228"/>
    <m/>
    <s v="W11002"/>
    <s v="FBA198LK2T65"/>
    <s v="E-US"/>
    <x v="0"/>
    <s v="YZTT1_100ML"/>
    <n v="128"/>
    <s v="天盛"/>
    <s v="盐田海卡"/>
    <s v="QXY8"/>
    <x v="103"/>
    <s v="YZTT1_100ML 柚子天堂100mL香氛油（天竺） 销售包装"/>
    <x v="6"/>
    <n v="2"/>
    <n v="8.3333333333333329E-2"/>
    <s v="CBM收费"/>
    <n v="1380"/>
    <m/>
    <n v="13.846153846153847"/>
    <n v="128.84615384615384"/>
    <n v="1.0066105769230769"/>
    <n v="0.15024038461538461"/>
    <m/>
    <m/>
    <m/>
    <x v="10"/>
    <d v="2026-04-04T00:00:00"/>
    <m/>
    <n v="0.36000000000000004"/>
    <n v="46.080000000000005"/>
    <m/>
    <n v="-46094"/>
    <m/>
  </r>
  <r>
    <n v="229"/>
    <m/>
    <s v="W11002"/>
    <s v="FBA198LK2T65"/>
    <s v="E-US"/>
    <x v="0"/>
    <s v="TXY1_100ML"/>
    <n v="64"/>
    <s v="天盛"/>
    <s v="盐田海卡"/>
    <s v="QXY8"/>
    <x v="104"/>
    <s v="TXY1_100ML 桃星云100mL香氛油（天竺） 销售包装"/>
    <x v="6"/>
    <n v="1"/>
    <n v="4.1666666666666664E-2"/>
    <s v="CBM收费"/>
    <n v="1380"/>
    <m/>
    <n v="6.9230769230769234"/>
    <n v="64.42307692307692"/>
    <n v="1.0066105769230769"/>
    <n v="0.15024038461538461"/>
    <m/>
    <m/>
    <m/>
    <x v="10"/>
    <d v="2026-04-04T00:00:00"/>
    <m/>
    <n v="0.36000000000000004"/>
    <n v="23.040000000000003"/>
    <m/>
    <n v="-46094"/>
    <m/>
  </r>
  <r>
    <n v="230"/>
    <s v="托书上要备注跟FBA198LK2T65 合并报关"/>
    <s v="W11002"/>
    <s v="FBA198LHZYBC"/>
    <s v="K-US"/>
    <x v="0"/>
    <s v="ATS1_100ML_TZ"/>
    <n v="128"/>
    <s v="天盛"/>
    <s v="盐田海卡"/>
    <s v="GEU3"/>
    <x v="105"/>
    <s v="ATS1_100ML_TZ 亚特兰蒂斯酒店100mL香氛油（天竺） 销售包装"/>
    <x v="6"/>
    <n v="2"/>
    <n v="30"/>
    <s v="重量收费"/>
    <n v="6.3"/>
    <m/>
    <n v="13.846153846153847"/>
    <n v="202.84615384615384"/>
    <n v="1.5847355769230769"/>
    <n v="0.23652769804822044"/>
    <m/>
    <m/>
    <m/>
    <x v="10"/>
    <d v="2026-04-04T00:00:00"/>
    <m/>
    <n v="0.36"/>
    <n v="46.08"/>
    <m/>
    <n v="-46094"/>
    <m/>
  </r>
  <r>
    <n v="231"/>
    <m/>
    <s v="W11009"/>
    <s v="FBA198PY9806"/>
    <s v="A-CA"/>
    <x v="3"/>
    <s v="002000001"/>
    <n v="600"/>
    <s v="万邦"/>
    <s v="加拿大海卡"/>
    <s v="YOW3"/>
    <x v="106"/>
    <s v="K1-B 电子球形把手锁-黑色"/>
    <x v="24"/>
    <n v="50"/>
    <n v="676.71232876712338"/>
    <s v="重量收费"/>
    <n v="6"/>
    <n v="250"/>
    <n v="171.23287671232876"/>
    <n v="4231.5068493150693"/>
    <n v="7.0525114155251156"/>
    <n v="1.0526136441082261"/>
    <m/>
    <m/>
    <m/>
    <x v="10"/>
    <d v="2026-04-14T00:00:00"/>
    <m/>
    <n v="0"/>
    <n v="0"/>
    <m/>
    <n v="-46094"/>
    <m/>
  </r>
  <r>
    <n v="232"/>
    <m/>
    <s v="W11009"/>
    <s v="FBA198PY9806"/>
    <s v="A-CA"/>
    <x v="3"/>
    <s v="002000007"/>
    <n v="72"/>
    <s v="万邦"/>
    <s v="加拿大海卡"/>
    <s v="YOW3"/>
    <x v="107"/>
    <s v="K1-S+S 电子球形把手锁-镍镍"/>
    <x v="24"/>
    <n v="6"/>
    <n v="81.205479452054803"/>
    <s v="重量收费"/>
    <n v="6"/>
    <n v="250"/>
    <n v="20.547945205479451"/>
    <n v="507.78082191780823"/>
    <n v="7.0525114155251138"/>
    <n v="1.0526136441082259"/>
    <m/>
    <m/>
    <m/>
    <x v="10"/>
    <d v="2026-04-14T00:00:00"/>
    <m/>
    <n v="0"/>
    <n v="0"/>
    <m/>
    <n v="-46094"/>
    <m/>
  </r>
  <r>
    <n v="233"/>
    <m/>
    <s v="W11009"/>
    <s v="FBA198PY9806"/>
    <s v="A-CA"/>
    <x v="3"/>
    <s v="002000008"/>
    <n v="204"/>
    <s v="万邦"/>
    <s v="加拿大海卡"/>
    <s v="YOW3"/>
    <x v="108"/>
    <s v="K1-SILV 电子球形把手锁-银镍"/>
    <x v="24"/>
    <n v="17"/>
    <n v="230.08219178082194"/>
    <s v="重量收费"/>
    <n v="6"/>
    <m/>
    <n v="58.219178082191782"/>
    <n v="1438.7123287671234"/>
    <n v="7.0525114155251147"/>
    <n v="1.0526136441082261"/>
    <m/>
    <m/>
    <m/>
    <x v="10"/>
    <d v="2026-04-14T00:00:00"/>
    <m/>
    <n v="0"/>
    <n v="0"/>
    <m/>
    <n v="-46094"/>
    <m/>
  </r>
  <r>
    <n v="234"/>
    <m/>
    <s v="W12005"/>
    <s v="FBA198VX409J"/>
    <s v="E-US"/>
    <x v="0"/>
    <s v="ANZ-B"/>
    <n v="600"/>
    <s v="天盛"/>
    <s v="美森海卡"/>
    <s v="POC2"/>
    <x v="0"/>
    <s v="ANZ-B 便携式扩香仪 黑色"/>
    <x v="0"/>
    <n v="15"/>
    <n v="2.02"/>
    <s v="CBM收费"/>
    <n v="2030"/>
    <n v="180"/>
    <n v="69.230769230769226"/>
    <n v="4169.8307692307699"/>
    <n v="6.9497179487179501"/>
    <n v="1.0372713356295449"/>
    <m/>
    <m/>
    <m/>
    <x v="12"/>
    <d v="2026-04-05T00:00:00"/>
    <m/>
    <n v="0.36"/>
    <n v="216"/>
    <d v="2026-04-10T00:00:00"/>
    <n v="20"/>
    <d v="2026-04-10T00:00:00"/>
  </r>
  <r>
    <n v="235"/>
    <m/>
    <s v="W12009"/>
    <s v="FBA198X547X1"/>
    <s v="E-US"/>
    <x v="0"/>
    <s v="ANZKIT-B_4X10K04_TZ"/>
    <n v="300"/>
    <s v="万邦"/>
    <s v="盐田海卡"/>
    <s v="GEU3"/>
    <x v="38"/>
    <s v="ANZKIT-B_4X10K04_TZ ANZ黑色机器+4x10mL酒店（天竺）香氛油 机油套装"/>
    <x v="0"/>
    <n v="10"/>
    <n v="154.5"/>
    <s v="重量收费"/>
    <n v="3.6"/>
    <n v="200"/>
    <n v="14.492753623188406"/>
    <n v="570.69275362318842"/>
    <n v="1.9023091787439614"/>
    <n v="0.28392674309611365"/>
    <m/>
    <m/>
    <m/>
    <x v="12"/>
    <d v="2026-04-10T00:00:00"/>
    <m/>
    <n v="0.44"/>
    <n v="132"/>
    <m/>
    <n v="-46102"/>
    <m/>
  </r>
  <r>
    <n v="236"/>
    <m/>
    <s v="W12009"/>
    <s v="FBA198X547X1"/>
    <s v="E-US"/>
    <x v="0"/>
    <s v="ANZKIT-W_4X10K04_TZ"/>
    <n v="300"/>
    <s v="万邦"/>
    <s v="盐田海卡"/>
    <s v="GEU3"/>
    <x v="109"/>
    <s v="ANZKIT-W_4X10K04_TZ ANZ白色机器+4x10mL酒店（天竺）香氛油 机油套装"/>
    <x v="0"/>
    <n v="10"/>
    <n v="154.5"/>
    <s v="重量收费"/>
    <n v="3.6"/>
    <n v="200"/>
    <n v="14.492753623188406"/>
    <n v="570.69275362318842"/>
    <n v="1.9023091787439614"/>
    <n v="0.28392674309611365"/>
    <m/>
    <m/>
    <m/>
    <x v="12"/>
    <d v="2026-04-10T00:00:00"/>
    <m/>
    <n v="0.44"/>
    <n v="132"/>
    <m/>
    <n v="-46102"/>
    <m/>
  </r>
  <r>
    <n v="237"/>
    <m/>
    <s v="W12004"/>
    <s v="FBA198W2C0D1"/>
    <s v="E-US"/>
    <x v="0"/>
    <s v="001000053"/>
    <n v="128"/>
    <s v="国润通"/>
    <s v="盐田海卡"/>
    <s v="POC3"/>
    <x v="52"/>
    <s v="ANX-2PC-BB 便携式扩香仪套装 黑+黑"/>
    <x v="1"/>
    <n v="8"/>
    <n v="106.73696969696971"/>
    <s v="重量收费"/>
    <n v="2.8"/>
    <n v="200"/>
    <n v="8.1218274111675122"/>
    <n v="306.98534256268266"/>
    <n v="2.3983229887709583"/>
    <n v="0.35795865504044155"/>
    <m/>
    <m/>
    <m/>
    <x v="13"/>
    <d v="2026-04-10T00:00:00"/>
    <m/>
    <n v="0.38269503546099293"/>
    <n v="48.984964539007095"/>
    <m/>
    <n v="-46103"/>
    <m/>
  </r>
  <r>
    <n v="238"/>
    <m/>
    <s v="W12004"/>
    <s v="FBA198W2C0D1"/>
    <s v="E-US"/>
    <x v="0"/>
    <s v="ANZ-B"/>
    <n v="1000"/>
    <s v="国润通"/>
    <s v="盐田海卡"/>
    <s v="POC3"/>
    <x v="0"/>
    <s v="ANZ-B 便携式扩香仪 黑色"/>
    <x v="0"/>
    <n v="25"/>
    <n v="333.55303030303037"/>
    <s v="重量收费"/>
    <n v="2.8"/>
    <n v="199.99999999999997"/>
    <n v="25.380710659898476"/>
    <n v="959.32919550838346"/>
    <n v="0.95932919550838347"/>
    <n v="0.14318346201617663"/>
    <m/>
    <m/>
    <m/>
    <x v="13"/>
    <d v="2026-04-10T00:00:00"/>
    <m/>
    <n v="0.38269503546099293"/>
    <n v="382.69503546099293"/>
    <m/>
    <n v="-46103"/>
    <m/>
  </r>
  <r>
    <n v="239"/>
    <m/>
    <s v="W12005"/>
    <s v="FBA198W7XC64"/>
    <s v="V-US"/>
    <x v="0"/>
    <s v="RD1-B"/>
    <n v="600"/>
    <s v="天盛"/>
    <s v="美森海卡"/>
    <s v="POC2"/>
    <x v="101"/>
    <s v="RD1-B 便携式扩香仪 黑色"/>
    <x v="23"/>
    <n v="20"/>
    <n v="1.6833333333333333"/>
    <s v="CBM收费"/>
    <n v="2030"/>
    <n v="180"/>
    <n v="92.307692307692307"/>
    <n v="3509.4743589743589"/>
    <n v="5.8491239316239314"/>
    <n v="0.87300357188416888"/>
    <m/>
    <m/>
    <m/>
    <x v="12"/>
    <d v="2026-04-05T00:00:00"/>
    <m/>
    <n v="0.44"/>
    <n v="264"/>
    <d v="2026-04-10T00:00:00"/>
    <n v="20"/>
    <d v="2026-04-10T00:00:00"/>
  </r>
  <r>
    <n v="240"/>
    <m/>
    <s v="W12005"/>
    <s v="FBA198W7XC64"/>
    <s v="V-US"/>
    <x v="0"/>
    <s v="RD1-DT"/>
    <n v="120"/>
    <s v="天盛"/>
    <s v="美森海卡"/>
    <s v="POC2"/>
    <x v="110"/>
    <s v="RD1-DT 便携式扩香仪 沙漠钛色"/>
    <x v="23"/>
    <n v="4"/>
    <n v="0.33666666666666667"/>
    <s v="CBM收费"/>
    <n v="2030"/>
    <n v="180"/>
    <n v="18.46153846153846"/>
    <n v="701.89487179487185"/>
    <n v="5.8491239316239323"/>
    <n v="0.87300357188416899"/>
    <m/>
    <m/>
    <m/>
    <x v="12"/>
    <d v="2026-04-05T00:00:00"/>
    <m/>
    <n v="0.44"/>
    <n v="52.8"/>
    <d v="2026-04-10T00:00:00"/>
    <n v="20"/>
    <d v="2026-04-10T00:00:00"/>
  </r>
  <r>
    <n v="241"/>
    <m/>
    <s v="W12009"/>
    <s v="FBA198XML3L7"/>
    <s v="V-US"/>
    <x v="0"/>
    <s v="AN6KIT-B_4X10K04_TZ"/>
    <n v="240"/>
    <s v="万邦"/>
    <s v="盐田海卡"/>
    <s v="QXY8"/>
    <x v="74"/>
    <s v="AN6KIT-B_4X10K04_TZ AN6黑色机器+4x10mL酒店（天竺）香氛油 机油套装"/>
    <x v="3"/>
    <n v="8"/>
    <n v="129.83050847457628"/>
    <s v="重量收费"/>
    <n v="3.6"/>
    <n v="200"/>
    <n v="11.594202898550725"/>
    <n v="478.98403340702538"/>
    <n v="1.9957668058626057"/>
    <n v="0.29787564266606054"/>
    <m/>
    <m/>
    <m/>
    <x v="12"/>
    <d v="2026-04-10T00:00:00"/>
    <m/>
    <n v="0.43999999999999995"/>
    <n v="105.6"/>
    <m/>
    <n v="-46102"/>
    <m/>
  </r>
  <r>
    <n v="242"/>
    <m/>
    <s v="W12009"/>
    <s v="FBA198XML3L7"/>
    <s v="V-US"/>
    <x v="0"/>
    <s v="AN6KIT-B_4X10ML"/>
    <n v="300"/>
    <s v="万邦"/>
    <s v="盐田海卡"/>
    <s v="QXY8"/>
    <x v="7"/>
    <s v="AN6KIT-B_4X10ML AN6黑色机器+4x10mL香氛油（天竺） 机油套装"/>
    <x v="3"/>
    <n v="10"/>
    <n v="162.28813559322035"/>
    <s v="重量收费"/>
    <n v="3.6"/>
    <n v="200"/>
    <n v="14.492753623188406"/>
    <n v="598.73004175878168"/>
    <n v="1.9957668058626057"/>
    <n v="0.29787564266606054"/>
    <m/>
    <m/>
    <m/>
    <x v="12"/>
    <d v="2026-04-10T00:00:00"/>
    <m/>
    <n v="0.43999999999999995"/>
    <n v="131.99999999999997"/>
    <m/>
    <n v="-46102"/>
    <m/>
  </r>
  <r>
    <n v="243"/>
    <m/>
    <s v="W12009"/>
    <s v="FBA198XML3L7"/>
    <s v="V-US"/>
    <x v="0"/>
    <s v="AN6KIT-WH_4X10ML"/>
    <n v="90"/>
    <s v="万邦"/>
    <s v="盐田海卡"/>
    <s v="QXY8"/>
    <x v="29"/>
    <s v="AN6KIT-WH_4X10ML AN6白色机器+4x10mL香氛油（天竺） 机油套装"/>
    <x v="3"/>
    <n v="3"/>
    <n v="48.686440677966104"/>
    <s v="重量收费"/>
    <n v="3.6"/>
    <m/>
    <n v="4.3478260869565215"/>
    <n v="179.61901252763451"/>
    <n v="1.9957668058626057"/>
    <n v="0.29787564266606054"/>
    <m/>
    <m/>
    <m/>
    <x v="12"/>
    <d v="2026-04-10T00:00:00"/>
    <m/>
    <n v="0.43999999999999995"/>
    <n v="39.599999999999994"/>
    <m/>
    <n v="-46102"/>
    <m/>
  </r>
  <r>
    <n v="244"/>
    <m/>
    <s v="W12009"/>
    <s v="FBA198XML3L7"/>
    <s v="V-US"/>
    <x v="0"/>
    <s v="AN8KIT-B_4X10K01"/>
    <n v="2100"/>
    <s v="万邦"/>
    <s v="盐田海卡"/>
    <s v="QXY8"/>
    <x v="10"/>
    <s v="AN8KIT-B_4X10K01 AN8黑色机器+4x10mL酒店香氛油 机油套装"/>
    <x v="4"/>
    <n v="70"/>
    <n v="1136.0169491525423"/>
    <s v="重量收费"/>
    <n v="3.6"/>
    <m/>
    <n v="101.44927536231884"/>
    <n v="4191.1102923114713"/>
    <n v="1.9957668058626055"/>
    <n v="0.29787564266606054"/>
    <m/>
    <m/>
    <m/>
    <x v="12"/>
    <d v="2026-04-10T00:00:00"/>
    <m/>
    <n v="0.43999999999999995"/>
    <n v="923.99999999999989"/>
    <m/>
    <n v="-46102"/>
    <m/>
  </r>
  <r>
    <n v="245"/>
    <m/>
    <s v="W12009"/>
    <s v="FBA198XML3L7"/>
    <s v="V-US"/>
    <x v="0"/>
    <s v="AN8KIT-WH_4X10K01"/>
    <n v="30"/>
    <s v="万邦"/>
    <s v="盐田海卡"/>
    <s v="QXY8"/>
    <x v="12"/>
    <s v="AN8KIT-WH_4X10K01 AN8白色机器+4x10mL酒店香氛油 机油套装"/>
    <x v="4"/>
    <n v="1"/>
    <n v="16.228813559322035"/>
    <s v="重量收费"/>
    <n v="3.6"/>
    <m/>
    <n v="1.4492753623188406"/>
    <n v="59.873004175878172"/>
    <n v="1.9957668058626057"/>
    <n v="0.29787564266606054"/>
    <m/>
    <m/>
    <m/>
    <x v="12"/>
    <d v="2026-04-10T00:00:00"/>
    <m/>
    <n v="0.43999999999999995"/>
    <n v="13.2"/>
    <m/>
    <n v="-46102"/>
    <m/>
  </r>
  <r>
    <n v="246"/>
    <m/>
    <s v="W12009"/>
    <s v="FBA198XML3L7"/>
    <s v="V-US"/>
    <x v="0"/>
    <s v="AN8KIT-WH_4X10K05_TZ"/>
    <n v="780"/>
    <s v="万邦"/>
    <s v="盐田海卡"/>
    <s v="QXY8"/>
    <x v="111"/>
    <s v="AN8KIT-WH_4X10K05_TZ AN8白色机器+4x10mL（天竺）酒店香氛油 机油套装"/>
    <x v="4"/>
    <n v="26"/>
    <n v="421.94915254237287"/>
    <s v="重量收费"/>
    <n v="3.6"/>
    <m/>
    <n v="37.681159420289852"/>
    <n v="1556.6981085728321"/>
    <n v="1.9957668058626052"/>
    <n v="0.29787564266606048"/>
    <m/>
    <m/>
    <m/>
    <x v="12"/>
    <d v="2026-04-10T00:00:00"/>
    <m/>
    <n v="0.43999999999999995"/>
    <n v="343.19999999999993"/>
    <m/>
    <n v="-46102"/>
    <m/>
  </r>
  <r>
    <n v="247"/>
    <m/>
    <s v="W12006"/>
    <s v="FBA19903R9DH"/>
    <s v="V-US"/>
    <x v="0"/>
    <s v="001000019"/>
    <n v="1200"/>
    <s v="国润通"/>
    <s v="盐田海卡"/>
    <s v="TCY2"/>
    <x v="17"/>
    <s v="AN6-B 便携式扩香仪 黑色"/>
    <x v="3"/>
    <n v="30"/>
    <n v="420"/>
    <s v="重量收费"/>
    <n v="3.2"/>
    <n v="200"/>
    <n v="71.428571428571431"/>
    <n v="1415.4285714285713"/>
    <n v="1.1795238095238094"/>
    <n v="0.17604832977967305"/>
    <m/>
    <m/>
    <m/>
    <x v="13"/>
    <d v="2026-04-19T00:00:00"/>
    <m/>
    <n v="0.37841269841269842"/>
    <n v="454.09523809523813"/>
    <m/>
    <n v="-46103"/>
    <m/>
  </r>
  <r>
    <n v="248"/>
    <m/>
    <s v="W12006"/>
    <s v="FBA19903R9DH"/>
    <s v="V-US"/>
    <x v="0"/>
    <s v="AN6-LV"/>
    <n v="120"/>
    <s v="国润通"/>
    <s v="盐田海卡"/>
    <s v="TCY2"/>
    <x v="68"/>
    <s v="AN6-LV 便携式扩香仪 薰衣草"/>
    <x v="3"/>
    <n v="3"/>
    <n v="42"/>
    <s v="重量收费"/>
    <n v="3.2"/>
    <n v="200"/>
    <n v="7.1428571428571432"/>
    <n v="141.54285714285714"/>
    <n v="1.1795238095238096"/>
    <n v="0.17604832977967308"/>
    <m/>
    <m/>
    <m/>
    <x v="13"/>
    <d v="2026-04-19T00:00:00"/>
    <m/>
    <n v="0.37841269841269842"/>
    <n v="45.409523809523812"/>
    <m/>
    <n v="-46103"/>
    <m/>
  </r>
  <r>
    <n v="249"/>
    <m/>
    <s v="W12006"/>
    <s v="FBA19903R9DH"/>
    <s v="V-US"/>
    <x v="0"/>
    <s v="001000020"/>
    <n v="400"/>
    <s v="国润通"/>
    <s v="盐田海卡"/>
    <s v="TCY2"/>
    <x v="18"/>
    <s v="AN6-W 便携式扩香仪 白色"/>
    <x v="3"/>
    <n v="10"/>
    <n v="140"/>
    <s v="重量收费"/>
    <n v="3.2"/>
    <m/>
    <n v="23.80952380952381"/>
    <n v="471.8095238095238"/>
    <n v="1.1795238095238094"/>
    <n v="0.17604832977967305"/>
    <m/>
    <m/>
    <m/>
    <x v="13"/>
    <d v="2026-04-19T00:00:00"/>
    <m/>
    <n v="0.37841269841269842"/>
    <n v="151.36507936507937"/>
    <m/>
    <n v="-46103"/>
    <m/>
  </r>
  <r>
    <n v="250"/>
    <m/>
    <s v="W12006"/>
    <s v="FBA19903R9DH"/>
    <s v="V-US"/>
    <x v="0"/>
    <s v="AN8-B"/>
    <n v="160"/>
    <s v="国润通"/>
    <s v="盐田海卡"/>
    <s v="TCY2"/>
    <x v="31"/>
    <s v="AN8-B 便携式扩香仪 黑色"/>
    <x v="4"/>
    <n v="4"/>
    <n v="56"/>
    <s v="重量收费"/>
    <n v="3.2"/>
    <m/>
    <n v="9.5238095238095237"/>
    <n v="188.72380952380954"/>
    <n v="1.1795238095238096"/>
    <n v="0.17604832977967308"/>
    <m/>
    <m/>
    <m/>
    <x v="13"/>
    <d v="2026-04-19T00:00:00"/>
    <m/>
    <n v="0.37841269841269842"/>
    <n v="60.546031746031744"/>
    <m/>
    <n v="-46103"/>
    <m/>
  </r>
  <r>
    <n v="251"/>
    <m/>
    <s v="W12006"/>
    <s v="FBA19903R9DH"/>
    <s v="V-US"/>
    <x v="0"/>
    <s v="AN8KIT-B_B"/>
    <n v="100"/>
    <s v="国润通"/>
    <s v="盐田海卡"/>
    <s v="TCY2"/>
    <x v="32"/>
    <s v="AN8KIT-B_B 便携式扩香仪套装 黑+黑"/>
    <x v="4"/>
    <n v="5"/>
    <n v="70"/>
    <s v="重量收费"/>
    <n v="3.2"/>
    <m/>
    <n v="11.904761904761905"/>
    <n v="235.9047619047619"/>
    <n v="2.3590476190476188"/>
    <n v="0.3520966595593461"/>
    <m/>
    <m/>
    <m/>
    <x v="13"/>
    <d v="2026-04-19T00:00:00"/>
    <m/>
    <n v="0.37841269841269842"/>
    <n v="37.841269841269842"/>
    <m/>
    <n v="-46103"/>
    <m/>
  </r>
  <r>
    <n v="252"/>
    <m/>
    <s v="W12006"/>
    <s v="FBA19903R9DH"/>
    <s v="V-US"/>
    <x v="0"/>
    <s v="RD1-B"/>
    <n v="390"/>
    <s v="国润通"/>
    <s v="盐田海卡"/>
    <s v="TCY2"/>
    <x v="101"/>
    <s v="RD1-B 便携式扩香仪 黑色"/>
    <x v="23"/>
    <n v="13"/>
    <n v="182"/>
    <s v="重量收费"/>
    <n v="3.2"/>
    <m/>
    <n v="30.952380952380953"/>
    <n v="613.35238095238094"/>
    <n v="1.5726984126984127"/>
    <n v="0.2347311063728974"/>
    <m/>
    <m/>
    <m/>
    <x v="13"/>
    <d v="2026-04-19T00:00:00"/>
    <m/>
    <n v="0.37841269841269842"/>
    <n v="147.5809523809524"/>
    <m/>
    <n v="-46103"/>
    <m/>
  </r>
  <r>
    <n v="253"/>
    <m/>
    <s v="W12006"/>
    <s v="FBA19903R9DH"/>
    <s v="V-US"/>
    <x v="0"/>
    <s v="RD1PJ-BOT"/>
    <n v="60"/>
    <s v="国润通"/>
    <s v="盐田海卡"/>
    <s v="TCY2"/>
    <x v="97"/>
    <s v="RD1PJ-BOT 便携式扩香仪100mL带盖替换玻璃瓶"/>
    <x v="22"/>
    <n v="1"/>
    <n v="14"/>
    <s v="重量收费"/>
    <n v="3.2"/>
    <m/>
    <n v="2.3809523809523809"/>
    <n v="47.180952380952384"/>
    <n v="0.78634920634920635"/>
    <n v="0.1173655531864487"/>
    <m/>
    <m/>
    <m/>
    <x v="13"/>
    <d v="2026-04-19T00:00:00"/>
    <m/>
    <n v="0.37841269841269842"/>
    <n v="22.704761904761906"/>
    <m/>
    <n v="-46103"/>
    <m/>
  </r>
  <r>
    <n v="254"/>
    <m/>
    <s v="W12006"/>
    <s v="FBA19903R9DH"/>
    <s v="V-US"/>
    <x v="0"/>
    <s v="RD1-DT"/>
    <n v="90"/>
    <s v="国润通"/>
    <s v="盐田海卡"/>
    <s v="TCY2"/>
    <x v="110"/>
    <s v="RD1-DT 便携式扩香仪 沙漠钛色"/>
    <x v="23"/>
    <n v="3"/>
    <n v="42"/>
    <s v="重量收费"/>
    <n v="3.2"/>
    <m/>
    <n v="7.1428571428571432"/>
    <n v="141.54285714285714"/>
    <n v="1.5726984126984127"/>
    <n v="0.2347311063728974"/>
    <m/>
    <m/>
    <m/>
    <x v="13"/>
    <d v="2026-04-19T00:00:00"/>
    <m/>
    <n v="0.37841269841269842"/>
    <n v="34.057142857142857"/>
    <m/>
    <n v="-46103"/>
    <m/>
  </r>
  <r>
    <n v="255"/>
    <m/>
    <s v="W12010"/>
    <s v="FBA19994C4F1"/>
    <s v="K-US"/>
    <x v="0"/>
    <s v="RDXKIT-B_US_2X100K04"/>
    <n v="90"/>
    <s v="国润通"/>
    <s v="以星海卡"/>
    <s v="GEU2"/>
    <x v="112"/>
    <s v="RDXKIT-B_US_2X100K04 RDX黑色机器+2X100mL酒店香氛油（天竺） 机油套装"/>
    <x v="25"/>
    <n v="10"/>
    <n v="148"/>
    <s v="重量收费"/>
    <n v="4.5"/>
    <n v="200"/>
    <n v="200"/>
    <n v="866"/>
    <n v="9.6222222222222218"/>
    <n v="1.4361525704809286"/>
    <m/>
    <m/>
    <m/>
    <x v="13"/>
    <d v="2026-04-07T00:00:00"/>
    <m/>
    <n v="0.7"/>
    <n v="62.999999999999993"/>
    <m/>
    <n v="-46103"/>
    <m/>
  </r>
  <r>
    <n v="256"/>
    <m/>
    <s v="W12004"/>
    <s v="FBA19993QKM2"/>
    <s v="K-US"/>
    <x v="0"/>
    <s v="RDXKIT-B_US_2X100K04"/>
    <n v="360"/>
    <s v="国润通"/>
    <s v="盐田海卡"/>
    <s v="GEU2"/>
    <x v="112"/>
    <s v="RDXKIT-B_US_2X100K04 RDX黑色机器+2X100mL酒店香氛油（天竺） 机油套装"/>
    <x v="25"/>
    <n v="40"/>
    <n v="592"/>
    <s v="重量收费"/>
    <n v="3.6"/>
    <n v="200"/>
    <n v="40.609137055837564"/>
    <n v="2171.8091370558377"/>
    <n v="6.0328031584884378"/>
    <n v="0.90041838186394596"/>
    <m/>
    <m/>
    <m/>
    <x v="13"/>
    <d v="2026-04-10T00:00:00"/>
    <m/>
    <n v="0.7"/>
    <n v="251.99999999999997"/>
    <m/>
    <n v="-46103"/>
    <m/>
  </r>
  <r>
    <n v="257"/>
    <m/>
    <s v="W12002"/>
    <s v="FBA15G7HFC4R"/>
    <s v="E-AU"/>
    <x v="4"/>
    <s v="AND-IB"/>
    <n v="30"/>
    <s v="澳鹰"/>
    <s v="澳洲海卡"/>
    <s v="BWU2"/>
    <x v="113"/>
    <s v="AND-IB 便携式双喷扩香仪 冰蓝色"/>
    <x v="5"/>
    <n v="1"/>
    <n v="13.636363636363637"/>
    <s v="重量收费"/>
    <n v="6.5"/>
    <n v="350"/>
    <n v="15.909090909090908"/>
    <n v="104.54545454545455"/>
    <n v="3.4848484848484849"/>
    <n v="0.52012663952962457"/>
    <m/>
    <m/>
    <m/>
    <x v="14"/>
    <d v="2026-04-22T00:00:00"/>
    <m/>
    <n v="0"/>
    <n v="0"/>
    <m/>
    <n v="-46104"/>
    <m/>
  </r>
  <r>
    <n v="258"/>
    <m/>
    <s v="W12002"/>
    <s v="FBA15G7HFC4R"/>
    <s v="E-AU"/>
    <x v="4"/>
    <s v="AND-B"/>
    <n v="120"/>
    <s v="澳鹰"/>
    <s v="澳洲海卡"/>
    <s v="BWU2"/>
    <x v="20"/>
    <s v="AND-B 便携式双喷扩香仪 黑色"/>
    <x v="5"/>
    <n v="4"/>
    <n v="54.545454545454547"/>
    <s v="重量收费"/>
    <n v="6.5"/>
    <n v="350"/>
    <n v="63.636363636363633"/>
    <n v="418.18181818181819"/>
    <n v="3.4848484848484849"/>
    <n v="0.52012663952962457"/>
    <m/>
    <m/>
    <m/>
    <x v="14"/>
    <d v="2026-04-22T00:00:00"/>
    <m/>
    <n v="0"/>
    <n v="0"/>
    <m/>
    <n v="-46104"/>
    <m/>
  </r>
  <r>
    <n v="259"/>
    <m/>
    <s v="W12002"/>
    <s v="FBA15G7HFC4R"/>
    <s v="E-AU"/>
    <x v="4"/>
    <s v="AND-DT"/>
    <n v="90"/>
    <s v="澳鹰"/>
    <s v="澳洲海卡"/>
    <s v="BWU2"/>
    <x v="21"/>
    <s v="AND-DT 便携式双喷扩香仪 沙漠钛色"/>
    <x v="5"/>
    <n v="3"/>
    <n v="40.909090909090907"/>
    <s v="重量收费"/>
    <n v="6.5"/>
    <m/>
    <n v="47.727272727272727"/>
    <n v="313.63636363636363"/>
    <n v="3.4848484848484849"/>
    <n v="0.52012663952962457"/>
    <m/>
    <m/>
    <m/>
    <x v="14"/>
    <d v="2026-04-22T00:00:00"/>
    <m/>
    <n v="0"/>
    <n v="0"/>
    <m/>
    <n v="-46104"/>
    <m/>
  </r>
  <r>
    <n v="260"/>
    <m/>
    <s v="W12002"/>
    <s v="FBA15G7HFC4R"/>
    <s v="E-AU"/>
    <x v="4"/>
    <s v="001000045"/>
    <n v="210"/>
    <s v="澳鹰"/>
    <s v="澳洲海卡"/>
    <s v="BWU2"/>
    <x v="1"/>
    <s v="ANX-B 便携式扩香仪 黑色"/>
    <x v="1"/>
    <n v="7"/>
    <n v="95.454545454545453"/>
    <s v="重量收费"/>
    <n v="6.5"/>
    <m/>
    <n v="111.36363636363636"/>
    <n v="731.81818181818187"/>
    <n v="3.4848484848484853"/>
    <n v="0.52012663952962468"/>
    <m/>
    <m/>
    <m/>
    <x v="14"/>
    <d v="2026-04-22T00:00:00"/>
    <m/>
    <n v="0"/>
    <n v="0"/>
    <m/>
    <n v="-46104"/>
    <m/>
  </r>
  <r>
    <n v="261"/>
    <m/>
    <s v="W12002"/>
    <s v="FBA15G7HFC4R"/>
    <s v="E-AU"/>
    <x v="4"/>
    <s v="001000051"/>
    <n v="60"/>
    <s v="澳鹰"/>
    <s v="澳洲海卡"/>
    <s v="BWU2"/>
    <x v="4"/>
    <s v="ANX-SG 便携式扩香仪 太空灰色"/>
    <x v="1"/>
    <n v="2"/>
    <n v="27.272727272727273"/>
    <s v="重量收费"/>
    <n v="6.5"/>
    <m/>
    <n v="31.818181818181817"/>
    <n v="209.09090909090909"/>
    <n v="3.4848484848484849"/>
    <n v="0.52012663952962457"/>
    <m/>
    <m/>
    <m/>
    <x v="14"/>
    <d v="2026-04-22T00:00:00"/>
    <m/>
    <n v="0"/>
    <n v="0"/>
    <m/>
    <n v="-46104"/>
    <m/>
  </r>
  <r>
    <n v="262"/>
    <m/>
    <s v="W12002"/>
    <s v="FBA15G7HFC4R"/>
    <s v="E-AU"/>
    <x v="4"/>
    <s v="001000046"/>
    <n v="60"/>
    <s v="澳鹰"/>
    <s v="澳洲海卡"/>
    <s v="BWU2"/>
    <x v="92"/>
    <s v="ANX-SILV 便携式扩香仪 银色"/>
    <x v="1"/>
    <n v="2"/>
    <n v="27.272727272727273"/>
    <s v="重量收费"/>
    <n v="6.5"/>
    <m/>
    <n v="31.818181818181817"/>
    <n v="209.09090909090909"/>
    <n v="3.4848484848484849"/>
    <n v="0.52012663952962457"/>
    <m/>
    <m/>
    <m/>
    <x v="14"/>
    <d v="2026-04-22T00:00:00"/>
    <m/>
    <n v="0"/>
    <n v="0"/>
    <m/>
    <n v="-46104"/>
    <m/>
  </r>
  <r>
    <n v="263"/>
    <m/>
    <s v="W12002"/>
    <s v="FBA15G7HFC4R"/>
    <s v="E-AU"/>
    <x v="4"/>
    <s v="RD1-B"/>
    <n v="90"/>
    <s v="澳鹰"/>
    <s v="澳洲海卡"/>
    <s v="BWU2"/>
    <x v="101"/>
    <s v="RD1-B 便携式扩香仪 黑色"/>
    <x v="23"/>
    <n v="3"/>
    <n v="40.909090909090907"/>
    <s v="重量收费"/>
    <n v="6.5"/>
    <m/>
    <n v="47.727272727272727"/>
    <n v="313.63636363636363"/>
    <n v="3.4848484848484849"/>
    <n v="0.52012663952962457"/>
    <m/>
    <m/>
    <m/>
    <x v="14"/>
    <d v="2026-04-22T00:00:00"/>
    <m/>
    <n v="0"/>
    <n v="0"/>
    <m/>
    <n v="-46104"/>
    <m/>
  </r>
  <r>
    <n v="264"/>
    <m/>
    <s v="W12004"/>
    <s v="FBA19922135M"/>
    <s v="A-US"/>
    <x v="0"/>
    <s v="ANZKIT-W_SJ30ML"/>
    <n v="150"/>
    <s v="国润通"/>
    <s v="盐田海卡"/>
    <s v="POC3"/>
    <x v="114"/>
    <s v="ANZKIT-W_SJ30ML ANZ白色机器+30mL四季酒店香氛油（天竺） 机油套装"/>
    <x v="0"/>
    <n v="5"/>
    <n v="66.709999999999994"/>
    <s v="重量收费"/>
    <n v="2.8"/>
    <n v="200"/>
    <n v="5.0761421319796955"/>
    <n v="191.86414213197969"/>
    <n v="1.2790942808798647"/>
    <n v="0.19090959416117381"/>
    <m/>
    <m/>
    <m/>
    <x v="13"/>
    <d v="2026-04-10T00:00:00"/>
    <m/>
    <n v="0.44"/>
    <n v="66"/>
    <m/>
    <n v="-46103"/>
    <m/>
  </r>
  <r>
    <n v="265"/>
    <m/>
    <s v="W12004"/>
    <s v="FBA198X3QKQ1"/>
    <s v="W-US"/>
    <x v="0"/>
    <s v="002000037"/>
    <n v="32"/>
    <s v="国润通"/>
    <s v="盐田海卡"/>
    <s v="POC2"/>
    <x v="95"/>
    <s v="M1-SILV 电子球形把手锁 银色"/>
    <x v="18"/>
    <n v="2"/>
    <n v="30.153846153846153"/>
    <s v="重量收费"/>
    <n v="2.8"/>
    <n v="199.99999999999997"/>
    <n v="2.030456852791878"/>
    <n v="86.461226083561101"/>
    <n v="2.7019133151112844"/>
    <n v="0.40327064404646035"/>
    <m/>
    <m/>
    <m/>
    <x v="15"/>
    <d v="2026-04-10T00:00:00"/>
    <m/>
    <n v="0.56000000000000005"/>
    <n v="17.920000000000002"/>
    <m/>
    <n v="-46101"/>
    <m/>
  </r>
  <r>
    <n v="266"/>
    <m/>
    <s v="W12004"/>
    <s v="FBA198X3QKQ1"/>
    <s v="W-US"/>
    <x v="0"/>
    <s v="002000029"/>
    <n v="176"/>
    <s v="国润通"/>
    <s v="盐田海卡"/>
    <s v="POC2"/>
    <x v="81"/>
    <s v="MD1-B 电子球形把手锁 指纹 黑色"/>
    <x v="19"/>
    <n v="11"/>
    <n v="165.84615384615384"/>
    <s v="重量收费"/>
    <n v="2.8"/>
    <m/>
    <n v="11.167512690355331"/>
    <n v="475.53674345958609"/>
    <n v="2.7019133151112844"/>
    <n v="0.40327064404646035"/>
    <m/>
    <m/>
    <m/>
    <x v="15"/>
    <d v="2026-04-10T00:00:00"/>
    <m/>
    <n v="0.56000000000000005"/>
    <n v="98.56"/>
    <m/>
    <n v="-46101"/>
    <m/>
  </r>
  <r>
    <n v="267"/>
    <m/>
    <s v="W12007"/>
    <s v="FBA198X58NK5"/>
    <s v="W-US"/>
    <x v="0"/>
    <s v="002000037"/>
    <n v="80"/>
    <s v="天盛"/>
    <s v="美森海卡"/>
    <s v="POC2"/>
    <x v="95"/>
    <s v="M1-SILV 电子球形把手锁 银色"/>
    <x v="18"/>
    <n v="5"/>
    <n v="0.32599999999999996"/>
    <s v="CBM收费"/>
    <n v="1830"/>
    <n v="180"/>
    <n v="36"/>
    <n v="632.57999999999993"/>
    <n v="7.9072499999999994"/>
    <n v="1.1801865671641789"/>
    <m/>
    <m/>
    <m/>
    <x v="15"/>
    <d v="2026-04-05T00:00:00"/>
    <m/>
    <n v="0.56000000000000005"/>
    <n v="44.800000000000004"/>
    <d v="2026-04-10T00:00:00"/>
    <n v="21"/>
    <d v="2026-04-10T00:00:00"/>
  </r>
  <r>
    <n v="268"/>
    <m/>
    <s v="W12007"/>
    <s v="FBA198X58NK5"/>
    <s v="W-US"/>
    <x v="0"/>
    <s v="002000029"/>
    <n v="320"/>
    <s v="天盛"/>
    <s v="美森海卡"/>
    <s v="POC2"/>
    <x v="81"/>
    <s v="MD1-B 电子球形把手锁 指纹 黑色"/>
    <x v="19"/>
    <n v="20"/>
    <n v="1.3039999999999998"/>
    <s v="CBM收费"/>
    <n v="1830"/>
    <n v="180"/>
    <n v="144"/>
    <n v="2530.3199999999997"/>
    <n v="7.9072499999999994"/>
    <n v="1.1801865671641789"/>
    <m/>
    <m/>
    <m/>
    <x v="15"/>
    <d v="2026-04-05T00:00:00"/>
    <m/>
    <n v="0.56000000000000005"/>
    <n v="179.20000000000002"/>
    <d v="2026-04-10T00:00:00"/>
    <n v="21"/>
    <d v="2026-04-10T00:00:00"/>
  </r>
  <r>
    <n v="269"/>
    <m/>
    <s v="W12006"/>
    <s v="FBA198XV6SCX"/>
    <s v="V-US"/>
    <x v="0"/>
    <s v="ANWKIT-WH_US_2X100K03"/>
    <n v="180"/>
    <s v="国润通"/>
    <s v="盐田海卡"/>
    <s v="TCY2"/>
    <x v="44"/>
    <s v="ANWKIT-WH_US_2X100K03 ANW白色机器+2X100mL酒店香氛油（天竺） 机油套装"/>
    <x v="10"/>
    <n v="15"/>
    <n v="256"/>
    <s v="重量收费"/>
    <n v="3.2"/>
    <n v="200"/>
    <n v="35.714285714285715"/>
    <n v="854.91428571428571"/>
    <n v="4.7495238095238097"/>
    <n v="0.7088841506751955"/>
    <m/>
    <m/>
    <m/>
    <x v="15"/>
    <d v="2026-04-19T00:00:00"/>
    <m/>
    <n v="0.55999999999999994"/>
    <n v="100.79999999999998"/>
    <m/>
    <n v="-46101"/>
    <m/>
  </r>
  <r>
    <n v="270"/>
    <m/>
    <s v="W12008"/>
    <s v="FBA198W8K669"/>
    <s v="V-US"/>
    <x v="0"/>
    <s v="ANP-W_US"/>
    <n v="288"/>
    <s v="国润通"/>
    <s v="美森海卡"/>
    <s v="POC2"/>
    <x v="115"/>
    <s v="ANP-W_US 墙插式智能扩香仪 白色"/>
    <x v="26"/>
    <n v="9"/>
    <n v="143"/>
    <s v="重量收费"/>
    <n v="8.5"/>
    <n v="200"/>
    <n v="200"/>
    <n v="1415.5"/>
    <n v="4.9149305555555554"/>
    <n v="0.73357172470978438"/>
    <m/>
    <m/>
    <m/>
    <x v="15"/>
    <d v="2026-04-05T00:00:00"/>
    <m/>
    <n v="0.44"/>
    <n v="126.72"/>
    <m/>
    <n v="-46101"/>
    <m/>
  </r>
  <r>
    <n v="271"/>
    <m/>
    <s v="W12004"/>
    <s v="FBA198VY9H04"/>
    <s v="V-US"/>
    <x v="0"/>
    <s v="001000032"/>
    <n v="180"/>
    <s v="国润通"/>
    <s v="盐田海卡"/>
    <s v="GEU3"/>
    <x v="40"/>
    <s v="ANW-B 智能扩香仪 黑色"/>
    <x v="10"/>
    <n v="15"/>
    <n v="214.24242424242422"/>
    <s v="重量收费"/>
    <n v="3.6"/>
    <n v="200"/>
    <n v="15.228426395939087"/>
    <n v="786.50115366866635"/>
    <n v="4.3694508537148131"/>
    <n v="0.65215684383803174"/>
    <m/>
    <m/>
    <m/>
    <x v="15"/>
    <d v="2026-04-10T00:00:00"/>
    <m/>
    <n v="0.54788643533123027"/>
    <n v="98.61955835962145"/>
    <m/>
    <n v="-46101"/>
    <m/>
  </r>
  <r>
    <n v="272"/>
    <m/>
    <s v="W12004"/>
    <s v="FBA198VY9H04"/>
    <s v="V-US"/>
    <x v="0"/>
    <s v="001000033"/>
    <n v="960"/>
    <s v="国润通"/>
    <s v="盐田海卡"/>
    <s v="GEU3"/>
    <x v="41"/>
    <s v="ANW-W 智能扩香仪 白色"/>
    <x v="10"/>
    <n v="80"/>
    <n v="1142.6262626262626"/>
    <s v="重量收费"/>
    <n v="3.6"/>
    <n v="200"/>
    <n v="81.218274111675129"/>
    <n v="4194.6728195662199"/>
    <n v="4.3694508537148122"/>
    <n v="0.65215684383803163"/>
    <m/>
    <m/>
    <m/>
    <x v="15"/>
    <d v="2026-04-10T00:00:00"/>
    <m/>
    <n v="0.54788643533123027"/>
    <n v="525.97097791798103"/>
    <m/>
    <n v="-46101"/>
    <m/>
  </r>
  <r>
    <n v="273"/>
    <m/>
    <s v="W12004"/>
    <s v="FBA198VY9H04"/>
    <s v="V-US"/>
    <x v="0"/>
    <s v="ANP-W_US"/>
    <n v="128"/>
    <s v="国润通"/>
    <s v="盐田海卡"/>
    <s v="GEU3"/>
    <x v="115"/>
    <s v="ANP-W_US 墙插式智能扩香仪 白色"/>
    <x v="26"/>
    <n v="4"/>
    <n v="57.131313131313128"/>
    <s v="重量收费"/>
    <n v="3.6"/>
    <n v="199.99999999999997"/>
    <n v="4.0609137055837561"/>
    <n v="209.733640978311"/>
    <n v="1.6385440701430547"/>
    <n v="0.24455881643926189"/>
    <m/>
    <m/>
    <m/>
    <x v="15"/>
    <d v="2026-04-10T00:00:00"/>
    <m/>
    <n v="0.54788643533123027"/>
    <n v="70.129463722397475"/>
    <m/>
    <n v="-46101"/>
    <m/>
  </r>
  <r>
    <n v="274"/>
    <m/>
    <s v="W12003"/>
    <s v="FBA198W7ZHBG"/>
    <s v="E-US"/>
    <x v="0"/>
    <s v="SJ1-100ML_TZ"/>
    <n v="192"/>
    <s v="天盛"/>
    <s v="盐田海卡"/>
    <s v="POC3"/>
    <x v="23"/>
    <s v="SJ1-100ML_TZ 四季酒店100mL香氛油（天竺） 销售包装"/>
    <x v="6"/>
    <n v="3"/>
    <n v="0.125"/>
    <s v="CBM收费"/>
    <n v="1030"/>
    <n v="180"/>
    <n v="20.76923076923077"/>
    <n v="149.51923076923077"/>
    <n v="0.77874599358974361"/>
    <n v="0.11623074531190203"/>
    <m/>
    <m/>
    <m/>
    <x v="15"/>
    <d v="2026-04-07T00:00:00"/>
    <m/>
    <n v="0.36333333333333334"/>
    <n v="69.760000000000005"/>
    <m/>
    <n v="-46101"/>
    <m/>
  </r>
  <r>
    <n v="275"/>
    <m/>
    <s v="W12003"/>
    <s v="FBA198W7ZHBG"/>
    <s v="E-US"/>
    <x v="0"/>
    <s v="TX331_100ML"/>
    <n v="640"/>
    <s v="天盛"/>
    <s v="盐田海卡"/>
    <s v="POC3"/>
    <x v="102"/>
    <s v="TX331_100ML 檀香33号100mL香氛油（天竺） 销售包装"/>
    <x v="6"/>
    <n v="10"/>
    <n v="0.41666666666666663"/>
    <s v="CBM收费"/>
    <n v="1030"/>
    <n v="180"/>
    <n v="69.230769230769226"/>
    <n v="498.39743589743586"/>
    <n v="0.7787459935897435"/>
    <n v="0.11623074531190201"/>
    <m/>
    <m/>
    <m/>
    <x v="15"/>
    <d v="2026-04-07T00:00:00"/>
    <m/>
    <n v="0.36333333333333334"/>
    <n v="232.53333333333333"/>
    <m/>
    <n v="-46101"/>
    <m/>
  </r>
  <r>
    <n v="276"/>
    <m/>
    <s v="W12003"/>
    <s v="FBA198W7ZHBG"/>
    <s v="E-US"/>
    <x v="0"/>
    <s v="HILTON1-100ML_TZ"/>
    <n v="192"/>
    <s v="天盛"/>
    <s v="盐田海卡"/>
    <s v="POC3"/>
    <x v="61"/>
    <s v="HILTON1-100ML_TZ 希尔顿酒店100mL香氛油（天竺） 销售包装"/>
    <x v="6"/>
    <n v="3"/>
    <n v="0.125"/>
    <s v="CBM收费"/>
    <n v="1030"/>
    <m/>
    <n v="20.76923076923077"/>
    <n v="149.51923076923077"/>
    <n v="0.77874599358974361"/>
    <n v="0.11623074531190203"/>
    <m/>
    <m/>
    <m/>
    <x v="15"/>
    <d v="2026-04-07T00:00:00"/>
    <m/>
    <n v="0.36333333333333334"/>
    <n v="69.760000000000005"/>
    <m/>
    <n v="-46101"/>
    <m/>
  </r>
  <r>
    <n v="277"/>
    <m/>
    <s v="W12003"/>
    <s v="FBA198W7ZHBG"/>
    <s v="E-US"/>
    <x v="0"/>
    <s v="YH1-100ML_TZ"/>
    <n v="64"/>
    <s v="天盛"/>
    <s v="盐田海卡"/>
    <s v="POC3"/>
    <x v="89"/>
    <s v="YH1-100ML_TZ 樱花100mL香氛油（天竺）销售包装"/>
    <x v="6"/>
    <n v="1"/>
    <n v="4.1666666666666664E-2"/>
    <s v="CBM收费"/>
    <n v="1030"/>
    <m/>
    <n v="6.9230769230769234"/>
    <n v="49.839743589743591"/>
    <n v="0.77874599358974361"/>
    <n v="0.11623074531190203"/>
    <m/>
    <m/>
    <m/>
    <x v="15"/>
    <d v="2026-04-07T00:00:00"/>
    <m/>
    <n v="0.36333333333333334"/>
    <n v="23.253333333333334"/>
    <m/>
    <n v="-46101"/>
    <m/>
  </r>
  <r>
    <n v="278"/>
    <m/>
    <s v="W12003"/>
    <s v="FBA198W7ZHBG"/>
    <s v="E-US"/>
    <x v="0"/>
    <s v="YZTT1_100ML"/>
    <n v="256"/>
    <s v="天盛"/>
    <s v="盐田海卡"/>
    <s v="POC3"/>
    <x v="103"/>
    <s v="YZTT1_100ML 柚子天堂100mL香氛油（天竺） 销售包装"/>
    <x v="6"/>
    <n v="4"/>
    <n v="0.16666666666666666"/>
    <s v="CBM收费"/>
    <n v="1030"/>
    <m/>
    <n v="27.692307692307693"/>
    <n v="199.35897435897436"/>
    <n v="0.77874599358974361"/>
    <n v="0.11623074531190203"/>
    <m/>
    <m/>
    <m/>
    <x v="15"/>
    <d v="2026-04-07T00:00:00"/>
    <m/>
    <n v="0.36333333333333334"/>
    <n v="93.013333333333335"/>
    <m/>
    <n v="-46101"/>
    <m/>
  </r>
  <r>
    <n v="279"/>
    <m/>
    <s v="W12003"/>
    <s v="FBA198W7ZHBG"/>
    <s v="E-US"/>
    <x v="0"/>
    <s v="TXY1_100ML"/>
    <n v="192"/>
    <s v="天盛"/>
    <s v="盐田海卡"/>
    <s v="POC3"/>
    <x v="104"/>
    <s v="TXY1_100ML 桃星云100mL香氛油（天竺） 销售包装"/>
    <x v="6"/>
    <n v="3"/>
    <n v="0.125"/>
    <s v="CBM收费"/>
    <n v="1030"/>
    <m/>
    <n v="20.76923076923077"/>
    <n v="149.51923076923077"/>
    <n v="0.77874599358974361"/>
    <n v="0.11623074531190203"/>
    <m/>
    <m/>
    <m/>
    <x v="15"/>
    <d v="2026-04-07T00:00:00"/>
    <m/>
    <n v="0.36333333333333334"/>
    <n v="69.760000000000005"/>
    <m/>
    <n v="-46101"/>
    <m/>
  </r>
  <r>
    <n v="280"/>
    <s v="备注跟FBA198W7ZHBG合并报关"/>
    <s v="W12003"/>
    <s v="FBA199220GQD"/>
    <s v="K-US"/>
    <x v="0"/>
    <s v="BGR1_100ML_TZ"/>
    <n v="128"/>
    <s v="天盛"/>
    <s v="盐田海卡"/>
    <s v="TCY2"/>
    <x v="116"/>
    <s v="BGR1_100ML_TZ 宝格丽酒店100mL香氛油（天竺） 销售包装"/>
    <x v="6"/>
    <n v="2"/>
    <n v="30"/>
    <s v="重量收费"/>
    <n v="6.6"/>
    <m/>
    <n v="13.846153846153847"/>
    <n v="211.84615384615384"/>
    <n v="1.6550480769230769"/>
    <n v="0.24702210103329506"/>
    <m/>
    <m/>
    <m/>
    <x v="15"/>
    <d v="2026-04-07T00:00:00"/>
    <m/>
    <n v="0.36"/>
    <n v="46.08"/>
    <m/>
    <n v="-46101"/>
    <m/>
  </r>
  <r>
    <n v="281"/>
    <m/>
    <s v="W12004"/>
    <s v="FBA198W7P8C9"/>
    <s v="E-US"/>
    <x v="0"/>
    <s v="003000007"/>
    <n v="252"/>
    <s v="国润通"/>
    <s v="盐田海卡"/>
    <s v="POC1"/>
    <x v="72"/>
    <s v="AP2F-H14 空气净化器滤网2-H14"/>
    <x v="15"/>
    <n v="7"/>
    <n v="154"/>
    <s v="重量收费"/>
    <n v="2.8"/>
    <n v="200"/>
    <n v="7.1065989847715736"/>
    <n v="438.30659898477154"/>
    <n v="1.7393119007332205"/>
    <n v="0.25959879115421203"/>
    <m/>
    <m/>
    <m/>
    <x v="15"/>
    <d v="2026-04-10T00:00:00"/>
    <m/>
    <n v="0.56000000000000005"/>
    <n v="141.12"/>
    <m/>
    <n v="-46101"/>
    <m/>
  </r>
  <r>
    <n v="282"/>
    <m/>
    <s v="W13010"/>
    <s v="FBA19985BHPR"/>
    <s v="V-US"/>
    <x v="0"/>
    <s v="AN8KIT-B_4X10K05_TZ"/>
    <n v="1200"/>
    <s v="万邦"/>
    <s v="美森海卡"/>
    <s v="GEU2"/>
    <x v="117"/>
    <s v="AN8KIT-B_4X10K05_TZ AN8黑色机器+4x10mL（天竺）酒店香氛油 机油套装"/>
    <x v="4"/>
    <n v="40"/>
    <n v="648"/>
    <s v="重量收费"/>
    <n v="9.4"/>
    <n v="200"/>
    <n v="200"/>
    <n v="6291.2"/>
    <n v="5.2426666666666666"/>
    <n v="0.78248756218905469"/>
    <m/>
    <m/>
    <m/>
    <x v="16"/>
    <d v="2026-04-14T00:00:00"/>
    <m/>
    <n v="0.44"/>
    <n v="528"/>
    <m/>
    <n v="-46109"/>
    <m/>
  </r>
  <r>
    <n v="283"/>
    <m/>
    <s v="W13008"/>
    <s v="FBA1997PDD0Z"/>
    <s v="V-US"/>
    <x v="0"/>
    <s v="001000019"/>
    <n v="2000"/>
    <s v="万邦"/>
    <s v="盐田海卡"/>
    <s v="QXY8"/>
    <x v="17"/>
    <s v="AN6-B 便携式扩香仪 黑色"/>
    <x v="3"/>
    <n v="50"/>
    <n v="681.18279569892468"/>
    <s v="重量收费"/>
    <n v="3.9"/>
    <n v="200"/>
    <n v="68.493150684931507"/>
    <n v="2725.106053910738"/>
    <n v="1.362553026955369"/>
    <n v="0.20336612342617447"/>
    <m/>
    <m/>
    <m/>
    <x v="16"/>
    <d v="2026-04-17T00:00:00"/>
    <m/>
    <n v="0.36416666666666669"/>
    <n v="728.33333333333337"/>
    <m/>
    <n v="-46109"/>
    <m/>
  </r>
  <r>
    <n v="284"/>
    <m/>
    <s v="W13008"/>
    <s v="FBA1997PDD0Z"/>
    <s v="V-US"/>
    <x v="0"/>
    <s v="AN6-LV"/>
    <n v="120"/>
    <s v="万邦"/>
    <s v="盐田海卡"/>
    <s v="QXY8"/>
    <x v="68"/>
    <s v="AN6-LV 便携式扩香仪 薰衣草"/>
    <x v="3"/>
    <n v="3"/>
    <n v="40.87096774193548"/>
    <s v="重量收费"/>
    <n v="3.9"/>
    <n v="200"/>
    <n v="4.1095890410958908"/>
    <n v="163.50636323464425"/>
    <n v="1.3625530269553687"/>
    <n v="0.20336612342617444"/>
    <m/>
    <m/>
    <m/>
    <x v="16"/>
    <d v="2026-04-17T00:00:00"/>
    <m/>
    <n v="0.36416666666666669"/>
    <n v="43.7"/>
    <m/>
    <n v="-46109"/>
    <m/>
  </r>
  <r>
    <n v="285"/>
    <m/>
    <s v="W13008"/>
    <s v="FBA1997PDD0Z"/>
    <s v="V-US"/>
    <x v="0"/>
    <s v="001000020"/>
    <n v="600"/>
    <s v="万邦"/>
    <s v="盐田海卡"/>
    <s v="QXY8"/>
    <x v="18"/>
    <s v="AN6-W 便携式扩香仪 白色"/>
    <x v="3"/>
    <n v="15"/>
    <n v="204.35483870967741"/>
    <s v="重量收费"/>
    <n v="3.9"/>
    <m/>
    <n v="20.547945205479451"/>
    <n v="817.53181617322127"/>
    <n v="1.3625530269553687"/>
    <n v="0.20336612342617444"/>
    <m/>
    <m/>
    <m/>
    <x v="16"/>
    <d v="2026-04-17T00:00:00"/>
    <m/>
    <n v="0.36416666666666669"/>
    <n v="218.50000000000003"/>
    <m/>
    <n v="-46109"/>
    <m/>
  </r>
  <r>
    <n v="286"/>
    <m/>
    <s v="W13008"/>
    <s v="FBA1997PDD0Z"/>
    <s v="V-US"/>
    <x v="0"/>
    <s v="AN6-YG"/>
    <n v="200"/>
    <s v="万邦"/>
    <s v="盐田海卡"/>
    <s v="QXY8"/>
    <x v="19"/>
    <s v="AN6-YG 便携式扩香仪 乳酪色"/>
    <x v="3"/>
    <n v="5"/>
    <n v="68.118279569892465"/>
    <s v="重量收费"/>
    <n v="3.9"/>
    <m/>
    <n v="6.8493150684931505"/>
    <n v="272.51060539107374"/>
    <n v="1.3625530269553687"/>
    <n v="0.20336612342617444"/>
    <m/>
    <m/>
    <m/>
    <x v="16"/>
    <d v="2026-04-17T00:00:00"/>
    <m/>
    <n v="0.36416666666666669"/>
    <n v="72.833333333333343"/>
    <m/>
    <n v="-46109"/>
    <m/>
  </r>
  <r>
    <n v="287"/>
    <m/>
    <s v="W13008"/>
    <s v="FBA1997PDD0Z"/>
    <s v="V-US"/>
    <x v="0"/>
    <s v="AN8-B"/>
    <n v="320"/>
    <s v="万邦"/>
    <s v="盐田海卡"/>
    <s v="QXY8"/>
    <x v="31"/>
    <s v="AN8-B 便携式扩香仪 黑色"/>
    <x v="4"/>
    <n v="8"/>
    <n v="108.98924731182795"/>
    <s v="重量收费"/>
    <n v="3.9"/>
    <m/>
    <n v="10.95890410958904"/>
    <n v="436.01696862571799"/>
    <n v="1.3625530269553687"/>
    <n v="0.20336612342617444"/>
    <m/>
    <m/>
    <m/>
    <x v="16"/>
    <d v="2026-04-17T00:00:00"/>
    <m/>
    <n v="0.36416666666666669"/>
    <n v="116.53333333333335"/>
    <m/>
    <n v="-46109"/>
    <m/>
  </r>
  <r>
    <n v="288"/>
    <m/>
    <s v="W13008"/>
    <s v="FBA1997PDD0Z"/>
    <s v="V-US"/>
    <x v="0"/>
    <s v="AN8KIT-B_B"/>
    <n v="200"/>
    <s v="万邦"/>
    <s v="盐田海卡"/>
    <s v="QXY8"/>
    <x v="32"/>
    <s v="AN8KIT-B_B 便携式扩香仪套装 黑+黑"/>
    <x v="4"/>
    <n v="10"/>
    <n v="136.23655913978493"/>
    <s v="重量收费"/>
    <n v="3.9"/>
    <m/>
    <n v="13.698630136986301"/>
    <n v="545.02121078214748"/>
    <n v="2.7251060539107375"/>
    <n v="0.40673224685234888"/>
    <m/>
    <m/>
    <m/>
    <x v="16"/>
    <d v="2026-04-17T00:00:00"/>
    <m/>
    <n v="0.36416666666666669"/>
    <n v="72.833333333333343"/>
    <m/>
    <n v="-46109"/>
    <m/>
  </r>
  <r>
    <n v="289"/>
    <m/>
    <s v="W13008"/>
    <s v="FBA1997PDD0Z"/>
    <s v="V-US"/>
    <x v="0"/>
    <s v="001000021"/>
    <n v="200"/>
    <s v="万邦"/>
    <s v="盐田海卡"/>
    <s v="QXY8"/>
    <x v="69"/>
    <s v="AN6NZ-B AN6喷嘴配件套装 黑色"/>
    <x v="14"/>
    <n v="1"/>
    <n v="13.623655913978494"/>
    <s v="重量收费"/>
    <n v="3.9"/>
    <m/>
    <n v="1.3698630136986301"/>
    <n v="54.502121078214749"/>
    <n v="0.27251060539107375"/>
    <n v="4.0673224685234884E-2"/>
    <m/>
    <m/>
    <m/>
    <x v="16"/>
    <d v="2026-04-17T00:00:00"/>
    <m/>
    <n v="0.36416666666666669"/>
    <n v="72.833333333333343"/>
    <m/>
    <n v="-46109"/>
    <m/>
  </r>
  <r>
    <n v="290"/>
    <m/>
    <s v="W13008"/>
    <s v="FBA1997PDD0Z"/>
    <s v="V-US"/>
    <x v="0"/>
    <s v="001000021"/>
    <n v="100"/>
    <s v="万邦"/>
    <s v="盐田海卡"/>
    <s v="QXY8"/>
    <x v="69"/>
    <s v="AN6NZ-B AN6喷嘴配件套装 黑色"/>
    <x v="14"/>
    <n v="0.5"/>
    <n v="6.811827956989247"/>
    <s v="重量收费"/>
    <n v="3.9"/>
    <m/>
    <n v="0.68493150684931503"/>
    <n v="27.251060539107375"/>
    <n v="0.27251060539107375"/>
    <n v="4.0673224685234884E-2"/>
    <m/>
    <m/>
    <m/>
    <x v="16"/>
    <d v="2026-04-17T00:00:00"/>
    <m/>
    <n v="0.36416666666666669"/>
    <n v="36.416666666666671"/>
    <m/>
    <n v="-46109"/>
    <m/>
  </r>
  <r>
    <n v="291"/>
    <m/>
    <s v="W13008"/>
    <s v="FBA1997PDD0Z"/>
    <s v="V-US"/>
    <x v="0"/>
    <s v="001000022"/>
    <n v="100"/>
    <s v="万邦"/>
    <s v="盐田海卡"/>
    <s v="QXY8"/>
    <x v="99"/>
    <s v="AN6NZ-W AN6喷嘴配件套装 白色"/>
    <x v="14"/>
    <n v="0.5"/>
    <n v="6.811827956989247"/>
    <s v="重量收费"/>
    <n v="3.9"/>
    <m/>
    <n v="0.68493150684931503"/>
    <n v="27.251060539107375"/>
    <n v="0.27251060539107375"/>
    <n v="4.0673224685234884E-2"/>
    <m/>
    <m/>
    <m/>
    <x v="16"/>
    <d v="2026-04-17T00:00:00"/>
    <m/>
    <n v="0.36416666666666669"/>
    <n v="36.416666666666671"/>
    <m/>
    <n v="-46109"/>
    <m/>
  </r>
  <r>
    <n v="292"/>
    <m/>
    <s v="W13009"/>
    <s v="FBA199C7XWBM"/>
    <s v="V-US"/>
    <x v="0"/>
    <s v="AN6KIT-B_4X10K04_TZ"/>
    <n v="300"/>
    <s v="嘀嗒嘀"/>
    <s v="盐田海卡"/>
    <s v="MIT2"/>
    <x v="74"/>
    <s v="AN6KIT-B_4X10K04_TZ AN6黑色机器+4x10mL酒店（天竺）香氛油 机油套装"/>
    <x v="3"/>
    <n v="10"/>
    <n v="158.79611650485435"/>
    <s v="重量收费"/>
    <n v="4.2"/>
    <n v="200"/>
    <n v="14.492753623188406"/>
    <n v="681.43644294357671"/>
    <n v="2.2714548098119223"/>
    <n v="0.33902310594207796"/>
    <m/>
    <m/>
    <m/>
    <x v="16"/>
    <d v="2026-04-19T00:00:00"/>
    <m/>
    <n v="0.43999999999999995"/>
    <n v="131.99999999999997"/>
    <m/>
    <n v="-46109"/>
    <m/>
  </r>
  <r>
    <n v="293"/>
    <m/>
    <s v="W13009"/>
    <s v="FBA199C7XWBM"/>
    <s v="V-US"/>
    <x v="0"/>
    <s v="AN8KIT-B_4X10K01"/>
    <n v="570"/>
    <s v="嘀嗒嘀"/>
    <s v="盐田海卡"/>
    <s v="MIT2"/>
    <x v="10"/>
    <s v="AN8KIT-B_4X10K01 AN8黑色机器+4x10mL酒店香氛油 机油套装"/>
    <x v="4"/>
    <n v="19"/>
    <n v="301.71262135922331"/>
    <s v="重量收费"/>
    <n v="4.2"/>
    <n v="200"/>
    <n v="27.536231884057973"/>
    <n v="1294.7292415927959"/>
    <n v="2.2714548098119227"/>
    <n v="0.33902310594207802"/>
    <m/>
    <m/>
    <m/>
    <x v="16"/>
    <d v="2026-04-19T00:00:00"/>
    <m/>
    <n v="0.43999999999999995"/>
    <n v="250.79999999999998"/>
    <m/>
    <n v="-46109"/>
    <m/>
  </r>
  <r>
    <n v="294"/>
    <m/>
    <s v="W13009"/>
    <s v="FBA199C7XWBM"/>
    <s v="V-US"/>
    <x v="0"/>
    <s v="AN8KIT-B_4X10K05_TZ"/>
    <n v="1500"/>
    <s v="嘀嗒嘀"/>
    <s v="盐田海卡"/>
    <s v="MIT2"/>
    <x v="117"/>
    <s v="AN8KIT-B_4X10K05_TZ AN8黑色机器+4x10mL（天竺）酒店香氛油 机油套装"/>
    <x v="4"/>
    <n v="50"/>
    <n v="793.98058252427188"/>
    <s v="重量收费"/>
    <n v="4.2"/>
    <m/>
    <n v="72.463768115942031"/>
    <n v="3407.1822147178841"/>
    <n v="2.2714548098119227"/>
    <n v="0.33902310594207802"/>
    <m/>
    <m/>
    <m/>
    <x v="16"/>
    <d v="2026-04-19T00:00:00"/>
    <m/>
    <n v="0.43999999999999995"/>
    <n v="659.99999999999989"/>
    <m/>
    <n v="-46109"/>
    <m/>
  </r>
  <r>
    <n v="295"/>
    <m/>
    <s v="W13009"/>
    <s v="FBA199C7XWBM"/>
    <s v="V-US"/>
    <x v="0"/>
    <s v="AN8KIT-WH_4X10K05_TZ"/>
    <n v="720"/>
    <s v="嘀嗒嘀"/>
    <s v="盐田海卡"/>
    <s v="MIT2"/>
    <x v="111"/>
    <s v="AN8KIT-WH_4X10K05_TZ AN8白色机器+4x10mL（天竺）酒店香氛油 机油套装"/>
    <x v="4"/>
    <n v="24"/>
    <n v="381.11067961165048"/>
    <s v="重量收费"/>
    <n v="4.2"/>
    <m/>
    <n v="34.782608695652172"/>
    <n v="1635.4474630645843"/>
    <n v="2.2714548098119227"/>
    <n v="0.33902310594207802"/>
    <m/>
    <m/>
    <m/>
    <x v="16"/>
    <d v="2026-04-19T00:00:00"/>
    <m/>
    <n v="0.43999999999999995"/>
    <n v="316.79999999999995"/>
    <m/>
    <n v="-46109"/>
    <m/>
  </r>
  <r>
    <n v="296"/>
    <m/>
    <s v="W13009"/>
    <s v="FBA1998DXN77"/>
    <s v="A-US"/>
    <x v="0"/>
    <s v="ANZKIT-W_SJ30ML"/>
    <n v="150"/>
    <s v="嘀嗒嘀"/>
    <s v="盐田海卡"/>
    <s v="MIT2"/>
    <x v="114"/>
    <s v="ANZKIT-W_SJ30ML ANZ白色机器+30mL四季酒店香氛油（天竺） 机油套装"/>
    <x v="0"/>
    <n v="5"/>
    <n v="79.400000000000006"/>
    <s v="重量收费"/>
    <n v="4.2"/>
    <m/>
    <n v="7.2463768115942031"/>
    <n v="340.72637681159421"/>
    <n v="2.2715091787439614"/>
    <n v="0.33903122070805392"/>
    <m/>
    <m/>
    <m/>
    <x v="16"/>
    <d v="2026-04-19T00:00:00"/>
    <m/>
    <n v="0.44"/>
    <n v="66"/>
    <m/>
    <n v="-46109"/>
    <m/>
  </r>
  <r>
    <n v="297"/>
    <m/>
    <s v="W13011"/>
    <s v="FBA19981TS59"/>
    <s v="E-US"/>
    <x v="0"/>
    <s v="ANZ-B"/>
    <n v="800"/>
    <s v="万邦"/>
    <s v="以星海卡"/>
    <s v="GEU3"/>
    <x v="0"/>
    <s v="ANZ-B 便携式扩香仪 黑色"/>
    <x v="0"/>
    <n v="20"/>
    <n v="287.14"/>
    <s v="重量收费"/>
    <n v="4.9000000000000004"/>
    <n v="200"/>
    <n v="142.85714285714286"/>
    <n v="1549.843142857143"/>
    <n v="1.9373039285714286"/>
    <n v="0.28914984008528782"/>
    <m/>
    <m/>
    <m/>
    <x v="16"/>
    <d v="2026-04-12T00:00:00"/>
    <m/>
    <n v="0.36"/>
    <n v="288"/>
    <m/>
    <n v="-46109"/>
    <m/>
  </r>
  <r>
    <n v="298"/>
    <m/>
    <s v="W13011"/>
    <s v="FBA19982BL68"/>
    <s v="E-US"/>
    <x v="0"/>
    <s v="ANZKIT-B_4X10K04_TZ"/>
    <n v="240"/>
    <s v="万邦"/>
    <s v="以星海卡"/>
    <s v="GEU3"/>
    <x v="38"/>
    <s v="ANZKIT-B_4X10K04_TZ ANZ黑色机器+4x10mL酒店（天竺）香氛油 机油套装"/>
    <x v="0"/>
    <n v="8"/>
    <n v="114.86"/>
    <s v="重量收费"/>
    <n v="4.9000000000000004"/>
    <n v="200"/>
    <n v="57.142857142857146"/>
    <n v="619.95685714285719"/>
    <n v="2.5831535714285718"/>
    <n v="0.38554530916844354"/>
    <m/>
    <m/>
    <m/>
    <x v="16"/>
    <d v="2026-04-12T00:00:00"/>
    <m/>
    <n v="0.44"/>
    <n v="105.6"/>
    <m/>
    <n v="-46109"/>
    <m/>
  </r>
  <r>
    <n v="299"/>
    <m/>
    <s v="W13009"/>
    <s v="FBA1997ZZGG7"/>
    <s v="E-US"/>
    <x v="0"/>
    <s v="ANZKIT-B_4X10K04_TZ"/>
    <n v="360"/>
    <s v="嘀嗒嘀"/>
    <s v="盐田海卡"/>
    <s v="GEU3"/>
    <x v="38"/>
    <s v="ANZKIT-B_4X10K04_TZ ANZ黑色机器+4x10mL酒店（天竺）香氛油 机油套装"/>
    <x v="0"/>
    <n v="12"/>
    <n v="192.54545454545456"/>
    <s v="重量收费"/>
    <n v="4.3"/>
    <n v="200"/>
    <n v="17.391304347826086"/>
    <n v="845.33675889328072"/>
    <n v="2.3481576635924464"/>
    <n v="0.35047129307349945"/>
    <m/>
    <m/>
    <m/>
    <x v="16"/>
    <d v="2026-04-19T00:00:00"/>
    <m/>
    <n v="0.43999999999999995"/>
    <n v="158.39999999999998"/>
    <m/>
    <n v="-46109"/>
    <m/>
  </r>
  <r>
    <n v="300"/>
    <m/>
    <s v="W13009"/>
    <s v="FBA1997ZZGG7"/>
    <s v="E-US"/>
    <x v="0"/>
    <s v="ANZKIT-W_4X10K04_TZ"/>
    <n v="300"/>
    <s v="嘀嗒嘀"/>
    <s v="盐田海卡"/>
    <s v="GEU3"/>
    <x v="109"/>
    <s v="ANZKIT-W_4X10K04_TZ ANZ白色机器+4x10mL酒店（天竺）香氛油 机油套装"/>
    <x v="0"/>
    <n v="10"/>
    <n v="160.45454545454547"/>
    <s v="重量收费"/>
    <n v="4.3"/>
    <n v="200"/>
    <n v="14.492753623188406"/>
    <n v="704.44729907773387"/>
    <n v="2.3481576635924464"/>
    <n v="0.35047129307349945"/>
    <m/>
    <m/>
    <m/>
    <x v="16"/>
    <d v="2026-04-19T00:00:00"/>
    <m/>
    <n v="0.43999999999999995"/>
    <n v="131.99999999999997"/>
    <m/>
    <n v="-46109"/>
    <m/>
  </r>
  <r>
    <n v="301"/>
    <m/>
    <s v="W13005"/>
    <s v="FBA19981L65S"/>
    <s v="E-US"/>
    <x v="0"/>
    <s v="001000045"/>
    <n v="180"/>
    <s v="国润通"/>
    <s v="盐田海卡"/>
    <s v="GEU3"/>
    <x v="1"/>
    <s v="ANX-B 便携式扩香仪 黑色"/>
    <x v="1"/>
    <n v="6"/>
    <n v="76.89473684210526"/>
    <s v="重量收费"/>
    <n v="4"/>
    <n v="200"/>
    <n v="12"/>
    <n v="319.57894736842104"/>
    <n v="1.775438596491228"/>
    <n v="0.26499083529719819"/>
    <m/>
    <m/>
    <m/>
    <x v="16"/>
    <d v="2026-04-18T00:00:00"/>
    <m/>
    <n v="0.38244604316546765"/>
    <n v="68.840287769784183"/>
    <m/>
    <n v="-46109"/>
    <m/>
  </r>
  <r>
    <n v="302"/>
    <m/>
    <s v="W13005"/>
    <s v="FBA19981L65S"/>
    <s v="E-US"/>
    <x v="0"/>
    <s v="001000052"/>
    <n v="210"/>
    <s v="国润通"/>
    <s v="盐田海卡"/>
    <s v="GEU3"/>
    <x v="37"/>
    <s v="ANX-DT 便携式扩香仪 沙漠钛色"/>
    <x v="1"/>
    <n v="7"/>
    <n v="89.71052631578948"/>
    <s v="重量收费"/>
    <n v="4"/>
    <n v="200"/>
    <n v="14"/>
    <n v="372.84210526315792"/>
    <n v="1.7754385964912283"/>
    <n v="0.26499083529719825"/>
    <m/>
    <m/>
    <m/>
    <x v="16"/>
    <d v="2026-04-18T00:00:00"/>
    <m/>
    <n v="0.38244604316546765"/>
    <n v="80.313669064748211"/>
    <m/>
    <n v="-46109"/>
    <m/>
  </r>
  <r>
    <n v="303"/>
    <m/>
    <s v="W13005"/>
    <s v="FBA19981L65S"/>
    <s v="E-US"/>
    <x v="0"/>
    <s v="ANZ-B"/>
    <n v="600"/>
    <s v="国润通"/>
    <s v="盐田海卡"/>
    <s v="GEU3"/>
    <x v="0"/>
    <s v="ANZ-B 便携式扩香仪 黑色"/>
    <x v="0"/>
    <n v="15"/>
    <n v="192.23684210526315"/>
    <s v="重量收费"/>
    <n v="4"/>
    <m/>
    <n v="30"/>
    <n v="798.9473684210526"/>
    <n v="1.331578947368421"/>
    <n v="0.19874312647289866"/>
    <m/>
    <m/>
    <m/>
    <x v="16"/>
    <d v="2026-04-18T00:00:00"/>
    <m/>
    <n v="0.38244604316546765"/>
    <n v="229.46762589928059"/>
    <m/>
    <n v="-46109"/>
    <m/>
  </r>
  <r>
    <n v="304"/>
    <m/>
    <s v="W13005"/>
    <s v="FBA19981L65S"/>
    <s v="E-US"/>
    <x v="0"/>
    <s v="ANZ-WH"/>
    <n v="400"/>
    <s v="国润通"/>
    <s v="盐田海卡"/>
    <s v="GEU3"/>
    <x v="53"/>
    <s v="ANZ-WH 便携式扩香仪 白色"/>
    <x v="0"/>
    <n v="10"/>
    <n v="128.15789473684211"/>
    <s v="重量收费"/>
    <n v="4"/>
    <m/>
    <n v="20"/>
    <n v="532.63157894736844"/>
    <n v="1.3315789473684212"/>
    <n v="0.19874312647289868"/>
    <m/>
    <m/>
    <m/>
    <x v="16"/>
    <d v="2026-04-18T00:00:00"/>
    <m/>
    <n v="0.38244604316546765"/>
    <n v="152.97841726618705"/>
    <m/>
    <n v="-46109"/>
    <m/>
  </r>
  <r>
    <n v="305"/>
    <m/>
    <s v="W13006"/>
    <s v="FBA15LKVV9JS"/>
    <s v="E-UK"/>
    <x v="2"/>
    <s v="AN6-G"/>
    <n v="80"/>
    <s v="嘀嗒嘀"/>
    <s v="英国海卡"/>
    <s v="BHX4"/>
    <x v="118"/>
    <s v="AN6-G 便携式扩香仪 灰色"/>
    <x v="3"/>
    <n v="2"/>
    <n v="24.5"/>
    <s v="重量收费"/>
    <n v="4.5999999999999996"/>
    <n v="550"/>
    <n v="68.75"/>
    <n v="181.45"/>
    <n v="2.2681249999999999"/>
    <n v="0.33852611940298505"/>
    <m/>
    <m/>
    <m/>
    <x v="16"/>
    <d v="2026-05-10T00:00:00"/>
    <m/>
    <n v="0"/>
    <n v="0"/>
    <m/>
    <n v="-46109"/>
    <m/>
  </r>
  <r>
    <n v="306"/>
    <m/>
    <s v="W13006"/>
    <s v="FBA15LKVV9JS"/>
    <s v="E-UK"/>
    <x v="2"/>
    <s v="001000045"/>
    <n v="210"/>
    <s v="嘀嗒嘀"/>
    <s v="英国海卡"/>
    <s v="BHX4"/>
    <x v="1"/>
    <s v="ANX-B 便携式扩香仪 黑色"/>
    <x v="1"/>
    <n v="7"/>
    <n v="85.75"/>
    <s v="重量收费"/>
    <n v="4.5999999999999996"/>
    <n v="550"/>
    <n v="240.625"/>
    <n v="635.07500000000005"/>
    <n v="3.0241666666666669"/>
    <n v="0.4513681592039801"/>
    <m/>
    <m/>
    <m/>
    <x v="16"/>
    <d v="2026-05-10T00:00:00"/>
    <m/>
    <n v="0"/>
    <n v="0"/>
    <m/>
    <n v="-46109"/>
    <m/>
  </r>
  <r>
    <n v="307"/>
    <m/>
    <s v="W13006"/>
    <s v="FBA15LKVV9JS"/>
    <s v="E-UK"/>
    <x v="2"/>
    <s v="001000052"/>
    <n v="90"/>
    <s v="嘀嗒嘀"/>
    <s v="英国海卡"/>
    <s v="BHX4"/>
    <x v="37"/>
    <s v="ANX-DT 便携式扩香仪 沙漠钛色"/>
    <x v="1"/>
    <n v="3"/>
    <n v="36.75"/>
    <s v="重量收费"/>
    <n v="4.5999999999999996"/>
    <m/>
    <n v="103.125"/>
    <n v="272.17499999999995"/>
    <n v="3.024166666666666"/>
    <n v="0.45136815920397999"/>
    <m/>
    <m/>
    <m/>
    <x v="16"/>
    <d v="2026-05-10T00:00:00"/>
    <m/>
    <n v="0"/>
    <n v="0"/>
    <m/>
    <n v="-46109"/>
    <m/>
  </r>
  <r>
    <n v="308"/>
    <m/>
    <s v="W13006"/>
    <s v="FBA15LKVV9JS"/>
    <s v="E-UK"/>
    <x v="2"/>
    <s v="001000051"/>
    <n v="60"/>
    <s v="嘀嗒嘀"/>
    <s v="英国海卡"/>
    <s v="BHX4"/>
    <x v="4"/>
    <s v="ANX-SG 便携式扩香仪 太空灰色"/>
    <x v="1"/>
    <n v="2"/>
    <n v="24.5"/>
    <s v="重量收费"/>
    <n v="4.5999999999999996"/>
    <m/>
    <n v="68.75"/>
    <n v="181.45"/>
    <n v="3.0241666666666664"/>
    <n v="0.45136815920398005"/>
    <m/>
    <m/>
    <m/>
    <x v="16"/>
    <d v="2026-05-10T00:00:00"/>
    <m/>
    <n v="0"/>
    <n v="0"/>
    <m/>
    <n v="-46109"/>
    <m/>
  </r>
  <r>
    <n v="309"/>
    <m/>
    <s v="W13006"/>
    <s v="FBA15LKVV9JS"/>
    <s v="E-UK"/>
    <x v="2"/>
    <s v="001000046"/>
    <n v="60"/>
    <s v="嘀嗒嘀"/>
    <s v="英国海卡"/>
    <s v="BHX4"/>
    <x v="92"/>
    <s v="ANX-SILV 便携式扩香仪 银色"/>
    <x v="1"/>
    <n v="2"/>
    <n v="24.5"/>
    <s v="重量收费"/>
    <n v="4.5999999999999996"/>
    <m/>
    <n v="68.75"/>
    <n v="181.45"/>
    <n v="3.0241666666666664"/>
    <n v="0.45136815920398005"/>
    <m/>
    <m/>
    <m/>
    <x v="16"/>
    <d v="2026-05-10T00:00:00"/>
    <m/>
    <n v="0"/>
    <n v="0"/>
    <m/>
    <n v="-46109"/>
    <m/>
  </r>
  <r>
    <n v="310"/>
    <m/>
    <s v="W13007"/>
    <s v="FBA15LKZVHYC"/>
    <s v="W-DE"/>
    <x v="1"/>
    <s v="AN8KIT-B_4X10K05_TZ"/>
    <n v="150"/>
    <s v="万邦"/>
    <s v="欧洲海卡"/>
    <s v="BER8"/>
    <x v="117"/>
    <s v="AN8KIT-B_4X10K05_TZ AN8黑色机器+4x10mL（天竺）酒店香氛油 机油套装"/>
    <x v="4"/>
    <n v="5"/>
    <n v="79.5"/>
    <s v="重量收费"/>
    <n v="9.6"/>
    <n v="550"/>
    <n v="275"/>
    <n v="1038.1999999999998"/>
    <n v="6.9213333333333322"/>
    <n v="1.0330348258706465"/>
    <m/>
    <m/>
    <m/>
    <x v="17"/>
    <d v="2026-04-29T00:00:00"/>
    <m/>
    <n v="0"/>
    <n v="0"/>
    <m/>
    <n v="-46107"/>
    <m/>
  </r>
  <r>
    <n v="311"/>
    <m/>
    <s v="W13007"/>
    <s v="FBA15LKZVHYC"/>
    <s v="W-DE"/>
    <x v="1"/>
    <s v="AN8KIT-WH_4X10K05_TZ"/>
    <n v="90"/>
    <s v="万邦"/>
    <s v="欧洲海卡"/>
    <s v="BER8"/>
    <x v="111"/>
    <s v="AN8KIT-WH_4X10K05_TZ AN8白色机器+4x10mL（天竺）酒店香氛油 机油套装"/>
    <x v="4"/>
    <n v="3"/>
    <n v="47.7"/>
    <s v="重量收费"/>
    <n v="9.6"/>
    <n v="550"/>
    <n v="165"/>
    <n v="622.92000000000007"/>
    <n v="6.921333333333334"/>
    <n v="1.0330348258706468"/>
    <m/>
    <m/>
    <m/>
    <x v="17"/>
    <d v="2026-04-29T00:00:00"/>
    <m/>
    <n v="0"/>
    <n v="0"/>
    <m/>
    <n v="-46107"/>
    <m/>
  </r>
  <r>
    <n v="312"/>
    <m/>
    <s v="W13009"/>
    <s v="FBA1990KKRQ3"/>
    <s v="A-US"/>
    <x v="0"/>
    <s v="ANZKIT-B_B"/>
    <n v="160"/>
    <s v="嘀嗒嘀"/>
    <s v="盐田海卡"/>
    <s v="TCY2"/>
    <x v="119"/>
    <s v="ANZKIT-B_B 便携式扩香仪 黑色 两个装"/>
    <x v="0"/>
    <n v="8"/>
    <n v="104"/>
    <s v="重量收费"/>
    <n v="4.0999999999999996"/>
    <n v="200"/>
    <n v="11.594202898550725"/>
    <n v="437.99420289855072"/>
    <n v="2.7374637681159419"/>
    <n v="0.40857668180834955"/>
    <m/>
    <m/>
    <m/>
    <x v="16"/>
    <d v="2026-04-19T00:00:00"/>
    <m/>
    <n v="0.44000000000000006"/>
    <n v="70.400000000000006"/>
    <m/>
    <n v="-46109"/>
    <m/>
  </r>
  <r>
    <n v="313"/>
    <m/>
    <s v="W13002"/>
    <s v="FBA1998CWPX7"/>
    <s v="W-US"/>
    <x v="0"/>
    <s v="002000027"/>
    <n v="192"/>
    <s v="国润通"/>
    <s v="盐田海卡"/>
    <s v="MIT2"/>
    <x v="79"/>
    <s v="M1-B 电子球形把手锁 黑色"/>
    <x v="18"/>
    <n v="12"/>
    <n v="175.99924528301887"/>
    <s v="重量收费"/>
    <n v="3.9"/>
    <n v="200"/>
    <n v="38.095238095238095"/>
    <n v="724.49229469901161"/>
    <n v="3.7733973682240189"/>
    <n v="0.56319363704836101"/>
    <m/>
    <m/>
    <m/>
    <x v="18"/>
    <d v="2026-04-13T00:00:00"/>
    <m/>
    <n v="0.55999999999999994"/>
    <n v="107.51999999999998"/>
    <m/>
    <n v="-46108"/>
    <m/>
  </r>
  <r>
    <n v="314"/>
    <m/>
    <s v="W13002"/>
    <s v="FBA1998CWPX7"/>
    <s v="W-US"/>
    <x v="0"/>
    <s v="002000028"/>
    <n v="64"/>
    <s v="国润通"/>
    <s v="盐田海卡"/>
    <s v="MIT2"/>
    <x v="80"/>
    <s v="M1-T 电子球形把手锁 钛灰色"/>
    <x v="18"/>
    <n v="4"/>
    <n v="58.666415094339627"/>
    <s v="重量收费"/>
    <n v="3.9"/>
    <n v="200"/>
    <n v="12.698412698412698"/>
    <n v="241.49743156633724"/>
    <n v="3.7733973682240194"/>
    <n v="0.56319363704836112"/>
    <m/>
    <m/>
    <m/>
    <x v="18"/>
    <d v="2026-04-13T00:00:00"/>
    <m/>
    <n v="0.55999999999999994"/>
    <n v="35.839999999999996"/>
    <m/>
    <n v="-46108"/>
    <m/>
  </r>
  <r>
    <n v="315"/>
    <m/>
    <s v="W13002"/>
    <s v="FBA1998CWPX7"/>
    <s v="W-US"/>
    <x v="0"/>
    <s v="002000029"/>
    <n v="528"/>
    <s v="国润通"/>
    <s v="盐田海卡"/>
    <s v="MIT2"/>
    <x v="81"/>
    <s v="MD1-B 电子球形把手锁 指纹 黑色"/>
    <x v="19"/>
    <n v="33"/>
    <n v="483.99792452830189"/>
    <s v="重量收费"/>
    <n v="3.9"/>
    <m/>
    <n v="104.76190476190476"/>
    <n v="1992.3538104222821"/>
    <n v="3.7733973682240189"/>
    <n v="0.56319363704836101"/>
    <m/>
    <m/>
    <m/>
    <x v="18"/>
    <d v="2026-04-13T00:00:00"/>
    <m/>
    <n v="0.55999999999999994"/>
    <n v="295.67999999999995"/>
    <m/>
    <n v="-46108"/>
    <m/>
  </r>
  <r>
    <n v="316"/>
    <m/>
    <s v="W13002"/>
    <s v="FBA1998CWPX7"/>
    <s v="W-US"/>
    <x v="0"/>
    <s v="002000030"/>
    <n v="16"/>
    <s v="国润通"/>
    <s v="盐田海卡"/>
    <s v="MIT2"/>
    <x v="83"/>
    <s v="MD1-T 电子球形把手锁 指纹 钛灰色"/>
    <x v="19"/>
    <n v="1"/>
    <n v="14.666603773584907"/>
    <s v="重量收费"/>
    <n v="3.9"/>
    <m/>
    <n v="3.1746031746031744"/>
    <n v="60.37435789158431"/>
    <n v="3.7733973682240194"/>
    <n v="0.56319363704836112"/>
    <m/>
    <m/>
    <m/>
    <x v="18"/>
    <d v="2026-04-13T00:00:00"/>
    <m/>
    <n v="0.55999999999999994"/>
    <n v="8.9599999999999991"/>
    <m/>
    <n v="-46108"/>
    <m/>
  </r>
  <r>
    <n v="317"/>
    <m/>
    <s v="W13002"/>
    <s v="FBA1998CWPX7"/>
    <s v="W-US"/>
    <x v="0"/>
    <s v="002000031"/>
    <n v="32"/>
    <s v="国润通"/>
    <s v="盐田海卡"/>
    <s v="MIT2"/>
    <x v="84"/>
    <s v="MK1-B 智能球形把手锁 黑色"/>
    <x v="20"/>
    <n v="2"/>
    <n v="29.333207547169813"/>
    <s v="重量收费"/>
    <n v="3.9"/>
    <m/>
    <n v="6.3492063492063489"/>
    <n v="120.74871578316862"/>
    <n v="3.7733973682240194"/>
    <n v="0.56319363704836112"/>
    <m/>
    <m/>
    <m/>
    <x v="18"/>
    <d v="2026-04-13T00:00:00"/>
    <m/>
    <n v="0.55999999999999994"/>
    <n v="17.919999999999998"/>
    <m/>
    <n v="-46108"/>
    <m/>
  </r>
  <r>
    <n v="318"/>
    <m/>
    <s v="W13002"/>
    <s v="FBA1998CWPX7"/>
    <s v="W-US"/>
    <x v="0"/>
    <s v="002000032"/>
    <n v="16"/>
    <s v="国润通"/>
    <s v="盐田海卡"/>
    <s v="MIT2"/>
    <x v="86"/>
    <s v="MK1-T 智能球形把手锁 钛色"/>
    <x v="20"/>
    <n v="1"/>
    <n v="14.666603773584907"/>
    <s v="重量收费"/>
    <n v="3.9"/>
    <m/>
    <n v="3.1746031746031744"/>
    <n v="60.37435789158431"/>
    <n v="3.7733973682240194"/>
    <n v="0.56319363704836112"/>
    <m/>
    <m/>
    <m/>
    <x v="18"/>
    <d v="2026-04-13T00:00:00"/>
    <m/>
    <n v="0.55999999999999994"/>
    <n v="8.9599999999999991"/>
    <m/>
    <n v="-46108"/>
    <m/>
  </r>
  <r>
    <n v="319"/>
    <m/>
    <s v="W13004"/>
    <s v="FBA1998BJR8W"/>
    <s v="W-US"/>
    <x v="0"/>
    <s v="002000027"/>
    <n v="176"/>
    <s v="国润通"/>
    <s v="以星海卡"/>
    <s v="POC3"/>
    <x v="79"/>
    <s v="M1-B 电子球形把手锁 黑色"/>
    <x v="18"/>
    <n v="11"/>
    <n v="159"/>
    <s v="重量收费"/>
    <n v="4.3"/>
    <n v="200"/>
    <n v="200"/>
    <n v="883.69999999999993"/>
    <n v="5.0210227272727268"/>
    <n v="0.74940637720488457"/>
    <m/>
    <m/>
    <m/>
    <x v="18"/>
    <d v="2026-04-14T00:00:00"/>
    <m/>
    <n v="0.56000000000000005"/>
    <n v="98.56"/>
    <m/>
    <n v="-46108"/>
    <m/>
  </r>
  <r>
    <n v="320"/>
    <m/>
    <s v="W13002"/>
    <s v="FBA1998CHTC2"/>
    <s v="W-US"/>
    <x v="0"/>
    <s v="G1-B"/>
    <n v="160"/>
    <s v="国润通"/>
    <s v="盐田海卡"/>
    <s v="MIT2"/>
    <x v="63"/>
    <s v="G1-B 电子球形把手锁 黑色"/>
    <x v="12"/>
    <n v="10"/>
    <n v="146.66999999999999"/>
    <s v="重量收费"/>
    <n v="3.9"/>
    <n v="200"/>
    <n v="31.746031746031747"/>
    <n v="603.75903174603172"/>
    <n v="3.7734939484126984"/>
    <n v="0.56320805200189528"/>
    <m/>
    <m/>
    <m/>
    <x v="18"/>
    <d v="2026-04-13T00:00:00"/>
    <m/>
    <n v="0.55999999999999994"/>
    <n v="89.6"/>
    <m/>
    <n v="-46108"/>
    <m/>
  </r>
  <r>
    <n v="321"/>
    <m/>
    <s v="W13003"/>
    <s v="FBA1998BTZST"/>
    <s v="W-CA"/>
    <x v="3"/>
    <s v="002000027"/>
    <n v="32"/>
    <s v="国润通"/>
    <s v="加拿大海卡"/>
    <s v="YYZ4"/>
    <x v="79"/>
    <s v="M1-B 电子球形把手锁 黑色"/>
    <x v="18"/>
    <n v="2"/>
    <n v="29.666666666666668"/>
    <s v="重量收费"/>
    <n v="5"/>
    <n v="350"/>
    <n v="116.66666666666667"/>
    <n v="265"/>
    <n v="8.28125"/>
    <n v="1.2360074626865671"/>
    <m/>
    <m/>
    <m/>
    <x v="18"/>
    <d v="2026-04-20T00:00:00"/>
    <m/>
    <n v="0"/>
    <n v="0"/>
    <m/>
    <n v="-46108"/>
    <m/>
  </r>
  <r>
    <n v="322"/>
    <m/>
    <s v="W13003"/>
    <s v="FBA1998BTZST"/>
    <s v="W-CA"/>
    <x v="3"/>
    <s v="002000029"/>
    <n v="48"/>
    <s v="国润通"/>
    <s v="加拿大海卡"/>
    <s v="YYZ4"/>
    <x v="81"/>
    <s v="MD1-B 电子球形把手锁 指纹 黑色"/>
    <x v="19"/>
    <n v="3"/>
    <n v="44.5"/>
    <s v="重量收费"/>
    <n v="5"/>
    <n v="200"/>
    <n v="175"/>
    <n v="397.5"/>
    <n v="8.28125"/>
    <n v="1.2360074626865671"/>
    <m/>
    <m/>
    <m/>
    <x v="18"/>
    <d v="2026-04-20T00:00:00"/>
    <m/>
    <n v="0"/>
    <n v="0"/>
    <m/>
    <n v="-46108"/>
    <m/>
  </r>
  <r>
    <n v="323"/>
    <m/>
    <s v="W13003"/>
    <s v="FBA1998BTZST"/>
    <s v="W-CA"/>
    <x v="3"/>
    <s v="002000031"/>
    <n v="16"/>
    <s v="国润通"/>
    <s v="加拿大海卡"/>
    <s v="YYZ4"/>
    <x v="84"/>
    <s v="MK1-B 智能球形把手锁 黑色"/>
    <x v="20"/>
    <n v="1"/>
    <n v="14.833333333333334"/>
    <s v="重量收费"/>
    <n v="5"/>
    <m/>
    <n v="58.333333333333336"/>
    <n v="132.5"/>
    <n v="8.28125"/>
    <n v="1.2360074626865671"/>
    <m/>
    <m/>
    <m/>
    <x v="18"/>
    <d v="2026-04-20T00:00:00"/>
    <m/>
    <n v="0"/>
    <n v="0"/>
    <m/>
    <n v="-46108"/>
    <m/>
  </r>
  <r>
    <n v="324"/>
    <m/>
    <s v="W13008"/>
    <s v="FBA19968P4N3"/>
    <s v="V-US"/>
    <x v="0"/>
    <s v="ANWKIT-B_US_2X100K03"/>
    <n v="360"/>
    <s v="万邦"/>
    <s v="盐田海卡"/>
    <s v="MIT2"/>
    <x v="120"/>
    <s v="ANWKIT-B_US_2X100K03 ANW黑色机器+2X100mL酒店香氛油（天竺） 机油套装"/>
    <x v="10"/>
    <n v="30"/>
    <n v="522.45283018867917"/>
    <s v="重量收费"/>
    <n v="4.2"/>
    <n v="200"/>
    <n v="41.095890410958901"/>
    <n v="2235.3977772034114"/>
    <n v="6.2094382700094757"/>
    <n v="0.92678183134469783"/>
    <m/>
    <m/>
    <m/>
    <x v="16"/>
    <d v="2026-04-17T00:00:00"/>
    <m/>
    <n v="0.56000000000000005"/>
    <n v="201.60000000000002"/>
    <m/>
    <n v="-46109"/>
    <m/>
  </r>
  <r>
    <n v="325"/>
    <m/>
    <s v="W13008"/>
    <s v="FBA19968P4N3"/>
    <s v="V-US"/>
    <x v="0"/>
    <s v="ANWKIT-WH_US_2X100K03"/>
    <n v="276"/>
    <s v="万邦"/>
    <s v="盐田海卡"/>
    <s v="MIT2"/>
    <x v="44"/>
    <s v="ANWKIT-WH_US_2X100K03 ANW白色机器+2X100mL酒店香氛油（天竺） 机油套装"/>
    <x v="10"/>
    <n v="23"/>
    <n v="400.54716981132071"/>
    <s v="重量收费"/>
    <n v="4.2"/>
    <m/>
    <n v="31.506849315068493"/>
    <n v="1713.8049625226154"/>
    <n v="6.2094382700094757"/>
    <n v="0.92678183134469783"/>
    <m/>
    <m/>
    <m/>
    <x v="16"/>
    <d v="2026-04-17T00:00:00"/>
    <m/>
    <n v="0.56000000000000005"/>
    <n v="154.56"/>
    <m/>
    <n v="-46109"/>
    <m/>
  </r>
  <r>
    <n v="326"/>
    <m/>
    <s v="W13012"/>
    <s v="FBA198XY9VBP"/>
    <s v="K-US"/>
    <x v="0"/>
    <s v="ANPKIT-B_US_3X20K01_TZ"/>
    <n v="192"/>
    <s v="万邦"/>
    <s v="盐田海卡"/>
    <s v="HLI2"/>
    <x v="121"/>
    <s v="ANPKIT-B_US_3X20K01_TZ ANP黑色机器+3X20mL酒店香氛油（天竺） 机油套装"/>
    <x v="26"/>
    <n v="6"/>
    <n v="120.89999999999999"/>
    <s v="重量收费"/>
    <n v="4.2"/>
    <n v="200"/>
    <n v="60"/>
    <n v="567.78"/>
    <n v="2.9571874999999999"/>
    <n v="0.44137126865671639"/>
    <m/>
    <m/>
    <m/>
    <x v="16"/>
    <d v="2026-04-17T00:00:00"/>
    <m/>
    <n v="0.42870056497175141"/>
    <n v="82.310508474576267"/>
    <m/>
    <n v="-46109"/>
    <m/>
  </r>
  <r>
    <n v="327"/>
    <m/>
    <s v="W13012"/>
    <s v="FBA198XY9VBP"/>
    <s v="K-US"/>
    <x v="0"/>
    <s v="ANPKIT-WH_US_3X20K01_TZ"/>
    <n v="416"/>
    <s v="万邦"/>
    <s v="盐田海卡"/>
    <s v="HLI2"/>
    <x v="122"/>
    <s v="ANPKIT-WH_US_3X20K01_TZ ANP白色机器+3X20mL酒店香氛油（天竺） 机油套装"/>
    <x v="26"/>
    <n v="13"/>
    <n v="261.95"/>
    <s v="重量收费"/>
    <n v="4.2"/>
    <n v="200"/>
    <n v="130"/>
    <n v="1230.19"/>
    <n v="2.9571875000000003"/>
    <n v="0.44137126865671644"/>
    <m/>
    <m/>
    <m/>
    <x v="16"/>
    <d v="2026-04-17T00:00:00"/>
    <m/>
    <n v="0.42870056497175141"/>
    <n v="178.33943502824857"/>
    <m/>
    <n v="-46109"/>
    <m/>
  </r>
  <r>
    <n v="328"/>
    <m/>
    <s v="W13012"/>
    <s v="FBA198XY9VBP"/>
    <s v="K-US"/>
    <x v="0"/>
    <s v="ANPPJ-BOT"/>
    <n v="100"/>
    <s v="万邦"/>
    <s v="盐田海卡"/>
    <s v="HLI2"/>
    <x v="123"/>
    <s v="ANPPJ-BOT 墙插式智能扩香仪160mL带盖替换瓶"/>
    <x v="27"/>
    <n v="1"/>
    <n v="20.149999999999999"/>
    <s v="重量收费"/>
    <n v="4.2"/>
    <m/>
    <n v="10"/>
    <n v="94.63"/>
    <n v="0.94629999999999992"/>
    <n v="0.14123880597014923"/>
    <m/>
    <m/>
    <m/>
    <x v="16"/>
    <d v="2026-04-17T00:00:00"/>
    <m/>
    <n v="0.42870056497175141"/>
    <n v="42.870056497175142"/>
    <m/>
    <n v="-46109"/>
    <m/>
  </r>
  <r>
    <n v="329"/>
    <m/>
    <s v="W13005"/>
    <s v="FBA199664Z1H"/>
    <s v="V-US"/>
    <x v="0"/>
    <s v="001000032"/>
    <n v="180"/>
    <s v="国润通"/>
    <s v="盐田海卡"/>
    <s v="TCY1"/>
    <x v="40"/>
    <s v="ANW-B 智能扩香仪 黑色"/>
    <x v="10"/>
    <n v="15"/>
    <n v="213.62903225806451"/>
    <s v="重量收费"/>
    <n v="4"/>
    <n v="200"/>
    <n v="30"/>
    <n v="884.51612903225805"/>
    <n v="4.913978494623656"/>
    <n v="0.73342962606323225"/>
    <m/>
    <m/>
    <m/>
    <x v="18"/>
    <d v="2026-04-18T00:00:00"/>
    <m/>
    <n v="0.50218809980806134"/>
    <n v="90.393857965451048"/>
    <m/>
    <n v="-46108"/>
    <m/>
  </r>
  <r>
    <n v="330"/>
    <m/>
    <s v="W13005"/>
    <s v="FBA199664Z1H"/>
    <s v="V-US"/>
    <x v="0"/>
    <s v="001000033"/>
    <n v="420"/>
    <s v="国润通"/>
    <s v="盐田海卡"/>
    <s v="TCY1"/>
    <x v="41"/>
    <s v="ANW-W 智能扩香仪 白色"/>
    <x v="10"/>
    <n v="35"/>
    <n v="498.4677419354839"/>
    <s v="重量收费"/>
    <n v="4"/>
    <n v="200"/>
    <n v="70"/>
    <n v="2063.8709677419356"/>
    <n v="4.913978494623656"/>
    <n v="0.73342962606323225"/>
    <m/>
    <m/>
    <m/>
    <x v="18"/>
    <d v="2026-04-18T00:00:00"/>
    <m/>
    <n v="0.50218809980806134"/>
    <n v="210.91900191938575"/>
    <m/>
    <n v="-46108"/>
    <m/>
  </r>
  <r>
    <n v="331"/>
    <m/>
    <s v="W13005"/>
    <s v="FBA199664Z1H"/>
    <s v="V-US"/>
    <x v="0"/>
    <s v="ANP-W_US"/>
    <n v="352"/>
    <s v="国润通"/>
    <s v="盐田海卡"/>
    <s v="TCY1"/>
    <x v="115"/>
    <s v="ANP-W_US 墙插式智能扩香仪 白色"/>
    <x v="26"/>
    <n v="11"/>
    <n v="156.66129032258064"/>
    <s v="重量收费"/>
    <n v="4"/>
    <m/>
    <n v="22"/>
    <n v="648.64516129032256"/>
    <n v="1.842741935483871"/>
    <n v="0.27503610977371207"/>
    <m/>
    <m/>
    <m/>
    <x v="18"/>
    <d v="2026-04-18T00:00:00"/>
    <m/>
    <n v="0.50218809980806134"/>
    <n v="176.77021113243759"/>
    <m/>
    <n v="-46108"/>
    <m/>
  </r>
  <r>
    <n v="332"/>
    <m/>
    <s v="W13005"/>
    <s v="FBA199664Z1H"/>
    <s v="V-US"/>
    <x v="0"/>
    <s v="001000056"/>
    <n v="90"/>
    <s v="国润通"/>
    <s v="盐田海卡"/>
    <s v="TCY1"/>
    <x v="124"/>
    <s v="ANW-Wbot ANW带盖瓶子 白喷头"/>
    <x v="28"/>
    <n v="1"/>
    <n v="14.241935483870968"/>
    <s v="重量收费"/>
    <n v="4"/>
    <m/>
    <n v="2"/>
    <n v="58.967741935483872"/>
    <n v="0.65519713261648749"/>
    <n v="9.7790616808430972E-2"/>
    <m/>
    <m/>
    <m/>
    <x v="18"/>
    <d v="2026-04-18T00:00:00"/>
    <m/>
    <n v="0.50218809980806134"/>
    <n v="45.196928982725524"/>
    <m/>
    <n v="-46108"/>
    <m/>
  </r>
  <r>
    <n v="333"/>
    <m/>
    <s v="W13001"/>
    <s v="FBA19987CYJC"/>
    <s v="V-US"/>
    <x v="0"/>
    <s v="006000024"/>
    <n v="1350"/>
    <s v="天盛"/>
    <s v="盐田海卡"/>
    <s v="TCY2"/>
    <x v="46"/>
    <s v="A-Ritz Carlton Hotel 3-100 丽思卡尔顿酒店3香氛油100mL"/>
    <x v="11"/>
    <n v="15"/>
    <n v="1"/>
    <s v="CBM收费"/>
    <n v="1180"/>
    <n v="180"/>
    <n v="72.972972972972968"/>
    <n v="1252.9729729729729"/>
    <n v="0.92812812812812806"/>
    <n v="0.13852658628778031"/>
    <m/>
    <m/>
    <m/>
    <x v="18"/>
    <d v="2026-04-18T00:00:00"/>
    <m/>
    <n v="0.36"/>
    <n v="486"/>
    <m/>
    <n v="-46108"/>
    <m/>
  </r>
  <r>
    <n v="334"/>
    <s v="备注跟FBA19987CYJC合并报关"/>
    <s v="W13001"/>
    <s v="FBA199632TX8"/>
    <s v="E-US"/>
    <x v="0"/>
    <s v="HOTEL6KIT1-6X10K01"/>
    <n v="760"/>
    <s v="天盛"/>
    <s v="盐田海卡"/>
    <s v="POC3"/>
    <x v="45"/>
    <s v="HOTEL6KIT1-6X10K01 酒店香氛油6款10mL套装"/>
    <x v="11"/>
    <n v="10"/>
    <n v="0.49"/>
    <s v="CBM收费"/>
    <n v="1030"/>
    <n v="180"/>
    <n v="48.648648648648646"/>
    <n v="553.34864864864858"/>
    <n v="0.72809032716927446"/>
    <n v="0.10867019808496634"/>
    <m/>
    <m/>
    <m/>
    <x v="18"/>
    <d v="2026-04-18T00:00:00"/>
    <m/>
    <n v="0.36000000000000004"/>
    <n v="273.60000000000002"/>
    <m/>
    <n v="-46108"/>
    <m/>
  </r>
  <r>
    <n v="335"/>
    <s v="送货到天盛广州仓安排跟会七里的货合并计费，备注跟FBA19987CYJC合并报关"/>
    <s v="W13001"/>
    <s v="FBA1996418F0"/>
    <s v="E-US"/>
    <x v="0"/>
    <s v="SJ1-100ML_TZ"/>
    <n v="256"/>
    <s v="天盛"/>
    <s v="盐田海卡"/>
    <s v="POC3"/>
    <x v="23"/>
    <s v="SJ1-100ML_TZ 四季酒店100mL香氛油（天竺） 销售包装"/>
    <x v="6"/>
    <n v="4"/>
    <n v="0.19666666666666666"/>
    <s v="CBM收费"/>
    <n v="1030"/>
    <m/>
    <n v="19.45945945945946"/>
    <n v="222.02612612612612"/>
    <n v="0.86728955518018014"/>
    <n v="0.12944620226569853"/>
    <m/>
    <m/>
    <m/>
    <x v="18"/>
    <d v="2026-04-18T00:00:00"/>
    <m/>
    <n v="0.36000000000000004"/>
    <n v="92.160000000000011"/>
    <m/>
    <n v="-46108"/>
    <m/>
  </r>
  <r>
    <n v="336"/>
    <m/>
    <s v="W13001"/>
    <s v="FBA1996418F0"/>
    <s v="E-US"/>
    <x v="0"/>
    <s v="WST1-100ML_TZ"/>
    <n v="128"/>
    <s v="天盛"/>
    <s v="盐田海卡"/>
    <s v="POC3"/>
    <x v="90"/>
    <s v="WST1-100ML_TZ 威斯汀酒店白茶100mL香氛油（天竺） 销售包装"/>
    <x v="6"/>
    <n v="2"/>
    <n v="9.8333333333333328E-2"/>
    <s v="CBM收费"/>
    <n v="1030"/>
    <m/>
    <n v="9.7297297297297298"/>
    <n v="111.01306306306306"/>
    <n v="0.86728955518018014"/>
    <n v="0.12944620226569853"/>
    <m/>
    <m/>
    <m/>
    <x v="18"/>
    <d v="2026-04-18T00:00:00"/>
    <m/>
    <n v="0.36000000000000004"/>
    <n v="46.080000000000005"/>
    <m/>
    <n v="-46108"/>
    <m/>
  </r>
  <r>
    <n v="337"/>
    <m/>
    <s v="W13001"/>
    <s v="FBA1996418F0"/>
    <s v="E-US"/>
    <x v="0"/>
    <s v="HILTON1-100ML_TZ"/>
    <n v="384"/>
    <s v="天盛"/>
    <s v="盐田海卡"/>
    <s v="POC3"/>
    <x v="61"/>
    <s v="HILTON1-100ML_TZ 希尔顿酒店100mL香氛油（天竺） 销售包装"/>
    <x v="6"/>
    <n v="6"/>
    <n v="0.29499999999999998"/>
    <s v="CBM收费"/>
    <n v="1030"/>
    <m/>
    <n v="29.189189189189189"/>
    <n v="333.03918918918913"/>
    <n v="0.86728955518018003"/>
    <n v="0.1294462022656985"/>
    <m/>
    <m/>
    <m/>
    <x v="18"/>
    <d v="2026-04-18T00:00:00"/>
    <m/>
    <n v="0.36000000000000004"/>
    <n v="138.24"/>
    <m/>
    <n v="-46108"/>
    <m/>
  </r>
  <r>
    <n v="338"/>
    <m/>
    <s v="W13007"/>
    <s v="FBA15LKFVN1C"/>
    <s v="W-DE"/>
    <x v="1"/>
    <s v="003000007"/>
    <n v="72"/>
    <s v="万邦"/>
    <s v="欧洲海卡"/>
    <s v="BER8"/>
    <x v="72"/>
    <s v="AP2F-H14 空气净化器滤网2-H14"/>
    <x v="15"/>
    <n v="2"/>
    <n v="31.8"/>
    <s v="重量收费"/>
    <n v="9.6"/>
    <n v="550"/>
    <n v="110"/>
    <n v="415.28"/>
    <n v="5.767777777777777"/>
    <n v="0.86086235489220553"/>
    <m/>
    <m/>
    <m/>
    <x v="17"/>
    <d v="2026-04-29T00:00:00"/>
    <m/>
    <n v="0"/>
    <n v="0"/>
    <m/>
    <n v="-46107"/>
    <m/>
  </r>
  <r>
    <n v="339"/>
    <m/>
    <s v="W14006"/>
    <s v="FBA199KPSFXM"/>
    <s v="E-US"/>
    <x v="0"/>
    <s v="ANZKIT-B_4X10K04_TZ"/>
    <n v="810"/>
    <s v="嘀嗒嘀"/>
    <s v="盐田海卡"/>
    <s v="GEU2"/>
    <x v="38"/>
    <s v="ANZKIT-B_4X10K04_TZ ANZ黑色机器+4x10mL酒店（天竺）香氛油 机油套装"/>
    <x v="0"/>
    <n v="27"/>
    <n v="431.49648648648645"/>
    <s v="重量收费"/>
    <n v="3.7"/>
    <n v="200"/>
    <n v="24.107142857142858"/>
    <n v="1620.6441428571429"/>
    <n v="2.0007952380952383"/>
    <n v="0.29862615493958777"/>
    <m/>
    <m/>
    <m/>
    <x v="19"/>
    <d v="2026-04-27T00:00:00"/>
    <m/>
    <n v="0.44"/>
    <n v="356.4"/>
    <m/>
    <m/>
    <m/>
  </r>
  <r>
    <n v="340"/>
    <m/>
    <s v="W14006"/>
    <s v="FBA199KPSFXM"/>
    <s v="E-US"/>
    <x v="0"/>
    <s v="ANZKIT-W_4X10K04_TZ"/>
    <n v="300"/>
    <s v="嘀嗒嘀"/>
    <s v="盐田海卡"/>
    <s v="GEU2"/>
    <x v="109"/>
    <s v="ANZKIT-W_4X10K04_TZ ANZ白色机器+4x10mL酒店（天竺）香氛油 机油套装"/>
    <x v="0"/>
    <n v="10"/>
    <n v="159.8135135135135"/>
    <s v="重量收费"/>
    <n v="3.7"/>
    <n v="200"/>
    <n v="8.9285714285714288"/>
    <n v="600.23857142857139"/>
    <n v="2.0007952380952378"/>
    <n v="0.29862615493958772"/>
    <m/>
    <m/>
    <m/>
    <x v="19"/>
    <d v="2026-04-27T00:00:00"/>
    <m/>
    <n v="0.44"/>
    <n v="132"/>
    <m/>
    <m/>
    <m/>
  </r>
  <r>
    <n v="341"/>
    <m/>
    <s v="W14007"/>
    <s v="FBA199KNT8RY"/>
    <s v="E-US"/>
    <x v="0"/>
    <s v="001000045"/>
    <n v="450"/>
    <s v="万邦"/>
    <s v="盐田海卡"/>
    <s v="GEU2"/>
    <x v="1"/>
    <s v="ANX-B 便携式扩香仪 黑色"/>
    <x v="1"/>
    <n v="15"/>
    <n v="202.02073170731708"/>
    <s v="重量收费"/>
    <n v="3.6"/>
    <n v="200"/>
    <n v="21.276595744680851"/>
    <n v="748.55122989102244"/>
    <n v="1.6634471775356054"/>
    <n v="0.24827569813964259"/>
    <m/>
    <m/>
    <m/>
    <x v="19"/>
    <d v="2026-04-25T00:00:00"/>
    <m/>
    <n v="0.37558441558441558"/>
    <n v="169.012987012987"/>
    <m/>
    <m/>
    <m/>
  </r>
  <r>
    <n v="342"/>
    <m/>
    <s v="W14007"/>
    <s v="FBA199KNT8RY"/>
    <s v="E-US"/>
    <x v="0"/>
    <s v="001000051"/>
    <n v="150"/>
    <s v="万邦"/>
    <s v="盐田海卡"/>
    <s v="GEU2"/>
    <x v="4"/>
    <s v="ANX-SG 便携式扩香仪 太空灰色"/>
    <x v="1"/>
    <n v="5"/>
    <n v="67.340243902439028"/>
    <s v="重量收费"/>
    <n v="3.6"/>
    <n v="200"/>
    <n v="7.0921985815602833"/>
    <n v="249.5170766303408"/>
    <n v="1.6634471775356052"/>
    <n v="0.24827569813964256"/>
    <m/>
    <m/>
    <m/>
    <x v="19"/>
    <d v="2026-04-25T00:00:00"/>
    <m/>
    <n v="0.37558441558441558"/>
    <n v="56.337662337662337"/>
    <m/>
    <m/>
    <m/>
  </r>
  <r>
    <n v="343"/>
    <m/>
    <s v="W14007"/>
    <s v="FBA199KNT8RY"/>
    <s v="E-US"/>
    <x v="0"/>
    <s v="ANZ-B"/>
    <n v="2000"/>
    <s v="万邦"/>
    <s v="盐田海卡"/>
    <s v="GEU2"/>
    <x v="0"/>
    <s v="ANZ-B 便携式扩香仪 黑色"/>
    <x v="0"/>
    <n v="50"/>
    <n v="673.40243902439033"/>
    <s v="重量收费"/>
    <n v="3.6"/>
    <m/>
    <n v="70.921985815602838"/>
    <n v="2495.1707663034081"/>
    <n v="1.2475853831517041"/>
    <n v="0.18620677360473195"/>
    <m/>
    <m/>
    <m/>
    <x v="19"/>
    <d v="2026-04-25T00:00:00"/>
    <m/>
    <n v="0.37558441558441558"/>
    <n v="751.16883116883116"/>
    <m/>
    <m/>
    <m/>
  </r>
  <r>
    <n v="344"/>
    <m/>
    <s v="W14007"/>
    <s v="FBA199KNT8RY"/>
    <s v="E-US"/>
    <x v="0"/>
    <s v="ANZ-WH"/>
    <n v="480"/>
    <s v="万邦"/>
    <s v="盐田海卡"/>
    <s v="GEU2"/>
    <x v="53"/>
    <s v="ANZ-WH 便携式扩香仪 白色"/>
    <x v="0"/>
    <n v="12"/>
    <n v="161.61658536585367"/>
    <s v="重量收费"/>
    <n v="3.6"/>
    <m/>
    <n v="17.021276595744681"/>
    <n v="598.84098391281793"/>
    <n v="1.2475853831517041"/>
    <n v="0.18620677360473195"/>
    <m/>
    <m/>
    <m/>
    <x v="19"/>
    <d v="2026-04-25T00:00:00"/>
    <m/>
    <n v="0.37558441558441558"/>
    <n v="180.28051948051947"/>
    <m/>
    <m/>
    <m/>
  </r>
  <r>
    <n v="345"/>
    <m/>
    <s v="W14007"/>
    <s v="FBA199JBH82C"/>
    <s v="A-US"/>
    <x v="0"/>
    <s v="ANZKIT-B_B"/>
    <n v="100"/>
    <s v="万邦"/>
    <s v="盐田海卡"/>
    <s v="GEU2"/>
    <x v="119"/>
    <s v="ANZKIT-B_B 便携式扩香仪 黑色 两个装"/>
    <x v="0"/>
    <n v="5"/>
    <n v="67.34"/>
    <s v="重量收费"/>
    <n v="3.6"/>
    <m/>
    <n v="7.0921985815602833"/>
    <n v="249.5161985815603"/>
    <n v="2.4951619858156029"/>
    <n v="0.37241223668889595"/>
    <m/>
    <m/>
    <m/>
    <x v="19"/>
    <d v="2026-04-25T00:00:00"/>
    <m/>
    <n v="0.44"/>
    <n v="44"/>
    <m/>
    <m/>
    <m/>
  </r>
  <r>
    <n v="346"/>
    <m/>
    <s v="W14006"/>
    <s v="FBA199J9RQ5K"/>
    <s v="V-US"/>
    <x v="0"/>
    <s v="AN6KIT-B_4X10K04_TZ"/>
    <n v="420"/>
    <s v="嘀嗒嘀"/>
    <s v="盐田海卡"/>
    <s v="GEU2"/>
    <x v="74"/>
    <s v="AN6KIT-B_4X10K04_TZ AN6黑色机器+4x10mL酒店（天竺）香氛油 机油套装"/>
    <x v="3"/>
    <n v="14"/>
    <n v="223.73919354838711"/>
    <s v="重量收费"/>
    <n v="3.7"/>
    <n v="200"/>
    <n v="12.5"/>
    <n v="840.33501612903228"/>
    <n v="2.000797657450077"/>
    <n v="0.29862651603732493"/>
    <m/>
    <m/>
    <m/>
    <x v="19"/>
    <d v="2026-04-27T00:00:00"/>
    <m/>
    <n v="0.44"/>
    <n v="184.8"/>
    <m/>
    <m/>
    <m/>
  </r>
  <r>
    <n v="347"/>
    <m/>
    <s v="W14006"/>
    <s v="FBA199J9RQ5K"/>
    <s v="V-US"/>
    <x v="0"/>
    <s v="AN8KIT-B_4X10K05_TZ"/>
    <n v="3300"/>
    <s v="嘀嗒嘀"/>
    <s v="盐田海卡"/>
    <s v="GEU2"/>
    <x v="117"/>
    <s v="AN8KIT-B_4X10K05_TZ AN8黑色机器+4x10mL（天竺）酒店香氛油 机油套装"/>
    <x v="4"/>
    <n v="110"/>
    <n v="1757.9508064516131"/>
    <s v="重量收费"/>
    <n v="3.7"/>
    <n v="200"/>
    <n v="98.214285714285708"/>
    <n v="6602.6322695852541"/>
    <n v="2.000797657450077"/>
    <n v="0.29862651603732493"/>
    <m/>
    <m/>
    <m/>
    <x v="19"/>
    <d v="2026-04-27T00:00:00"/>
    <m/>
    <n v="0.44"/>
    <n v="1452"/>
    <m/>
    <m/>
    <m/>
  </r>
  <r>
    <n v="348"/>
    <m/>
    <s v="W14007"/>
    <s v="FBA199JCMDW7"/>
    <s v="V-US"/>
    <x v="0"/>
    <s v="001000019"/>
    <n v="1000"/>
    <s v="万邦"/>
    <s v="盐田海卡"/>
    <s v="GEU2"/>
    <x v="17"/>
    <s v="AN6-B 便携式扩香仪 黑色"/>
    <x v="3"/>
    <n v="25"/>
    <n v="336.7037037037037"/>
    <s v="重量收费"/>
    <n v="3.6"/>
    <n v="200"/>
    <n v="35.460992907801419"/>
    <n v="1247.5943262411349"/>
    <n v="1.2475943262411349"/>
    <n v="0.18620810839419924"/>
    <m/>
    <m/>
    <m/>
    <x v="19"/>
    <d v="2026-04-25T00:00:00"/>
    <m/>
    <n v="0.36672897196261678"/>
    <n v="366.72897196261675"/>
    <m/>
    <m/>
    <m/>
  </r>
  <r>
    <n v="349"/>
    <m/>
    <s v="W14007"/>
    <s v="FBA199JCMDW7"/>
    <s v="V-US"/>
    <x v="0"/>
    <s v="001000039"/>
    <n v="240"/>
    <s v="万邦"/>
    <s v="盐田海卡"/>
    <s v="GEU2"/>
    <x v="35"/>
    <s v="AN6-GL 便携式扩香仪 翠百合色"/>
    <x v="3"/>
    <n v="6"/>
    <n v="80.808888888888887"/>
    <s v="重量收费"/>
    <n v="3.6"/>
    <n v="200"/>
    <n v="8.5106382978723403"/>
    <n v="299.42263829787231"/>
    <n v="1.2475943262411346"/>
    <n v="0.18620810839419918"/>
    <m/>
    <m/>
    <m/>
    <x v="19"/>
    <d v="2026-04-25T00:00:00"/>
    <m/>
    <n v="0.36672897196261678"/>
    <n v="88.01495327102802"/>
    <m/>
    <m/>
    <m/>
  </r>
  <r>
    <n v="350"/>
    <m/>
    <s v="W14007"/>
    <s v="FBA199JCMDW7"/>
    <s v="V-US"/>
    <x v="0"/>
    <s v="AN8-B"/>
    <n v="320"/>
    <s v="万邦"/>
    <s v="盐田海卡"/>
    <s v="GEU2"/>
    <x v="31"/>
    <s v="AN8-B 便携式扩香仪 黑色"/>
    <x v="4"/>
    <n v="8"/>
    <n v="107.74518518518518"/>
    <s v="重量收费"/>
    <n v="3.6"/>
    <m/>
    <n v="11.347517730496454"/>
    <n v="399.2301843971631"/>
    <n v="1.2475943262411346"/>
    <n v="0.18620810839419918"/>
    <m/>
    <m/>
    <m/>
    <x v="19"/>
    <d v="2026-04-25T00:00:00"/>
    <m/>
    <n v="0.36672897196261678"/>
    <n v="117.35327102803737"/>
    <m/>
    <m/>
    <m/>
  </r>
  <r>
    <n v="351"/>
    <m/>
    <s v="W14007"/>
    <s v="FBA199JCMDW7"/>
    <s v="V-US"/>
    <x v="0"/>
    <s v="AN8KIT-B_B"/>
    <n v="180"/>
    <s v="万邦"/>
    <s v="盐田海卡"/>
    <s v="GEU2"/>
    <x v="32"/>
    <s v="AN8KIT-B_B 便携式扩香仪套装 黑+黑"/>
    <x v="4"/>
    <n v="9"/>
    <n v="121.21333333333332"/>
    <s v="重量收费"/>
    <n v="3.6"/>
    <m/>
    <n v="12.76595744680851"/>
    <n v="449.13395744680849"/>
    <n v="2.4951886524822693"/>
    <n v="0.37241621678839837"/>
    <m/>
    <m/>
    <m/>
    <x v="19"/>
    <d v="2026-04-25T00:00:00"/>
    <m/>
    <n v="0.36672897196261678"/>
    <n v="66.011214953271022"/>
    <m/>
    <m/>
    <m/>
  </r>
  <r>
    <n v="352"/>
    <m/>
    <s v="W14007"/>
    <s v="FBA199JCMDW7"/>
    <s v="V-US"/>
    <x v="0"/>
    <s v="AN8-WH"/>
    <n v="200"/>
    <s v="万邦"/>
    <s v="盐田海卡"/>
    <s v="GEU2"/>
    <x v="33"/>
    <s v="AN8-WH 便携式扩香仪 白色"/>
    <x v="4"/>
    <n v="5"/>
    <n v="67.340740740740742"/>
    <s v="重量收费"/>
    <n v="3.6"/>
    <m/>
    <n v="7.0921985815602833"/>
    <n v="249.51886524822697"/>
    <n v="1.2475943262411349"/>
    <n v="0.18620810839419924"/>
    <m/>
    <m/>
    <m/>
    <x v="19"/>
    <d v="2026-04-25T00:00:00"/>
    <m/>
    <n v="0.36672897196261678"/>
    <n v="73.345794392523359"/>
    <m/>
    <m/>
    <m/>
  </r>
  <r>
    <n v="353"/>
    <m/>
    <s v="W14007"/>
    <s v="FBA199JCMDW7"/>
    <s v="V-US"/>
    <x v="0"/>
    <s v="AN8NZ-B"/>
    <n v="200"/>
    <s v="万邦"/>
    <s v="盐田海卡"/>
    <s v="GEU2"/>
    <x v="34"/>
    <s v="AN8NZ-B AN8(Z)喷嘴配件套装 黑色"/>
    <x v="8"/>
    <n v="1"/>
    <n v="13.468148148148147"/>
    <s v="重量收费"/>
    <n v="3.6"/>
    <m/>
    <n v="1.4184397163120568"/>
    <n v="49.903773049645388"/>
    <n v="0.24951886524822695"/>
    <n v="3.7241621678839841E-2"/>
    <m/>
    <m/>
    <m/>
    <x v="19"/>
    <d v="2026-04-25T00:00:00"/>
    <m/>
    <n v="0.36672897196261678"/>
    <n v="73.345794392523359"/>
    <m/>
    <m/>
    <m/>
  </r>
  <r>
    <n v="354"/>
    <m/>
    <s v="W14002"/>
    <s v="FBA199ND5Y2G"/>
    <s v="K-US"/>
    <x v="0"/>
    <s v="RDX-B_US"/>
    <n v="90"/>
    <s v="嘀嗒嘀"/>
    <s v="盐田海卡"/>
    <s v="TCY1"/>
    <x v="125"/>
    <s v="RDX-B_US 智能扩香仪 黑色"/>
    <x v="25"/>
    <n v="10"/>
    <n v="151.80000000000001"/>
    <s v="重量收费"/>
    <n v="4.8"/>
    <n v="200"/>
    <n v="36.363636363636367"/>
    <n v="765.00363636363636"/>
    <n v="8.5000404040404032"/>
    <n v="1.268662746871702"/>
    <m/>
    <m/>
    <m/>
    <x v="19"/>
    <d v="2026-04-27T00:00:00"/>
    <m/>
    <n v="0.7"/>
    <n v="62.999999999999993"/>
    <m/>
    <m/>
    <m/>
  </r>
  <r>
    <n v="355"/>
    <m/>
    <s v="W14002"/>
    <s v="FBA199ND5Y2G"/>
    <s v="K-US"/>
    <x v="0"/>
    <s v="RDXKIT-B_US_2X100K04"/>
    <n v="360"/>
    <s v="嘀嗒嘀"/>
    <s v="盐田海卡"/>
    <s v="TCY1"/>
    <x v="112"/>
    <s v="RDXKIT-B_US_2X100K04 RDX黑色机器+2X100mL酒店香氛油（天竺） 机油套装"/>
    <x v="25"/>
    <n v="40"/>
    <n v="607.20000000000005"/>
    <s v="重量收费"/>
    <n v="4.8"/>
    <n v="200"/>
    <n v="145.45454545454547"/>
    <n v="3060.0145454545454"/>
    <n v="8.5000404040404032"/>
    <n v="1.268662746871702"/>
    <m/>
    <m/>
    <m/>
    <x v="19"/>
    <d v="2026-04-27T00:00:00"/>
    <m/>
    <n v="0.7"/>
    <n v="251.99999999999997"/>
    <m/>
    <m/>
    <m/>
  </r>
  <r>
    <n v="356"/>
    <m/>
    <s v="W14001"/>
    <s v="FBA199JC2QFL"/>
    <s v="W-US"/>
    <x v="0"/>
    <s v="G1-B"/>
    <n v="592"/>
    <s v="天盛"/>
    <s v="美森海卡"/>
    <s v="POC1"/>
    <x v="63"/>
    <s v="G1-B 电子球形把手锁 黑色"/>
    <x v="12"/>
    <n v="37"/>
    <n v="1.6217021276595744"/>
    <s v="CBM收费"/>
    <n v="1890"/>
    <n v="180"/>
    <n v="141.70212765957447"/>
    <n v="3206.7191489361703"/>
    <n v="5.4167553191489359"/>
    <n v="0.80847094315655754"/>
    <m/>
    <m/>
    <m/>
    <x v="20"/>
    <d v="2026-04-19T00:00:00"/>
    <m/>
    <n v="0.56000000000000005"/>
    <n v="331.52000000000004"/>
    <m/>
    <m/>
    <m/>
  </r>
  <r>
    <n v="357"/>
    <m/>
    <s v="W14001"/>
    <s v="FBA199JC2QFL"/>
    <s v="W-US"/>
    <x v="0"/>
    <s v="G1-SILV"/>
    <n v="160"/>
    <s v="天盛"/>
    <s v="美森海卡"/>
    <s v="POC1"/>
    <x v="65"/>
    <s v="G1-SILV 电子球形把手锁 银色"/>
    <x v="12"/>
    <n v="10"/>
    <n v="0.4382978723404255"/>
    <s v="CBM收费"/>
    <n v="1890"/>
    <n v="180"/>
    <n v="38.297872340425535"/>
    <n v="866.68085106382978"/>
    <n v="5.4167553191489359"/>
    <n v="0.80847094315655754"/>
    <m/>
    <m/>
    <m/>
    <x v="20"/>
    <d v="2026-04-19T00:00:00"/>
    <m/>
    <n v="0.56000000000000005"/>
    <n v="89.600000000000009"/>
    <m/>
    <m/>
    <m/>
  </r>
  <r>
    <n v="358"/>
    <m/>
    <s v="W14005"/>
    <s v="FBA199J9FWBW"/>
    <s v="W-US"/>
    <x v="0"/>
    <s v="G1-B"/>
    <n v="304"/>
    <s v="国润通"/>
    <s v="盐田海卡"/>
    <s v="POC1"/>
    <x v="63"/>
    <s v="G1-B 电子球形把手锁 黑色"/>
    <x v="12"/>
    <n v="19"/>
    <n v="256"/>
    <s v="重量收费"/>
    <n v="3.2"/>
    <n v="200"/>
    <n v="200"/>
    <n v="1019.2"/>
    <n v="3.3526315789473684"/>
    <n v="0.50039277297721918"/>
    <m/>
    <m/>
    <m/>
    <x v="20"/>
    <d v="2026-04-25T00:00:00"/>
    <m/>
    <n v="0.56000000000000005"/>
    <n v="170.24"/>
    <m/>
    <m/>
    <m/>
  </r>
  <r>
    <n v="359"/>
    <m/>
    <s v="W14006"/>
    <s v="FBA199JBK252"/>
    <s v="V-US"/>
    <x v="0"/>
    <s v="001000032"/>
    <n v="240"/>
    <s v="嘀嗒嘀"/>
    <s v="盐田海卡"/>
    <s v="GEU2"/>
    <x v="40"/>
    <s v="ANW-B 智能扩香仪 黑色"/>
    <x v="10"/>
    <n v="20"/>
    <n v="286.34827586206893"/>
    <s v="重量收费"/>
    <n v="4.5"/>
    <n v="200"/>
    <n v="17.857142857142858"/>
    <n v="1306.4243842364531"/>
    <n v="5.4434349343185549"/>
    <n v="0.81245297527142613"/>
    <m/>
    <m/>
    <m/>
    <x v="20"/>
    <d v="2026-04-27T00:00:00"/>
    <m/>
    <n v="0.55999999999999994"/>
    <n v="134.39999999999998"/>
    <m/>
    <m/>
    <m/>
  </r>
  <r>
    <n v="360"/>
    <m/>
    <s v="W14006"/>
    <s v="FBA199JBK252"/>
    <s v="V-US"/>
    <x v="0"/>
    <s v="001000033"/>
    <n v="456"/>
    <s v="嘀嗒嘀"/>
    <s v="盐田海卡"/>
    <s v="GEU2"/>
    <x v="41"/>
    <s v="ANW-W 智能扩香仪 白色"/>
    <x v="10"/>
    <n v="38"/>
    <n v="544.06172413793104"/>
    <s v="重量收费"/>
    <n v="4.5"/>
    <n v="200"/>
    <n v="33.928571428571431"/>
    <n v="2482.2063300492614"/>
    <n v="5.4434349343185557"/>
    <n v="0.81245297527142624"/>
    <m/>
    <m/>
    <m/>
    <x v="20"/>
    <d v="2026-04-27T00:00:00"/>
    <m/>
    <n v="0.55999999999999994"/>
    <n v="255.35999999999999"/>
    <m/>
    <m/>
    <m/>
  </r>
  <r>
    <n v="361"/>
    <m/>
    <s v="W14002"/>
    <s v="FBA199KWXBZZ"/>
    <s v="K-US"/>
    <x v="0"/>
    <s v="ANPKIT-WH_US_3X20K01_TZ"/>
    <n v="160"/>
    <s v="嘀嗒嘀"/>
    <s v="盐田海卡"/>
    <s v="GEU2"/>
    <x v="122"/>
    <s v="ANPKIT-WH_US_3X20K01_TZ ANP白色机器+3X20mL酒店香氛油（天竺） 机油套装"/>
    <x v="26"/>
    <n v="5"/>
    <n v="84"/>
    <s v="重量收费"/>
    <n v="4.5"/>
    <n v="200"/>
    <n v="18.181818181818183"/>
    <n v="396.18181818181819"/>
    <n v="2.4761363636363636"/>
    <n v="0.36957259158751693"/>
    <m/>
    <m/>
    <m/>
    <x v="20"/>
    <d v="2026-04-27T00:00:00"/>
    <m/>
    <n v="0.44000000000000006"/>
    <n v="70.400000000000006"/>
    <m/>
    <m/>
    <m/>
  </r>
  <r>
    <n v="362"/>
    <m/>
    <s v="W14006"/>
    <s v="FBA199J8WL2C"/>
    <s v="V-US"/>
    <x v="0"/>
    <s v="ANP-W_US"/>
    <n v="160"/>
    <s v="嘀嗒嘀"/>
    <s v="盐田海卡"/>
    <s v="GEU2"/>
    <x v="115"/>
    <s v="ANP-W_US 墙插式智能扩香仪 白色"/>
    <x v="26"/>
    <n v="5"/>
    <n v="71.59"/>
    <s v="重量收费"/>
    <n v="4.5"/>
    <n v="200"/>
    <n v="4.4642857142857144"/>
    <n v="326.61928571428575"/>
    <n v="2.0413705357142859"/>
    <n v="0.30468216950959492"/>
    <m/>
    <m/>
    <m/>
    <x v="20"/>
    <d v="2026-04-27T00:00:00"/>
    <m/>
    <n v="0.44000000000000006"/>
    <n v="70.400000000000006"/>
    <m/>
    <m/>
    <m/>
  </r>
  <r>
    <n v="363"/>
    <m/>
    <s v="W14004"/>
    <s v="FBA199J7KYFZ"/>
    <s v="E-US"/>
    <x v="0"/>
    <s v="BLG1-100ML"/>
    <n v="180"/>
    <s v="天盛"/>
    <s v="盐田海卡"/>
    <s v="POC3"/>
    <x v="48"/>
    <s v="BLG1-100ML 百乐宫酒店香氛油100mL"/>
    <x v="11"/>
    <n v="2"/>
    <n v="9.3333333333333338E-2"/>
    <s v="CBM收费"/>
    <n v="1030"/>
    <n v="180"/>
    <n v="12.857142857142858"/>
    <n v="108.9904761904762"/>
    <n v="0.60550264550264554"/>
    <n v="9.0373529179499326E-2"/>
    <m/>
    <m/>
    <m/>
    <x v="21"/>
    <d v="2026-04-25T00:00:00"/>
    <m/>
    <n v="0.36"/>
    <n v="64.8"/>
    <m/>
    <m/>
    <m/>
  </r>
  <r>
    <n v="364"/>
    <m/>
    <s v="W14004"/>
    <s v="FBA199J7KYFZ"/>
    <s v="E-US"/>
    <x v="0"/>
    <s v="MWAY1-100ML"/>
    <n v="90"/>
    <s v="天盛"/>
    <s v="盐田海卡"/>
    <s v="POC3"/>
    <x v="50"/>
    <s v="A-MWAY Deluxe-100 特定香型香氛油100mL"/>
    <x v="11"/>
    <n v="1"/>
    <n v="4.6666666666666669E-2"/>
    <s v="CBM收费"/>
    <n v="1030"/>
    <n v="180"/>
    <n v="6.4285714285714288"/>
    <n v="54.495238095238101"/>
    <n v="0.60550264550264554"/>
    <n v="9.0373529179499326E-2"/>
    <m/>
    <m/>
    <m/>
    <x v="21"/>
    <d v="2026-04-25T00:00:00"/>
    <m/>
    <n v="0.36"/>
    <n v="32.4"/>
    <m/>
    <m/>
    <m/>
  </r>
  <r>
    <n v="365"/>
    <m/>
    <s v="W14004"/>
    <s v="FBA199J7KYFZ"/>
    <s v="E-US"/>
    <x v="0"/>
    <s v="006000026"/>
    <n v="270"/>
    <s v="天盛"/>
    <s v="盐田海卡"/>
    <s v="POC3"/>
    <x v="87"/>
    <s v="A-Marriott Hotel 1-100 万豪酒店1香氛油100mL"/>
    <x v="11"/>
    <n v="3"/>
    <n v="0.14000000000000001"/>
    <s v="CBM收费"/>
    <n v="1030"/>
    <m/>
    <n v="19.285714285714285"/>
    <n v="163.48571428571429"/>
    <n v="0.60550264550264554"/>
    <n v="9.0373529179499326E-2"/>
    <m/>
    <m/>
    <m/>
    <x v="21"/>
    <d v="2026-04-25T00:00:00"/>
    <m/>
    <n v="0.36"/>
    <n v="97.2"/>
    <m/>
    <m/>
    <m/>
  </r>
  <r>
    <n v="366"/>
    <m/>
    <s v="W14004"/>
    <s v="FBA199JB9GX5"/>
    <s v="V-US"/>
    <x v="0"/>
    <s v="006000024"/>
    <n v="630"/>
    <s v="天盛"/>
    <s v="盐田海卡"/>
    <s v="POC3"/>
    <x v="46"/>
    <s v="A-Ritz Carlton Hotel 3-100 丽思卡尔顿酒店3香氛油100mL"/>
    <x v="11"/>
    <n v="7"/>
    <n v="0.32200000000000001"/>
    <s v="CBM收费"/>
    <n v="1030"/>
    <m/>
    <n v="45"/>
    <n v="376.66"/>
    <n v="0.59787301587301589"/>
    <n v="8.9234778488509831E-2"/>
    <m/>
    <m/>
    <m/>
    <x v="21"/>
    <d v="2026-04-25T00:00:00"/>
    <m/>
    <n v="0.3669565217391304"/>
    <n v="231.18260869565216"/>
    <m/>
    <m/>
    <m/>
  </r>
  <r>
    <n v="367"/>
    <m/>
    <s v="W14004"/>
    <s v="FBA199JB9GX5"/>
    <s v="V-US"/>
    <x v="0"/>
    <s v="RZ-500ML"/>
    <n v="60"/>
    <s v="天盛"/>
    <s v="盐田海卡"/>
    <s v="POC3"/>
    <x v="60"/>
    <s v="RZ-500ML 丽思卡尔顿酒店3香氛油500mL"/>
    <x v="11"/>
    <n v="3"/>
    <n v="0.13800000000000001"/>
    <s v="CBM收费"/>
    <n v="1030"/>
    <m/>
    <n v="19.285714285714285"/>
    <n v="161.42571428571429"/>
    <n v="2.6904285714285714"/>
    <n v="0.40155650319829422"/>
    <m/>
    <m/>
    <m/>
    <x v="21"/>
    <d v="2026-04-25T00:00:00"/>
    <m/>
    <n v="0.3669565217391304"/>
    <n v="22.017391304347825"/>
    <m/>
    <m/>
    <m/>
  </r>
  <r>
    <n v="368"/>
    <s v="跟上周一样，拉到广州仓库去合并下单，报关"/>
    <s v="W14004"/>
    <s v="FBA199J506NT"/>
    <s v="E-US"/>
    <x v="0"/>
    <s v="BCRT1-100ML_TZ"/>
    <n v="192"/>
    <s v="天盛"/>
    <s v="盐田海卡"/>
    <s v="POC3"/>
    <x v="62"/>
    <s v="BCRT1-100ML_TZ 巴卡拉酒店100mL香氛油（天竺） 销售包装"/>
    <x v="6"/>
    <n v="3"/>
    <n v="0.13750000000000001"/>
    <s v="CBM收费"/>
    <n v="1030"/>
    <m/>
    <n v="19.285714285714285"/>
    <n v="160.91071428571428"/>
    <n v="0.83807663690476186"/>
    <n v="0.12508606520966595"/>
    <m/>
    <m/>
    <m/>
    <x v="20"/>
    <d v="2026-04-25T00:00:00"/>
    <m/>
    <n v="0.36000000000000004"/>
    <n v="69.12"/>
    <m/>
    <m/>
    <m/>
  </r>
  <r>
    <n v="369"/>
    <m/>
    <s v="W14004"/>
    <s v="FBA199J506NT"/>
    <s v="E-US"/>
    <x v="0"/>
    <s v="W1-100ML_TZ"/>
    <n v="128"/>
    <s v="天盛"/>
    <s v="盐田海卡"/>
    <s v="POC3"/>
    <x v="24"/>
    <s v="W1-100ML_TZ W酒店100mL香氛油（天竺） 销售包装"/>
    <x v="6"/>
    <n v="2"/>
    <n v="9.1666666666666674E-2"/>
    <s v="CBM收费"/>
    <n v="1030"/>
    <m/>
    <n v="12.857142857142858"/>
    <n v="107.27380952380953"/>
    <n v="0.83807663690476197"/>
    <n v="0.12508606520966598"/>
    <m/>
    <m/>
    <m/>
    <x v="20"/>
    <d v="2026-04-25T00:00:00"/>
    <m/>
    <n v="0.36000000000000004"/>
    <n v="46.080000000000005"/>
    <m/>
    <m/>
    <m/>
  </r>
  <r>
    <n v="370"/>
    <m/>
    <s v="W14004"/>
    <s v="FBA199J506NT"/>
    <s v="E-US"/>
    <x v="0"/>
    <s v="HILTON1-100ML_TZ"/>
    <n v="448"/>
    <s v="天盛"/>
    <s v="盐田海卡"/>
    <s v="POC3"/>
    <x v="61"/>
    <s v="HILTON1-100ML_TZ 希尔顿酒店100mL香氛油（天竺） 销售包装"/>
    <x v="6"/>
    <n v="7"/>
    <n v="0.32083333333333336"/>
    <s v="CBM收费"/>
    <n v="1030"/>
    <m/>
    <n v="45"/>
    <n v="375.45833333333337"/>
    <n v="0.83807663690476197"/>
    <n v="0.12508606520966598"/>
    <m/>
    <m/>
    <m/>
    <x v="20"/>
    <d v="2026-04-25T00:00:00"/>
    <m/>
    <n v="0.36000000000000004"/>
    <n v="161.28000000000003"/>
    <m/>
    <m/>
    <m/>
  </r>
  <r>
    <n v="371"/>
    <m/>
    <s v="W14003"/>
    <s v="FBA199JBCYRR"/>
    <s v="A-CA"/>
    <x v="3"/>
    <s v="002000022"/>
    <n v="24"/>
    <s v="国润通"/>
    <s v="加拿大海卡"/>
    <s v="YYZ7"/>
    <x v="126"/>
    <s v="H2-G 电子指纹球形把手锁-灰色"/>
    <x v="13"/>
    <n v="2"/>
    <n v="27.111111111111111"/>
    <s v="重量收费"/>
    <n v="5"/>
    <n v="350"/>
    <n v="15.555555555555555"/>
    <n v="151.11111111111109"/>
    <n v="6.2962962962962949"/>
    <n v="0.93974571586511857"/>
    <m/>
    <m/>
    <m/>
    <x v="20"/>
    <d v="2026-04-28T00:00:00"/>
    <m/>
    <n v="0"/>
    <n v="0"/>
    <m/>
    <m/>
    <m/>
  </r>
  <r>
    <n v="372"/>
    <m/>
    <s v="W14003"/>
    <s v="FBA199JBCYRR"/>
    <s v="A-CA"/>
    <x v="3"/>
    <s v="002000001"/>
    <n v="168"/>
    <s v="国润通"/>
    <s v="加拿大海卡"/>
    <s v="YYZ7"/>
    <x v="106"/>
    <s v="K1-B 电子球形把手锁-黑色"/>
    <x v="24"/>
    <n v="14"/>
    <n v="189.77777777777777"/>
    <s v="重量收费"/>
    <n v="5"/>
    <n v="350"/>
    <n v="108.88888888888889"/>
    <n v="1057.7777777777778"/>
    <n v="6.2962962962962967"/>
    <n v="0.9397457158651189"/>
    <m/>
    <m/>
    <m/>
    <x v="20"/>
    <d v="2026-04-28T00:00:00"/>
    <m/>
    <n v="0"/>
    <n v="0"/>
    <m/>
    <m/>
    <m/>
  </r>
  <r>
    <n v="373"/>
    <m/>
    <s v="W14003"/>
    <s v="FBA199JBCYRR"/>
    <s v="A-CA"/>
    <x v="3"/>
    <s v="002000007"/>
    <n v="348"/>
    <s v="国润通"/>
    <s v="加拿大海卡"/>
    <s v="YYZ7"/>
    <x v="107"/>
    <s v="K1-S+S 电子球形把手锁-镍镍"/>
    <x v="24"/>
    <n v="29"/>
    <n v="393.11111111111109"/>
    <s v="重量收费"/>
    <n v="5"/>
    <m/>
    <n v="225.55555555555554"/>
    <n v="2191.1111111111109"/>
    <n v="6.2962962962962958"/>
    <n v="0.93974571586511879"/>
    <m/>
    <m/>
    <m/>
    <x v="20"/>
    <d v="2026-04-28T00:00:00"/>
    <m/>
    <n v="0"/>
    <n v="0"/>
    <m/>
    <m/>
    <m/>
  </r>
  <r>
    <n v="374"/>
    <m/>
    <s v="W15007"/>
    <s v="FBA199V9G06K"/>
    <s v="V-US"/>
    <x v="0"/>
    <s v="001000028"/>
    <n v="300"/>
    <s v="万邦"/>
    <s v="盐田海卡"/>
    <s v="GEU2"/>
    <x v="16"/>
    <s v="AN6-2PC-BB 便携式扩香仪套装 黑+黑"/>
    <x v="3"/>
    <n v="15"/>
    <n v="203.60847457627119"/>
    <s v="重量收费"/>
    <n v="4"/>
    <n v="200"/>
    <n v="26.086956521739129"/>
    <n v="840.52085482682389"/>
    <n v="2.8017361827560796"/>
    <n v="0.41816957951583278"/>
    <m/>
    <m/>
    <m/>
    <x v="22"/>
    <d v="2026-05-05T00:00:00"/>
    <m/>
    <m/>
    <m/>
    <m/>
    <m/>
    <m/>
  </r>
  <r>
    <n v="375"/>
    <m/>
    <s v="W15007"/>
    <s v="FBA199V9G06K"/>
    <s v="V-US"/>
    <x v="0"/>
    <s v="001000019"/>
    <n v="1200"/>
    <s v="万邦"/>
    <s v="盐田海卡"/>
    <s v="GEU2"/>
    <x v="17"/>
    <s v="AN6-B 便携式扩香仪 黑色"/>
    <x v="3"/>
    <n v="30"/>
    <n v="407.21694915254238"/>
    <s v="重量收费"/>
    <n v="4"/>
    <n v="200"/>
    <n v="52.173913043478258"/>
    <n v="1681.0417096536478"/>
    <n v="1.4008680913780398"/>
    <n v="0.20908478975791639"/>
    <m/>
    <m/>
    <m/>
    <x v="22"/>
    <d v="2026-05-05T00:00:00"/>
    <m/>
    <m/>
    <m/>
    <m/>
    <m/>
    <m/>
  </r>
  <r>
    <n v="376"/>
    <m/>
    <s v="W15007"/>
    <s v="FBA199V9G06K"/>
    <s v="V-US"/>
    <x v="0"/>
    <s v="001000020"/>
    <n v="240"/>
    <s v="万邦"/>
    <s v="盐田海卡"/>
    <s v="GEU2"/>
    <x v="18"/>
    <s v="AN6-W 便携式扩香仪 白色"/>
    <x v="3"/>
    <n v="6"/>
    <n v="81.44338983050848"/>
    <s v="重量收费"/>
    <n v="4"/>
    <m/>
    <n v="10.434782608695652"/>
    <n v="336.20834193072955"/>
    <n v="1.4008680913780398"/>
    <n v="0.20908478975791639"/>
    <m/>
    <m/>
    <m/>
    <x v="22"/>
    <d v="2026-05-05T00:00:00"/>
    <m/>
    <m/>
    <m/>
    <m/>
    <m/>
    <m/>
  </r>
  <r>
    <n v="377"/>
    <m/>
    <s v="W15007"/>
    <s v="FBA199V9G06K"/>
    <s v="V-US"/>
    <x v="0"/>
    <s v="AN8-B"/>
    <n v="320"/>
    <s v="万邦"/>
    <s v="盐田海卡"/>
    <s v="GEU2"/>
    <x v="31"/>
    <s v="AN8-B 便携式扩香仪 黑色"/>
    <x v="4"/>
    <n v="8"/>
    <n v="108.59118644067797"/>
    <s v="重量收费"/>
    <n v="4"/>
    <m/>
    <n v="13.913043478260869"/>
    <n v="448.27778924097277"/>
    <n v="1.4008680913780398"/>
    <n v="0.20908478975791639"/>
    <m/>
    <m/>
    <m/>
    <x v="22"/>
    <d v="2026-05-05T00:00:00"/>
    <m/>
    <m/>
    <m/>
    <m/>
    <m/>
    <m/>
  </r>
  <r>
    <n v="378"/>
    <m/>
    <s v="W15001"/>
    <s v="FBA19B7DZGDV"/>
    <s v="K-US"/>
    <x v="0"/>
    <s v="RDXKIT-B_US_2X100K04"/>
    <n v="288"/>
    <s v="万邦"/>
    <s v="盐田海卡"/>
    <s v="GEU3"/>
    <x v="112"/>
    <s v="RDXKIT-B_US_2X100K04 RDX黑色机器+2X100mL酒店香氛油（天竺） 机油套装"/>
    <x v="25"/>
    <n v="32"/>
    <n v="468"/>
    <s v="重量收费"/>
    <n v="4.8"/>
    <n v="200"/>
    <n v="130.61224489795919"/>
    <n v="2377.0122448979591"/>
    <n v="8.2535147392290256"/>
    <n v="1.2318678715267202"/>
    <m/>
    <m/>
    <m/>
    <x v="22"/>
    <d v="2026-05-05T00:00:00"/>
    <m/>
    <m/>
    <m/>
    <m/>
    <m/>
    <m/>
  </r>
  <r>
    <n v="379"/>
    <m/>
    <s v="W15003"/>
    <s v="FBA199V98MJG"/>
    <s v="V-US"/>
    <x v="0"/>
    <s v="AN8KIT-B_4X10K05_TZ"/>
    <n v="3300"/>
    <s v="嘀嗒嘀"/>
    <s v="盐田海卡"/>
    <s v="TCY2"/>
    <x v="117"/>
    <s v="AN8KIT-B_4X10K05_TZ AN8黑色机器+4x10mL（天竺）酒店香氛油 机油套装"/>
    <x v="4"/>
    <n v="110"/>
    <n v="1741.219512195122"/>
    <s v="重量收费"/>
    <n v="4.0999999999999996"/>
    <n v="200"/>
    <n v="77.738515901060069"/>
    <n v="7216.7385159010591"/>
    <n v="2.1868904593639571"/>
    <n v="0.32640156109909807"/>
    <m/>
    <m/>
    <m/>
    <x v="23"/>
    <d v="2026-05-03T00:00:00"/>
    <m/>
    <m/>
    <m/>
    <m/>
    <m/>
    <m/>
  </r>
  <r>
    <n v="380"/>
    <m/>
    <s v="W15003"/>
    <s v="FBA199V98MJG"/>
    <s v="V-US"/>
    <x v="0"/>
    <s v="AN8KIT-WH_4X10K05_TZ"/>
    <n v="300"/>
    <s v="嘀嗒嘀"/>
    <s v="盐田海卡"/>
    <s v="TCY2"/>
    <x v="111"/>
    <s v="AN8KIT-WH_4X10K05_TZ AN8白色机器+4x10mL（天竺）酒店香氛油 机油套装"/>
    <x v="4"/>
    <n v="10"/>
    <n v="158.29268292682929"/>
    <s v="重量收费"/>
    <n v="4.0999999999999996"/>
    <n v="200"/>
    <n v="7.0671378091872787"/>
    <n v="656.06713780918733"/>
    <n v="2.186890459363958"/>
    <n v="0.32640156109909818"/>
    <m/>
    <m/>
    <m/>
    <x v="23"/>
    <d v="2026-05-03T00:00:00"/>
    <m/>
    <m/>
    <m/>
    <m/>
    <m/>
    <m/>
  </r>
  <r>
    <n v="381"/>
    <m/>
    <s v="W15003"/>
    <s v="FBA199V98MJG"/>
    <s v="V-US"/>
    <x v="0"/>
    <s v="ANXKIT-GD_RZ30ml"/>
    <n v="90"/>
    <s v="嘀嗒嘀"/>
    <s v="盐田海卡"/>
    <s v="TCY2"/>
    <x v="127"/>
    <s v="ANXKIT-GD_RZ30ml ANX金色机器+30mL丽思香氛油 机油套装"/>
    <x v="1"/>
    <n v="3"/>
    <n v="47.487804878048784"/>
    <s v="重量收费"/>
    <n v="4.0999999999999996"/>
    <m/>
    <n v="2.1201413427561837"/>
    <n v="196.82014134275616"/>
    <n v="2.1868904593639575"/>
    <n v="0.32640156109909813"/>
    <m/>
    <m/>
    <m/>
    <x v="23"/>
    <d v="2026-05-03T00:00:00"/>
    <m/>
    <m/>
    <m/>
    <m/>
    <m/>
    <m/>
  </r>
  <r>
    <n v="382"/>
    <m/>
    <s v="W15006"/>
    <s v="FBA199WVYDVD"/>
    <s v="E-US"/>
    <x v="0"/>
    <s v="001000046"/>
    <n v="180"/>
    <s v="万邦"/>
    <s v="以星海卡"/>
    <s v="GEU2"/>
    <x v="92"/>
    <s v="ANX-SILV 便携式扩香仪 银色"/>
    <x v="1"/>
    <n v="6"/>
    <n v="75"/>
    <s v="重量收费"/>
    <n v="5.2"/>
    <n v="200"/>
    <n v="200"/>
    <n v="590"/>
    <n v="3.2777777777777777"/>
    <n v="0.48922056384742951"/>
    <m/>
    <m/>
    <m/>
    <x v="22"/>
    <d v="2026-04-28T00:00:00"/>
    <m/>
    <m/>
    <m/>
    <m/>
    <m/>
    <m/>
  </r>
  <r>
    <n v="383"/>
    <m/>
    <s v="W15007"/>
    <s v="FBA199WX2PW7"/>
    <s v="E-US"/>
    <x v="0"/>
    <s v="001000045"/>
    <n v="180"/>
    <s v="万邦"/>
    <s v="盐田海卡"/>
    <s v="GEU2"/>
    <x v="1"/>
    <s v="ANX-B 便携式扩香仪 黑色"/>
    <x v="1"/>
    <n v="6"/>
    <n v="81.443571428571431"/>
    <s v="重量收费"/>
    <n v="4"/>
    <n v="200"/>
    <n v="10.434782608695652"/>
    <n v="336.20906832298135"/>
    <n v="1.8678281573498965"/>
    <n v="0.27878032199252184"/>
    <m/>
    <m/>
    <m/>
    <x v="22"/>
    <d v="2026-05-05T00:00:00"/>
    <m/>
    <m/>
    <m/>
    <m/>
    <m/>
    <m/>
  </r>
  <r>
    <n v="384"/>
    <m/>
    <s v="W15007"/>
    <s v="FBA199WX2PW7"/>
    <s v="E-US"/>
    <x v="0"/>
    <s v="ANZ-B"/>
    <n v="1400"/>
    <s v="万邦"/>
    <s v="盐田海卡"/>
    <s v="GEU2"/>
    <x v="0"/>
    <s v="ANZ-B 便携式扩香仪 黑色"/>
    <x v="0"/>
    <n v="35"/>
    <n v="475.08749999999998"/>
    <s v="重量收费"/>
    <n v="4"/>
    <n v="200"/>
    <n v="60.869565217391305"/>
    <n v="1961.2195652173912"/>
    <n v="1.4008711180124223"/>
    <n v="0.20908524149439137"/>
    <m/>
    <m/>
    <m/>
    <x v="22"/>
    <d v="2026-05-05T00:00:00"/>
    <m/>
    <m/>
    <m/>
    <m/>
    <m/>
    <m/>
  </r>
  <r>
    <n v="385"/>
    <m/>
    <s v="W15007"/>
    <s v="FBA199WX2PW7"/>
    <s v="E-US"/>
    <x v="0"/>
    <s v="ANZ-WH"/>
    <n v="600"/>
    <s v="万邦"/>
    <s v="盐田海卡"/>
    <s v="GEU2"/>
    <x v="53"/>
    <s v="ANZ-WH 便携式扩香仪 白色"/>
    <x v="0"/>
    <n v="15"/>
    <n v="203.60892857142855"/>
    <s v="重量收费"/>
    <n v="4"/>
    <n v="200"/>
    <n v="26.086956521739129"/>
    <n v="840.52267080745332"/>
    <n v="1.4008711180124223"/>
    <n v="0.20908524149439137"/>
    <m/>
    <m/>
    <m/>
    <x v="22"/>
    <d v="2026-05-05T00:00:00"/>
    <m/>
    <m/>
    <m/>
    <m/>
    <m/>
    <m/>
  </r>
  <r>
    <n v="386"/>
    <m/>
    <s v="W15003"/>
    <s v="FBA199WV8JXK"/>
    <s v="E-US"/>
    <x v="0"/>
    <s v="ANZKIT-B_4X10K04_TZ"/>
    <n v="420"/>
    <s v="嘀嗒嘀"/>
    <s v="盐田海卡"/>
    <s v="TCY1"/>
    <x v="38"/>
    <s v="ANZKIT-B_4X10K04_TZ ANZ黑色机器+4x10mL酒店（天竺）香氛油 机油套装"/>
    <x v="0"/>
    <n v="14"/>
    <n v="223"/>
    <s v="重量收费"/>
    <n v="4.0999999999999996"/>
    <n v="200"/>
    <n v="9.8939929328621901"/>
    <n v="924.1939929328621"/>
    <n v="2.2004618879353859"/>
    <n v="0.32842714745304263"/>
    <m/>
    <m/>
    <m/>
    <x v="23"/>
    <d v="2026-05-03T00:00:00"/>
    <m/>
    <m/>
    <m/>
    <m/>
    <m/>
    <m/>
  </r>
  <r>
    <n v="387"/>
    <m/>
    <s v="W15003"/>
    <s v="FBA199X2YQJT"/>
    <s v="W-US"/>
    <x v="0"/>
    <s v="G1-B"/>
    <n v="576"/>
    <s v="嘀嗒嘀"/>
    <s v="盐田海卡"/>
    <s v="MIT2"/>
    <x v="63"/>
    <s v="G1-B 电子球形把手锁 黑色"/>
    <x v="12"/>
    <n v="36"/>
    <n v="501.27272727272725"/>
    <s v="重量收费"/>
    <n v="3.6"/>
    <n v="200"/>
    <n v="25.441696113074205"/>
    <n v="1830.0235142948923"/>
    <n v="3.1771241567619657"/>
    <n v="0.47419763533760678"/>
    <m/>
    <m/>
    <m/>
    <x v="23"/>
    <d v="2026-05-03T00:00:00"/>
    <m/>
    <m/>
    <m/>
    <m/>
    <m/>
    <m/>
  </r>
  <r>
    <n v="388"/>
    <m/>
    <s v="W15003"/>
    <s v="FBA199X2YQJT"/>
    <s v="W-US"/>
    <x v="0"/>
    <s v="G1-SILV"/>
    <n v="112"/>
    <s v="嘀嗒嘀"/>
    <s v="盐田海卡"/>
    <s v="MIT2"/>
    <x v="65"/>
    <s v="G1-SILV 电子球形把手锁 银色"/>
    <x v="12"/>
    <n v="7"/>
    <n v="97.469696969696969"/>
    <s v="重量收费"/>
    <n v="3.6"/>
    <m/>
    <n v="4.946996466431095"/>
    <n v="355.83790555734015"/>
    <n v="3.1771241567619657"/>
    <n v="0.47419763533760678"/>
    <m/>
    <m/>
    <m/>
    <x v="23"/>
    <d v="2026-05-03T00:00:00"/>
    <m/>
    <m/>
    <m/>
    <m/>
    <m/>
    <m/>
  </r>
  <r>
    <n v="389"/>
    <m/>
    <s v="W15003"/>
    <s v="FBA199X2YQJT"/>
    <s v="W-US"/>
    <x v="0"/>
    <s v="002000029"/>
    <n v="160"/>
    <s v="嘀嗒嘀"/>
    <s v="盐田海卡"/>
    <s v="MIT2"/>
    <x v="81"/>
    <s v="MD1-B 电子球形把手锁 指纹 黑色"/>
    <x v="19"/>
    <n v="10"/>
    <n v="139.24242424242425"/>
    <s v="重量收费"/>
    <n v="3.6"/>
    <m/>
    <n v="7.0671378091872787"/>
    <n v="508.33986508191458"/>
    <n v="3.1771241567619661"/>
    <n v="0.47419763533760689"/>
    <m/>
    <m/>
    <m/>
    <x v="23"/>
    <d v="2026-05-03T00:00:00"/>
    <m/>
    <m/>
    <m/>
    <m/>
    <m/>
    <m/>
  </r>
  <r>
    <n v="390"/>
    <m/>
    <s v="W15003"/>
    <s v="FBA199X2YQJT"/>
    <s v="W-US"/>
    <x v="0"/>
    <s v="002000038"/>
    <n v="80"/>
    <s v="嘀嗒嘀"/>
    <s v="盐田海卡"/>
    <s v="MIT2"/>
    <x v="82"/>
    <s v="MD1-SILV 电子球形把手锁 指纹 银色"/>
    <x v="19"/>
    <n v="5"/>
    <n v="69.621212121212125"/>
    <s v="重量收费"/>
    <n v="3.6"/>
    <m/>
    <n v="3.5335689045936394"/>
    <n v="254.16993254095729"/>
    <n v="3.1771241567619661"/>
    <n v="0.47419763533760689"/>
    <m/>
    <m/>
    <m/>
    <x v="23"/>
    <d v="2026-05-03T00:00:00"/>
    <m/>
    <m/>
    <m/>
    <m/>
    <m/>
    <m/>
  </r>
  <r>
    <n v="391"/>
    <m/>
    <s v="W15003"/>
    <s v="FBA199X2YQJT"/>
    <s v="W-US"/>
    <x v="0"/>
    <s v="002000030"/>
    <n v="48"/>
    <s v="嘀嗒嘀"/>
    <s v="盐田海卡"/>
    <s v="MIT2"/>
    <x v="83"/>
    <s v="MD1-T 电子球形把手锁 指纹 钛灰色"/>
    <x v="19"/>
    <n v="3"/>
    <n v="41.772727272727273"/>
    <s v="重量收费"/>
    <n v="3.6"/>
    <m/>
    <n v="2.1201413427561837"/>
    <n v="152.50195952457435"/>
    <n v="3.1771241567619657"/>
    <n v="0.47419763533760678"/>
    <m/>
    <m/>
    <m/>
    <x v="23"/>
    <d v="2026-05-03T00:00:00"/>
    <m/>
    <m/>
    <m/>
    <m/>
    <m/>
    <m/>
  </r>
  <r>
    <n v="392"/>
    <m/>
    <s v="W15003"/>
    <s v="FBA199X2YQJT"/>
    <s v="W-US"/>
    <x v="0"/>
    <s v="002000031"/>
    <n v="80"/>
    <s v="嘀嗒嘀"/>
    <s v="盐田海卡"/>
    <s v="MIT2"/>
    <x v="84"/>
    <s v="MK1-B 智能球形把手锁 黑色"/>
    <x v="20"/>
    <n v="5"/>
    <n v="69.621212121212125"/>
    <s v="重量收费"/>
    <n v="3.6"/>
    <m/>
    <n v="3.5335689045936394"/>
    <n v="254.16993254095729"/>
    <n v="3.1771241567619661"/>
    <n v="0.47419763533760689"/>
    <m/>
    <m/>
    <m/>
    <x v="23"/>
    <d v="2026-05-03T00:00:00"/>
    <m/>
    <m/>
    <m/>
    <m/>
    <m/>
    <m/>
  </r>
  <r>
    <n v="393"/>
    <m/>
    <s v="W15003"/>
    <s v="FBA199V40XDQ"/>
    <s v="V-US"/>
    <x v="0"/>
    <s v="ANAKIT-WH_US_2X100K03"/>
    <n v="396"/>
    <s v="嘀嗒嘀"/>
    <s v="盐田海卡"/>
    <s v="TCY2"/>
    <x v="43"/>
    <s v="ANAKIT-WH_US_2X100K03 ANA白色机器+2X100mL酒店香氛油（天竺） 机油套装"/>
    <x v="9"/>
    <n v="33"/>
    <n v="568.5625"/>
    <s v="重量收费"/>
    <n v="4.0999999999999996"/>
    <m/>
    <n v="23.32155477031802"/>
    <n v="2354.4278047703178"/>
    <n v="5.945524759521005"/>
    <n v="0.88739175515238877"/>
    <m/>
    <m/>
    <m/>
    <x v="23"/>
    <d v="2026-05-03T00:00:00"/>
    <m/>
    <m/>
    <m/>
    <m/>
    <m/>
    <m/>
  </r>
  <r>
    <n v="394"/>
    <m/>
    <s v="W15003"/>
    <s v="FBA199V40XDQ"/>
    <s v="V-US"/>
    <x v="0"/>
    <s v="ANWKIT-B_US_2X100K03"/>
    <n v="180"/>
    <s v="嘀嗒嘀"/>
    <s v="盐田海卡"/>
    <s v="TCY2"/>
    <x v="120"/>
    <s v="ANWKIT-B_US_2X100K03 ANW黑色机器+2X100mL酒店香氛油（天竺） 机油套装"/>
    <x v="10"/>
    <n v="15"/>
    <n v="258.4375"/>
    <s v="重量收费"/>
    <n v="4.0999999999999996"/>
    <m/>
    <n v="10.600706713780919"/>
    <n v="1070.1944567137809"/>
    <n v="5.945524759521005"/>
    <n v="0.88739175515238877"/>
    <m/>
    <m/>
    <m/>
    <x v="23"/>
    <d v="2026-05-03T00:00:00"/>
    <m/>
    <m/>
    <m/>
    <m/>
    <m/>
    <m/>
  </r>
  <r>
    <n v="395"/>
    <m/>
    <s v="W15003"/>
    <s v="FBA199V5RZPW"/>
    <s v="V-US"/>
    <x v="0"/>
    <s v="001000032"/>
    <n v="240"/>
    <s v="嘀嗒嘀"/>
    <s v="盐田海卡"/>
    <s v="GEU2"/>
    <x v="40"/>
    <s v="ANW-B 智能扩香仪 黑色"/>
    <x v="10"/>
    <n v="20"/>
    <n v="283.125"/>
    <s v="重量收费"/>
    <n v="4.8"/>
    <m/>
    <n v="14.134275618374557"/>
    <n v="1373.1342756183747"/>
    <n v="5.7213928150765607"/>
    <n v="0.85393922613082995"/>
    <m/>
    <m/>
    <m/>
    <x v="23"/>
    <d v="2026-05-03T00:00:00"/>
    <m/>
    <m/>
    <m/>
    <m/>
    <m/>
    <m/>
  </r>
  <r>
    <n v="396"/>
    <m/>
    <s v="W15003"/>
    <s v="FBA199V5RZPW"/>
    <s v="V-US"/>
    <x v="0"/>
    <s v="ANP-W_US"/>
    <n v="352"/>
    <s v="嘀嗒嘀"/>
    <s v="盐田海卡"/>
    <s v="GEU2"/>
    <x v="115"/>
    <s v="ANP-W_US 墙插式智能扩香仪 白色"/>
    <x v="26"/>
    <n v="11"/>
    <n v="155.71875"/>
    <s v="重量收费"/>
    <n v="4.8"/>
    <m/>
    <n v="7.7738515901060072"/>
    <n v="755.22385159010594"/>
    <n v="2.14552230565371"/>
    <n v="0.32022720979906122"/>
    <m/>
    <m/>
    <m/>
    <x v="23"/>
    <d v="2026-05-03T00:00:00"/>
    <m/>
    <m/>
    <m/>
    <m/>
    <m/>
    <m/>
  </r>
  <r>
    <n v="397"/>
    <m/>
    <s v="W15003"/>
    <s v="FBA199V5RZPW"/>
    <s v="V-US"/>
    <x v="0"/>
    <s v="001000057"/>
    <n v="90"/>
    <s v="嘀嗒嘀"/>
    <s v="盐田海卡"/>
    <s v="GEU2"/>
    <x v="128"/>
    <s v="ANW-Bbot ANW带盖瓶子 黑喷头"/>
    <x v="28"/>
    <n v="1"/>
    <n v="14.15625"/>
    <s v="重量收费"/>
    <n v="4.8"/>
    <m/>
    <n v="0.70671378091872794"/>
    <n v="68.656713780918736"/>
    <n v="0.76285237534354156"/>
    <n v="0.11385856348411068"/>
    <m/>
    <m/>
    <m/>
    <x v="23"/>
    <d v="2026-05-03T00:00:00"/>
    <m/>
    <m/>
    <m/>
    <m/>
    <m/>
    <m/>
  </r>
  <r>
    <n v="398"/>
    <m/>
    <s v="W15002"/>
    <s v="FBA15LMGRQ7F"/>
    <s v="W-DE"/>
    <x v="1"/>
    <s v="ANA-WH_EU"/>
    <n v="144"/>
    <s v="万邦"/>
    <s v="欧洲海卡"/>
    <s v="BER8"/>
    <x v="39"/>
    <s v="ANA-WH_EU 智能扩香仪 欧规 白色"/>
    <x v="9"/>
    <n v="12"/>
    <n v="178"/>
    <s v="重量收费"/>
    <n v="7.4"/>
    <n v="200"/>
    <n v="200"/>
    <n v="1517.2"/>
    <n v="10.536111111111111"/>
    <n v="1.5725538971807629"/>
    <m/>
    <m/>
    <m/>
    <x v="23"/>
    <d v="2026-05-13T00:00:00"/>
    <m/>
    <m/>
    <m/>
    <m/>
    <m/>
    <m/>
  </r>
  <r>
    <n v="399"/>
    <m/>
    <s v="W15004"/>
    <s v="FBA199WG4JL3"/>
    <s v="V-US"/>
    <x v="0"/>
    <s v="006000024"/>
    <n v="450"/>
    <s v="天盛"/>
    <s v="盐田海卡"/>
    <s v="GEU2"/>
    <x v="46"/>
    <s v="A-Ritz Carlton Hotel 3-100 丽思卡尔顿酒店3香氛油100mL"/>
    <x v="11"/>
    <n v="5"/>
    <n v="101.67"/>
    <s v="重量收费"/>
    <n v="6.2"/>
    <n v="180"/>
    <n v="100"/>
    <n v="730.35400000000004"/>
    <n v="1.6230088888888889"/>
    <n v="0.24224013266998343"/>
    <m/>
    <m/>
    <m/>
    <x v="23"/>
    <d v="2026-05-02T00:00:00"/>
    <m/>
    <m/>
    <m/>
    <m/>
    <m/>
    <m/>
  </r>
  <r>
    <n v="400"/>
    <m/>
    <s v="W15004"/>
    <s v="FBA199TT251G"/>
    <s v="E-US"/>
    <x v="0"/>
    <s v="HOTEL6KIT1-6X10K01"/>
    <n v="228"/>
    <s v="天盛"/>
    <s v="盐田海卡"/>
    <s v="GEU2"/>
    <x v="45"/>
    <s v="HOTEL6KIT1-6X10K01 酒店香氛油6款10mL套装"/>
    <x v="11"/>
    <n v="3"/>
    <n v="60.997500000000002"/>
    <s v="重量收费"/>
    <n v="6.2"/>
    <n v="180"/>
    <n v="60"/>
    <n v="438.18450000000001"/>
    <n v="1.9218618421052631"/>
    <n v="0.28684505106048702"/>
    <m/>
    <m/>
    <m/>
    <x v="23"/>
    <d v="2026-05-02T00:00:00"/>
    <m/>
    <m/>
    <m/>
    <m/>
    <m/>
    <m/>
  </r>
  <r>
    <n v="401"/>
    <m/>
    <s v="W15004"/>
    <s v="FBA199TT251G"/>
    <s v="E-US"/>
    <x v="0"/>
    <s v="JY-100ML"/>
    <n v="90"/>
    <s v="天盛"/>
    <s v="盐田海卡"/>
    <s v="GEU2"/>
    <x v="49"/>
    <s v="A-Grand Hyatt Hotel-100 君悦酒店香氛油100mL"/>
    <x v="11"/>
    <n v="1"/>
    <n v="20.3325"/>
    <s v="重量收费"/>
    <n v="6.2"/>
    <m/>
    <n v="20"/>
    <n v="146.0615"/>
    <n v="1.6229055555555556"/>
    <n v="0.24222470978441127"/>
    <m/>
    <m/>
    <m/>
    <x v="23"/>
    <d v="2026-05-02T00:00:00"/>
    <m/>
    <m/>
    <m/>
    <m/>
    <m/>
    <m/>
  </r>
  <r>
    <n v="402"/>
    <m/>
    <s v="W15005"/>
    <s v="FBA199WTFJB1"/>
    <s v="E-US"/>
    <x v="0"/>
    <s v="BCRT1-100ML_TZ"/>
    <n v="256"/>
    <s v="天盛"/>
    <s v="盐田海卡"/>
    <s v="TCY1"/>
    <x v="62"/>
    <s v="BCRT1-100ML_TZ 巴卡拉酒店100mL香氛油（天竺） 销售包装"/>
    <x v="6"/>
    <n v="4"/>
    <n v="59.272727272727273"/>
    <s v="重量收费"/>
    <n v="6.3"/>
    <n v="180"/>
    <n v="65.454545454545453"/>
    <n v="438.87272727272727"/>
    <n v="1.7143465909090909"/>
    <n v="0.25587262550881951"/>
    <m/>
    <m/>
    <m/>
    <x v="23"/>
    <m/>
    <m/>
    <m/>
    <m/>
    <m/>
    <m/>
    <m/>
  </r>
  <r>
    <n v="403"/>
    <m/>
    <s v="W15005"/>
    <s v="FBA199WTFJB1"/>
    <s v="E-US"/>
    <x v="0"/>
    <s v="W1-100ML_TZ"/>
    <n v="256"/>
    <s v="天盛"/>
    <s v="盐田海卡"/>
    <s v="TCY1"/>
    <x v="24"/>
    <s v="W1-100ML_TZ W酒店100mL香氛油（天竺） 销售包装"/>
    <x v="6"/>
    <n v="4"/>
    <n v="59.272727272727273"/>
    <s v="重量收费"/>
    <n v="6.3"/>
    <n v="180"/>
    <n v="65.454545454545453"/>
    <n v="438.87272727272727"/>
    <n v="1.7143465909090909"/>
    <n v="0.25587262550881951"/>
    <m/>
    <m/>
    <m/>
    <x v="23"/>
    <m/>
    <m/>
    <m/>
    <m/>
    <m/>
    <m/>
    <m/>
  </r>
  <r>
    <n v="404"/>
    <m/>
    <s v="W15005"/>
    <s v="FBA199WTFJB1"/>
    <s v="E-US"/>
    <x v="0"/>
    <s v="HILTON1-100ML_TZ"/>
    <n v="128"/>
    <s v="天盛"/>
    <s v="盐田海卡"/>
    <s v="TCY1"/>
    <x v="61"/>
    <s v="HILTON1-100ML_TZ 希尔顿酒店100mL香氛油（天竺） 销售包装"/>
    <x v="6"/>
    <n v="2"/>
    <n v="29.636363636363637"/>
    <s v="重量收费"/>
    <n v="6.3"/>
    <m/>
    <n v="32.727272727272727"/>
    <n v="219.43636363636364"/>
    <n v="1.7143465909090909"/>
    <n v="0.25587262550881951"/>
    <m/>
    <m/>
    <m/>
    <x v="23"/>
    <m/>
    <m/>
    <m/>
    <m/>
    <m/>
    <m/>
    <m/>
  </r>
  <r>
    <n v="405"/>
    <m/>
    <s v="W15005"/>
    <s v="FBA199WTFJB1"/>
    <s v="E-US"/>
    <x v="0"/>
    <s v="YH1-100ML_TZ"/>
    <n v="64"/>
    <s v="天盛"/>
    <s v="盐田海卡"/>
    <s v="TCY1"/>
    <x v="89"/>
    <s v="YH1-100ML_TZ 樱花100mL香氛油（天竺）销售包装"/>
    <x v="6"/>
    <n v="1"/>
    <n v="14.818181818181818"/>
    <s v="重量收费"/>
    <n v="6.3"/>
    <m/>
    <n v="16.363636363636363"/>
    <n v="109.71818181818182"/>
    <n v="1.7143465909090909"/>
    <n v="0.25587262550881951"/>
    <m/>
    <m/>
    <m/>
    <x v="23"/>
    <m/>
    <m/>
    <m/>
    <m/>
    <m/>
    <m/>
    <m/>
  </r>
  <r>
    <n v="406"/>
    <m/>
    <s v="W15008"/>
    <s v="FBA199V32GNW"/>
    <s v="E-US"/>
    <x v="0"/>
    <s v="008000002"/>
    <n v="70"/>
    <s v="国润通"/>
    <s v="盐田海卡"/>
    <s v="TCY2"/>
    <x v="129"/>
    <s v="ES1-B 电动泡沫喷机 黑色"/>
    <x v="29"/>
    <n v="1"/>
    <n v="13.25"/>
    <s v="重量收费"/>
    <n v="4.3"/>
    <n v="200"/>
    <n v="10"/>
    <n v="66.974999999999994"/>
    <n v="0.95678571428571424"/>
    <n v="0.14280383795309168"/>
    <m/>
    <m/>
    <m/>
    <x v="22"/>
    <d v="2026-05-02T00:00:00"/>
    <m/>
    <m/>
    <m/>
    <m/>
    <m/>
    <m/>
  </r>
  <r>
    <n v="407"/>
    <m/>
    <s v="W15008"/>
    <s v="FBA199V32GNW"/>
    <s v="E-US"/>
    <x v="0"/>
    <s v="008000005"/>
    <n v="288"/>
    <s v="国润通"/>
    <s v="盐田海卡"/>
    <s v="TCY2"/>
    <x v="130"/>
    <s v="ES1-Bkit 电动泡沫喷机黑色 托架 硅胶刷 套装"/>
    <x v="29"/>
    <n v="12"/>
    <n v="159"/>
    <s v="重量收费"/>
    <n v="4.3"/>
    <n v="200"/>
    <n v="120"/>
    <n v="803.69999999999993"/>
    <n v="2.7906249999999999"/>
    <n v="0.41651119402985071"/>
    <m/>
    <m/>
    <m/>
    <x v="22"/>
    <d v="2026-05-02T00:00:00"/>
    <m/>
    <m/>
    <m/>
    <m/>
    <m/>
    <m/>
  </r>
  <r>
    <n v="408"/>
    <m/>
    <s v="W15008"/>
    <s v="FBA199V32GNW"/>
    <s v="E-US"/>
    <x v="0"/>
    <s v="ES1KIT-W_W"/>
    <n v="120"/>
    <s v="国润通"/>
    <s v="盐田海卡"/>
    <s v="TCY2"/>
    <x v="131"/>
    <s v="ES1KIT-W_W 电动泡沫喷机 白色 两个装"/>
    <x v="29"/>
    <n v="5"/>
    <n v="66.25"/>
    <s v="重量收费"/>
    <n v="4.3"/>
    <m/>
    <n v="50"/>
    <n v="334.875"/>
    <n v="2.7906249999999999"/>
    <n v="0.41651119402985071"/>
    <m/>
    <m/>
    <m/>
    <x v="22"/>
    <d v="2026-05-02T00:00:00"/>
    <m/>
    <m/>
    <m/>
    <m/>
    <m/>
    <m/>
  </r>
  <r>
    <n v="409"/>
    <m/>
    <s v="W15008"/>
    <s v="FBA199V32GNW"/>
    <s v="E-US"/>
    <x v="0"/>
    <s v="008000002"/>
    <n v="29"/>
    <s v="国润通"/>
    <s v="盐田海卡"/>
    <s v="TCY2"/>
    <x v="129"/>
    <s v="ES1-B 电动泡沫喷机 黑色"/>
    <x v="29"/>
    <n v="0.5"/>
    <n v="6.625"/>
    <s v="重量收费"/>
    <n v="4.3"/>
    <m/>
    <n v="5"/>
    <n v="33.487499999999997"/>
    <n v="1.1547413793103447"/>
    <n v="0.17234945959855891"/>
    <m/>
    <m/>
    <m/>
    <x v="22"/>
    <d v="2026-05-02T00:00:00"/>
    <m/>
    <m/>
    <m/>
    <m/>
    <m/>
    <m/>
  </r>
  <r>
    <n v="410"/>
    <m/>
    <s v="W15008"/>
    <s v="FBA199V32GNW"/>
    <s v="E-US"/>
    <x v="0"/>
    <s v="ES1-W"/>
    <n v="33"/>
    <s v="国润通"/>
    <s v="盐田海卡"/>
    <s v="TCY2"/>
    <x v="132"/>
    <s v="ES1-W 电动泡沫喷机（202602新） 白色"/>
    <x v="29"/>
    <n v="0.5"/>
    <n v="6.625"/>
    <s v="重量收费"/>
    <n v="4.3"/>
    <m/>
    <n v="5"/>
    <n v="33.487499999999997"/>
    <n v="1.0147727272727272"/>
    <n v="0.15145861601085481"/>
    <m/>
    <m/>
    <m/>
    <x v="22"/>
    <d v="2026-05-02T00:00:00"/>
    <m/>
    <m/>
    <m/>
    <m/>
    <m/>
    <m/>
  </r>
  <r>
    <n v="411"/>
    <m/>
    <s v="W15001"/>
    <s v="FBA199WGX66P"/>
    <s v="K-US"/>
    <x v="0"/>
    <s v="ES1KIT-W_W"/>
    <n v="408"/>
    <s v="万邦"/>
    <s v="盐田海卡"/>
    <s v="GEU2"/>
    <x v="131"/>
    <s v="ES1KIT-W_W 电动泡沫喷机 白色 两个装"/>
    <x v="29"/>
    <n v="17"/>
    <n v="201"/>
    <s v="重量收费"/>
    <n v="5"/>
    <n v="200"/>
    <n v="69.387755102040813"/>
    <n v="1074.3877551020407"/>
    <n v="2.6333033213285311"/>
    <n v="0.3930303464669449"/>
    <m/>
    <m/>
    <m/>
    <x v="22"/>
    <d v="2026-05-05T00:00:00"/>
    <m/>
    <m/>
    <m/>
    <m/>
    <m/>
    <m/>
  </r>
  <r>
    <n v="412"/>
    <m/>
    <s v="W15008"/>
    <s v="FBA199TTG21T"/>
    <s v="W-US"/>
    <x v="0"/>
    <s v="ES1-W"/>
    <n v="70"/>
    <s v="国润通"/>
    <s v="盐田海卡"/>
    <s v="TCY2"/>
    <x v="132"/>
    <s v="ES1-W 电动泡沫喷机（202602新） 白色"/>
    <x v="29"/>
    <n v="1"/>
    <n v="13.25"/>
    <s v="重量收费"/>
    <n v="4.3"/>
    <n v="200"/>
    <n v="10"/>
    <n v="66.974999999999994"/>
    <n v="0.95678571428571424"/>
    <n v="0.14280383795309168"/>
    <m/>
    <m/>
    <m/>
    <x v="22"/>
    <d v="2026-05-02T00:00:00"/>
    <m/>
    <m/>
    <m/>
    <m/>
    <m/>
    <m/>
  </r>
  <r>
    <n v="413"/>
    <m/>
    <s v="W16006"/>
    <s v="FBA19B9KJ2QH"/>
    <s v="E-US"/>
    <x v="0"/>
    <s v="001000045"/>
    <n v="390"/>
    <s v="嘀嗒嘀"/>
    <s v="盐田海卡"/>
    <s v="TCY2"/>
    <x v="1"/>
    <s v="ANX-B 便携式扩香仪 黑色"/>
    <x v="1"/>
    <n v="13"/>
    <n v="161.65217391304347"/>
    <s v="重量收费"/>
    <n v="4.2"/>
    <n v="200"/>
    <n v="96.296296296296291"/>
    <n v="775.23542673107886"/>
    <n v="1.9877831454643047"/>
    <n v="0.29668405156183653"/>
    <m/>
    <m/>
    <m/>
    <x v="24"/>
    <m/>
    <m/>
    <m/>
    <m/>
    <m/>
    <m/>
    <m/>
  </r>
  <r>
    <n v="414"/>
    <m/>
    <s v="W16006"/>
    <s v="FBA19B9KJ2QH"/>
    <s v="E-US"/>
    <x v="0"/>
    <s v="001000052"/>
    <n v="150"/>
    <s v="嘀嗒嘀"/>
    <s v="盐田海卡"/>
    <s v="TCY2"/>
    <x v="37"/>
    <s v="ANX-DT 便携式扩香仪 沙漠钛色"/>
    <x v="1"/>
    <n v="5"/>
    <n v="62.173913043478265"/>
    <s v="重量收费"/>
    <n v="4.2"/>
    <n v="200"/>
    <n v="37.037037037037038"/>
    <n v="298.16747181964581"/>
    <n v="1.9877831454643053"/>
    <n v="0.29668405156183664"/>
    <m/>
    <m/>
    <m/>
    <x v="24"/>
    <m/>
    <m/>
    <m/>
    <m/>
    <m/>
    <m/>
    <m/>
  </r>
  <r>
    <n v="415"/>
    <m/>
    <s v="W16006"/>
    <s v="FBA19B9KJ2QH"/>
    <s v="E-US"/>
    <x v="0"/>
    <s v="ANZ-B"/>
    <n v="200"/>
    <s v="嘀嗒嘀"/>
    <s v="盐田海卡"/>
    <s v="TCY2"/>
    <x v="0"/>
    <s v="ANZ-B 便携式扩香仪 黑色"/>
    <x v="0"/>
    <n v="5"/>
    <n v="62.173913043478265"/>
    <s v="重量收费"/>
    <n v="4.2"/>
    <m/>
    <n v="37.037037037037038"/>
    <n v="298.16747181964581"/>
    <n v="1.4908373590982291"/>
    <n v="0.22251303867137748"/>
    <m/>
    <m/>
    <m/>
    <x v="24"/>
    <m/>
    <m/>
    <m/>
    <m/>
    <m/>
    <m/>
    <m/>
  </r>
  <r>
    <n v="416"/>
    <m/>
    <s v="W16007"/>
    <s v="FBA19B9LM3JV"/>
    <s v="E-US"/>
    <x v="0"/>
    <s v="ANZKIT-B_4X10K04_TZ"/>
    <n v="480"/>
    <s v="嘀嗒嘀"/>
    <s v="美森海卡"/>
    <s v="TCY2"/>
    <x v="38"/>
    <s v="ANZKIT-B_4X10K04_TZ ANZ黑色机器+4x10mL酒店（天竺）香氛油 机油套装"/>
    <x v="0"/>
    <n v="16"/>
    <n v="253"/>
    <s v="重量收费"/>
    <n v="8.9"/>
    <n v="200"/>
    <n v="88.888888888888886"/>
    <n v="2340.588888888889"/>
    <n v="4.8762268518518521"/>
    <n v="0.72779505251520182"/>
    <m/>
    <m/>
    <m/>
    <x v="24"/>
    <m/>
    <m/>
    <m/>
    <m/>
    <m/>
    <m/>
    <m/>
  </r>
  <r>
    <n v="417"/>
    <m/>
    <s v="W16003"/>
    <s v="FBA15LN44JQQ"/>
    <s v="E-UK"/>
    <x v="2"/>
    <s v="001000019"/>
    <n v="280"/>
    <s v="嘀嗒嘀"/>
    <s v="英国海卡"/>
    <s v="LBA4"/>
    <x v="17"/>
    <s v="AN6-B 便携式扩香仪 黑色"/>
    <x v="3"/>
    <n v="7"/>
    <n v="93.545454545454547"/>
    <s v="重量收费"/>
    <n v="4.4000000000000004"/>
    <n v="550"/>
    <n v="320.83333333333331"/>
    <n v="732.43333333333339"/>
    <n v="2.6158333333333337"/>
    <n v="0.39042288557213933"/>
    <m/>
    <m/>
    <m/>
    <x v="25"/>
    <m/>
    <m/>
    <m/>
    <m/>
    <m/>
    <m/>
    <m/>
  </r>
  <r>
    <n v="418"/>
    <m/>
    <s v="W16003"/>
    <s v="FBA15LN44JQQ"/>
    <s v="E-UK"/>
    <x v="2"/>
    <s v="AN6-G"/>
    <n v="80"/>
    <s v="嘀嗒嘀"/>
    <s v="英国海卡"/>
    <s v="LBA4"/>
    <x v="118"/>
    <s v="AN6-G 便携式扩香仪 灰色"/>
    <x v="3"/>
    <n v="2"/>
    <n v="26.727272727272727"/>
    <s v="重量收费"/>
    <n v="4.4000000000000004"/>
    <n v="550"/>
    <n v="91.666666666666671"/>
    <n v="209.26666666666668"/>
    <n v="2.6158333333333337"/>
    <n v="0.39042288557213933"/>
    <m/>
    <m/>
    <m/>
    <x v="25"/>
    <m/>
    <m/>
    <m/>
    <m/>
    <m/>
    <m/>
    <m/>
  </r>
  <r>
    <n v="419"/>
    <m/>
    <s v="W16003"/>
    <s v="FBA15LN44JQQ"/>
    <s v="E-UK"/>
    <x v="2"/>
    <s v="001000040"/>
    <n v="80"/>
    <s v="嘀嗒嘀"/>
    <s v="英国海卡"/>
    <s v="LBA4"/>
    <x v="100"/>
    <s v="AN6-LB 便携式扩香仪 浅钢蓝色"/>
    <x v="3"/>
    <n v="2"/>
    <n v="26.727272727272727"/>
    <s v="重量收费"/>
    <n v="4.4000000000000004"/>
    <m/>
    <n v="91.666666666666671"/>
    <n v="209.26666666666668"/>
    <n v="2.6158333333333337"/>
    <n v="0.39042288557213933"/>
    <m/>
    <m/>
    <m/>
    <x v="25"/>
    <m/>
    <m/>
    <m/>
    <m/>
    <m/>
    <m/>
    <m/>
  </r>
  <r>
    <n v="420"/>
    <s v="100KG起收费"/>
    <s v="W16001"/>
    <s v="FBA15G8D1ZB2"/>
    <s v="E-AU"/>
    <x v="4"/>
    <s v="001000045"/>
    <n v="240"/>
    <s v="澳鹰"/>
    <s v="澳洲海卡"/>
    <s v="BWU2"/>
    <x v="1"/>
    <s v="ANX-B 便携式扩香仪 黑色"/>
    <x v="1"/>
    <n v="8"/>
    <n v="100"/>
    <s v="重量收费"/>
    <n v="8"/>
    <n v="350"/>
    <n v="350"/>
    <n v="1150"/>
    <n v="4.791666666666667"/>
    <n v="0.71517412935323388"/>
    <m/>
    <m/>
    <m/>
    <x v="25"/>
    <m/>
    <m/>
    <m/>
    <m/>
    <m/>
    <m/>
    <m/>
  </r>
  <r>
    <n v="421"/>
    <m/>
    <s v="W16014"/>
    <s v="FBA19BBRVKSC"/>
    <s v="V-US"/>
    <x v="0"/>
    <s v="ADXKIT-B_4X10K04_TZ"/>
    <n v="990"/>
    <s v="万邦"/>
    <s v="盐田海卡"/>
    <s v="GEU2"/>
    <x v="54"/>
    <s v="ADXKIT-B_4X10K04_TZ ADX黑色机器+4x10mL酒店（天竺）香氛油 机油套装"/>
    <x v="2"/>
    <n v="33"/>
    <n v="559.69306930693074"/>
    <s v="重量收费"/>
    <n v="4.2"/>
    <n v="200"/>
    <n v="49.624060150375939"/>
    <n v="2400.3349512394852"/>
    <n v="2.424580758827763"/>
    <n v="0.36187772519817357"/>
    <m/>
    <m/>
    <m/>
    <x v="24"/>
    <m/>
    <m/>
    <m/>
    <m/>
    <m/>
    <m/>
    <m/>
  </r>
  <r>
    <n v="422"/>
    <m/>
    <s v="W16014"/>
    <s v="FBA19BBRVKSC"/>
    <s v="V-US"/>
    <x v="0"/>
    <s v="ADXKIT-DT_4X10K04_TZ"/>
    <n v="300"/>
    <s v="万邦"/>
    <s v="盐田海卡"/>
    <s v="GEU2"/>
    <x v="55"/>
    <s v="ADXKIT-DT_4X10K04_TZ AD钛色机器+4x10mL酒店（天竺）香氛油 机油套装"/>
    <x v="2"/>
    <n v="10"/>
    <n v="169.60396039603961"/>
    <s v="重量收费"/>
    <n v="4.2"/>
    <n v="200"/>
    <n v="15.037593984962406"/>
    <n v="727.37422764832877"/>
    <n v="2.4245807588277626"/>
    <n v="0.36187772519817352"/>
    <m/>
    <m/>
    <m/>
    <x v="24"/>
    <m/>
    <m/>
    <m/>
    <m/>
    <m/>
    <m/>
    <m/>
  </r>
  <r>
    <n v="423"/>
    <m/>
    <s v="W16014"/>
    <s v="FBA19BBRVKSC"/>
    <s v="V-US"/>
    <x v="0"/>
    <s v="AN8KIT-B_B_2X30K02"/>
    <n v="160"/>
    <s v="万邦"/>
    <s v="盐田海卡"/>
    <s v="GEU2"/>
    <x v="94"/>
    <s v="AN8KIT-B_B_2X30K02 AN8黑色机器两个装+2X30mL香氛油（天竺） 机油套装"/>
    <x v="4"/>
    <n v="8"/>
    <n v="135.68316831683168"/>
    <s v="重量收费"/>
    <n v="4.2"/>
    <m/>
    <n v="12.030075187969924"/>
    <n v="581.89938211866308"/>
    <n v="3.6368711382416441"/>
    <n v="0.54281658779726027"/>
    <m/>
    <m/>
    <m/>
    <x v="24"/>
    <m/>
    <m/>
    <m/>
    <m/>
    <m/>
    <m/>
    <m/>
  </r>
  <r>
    <n v="424"/>
    <m/>
    <s v="W16014"/>
    <s v="FBA19BBRVKSC"/>
    <s v="V-US"/>
    <x v="0"/>
    <s v="AN8KIT-B_4X10K05_TZ"/>
    <n v="1200"/>
    <s v="万邦"/>
    <s v="盐田海卡"/>
    <s v="GEU2"/>
    <x v="117"/>
    <s v="AN8KIT-B_4X10K05_TZ AN8黑色机器+4x10mL（天竺）酒店香氛油 机油套装"/>
    <x v="4"/>
    <n v="40"/>
    <n v="678.41584158415844"/>
    <s v="重量收费"/>
    <n v="4.2"/>
    <m/>
    <n v="60.150375939849624"/>
    <n v="2909.4969105933151"/>
    <n v="2.4245807588277626"/>
    <n v="0.36187772519817352"/>
    <m/>
    <m/>
    <m/>
    <x v="24"/>
    <m/>
    <m/>
    <m/>
    <m/>
    <m/>
    <m/>
    <m/>
  </r>
  <r>
    <n v="425"/>
    <m/>
    <s v="W16014"/>
    <s v="FBA19BBRVKSC"/>
    <s v="V-US"/>
    <x v="0"/>
    <s v="AN8KIT-B_4X10K02"/>
    <n v="300"/>
    <s v="万邦"/>
    <s v="盐田海卡"/>
    <s v="GEU2"/>
    <x v="11"/>
    <s v="AN8KIT-B_4X10K02 AN8黑色机器+4x10mL（天竺）香氛油 机油套装"/>
    <x v="4"/>
    <n v="10"/>
    <n v="169.60396039603961"/>
    <s v="重量收费"/>
    <n v="4.2"/>
    <m/>
    <n v="15.037593984962406"/>
    <n v="727.37422764832877"/>
    <n v="2.4245807588277626"/>
    <n v="0.36187772519817352"/>
    <m/>
    <m/>
    <m/>
    <x v="24"/>
    <m/>
    <m/>
    <m/>
    <m/>
    <m/>
    <m/>
    <m/>
  </r>
  <r>
    <n v="426"/>
    <m/>
    <s v="W16005"/>
    <s v="FBA19B9C8RDL"/>
    <s v="V-US"/>
    <x v="0"/>
    <s v="ADXKIT-B_DT"/>
    <n v="32"/>
    <s v="国润通"/>
    <s v="盐田海卡"/>
    <s v="MIT2"/>
    <x v="133"/>
    <s v="ADXKIT-B_DT ADX便携式扩香仪两个装套装 黑+沙漠钛"/>
    <x v="2"/>
    <n v="2"/>
    <n v="27.754716981132077"/>
    <s v="重量收费"/>
    <n v="3.8"/>
    <n v="200"/>
    <n v="3.225806451612903"/>
    <n v="108.69373097991479"/>
    <n v="3.3966790931223372"/>
    <n v="0.50696702882422939"/>
    <m/>
    <m/>
    <m/>
    <x v="24"/>
    <m/>
    <m/>
    <m/>
    <m/>
    <m/>
    <m/>
    <m/>
  </r>
  <r>
    <n v="427"/>
    <m/>
    <s v="W16005"/>
    <s v="FBA19B9C8RDL"/>
    <s v="V-US"/>
    <x v="0"/>
    <s v="001000019"/>
    <n v="2000"/>
    <s v="国润通"/>
    <s v="盐田海卡"/>
    <s v="MIT2"/>
    <x v="17"/>
    <s v="AN6-B 便携式扩香仪 黑色"/>
    <x v="3"/>
    <n v="50"/>
    <n v="693.86792452830196"/>
    <s v="重量收费"/>
    <n v="3.8"/>
    <n v="200"/>
    <n v="80.645161290322577"/>
    <n v="2717.34327449787"/>
    <n v="1.3586716372489349"/>
    <n v="0.20278681152969177"/>
    <m/>
    <m/>
    <m/>
    <x v="24"/>
    <m/>
    <m/>
    <m/>
    <m/>
    <m/>
    <m/>
    <m/>
  </r>
  <r>
    <n v="428"/>
    <m/>
    <s v="W16005"/>
    <s v="FBA19B9C8RDL"/>
    <s v="V-US"/>
    <x v="0"/>
    <s v="001000039"/>
    <n v="320"/>
    <s v="国润通"/>
    <s v="盐田海卡"/>
    <s v="MIT2"/>
    <x v="35"/>
    <s v="AN6-GL 便携式扩香仪 翠百合色"/>
    <x v="3"/>
    <n v="8"/>
    <n v="111.01886792452831"/>
    <s v="重量收费"/>
    <n v="3.8"/>
    <m/>
    <n v="12.903225806451612"/>
    <n v="434.77492391965916"/>
    <n v="1.3586716372489349"/>
    <n v="0.20278681152969177"/>
    <m/>
    <m/>
    <m/>
    <x v="24"/>
    <m/>
    <m/>
    <m/>
    <m/>
    <m/>
    <m/>
    <m/>
  </r>
  <r>
    <n v="429"/>
    <m/>
    <s v="W16005"/>
    <s v="FBA19B9C8RDL"/>
    <s v="V-US"/>
    <x v="0"/>
    <s v="001000020"/>
    <n v="680"/>
    <s v="国润通"/>
    <s v="盐田海卡"/>
    <s v="MIT2"/>
    <x v="18"/>
    <s v="AN6-W 便携式扩香仪 白色"/>
    <x v="3"/>
    <n v="17"/>
    <n v="235.91509433962267"/>
    <s v="重量收费"/>
    <n v="3.8"/>
    <m/>
    <n v="27.419354838709676"/>
    <n v="923.89671332927571"/>
    <n v="1.3586716372489349"/>
    <n v="0.20278681152969177"/>
    <m/>
    <m/>
    <m/>
    <x v="24"/>
    <m/>
    <m/>
    <m/>
    <m/>
    <m/>
    <m/>
    <m/>
  </r>
  <r>
    <n v="430"/>
    <m/>
    <s v="W16005"/>
    <s v="FBA19B9C8RDL"/>
    <s v="V-US"/>
    <x v="0"/>
    <s v="RD1-B"/>
    <n v="660"/>
    <s v="国润通"/>
    <s v="盐田海卡"/>
    <s v="MIT2"/>
    <x v="101"/>
    <s v="RD1-B 便携式扩香仪 黑色"/>
    <x v="23"/>
    <n v="22"/>
    <n v="305.30188679245282"/>
    <s v="重量收费"/>
    <n v="3.8"/>
    <m/>
    <n v="35.483870967741936"/>
    <n v="1195.6310407790627"/>
    <n v="1.8115621829985797"/>
    <n v="0.27038241537292235"/>
    <m/>
    <m/>
    <m/>
    <x v="24"/>
    <m/>
    <m/>
    <m/>
    <m/>
    <m/>
    <m/>
    <m/>
  </r>
  <r>
    <n v="431"/>
    <m/>
    <s v="W16005"/>
    <s v="FBA19B9C8RDL"/>
    <s v="V-US"/>
    <x v="0"/>
    <s v="RD1-DT"/>
    <n v="210"/>
    <s v="国润通"/>
    <s v="盐田海卡"/>
    <s v="MIT2"/>
    <x v="110"/>
    <s v="RD1-DT 便携式扩香仪 沙漠钛色"/>
    <x v="23"/>
    <n v="7"/>
    <n v="97.14150943396227"/>
    <s v="重量收费"/>
    <n v="3.8"/>
    <m/>
    <n v="11.290322580645162"/>
    <n v="380.42805842970176"/>
    <n v="1.8115621829985797"/>
    <n v="0.27038241537292235"/>
    <m/>
    <m/>
    <m/>
    <x v="24"/>
    <m/>
    <m/>
    <m/>
    <m/>
    <m/>
    <m/>
    <m/>
  </r>
  <r>
    <n v="432"/>
    <m/>
    <s v="W16006"/>
    <s v="FBA19BC498R6"/>
    <s v="A-US"/>
    <x v="0"/>
    <s v="ANZKIT-B_B"/>
    <n v="80"/>
    <s v="嘀嗒嘀"/>
    <s v="盐田海卡"/>
    <s v="TCY1"/>
    <x v="119"/>
    <s v="ANZKIT-B_B 便携式扩香仪 黑色 两个装"/>
    <x v="0"/>
    <n v="4"/>
    <n v="52"/>
    <s v="重量收费"/>
    <n v="4.0999999999999996"/>
    <n v="200"/>
    <n v="29.62962962962963"/>
    <n v="242.82962962962961"/>
    <n v="3.0353703703703703"/>
    <n v="0.45304035378662244"/>
    <m/>
    <m/>
    <m/>
    <x v="24"/>
    <m/>
    <m/>
    <m/>
    <m/>
    <m/>
    <m/>
    <m/>
  </r>
  <r>
    <n v="433"/>
    <m/>
    <s v="W16002"/>
    <s v="FBA19BC2TT08"/>
    <s v="K-US"/>
    <x v="0"/>
    <s v="RD2KIT-B_2X30K06_TZ"/>
    <n v="780"/>
    <s v="嘀嗒嘀"/>
    <s v="盐田海卡"/>
    <s v="TCY1"/>
    <x v="134"/>
    <s v="RD2KIT-B_2X30K06_TZ RD2黑色机器+2X30mL酒店香氛油（天竺）  机油套装"/>
    <x v="30"/>
    <n v="39"/>
    <n v="538.57000000000005"/>
    <s v="重量收费"/>
    <n v="4.0999999999999996"/>
    <n v="200"/>
    <n v="123.80952380952381"/>
    <n v="2331.946523809524"/>
    <n v="2.9896750305250306"/>
    <n v="0.44622015380970603"/>
    <m/>
    <m/>
    <m/>
    <x v="24"/>
    <m/>
    <m/>
    <m/>
    <m/>
    <m/>
    <m/>
    <m/>
  </r>
  <r>
    <n v="434"/>
    <m/>
    <s v="W16007"/>
    <s v="FBA19B9HK18P"/>
    <s v="V-US"/>
    <x v="0"/>
    <s v="ADXKIT-DT_4X10K04_TZ"/>
    <n v="300"/>
    <s v="嘀嗒嘀"/>
    <s v="美森海卡"/>
    <s v="MIT2"/>
    <x v="55"/>
    <s v="ADXKIT-DT_4X10K04_TZ AD钛色机器+4x10mL酒店（天竺）香氛油 机油套装"/>
    <x v="2"/>
    <n v="10"/>
    <n v="164.5"/>
    <s v="重量收费"/>
    <n v="7.9"/>
    <n v="200"/>
    <n v="55.555555555555557"/>
    <n v="1355.1055555555556"/>
    <n v="4.517018518518519"/>
    <n v="0.6741818684355998"/>
    <m/>
    <m/>
    <m/>
    <x v="24"/>
    <m/>
    <m/>
    <m/>
    <m/>
    <m/>
    <m/>
    <m/>
  </r>
  <r>
    <n v="435"/>
    <m/>
    <s v="W16007"/>
    <s v="FBA19B9HK18P"/>
    <s v="V-US"/>
    <x v="0"/>
    <s v="RD1-DT"/>
    <n v="300"/>
    <s v="嘀嗒嘀"/>
    <s v="美森海卡"/>
    <s v="MIT2"/>
    <x v="110"/>
    <s v="RD1-DT 便携式扩香仪 沙漠钛色"/>
    <x v="23"/>
    <n v="10"/>
    <n v="164.5"/>
    <s v="重量收费"/>
    <n v="7.9"/>
    <n v="200"/>
    <n v="55.555555555555557"/>
    <n v="1355.1055555555556"/>
    <n v="4.517018518518519"/>
    <n v="0.6741818684355998"/>
    <m/>
    <m/>
    <m/>
    <x v="24"/>
    <m/>
    <m/>
    <m/>
    <m/>
    <m/>
    <m/>
    <m/>
  </r>
  <r>
    <n v="436"/>
    <m/>
    <s v="W16002"/>
    <s v="FBA19BK8QFSK"/>
    <s v="K-US"/>
    <x v="0"/>
    <s v="RDXKIT-B_US_2X100K04"/>
    <n v="216"/>
    <s v="嘀嗒嘀"/>
    <s v="盐田海卡"/>
    <s v="TCY1"/>
    <x v="112"/>
    <s v="RDXKIT-B_US_2X100K04 RDX黑色机器+2X100mL酒店香氛油（天竺） 机油套装"/>
    <x v="25"/>
    <n v="24"/>
    <n v="331.43"/>
    <s v="重量收费"/>
    <n v="4.0999999999999996"/>
    <n v="200"/>
    <n v="76.19047619047619"/>
    <n v="1435.053476190476"/>
    <n v="6.6437660934744258"/>
    <n v="0.99160687962304861"/>
    <m/>
    <m/>
    <m/>
    <x v="24"/>
    <m/>
    <m/>
    <m/>
    <m/>
    <m/>
    <m/>
    <m/>
  </r>
  <r>
    <n v="437"/>
    <m/>
    <s v="W16010"/>
    <s v="FBA19BCDLF7B"/>
    <s v="W-US"/>
    <x v="0"/>
    <s v="G1-B"/>
    <n v="480"/>
    <s v="天盛"/>
    <s v="盐田海卡"/>
    <s v="GEU3"/>
    <x v="63"/>
    <s v="G1-B 电子球形把手锁 黑色"/>
    <x v="12"/>
    <n v="30"/>
    <n v="1.6445783132530121"/>
    <s v="CBM收费"/>
    <n v="1020"/>
    <n v="180"/>
    <n v="50.943396226415096"/>
    <n v="1728.4132757444875"/>
    <n v="3.6008609911343488"/>
    <n v="0.53744193897527592"/>
    <m/>
    <m/>
    <m/>
    <x v="24"/>
    <m/>
    <m/>
    <m/>
    <m/>
    <m/>
    <m/>
    <m/>
  </r>
  <r>
    <n v="438"/>
    <m/>
    <s v="W16010"/>
    <s v="FBA19BCDLF7B"/>
    <s v="W-US"/>
    <x v="0"/>
    <s v="G1-SILV"/>
    <n v="240"/>
    <s v="天盛"/>
    <s v="盐田海卡"/>
    <s v="GEU3"/>
    <x v="65"/>
    <s v="G1-SILV 电子球形把手锁 银色"/>
    <x v="12"/>
    <n v="15"/>
    <n v="0.82228915662650603"/>
    <s v="CBM收费"/>
    <n v="1020"/>
    <n v="180"/>
    <n v="25.471698113207548"/>
    <n v="864.20663787224373"/>
    <n v="3.6008609911343488"/>
    <n v="0.53744193897527592"/>
    <m/>
    <m/>
    <m/>
    <x v="24"/>
    <m/>
    <m/>
    <m/>
    <m/>
    <m/>
    <m/>
    <m/>
  </r>
  <r>
    <n v="439"/>
    <m/>
    <s v="W16010"/>
    <s v="FBA19BCDLF7B"/>
    <s v="W-US"/>
    <x v="0"/>
    <s v="002000029"/>
    <n v="400"/>
    <s v="天盛"/>
    <s v="盐田海卡"/>
    <s v="GEU3"/>
    <x v="81"/>
    <s v="MD1-B 电子球形把手锁 指纹 黑色"/>
    <x v="19"/>
    <n v="25"/>
    <n v="1.3704819277108433"/>
    <s v="CBM收费"/>
    <n v="1020"/>
    <m/>
    <n v="42.452830188679243"/>
    <n v="1440.3443964537394"/>
    <n v="3.6008609911343483"/>
    <n v="0.53744193897527581"/>
    <m/>
    <m/>
    <m/>
    <x v="24"/>
    <m/>
    <m/>
    <m/>
    <m/>
    <m/>
    <m/>
    <m/>
  </r>
  <r>
    <n v="440"/>
    <m/>
    <s v="W16010"/>
    <s v="FBA19BCDLF7B"/>
    <s v="W-US"/>
    <x v="0"/>
    <s v="002000038"/>
    <n v="208"/>
    <s v="天盛"/>
    <s v="盐田海卡"/>
    <s v="GEU3"/>
    <x v="82"/>
    <s v="MD1-SILV 电子球形把手锁 指纹 银色"/>
    <x v="19"/>
    <n v="13"/>
    <n v="0.71265060240963851"/>
    <s v="CBM收费"/>
    <n v="1020"/>
    <m/>
    <n v="22.075471698113208"/>
    <n v="748.97908615594451"/>
    <n v="3.6008609911343488"/>
    <n v="0.53744193897527592"/>
    <m/>
    <m/>
    <m/>
    <x v="24"/>
    <m/>
    <m/>
    <m/>
    <m/>
    <m/>
    <m/>
    <m/>
  </r>
  <r>
    <n v="441"/>
    <m/>
    <s v="W16014"/>
    <s v="FBA19BCGVYN1"/>
    <s v="V-US"/>
    <x v="0"/>
    <s v="ANWKIT-B_US_2X100K03"/>
    <n v="180"/>
    <s v="万邦"/>
    <s v="盐田海卡"/>
    <s v="GEU2"/>
    <x v="120"/>
    <s v="ANWKIT-B_US_2X100K03 ANW黑色机器+2X100mL酒店香氛油（天竺） 机油套装"/>
    <x v="10"/>
    <n v="15"/>
    <n v="261.09375"/>
    <s v="重量收费"/>
    <n v="4.8"/>
    <n v="200"/>
    <n v="22.556390977443609"/>
    <n v="1275.8063909774437"/>
    <n v="7.0878132832080203"/>
    <n v="1.0578825795832867"/>
    <m/>
    <m/>
    <m/>
    <x v="24"/>
    <m/>
    <m/>
    <m/>
    <m/>
    <m/>
    <m/>
    <m/>
  </r>
  <r>
    <n v="442"/>
    <m/>
    <s v="W16014"/>
    <s v="FBA19BCGVYN1"/>
    <s v="V-US"/>
    <x v="0"/>
    <s v="ANWKIT-WH_US_2X100K03"/>
    <n v="204"/>
    <s v="万邦"/>
    <s v="盐田海卡"/>
    <s v="GEU2"/>
    <x v="44"/>
    <s v="ANWKIT-WH_US_2X100K03 ANW白色机器+2X100mL酒店香氛油（天竺） 机油套装"/>
    <x v="10"/>
    <n v="17"/>
    <n v="295.90625"/>
    <s v="重量收费"/>
    <n v="4.8"/>
    <n v="200"/>
    <n v="25.563909774436091"/>
    <n v="1445.913909774436"/>
    <n v="7.0878132832080194"/>
    <n v="1.0578825795832865"/>
    <m/>
    <m/>
    <m/>
    <x v="24"/>
    <m/>
    <m/>
    <m/>
    <m/>
    <m/>
    <m/>
    <m/>
  </r>
  <r>
    <n v="443"/>
    <m/>
    <s v="W16012"/>
    <s v="FBA19BCK42Y8"/>
    <s v="V-US"/>
    <x v="0"/>
    <s v="001000032"/>
    <n v="480"/>
    <s v="国润通"/>
    <s v="盐田海卡"/>
    <s v="GEU2"/>
    <x v="40"/>
    <s v="ANW-B 智能扩香仪 黑色"/>
    <x v="10"/>
    <n v="40"/>
    <n v="574.13793103448279"/>
    <s v="重量收费"/>
    <n v="4.0999999999999996"/>
    <n v="200"/>
    <n v="68.965517241379317"/>
    <n v="2422.9310344827586"/>
    <n v="5.0477729885057467"/>
    <n v="0.75339895350832042"/>
    <m/>
    <m/>
    <m/>
    <x v="24"/>
    <m/>
    <m/>
    <m/>
    <m/>
    <m/>
    <m/>
    <m/>
  </r>
  <r>
    <n v="444"/>
    <m/>
    <s v="W16012"/>
    <s v="FBA19BCK42Y8"/>
    <s v="V-US"/>
    <x v="0"/>
    <s v="001000033"/>
    <n v="756"/>
    <s v="国润通"/>
    <s v="盐田海卡"/>
    <s v="GEU2"/>
    <x v="41"/>
    <s v="ANW-W 智能扩香仪 白色"/>
    <x v="10"/>
    <n v="63"/>
    <n v="904.26724137931035"/>
    <s v="重量收费"/>
    <n v="4.0999999999999996"/>
    <n v="200"/>
    <n v="108.62068965517241"/>
    <n v="3816.1163793103447"/>
    <n v="5.0477729885057467"/>
    <n v="0.75339895350832042"/>
    <m/>
    <m/>
    <m/>
    <x v="24"/>
    <m/>
    <m/>
    <m/>
    <m/>
    <m/>
    <m/>
    <m/>
  </r>
  <r>
    <n v="445"/>
    <m/>
    <s v="W16012"/>
    <s v="FBA19BCK42Y8"/>
    <s v="V-US"/>
    <x v="0"/>
    <s v="ANP-B_US"/>
    <n v="416"/>
    <s v="国润通"/>
    <s v="盐田海卡"/>
    <s v="GEU2"/>
    <x v="135"/>
    <s v="ANP-B_US 墙插式智能扩香仪 黑色"/>
    <x v="26"/>
    <n v="13"/>
    <n v="186.59482758620689"/>
    <s v="重量收费"/>
    <n v="4.0999999999999996"/>
    <m/>
    <n v="22.413793103448278"/>
    <n v="787.4525862068964"/>
    <n v="1.8929148706896548"/>
    <n v="0.28252460756562009"/>
    <m/>
    <m/>
    <m/>
    <x v="24"/>
    <m/>
    <m/>
    <m/>
    <m/>
    <m/>
    <m/>
    <m/>
  </r>
  <r>
    <n v="446"/>
    <m/>
    <s v="W16004"/>
    <s v="FBA19B9NXYNH"/>
    <s v="V-CA"/>
    <x v="3"/>
    <s v="001000032"/>
    <n v="48"/>
    <s v="万邦"/>
    <s v="加拿大海卡"/>
    <s v="YYZ7"/>
    <x v="40"/>
    <s v="ANW-B 智能扩香仪 黑色"/>
    <x v="10"/>
    <n v="4"/>
    <n v="57.714285714285715"/>
    <s v="重量收费"/>
    <n v="5.4"/>
    <n v="200"/>
    <n v="20.512820512820515"/>
    <n v="332.1699633699634"/>
    <n v="6.9202075702075705"/>
    <n v="1.0328668015235181"/>
    <m/>
    <m/>
    <m/>
    <x v="24"/>
    <m/>
    <m/>
    <m/>
    <m/>
    <m/>
    <m/>
    <m/>
  </r>
  <r>
    <n v="447"/>
    <m/>
    <s v="W16004"/>
    <s v="FBA19B9NXYNH"/>
    <s v="V-CA"/>
    <x v="3"/>
    <s v="001000033"/>
    <n v="36"/>
    <s v="万邦"/>
    <s v="加拿大海卡"/>
    <s v="YYZ7"/>
    <x v="41"/>
    <s v="ANW-W 智能扩香仪 白色"/>
    <x v="10"/>
    <n v="3"/>
    <n v="43.285714285714285"/>
    <s v="重量收费"/>
    <n v="5.4"/>
    <n v="200"/>
    <n v="15.384615384615385"/>
    <n v="249.12747252747255"/>
    <n v="6.9202075702075705"/>
    <n v="1.0328668015235181"/>
    <m/>
    <m/>
    <m/>
    <x v="24"/>
    <m/>
    <m/>
    <m/>
    <m/>
    <m/>
    <m/>
    <m/>
  </r>
  <r>
    <n v="448"/>
    <s v="跟FBA19BCDLF7B合并报关，需要同一天提货"/>
    <s v="W16010"/>
    <s v="FBA19B7B1PZ2"/>
    <s v="V-US"/>
    <x v="0"/>
    <s v="006000024"/>
    <n v="1170"/>
    <s v="天盛"/>
    <s v="盐田海卡"/>
    <s v="GEU3"/>
    <x v="46"/>
    <s v="A-Ritz Carlton Hotel 3-100 丽思卡尔顿酒店3香氛油100mL"/>
    <x v="11"/>
    <n v="13"/>
    <n v="0.72"/>
    <s v="CBM收费"/>
    <n v="1220"/>
    <n v="180"/>
    <n v="22.075471698113208"/>
    <n v="900.47547169811321"/>
    <n v="0.76963715529753263"/>
    <n v="0.11487121720858695"/>
    <m/>
    <m/>
    <m/>
    <x v="24"/>
    <m/>
    <m/>
    <m/>
    <m/>
    <m/>
    <m/>
    <m/>
  </r>
  <r>
    <n v="449"/>
    <m/>
    <s v="W16010"/>
    <s v="FBA19B79W7D9"/>
    <s v="E-US"/>
    <x v="0"/>
    <s v="HOTEL6KIT1-6X10K01"/>
    <n v="304"/>
    <s v="天盛"/>
    <s v="盐田海卡"/>
    <s v="GEU3"/>
    <x v="45"/>
    <s v="HOTEL6KIT1-6X10K01 酒店香氛油6款10mL套装"/>
    <x v="11"/>
    <n v="4"/>
    <n v="0.22000000000000003"/>
    <s v="CBM收费"/>
    <n v="1220"/>
    <n v="180"/>
    <n v="6.7924528301886795"/>
    <n v="275.1924528301887"/>
    <n v="0.90523833167825229"/>
    <n v="0.13511019875794811"/>
    <m/>
    <m/>
    <m/>
    <x v="24"/>
    <m/>
    <m/>
    <m/>
    <m/>
    <m/>
    <m/>
    <m/>
  </r>
  <r>
    <n v="450"/>
    <m/>
    <s v="W16010"/>
    <s v="FBA19B79W7D9"/>
    <s v="E-US"/>
    <x v="0"/>
    <s v="JY-100ML"/>
    <n v="180"/>
    <s v="天盛"/>
    <s v="盐田海卡"/>
    <s v="GEU3"/>
    <x v="49"/>
    <s v="A-Grand Hyatt Hotel-100 君悦酒店香氛油100mL"/>
    <x v="11"/>
    <n v="2"/>
    <n v="0.11000000000000001"/>
    <s v="CBM收费"/>
    <n v="1220"/>
    <m/>
    <n v="3.3962264150943398"/>
    <n v="137.59622641509435"/>
    <n v="0.76442348008385752"/>
    <n v="0.11409305672893395"/>
    <m/>
    <m/>
    <m/>
    <x v="24"/>
    <m/>
    <m/>
    <m/>
    <m/>
    <m/>
    <m/>
    <m/>
  </r>
  <r>
    <n v="451"/>
    <m/>
    <s v="W16010"/>
    <s v="FBA19B79W7D9"/>
    <s v="E-US"/>
    <x v="0"/>
    <s v="MWAY1-100ML"/>
    <n v="180"/>
    <s v="天盛"/>
    <s v="盐田海卡"/>
    <s v="GEU3"/>
    <x v="50"/>
    <s v="A-MWAY Deluxe-100 特定香型香氛油100mL"/>
    <x v="11"/>
    <n v="2"/>
    <n v="0.11000000000000001"/>
    <s v="CBM收费"/>
    <n v="1220"/>
    <m/>
    <n v="3.3962264150943398"/>
    <n v="137.59622641509435"/>
    <n v="0.76442348008385752"/>
    <n v="0.11409305672893395"/>
    <m/>
    <m/>
    <m/>
    <x v="24"/>
    <m/>
    <m/>
    <m/>
    <m/>
    <m/>
    <m/>
    <m/>
  </r>
  <r>
    <n v="452"/>
    <m/>
    <s v="W16010"/>
    <s v="FBA19B79W7D9"/>
    <s v="E-US"/>
    <x v="0"/>
    <s v="006000026"/>
    <n v="180"/>
    <s v="天盛"/>
    <s v="盐田海卡"/>
    <s v="GEU3"/>
    <x v="87"/>
    <s v="A-Marriott Hotel 1-100 万豪酒店1香氛油100mL"/>
    <x v="11"/>
    <n v="2"/>
    <n v="0.11000000000000001"/>
    <s v="CBM收费"/>
    <n v="1220"/>
    <m/>
    <n v="3.3962264150943398"/>
    <n v="137.59622641509435"/>
    <n v="0.76442348008385752"/>
    <n v="0.11409305672893395"/>
    <m/>
    <m/>
    <m/>
    <x v="24"/>
    <m/>
    <m/>
    <m/>
    <m/>
    <m/>
    <m/>
    <m/>
  </r>
  <r>
    <n v="453"/>
    <m/>
    <s v="W16011"/>
    <s v="FBA19B7N189J"/>
    <s v="E-US"/>
    <x v="0"/>
    <s v="SJ1-100ML_TZ"/>
    <n v="512"/>
    <s v="天盛"/>
    <s v="盐田海卡"/>
    <s v="GEU3"/>
    <x v="23"/>
    <s v="SJ1-100ML_TZ 四季酒店100mL香氛油（天竺） 销售包装"/>
    <x v="6"/>
    <n v="8"/>
    <n v="0.31384615384615383"/>
    <s v="CBM收费"/>
    <n v="1220"/>
    <n v="180"/>
    <n v="46.451612903225808"/>
    <n v="429.34392059553346"/>
    <n v="0.83856234491315129"/>
    <n v="0.12515855894226138"/>
    <m/>
    <m/>
    <m/>
    <x v="24"/>
    <m/>
    <m/>
    <m/>
    <m/>
    <m/>
    <m/>
    <m/>
  </r>
  <r>
    <n v="454"/>
    <m/>
    <s v="W16011"/>
    <s v="FBA19B7N189J"/>
    <s v="E-US"/>
    <x v="0"/>
    <s v="TX331_100ML"/>
    <n v="128"/>
    <s v="天盛"/>
    <s v="盐田海卡"/>
    <s v="GEU3"/>
    <x v="102"/>
    <s v="TX331_100ML 檀香33号100mL香氛油（天竺） 销售包装"/>
    <x v="6"/>
    <n v="2"/>
    <n v="7.8461538461538458E-2"/>
    <s v="CBM收费"/>
    <n v="1220"/>
    <n v="180"/>
    <n v="11.612903225806452"/>
    <n v="107.33598014888337"/>
    <n v="0.83856234491315129"/>
    <n v="0.12515855894226138"/>
    <m/>
    <m/>
    <m/>
    <x v="24"/>
    <m/>
    <m/>
    <m/>
    <m/>
    <m/>
    <m/>
    <m/>
  </r>
  <r>
    <n v="455"/>
    <m/>
    <s v="W16011"/>
    <s v="FBA19B7N189J"/>
    <s v="E-US"/>
    <x v="0"/>
    <s v="W1-100ML_TZ"/>
    <n v="256"/>
    <s v="天盛"/>
    <s v="盐田海卡"/>
    <s v="GEU3"/>
    <x v="24"/>
    <s v="W1-100ML_TZ W酒店100mL香氛油（天竺） 销售包装"/>
    <x v="6"/>
    <n v="4"/>
    <n v="0.15692307692307692"/>
    <s v="CBM收费"/>
    <n v="1220"/>
    <m/>
    <n v="23.225806451612904"/>
    <n v="214.67196029776673"/>
    <n v="0.83856234491315129"/>
    <n v="0.12515855894226138"/>
    <m/>
    <m/>
    <m/>
    <x v="24"/>
    <m/>
    <m/>
    <m/>
    <m/>
    <m/>
    <m/>
    <m/>
  </r>
  <r>
    <n v="456"/>
    <m/>
    <s v="W16011"/>
    <s v="FBA19B7N189J"/>
    <s v="E-US"/>
    <x v="0"/>
    <s v="HILTON1-100ML_TZ"/>
    <n v="512"/>
    <s v="天盛"/>
    <s v="盐田海卡"/>
    <s v="GEU3"/>
    <x v="61"/>
    <s v="HILTON1-100ML_TZ 希尔顿酒店100mL香氛油（天竺） 销售包装"/>
    <x v="6"/>
    <n v="8"/>
    <n v="0.31384615384615383"/>
    <s v="CBM收费"/>
    <n v="1220"/>
    <m/>
    <n v="46.451612903225808"/>
    <n v="429.34392059553346"/>
    <n v="0.83856234491315129"/>
    <n v="0.12515855894226138"/>
    <m/>
    <m/>
    <m/>
    <x v="24"/>
    <m/>
    <m/>
    <m/>
    <m/>
    <m/>
    <m/>
    <m/>
  </r>
  <r>
    <n v="457"/>
    <m/>
    <s v="W16011"/>
    <s v="FBA19B7N189J"/>
    <s v="E-US"/>
    <x v="0"/>
    <s v="YH1-100ML_TZ"/>
    <n v="128"/>
    <s v="天盛"/>
    <s v="盐田海卡"/>
    <s v="GEU3"/>
    <x v="89"/>
    <s v="YH1-100ML_TZ 樱花100mL香氛油（天竺）销售包装"/>
    <x v="6"/>
    <n v="2"/>
    <n v="7.8461538461538458E-2"/>
    <s v="CBM收费"/>
    <n v="1220"/>
    <m/>
    <n v="11.612903225806452"/>
    <n v="107.33598014888337"/>
    <n v="0.83856234491315129"/>
    <n v="0.12515855894226138"/>
    <m/>
    <m/>
    <m/>
    <x v="24"/>
    <m/>
    <m/>
    <m/>
    <m/>
    <m/>
    <m/>
    <m/>
  </r>
  <r>
    <n v="458"/>
    <m/>
    <s v="W16011"/>
    <s v="FBA19B7N189J"/>
    <s v="E-US"/>
    <x v="0"/>
    <s v="YZTT1_100ML"/>
    <n v="64"/>
    <s v="天盛"/>
    <s v="盐田海卡"/>
    <s v="GEU3"/>
    <x v="103"/>
    <s v="YZTT1_100ML 柚子天堂100mL香氛油（天竺） 销售包装"/>
    <x v="6"/>
    <n v="1"/>
    <n v="3.9230769230769229E-2"/>
    <s v="CBM收费"/>
    <n v="1220"/>
    <m/>
    <n v="5.806451612903226"/>
    <n v="53.667990074441683"/>
    <n v="0.83856234491315129"/>
    <n v="0.12515855894226138"/>
    <m/>
    <m/>
    <m/>
    <x v="24"/>
    <m/>
    <m/>
    <m/>
    <m/>
    <m/>
    <m/>
    <m/>
  </r>
  <r>
    <n v="459"/>
    <m/>
    <s v="W16011"/>
    <s v="FBA19B7N189J"/>
    <s v="E-US"/>
    <x v="0"/>
    <s v="TXY1_100ML"/>
    <n v="64"/>
    <s v="天盛"/>
    <s v="盐田海卡"/>
    <s v="GEU3"/>
    <x v="104"/>
    <s v="TXY1_100ML 桃星云100mL香氛油（天竺） 销售包装"/>
    <x v="6"/>
    <n v="1"/>
    <n v="3.9230769230769229E-2"/>
    <s v="CBM收费"/>
    <n v="1220"/>
    <m/>
    <n v="5.806451612903226"/>
    <n v="53.667990074441683"/>
    <n v="0.83856234491315129"/>
    <n v="0.12515855894226138"/>
    <m/>
    <m/>
    <m/>
    <x v="24"/>
    <m/>
    <m/>
    <m/>
    <m/>
    <m/>
    <m/>
    <m/>
  </r>
  <r>
    <n v="460"/>
    <m/>
    <s v="W16011"/>
    <s v="FBA19B7J1BX9"/>
    <s v="V-US"/>
    <x v="0"/>
    <s v="RZ1-500ML_TZ"/>
    <n v="100"/>
    <s v="天盛"/>
    <s v="盐田海卡"/>
    <s v="GEU3"/>
    <x v="136"/>
    <s v="RZ1-500ML_TZ 丽思卡尔顿酒店500mL香氛油（天竺） 销售包装"/>
    <x v="6"/>
    <n v="5"/>
    <n v="0.2"/>
    <s v="CBM收费"/>
    <n v="1220"/>
    <m/>
    <n v="29.032258064516128"/>
    <n v="273.0322580645161"/>
    <n v="2.730322580645161"/>
    <n v="0.40751083293211354"/>
    <m/>
    <m/>
    <m/>
    <x v="24"/>
    <m/>
    <m/>
    <m/>
    <m/>
    <m/>
    <m/>
    <m/>
  </r>
  <r>
    <n v="461"/>
    <m/>
    <s v="W16004"/>
    <s v="FBA19B9HSTHR"/>
    <s v="A-CA"/>
    <x v="3"/>
    <s v="002000020"/>
    <n v="84"/>
    <s v="万邦"/>
    <s v="加拿大海卡"/>
    <s v="YYZ7"/>
    <x v="66"/>
    <s v="H2-B 电子指纹球形把手锁-黑色"/>
    <x v="13"/>
    <n v="7"/>
    <n v="96.25"/>
    <s v="重量收费"/>
    <n v="5.4"/>
    <n v="200"/>
    <n v="35.897435897435898"/>
    <n v="555.64743589743591"/>
    <n v="6.6148504273504276"/>
    <n v="0.98729110855976532"/>
    <m/>
    <m/>
    <m/>
    <x v="24"/>
    <m/>
    <m/>
    <m/>
    <m/>
    <m/>
    <m/>
    <m/>
  </r>
  <r>
    <n v="462"/>
    <m/>
    <s v="W16004"/>
    <s v="FBA19B9HSTHR"/>
    <s v="A-CA"/>
    <x v="3"/>
    <s v="002000023"/>
    <n v="60"/>
    <s v="万邦"/>
    <s v="加拿大海卡"/>
    <s v="YYZ7"/>
    <x v="67"/>
    <s v="H2-SILV 电子指纹球形把手锁-银色"/>
    <x v="13"/>
    <n v="5"/>
    <n v="68.75"/>
    <s v="重量收费"/>
    <n v="5.4"/>
    <n v="200"/>
    <n v="25.641025641025642"/>
    <n v="396.89102564102564"/>
    <n v="6.6148504273504276"/>
    <n v="0.98729110855976532"/>
    <m/>
    <m/>
    <m/>
    <x v="24"/>
    <m/>
    <m/>
    <m/>
    <m/>
    <m/>
    <m/>
    <m/>
  </r>
  <r>
    <n v="463"/>
    <m/>
    <s v="W16004"/>
    <s v="FBA19B9HSTHR"/>
    <s v="A-CA"/>
    <x v="3"/>
    <s v="002000001"/>
    <n v="240"/>
    <s v="万邦"/>
    <s v="加拿大海卡"/>
    <s v="YYZ7"/>
    <x v="106"/>
    <s v="K1-B 电子球形把手锁-黑色"/>
    <x v="24"/>
    <n v="20"/>
    <n v="275"/>
    <s v="重量收费"/>
    <n v="5.4"/>
    <m/>
    <n v="102.56410256410257"/>
    <n v="1587.5641025641025"/>
    <n v="6.6148504273504276"/>
    <n v="0.98729110855976532"/>
    <m/>
    <m/>
    <m/>
    <x v="24"/>
    <m/>
    <m/>
    <m/>
    <m/>
    <m/>
    <m/>
    <m/>
  </r>
  <r>
    <n v="464"/>
    <m/>
    <s v="W16013"/>
    <s v="FBA19B9DG84G"/>
    <s v="E-US"/>
    <x v="0"/>
    <s v="003000014"/>
    <n v="72"/>
    <s v="嘀嗒嘀"/>
    <s v="美中海卡"/>
    <s v="FTW5"/>
    <x v="96"/>
    <s v="AP2US-H14 内置H14滤网桌面式空气净化器2-美规"/>
    <x v="21"/>
    <n v="18"/>
    <n v="425"/>
    <s v="重量收费"/>
    <n v="5.7"/>
    <n v="200"/>
    <n v="200"/>
    <n v="2622.5"/>
    <n v="36.423611111111114"/>
    <n v="5.4363598673300171"/>
    <m/>
    <m/>
    <m/>
    <x v="24"/>
    <m/>
    <m/>
    <m/>
    <m/>
    <m/>
    <m/>
    <m/>
  </r>
  <r>
    <n v="465"/>
    <m/>
    <s v="W16008"/>
    <s v="FBA19B9DKZG9"/>
    <s v="E-US"/>
    <x v="0"/>
    <s v="003000014"/>
    <n v="72"/>
    <s v="国润通"/>
    <s v="盐田海卡"/>
    <s v="TPA2"/>
    <x v="96"/>
    <s v="AP2US-H14 内置H14滤网桌面式空气净化器2-美规"/>
    <x v="21"/>
    <n v="18"/>
    <n v="438"/>
    <s v="重量收费"/>
    <n v="5.2"/>
    <n v="200"/>
    <n v="100"/>
    <n v="2377.6"/>
    <n v="33.022222222222219"/>
    <n v="4.9286898839137638"/>
    <m/>
    <m/>
    <m/>
    <x v="24"/>
    <m/>
    <m/>
    <m/>
    <m/>
    <m/>
    <m/>
    <m/>
  </r>
  <r>
    <n v="466"/>
    <m/>
    <s v="W16008"/>
    <s v="FBA19B9HCN3R"/>
    <s v="E-US"/>
    <x v="0"/>
    <s v="003000014"/>
    <n v="72"/>
    <s v="国润通"/>
    <s v="盐田海卡"/>
    <s v="MGE3"/>
    <x v="96"/>
    <s v="AP2US-H14 内置H14滤网桌面式空气净化器2-美规"/>
    <x v="21"/>
    <n v="18"/>
    <n v="438"/>
    <s v="重量收费"/>
    <n v="5"/>
    <n v="200"/>
    <n v="100"/>
    <n v="2290"/>
    <n v="31.805555555555557"/>
    <n v="4.74709784411277"/>
    <m/>
    <m/>
    <m/>
    <x v="24"/>
    <m/>
    <m/>
    <m/>
    <m/>
    <m/>
    <m/>
    <m/>
  </r>
  <r>
    <n v="467"/>
    <m/>
    <s v="W16009"/>
    <s v="FBA19B9HCF21"/>
    <s v="E-US"/>
    <x v="0"/>
    <s v="003000014"/>
    <n v="72"/>
    <s v="国润通"/>
    <s v="盐田海卡"/>
    <s v="TEB6"/>
    <x v="96"/>
    <s v="AP2US-H14 内置H14滤网桌面式空气净化器2-美规"/>
    <x v="21"/>
    <n v="18"/>
    <n v="437"/>
    <s v="重量收费"/>
    <n v="4.7"/>
    <n v="200"/>
    <n v="200"/>
    <n v="2253.9"/>
    <n v="31.304166666666667"/>
    <n v="4.6722636815920398"/>
    <m/>
    <m/>
    <m/>
    <x v="24"/>
    <m/>
    <m/>
    <m/>
    <m/>
    <m/>
    <m/>
    <m/>
  </r>
  <r>
    <n v="468"/>
    <m/>
    <s v="W16005"/>
    <s v="FBA19B9DLDTH"/>
    <s v="E-US"/>
    <x v="0"/>
    <s v="003000014"/>
    <n v="72"/>
    <s v="国润通"/>
    <s v="盐田海卡"/>
    <s v="DEN8"/>
    <x v="96"/>
    <s v="AP2US-H14 内置H14滤网桌面式空气净化器2-美规"/>
    <x v="21"/>
    <n v="18"/>
    <n v="437"/>
    <s v="重量收费"/>
    <n v="5.8"/>
    <n v="200"/>
    <n v="29.032258064516128"/>
    <n v="2563.632258064516"/>
    <n v="35.606003584229391"/>
    <n v="5.3143288931685655"/>
    <m/>
    <m/>
    <m/>
    <x v="24"/>
    <m/>
    <m/>
    <m/>
    <m/>
    <m/>
    <m/>
    <m/>
  </r>
  <r>
    <n v="469"/>
    <m/>
    <s v="W16003"/>
    <s v="FBA15LN4716N"/>
    <s v="E-UK"/>
    <x v="2"/>
    <s v="003000007"/>
    <n v="36"/>
    <s v="嘀嗒嘀"/>
    <s v="英国海卡"/>
    <s v="LBA4"/>
    <x v="72"/>
    <s v="AP2F-H14 空气净化器滤网2-H14"/>
    <x v="15"/>
    <n v="1"/>
    <n v="22"/>
    <s v="重量收费"/>
    <n v="4.4000000000000004"/>
    <n v="550"/>
    <n v="45.833333333333336"/>
    <n v="142.63333333333335"/>
    <n v="3.9620370370370375"/>
    <n v="0.59134881149806529"/>
    <m/>
    <m/>
    <m/>
    <x v="24"/>
    <m/>
    <m/>
    <m/>
    <m/>
    <m/>
    <m/>
    <m/>
  </r>
  <r>
    <m/>
    <m/>
    <m/>
    <m/>
    <m/>
    <x v="6"/>
    <m/>
    <m/>
    <m/>
    <m/>
    <m/>
    <x v="137"/>
    <m/>
    <x v="31"/>
    <m/>
    <m/>
    <m/>
    <m/>
    <m/>
    <m/>
    <m/>
    <m/>
    <m/>
    <m/>
    <m/>
    <m/>
    <x v="26"/>
    <m/>
    <m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70">
  <r>
    <n v="1"/>
    <m/>
    <s v="W020005"/>
    <s v="FBA195L9WC0P"/>
    <s v="E-US"/>
    <x v="0"/>
    <s v="ANZ-B"/>
    <n v="1000"/>
    <s v="万邦"/>
    <x v="0"/>
    <x v="0"/>
    <s v="ANZ-B"/>
    <s v="ANZ-B 便携式扩香仪 黑色"/>
    <s v="ANZ"/>
    <n v="25"/>
    <n v="326.95999999999998"/>
    <x v="0"/>
    <n v="3.5"/>
    <m/>
    <m/>
    <n v="1144.3599999999999"/>
    <n v="1.1443599999999998"/>
    <n v="0.17079999999999998"/>
    <m/>
    <m/>
    <m/>
    <x v="0"/>
    <d v="2026-02-01T00:00:00"/>
    <m/>
    <n v="0.34"/>
    <n v="340"/>
    <d v="2026-02-11T00:00:00"/>
    <n v="33"/>
    <d v="2026-02-11T00:00:00"/>
    <d v="2026-03-19T00:00:00"/>
    <n v="997"/>
    <n v="36"/>
    <m/>
    <m/>
    <m/>
    <m/>
  </r>
  <r>
    <n v="2"/>
    <m/>
    <s v="W020005"/>
    <s v="FBA195LB0WFL"/>
    <s v="E-US"/>
    <x v="0"/>
    <s v="001000045"/>
    <n v="210"/>
    <s v="万邦"/>
    <x v="0"/>
    <x v="0"/>
    <s v="ANX-B"/>
    <s v="ANX-B 便携式扩香仪 黑色"/>
    <s v="ANX"/>
    <n v="7"/>
    <n v="91.549230769230775"/>
    <x v="0"/>
    <n v="3.5"/>
    <m/>
    <m/>
    <n v="320.4223076923077"/>
    <n v="1.5258205128205129"/>
    <n v="0.22773440489858401"/>
    <m/>
    <m/>
    <m/>
    <x v="0"/>
    <d v="2026-02-01T00:00:00"/>
    <m/>
    <n v="0.43782608695652175"/>
    <n v="91.943478260869568"/>
    <d v="2026-02-11T00:00:00"/>
    <n v="33"/>
    <d v="2026-02-11T00:00:00"/>
    <d v="2026-03-18T00:00:00"/>
    <n v="208"/>
    <n v="35"/>
    <m/>
    <m/>
    <m/>
    <m/>
  </r>
  <r>
    <n v="3"/>
    <m/>
    <s v="W020005"/>
    <s v="FBA195LB0WFL"/>
    <s v="E-US"/>
    <x v="0"/>
    <s v="001000058"/>
    <n v="208"/>
    <s v="万邦"/>
    <x v="0"/>
    <x v="0"/>
    <s v="ANX-2PC-BS"/>
    <s v="ANX-2PC-BS 便携式扩香仪套装 黑+银"/>
    <s v="ANX"/>
    <n v="13"/>
    <n v="170.02"/>
    <x v="0"/>
    <n v="3.5"/>
    <m/>
    <m/>
    <n v="595.07000000000005"/>
    <n v="2.8609134615384617"/>
    <n v="0.42700200918484504"/>
    <m/>
    <m/>
    <m/>
    <x v="0"/>
    <d v="2026-02-01T00:00:00"/>
    <m/>
    <n v="0.43782608695652175"/>
    <n v="91.067826086956529"/>
    <d v="2026-02-11T00:00:00"/>
    <n v="33"/>
    <d v="2026-02-11T00:00:00"/>
    <d v="2026-03-18T00:00:00"/>
    <n v="205"/>
    <n v="35"/>
    <m/>
    <m/>
    <m/>
    <m/>
  </r>
  <r>
    <n v="4"/>
    <m/>
    <s v="W020005"/>
    <s v="FBA195LB0WFL"/>
    <s v="E-US"/>
    <x v="0"/>
    <s v="001000050"/>
    <n v="90"/>
    <s v="万邦"/>
    <x v="0"/>
    <x v="0"/>
    <s v="ANX-RP"/>
    <s v="ANX-RP 便携式扩香仪 红粉色"/>
    <s v="ANX"/>
    <n v="3"/>
    <n v="39.235384615384618"/>
    <x v="0"/>
    <n v="3.5"/>
    <m/>
    <m/>
    <n v="137.32384615384615"/>
    <n v="1.5258205128205127"/>
    <n v="0.22773440489858399"/>
    <m/>
    <m/>
    <m/>
    <x v="0"/>
    <d v="2026-02-01T00:00:00"/>
    <m/>
    <n v="0.43782608695652175"/>
    <n v="39.404347826086955"/>
    <d v="2026-02-11T00:00:00"/>
    <n v="33"/>
    <d v="2026-02-11T00:00:00"/>
    <d v="2026-03-18T00:00:00"/>
    <n v="89"/>
    <n v="35"/>
    <m/>
    <m/>
    <m/>
    <m/>
  </r>
  <r>
    <n v="5"/>
    <m/>
    <s v="W020005"/>
    <s v="FBA195LB0WFL"/>
    <s v="E-US"/>
    <x v="0"/>
    <s v="001000051"/>
    <n v="90"/>
    <s v="万邦"/>
    <x v="0"/>
    <x v="0"/>
    <s v="ANX-SG"/>
    <s v="ANX-SG 便携式扩香仪 太空灰色"/>
    <s v="ANX"/>
    <n v="3"/>
    <n v="39.235384615384618"/>
    <x v="0"/>
    <n v="3.5"/>
    <m/>
    <m/>
    <n v="137.32384615384615"/>
    <n v="1.5258205128205127"/>
    <n v="0.22773440489858399"/>
    <m/>
    <m/>
    <m/>
    <x v="0"/>
    <d v="2026-02-01T00:00:00"/>
    <m/>
    <n v="0.43782608695652175"/>
    <n v="39.404347826086955"/>
    <d v="2026-02-11T00:00:00"/>
    <n v="33"/>
    <d v="2026-02-11T00:00:00"/>
    <d v="2026-03-18T00:00:00"/>
    <n v="89"/>
    <n v="35"/>
    <m/>
    <m/>
    <m/>
    <m/>
  </r>
  <r>
    <n v="6"/>
    <m/>
    <s v="W020004"/>
    <s v="FBA195LCJDMZ"/>
    <s v="V-US"/>
    <x v="0"/>
    <s v="ADXKIT_B_TX33_30ML"/>
    <n v="990"/>
    <s v="万邦"/>
    <x v="0"/>
    <x v="1"/>
    <s v="ADXKIT_B_TX33_30ML"/>
    <s v="ADXKIT_B_TX33_30ML ADX黑色机器+30mL檀香33香氛油（天竺） 机油套装"/>
    <s v="ADX"/>
    <n v="33"/>
    <n v="493.09632653061226"/>
    <x v="0"/>
    <n v="3.5"/>
    <n v="300"/>
    <n v="27.197802197802197"/>
    <n v="1753.0349450549452"/>
    <n v="1.7707423687423689"/>
    <n v="0.2642899057824431"/>
    <m/>
    <m/>
    <m/>
    <x v="0"/>
    <d v="2026-02-01T00:00:00"/>
    <m/>
    <n v="0.41"/>
    <n v="405.9"/>
    <d v="2026-02-13T00:00:00"/>
    <n v="35"/>
    <d v="2026-02-13T00:00:00"/>
    <d v="2026-03-21T00:00:00"/>
    <n v="992"/>
    <n v="36"/>
    <m/>
    <m/>
    <m/>
    <m/>
  </r>
  <r>
    <n v="7"/>
    <m/>
    <s v="W020004"/>
    <s v="FBA195LCJDMZ"/>
    <s v="V-US"/>
    <x v="0"/>
    <s v="AN6KIT-B_2X20K01"/>
    <n v="1200"/>
    <s v="万邦"/>
    <x v="0"/>
    <x v="1"/>
    <s v="AN6KIT-B_2X20K01"/>
    <s v="AN6KIT-B_2X20K01 AN6黑色机器+2X20mL酒店香氛油 机油套装"/>
    <s v="AN6"/>
    <n v="40"/>
    <n v="597.69251700680275"/>
    <x v="0"/>
    <n v="3.5"/>
    <n v="300.00000000000006"/>
    <n v="32.967032967032964"/>
    <n v="2124.8908424908427"/>
    <n v="1.7707423687423689"/>
    <n v="0.2642899057824431"/>
    <m/>
    <m/>
    <m/>
    <x v="0"/>
    <d v="2026-02-01T00:00:00"/>
    <m/>
    <n v="0.41"/>
    <n v="491.99999999999994"/>
    <d v="2026-02-13T00:00:00"/>
    <n v="35"/>
    <d v="2026-02-13T00:00:00"/>
    <d v="2026-03-21T00:00:00"/>
    <n v="1201"/>
    <n v="36"/>
    <m/>
    <m/>
    <m/>
    <m/>
  </r>
  <r>
    <n v="8"/>
    <m/>
    <s v="W020004"/>
    <s v="FBA195LCJDMZ"/>
    <s v="V-US"/>
    <x v="0"/>
    <s v="AN6KIT-B_4X10ML"/>
    <n v="600"/>
    <s v="万邦"/>
    <x v="0"/>
    <x v="1"/>
    <s v="AN6KIT-B_4X10ML"/>
    <s v="AN6KIT-B_4X10ML AN6黑色机器+4x10mL香氛油（天竺） 机油套装"/>
    <s v="AN6"/>
    <n v="20"/>
    <n v="298.84625850340137"/>
    <x v="0"/>
    <n v="3.5"/>
    <m/>
    <n v="16.483516483516482"/>
    <n v="1062.4454212454214"/>
    <n v="1.7707423687423689"/>
    <n v="0.2642899057824431"/>
    <m/>
    <m/>
    <m/>
    <x v="0"/>
    <d v="2026-02-01T00:00:00"/>
    <m/>
    <n v="0.41"/>
    <n v="245.99999999999997"/>
    <d v="2026-02-13T00:00:00"/>
    <n v="35"/>
    <d v="2026-02-13T00:00:00"/>
    <d v="2026-03-21T00:00:00"/>
    <n v="608"/>
    <n v="36"/>
    <m/>
    <m/>
    <m/>
    <m/>
  </r>
  <r>
    <n v="9"/>
    <m/>
    <s v="W020004"/>
    <s v="FBA195LCJDMZ"/>
    <s v="V-US"/>
    <x v="0"/>
    <s v="AN6KIT-B_RZ30ml"/>
    <n v="1800"/>
    <s v="万邦"/>
    <x v="0"/>
    <x v="1"/>
    <s v="AN6KIT-B_RZ30ml"/>
    <s v="AN6KIT-B_RZ30ml AN6黑色机器+30mL丽思香氛油 机油套装"/>
    <s v="AN6"/>
    <n v="60"/>
    <n v="896.53877551020412"/>
    <x v="0"/>
    <n v="3.5"/>
    <m/>
    <n v="49.450549450549453"/>
    <n v="3187.3362637362638"/>
    <n v="1.7707423687423689"/>
    <n v="0.2642899057824431"/>
    <m/>
    <m/>
    <m/>
    <x v="0"/>
    <d v="2026-02-01T00:00:00"/>
    <m/>
    <n v="0.41"/>
    <n v="738"/>
    <d v="2026-02-13T00:00:00"/>
    <n v="35"/>
    <d v="2026-02-13T00:00:00"/>
    <d v="2026-03-21T00:00:00"/>
    <n v="1749"/>
    <n v="36"/>
    <m/>
    <m/>
    <m/>
    <m/>
  </r>
  <r>
    <n v="10"/>
    <m/>
    <s v="W020004"/>
    <s v="FBA195LCJDMZ"/>
    <s v="V-US"/>
    <x v="0"/>
    <s v="AN6KIT-WH_SJ30ML"/>
    <n v="450"/>
    <s v="万邦"/>
    <x v="0"/>
    <x v="1"/>
    <s v="AN6KIT-WH_SJ30ML"/>
    <s v="AN6KIT-WH_SJ30ML AN6白色机器+30mL四季酒店香氛油 机油套装"/>
    <s v="AN6"/>
    <n v="15"/>
    <n v="224.13469387755103"/>
    <x v="0"/>
    <n v="3.5"/>
    <m/>
    <n v="12.362637362637363"/>
    <n v="796.83406593406596"/>
    <n v="1.7707423687423689"/>
    <n v="0.2642899057824431"/>
    <m/>
    <m/>
    <m/>
    <x v="0"/>
    <d v="2026-02-01T00:00:00"/>
    <m/>
    <n v="0.41"/>
    <n v="184.5"/>
    <d v="2026-02-13T00:00:00"/>
    <n v="35"/>
    <d v="2026-02-13T00:00:00"/>
    <d v="2026-03-21T00:00:00"/>
    <n v="450"/>
    <n v="36"/>
    <m/>
    <m/>
    <m/>
    <m/>
  </r>
  <r>
    <n v="11"/>
    <m/>
    <s v="W020004"/>
    <s v="FBA195LCJDMZ"/>
    <s v="V-US"/>
    <x v="0"/>
    <s v="AN8KIT-B_4X10K01"/>
    <n v="3000"/>
    <s v="万邦"/>
    <x v="0"/>
    <x v="1"/>
    <s v="AN8KIT-B_4X10K01"/>
    <s v="AN8KIT-B_4X10K01 AN8黑色机器+4x10mL酒店香氛油 机油套装"/>
    <s v="AN8"/>
    <n v="100"/>
    <n v="1494.2312925170068"/>
    <x v="0"/>
    <n v="3.5"/>
    <m/>
    <n v="82.417582417582423"/>
    <n v="5312.2271062271066"/>
    <n v="1.7707423687423689"/>
    <n v="0.2642899057824431"/>
    <m/>
    <m/>
    <m/>
    <x v="0"/>
    <d v="2026-02-01T00:00:00"/>
    <m/>
    <n v="0.41"/>
    <n v="1230"/>
    <d v="2026-02-13T00:00:00"/>
    <n v="35"/>
    <d v="2026-02-13T00:00:00"/>
    <d v="2026-03-21T00:00:00"/>
    <n v="2972"/>
    <n v="36"/>
    <m/>
    <m/>
    <m/>
    <m/>
  </r>
  <r>
    <n v="12"/>
    <m/>
    <s v="W020004"/>
    <s v="FBA195LCJDMZ"/>
    <s v="V-US"/>
    <x v="0"/>
    <s v="AN8KIT-B_4X10K02"/>
    <n v="210"/>
    <s v="万邦"/>
    <x v="0"/>
    <x v="1"/>
    <s v="AN8KIT-B_4X10K02"/>
    <s v="AN8KIT-B_4X10K02 AN8黑色机器+4x10mL（天竺）香氛油 机油套装"/>
    <s v="AN8"/>
    <n v="7"/>
    <n v="104.59619047619047"/>
    <x v="0"/>
    <n v="3.5"/>
    <m/>
    <n v="5.7692307692307692"/>
    <n v="371.85589743589742"/>
    <n v="1.7707423687423687"/>
    <n v="0.2642899057824431"/>
    <m/>
    <m/>
    <m/>
    <x v="0"/>
    <d v="2026-02-01T00:00:00"/>
    <m/>
    <n v="0.41"/>
    <n v="86.1"/>
    <d v="2026-02-13T00:00:00"/>
    <n v="35"/>
    <d v="2026-02-13T00:00:00"/>
    <d v="2026-03-21T00:00:00"/>
    <n v="212"/>
    <n v="36"/>
    <m/>
    <m/>
    <m/>
    <m/>
  </r>
  <r>
    <n v="13"/>
    <m/>
    <s v="W020004"/>
    <s v="FBA195LCJDMZ"/>
    <s v="V-US"/>
    <x v="0"/>
    <s v="AN8KIT-WH_4X10K01"/>
    <n v="240"/>
    <s v="万邦"/>
    <x v="0"/>
    <x v="1"/>
    <s v="AN8KIT-WH_4X10K01"/>
    <s v="AN8KIT-WH_4X10K01 AN8白色机器+4x10mL酒店香氛油 机油套装"/>
    <s v="AN8"/>
    <n v="8"/>
    <n v="119.53850340136054"/>
    <x v="0"/>
    <n v="3.5"/>
    <m/>
    <n v="6.5934065934065931"/>
    <n v="424.97816849816849"/>
    <n v="1.7707423687423687"/>
    <n v="0.2642899057824431"/>
    <m/>
    <m/>
    <m/>
    <x v="0"/>
    <d v="2026-02-01T00:00:00"/>
    <m/>
    <n v="0.41"/>
    <n v="98.399999999999991"/>
    <d v="2026-02-13T00:00:00"/>
    <n v="35"/>
    <d v="2026-02-13T00:00:00"/>
    <d v="2026-03-21T00:00:00"/>
    <n v="240"/>
    <n v="36"/>
    <m/>
    <m/>
    <m/>
    <m/>
  </r>
  <r>
    <n v="14"/>
    <m/>
    <s v="W020004"/>
    <s v="FBA195LCJDMZ"/>
    <s v="V-US"/>
    <x v="0"/>
    <s v="ANXKIT-B_RZ30ml"/>
    <n v="300"/>
    <s v="万邦"/>
    <x v="0"/>
    <x v="1"/>
    <s v="ANXKIT-B_RZ30ml"/>
    <s v="ANXKIT-B_RZ30ml ANX黑色机器+30mL丽思香氛油 机油套装"/>
    <s v="ANX"/>
    <n v="10"/>
    <n v="149.42312925170069"/>
    <x v="0"/>
    <n v="3.5"/>
    <m/>
    <n v="8.2417582417582409"/>
    <n v="531.22271062271068"/>
    <n v="1.7707423687423689"/>
    <n v="0.2642899057824431"/>
    <m/>
    <m/>
    <m/>
    <x v="0"/>
    <d v="2026-02-01T00:00:00"/>
    <m/>
    <n v="0.41"/>
    <n v="122.99999999999999"/>
    <d v="2026-02-13T00:00:00"/>
    <n v="35"/>
    <d v="2026-02-13T00:00:00"/>
    <d v="2026-03-21T00:00:00"/>
    <n v="300"/>
    <n v="36"/>
    <m/>
    <m/>
    <m/>
    <m/>
  </r>
  <r>
    <n v="15"/>
    <m/>
    <s v="W020004"/>
    <s v="FBA195LCJDMZ"/>
    <s v="V-US"/>
    <x v="0"/>
    <s v="AN8KIT-B_2X20K01"/>
    <n v="10"/>
    <s v="万邦"/>
    <x v="0"/>
    <x v="1"/>
    <s v="AN8KIT-B_2X20K01"/>
    <s v="AN8KIT-B_2X20K01 AN8黑色机器+2X20mL酒店香氛油 机油套装"/>
    <s v="AN8"/>
    <n v="0.33333333333333298"/>
    <n v="4.980770975056684"/>
    <x v="0"/>
    <n v="3.5"/>
    <m/>
    <n v="0.27472527472527442"/>
    <n v="17.707423687423667"/>
    <n v="1.7707423687423667"/>
    <n v="0.26428990578244277"/>
    <m/>
    <m/>
    <m/>
    <x v="0"/>
    <d v="2026-02-01T00:00:00"/>
    <m/>
    <n v="0.41"/>
    <n v="4.0999999999999996"/>
    <d v="2026-02-13T00:00:00"/>
    <n v="35"/>
    <d v="2026-02-13T00:00:00"/>
    <d v="2026-03-21T00:00:00"/>
    <n v="10"/>
    <n v="36"/>
    <m/>
    <m/>
    <m/>
    <m/>
  </r>
  <r>
    <n v="16"/>
    <m/>
    <s v="W020004"/>
    <s v="FBA195LCJDMZ"/>
    <s v="V-US"/>
    <x v="0"/>
    <s v="AN8KIT-WH_2X20K01"/>
    <n v="20"/>
    <s v="万邦"/>
    <x v="0"/>
    <x v="1"/>
    <s v="AN8KIT-WH_2X20K01"/>
    <s v="AN8KIT-WH_2X20K01 AN8白色机器+2X20mL酒店香氛油 机油套装"/>
    <s v="AN8"/>
    <n v="0.66666666666666696"/>
    <n v="9.9615419501133822"/>
    <x v="0"/>
    <n v="3.5"/>
    <m/>
    <n v="0.54945054945054972"/>
    <n v="35.414847374847383"/>
    <n v="1.7707423687423691"/>
    <n v="0.26428990578244316"/>
    <m/>
    <m/>
    <m/>
    <x v="0"/>
    <d v="2026-02-01T00:00:00"/>
    <m/>
    <n v="0.41"/>
    <n v="8.1999999999999993"/>
    <d v="2026-02-13T00:00:00"/>
    <n v="35"/>
    <d v="2026-02-13T00:00:00"/>
    <d v="2026-03-21T00:00:00"/>
    <n v="22"/>
    <n v="36"/>
    <m/>
    <m/>
    <m/>
    <m/>
  </r>
  <r>
    <n v="17"/>
    <m/>
    <s v="W020004"/>
    <s v="FBA195LBB4TM"/>
    <s v="V-US"/>
    <x v="0"/>
    <s v="001000028"/>
    <n v="100"/>
    <s v="万邦"/>
    <x v="0"/>
    <x v="1"/>
    <s v="AN6-2PC-BB"/>
    <s v="AN6-2PC-BB 便携式扩香仪套装 黑+黑"/>
    <s v="AN6"/>
    <n v="5"/>
    <n v="74.711403508771937"/>
    <x v="0"/>
    <n v="3.5"/>
    <m/>
    <n v="4.1208791208791204"/>
    <n v="265.61079140158091"/>
    <n v="2.6561079140158093"/>
    <n v="0.39643401701728498"/>
    <m/>
    <m/>
    <m/>
    <x v="0"/>
    <d v="2026-02-01T00:00:00"/>
    <m/>
    <n v="0.35028436018957348"/>
    <n v="35.02843601895735"/>
    <d v="2026-02-16T00:00:00"/>
    <n v="38"/>
    <d v="2026-02-16T00:00:00"/>
    <d v="2026-03-24T00:00:00"/>
    <n v="100"/>
    <n v="36"/>
    <m/>
    <m/>
    <m/>
    <m/>
  </r>
  <r>
    <n v="18"/>
    <m/>
    <s v="W020004"/>
    <s v="FBA195LBB4TM"/>
    <s v="V-US"/>
    <x v="0"/>
    <s v="001000019"/>
    <n v="1200"/>
    <s v="万邦"/>
    <x v="0"/>
    <x v="1"/>
    <s v="AN6-B"/>
    <s v="AN6-B 便携式扩香仪 黑色"/>
    <s v="AN6"/>
    <n v="30"/>
    <n v="448.2684210526316"/>
    <x v="0"/>
    <n v="3.5"/>
    <m/>
    <n v="24.725274725274726"/>
    <n v="1593.6647484094851"/>
    <n v="1.3280539570079042"/>
    <n v="0.19821700850864241"/>
    <m/>
    <m/>
    <m/>
    <x v="0"/>
    <d v="2026-02-01T00:00:00"/>
    <m/>
    <n v="0.35028436018957348"/>
    <n v="420.34123222748821"/>
    <d v="2026-02-16T00:00:00"/>
    <n v="38"/>
    <d v="2026-02-16T00:00:00"/>
    <d v="2026-03-24T00:00:00"/>
    <n v="1200"/>
    <n v="36"/>
    <m/>
    <m/>
    <m/>
    <m/>
  </r>
  <r>
    <n v="19"/>
    <m/>
    <s v="W020004"/>
    <s v="FBA195LBB4TM"/>
    <s v="V-US"/>
    <x v="0"/>
    <s v="001000020"/>
    <n v="480"/>
    <s v="万邦"/>
    <x v="0"/>
    <x v="1"/>
    <s v="AN6-W"/>
    <s v="AN6-W 便携式扩香仪 白色"/>
    <s v="AN6"/>
    <n v="12"/>
    <n v="179.30736842105264"/>
    <x v="0"/>
    <n v="3.5"/>
    <m/>
    <n v="9.8901098901098905"/>
    <n v="637.46589936379416"/>
    <n v="1.3280539570079044"/>
    <n v="0.19821700850864243"/>
    <m/>
    <m/>
    <m/>
    <x v="0"/>
    <d v="2026-02-01T00:00:00"/>
    <m/>
    <n v="0.35028436018957348"/>
    <n v="168.13649289099527"/>
    <d v="2026-02-16T00:00:00"/>
    <n v="38"/>
    <d v="2026-02-16T00:00:00"/>
    <d v="2026-03-24T00:00:00"/>
    <n v="480"/>
    <n v="36"/>
    <m/>
    <m/>
    <m/>
    <m/>
  </r>
  <r>
    <n v="20"/>
    <m/>
    <s v="W020004"/>
    <s v="FBA195LBB4TM"/>
    <s v="V-US"/>
    <x v="0"/>
    <s v="AN6-YG"/>
    <n v="120"/>
    <s v="万邦"/>
    <x v="0"/>
    <x v="1"/>
    <s v="AN6-YG"/>
    <s v="AN6-YG 便携式扩香仪 乳酪色"/>
    <s v="AN6"/>
    <n v="3"/>
    <n v="44.826842105263161"/>
    <x v="0"/>
    <n v="3.5"/>
    <m/>
    <n v="2.4725274725274726"/>
    <n v="159.36647484094854"/>
    <n v="1.3280539570079044"/>
    <n v="0.19821700850864243"/>
    <m/>
    <m/>
    <m/>
    <x v="0"/>
    <d v="2026-02-01T00:00:00"/>
    <m/>
    <n v="0.35028436018957348"/>
    <n v="42.034123222748818"/>
    <d v="2026-02-16T00:00:00"/>
    <n v="38"/>
    <d v="2026-02-16T00:00:00"/>
    <d v="2026-03-24T00:00:00"/>
    <n v="120"/>
    <n v="36"/>
    <m/>
    <m/>
    <m/>
    <m/>
  </r>
  <r>
    <n v="21"/>
    <m/>
    <s v="W020004"/>
    <s v="FBA195LBB4TM"/>
    <s v="V-US"/>
    <x v="0"/>
    <s v="AND-B"/>
    <n v="60"/>
    <s v="万邦"/>
    <x v="0"/>
    <x v="1"/>
    <s v="AND-B"/>
    <s v="AND-B 便携式双喷扩香仪 黑色"/>
    <s v="AND"/>
    <n v="2"/>
    <n v="29.884561403508773"/>
    <x v="0"/>
    <n v="3.5"/>
    <m/>
    <n v="1.6483516483516483"/>
    <n v="106.24431656063236"/>
    <n v="1.7707386093438726"/>
    <n v="0.26428934467818993"/>
    <m/>
    <m/>
    <m/>
    <x v="0"/>
    <d v="2026-02-01T00:00:00"/>
    <m/>
    <n v="0.35028436018957348"/>
    <n v="21.017061611374409"/>
    <d v="2026-02-16T00:00:00"/>
    <n v="38"/>
    <d v="2026-02-16T00:00:00"/>
    <d v="2026-03-24T00:00:00"/>
    <n v="60"/>
    <n v="36"/>
    <m/>
    <m/>
    <m/>
    <m/>
  </r>
  <r>
    <n v="22"/>
    <m/>
    <s v="W020004"/>
    <s v="FBA195LBB4TM"/>
    <s v="V-US"/>
    <x v="0"/>
    <s v="AND-DT"/>
    <n v="150"/>
    <s v="万邦"/>
    <x v="0"/>
    <x v="1"/>
    <s v="AND-DT"/>
    <s v="AND-DT 便携式双喷扩香仪 沙漠钛色"/>
    <s v="AND"/>
    <n v="5"/>
    <n v="74.711403508771937"/>
    <x v="0"/>
    <n v="3.5"/>
    <m/>
    <n v="4.1208791208791204"/>
    <n v="265.61079140158091"/>
    <n v="1.7707386093438728"/>
    <n v="0.26428934467818999"/>
    <m/>
    <m/>
    <m/>
    <x v="0"/>
    <d v="2026-02-01T00:00:00"/>
    <m/>
    <n v="0.35028436018957348"/>
    <n v="52.542654028436026"/>
    <d v="2026-02-16T00:00:00"/>
    <n v="38"/>
    <d v="2026-02-16T00:00:00"/>
    <d v="2026-03-24T00:00:00"/>
    <n v="150"/>
    <n v="36"/>
    <m/>
    <m/>
    <m/>
    <m/>
  </r>
  <r>
    <n v="23"/>
    <m/>
    <s v="W020004"/>
    <s v="FBA195LB2C32"/>
    <s v="A-US"/>
    <x v="0"/>
    <s v="ANZKIT-B_HILTON30ML"/>
    <n v="390"/>
    <s v="万邦"/>
    <x v="0"/>
    <x v="1"/>
    <s v="ANZKIT-B_HILTON30ML"/>
    <s v="ANZKIT-B_HILTON30ML ANZ黑色机器+30mL希尔顿酒店香氛油（天竺） 机油套装"/>
    <s v="ANZ"/>
    <n v="13"/>
    <n v="194.25"/>
    <x v="0"/>
    <n v="3.5"/>
    <m/>
    <n v="10.714285714285714"/>
    <n v="690.58928571428567"/>
    <n v="1.7707417582417582"/>
    <n v="0.26428981466294899"/>
    <m/>
    <m/>
    <m/>
    <x v="0"/>
    <d v="2026-02-01T00:00:00"/>
    <m/>
    <n v="0.41000000000000003"/>
    <n v="159.9"/>
    <d v="2026-02-13T00:00:00"/>
    <n v="35"/>
    <d v="2026-02-13T00:00:00"/>
    <d v="2026-03-18T00:00:00"/>
    <n v="360"/>
    <n v="33"/>
    <m/>
    <m/>
    <m/>
    <m/>
  </r>
  <r>
    <n v="24"/>
    <m/>
    <s v="W020003"/>
    <s v="FBA195LDDMB5"/>
    <s v="E-US"/>
    <x v="0"/>
    <s v="SJ1-100ML_TZ"/>
    <n v="320"/>
    <s v="积米"/>
    <x v="0"/>
    <x v="1"/>
    <s v="SJ1-100ML_TZ"/>
    <s v="SJ1-100ML_TZ 四季酒店100mL香氛油（天竺） 销售包装"/>
    <s v="Oil-TZ"/>
    <n v="5"/>
    <n v="71.25"/>
    <x v="0"/>
    <n v="5.6"/>
    <n v="350"/>
    <n v="218.75"/>
    <n v="617.75"/>
    <n v="1.93046875"/>
    <n v="0.28812966417910446"/>
    <m/>
    <m/>
    <m/>
    <x v="0"/>
    <d v="2026-01-29T00:00:00"/>
    <m/>
    <n v="0.33999999999999997"/>
    <n v="108.79999999999998"/>
    <d v="2026-02-11T00:00:00"/>
    <n v="33"/>
    <d v="2026-02-11T00:00:00"/>
    <d v="2026-03-11T00:00:00"/>
    <n v="331"/>
    <n v="28"/>
    <m/>
    <m/>
    <m/>
    <m/>
  </r>
  <r>
    <n v="25"/>
    <m/>
    <s v="W020003"/>
    <s v="FBA195L9WKNH"/>
    <s v="V-US"/>
    <x v="0"/>
    <s v="W1-100ML_TZ"/>
    <n v="192"/>
    <s v="积米"/>
    <x v="0"/>
    <x v="1"/>
    <s v="W1-100ML_TZ"/>
    <s v="W1-100ML_TZ W酒店100mL香氛油（天竺） 销售包装"/>
    <s v="Oil-TZ"/>
    <n v="3"/>
    <n v="42.75"/>
    <x v="0"/>
    <n v="5.6"/>
    <n v="350"/>
    <n v="131.25"/>
    <n v="370.65"/>
    <n v="1.93046875"/>
    <n v="0.28812966417910446"/>
    <m/>
    <m/>
    <m/>
    <x v="0"/>
    <d v="2026-01-29T00:00:00"/>
    <m/>
    <n v="0.34"/>
    <n v="65.28"/>
    <d v="2026-02-11T00:00:00"/>
    <n v="33"/>
    <d v="2026-02-11T00:00:00"/>
    <d v="2026-03-10T00:00:00"/>
    <n v="193"/>
    <n v="27"/>
    <m/>
    <m/>
    <m/>
    <m/>
  </r>
  <r>
    <n v="26"/>
    <m/>
    <s v="W020001"/>
    <s v="FBA195TXJ79C"/>
    <s v="E-US"/>
    <x v="0"/>
    <s v="AC1-WH_US"/>
    <n v="360"/>
    <s v="万邦"/>
    <x v="1"/>
    <x v="2"/>
    <s v="AC1-WH_US"/>
    <s v="AC1-WH_US 智能控制器 美规 白色 一个装"/>
    <s v="AC1"/>
    <n v="3"/>
    <n v="53.5"/>
    <x v="0"/>
    <n v="44.5"/>
    <n v="355.74"/>
    <n v="177.87"/>
    <n v="2558.62"/>
    <n v="7.1072777777777771"/>
    <n v="1.0607877280265339"/>
    <m/>
    <m/>
    <m/>
    <x v="0"/>
    <d v="2026-02-09T00:00:00"/>
    <m/>
    <n v="0.3"/>
    <n v="108"/>
    <d v="2026-01-22T00:00:00"/>
    <n v="13"/>
    <d v="2026-01-22T00:00:00"/>
    <d v="2026-02-21T00:00:00"/>
    <n v="359"/>
    <n v="30"/>
    <m/>
    <s v="UPS #1ZK6E8620337817764"/>
    <m/>
    <m/>
  </r>
  <r>
    <n v="27"/>
    <m/>
    <s v="W020001"/>
    <s v="FBA195TXJ79C"/>
    <s v="E-US"/>
    <x v="0"/>
    <s v="AC1KIT_WH_WH_US"/>
    <n v="360"/>
    <s v="万邦"/>
    <x v="1"/>
    <x v="2"/>
    <s v="AC1KIT_WH_WH_US"/>
    <s v="AC1KIT_WH_WH_US 智能控制器 美规 白色 两个装"/>
    <s v="AC1"/>
    <n v="3"/>
    <n v="53.5"/>
    <x v="0"/>
    <n v="44.5"/>
    <n v="355.74"/>
    <n v="177.87"/>
    <n v="2558.62"/>
    <n v="7.1072777777777771"/>
    <n v="1.0607877280265339"/>
    <m/>
    <m/>
    <m/>
    <x v="0"/>
    <d v="2026-02-09T00:00:00"/>
    <m/>
    <n v="0.3"/>
    <n v="108"/>
    <d v="2026-01-22T00:00:00"/>
    <n v="13"/>
    <d v="2026-01-22T00:00:00"/>
    <d v="2026-02-21T00:00:00"/>
    <n v="348"/>
    <n v="30"/>
    <m/>
    <s v="UPS #1ZK6E8620337817764"/>
    <m/>
    <m/>
  </r>
  <r>
    <n v="28"/>
    <m/>
    <s v="W020002"/>
    <s v="FBA15L9C2DCR"/>
    <s v="W-DE"/>
    <x v="1"/>
    <s v="AC1-WH_EU"/>
    <n v="120"/>
    <s v="万邦"/>
    <x v="2"/>
    <x v="3"/>
    <s v="AC1-WH_EU"/>
    <s v="AC1-WH_EU 智能控制器 欧规 白色 一个装"/>
    <s v="AC1"/>
    <n v="1"/>
    <n v="17.5"/>
    <x v="0"/>
    <n v="51"/>
    <n v="301.90999999999997"/>
    <n v="150.95499999999998"/>
    <n v="1043.4549999999999"/>
    <n v="8.6954583333333328"/>
    <n v="1.2978296019900497"/>
    <m/>
    <m/>
    <m/>
    <x v="0"/>
    <d v="2026-02-09T00:00:00"/>
    <m/>
    <n v="0"/>
    <n v="0"/>
    <d v="2026-01-28T00:00:00"/>
    <n v="19"/>
    <d v="2026-01-28T00:00:00"/>
    <d v="2026-02-11T00:00:00"/>
    <n v="120"/>
    <n v="14"/>
    <m/>
    <s v="UPS #1ZB57B606831614652"/>
    <m/>
    <m/>
  </r>
  <r>
    <n v="29"/>
    <m/>
    <s v="W020002"/>
    <s v="FBA15L9C2DCR"/>
    <s v="W-DE"/>
    <x v="1"/>
    <s v="AC1KIT-WH_WH_EU"/>
    <n v="120"/>
    <s v="万邦"/>
    <x v="2"/>
    <x v="3"/>
    <s v="AC1KIT-WH_WH_EU"/>
    <s v="AC1KIT-WH_WH_EU 智能控制器 欧规 白色 两个装"/>
    <s v="AC1"/>
    <n v="1"/>
    <n v="17.5"/>
    <x v="0"/>
    <n v="51"/>
    <n v="301.90999999999997"/>
    <n v="150.95499999999998"/>
    <n v="1043.4549999999999"/>
    <n v="8.6954583333333328"/>
    <n v="1.2978296019900497"/>
    <m/>
    <m/>
    <m/>
    <x v="0"/>
    <d v="2026-02-09T00:00:00"/>
    <m/>
    <n v="0"/>
    <n v="0"/>
    <d v="2026-01-28T00:00:00"/>
    <n v="19"/>
    <d v="2026-01-28T00:00:00"/>
    <d v="2026-02-11T00:00:00"/>
    <n v="120"/>
    <n v="14"/>
    <m/>
    <s v="UPS #1ZB57B606831614652"/>
    <m/>
    <m/>
  </r>
  <r>
    <n v="30"/>
    <m/>
    <s v="W03005"/>
    <s v="FBA1962WJ10Y"/>
    <s v="V-US"/>
    <x v="0"/>
    <s v="AN6KIT-B_RZ30ml"/>
    <n v="1800"/>
    <s v="万邦"/>
    <x v="0"/>
    <x v="4"/>
    <s v="AN6KIT-B_RZ30ml"/>
    <s v="AN6KIT-B_RZ30ml AN6黑色机器+30mL丽思香氛油 机油套装"/>
    <s v="AN6"/>
    <n v="60"/>
    <n v="909.75818181818192"/>
    <x v="0"/>
    <n v="3.9"/>
    <n v="250"/>
    <n v="55.350553505535053"/>
    <n v="3603.4074625964445"/>
    <n v="2.0018930347758026"/>
    <n v="0.29879000519041832"/>
    <m/>
    <m/>
    <m/>
    <x v="1"/>
    <d v="2026-02-07T00:00:00"/>
    <m/>
    <n v="0.41"/>
    <n v="738"/>
    <d v="2026-02-14T00:00:00"/>
    <n v="29"/>
    <d v="2026-02-14T00:00:00"/>
    <d v="2026-03-20T00:00:00"/>
    <n v="1822"/>
    <n v="34"/>
    <m/>
    <m/>
    <m/>
    <m/>
  </r>
  <r>
    <n v="31"/>
    <m/>
    <s v="W03005"/>
    <s v="FBA1962WJ10Y"/>
    <s v="V-US"/>
    <x v="0"/>
    <s v="AN6KIT-WH_4X10ML"/>
    <n v="390"/>
    <s v="万邦"/>
    <x v="0"/>
    <x v="4"/>
    <s v="AN6KIT-WH_4X10ML"/>
    <s v="AN6KIT-WH_4X10ML AN6白色机器+4x10mL香氛油（天竺） 机油套装"/>
    <s v="AN6"/>
    <n v="13"/>
    <n v="197.11427272727275"/>
    <x v="0"/>
    <n v="3.9"/>
    <n v="250"/>
    <n v="11.992619926199263"/>
    <n v="780.73828356256297"/>
    <n v="2.0018930347758026"/>
    <n v="0.29879000519041832"/>
    <m/>
    <m/>
    <m/>
    <x v="1"/>
    <d v="2026-02-07T00:00:00"/>
    <m/>
    <n v="0.41"/>
    <n v="159.89999999999998"/>
    <d v="2026-02-14T00:00:00"/>
    <n v="29"/>
    <d v="2026-02-14T00:00:00"/>
    <d v="2026-03-20T00:00:00"/>
    <n v="390"/>
    <n v="34"/>
    <m/>
    <m/>
    <m/>
    <m/>
  </r>
  <r>
    <n v="32"/>
    <m/>
    <s v="W03005"/>
    <s v="FBA1962WJ10Y"/>
    <s v="V-US"/>
    <x v="0"/>
    <s v="AN8KIT-B_4X10K01"/>
    <n v="990"/>
    <s v="万邦"/>
    <x v="0"/>
    <x v="4"/>
    <s v="AN8KIT-B_4X10K01"/>
    <s v="AN8KIT-B_4X10K01 AN8黑色机器+4x10mL酒店香氛油 机油套装"/>
    <s v="AN8"/>
    <n v="33"/>
    <n v="500.36700000000002"/>
    <x v="0"/>
    <n v="3.9"/>
    <m/>
    <n v="30.44280442804428"/>
    <n v="1981.8741044280443"/>
    <n v="2.0018930347758022"/>
    <n v="0.29879000519041821"/>
    <m/>
    <m/>
    <m/>
    <x v="1"/>
    <d v="2026-02-07T00:00:00"/>
    <m/>
    <n v="0.41"/>
    <n v="405.9"/>
    <d v="2026-02-14T00:00:00"/>
    <n v="29"/>
    <d v="2026-02-14T00:00:00"/>
    <d v="2026-03-20T00:00:00"/>
    <n v="990"/>
    <n v="34"/>
    <m/>
    <m/>
    <m/>
    <m/>
  </r>
  <r>
    <n v="33"/>
    <m/>
    <s v="W03005"/>
    <s v="FBA1962WJ10Y"/>
    <s v="V-US"/>
    <x v="0"/>
    <s v="ANXKIT-T_4X10ML"/>
    <n v="120"/>
    <s v="万邦"/>
    <x v="0"/>
    <x v="4"/>
    <s v="ANXKIT-T_4X10ML"/>
    <s v="ANXKIT-T_4X10ML ANX钛色机器+4x10mL香氛油（天竺） 机油套装"/>
    <s v="ANX"/>
    <n v="4"/>
    <n v="60.650545454545458"/>
    <x v="0"/>
    <n v="3.9"/>
    <m/>
    <n v="3.6900369003690039"/>
    <n v="240.22716417309627"/>
    <n v="2.0018930347758022"/>
    <n v="0.29879000519041821"/>
    <m/>
    <m/>
    <m/>
    <x v="1"/>
    <d v="2026-02-07T00:00:00"/>
    <m/>
    <n v="0.41"/>
    <n v="49.199999999999996"/>
    <d v="2026-02-14T00:00:00"/>
    <n v="29"/>
    <d v="2026-02-14T00:00:00"/>
    <d v="2026-03-20T00:00:00"/>
    <n v="121"/>
    <n v="34"/>
    <m/>
    <m/>
    <m/>
    <m/>
  </r>
  <r>
    <n v="34"/>
    <m/>
    <s v="W03007"/>
    <s v="FBA195WQT42J"/>
    <s v="V-US"/>
    <x v="0"/>
    <s v="001000019"/>
    <n v="2000"/>
    <s v="嘀嗒嘀"/>
    <x v="0"/>
    <x v="5"/>
    <s v="AN6-B"/>
    <s v="AN6-B 便携式扩香仪 黑色"/>
    <s v="AN6"/>
    <n v="50"/>
    <n v="681.94444444444446"/>
    <x v="0"/>
    <n v="3.2"/>
    <n v="200"/>
    <n v="89.285714285714292"/>
    <n v="2271.5079365079364"/>
    <n v="1.1357539682539681"/>
    <n v="0.16951551764984599"/>
    <m/>
    <m/>
    <m/>
    <x v="1"/>
    <d v="2026-02-07T00:00:00"/>
    <m/>
    <n v="0.34492957746478875"/>
    <n v="689.85915492957747"/>
    <d v="2026-02-17T00:00:00"/>
    <n v="32"/>
    <d v="2026-02-17T00:00:00"/>
    <d v="2026-03-21T00:00:00"/>
    <n v="1999"/>
    <n v="32"/>
    <m/>
    <m/>
    <m/>
    <m/>
  </r>
  <r>
    <n v="35"/>
    <m/>
    <s v="W03007"/>
    <s v="FBA195WQT42J"/>
    <s v="V-US"/>
    <x v="0"/>
    <s v="AN8-B"/>
    <n v="320"/>
    <s v="嘀嗒嘀"/>
    <x v="0"/>
    <x v="5"/>
    <s v="AN8-B"/>
    <s v="AN8-B 便携式扩香仪 黑色"/>
    <s v="AN8"/>
    <n v="8"/>
    <n v="109.11111111111111"/>
    <x v="0"/>
    <n v="3.2"/>
    <n v="200"/>
    <n v="14.285714285714286"/>
    <n v="363.44126984126984"/>
    <n v="1.1357539682539683"/>
    <n v="0.16951551764984601"/>
    <m/>
    <m/>
    <m/>
    <x v="1"/>
    <d v="2026-02-07T00:00:00"/>
    <m/>
    <n v="0.34492957746478875"/>
    <n v="110.3774647887324"/>
    <d v="2026-02-17T00:00:00"/>
    <n v="32"/>
    <d v="2026-02-17T00:00:00"/>
    <d v="2026-03-21T00:00:00"/>
    <n v="319"/>
    <n v="32"/>
    <m/>
    <m/>
    <m/>
    <m/>
  </r>
  <r>
    <n v="36"/>
    <m/>
    <s v="W03007"/>
    <s v="FBA195WQT42J"/>
    <s v="V-US"/>
    <x v="0"/>
    <s v="AN8KIT-B_B"/>
    <n v="200"/>
    <s v="嘀嗒嘀"/>
    <x v="0"/>
    <x v="5"/>
    <s v="AN8KIT-B_B"/>
    <s v="AN8KIT-B_B 便携式扩香仪套装 黑+黑"/>
    <s v="AN8"/>
    <n v="10"/>
    <n v="136.38888888888889"/>
    <x v="0"/>
    <n v="3.2"/>
    <m/>
    <n v="17.857142857142858"/>
    <n v="454.30158730158729"/>
    <n v="2.2715079365079363"/>
    <n v="0.33903103529969197"/>
    <m/>
    <m/>
    <m/>
    <x v="1"/>
    <d v="2026-02-07T00:00:00"/>
    <m/>
    <n v="0.34492957746478875"/>
    <n v="68.985915492957744"/>
    <d v="2026-02-17T00:00:00"/>
    <n v="32"/>
    <d v="2026-02-17T00:00:00"/>
    <d v="2026-03-21T00:00:00"/>
    <n v="200"/>
    <n v="32"/>
    <m/>
    <m/>
    <m/>
    <m/>
  </r>
  <r>
    <n v="37"/>
    <m/>
    <s v="W03007"/>
    <s v="FBA195WQT42J"/>
    <s v="V-US"/>
    <x v="0"/>
    <s v="AN8-WH"/>
    <n v="120"/>
    <s v="嘀嗒嘀"/>
    <x v="0"/>
    <x v="5"/>
    <s v="AN8-WH"/>
    <s v="AN8-WH 便携式扩香仪 白色"/>
    <s v="AN8"/>
    <n v="3"/>
    <n v="40.916666666666671"/>
    <x v="0"/>
    <n v="3.2"/>
    <m/>
    <n v="5.3571428571428568"/>
    <n v="136.29047619047623"/>
    <n v="1.1357539682539686"/>
    <n v="0.16951551764984604"/>
    <m/>
    <m/>
    <m/>
    <x v="1"/>
    <d v="2026-02-07T00:00:00"/>
    <m/>
    <n v="0.34492957746478875"/>
    <n v="41.391549295774652"/>
    <d v="2026-02-17T00:00:00"/>
    <n v="32"/>
    <d v="2026-02-17T00:00:00"/>
    <d v="2026-03-21T00:00:00"/>
    <n v="120"/>
    <n v="32"/>
    <m/>
    <m/>
    <m/>
    <m/>
  </r>
  <r>
    <n v="38"/>
    <m/>
    <s v="W03007"/>
    <s v="FBA195WQT42J"/>
    <s v="V-US"/>
    <x v="0"/>
    <s v="AN8NZ-B"/>
    <n v="200"/>
    <s v="嘀嗒嘀"/>
    <x v="0"/>
    <x v="5"/>
    <s v="AN8NZ-B"/>
    <s v="AN8NZ-B AN8(Z)喷嘴配件套装 黑色"/>
    <s v="AN8-AC"/>
    <n v="1"/>
    <n v="13.638888888888889"/>
    <x v="0"/>
    <n v="3.2"/>
    <m/>
    <n v="1.7857142857142858"/>
    <n v="45.43015873015873"/>
    <n v="0.22715079365079366"/>
    <n v="3.3903103529969204E-2"/>
    <m/>
    <m/>
    <m/>
    <x v="1"/>
    <d v="2026-02-07T00:00:00"/>
    <m/>
    <n v="0.34492957746478875"/>
    <n v="68.985915492957744"/>
    <d v="2026-02-17T00:00:00"/>
    <n v="32"/>
    <d v="2026-02-17T00:00:00"/>
    <d v="2026-03-21T00:00:00"/>
    <n v="200"/>
    <n v="32"/>
    <m/>
    <m/>
    <m/>
    <m/>
  </r>
  <r>
    <n v="39"/>
    <m/>
    <s v="W03006"/>
    <s v="FBA15L9NCNFT"/>
    <s v="E-UK"/>
    <x v="2"/>
    <s v="001000019"/>
    <n v="240"/>
    <s v="万邦"/>
    <x v="3"/>
    <x v="6"/>
    <s v="AN6-B"/>
    <s v="AN6-B 便携式扩香仪 黑色"/>
    <s v="AN6"/>
    <n v="6"/>
    <n v="82.199999999999989"/>
    <x v="0"/>
    <n v="4.8"/>
    <n v="600"/>
    <n v="360"/>
    <n v="754.56"/>
    <n v="3.1439999999999997"/>
    <n v="0.46925373134328352"/>
    <m/>
    <m/>
    <m/>
    <x v="1"/>
    <d v="2026-03-13T00:00:00"/>
    <m/>
    <n v="0"/>
    <n v="0"/>
    <d v="2026-03-21T00:00:00"/>
    <n v="64"/>
    <d v="2026-03-21T00:00:00"/>
    <d v="2026-04-06T00:00:00"/>
    <n v="240"/>
    <n v="16"/>
    <m/>
    <m/>
    <m/>
    <m/>
  </r>
  <r>
    <n v="40"/>
    <m/>
    <s v="W03006"/>
    <s v="FBA15L9NCNFT"/>
    <s v="E-UK"/>
    <x v="2"/>
    <s v="001000039"/>
    <n v="40"/>
    <s v="万邦"/>
    <x v="3"/>
    <x v="6"/>
    <s v="AN6-GL"/>
    <s v="AN6-GL 便携式扩香仪 翠百合色"/>
    <s v="AN6"/>
    <n v="1"/>
    <n v="13.7"/>
    <x v="0"/>
    <n v="4.8"/>
    <n v="600"/>
    <n v="60"/>
    <n v="125.75999999999999"/>
    <n v="3.1439999999999997"/>
    <n v="0.46925373134328352"/>
    <m/>
    <m/>
    <m/>
    <x v="1"/>
    <d v="2026-03-13T00:00:00"/>
    <m/>
    <n v="0"/>
    <n v="0"/>
    <d v="2026-03-21T00:00:00"/>
    <n v="64"/>
    <d v="2026-03-21T00:00:00"/>
    <d v="2026-04-06T00:00:00"/>
    <n v="40"/>
    <n v="16"/>
    <m/>
    <m/>
    <m/>
    <m/>
  </r>
  <r>
    <n v="41"/>
    <m/>
    <s v="W03006"/>
    <s v="FBA15L9NCNFT"/>
    <s v="E-UK"/>
    <x v="2"/>
    <s v="001000020"/>
    <n v="120"/>
    <s v="万邦"/>
    <x v="3"/>
    <x v="6"/>
    <s v="AN6-W"/>
    <s v="AN6-W 便携式扩香仪 白色"/>
    <s v="AN6"/>
    <n v="3"/>
    <n v="41.099999999999994"/>
    <x v="0"/>
    <n v="4.8"/>
    <m/>
    <n v="180"/>
    <n v="377.28"/>
    <n v="3.1439999999999997"/>
    <n v="0.46925373134328352"/>
    <m/>
    <m/>
    <m/>
    <x v="1"/>
    <d v="2026-03-13T00:00:00"/>
    <m/>
    <n v="0"/>
    <n v="0"/>
    <d v="2026-03-21T00:00:00"/>
    <n v="64"/>
    <d v="2026-03-21T00:00:00"/>
    <d v="2026-04-06T00:00:00"/>
    <n v="120"/>
    <n v="16"/>
    <m/>
    <m/>
    <m/>
    <m/>
  </r>
  <r>
    <n v="42"/>
    <m/>
    <s v="W03007"/>
    <s v="FBA195X71HBT"/>
    <s v="E-US"/>
    <x v="0"/>
    <s v="001000049"/>
    <n v="90"/>
    <s v="嘀嗒嘀"/>
    <x v="0"/>
    <x v="7"/>
    <s v="ANX-IB"/>
    <s v="ANX-IB 便携式扩香仪 冰蓝色"/>
    <s v="ANX"/>
    <n v="3"/>
    <n v="40.275000000000006"/>
    <x v="0"/>
    <n v="3.2"/>
    <m/>
    <n v="5.3571428571428568"/>
    <n v="134.23714285714289"/>
    <n v="1.4915238095238099"/>
    <n v="0.22261549395877758"/>
    <m/>
    <m/>
    <m/>
    <x v="1"/>
    <d v="2026-02-07T00:00:00"/>
    <m/>
    <n v="0.35399999999999998"/>
    <n v="31.86"/>
    <d v="2026-02-16T00:00:00"/>
    <n v="31"/>
    <d v="2026-02-16T00:00:00"/>
    <d v="2026-03-22T00:00:00"/>
    <n v="89"/>
    <n v="34"/>
    <m/>
    <m/>
    <m/>
    <m/>
  </r>
  <r>
    <n v="43"/>
    <m/>
    <s v="W03007"/>
    <s v="FBA195X71HBT"/>
    <s v="E-US"/>
    <x v="0"/>
    <s v="001000052"/>
    <n v="210"/>
    <s v="嘀嗒嘀"/>
    <x v="0"/>
    <x v="7"/>
    <s v="ANX-DT"/>
    <s v="ANX-DT 便携式扩香仪 沙漠钛色"/>
    <s v="ANX"/>
    <n v="7"/>
    <n v="93.975000000000009"/>
    <x v="0"/>
    <n v="3.2"/>
    <m/>
    <n v="12.5"/>
    <n v="313.22000000000003"/>
    <n v="1.4915238095238097"/>
    <n v="0.22261549395877755"/>
    <m/>
    <m/>
    <m/>
    <x v="1"/>
    <d v="2026-02-07T00:00:00"/>
    <m/>
    <n v="0.35399999999999998"/>
    <n v="74.339999999999989"/>
    <d v="2026-02-16T00:00:00"/>
    <n v="31"/>
    <d v="2026-02-16T00:00:00"/>
    <d v="2026-03-22T00:00:00"/>
    <n v="209"/>
    <n v="34"/>
    <m/>
    <m/>
    <m/>
    <m/>
  </r>
  <r>
    <n v="44"/>
    <m/>
    <s v="W03007"/>
    <s v="FBA195X71HBT"/>
    <s v="E-US"/>
    <x v="0"/>
    <s v="ANZ-B"/>
    <n v="1200"/>
    <s v="嘀嗒嘀"/>
    <x v="0"/>
    <x v="7"/>
    <s v="ANZ-B"/>
    <s v="ANZ-B 便携式扩香仪 黑色"/>
    <s v="ANZ"/>
    <n v="30"/>
    <n v="402.75"/>
    <x v="0"/>
    <n v="3.2"/>
    <m/>
    <n v="53.571428571428569"/>
    <n v="1342.3714285714289"/>
    <n v="1.1186428571428573"/>
    <n v="0.16696162046908317"/>
    <m/>
    <m/>
    <m/>
    <x v="1"/>
    <d v="2026-02-07T00:00:00"/>
    <m/>
    <n v="0.35399999999999998"/>
    <n v="424.79999999999995"/>
    <d v="2026-02-16T00:00:00"/>
    <n v="31"/>
    <d v="2026-02-16T00:00:00"/>
    <d v="2026-03-22T00:00:00"/>
    <n v="1154"/>
    <n v="34"/>
    <m/>
    <m/>
    <m/>
    <m/>
  </r>
  <r>
    <n v="45"/>
    <m/>
    <s v="W03005"/>
    <s v="FBA19630ZHP6"/>
    <s v="E-US"/>
    <x v="0"/>
    <s v="ANZKIT-B_4X10K04_TZ"/>
    <n v="390"/>
    <s v="万邦"/>
    <x v="0"/>
    <x v="4"/>
    <s v="ANZKIT-B_4X10K04_TZ"/>
    <s v="ANZKIT-B_4X10K04_TZ ANZ黑色机器+4x10mL酒店（天竺）香氛油 机油套装"/>
    <s v="ANZ"/>
    <n v="13"/>
    <n v="197.11"/>
    <x v="0"/>
    <n v="3.9"/>
    <m/>
    <n v="11.992619926199263"/>
    <n v="780.72161992619931"/>
    <n v="2.0018503075030751"/>
    <n v="0.2987836279855336"/>
    <m/>
    <m/>
    <m/>
    <x v="1"/>
    <d v="2026-02-07T00:00:00"/>
    <m/>
    <n v="0.41000000000000003"/>
    <n v="159.9"/>
    <d v="2026-02-17T00:00:00"/>
    <n v="32"/>
    <d v="2026-02-17T00:00:00"/>
    <d v="2026-03-19T00:00:00"/>
    <n v="397"/>
    <n v="30"/>
    <m/>
    <m/>
    <m/>
    <m/>
  </r>
  <r>
    <n v="46"/>
    <m/>
    <s v="W03003"/>
    <s v="FBA15L9C90G5"/>
    <s v="W-DE"/>
    <x v="1"/>
    <s v="ANA-WH_EU"/>
    <n v="144"/>
    <s v="万邦"/>
    <x v="4"/>
    <x v="8"/>
    <s v="ANA-WH_EU"/>
    <s v="ANA-WH_EU 智能扩香仪 欧规 白色"/>
    <s v="ANA"/>
    <n v="12"/>
    <n v="177"/>
    <x v="0"/>
    <n v="7.1"/>
    <n v="250"/>
    <n v="250"/>
    <n v="1506.7"/>
    <n v="10.463194444444445"/>
    <n v="1.5616708126036485"/>
    <m/>
    <m/>
    <m/>
    <x v="1"/>
    <d v="2026-03-01T00:00:00"/>
    <m/>
    <n v="0"/>
    <n v="0"/>
    <d v="2026-03-10T00:00:00"/>
    <n v="53"/>
    <d v="2026-03-10T00:00:00"/>
    <d v="2026-03-24T00:00:00"/>
    <n v="144"/>
    <n v="14"/>
    <m/>
    <m/>
    <m/>
    <m/>
  </r>
  <r>
    <n v="47"/>
    <m/>
    <s v="W03004"/>
    <s v="FBA196675KXQ"/>
    <s v="V-CA"/>
    <x v="3"/>
    <s v="001000032"/>
    <n v="72"/>
    <s v="万邦"/>
    <x v="5"/>
    <x v="9"/>
    <s v="ANW-B"/>
    <s v="ANW-B 智能扩香仪 黑色"/>
    <s v="ANW"/>
    <n v="6"/>
    <n v="87.6"/>
    <x v="0"/>
    <n v="6"/>
    <n v="250"/>
    <n v="150"/>
    <n v="675.59999999999991"/>
    <n v="9.3833333333333329"/>
    <n v="1.4004975124378107"/>
    <m/>
    <m/>
    <m/>
    <x v="1"/>
    <d v="2026-02-25T00:00:00"/>
    <m/>
    <n v="0"/>
    <n v="0"/>
    <d v="2026-03-08T00:00:00"/>
    <n v="51"/>
    <d v="2026-03-08T00:00:00"/>
    <d v="2026-03-29T00:00:00"/>
    <n v="72"/>
    <n v="21"/>
    <m/>
    <m/>
    <m/>
    <m/>
  </r>
  <r>
    <n v="48"/>
    <m/>
    <s v="W03004"/>
    <s v="FBA196675KXQ"/>
    <s v="V-CA"/>
    <x v="3"/>
    <s v="001000033"/>
    <n v="48"/>
    <s v="万邦"/>
    <x v="5"/>
    <x v="9"/>
    <s v="ANW-W"/>
    <s v="ANW-W 智能扩香仪 白色"/>
    <s v="ANW"/>
    <n v="4"/>
    <n v="58.4"/>
    <x v="0"/>
    <n v="6"/>
    <n v="250"/>
    <n v="100"/>
    <n v="450.4"/>
    <n v="9.3833333333333329"/>
    <n v="1.4004975124378107"/>
    <m/>
    <m/>
    <m/>
    <x v="1"/>
    <d v="2026-02-25T00:00:00"/>
    <m/>
    <n v="0"/>
    <n v="0"/>
    <d v="2026-03-08T00:00:00"/>
    <n v="51"/>
    <d v="2026-03-08T00:00:00"/>
    <d v="2026-03-29T00:00:00"/>
    <n v="48"/>
    <n v="21"/>
    <m/>
    <m/>
    <m/>
    <m/>
  </r>
  <r>
    <n v="49"/>
    <m/>
    <s v="W03005"/>
    <s v="FBA195TQGKS4"/>
    <s v="V-US"/>
    <x v="0"/>
    <s v="ANAKIT-B_US_2X100K03"/>
    <n v="660"/>
    <s v="万邦"/>
    <x v="0"/>
    <x v="5"/>
    <s v="ANAKIT-B_US_2X100K03"/>
    <s v="ANAKIT-B_US_2X100K03 ANA黑色机器+2X100mL酒店香氛油（天竺） 机油套装"/>
    <s v="ANA"/>
    <n v="55"/>
    <n v="956.18243243243251"/>
    <x v="0"/>
    <n v="3.9"/>
    <m/>
    <n v="50.738007380073803"/>
    <n v="3779.8494938665604"/>
    <n v="5.7270446876766066"/>
    <n v="0.85478278920546369"/>
    <m/>
    <m/>
    <m/>
    <x v="1"/>
    <d v="2026-02-07T00:00:00"/>
    <m/>
    <n v="0.49"/>
    <n v="323.39999999999998"/>
    <d v="2026-02-17T00:00:00"/>
    <n v="32"/>
    <d v="2026-02-17T00:00:00"/>
    <d v="2026-03-25T00:00:00"/>
    <n v="660"/>
    <n v="36"/>
    <m/>
    <m/>
    <m/>
    <m/>
  </r>
  <r>
    <n v="50"/>
    <m/>
    <s v="W03005"/>
    <s v="FBA195TQGKS4"/>
    <s v="V-US"/>
    <x v="0"/>
    <s v="ANAKIT-WH_US_2X100K03"/>
    <n v="660"/>
    <s v="万邦"/>
    <x v="0"/>
    <x v="5"/>
    <s v="ANAKIT-WH_US_2X100K03"/>
    <s v="ANAKIT-WH_US_2X100K03 ANA白色机器+2X100mL酒店香氛油（天竺） 机油套装"/>
    <s v="ANA"/>
    <n v="55"/>
    <n v="956.18243243243251"/>
    <x v="0"/>
    <n v="3.9"/>
    <m/>
    <n v="50.738007380073803"/>
    <n v="3779.8494938665604"/>
    <n v="5.7270446876766066"/>
    <n v="0.85478278920546369"/>
    <m/>
    <m/>
    <m/>
    <x v="1"/>
    <d v="2026-02-07T00:00:00"/>
    <m/>
    <n v="0.49"/>
    <n v="323.39999999999998"/>
    <d v="2026-02-17T00:00:00"/>
    <n v="32"/>
    <d v="2026-02-17T00:00:00"/>
    <d v="2026-03-25T00:00:00"/>
    <n v="660"/>
    <n v="36"/>
    <m/>
    <m/>
    <m/>
    <m/>
  </r>
  <r>
    <n v="51"/>
    <m/>
    <s v="W03005"/>
    <s v="FBA195TQGKS4"/>
    <s v="V-US"/>
    <x v="0"/>
    <s v="ANWKIT-WH_US_2X100K03"/>
    <n v="456"/>
    <s v="万邦"/>
    <x v="0"/>
    <x v="5"/>
    <s v="ANWKIT-WH_US_2X100K03"/>
    <s v="ANWKIT-WH_US_2X100K03 ANW白色机器+2X100mL酒店香氛油（天竺） 机油套装"/>
    <s v="ANW"/>
    <n v="38"/>
    <n v="660.63513513513522"/>
    <x v="0"/>
    <n v="3.9"/>
    <m/>
    <n v="35.055350553505534"/>
    <n v="2611.5323775805327"/>
    <n v="5.7270446876766066"/>
    <n v="0.85478278920546369"/>
    <m/>
    <m/>
    <m/>
    <x v="1"/>
    <d v="2026-02-07T00:00:00"/>
    <m/>
    <n v="0.49"/>
    <n v="223.44"/>
    <d v="2026-02-17T00:00:00"/>
    <n v="32"/>
    <d v="2026-02-17T00:00:00"/>
    <d v="2026-03-25T00:00:00"/>
    <n v="454"/>
    <n v="36"/>
    <m/>
    <m/>
    <m/>
    <m/>
  </r>
  <r>
    <n v="52"/>
    <m/>
    <s v="W03001"/>
    <s v="FBA195WSLNLM"/>
    <s v="E-US"/>
    <x v="0"/>
    <s v="HOTEL6KIT1-6X10K01"/>
    <n v="532"/>
    <s v="积米"/>
    <x v="6"/>
    <x v="10"/>
    <s v="HOTEL6KIT1-6X10K01"/>
    <s v="HOTEL6KIT1-6X10K01 酒店香氛油6款10mL套装"/>
    <s v="Oil-HQ"/>
    <n v="7"/>
    <n v="152"/>
    <x v="0"/>
    <n v="6.5"/>
    <n v="350"/>
    <n v="350"/>
    <n v="1338"/>
    <n v="2.5150375939849625"/>
    <n v="0.37537874537088994"/>
    <m/>
    <m/>
    <m/>
    <x v="1"/>
    <d v="2026-02-10T00:00:00"/>
    <m/>
    <n v="0.33999999999999997"/>
    <n v="180.88"/>
    <d v="2026-02-22T00:00:00"/>
    <n v="37"/>
    <d v="2026-02-22T00:00:00"/>
    <d v="2026-03-25T00:00:00"/>
    <n v="528"/>
    <n v="31"/>
    <m/>
    <m/>
    <m/>
    <m/>
  </r>
  <r>
    <n v="53"/>
    <m/>
    <s v="买单报关"/>
    <s v="FBA195X3NXZ7"/>
    <s v="V-US"/>
    <x v="0"/>
    <s v="006000024"/>
    <n v="1260"/>
    <s v="积米"/>
    <x v="0"/>
    <x v="11"/>
    <s v="A-RZ3-100"/>
    <s v="A-Ritz Carlton Hotel 3-100 丽思卡尔顿酒店3香氛油100mL"/>
    <s v="Oil-HQ"/>
    <n v="14"/>
    <n v="286.58999999999997"/>
    <x v="0"/>
    <n v="5.6"/>
    <n v="350"/>
    <m/>
    <n v="1604.9039999999998"/>
    <n v="1.2737333333333332"/>
    <n v="0.19010945273631838"/>
    <m/>
    <m/>
    <m/>
    <x v="1"/>
    <d v="2026-02-05T00:00:00"/>
    <m/>
    <n v="0.33999999999999997"/>
    <n v="428.4"/>
    <d v="2026-03-12T00:00:00"/>
    <n v="55"/>
    <d v="2026-03-12T00:00:00"/>
    <m/>
    <m/>
    <n v="-46093"/>
    <m/>
    <m/>
    <m/>
    <m/>
  </r>
  <r>
    <n v="54"/>
    <m/>
    <s v="买单报关"/>
    <s v="FBA195X3FRY0"/>
    <s v="E-US"/>
    <x v="0"/>
    <s v="BCRT1-100ML"/>
    <n v="90"/>
    <s v="积米"/>
    <x v="0"/>
    <x v="11"/>
    <s v="BCRT1-100ML"/>
    <s v="BCRT1-100ML 巴卡拉酒店香氛油100mL"/>
    <s v="Oil-HQ"/>
    <n v="1"/>
    <n v="20.470500000000001"/>
    <x v="0"/>
    <n v="5.6"/>
    <m/>
    <m/>
    <n v="114.6348"/>
    <n v="1.27372"/>
    <n v="0.19010746268656714"/>
    <m/>
    <m/>
    <m/>
    <x v="1"/>
    <d v="2026-02-05T00:00:00"/>
    <m/>
    <n v="0.34"/>
    <n v="30.6"/>
    <d v="2026-03-12T00:00:00"/>
    <n v="55"/>
    <d v="2026-03-12T00:00:00"/>
    <m/>
    <m/>
    <n v="-46093"/>
    <m/>
    <m/>
    <m/>
    <m/>
  </r>
  <r>
    <n v="55"/>
    <m/>
    <s v="买单报关"/>
    <s v="FBA195X3FRY0"/>
    <s v="E-US"/>
    <x v="0"/>
    <s v="BLG1-100ML"/>
    <n v="90"/>
    <s v="积米"/>
    <x v="0"/>
    <x v="11"/>
    <s v="BLG1-100ML"/>
    <s v="BLG1-100ML 百乐宫酒店香氛油100mL"/>
    <s v="Oil-HQ"/>
    <n v="1"/>
    <n v="20.470500000000001"/>
    <x v="0"/>
    <n v="5.6"/>
    <m/>
    <m/>
    <n v="114.6348"/>
    <n v="1.27372"/>
    <n v="0.19010746268656714"/>
    <m/>
    <m/>
    <m/>
    <x v="1"/>
    <d v="2026-02-05T00:00:00"/>
    <m/>
    <n v="0.34"/>
    <n v="30.6"/>
    <d v="2026-03-12T00:00:00"/>
    <n v="55"/>
    <d v="2026-03-12T00:00:00"/>
    <m/>
    <m/>
    <n v="-46093"/>
    <m/>
    <m/>
    <m/>
    <m/>
  </r>
  <r>
    <n v="56"/>
    <s v="备注第3至第16箱，单独报关"/>
    <s v="W03002"/>
    <s v="FBA195X3FRY0"/>
    <s v="E-US"/>
    <x v="0"/>
    <s v="HOTEL6KIT1-6X10K01"/>
    <n v="1064"/>
    <s v="积米"/>
    <x v="0"/>
    <x v="11"/>
    <s v="HOTEL6KIT1-6X10K01"/>
    <s v="HOTEL6KIT1-6X10K01 酒店香氛油6款10mL套装"/>
    <s v="Oil-HQ"/>
    <n v="14"/>
    <n v="286.58699999999999"/>
    <x v="0"/>
    <n v="5.6"/>
    <n v="350"/>
    <n v="350"/>
    <n v="1954.8871999999999"/>
    <n v="1.8372999999999999"/>
    <n v="0.27422388059701491"/>
    <m/>
    <m/>
    <m/>
    <x v="1"/>
    <d v="2026-02-05T00:00:00"/>
    <m/>
    <n v="0.34"/>
    <n v="361.76000000000005"/>
    <d v="2026-03-12T00:00:00"/>
    <n v="55"/>
    <d v="2026-03-12T00:00:00"/>
    <m/>
    <m/>
    <n v="-46093"/>
    <m/>
    <m/>
    <m/>
    <m/>
  </r>
  <r>
    <n v="57"/>
    <m/>
    <s v="买单报关"/>
    <s v="FBA195X3FRY0"/>
    <s v="E-US"/>
    <x v="0"/>
    <s v="JY-100ML"/>
    <n v="90"/>
    <s v="积米"/>
    <x v="0"/>
    <x v="11"/>
    <s v="A-JY-100"/>
    <s v="A-Grand Hyatt Hotel-100 君悦酒店香氛油100mL"/>
    <s v="Oil-HQ"/>
    <n v="1"/>
    <n v="20.470500000000001"/>
    <x v="0"/>
    <n v="5.6"/>
    <n v="350"/>
    <m/>
    <n v="114.6348"/>
    <n v="1.27372"/>
    <n v="0.19010746268656714"/>
    <m/>
    <m/>
    <m/>
    <x v="1"/>
    <d v="2026-02-05T00:00:00"/>
    <m/>
    <n v="0.34"/>
    <n v="30.6"/>
    <d v="2026-03-12T00:00:00"/>
    <n v="55"/>
    <d v="2026-03-12T00:00:00"/>
    <m/>
    <m/>
    <n v="-46093"/>
    <m/>
    <m/>
    <m/>
    <m/>
  </r>
  <r>
    <n v="58"/>
    <m/>
    <s v="买单报关"/>
    <s v="FBA195X3FRY0"/>
    <s v="E-US"/>
    <x v="0"/>
    <s v="MWAY1-100ML"/>
    <n v="180"/>
    <s v="积米"/>
    <x v="0"/>
    <x v="11"/>
    <s v="A-MWAY-100"/>
    <s v="A-MWAY Deluxe-100 特定香型香氛油100mL"/>
    <s v="Oil-HQ"/>
    <n v="2"/>
    <n v="40.941000000000003"/>
    <x v="0"/>
    <n v="5.6"/>
    <m/>
    <m/>
    <n v="229.2696"/>
    <n v="1.27372"/>
    <n v="0.19010746268656714"/>
    <m/>
    <m/>
    <m/>
    <x v="1"/>
    <d v="2026-02-05T00:00:00"/>
    <m/>
    <n v="0.34"/>
    <n v="61.2"/>
    <d v="2026-03-12T00:00:00"/>
    <n v="55"/>
    <d v="2026-03-12T00:00:00"/>
    <m/>
    <m/>
    <n v="-46093"/>
    <m/>
    <m/>
    <m/>
    <m/>
  </r>
  <r>
    <n v="59"/>
    <m/>
    <s v="买单报关"/>
    <s v="FBA195X3FRY0"/>
    <s v="E-US"/>
    <x v="0"/>
    <s v="WST1-100ML"/>
    <n v="90"/>
    <s v="积米"/>
    <x v="0"/>
    <x v="11"/>
    <s v="WST1-100ML"/>
    <s v="WST1-100ML 威斯汀2酒店香氛油100mL"/>
    <s v="Oil-HQ"/>
    <n v="1"/>
    <n v="20.470500000000001"/>
    <x v="0"/>
    <n v="5.6"/>
    <m/>
    <m/>
    <n v="114.6348"/>
    <n v="1.27372"/>
    <n v="0.19010746268656714"/>
    <m/>
    <m/>
    <m/>
    <x v="1"/>
    <d v="2026-02-05T00:00:00"/>
    <m/>
    <n v="0.34"/>
    <n v="30.6"/>
    <d v="2026-03-12T00:00:00"/>
    <n v="55"/>
    <d v="2026-03-12T00:00:00"/>
    <m/>
    <m/>
    <n v="-46093"/>
    <m/>
    <m/>
    <m/>
    <m/>
  </r>
  <r>
    <n v="60"/>
    <m/>
    <s v="W04003"/>
    <s v="FBA1967GPG1X"/>
    <s v="E-US"/>
    <x v="0"/>
    <s v="001000053"/>
    <n v="128"/>
    <s v="嘀嗒嘀"/>
    <x v="0"/>
    <x v="11"/>
    <s v="ANX-2PC-BB"/>
    <s v="ANX-2PC-BB 便携式扩香仪套装 黑+黑"/>
    <s v="ANX"/>
    <n v="8"/>
    <n v="106.57627118644068"/>
    <x v="0"/>
    <n v="3.4"/>
    <n v="200"/>
    <n v="10.884353741496598"/>
    <n v="373.24367577539493"/>
    <n v="2.9159662169952729"/>
    <n v="0.43521883835750341"/>
    <m/>
    <m/>
    <m/>
    <x v="2"/>
    <d v="2026-02-14T00:00:00"/>
    <m/>
    <n v="0.35943907156673116"/>
    <n v="46.008201160541589"/>
    <d v="2026-02-24T00:00:00"/>
    <n v="32"/>
    <d v="2026-02-24T00:00:00"/>
    <d v="2026-03-26T00:00:00"/>
    <n v="128"/>
    <n v="30"/>
    <m/>
    <m/>
    <m/>
    <m/>
  </r>
  <r>
    <n v="61"/>
    <m/>
    <s v="W04003"/>
    <s v="FBA1967GPG1X"/>
    <s v="E-US"/>
    <x v="0"/>
    <s v="001000045"/>
    <n v="300"/>
    <s v="嘀嗒嘀"/>
    <x v="0"/>
    <x v="11"/>
    <s v="ANX-B"/>
    <s v="ANX-B 便携式扩香仪 黑色"/>
    <s v="ANX"/>
    <n v="10"/>
    <n v="133.22033898305085"/>
    <x v="0"/>
    <n v="3.4"/>
    <n v="200"/>
    <n v="13.605442176870747"/>
    <n v="466.5545947192436"/>
    <n v="1.5551819823974786"/>
    <n v="0.23211671379066845"/>
    <m/>
    <m/>
    <m/>
    <x v="2"/>
    <d v="2026-02-14T00:00:00"/>
    <m/>
    <n v="0.35943907156673116"/>
    <n v="107.83172147001935"/>
    <d v="2026-02-24T00:00:00"/>
    <n v="32"/>
    <d v="2026-02-24T00:00:00"/>
    <d v="2026-03-26T00:00:00"/>
    <n v="300"/>
    <n v="30"/>
    <m/>
    <m/>
    <m/>
    <m/>
  </r>
  <r>
    <n v="62"/>
    <m/>
    <s v="W04003"/>
    <s v="FBA1967GPG1X"/>
    <s v="E-US"/>
    <x v="0"/>
    <s v="ANZ-B"/>
    <n v="1200"/>
    <s v="嘀嗒嘀"/>
    <x v="0"/>
    <x v="11"/>
    <s v="ANZ-B"/>
    <s v="ANZ-B 便携式扩香仪 黑色"/>
    <s v="ANZ"/>
    <n v="30"/>
    <n v="399.66101694915255"/>
    <x v="0"/>
    <n v="3.4"/>
    <m/>
    <n v="40.816326530612244"/>
    <n v="1399.663784157731"/>
    <n v="1.1663864867981091"/>
    <n v="0.17408753534300134"/>
    <m/>
    <m/>
    <m/>
    <x v="2"/>
    <d v="2026-02-14T00:00:00"/>
    <m/>
    <n v="0.35943907156673116"/>
    <n v="431.32688588007738"/>
    <d v="2026-02-24T00:00:00"/>
    <n v="32"/>
    <d v="2026-02-24T00:00:00"/>
    <d v="2026-03-26T00:00:00"/>
    <n v="1198"/>
    <n v="30"/>
    <m/>
    <m/>
    <m/>
    <m/>
  </r>
  <r>
    <n v="63"/>
    <m/>
    <s v="W04003"/>
    <s v="FBA1967GPG1X"/>
    <s v="E-US"/>
    <x v="0"/>
    <s v="ANZ-WH"/>
    <n v="440"/>
    <s v="嘀嗒嘀"/>
    <x v="0"/>
    <x v="11"/>
    <s v="ANZ-WH"/>
    <s v="ANZ-WH 便携式扩香仪 白色"/>
    <s v="ANZ"/>
    <n v="11"/>
    <n v="146.54237288135593"/>
    <x v="0"/>
    <n v="3.4"/>
    <m/>
    <n v="14.965986394557824"/>
    <n v="513.21005419116796"/>
    <n v="1.1663864867981091"/>
    <n v="0.17408753534300134"/>
    <m/>
    <m/>
    <m/>
    <x v="2"/>
    <d v="2026-02-14T00:00:00"/>
    <m/>
    <n v="0.35943907156673116"/>
    <n v="158.15319148936172"/>
    <d v="2026-02-24T00:00:00"/>
    <n v="32"/>
    <d v="2026-02-24T00:00:00"/>
    <d v="2026-03-26T00:00:00"/>
    <n v="437"/>
    <n v="30"/>
    <m/>
    <m/>
    <m/>
    <m/>
  </r>
  <r>
    <n v="64"/>
    <m/>
    <s v="W04005"/>
    <s v="FBA1967FNB50"/>
    <s v="E-US"/>
    <x v="0"/>
    <s v="ANZKIT-B_4X10K04_TZ"/>
    <n v="600"/>
    <s v="万邦"/>
    <x v="0"/>
    <x v="1"/>
    <s v="ANZKIT-B_4X10K04_TZ"/>
    <s v="ANZKIT-B_4X10K04_TZ ANZ黑色机器+4x10mL酒店（天竺）香氛油 机油套装"/>
    <s v="ANZ"/>
    <n v="20"/>
    <n v="319.62"/>
    <x v="0"/>
    <n v="3.9"/>
    <n v="250"/>
    <n v="45.871559633027523"/>
    <n v="1292.3895596330276"/>
    <n v="2.1539825993883794"/>
    <n v="0.32148994020722083"/>
    <m/>
    <m/>
    <m/>
    <x v="2"/>
    <d v="2026-03-08T00:00:00"/>
    <m/>
    <n v="0.41"/>
    <n v="245.99999999999997"/>
    <d v="2026-03-20T00:00:00"/>
    <n v="56"/>
    <d v="2026-03-20T00:00:00"/>
    <m/>
    <m/>
    <n v="-46101"/>
    <m/>
    <m/>
    <m/>
    <m/>
  </r>
  <r>
    <n v="65"/>
    <m/>
    <s v="W04005"/>
    <s v="FBA196FDHR3M"/>
    <s v="V-US"/>
    <x v="0"/>
    <s v="ADXKIT-B_4X10K04_TZ"/>
    <n v="600"/>
    <s v="万邦"/>
    <x v="0"/>
    <x v="1"/>
    <s v="ADXKIT-B_4X10K04_TZ"/>
    <s v="ADXKIT-B_4X10K04_TZ ADX黑色机器+4x10mL酒店（天竺）香氛油 机油套装"/>
    <s v="ADX"/>
    <n v="20"/>
    <n v="319.61971830985919"/>
    <x v="0"/>
    <n v="3.9"/>
    <n v="250"/>
    <n v="45.871559633027523"/>
    <n v="1292.3884610414784"/>
    <n v="2.1539807684024641"/>
    <n v="0.32148966692574088"/>
    <m/>
    <m/>
    <m/>
    <x v="2"/>
    <d v="2026-03-08T00:00:00"/>
    <m/>
    <n v="0.44"/>
    <n v="264"/>
    <d v="2026-03-20T00:00:00"/>
    <n v="56"/>
    <d v="2026-03-20T00:00:00"/>
    <m/>
    <m/>
    <n v="-46101"/>
    <m/>
    <m/>
    <m/>
    <m/>
  </r>
  <r>
    <n v="66"/>
    <m/>
    <s v="W04005"/>
    <s v="FBA196FDHR3M"/>
    <s v="V-US"/>
    <x v="0"/>
    <s v="ADXKIT-DT_4X10K04_TZ"/>
    <n v="180"/>
    <s v="万邦"/>
    <x v="0"/>
    <x v="1"/>
    <s v="ADXKIT-DT_4X10K04_TZ"/>
    <s v="ADXKIT-DT_4X10K04_TZ AD钛色机器+4x10mL酒店（天竺）香氛油 机油套装"/>
    <s v="ADX"/>
    <n v="6"/>
    <n v="95.88591549295775"/>
    <x v="0"/>
    <n v="3.9"/>
    <m/>
    <n v="13.761467889908257"/>
    <n v="387.7165383124435"/>
    <n v="2.1539807684024641"/>
    <n v="0.32148966692574088"/>
    <m/>
    <m/>
    <m/>
    <x v="2"/>
    <d v="2026-03-08T00:00:00"/>
    <m/>
    <n v="0.44"/>
    <n v="79.2"/>
    <d v="2026-03-20T00:00:00"/>
    <n v="56"/>
    <d v="2026-03-20T00:00:00"/>
    <m/>
    <m/>
    <n v="-46101"/>
    <m/>
    <m/>
    <m/>
    <m/>
  </r>
  <r>
    <n v="67"/>
    <m/>
    <s v="W04005"/>
    <s v="FBA196FDHR3M"/>
    <s v="V-US"/>
    <x v="0"/>
    <s v="AN6KIT-WH_SJ30ML_TZ"/>
    <n v="150"/>
    <s v="万邦"/>
    <x v="0"/>
    <x v="1"/>
    <s v="AN6KIT-WH_SJ30ML_TZ"/>
    <s v="AN6KIT-WH_SJ30ML_TZ AN6白色机器+30mL四季酒店香氛油（天竺） 机油套装"/>
    <s v="AN6"/>
    <n v="5"/>
    <n v="79.904929577464799"/>
    <x v="0"/>
    <n v="3.9"/>
    <m/>
    <n v="11.467889908256881"/>
    <n v="323.09711526036961"/>
    <n v="2.1539807684024641"/>
    <n v="0.32148966692574088"/>
    <m/>
    <m/>
    <m/>
    <x v="2"/>
    <d v="2026-03-08T00:00:00"/>
    <m/>
    <n v="0.44"/>
    <n v="66"/>
    <d v="2026-03-20T00:00:00"/>
    <n v="56"/>
    <d v="2026-03-20T00:00:00"/>
    <m/>
    <m/>
    <n v="-46101"/>
    <m/>
    <m/>
    <m/>
    <m/>
  </r>
  <r>
    <n v="68"/>
    <m/>
    <s v="W04005"/>
    <s v="FBA196FDHR3M"/>
    <s v="V-US"/>
    <x v="0"/>
    <s v="AN8KIT-B_2X20K03"/>
    <n v="600"/>
    <s v="万邦"/>
    <x v="0"/>
    <x v="1"/>
    <s v="AN8KIT-B_2X20K03"/>
    <s v="AN8KIT-B_2X20K03 AN8黑色机器+2X20mL（天竺）酒店香氛油 机油套装"/>
    <s v="AN8"/>
    <n v="20"/>
    <n v="319.61971830985919"/>
    <x v="0"/>
    <n v="3.9"/>
    <m/>
    <n v="45.871559633027523"/>
    <n v="1292.3884610414784"/>
    <n v="2.1539807684024641"/>
    <n v="0.32148966692574088"/>
    <m/>
    <m/>
    <m/>
    <x v="2"/>
    <d v="2026-03-08T00:00:00"/>
    <m/>
    <n v="0.44"/>
    <n v="264"/>
    <d v="2026-03-20T00:00:00"/>
    <n v="56"/>
    <d v="2026-03-20T00:00:00"/>
    <m/>
    <m/>
    <n v="-46101"/>
    <m/>
    <m/>
    <m/>
    <m/>
  </r>
  <r>
    <n v="69"/>
    <m/>
    <s v="W04005"/>
    <s v="FBA196FDHR3M"/>
    <s v="V-US"/>
    <x v="0"/>
    <s v="AN8KIT-B_4X10K01"/>
    <n v="300"/>
    <s v="万邦"/>
    <x v="0"/>
    <x v="1"/>
    <s v="AN8KIT-B_4X10K01"/>
    <s v="AN8KIT-B_4X10K01 AN8黑色机器+4x10mL酒店香氛油 机油套装"/>
    <s v="AN8"/>
    <n v="10"/>
    <n v="159.8098591549296"/>
    <x v="0"/>
    <n v="3.9"/>
    <m/>
    <n v="22.935779816513762"/>
    <n v="646.19423052073921"/>
    <n v="2.1539807684024641"/>
    <n v="0.32148966692574088"/>
    <m/>
    <m/>
    <m/>
    <x v="2"/>
    <d v="2026-03-08T00:00:00"/>
    <m/>
    <n v="0.44"/>
    <n v="132"/>
    <d v="2026-03-20T00:00:00"/>
    <n v="56"/>
    <d v="2026-03-20T00:00:00"/>
    <m/>
    <m/>
    <n v="-46101"/>
    <m/>
    <m/>
    <m/>
    <m/>
  </r>
  <r>
    <n v="70"/>
    <m/>
    <s v="W04005"/>
    <s v="FBA196FDHR3M"/>
    <s v="V-US"/>
    <x v="0"/>
    <s v="AN8KIT-B_4X10K02"/>
    <n v="300"/>
    <s v="万邦"/>
    <x v="0"/>
    <x v="1"/>
    <s v="AN8KIT-B_4X10K02"/>
    <s v="AN8KIT-B_4X10K02 AN8黑色机器+4x10mL（天竺）香氛油 机油套装"/>
    <s v="AN8"/>
    <n v="10"/>
    <n v="159.8098591549296"/>
    <x v="0"/>
    <n v="3.9"/>
    <m/>
    <n v="22.935779816513762"/>
    <n v="646.19423052073921"/>
    <n v="2.1539807684024641"/>
    <n v="0.32148966692574088"/>
    <m/>
    <m/>
    <m/>
    <x v="2"/>
    <d v="2026-03-08T00:00:00"/>
    <m/>
    <n v="0.44"/>
    <n v="132"/>
    <d v="2026-03-20T00:00:00"/>
    <n v="56"/>
    <d v="2026-03-20T00:00:00"/>
    <m/>
    <m/>
    <n v="-46101"/>
    <m/>
    <m/>
    <m/>
    <m/>
  </r>
  <r>
    <n v="71"/>
    <m/>
    <s v="W04005"/>
    <s v="FBA196FG6V2S"/>
    <s v="V-US"/>
    <x v="0"/>
    <s v="001000039"/>
    <n v="400"/>
    <s v="万邦"/>
    <x v="0"/>
    <x v="1"/>
    <s v="AN6-GL"/>
    <s v="AN6-GL 便携式扩香仪 翠百合色"/>
    <s v="AN6"/>
    <n v="10"/>
    <n v="159.80714285714285"/>
    <x v="0"/>
    <n v="3.9"/>
    <m/>
    <n v="22.935779816513762"/>
    <n v="646.18363695937092"/>
    <n v="1.6154590923984273"/>
    <n v="0.2411132973728996"/>
    <m/>
    <m/>
    <m/>
    <x v="2"/>
    <d v="2026-03-08T00:00:00"/>
    <m/>
    <n v="0.37846153846153846"/>
    <n v="151.38461538461539"/>
    <d v="2026-03-20T00:00:00"/>
    <n v="56"/>
    <d v="2026-03-20T00:00:00"/>
    <m/>
    <m/>
    <n v="-46101"/>
    <m/>
    <m/>
    <m/>
    <m/>
  </r>
  <r>
    <n v="72"/>
    <m/>
    <s v="W04005"/>
    <s v="FBA196FG6V2S"/>
    <s v="V-US"/>
    <x v="0"/>
    <s v="AND-LV"/>
    <n v="60"/>
    <s v="万邦"/>
    <x v="0"/>
    <x v="1"/>
    <s v="AND-LV"/>
    <s v="AND-LV 便携式双喷扩香仪 薰衣草色"/>
    <s v="AND"/>
    <n v="2"/>
    <n v="31.96142857142857"/>
    <x v="0"/>
    <n v="3.9"/>
    <m/>
    <n v="4.5871559633027523"/>
    <n v="129.23672739187418"/>
    <n v="2.1539454565312366"/>
    <n v="0.32148439649719951"/>
    <m/>
    <m/>
    <m/>
    <x v="2"/>
    <d v="2026-03-08T00:00:00"/>
    <m/>
    <n v="0.37846153846153846"/>
    <n v="22.707692307692309"/>
    <d v="2026-03-20T00:00:00"/>
    <n v="56"/>
    <d v="2026-03-20T00:00:00"/>
    <m/>
    <m/>
    <n v="-46101"/>
    <m/>
    <m/>
    <m/>
    <m/>
  </r>
  <r>
    <n v="73"/>
    <m/>
    <s v="W04005"/>
    <s v="FBA196FG6V2S"/>
    <s v="V-US"/>
    <x v="0"/>
    <s v="AND-MT"/>
    <n v="60"/>
    <s v="万邦"/>
    <x v="0"/>
    <x v="1"/>
    <s v="AND-MT"/>
    <s v="AND-MT 便携式双喷扩香仪 薄荷绿色"/>
    <s v="AND"/>
    <n v="2"/>
    <n v="31.96142857142857"/>
    <x v="0"/>
    <n v="3.9"/>
    <m/>
    <n v="4.5871559633027523"/>
    <n v="129.23672739187418"/>
    <n v="2.1539454565312366"/>
    <n v="0.32148439649719951"/>
    <m/>
    <m/>
    <m/>
    <x v="2"/>
    <d v="2026-03-08T00:00:00"/>
    <m/>
    <n v="0.37846153846153846"/>
    <n v="22.707692307692309"/>
    <d v="2026-03-20T00:00:00"/>
    <n v="56"/>
    <d v="2026-03-20T00:00:00"/>
    <m/>
    <m/>
    <n v="-46101"/>
    <m/>
    <m/>
    <m/>
    <m/>
  </r>
  <r>
    <n v="74"/>
    <m/>
    <s v="W04005"/>
    <s v="FBA196866S65"/>
    <s v="A-US"/>
    <x v="0"/>
    <s v="ANZKIT-B_HILTON30ML"/>
    <n v="120"/>
    <s v="万邦"/>
    <x v="0"/>
    <x v="0"/>
    <s v="ANZKIT-B_HILTON30ML"/>
    <s v="ANZKIT-B_HILTON30ML ANZ黑色机器+30mL希尔顿酒店香氛油（天竺） 机油套装"/>
    <s v="ANZ"/>
    <n v="4"/>
    <n v="56"/>
    <x v="0"/>
    <n v="3.9"/>
    <m/>
    <n v="9.1743119266055047"/>
    <n v="227.5743119266055"/>
    <n v="1.8964525993883792"/>
    <n v="0.28305262677438492"/>
    <m/>
    <m/>
    <m/>
    <x v="2"/>
    <d v="2026-03-08T00:00:00"/>
    <m/>
    <n v="0.44"/>
    <n v="52.8"/>
    <d v="2026-03-21T00:00:00"/>
    <n v="57"/>
    <d v="2026-03-21T00:00:00"/>
    <m/>
    <m/>
    <n v="-46102"/>
    <m/>
    <m/>
    <m/>
    <m/>
  </r>
  <r>
    <n v="75"/>
    <m/>
    <s v="W04004"/>
    <s v="FBA1969SRVSY"/>
    <s v="V-CA"/>
    <x v="3"/>
    <s v="001000019"/>
    <n v="240"/>
    <s v="嘀嗒嘀"/>
    <x v="5"/>
    <x v="12"/>
    <s v="AN6-B"/>
    <s v="AN6-B 便携式扩香仪 黑色"/>
    <s v="AN6"/>
    <n v="6"/>
    <n v="83"/>
    <x v="0"/>
    <n v="6"/>
    <n v="200"/>
    <n v="34.285714285714285"/>
    <n v="532.28571428571433"/>
    <n v="2.217857142857143"/>
    <n v="0.3310234541577825"/>
    <m/>
    <m/>
    <m/>
    <x v="2"/>
    <d v="2026-03-12T00:00:00"/>
    <m/>
    <n v="0"/>
    <n v="0"/>
    <d v="2026-03-14T00:00:00"/>
    <n v="50"/>
    <d v="2026-03-14T00:00:00"/>
    <d v="2026-04-01T00:00:00"/>
    <n v="240"/>
    <n v="18"/>
    <m/>
    <m/>
    <m/>
    <m/>
  </r>
  <r>
    <n v="76"/>
    <m/>
    <s v="买单报关"/>
    <s v="FBA196837WL2"/>
    <s v="V-US"/>
    <x v="0"/>
    <s v="006000024"/>
    <n v="720"/>
    <s v="积米"/>
    <x v="0"/>
    <x v="1"/>
    <s v="A-RZ3-100"/>
    <s v="A-Ritz Carlton Hotel 3-100 丽思卡尔顿酒店3香氛油100mL"/>
    <s v="Oil-HQ"/>
    <n v="8"/>
    <n v="157"/>
    <x v="0"/>
    <n v="5.3"/>
    <m/>
    <m/>
    <n v="832.1"/>
    <n v="1.1556944444444446"/>
    <n v="0.17249170812603651"/>
    <m/>
    <m/>
    <m/>
    <x v="2"/>
    <d v="2026-02-12T00:00:00"/>
    <m/>
    <n v="0.36"/>
    <n v="259.2"/>
    <d v="2026-02-28T00:00:00"/>
    <n v="36"/>
    <d v="2026-02-28T00:00:00"/>
    <d v="2026-03-28T00:00:00"/>
    <n v="717"/>
    <n v="28"/>
    <m/>
    <m/>
    <m/>
    <m/>
  </r>
  <r>
    <n v="77"/>
    <m/>
    <s v="W04002"/>
    <s v="FBA19683VMP8"/>
    <s v="V-US"/>
    <x v="0"/>
    <s v="006000024"/>
    <n v="1890"/>
    <s v="天盛"/>
    <x v="0"/>
    <x v="5"/>
    <s v="A-RZ3-100"/>
    <s v="A-Ritz Carlton Hotel 3-100 丽思卡尔顿酒店3香氛油100mL"/>
    <s v="Oil-HQ"/>
    <n v="21"/>
    <n v="1.0828125"/>
    <x v="1"/>
    <n v="1150"/>
    <n v="190.8"/>
    <n v="125.21250000000001"/>
    <n v="1370.4468750000001"/>
    <n v="0.72510416666666666"/>
    <n v="0.10822450248756219"/>
    <m/>
    <m/>
    <m/>
    <x v="2"/>
    <d v="2026-02-10T00:00:00"/>
    <m/>
    <n v="0.36402010050251254"/>
    <n v="687.99798994974867"/>
    <d v="2026-02-27T00:00:00"/>
    <n v="35"/>
    <d v="2026-02-27T00:00:00"/>
    <d v="2026-03-30T00:00:00"/>
    <n v="1889"/>
    <n v="31"/>
    <m/>
    <m/>
    <m/>
    <m/>
  </r>
  <r>
    <n v="78"/>
    <m/>
    <s v="W04002"/>
    <s v="FBA19683VMP8"/>
    <s v="V-US"/>
    <x v="0"/>
    <s v="RZ-500ML"/>
    <n v="100"/>
    <s v="天盛"/>
    <x v="0"/>
    <x v="5"/>
    <s v="RZ-500ML"/>
    <s v="RZ-500ML 丽思卡尔顿酒店3香氛油500mL"/>
    <s v="Oil-HQ"/>
    <n v="5"/>
    <n v="0.2578125"/>
    <x v="1"/>
    <n v="1150"/>
    <n v="190.8"/>
    <n v="29.8125"/>
    <n v="326.296875"/>
    <n v="3.2629687500000002"/>
    <n v="0.48701026119402985"/>
    <m/>
    <m/>
    <m/>
    <x v="2"/>
    <d v="2026-02-10T00:00:00"/>
    <m/>
    <n v="0.36402010050251254"/>
    <n v="36.402010050251256"/>
    <d v="2026-02-27T00:00:00"/>
    <n v="35"/>
    <d v="2026-02-27T00:00:00"/>
    <d v="2026-03-30T00:00:00"/>
    <n v="100"/>
    <n v="31"/>
    <m/>
    <m/>
    <m/>
    <m/>
  </r>
  <r>
    <n v="79"/>
    <m/>
    <s v="W04002"/>
    <s v="FBA19682VZWD"/>
    <s v="E-US"/>
    <x v="0"/>
    <s v="HOTEL6KIT1-6X10K01"/>
    <n v="304"/>
    <s v="天盛"/>
    <x v="0"/>
    <x v="5"/>
    <s v="HOTEL6KIT1-6X10K01"/>
    <s v="HOTEL6KIT1-6X10K01 酒店香氛油6款10mL套装"/>
    <s v="Oil-HQ"/>
    <n v="4"/>
    <n v="0.20624999999999999"/>
    <x v="1"/>
    <n v="1150"/>
    <m/>
    <n v="23.85"/>
    <n v="261.03750000000002"/>
    <n v="0.85867598684210533"/>
    <n v="0.12816059505106051"/>
    <m/>
    <m/>
    <m/>
    <x v="2"/>
    <d v="2026-02-10T00:00:00"/>
    <m/>
    <n v="0.36000000000000004"/>
    <n v="109.44000000000001"/>
    <d v="2026-02-19T00:00:00"/>
    <n v="27"/>
    <d v="2026-02-19T00:00:00"/>
    <d v="2026-03-30T00:00:00"/>
    <n v="306"/>
    <n v="39"/>
    <m/>
    <m/>
    <m/>
    <m/>
  </r>
  <r>
    <n v="80"/>
    <m/>
    <s v="W04002"/>
    <s v="FBA19682VZWD"/>
    <s v="E-US"/>
    <x v="0"/>
    <s v="JY-100ML"/>
    <n v="180"/>
    <s v="天盛"/>
    <x v="0"/>
    <x v="5"/>
    <s v="A-JY-100"/>
    <s v="A-Grand Hyatt Hotel-100 君悦酒店香氛油100mL"/>
    <s v="Oil-HQ"/>
    <n v="2"/>
    <n v="0.10312499999999999"/>
    <x v="1"/>
    <n v="1150"/>
    <m/>
    <n v="11.925000000000001"/>
    <n v="130.51875000000001"/>
    <n v="0.72510416666666677"/>
    <n v="0.1082245024875622"/>
    <m/>
    <m/>
    <m/>
    <x v="2"/>
    <d v="2026-02-10T00:00:00"/>
    <m/>
    <n v="0.36000000000000004"/>
    <n v="64.800000000000011"/>
    <d v="2026-02-19T00:00:00"/>
    <n v="27"/>
    <d v="2026-02-19T00:00:00"/>
    <d v="2026-03-30T00:00:00"/>
    <n v="179"/>
    <n v="39"/>
    <m/>
    <m/>
    <m/>
    <m/>
  </r>
  <r>
    <n v="81"/>
    <m/>
    <s v="买单报关"/>
    <s v="FBA1968392KJ"/>
    <s v="V-US"/>
    <x v="0"/>
    <s v="HILTON1-100ML_TZ"/>
    <n v="576"/>
    <s v="积米"/>
    <x v="0"/>
    <x v="5"/>
    <s v="HILTON1-100ML_TZ"/>
    <s v="HILTON1-100ML_TZ 希尔顿酒店100mL香氛油（天竺） 销售包装"/>
    <s v="Oil-TZ"/>
    <n v="9"/>
    <n v="130"/>
    <x v="0"/>
    <n v="5.3"/>
    <m/>
    <m/>
    <n v="689"/>
    <n v="1.1961805555555556"/>
    <n v="0.17853441127694858"/>
    <m/>
    <m/>
    <m/>
    <x v="2"/>
    <d v="2026-02-12T00:00:00"/>
    <m/>
    <n v="0.36000000000000004"/>
    <n v="207.36"/>
    <d v="2026-02-26T00:00:00"/>
    <n v="34"/>
    <d v="2026-02-26T00:00:00"/>
    <d v="2026-03-28T00:00:00"/>
    <n v="574"/>
    <n v="30"/>
    <m/>
    <m/>
    <m/>
    <m/>
  </r>
  <r>
    <n v="82"/>
    <m/>
    <s v="W04001"/>
    <s v="FBA19686T54K"/>
    <s v="E-US"/>
    <x v="0"/>
    <s v="BCRT1-100ML_TZ"/>
    <n v="384"/>
    <s v="积米"/>
    <x v="0"/>
    <x v="1"/>
    <s v="BCRT1-100ML_TZ"/>
    <s v="BCRT1-100ML_TZ 巴卡拉酒店100mL香氛油（天竺） 销售包装"/>
    <s v="Oil-TZ"/>
    <n v="6"/>
    <n v="86.84210526315789"/>
    <x v="0"/>
    <n v="5.3"/>
    <n v="350"/>
    <n v="110.52631578947368"/>
    <n v="570.78947368421052"/>
    <n v="1.4864309210526316"/>
    <n v="0.22185536135113904"/>
    <m/>
    <m/>
    <m/>
    <x v="2"/>
    <d v="2026-02-12T00:00:00"/>
    <m/>
    <n v="0.36"/>
    <n v="138.24"/>
    <d v="2026-02-28T00:00:00"/>
    <n v="36"/>
    <d v="2026-02-28T00:00:00"/>
    <d v="2026-03-29T00:00:00"/>
    <n v="384"/>
    <n v="29"/>
    <m/>
    <m/>
    <m/>
    <m/>
  </r>
  <r>
    <n v="83"/>
    <m/>
    <s v="W04001"/>
    <s v="FBA19686T54K"/>
    <s v="E-US"/>
    <x v="0"/>
    <s v="SJ1-100ML_TZ"/>
    <n v="576"/>
    <s v="积米"/>
    <x v="0"/>
    <x v="1"/>
    <s v="SJ1-100ML_TZ"/>
    <s v="SJ1-100ML_TZ 四季酒店100mL香氛油（天竺） 销售包装"/>
    <s v="Oil-TZ"/>
    <n v="9"/>
    <n v="130.26315789473682"/>
    <x v="0"/>
    <n v="5.3"/>
    <n v="350"/>
    <n v="165.78947368421052"/>
    <n v="856.18421052631561"/>
    <n v="1.4864309210526312"/>
    <n v="0.22185536135113898"/>
    <m/>
    <m/>
    <m/>
    <x v="2"/>
    <d v="2026-02-12T00:00:00"/>
    <m/>
    <n v="0.36"/>
    <n v="207.35999999999999"/>
    <d v="2026-02-28T00:00:00"/>
    <n v="36"/>
    <d v="2026-02-28T00:00:00"/>
    <d v="2026-03-29T00:00:00"/>
    <n v="565"/>
    <n v="29"/>
    <m/>
    <m/>
    <m/>
    <m/>
  </r>
  <r>
    <n v="84"/>
    <m/>
    <s v="W04001"/>
    <s v="FBA19686T54K"/>
    <s v="E-US"/>
    <x v="0"/>
    <s v="W1-100ML_TZ"/>
    <n v="256"/>
    <s v="积米"/>
    <x v="0"/>
    <x v="1"/>
    <s v="W1-100ML_TZ"/>
    <s v="W1-100ML_TZ W酒店100mL香氛油（天竺） 销售包装"/>
    <s v="Oil-TZ"/>
    <n v="4"/>
    <n v="57.89473684210526"/>
    <x v="0"/>
    <n v="5.3"/>
    <m/>
    <n v="73.684210526315795"/>
    <n v="380.52631578947364"/>
    <n v="1.4864309210526314"/>
    <n v="0.22185536135113901"/>
    <m/>
    <m/>
    <m/>
    <x v="2"/>
    <d v="2026-02-12T00:00:00"/>
    <m/>
    <n v="0.36"/>
    <n v="92.16"/>
    <d v="2026-02-28T00:00:00"/>
    <n v="36"/>
    <d v="2026-02-28T00:00:00"/>
    <d v="2026-03-29T00:00:00"/>
    <n v="254"/>
    <n v="29"/>
    <m/>
    <m/>
    <m/>
    <m/>
  </r>
  <r>
    <n v="85"/>
    <m/>
    <s v="W04003"/>
    <s v="FBA1967F889Z"/>
    <s v="W-US"/>
    <x v="0"/>
    <s v="G1-B"/>
    <n v="1088"/>
    <s v="嘀嗒嘀"/>
    <x v="0"/>
    <x v="1"/>
    <s v="G1-B"/>
    <s v="G1-B 电子球形把手锁 黑色"/>
    <s v="G1"/>
    <n v="68"/>
    <n v="911.81818181818176"/>
    <x v="0"/>
    <n v="3.1"/>
    <m/>
    <n v="92.517006802721085"/>
    <n v="2919.1533704390845"/>
    <n v="2.6830453772418057"/>
    <n v="0.40045453391668739"/>
    <m/>
    <m/>
    <m/>
    <x v="2"/>
    <d v="2026-02-14T00:00:00"/>
    <m/>
    <n v="0.59022727272727271"/>
    <n v="642.16727272727269"/>
    <d v="2026-02-23T00:00:00"/>
    <n v="31"/>
    <d v="2026-02-23T00:00:00"/>
    <m/>
    <m/>
    <n v="-46076"/>
    <m/>
    <m/>
    <m/>
    <m/>
  </r>
  <r>
    <n v="86"/>
    <m/>
    <s v="W04003"/>
    <s v="FBA1967F889Z"/>
    <s v="W-US"/>
    <x v="0"/>
    <s v="G1-DT"/>
    <n v="160"/>
    <s v="嘀嗒嘀"/>
    <x v="0"/>
    <x v="1"/>
    <s v="G1-DT"/>
    <s v="G1-DT 电子球形把手锁 沙漠钛色"/>
    <s v="G1"/>
    <n v="10"/>
    <n v="134.09090909090909"/>
    <x v="0"/>
    <n v="3.1"/>
    <m/>
    <n v="13.605442176870747"/>
    <n v="429.28726035868891"/>
    <n v="2.6830453772418057"/>
    <n v="0.40045453391668739"/>
    <m/>
    <m/>
    <m/>
    <x v="2"/>
    <d v="2026-02-14T00:00:00"/>
    <m/>
    <n v="0.59022727272727271"/>
    <n v="94.436363636363637"/>
    <d v="2026-02-23T00:00:00"/>
    <n v="31"/>
    <d v="2026-02-23T00:00:00"/>
    <m/>
    <m/>
    <n v="-46076"/>
    <m/>
    <m/>
    <m/>
    <m/>
  </r>
  <r>
    <n v="87"/>
    <m/>
    <s v="W04003"/>
    <s v="FBA1967F889Z"/>
    <s v="W-US"/>
    <x v="0"/>
    <s v="G1-SILV"/>
    <n v="160"/>
    <s v="嘀嗒嘀"/>
    <x v="0"/>
    <x v="1"/>
    <s v="G1-SILV"/>
    <s v="G1-SILV 电子球形把手锁 银色"/>
    <s v="G1"/>
    <n v="10"/>
    <n v="134.09090909090909"/>
    <x v="0"/>
    <n v="3.1"/>
    <m/>
    <n v="13.605442176870747"/>
    <n v="429.28726035868891"/>
    <n v="2.6830453772418057"/>
    <n v="0.40045453391668739"/>
    <m/>
    <m/>
    <m/>
    <x v="2"/>
    <d v="2026-02-14T00:00:00"/>
    <m/>
    <n v="0.59022727272727271"/>
    <n v="94.436363636363637"/>
    <d v="2026-02-23T00:00:00"/>
    <n v="31"/>
    <d v="2026-02-23T00:00:00"/>
    <m/>
    <m/>
    <n v="-46076"/>
    <m/>
    <m/>
    <m/>
    <m/>
  </r>
  <r>
    <n v="88"/>
    <m/>
    <s v="W04004"/>
    <s v="FBA1967XZYX3"/>
    <s v="A-CA"/>
    <x v="3"/>
    <s v="002000020"/>
    <n v="228"/>
    <s v="嘀嗒嘀"/>
    <x v="5"/>
    <x v="9"/>
    <s v="H2-B"/>
    <s v="H2-B 电子指纹球形把手锁-黑色"/>
    <s v="H2"/>
    <n v="19"/>
    <n v="266.65517241379314"/>
    <x v="0"/>
    <n v="6"/>
    <m/>
    <n v="108.57142857142857"/>
    <n v="1708.5024630541875"/>
    <n v="7.4934318555008224"/>
    <n v="1.1184226650001228"/>
    <m/>
    <m/>
    <m/>
    <x v="2"/>
    <d v="2026-03-12T00:00:00"/>
    <m/>
    <n v="0"/>
    <n v="0"/>
    <d v="2026-03-16T00:00:00"/>
    <n v="52"/>
    <d v="2026-03-16T00:00:00"/>
    <d v="2026-03-26T00:00:00"/>
    <n v="227"/>
    <n v="10"/>
    <m/>
    <m/>
    <m/>
    <m/>
  </r>
  <r>
    <n v="89"/>
    <m/>
    <s v="W04004"/>
    <s v="FBA1967XZYX3"/>
    <s v="A-CA"/>
    <x v="3"/>
    <s v="002000023"/>
    <n v="120"/>
    <s v="嘀嗒嘀"/>
    <x v="5"/>
    <x v="9"/>
    <s v="H2-SILV"/>
    <s v="H2-SILV 电子指纹球形把手锁-银色"/>
    <s v="H2"/>
    <n v="10"/>
    <n v="140.34482758620692"/>
    <x v="0"/>
    <n v="6"/>
    <m/>
    <n v="57.142857142857146"/>
    <n v="899.21182266009862"/>
    <n v="7.4934318555008215"/>
    <n v="1.1184226650001226"/>
    <m/>
    <m/>
    <m/>
    <x v="2"/>
    <d v="2026-03-12T00:00:00"/>
    <m/>
    <n v="0"/>
    <n v="0"/>
    <d v="2026-03-16T00:00:00"/>
    <n v="52"/>
    <d v="2026-03-16T00:00:00"/>
    <d v="2026-03-26T00:00:00"/>
    <n v="120"/>
    <n v="10"/>
    <m/>
    <m/>
    <m/>
    <m/>
  </r>
  <r>
    <n v="90"/>
    <m/>
    <s v="W05002"/>
    <s v="FBA15LCDDPG8"/>
    <s v="E-UK"/>
    <x v="2"/>
    <s v="001000019"/>
    <n v="440"/>
    <s v="嘀嗒嘀"/>
    <x v="3"/>
    <x v="13"/>
    <s v="AN6-B"/>
    <s v="AN6-B 便携式扩香仪 黑色"/>
    <s v="AN6"/>
    <n v="11"/>
    <n v="0.52433333333333332"/>
    <x v="1"/>
    <n v="750"/>
    <n v="550"/>
    <n v="201.66666666666663"/>
    <n v="594.91666666666663"/>
    <n v="1.3520833333333333"/>
    <n v="0.20180348258706465"/>
    <m/>
    <m/>
    <s v="是"/>
    <x v="3"/>
    <d v="2026-03-13T00:00:00"/>
    <m/>
    <n v="0"/>
    <n v="0"/>
    <d v="2026-03-18T00:00:00"/>
    <n v="48"/>
    <d v="2026-03-18T00:00:00"/>
    <d v="2026-04-02T00:00:00"/>
    <n v="440"/>
    <n v="15"/>
    <m/>
    <m/>
    <m/>
    <m/>
  </r>
  <r>
    <n v="91"/>
    <m/>
    <s v="W05002"/>
    <s v="FBA15LCDDPG8"/>
    <s v="E-UK"/>
    <x v="2"/>
    <s v="001000039"/>
    <n v="120"/>
    <s v="嘀嗒嘀"/>
    <x v="3"/>
    <x v="13"/>
    <s v="AN6-GL"/>
    <s v="AN6-GL 便携式扩香仪 翠百合色"/>
    <s v="AN6"/>
    <n v="3"/>
    <n v="0.14299999999999999"/>
    <x v="1"/>
    <n v="750"/>
    <n v="549.99999999999989"/>
    <n v="54.999999999999986"/>
    <n v="162.24999999999997"/>
    <n v="1.3520833333333331"/>
    <n v="0.20180348258706463"/>
    <m/>
    <m/>
    <s v="是"/>
    <x v="3"/>
    <d v="2026-03-13T00:00:00"/>
    <m/>
    <n v="0"/>
    <n v="0"/>
    <d v="2026-03-18T00:00:00"/>
    <n v="48"/>
    <d v="2026-03-18T00:00:00"/>
    <d v="2026-04-02T00:00:00"/>
    <n v="120"/>
    <n v="15"/>
    <m/>
    <m/>
    <m/>
    <m/>
  </r>
  <r>
    <n v="92"/>
    <m/>
    <s v="W05002"/>
    <s v="FBA15LCDDPG8"/>
    <s v="E-UK"/>
    <x v="2"/>
    <s v="001000020"/>
    <n v="320"/>
    <s v="嘀嗒嘀"/>
    <x v="3"/>
    <x v="13"/>
    <s v="AN6-W"/>
    <s v="AN6-W 便携式扩香仪 白色"/>
    <s v="AN6"/>
    <n v="8"/>
    <n v="0.3813333333333333"/>
    <x v="1"/>
    <n v="750"/>
    <m/>
    <n v="146.66666666666663"/>
    <n v="432.66666666666663"/>
    <n v="1.3520833333333333"/>
    <n v="0.20180348258706465"/>
    <m/>
    <m/>
    <s v="是"/>
    <x v="3"/>
    <d v="2026-03-13T00:00:00"/>
    <m/>
    <n v="0"/>
    <n v="0"/>
    <d v="2026-03-18T00:00:00"/>
    <n v="48"/>
    <d v="2026-03-18T00:00:00"/>
    <d v="2026-04-02T00:00:00"/>
    <n v="320"/>
    <n v="15"/>
    <m/>
    <m/>
    <m/>
    <m/>
  </r>
  <r>
    <n v="93"/>
    <m/>
    <s v="W05002"/>
    <s v="FBA15LCDDPG8"/>
    <s v="E-UK"/>
    <x v="2"/>
    <s v="001000045"/>
    <n v="180"/>
    <s v="嘀嗒嘀"/>
    <x v="3"/>
    <x v="13"/>
    <s v="ANX-B"/>
    <s v="ANX-B 便携式扩香仪 黑色"/>
    <s v="ANX"/>
    <n v="6"/>
    <n v="0.28599999999999998"/>
    <x v="1"/>
    <n v="750"/>
    <m/>
    <n v="109.99999999999997"/>
    <n v="324.49999999999994"/>
    <n v="1.8027777777777774"/>
    <n v="0.26907131011608615"/>
    <m/>
    <m/>
    <s v="是"/>
    <x v="3"/>
    <d v="2026-03-13T00:00:00"/>
    <m/>
    <n v="0"/>
    <n v="0"/>
    <d v="2026-03-18T00:00:00"/>
    <n v="48"/>
    <d v="2026-03-18T00:00:00"/>
    <d v="2026-04-02T00:00:00"/>
    <n v="180"/>
    <n v="15"/>
    <m/>
    <m/>
    <m/>
    <m/>
  </r>
  <r>
    <n v="94"/>
    <m/>
    <s v="W05002"/>
    <s v="FBA15LCDDPG8"/>
    <s v="E-UK"/>
    <x v="2"/>
    <s v="001000052"/>
    <n v="60"/>
    <s v="嘀嗒嘀"/>
    <x v="3"/>
    <x v="13"/>
    <s v="ANX-DT"/>
    <s v="ANX-DT 便携式扩香仪 沙漠钛色"/>
    <s v="ANX"/>
    <n v="2"/>
    <n v="9.5333333333333325E-2"/>
    <x v="1"/>
    <n v="750"/>
    <m/>
    <n v="36.666666666666657"/>
    <n v="108.16666666666666"/>
    <n v="1.8027777777777776"/>
    <n v="0.2690713101160862"/>
    <m/>
    <m/>
    <s v="是"/>
    <x v="3"/>
    <d v="2026-03-13T00:00:00"/>
    <m/>
    <n v="0"/>
    <n v="0"/>
    <d v="2026-03-18T00:00:00"/>
    <n v="48"/>
    <d v="2026-03-18T00:00:00"/>
    <d v="2026-04-02T00:00:00"/>
    <n v="60"/>
    <n v="15"/>
    <m/>
    <m/>
    <m/>
    <m/>
  </r>
  <r>
    <n v="95"/>
    <m/>
    <s v="W05012"/>
    <s v="FBA196P9L68R"/>
    <s v="V-US"/>
    <x v="0"/>
    <s v="ADXKIT-B_4X10K04_TZ"/>
    <n v="390"/>
    <s v="嘀嗒嘀"/>
    <x v="0"/>
    <x v="0"/>
    <s v="ADXKIT-B_4X10K04_TZ"/>
    <s v="ADXKIT-B_4X10K04_TZ ADX黑色机器+4x10mL酒店（天竺）香氛油 机油套装"/>
    <s v="ADX"/>
    <n v="13"/>
    <n v="194.69"/>
    <x v="0"/>
    <n v="3.9"/>
    <n v="200"/>
    <n v="11.403508771929825"/>
    <n v="770.6945087719298"/>
    <n v="1.9761397660818714"/>
    <n v="0.29494623374356288"/>
    <m/>
    <m/>
    <m/>
    <x v="3"/>
    <d v="2026-02-22T00:00:00"/>
    <m/>
    <n v="0.44"/>
    <n v="171.6"/>
    <d v="2026-03-03T00:00:00"/>
    <n v="33"/>
    <d v="2026-03-03T00:00:00"/>
    <d v="2026-04-04T00:00:00"/>
    <n v="390"/>
    <n v="32"/>
    <m/>
    <m/>
    <m/>
    <m/>
  </r>
  <r>
    <n v="96"/>
    <m/>
    <s v="W05012"/>
    <s v="FBA196P93TMX"/>
    <s v="V-US"/>
    <x v="0"/>
    <s v="001000019"/>
    <n v="1000"/>
    <s v="嘀嗒嘀"/>
    <x v="0"/>
    <x v="0"/>
    <s v="AN6-B"/>
    <s v="AN6-B 便携式扩香仪 黑色"/>
    <s v="AN6"/>
    <n v="25"/>
    <n v="374.40517241379314"/>
    <x v="0"/>
    <n v="3.9"/>
    <n v="199.99999999999997"/>
    <n v="21.92982456140351"/>
    <n v="1482.1099969751967"/>
    <n v="1.4821099969751967"/>
    <n v="0.22121044730973086"/>
    <m/>
    <m/>
    <m/>
    <x v="3"/>
    <d v="2026-02-22T00:00:00"/>
    <m/>
    <n v="0.36"/>
    <n v="360"/>
    <d v="2026-03-03T00:00:00"/>
    <n v="33"/>
    <d v="2026-03-03T00:00:00"/>
    <d v="2026-04-07T00:00:00"/>
    <n v="1000"/>
    <n v="35"/>
    <m/>
    <m/>
    <m/>
    <m/>
  </r>
  <r>
    <n v="97"/>
    <m/>
    <s v="W05012"/>
    <s v="FBA196P93TMX"/>
    <s v="V-US"/>
    <x v="0"/>
    <s v="AN6-LV"/>
    <n v="120"/>
    <s v="嘀嗒嘀"/>
    <x v="0"/>
    <x v="0"/>
    <s v="AN6-LV"/>
    <s v="AN6-LV 便携式扩香仪 薰衣草"/>
    <s v="AN6"/>
    <n v="3"/>
    <n v="44.928620689655176"/>
    <x v="0"/>
    <n v="3.9"/>
    <m/>
    <n v="2.6315789473684212"/>
    <n v="177.85319963702361"/>
    <n v="1.4821099969751967"/>
    <n v="0.22121044730973086"/>
    <m/>
    <m/>
    <m/>
    <x v="3"/>
    <d v="2026-02-22T00:00:00"/>
    <m/>
    <n v="0.36"/>
    <n v="43.199999999999996"/>
    <d v="2026-03-03T00:00:00"/>
    <n v="33"/>
    <d v="2026-03-03T00:00:00"/>
    <d v="2026-04-07T00:00:00"/>
    <n v="120"/>
    <n v="35"/>
    <m/>
    <m/>
    <m/>
    <m/>
  </r>
  <r>
    <n v="98"/>
    <m/>
    <s v="W05012"/>
    <s v="FBA196P93TMX"/>
    <s v="V-US"/>
    <x v="0"/>
    <s v="001000021"/>
    <n v="200"/>
    <s v="嘀嗒嘀"/>
    <x v="0"/>
    <x v="0"/>
    <s v="AN6NZ-B"/>
    <s v="AN6NZ-B AN6喷嘴配件套装 黑色"/>
    <s v="AN6-AC"/>
    <n v="1"/>
    <n v="14.976206896551725"/>
    <x v="0"/>
    <n v="3.9"/>
    <m/>
    <n v="0.8771929824561403"/>
    <n v="59.284399879007864"/>
    <n v="0.29642199939503933"/>
    <n v="4.4242089461946167E-2"/>
    <m/>
    <m/>
    <m/>
    <x v="3"/>
    <d v="2026-02-22T00:00:00"/>
    <m/>
    <n v="0.36"/>
    <n v="72"/>
    <d v="2026-03-03T00:00:00"/>
    <n v="33"/>
    <d v="2026-03-03T00:00:00"/>
    <d v="2026-04-07T00:00:00"/>
    <n v="198"/>
    <n v="35"/>
    <m/>
    <m/>
    <m/>
    <m/>
  </r>
  <r>
    <n v="99"/>
    <m/>
    <s v="W05012"/>
    <s v="FBA196PBJHGY"/>
    <s v="E-US"/>
    <x v="0"/>
    <s v="ANXKIT-B_4X10K04_TZ"/>
    <n v="300"/>
    <s v="嘀嗒嘀"/>
    <x v="0"/>
    <x v="1"/>
    <s v="ANXKIT-B_4X10K04_TZ"/>
    <s v="ANXKIT-B_4X10K04_TZ ANX黑色机器+4x10mL酒店（天竺）香氛油 机油套装"/>
    <s v="ANX"/>
    <n v="10"/>
    <n v="145.7138888888889"/>
    <x v="0"/>
    <n v="3.6"/>
    <m/>
    <n v="8.7719298245614041"/>
    <n v="533.34192982456148"/>
    <n v="1.7778064327485383"/>
    <n v="0.26534424369381171"/>
    <m/>
    <m/>
    <m/>
    <x v="3"/>
    <d v="2026-02-22T00:00:00"/>
    <m/>
    <n v="0.44"/>
    <n v="132"/>
    <d v="2026-03-02T00:00:00"/>
    <n v="32"/>
    <d v="2026-03-02T00:00:00"/>
    <d v="2026-04-07T00:00:00"/>
    <n v="300"/>
    <n v="36"/>
    <m/>
    <m/>
    <m/>
    <m/>
  </r>
  <r>
    <n v="100"/>
    <m/>
    <s v="W05012"/>
    <s v="FBA196PBJHGY"/>
    <s v="E-US"/>
    <x v="0"/>
    <s v="ANXKIT-T_4X10K04_TZ"/>
    <n v="180"/>
    <s v="嘀嗒嘀"/>
    <x v="0"/>
    <x v="1"/>
    <s v="ANXKIT-T_4X10K04_TZ"/>
    <s v="ANXKIT-T_4X10K04_TZ ANX钛色机器+4x10mL酒店（天竺）香氛油 机油套装"/>
    <s v="ANX"/>
    <n v="6"/>
    <n v="87.428333333333342"/>
    <x v="0"/>
    <n v="3.6"/>
    <m/>
    <n v="5.2631578947368425"/>
    <n v="320.00515789473684"/>
    <n v="1.7778064327485379"/>
    <n v="0.2653442436938116"/>
    <m/>
    <m/>
    <m/>
    <x v="3"/>
    <d v="2026-02-22T00:00:00"/>
    <m/>
    <n v="0.44"/>
    <n v="79.2"/>
    <d v="2026-03-02T00:00:00"/>
    <n v="32"/>
    <d v="2026-03-02T00:00:00"/>
    <d v="2026-04-07T00:00:00"/>
    <n v="180"/>
    <n v="36"/>
    <m/>
    <m/>
    <m/>
    <m/>
  </r>
  <r>
    <n v="101"/>
    <m/>
    <s v="W05012"/>
    <s v="FBA196PBJHGY"/>
    <s v="E-US"/>
    <x v="0"/>
    <s v="ANZKIT-B_4X10K04_TZ"/>
    <n v="600"/>
    <s v="嘀嗒嘀"/>
    <x v="0"/>
    <x v="1"/>
    <s v="ANZKIT-B_4X10K04_TZ"/>
    <s v="ANZKIT-B_4X10K04_TZ ANZ黑色机器+4x10mL酒店（天竺）香氛油 机油套装"/>
    <s v="ANZ"/>
    <n v="20"/>
    <n v="291.42777777777781"/>
    <x v="0"/>
    <n v="3.6"/>
    <m/>
    <n v="17.543859649122808"/>
    <n v="1066.683859649123"/>
    <n v="1.7778064327485383"/>
    <n v="0.26534424369381171"/>
    <m/>
    <m/>
    <m/>
    <x v="3"/>
    <d v="2026-02-22T00:00:00"/>
    <m/>
    <n v="0.44"/>
    <n v="264"/>
    <d v="2026-03-02T00:00:00"/>
    <n v="32"/>
    <d v="2026-03-02T00:00:00"/>
    <d v="2026-04-07T00:00:00"/>
    <n v="564"/>
    <n v="36"/>
    <m/>
    <m/>
    <m/>
    <m/>
  </r>
  <r>
    <n v="102"/>
    <m/>
    <s v="W05012"/>
    <s v="FBA196PD1BWG"/>
    <s v="E-US"/>
    <x v="0"/>
    <s v="001000045"/>
    <n v="510"/>
    <s v="嘀嗒嘀"/>
    <x v="0"/>
    <x v="1"/>
    <s v="ANX-B"/>
    <s v="ANX-B 便携式扩香仪 黑色"/>
    <s v="ANX"/>
    <n v="17"/>
    <n v="247.71463768115939"/>
    <x v="0"/>
    <n v="3.6"/>
    <m/>
    <n v="14.912280701754385"/>
    <n v="906.68497635392828"/>
    <n v="1.7778136791253496"/>
    <n v="0.26534532524258947"/>
    <m/>
    <m/>
    <m/>
    <x v="3"/>
    <d v="2026-02-22T00:00:00"/>
    <m/>
    <n v="0.40734824281150162"/>
    <n v="207.74760383386581"/>
    <d v="2026-03-02T00:00:00"/>
    <n v="32"/>
    <d v="2026-03-02T00:00:00"/>
    <d v="2026-04-05T00:00:00"/>
    <n v="512"/>
    <n v="34"/>
    <m/>
    <m/>
    <m/>
    <m/>
  </r>
  <r>
    <n v="103"/>
    <m/>
    <s v="W05012"/>
    <s v="FBA196PD1BWG"/>
    <s v="E-US"/>
    <x v="0"/>
    <s v="001000050"/>
    <n v="90"/>
    <s v="嘀嗒嘀"/>
    <x v="0"/>
    <x v="1"/>
    <s v="ANX-RP"/>
    <s v="ANX-RP 便携式扩香仪 红粉色"/>
    <s v="ANX"/>
    <n v="3"/>
    <n v="43.71434782608695"/>
    <x v="0"/>
    <n v="3.6"/>
    <m/>
    <n v="2.6315789473684212"/>
    <n v="160.00323112128143"/>
    <n v="1.7778136791253492"/>
    <n v="0.26534532524258941"/>
    <m/>
    <m/>
    <m/>
    <x v="3"/>
    <d v="2026-02-22T00:00:00"/>
    <m/>
    <n v="0.40734824281150162"/>
    <n v="36.661341853035147"/>
    <d v="2026-03-02T00:00:00"/>
    <n v="32"/>
    <d v="2026-03-02T00:00:00"/>
    <d v="2026-04-05T00:00:00"/>
    <n v="90"/>
    <n v="34"/>
    <m/>
    <m/>
    <m/>
    <m/>
  </r>
  <r>
    <n v="104"/>
    <m/>
    <s v="W05012"/>
    <s v="FBA196PD1BWG"/>
    <s v="E-US"/>
    <x v="0"/>
    <s v="ANZ-B"/>
    <n v="1000"/>
    <s v="嘀嗒嘀"/>
    <x v="0"/>
    <x v="1"/>
    <s v="ANZ-B"/>
    <s v="ANZ-B 便携式扩香仪 黑色"/>
    <s v="ANZ"/>
    <n v="25"/>
    <n v="364.28623188405794"/>
    <x v="0"/>
    <n v="3.6"/>
    <m/>
    <n v="21.92982456140351"/>
    <n v="1333.3602593440123"/>
    <n v="1.3333602593440124"/>
    <n v="0.19900899393194213"/>
    <m/>
    <m/>
    <m/>
    <x v="3"/>
    <d v="2026-02-22T00:00:00"/>
    <m/>
    <n v="0.40734824281150162"/>
    <n v="407.34824281150162"/>
    <d v="2026-03-02T00:00:00"/>
    <n v="32"/>
    <d v="2026-03-02T00:00:00"/>
    <d v="2026-04-05T00:00:00"/>
    <n v="1004"/>
    <n v="34"/>
    <m/>
    <m/>
    <m/>
    <m/>
  </r>
  <r>
    <n v="105"/>
    <m/>
    <s v="W05012"/>
    <s v="FBA196PD1BWG"/>
    <s v="E-US"/>
    <x v="0"/>
    <s v="ANZ-WH"/>
    <n v="400"/>
    <s v="嘀嗒嘀"/>
    <x v="0"/>
    <x v="1"/>
    <s v="ANZ-WH"/>
    <s v="ANZ-WH 便携式扩香仪 白色"/>
    <s v="ANZ"/>
    <n v="10"/>
    <n v="145.71449275362318"/>
    <x v="0"/>
    <n v="3.6"/>
    <m/>
    <n v="8.7719298245614041"/>
    <n v="533.34410373760488"/>
    <n v="1.3333602593440121"/>
    <n v="0.1990089939319421"/>
    <m/>
    <m/>
    <m/>
    <x v="3"/>
    <d v="2026-02-22T00:00:00"/>
    <m/>
    <n v="0.40734824281150162"/>
    <n v="162.93929712460064"/>
    <d v="2026-03-02T00:00:00"/>
    <n v="32"/>
    <d v="2026-03-02T00:00:00"/>
    <d v="2026-04-05T00:00:00"/>
    <n v="404"/>
    <n v="34"/>
    <m/>
    <m/>
    <m/>
    <m/>
  </r>
  <r>
    <n v="106"/>
    <m/>
    <s v="W05004"/>
    <s v="FBA15G5ZVZZ2"/>
    <s v="E-AU"/>
    <x v="4"/>
    <s v="AND-B"/>
    <n v="30"/>
    <s v="澳鹰"/>
    <x v="7"/>
    <x v="14"/>
    <s v="AND-B"/>
    <s v="AND-B 便携式双喷扩香仪 黑色"/>
    <s v="AND"/>
    <n v="1"/>
    <n v="12.545454545454545"/>
    <x v="0"/>
    <n v="7"/>
    <n v="350"/>
    <n v="31.818181818181817"/>
    <n v="119.63636363636363"/>
    <n v="3.9878787878787874"/>
    <n v="0.59520578923563994"/>
    <m/>
    <m/>
    <m/>
    <x v="4"/>
    <d v="2026-03-06T00:00:00"/>
    <m/>
    <n v="0"/>
    <n v="0"/>
    <d v="2026-03-17T00:00:00"/>
    <n v="48"/>
    <d v="2026-03-17T00:00:00"/>
    <d v="2026-04-05T00:00:00"/>
    <n v="30"/>
    <n v="19"/>
    <m/>
    <m/>
    <m/>
    <m/>
  </r>
  <r>
    <n v="107"/>
    <m/>
    <s v="W05004"/>
    <s v="FBA15G5ZVZZ2"/>
    <s v="E-AU"/>
    <x v="4"/>
    <s v="001000045"/>
    <n v="120"/>
    <s v="澳鹰"/>
    <x v="7"/>
    <x v="14"/>
    <s v="ANX-B"/>
    <s v="ANX-B 便携式扩香仪 黑色"/>
    <s v="ANX"/>
    <n v="4"/>
    <n v="50.18181818181818"/>
    <x v="0"/>
    <n v="7"/>
    <n v="350"/>
    <n v="127.27272727272727"/>
    <n v="478.5454545454545"/>
    <n v="3.9878787878787874"/>
    <n v="0.59520578923563994"/>
    <m/>
    <m/>
    <m/>
    <x v="4"/>
    <d v="2026-03-06T00:00:00"/>
    <m/>
    <n v="0"/>
    <n v="0"/>
    <d v="2026-03-17T00:00:00"/>
    <n v="48"/>
    <d v="2026-03-17T00:00:00"/>
    <d v="2026-04-05T00:00:00"/>
    <n v="120"/>
    <n v="19"/>
    <m/>
    <m/>
    <m/>
    <m/>
  </r>
  <r>
    <n v="108"/>
    <m/>
    <s v="W05004"/>
    <s v="FBA15G5ZVZZ2"/>
    <s v="E-AU"/>
    <x v="4"/>
    <s v="001000052"/>
    <n v="60"/>
    <s v="澳鹰"/>
    <x v="7"/>
    <x v="14"/>
    <s v="ANX-DT"/>
    <s v="ANX-DT 便携式扩香仪 沙漠钛色"/>
    <s v="ANX"/>
    <n v="2"/>
    <n v="25.09090909090909"/>
    <x v="0"/>
    <n v="7"/>
    <m/>
    <n v="63.636363636363633"/>
    <n v="239.27272727272725"/>
    <n v="3.9878787878787874"/>
    <n v="0.59520578923563994"/>
    <m/>
    <m/>
    <m/>
    <x v="4"/>
    <d v="2026-03-06T00:00:00"/>
    <m/>
    <n v="0"/>
    <n v="0"/>
    <d v="2026-03-17T00:00:00"/>
    <n v="48"/>
    <d v="2026-03-17T00:00:00"/>
    <d v="2026-04-05T00:00:00"/>
    <n v="60"/>
    <n v="19"/>
    <m/>
    <m/>
    <m/>
    <m/>
  </r>
  <r>
    <n v="109"/>
    <m/>
    <s v="W05004"/>
    <s v="FBA15G5ZVZZ2"/>
    <s v="E-AU"/>
    <x v="4"/>
    <s v="001000049"/>
    <n v="60"/>
    <s v="澳鹰"/>
    <x v="7"/>
    <x v="14"/>
    <s v="ANX-IB"/>
    <s v="ANX-IB 便携式扩香仪 冰蓝色"/>
    <s v="ANX"/>
    <n v="2"/>
    <n v="25.09090909090909"/>
    <x v="0"/>
    <n v="7"/>
    <m/>
    <n v="63.636363636363633"/>
    <n v="239.27272727272725"/>
    <n v="3.9878787878787874"/>
    <n v="0.59520578923563994"/>
    <m/>
    <m/>
    <m/>
    <x v="4"/>
    <d v="2026-03-06T00:00:00"/>
    <m/>
    <n v="0"/>
    <n v="0"/>
    <d v="2026-03-17T00:00:00"/>
    <n v="48"/>
    <d v="2026-03-17T00:00:00"/>
    <d v="2026-04-05T00:00:00"/>
    <n v="60"/>
    <n v="19"/>
    <m/>
    <m/>
    <m/>
    <m/>
  </r>
  <r>
    <n v="110"/>
    <m/>
    <s v="W05004"/>
    <s v="FBA15G5ZVZZ2"/>
    <s v="E-AU"/>
    <x v="4"/>
    <s v="001000050"/>
    <n v="60"/>
    <s v="澳鹰"/>
    <x v="7"/>
    <x v="14"/>
    <s v="ANX-RP"/>
    <s v="ANX-RP 便携式扩香仪 红粉色"/>
    <s v="ANX"/>
    <n v="2"/>
    <n v="25.09090909090909"/>
    <x v="0"/>
    <n v="7"/>
    <m/>
    <n v="63.636363636363633"/>
    <n v="239.27272727272725"/>
    <n v="3.9878787878787874"/>
    <n v="0.59520578923563994"/>
    <m/>
    <m/>
    <m/>
    <x v="4"/>
    <d v="2026-03-06T00:00:00"/>
    <m/>
    <n v="0"/>
    <n v="0"/>
    <d v="2026-03-17T00:00:00"/>
    <n v="48"/>
    <d v="2026-03-17T00:00:00"/>
    <d v="2026-04-05T00:00:00"/>
    <n v="60"/>
    <n v="19"/>
    <m/>
    <m/>
    <m/>
    <m/>
  </r>
  <r>
    <n v="111"/>
    <m/>
    <s v="W05012"/>
    <s v="FBA196PD1BWG"/>
    <s v="E-US"/>
    <x v="0"/>
    <s v="003000007"/>
    <n v="180"/>
    <s v="嘀嗒嘀"/>
    <x v="0"/>
    <x v="1"/>
    <s v="AP2F-H14"/>
    <s v="AP2F-H14 空气净化器滤网2-H14"/>
    <s v="AP2F"/>
    <n v="5"/>
    <n v="72.857246376811588"/>
    <x v="0"/>
    <n v="3.6"/>
    <s v=" "/>
    <n v="4.3859649122807021"/>
    <n v="266.67205186880244"/>
    <n v="1.4815113992711246"/>
    <n v="0.22112110436882457"/>
    <m/>
    <m/>
    <m/>
    <x v="3"/>
    <d v="2026-02-22T00:00:00"/>
    <m/>
    <n v="0.40734824281150162"/>
    <n v="73.322683706070293"/>
    <d v="2026-03-02T00:00:00"/>
    <n v="32"/>
    <d v="2026-03-02T00:00:00"/>
    <d v="2026-04-05T00:00:00"/>
    <n v="180"/>
    <n v="34"/>
    <m/>
    <m/>
    <m/>
    <m/>
  </r>
  <r>
    <n v="112"/>
    <m/>
    <s v="W05012"/>
    <s v="FBA196PD1BWG"/>
    <s v="E-US"/>
    <x v="0"/>
    <s v="003000007"/>
    <n v="72"/>
    <s v="嘀嗒嘀"/>
    <x v="0"/>
    <x v="1"/>
    <s v="AP2F-H14"/>
    <s v="AP2F-H14 空气净化器滤网2-H14"/>
    <s v="AP2F"/>
    <n v="2"/>
    <n v="29.142898550724635"/>
    <x v="0"/>
    <n v="3.6"/>
    <s v=" "/>
    <n v="1.7543859649122806"/>
    <n v="106.66882074752095"/>
    <n v="1.4815113992711244"/>
    <n v="0.22112110436882454"/>
    <m/>
    <m/>
    <m/>
    <x v="3"/>
    <d v="2026-02-22T00:00:00"/>
    <m/>
    <n v="0.40734824281150162"/>
    <n v="29.329073482428115"/>
    <d v="2026-03-02T00:00:00"/>
    <n v="32"/>
    <d v="2026-03-02T00:00:00"/>
    <d v="2026-04-05T00:00:00"/>
    <n v="71"/>
    <n v="34"/>
    <m/>
    <m/>
    <m/>
    <m/>
  </r>
  <r>
    <n v="113"/>
    <m/>
    <s v="W05012"/>
    <s v="FBA196PD1BWG"/>
    <s v="E-US"/>
    <x v="0"/>
    <s v="003000005"/>
    <n v="252"/>
    <s v="嘀嗒嘀"/>
    <x v="0"/>
    <x v="1"/>
    <s v="AP2F-H13"/>
    <s v="AP2F-H13 空气净化器滤网2-H13"/>
    <s v="AP2F"/>
    <n v="7"/>
    <n v="102.00014492753623"/>
    <x v="0"/>
    <n v="3.6"/>
    <m/>
    <n v="6.1403508771929829"/>
    <n v="373.3408726163234"/>
    <n v="1.4815113992711246"/>
    <n v="0.22112110436882457"/>
    <m/>
    <m/>
    <m/>
    <x v="3"/>
    <d v="2026-02-22T00:00:00"/>
    <m/>
    <n v="0.40734824281150162"/>
    <n v="102.65175718849841"/>
    <d v="2026-03-02T00:00:00"/>
    <n v="32"/>
    <d v="2026-03-02T00:00:00"/>
    <d v="2026-04-05T00:00:00"/>
    <n v="250"/>
    <n v="34"/>
    <m/>
    <m/>
    <m/>
    <m/>
  </r>
  <r>
    <n v="114"/>
    <m/>
    <s v="W05013"/>
    <s v="FBA196VGYP1S"/>
    <s v="V-US"/>
    <x v="0"/>
    <s v="AN6KIT-B_4X10K04_TZ"/>
    <n v="840"/>
    <s v="万邦"/>
    <x v="0"/>
    <x v="15"/>
    <s v="AN6KIT-B_4X10K04_TZ"/>
    <s v="AN6KIT-B_4X10K04_TZ AN6黑色机器+4x10mL酒店（天竺）香氛油 机油套装"/>
    <s v="AN6"/>
    <n v="28"/>
    <n v="460.72727272727269"/>
    <x v="0"/>
    <n v="3.9"/>
    <n v="200"/>
    <n v="17.721518987341771"/>
    <n v="1814.5578826237054"/>
    <n v="2.1601879555044112"/>
    <n v="0.32241611276185239"/>
    <m/>
    <m/>
    <m/>
    <x v="3"/>
    <d v="2026-02-22T00:00:00"/>
    <m/>
    <n v="0.43999999999999995"/>
    <n v="369.59999999999997"/>
    <d v="2026-02-26T00:00:00"/>
    <n v="28"/>
    <d v="2026-02-26T00:00:00"/>
    <d v="2026-04-01T00:00:00"/>
    <n v="845"/>
    <n v="34"/>
    <m/>
    <m/>
    <m/>
    <m/>
  </r>
  <r>
    <n v="115"/>
    <m/>
    <s v="W05013"/>
    <s v="FBA196VGYP1S"/>
    <s v="V-US"/>
    <x v="0"/>
    <s v="AN6KIT-WH_4X10K04_TZ"/>
    <n v="480"/>
    <s v="万邦"/>
    <x v="0"/>
    <x v="15"/>
    <s v="AN6KIT-WH_4X10K04_TZ"/>
    <s v="AN6KIT-WH_4X10K04_TZ AN6白色机器+4x10mL酒店（天竺）香氛油 机油套装"/>
    <s v="AN6"/>
    <n v="16"/>
    <n v="263.27272727272725"/>
    <x v="0"/>
    <n v="3.9"/>
    <n v="200.00000000000006"/>
    <n v="10.126582278481013"/>
    <n v="1036.8902186421174"/>
    <n v="2.1601879555044112"/>
    <n v="0.32241611276185239"/>
    <m/>
    <m/>
    <m/>
    <x v="3"/>
    <d v="2026-02-22T00:00:00"/>
    <m/>
    <n v="0.43999999999999995"/>
    <n v="211.2"/>
    <d v="2026-02-26T00:00:00"/>
    <n v="28"/>
    <d v="2026-02-26T00:00:00"/>
    <d v="2026-04-01T00:00:00"/>
    <n v="480"/>
    <n v="34"/>
    <m/>
    <m/>
    <m/>
    <m/>
  </r>
  <r>
    <n v="116"/>
    <m/>
    <s v="W05013"/>
    <s v="FBA196PDTG5X"/>
    <s v="V-US"/>
    <x v="0"/>
    <s v="001000033"/>
    <n v="1344"/>
    <s v="万邦"/>
    <x v="0"/>
    <x v="0"/>
    <s v="ANW-W"/>
    <s v="ANW-W 智能扩香仪 白色"/>
    <s v="ANW"/>
    <n v="112"/>
    <n v="1704.55"/>
    <x v="0"/>
    <n v="4.4000000000000004"/>
    <m/>
    <n v="70.886075949367083"/>
    <n v="7570.9060759493677"/>
    <n v="5.6331146398432796"/>
    <n v="0.84076337908108645"/>
    <m/>
    <m/>
    <m/>
    <x v="3"/>
    <d v="2026-02-22T00:00:00"/>
    <m/>
    <n v="0.55999999999999994"/>
    <n v="752.63999999999987"/>
    <d v="2026-02-26T00:00:00"/>
    <n v="28"/>
    <d v="2026-02-26T00:00:00"/>
    <d v="2026-03-31T00:00:00"/>
    <n v="1357"/>
    <n v="33"/>
    <m/>
    <m/>
    <m/>
    <m/>
  </r>
  <r>
    <n v="117"/>
    <m/>
    <s v="W05013"/>
    <s v="FBA196P88RYV"/>
    <s v="V-US"/>
    <x v="0"/>
    <s v="ANAKIT-B_US_2X100K03"/>
    <n v="240"/>
    <s v="万邦"/>
    <x v="0"/>
    <x v="0"/>
    <s v="ANAKIT-B_US_2X100K03"/>
    <s v="ANAKIT-B_US_2X100K03 ANA黑色机器+2X100mL酒店香氛油（天竺） 机油套装"/>
    <s v="ANA"/>
    <n v="20"/>
    <n v="304.38235294117652"/>
    <x v="0"/>
    <n v="4.4000000000000004"/>
    <m/>
    <n v="12.658227848101266"/>
    <n v="1351.9405807892781"/>
    <n v="5.6330857532886585"/>
    <n v="0.84075906765502362"/>
    <m/>
    <m/>
    <m/>
    <x v="3"/>
    <d v="2026-02-22T00:00:00"/>
    <m/>
    <n v="0.55999999999999994"/>
    <n v="134.39999999999998"/>
    <d v="2026-02-26T00:00:00"/>
    <n v="28"/>
    <d v="2026-02-26T00:00:00"/>
    <d v="2026-03-29T00:00:00"/>
    <n v="240"/>
    <n v="31"/>
    <m/>
    <m/>
    <m/>
    <m/>
  </r>
  <r>
    <n v="118"/>
    <m/>
    <s v="W05013"/>
    <s v="FBA196P88RYV"/>
    <s v="V-US"/>
    <x v="0"/>
    <s v="ANAKIT-WH_US_2X100K03"/>
    <n v="168"/>
    <s v="万邦"/>
    <x v="0"/>
    <x v="0"/>
    <s v="ANAKIT-WH_US_2X100K03"/>
    <s v="ANAKIT-WH_US_2X100K03 ANA白色机器+2X100mL酒店香氛油（天竺） 机油套装"/>
    <s v="ANA"/>
    <n v="14"/>
    <n v="213.06764705882355"/>
    <x v="0"/>
    <n v="4.4000000000000004"/>
    <m/>
    <n v="8.8607594936708853"/>
    <n v="946.35840655249467"/>
    <n v="5.6330857532886585"/>
    <n v="0.84075906765502362"/>
    <m/>
    <m/>
    <m/>
    <x v="3"/>
    <d v="2026-02-22T00:00:00"/>
    <m/>
    <n v="0.55999999999999994"/>
    <n v="94.079999999999984"/>
    <d v="2026-02-26T00:00:00"/>
    <n v="28"/>
    <d v="2026-02-26T00:00:00"/>
    <d v="2026-03-29T00:00:00"/>
    <n v="156"/>
    <n v="31"/>
    <m/>
    <m/>
    <m/>
    <m/>
  </r>
  <r>
    <n v="119"/>
    <m/>
    <s v="W05003"/>
    <s v="FBA1969S9B3Z"/>
    <s v="W-CA"/>
    <x v="3"/>
    <s v="007000001"/>
    <n v="64"/>
    <s v="嘀嗒嘀"/>
    <x v="5"/>
    <x v="9"/>
    <s v="X1-B"/>
    <s v="X1-B 智能入户门锁 黑色"/>
    <s v="X1"/>
    <n v="4"/>
    <n v="69"/>
    <x v="0"/>
    <n v="6"/>
    <n v="200"/>
    <n v="200"/>
    <n v="614"/>
    <n v="9.59375"/>
    <n v="1.4319029850746268"/>
    <m/>
    <m/>
    <m/>
    <x v="3"/>
    <d v="2026-03-06T00:00:00"/>
    <m/>
    <n v="0"/>
    <n v="0"/>
    <d v="2026-03-23T00:00:00"/>
    <n v="53"/>
    <d v="2026-03-23T00:00:00"/>
    <d v="2026-04-05T00:00:00"/>
    <n v="64"/>
    <n v="13"/>
    <m/>
    <m/>
    <m/>
    <m/>
  </r>
  <r>
    <n v="120"/>
    <m/>
    <s v="W05012"/>
    <s v="FBA196P9YDLV"/>
    <s v="W-US"/>
    <x v="0"/>
    <s v="007000001"/>
    <n v="816"/>
    <s v="嘀嗒嘀"/>
    <x v="0"/>
    <x v="0"/>
    <s v="X1-B"/>
    <s v="X1-B 智能入户门锁 黑色"/>
    <s v="X1"/>
    <n v="51"/>
    <n v="873.29629629629619"/>
    <x v="0"/>
    <n v="3.7"/>
    <n v="200"/>
    <n v="44.736842105263158"/>
    <n v="3275.9331384015595"/>
    <n v="4.0146239441195579"/>
    <n v="0.59919760359993401"/>
    <m/>
    <m/>
    <m/>
    <x v="3"/>
    <d v="2026-02-22T00:00:00"/>
    <m/>
    <n v="0.55999999999999994"/>
    <n v="456.96"/>
    <d v="2026-03-03T00:00:00"/>
    <n v="33"/>
    <d v="2026-03-03T00:00:00"/>
    <d v="2026-04-08T00:00:00"/>
    <n v="816"/>
    <n v="36"/>
    <m/>
    <m/>
    <m/>
    <m/>
  </r>
  <r>
    <n v="121"/>
    <m/>
    <s v="W05012"/>
    <s v="FBA196P9YDLV"/>
    <s v="W-US"/>
    <x v="0"/>
    <s v="007000002"/>
    <n v="384"/>
    <s v="嘀嗒嘀"/>
    <x v="0"/>
    <x v="0"/>
    <s v="X1-SG"/>
    <s v="X1-SG 智能入户门锁 太空灰色"/>
    <s v="X1"/>
    <n v="24"/>
    <n v="410.96296296296293"/>
    <x v="0"/>
    <n v="3.7"/>
    <m/>
    <n v="21.05263157894737"/>
    <n v="1541.6155945419102"/>
    <n v="4.0146239441195579"/>
    <n v="0.59919760359993401"/>
    <m/>
    <m/>
    <m/>
    <x v="3"/>
    <d v="2026-02-22T00:00:00"/>
    <m/>
    <n v="0.55999999999999994"/>
    <n v="215.03999999999996"/>
    <d v="2026-03-03T00:00:00"/>
    <n v="33"/>
    <d v="2026-03-03T00:00:00"/>
    <d v="2026-04-08T00:00:00"/>
    <n v="384"/>
    <n v="36"/>
    <m/>
    <m/>
    <m/>
    <m/>
  </r>
  <r>
    <n v="122"/>
    <m/>
    <s v="W05012"/>
    <s v="FBA196P9YDLV"/>
    <s v="W-US"/>
    <x v="0"/>
    <s v="X3-B"/>
    <n v="96"/>
    <s v="嘀嗒嘀"/>
    <x v="0"/>
    <x v="0"/>
    <s v="X3-B"/>
    <s v="X3-B 智能入户门锁 黑色"/>
    <s v="X3"/>
    <n v="6"/>
    <n v="102.74074074074073"/>
    <x v="0"/>
    <n v="3.7"/>
    <m/>
    <n v="5.2631578947368425"/>
    <n v="385.40389863547756"/>
    <n v="4.0146239441195579"/>
    <n v="0.59919760359993401"/>
    <m/>
    <m/>
    <m/>
    <x v="3"/>
    <d v="2026-02-22T00:00:00"/>
    <m/>
    <n v="0.55999999999999994"/>
    <n v="53.759999999999991"/>
    <d v="2026-03-03T00:00:00"/>
    <n v="33"/>
    <d v="2026-03-03T00:00:00"/>
    <d v="2026-04-08T00:00:00"/>
    <n v="96"/>
    <n v="36"/>
    <m/>
    <m/>
    <m/>
    <m/>
  </r>
  <r>
    <n v="123"/>
    <m/>
    <s v="W05013"/>
    <s v="FBA196PCKJBN"/>
    <s v="W-US"/>
    <x v="0"/>
    <s v="002000027"/>
    <n v="80"/>
    <s v="万邦"/>
    <x v="0"/>
    <x v="0"/>
    <s v="M1-B"/>
    <s v="M1-B 电子球形把手锁 黑色"/>
    <s v="M1"/>
    <n v="5"/>
    <n v="75.039682539682545"/>
    <x v="0"/>
    <n v="3.9"/>
    <m/>
    <n v="3.1645569620253164"/>
    <n v="295.81931886678723"/>
    <n v="3.6977414858348405"/>
    <n v="0.55190171430370749"/>
    <m/>
    <m/>
    <m/>
    <x v="3"/>
    <d v="2026-02-22T00:00:00"/>
    <m/>
    <n v="0.56000000000000005"/>
    <n v="44.800000000000004"/>
    <d v="2026-02-26T00:00:00"/>
    <n v="28"/>
    <d v="2026-02-26T00:00:00"/>
    <d v="2026-03-31T00:00:00"/>
    <n v="94"/>
    <n v="33"/>
    <m/>
    <m/>
    <m/>
    <m/>
  </r>
  <r>
    <n v="124"/>
    <m/>
    <s v="W05013"/>
    <s v="FBA196PCKJBN"/>
    <s v="W-US"/>
    <x v="0"/>
    <s v="002000028"/>
    <n v="672"/>
    <s v="万邦"/>
    <x v="0"/>
    <x v="0"/>
    <s v="M1-T"/>
    <s v="M1-T 电子球形把手锁 钛灰色"/>
    <s v="M1"/>
    <n v="42"/>
    <n v="630.33333333333337"/>
    <x v="0"/>
    <n v="3.9"/>
    <m/>
    <n v="26.582278481012658"/>
    <n v="2484.8822784810127"/>
    <n v="3.6977414858348405"/>
    <n v="0.55190171430370749"/>
    <m/>
    <m/>
    <m/>
    <x v="3"/>
    <d v="2026-02-22T00:00:00"/>
    <m/>
    <n v="0.56000000000000005"/>
    <n v="376.32000000000005"/>
    <d v="2026-02-26T00:00:00"/>
    <n v="28"/>
    <d v="2026-02-26T00:00:00"/>
    <d v="2026-03-31T00:00:00"/>
    <n v="672"/>
    <n v="33"/>
    <m/>
    <m/>
    <m/>
    <m/>
  </r>
  <r>
    <n v="125"/>
    <m/>
    <s v="W05013"/>
    <s v="FBA196PCKJBN"/>
    <s v="W-US"/>
    <x v="0"/>
    <s v="002000029"/>
    <n v="592"/>
    <s v="万邦"/>
    <x v="0"/>
    <x v="0"/>
    <s v="MD1-B"/>
    <s v="MD1-B 电子球形把手锁 指纹 黑色"/>
    <s v="MD1"/>
    <n v="37"/>
    <n v="555.29365079365084"/>
    <x v="0"/>
    <n v="3.9"/>
    <m/>
    <n v="23.417721518987342"/>
    <n v="2189.0629596142257"/>
    <n v="3.697741485834841"/>
    <n v="0.5519017143037076"/>
    <m/>
    <m/>
    <m/>
    <x v="3"/>
    <d v="2026-02-22T00:00:00"/>
    <m/>
    <n v="0.56000000000000005"/>
    <n v="331.52000000000004"/>
    <d v="2026-02-26T00:00:00"/>
    <n v="28"/>
    <d v="2026-02-26T00:00:00"/>
    <d v="2026-03-31T00:00:00"/>
    <n v="592"/>
    <n v="33"/>
    <m/>
    <m/>
    <m/>
    <m/>
  </r>
  <r>
    <n v="126"/>
    <m/>
    <s v="W05013"/>
    <s v="FBA196PCKJBN"/>
    <s v="W-US"/>
    <x v="0"/>
    <s v="002000038"/>
    <n v="240"/>
    <s v="万邦"/>
    <x v="0"/>
    <x v="0"/>
    <s v="MD1-SILV"/>
    <s v="MD1-SILV 电子球形把手锁 指纹 银色"/>
    <s v="MD1"/>
    <n v="15"/>
    <n v="225.11904761904762"/>
    <x v="0"/>
    <n v="3.9"/>
    <m/>
    <n v="9.4936708860759502"/>
    <n v="887.45795660036163"/>
    <n v="3.6977414858348401"/>
    <n v="0.55190171430370749"/>
    <m/>
    <m/>
    <m/>
    <x v="3"/>
    <d v="2026-02-22T00:00:00"/>
    <m/>
    <n v="0.56000000000000005"/>
    <n v="134.4"/>
    <d v="2026-02-26T00:00:00"/>
    <n v="28"/>
    <d v="2026-02-26T00:00:00"/>
    <d v="2026-03-31T00:00:00"/>
    <n v="240"/>
    <n v="33"/>
    <m/>
    <m/>
    <m/>
    <m/>
  </r>
  <r>
    <n v="127"/>
    <m/>
    <s v="W05013"/>
    <s v="FBA196PCKJBN"/>
    <s v="W-US"/>
    <x v="0"/>
    <s v="002000030"/>
    <n v="272"/>
    <s v="万邦"/>
    <x v="0"/>
    <x v="0"/>
    <s v="MD1-T"/>
    <s v="MD1-T 电子球形把手锁 指纹 钛灰色"/>
    <s v="MD1"/>
    <n v="17"/>
    <n v="255.13492063492063"/>
    <x v="0"/>
    <n v="3.9"/>
    <m/>
    <n v="10.759493670886076"/>
    <n v="1005.7856841470765"/>
    <n v="3.6977414858348401"/>
    <n v="0.55190171430370749"/>
    <m/>
    <m/>
    <m/>
    <x v="3"/>
    <d v="2026-02-22T00:00:00"/>
    <m/>
    <n v="0.56000000000000005"/>
    <n v="152.32000000000002"/>
    <d v="2026-02-26T00:00:00"/>
    <n v="28"/>
    <d v="2026-02-26T00:00:00"/>
    <d v="2026-03-31T00:00:00"/>
    <n v="272"/>
    <n v="33"/>
    <m/>
    <m/>
    <m/>
    <m/>
  </r>
  <r>
    <n v="128"/>
    <m/>
    <s v="W05013"/>
    <s v="FBA196PCKJBN"/>
    <s v="W-US"/>
    <x v="0"/>
    <s v="002000031"/>
    <n v="16"/>
    <s v="万邦"/>
    <x v="0"/>
    <x v="0"/>
    <s v="MK1-B"/>
    <s v="MK1-B 智能球形把手锁 黑色"/>
    <s v="MK1"/>
    <n v="1"/>
    <n v="15.007936507936508"/>
    <x v="0"/>
    <n v="3.9"/>
    <m/>
    <n v="0.63291139240506333"/>
    <n v="59.163863773357441"/>
    <n v="3.6977414858348401"/>
    <n v="0.55190171430370749"/>
    <m/>
    <m/>
    <m/>
    <x v="3"/>
    <d v="2026-02-22T00:00:00"/>
    <m/>
    <n v="0.56000000000000005"/>
    <n v="8.9600000000000009"/>
    <d v="2026-02-26T00:00:00"/>
    <n v="28"/>
    <d v="2026-02-26T00:00:00"/>
    <d v="2026-03-31T00:00:00"/>
    <n v="16"/>
    <n v="33"/>
    <m/>
    <m/>
    <m/>
    <m/>
  </r>
  <r>
    <n v="129"/>
    <m/>
    <s v="W05013"/>
    <s v="FBA196PCKJBN"/>
    <s v="W-US"/>
    <x v="0"/>
    <s v="002000033"/>
    <n v="80"/>
    <s v="万邦"/>
    <x v="0"/>
    <x v="0"/>
    <s v="MK1-SILV"/>
    <s v="MK1-SILV 智能球形把手锁 银色"/>
    <s v="MK1"/>
    <n v="5"/>
    <n v="75.039682539682545"/>
    <x v="0"/>
    <n v="3.9"/>
    <m/>
    <n v="3.1645569620253164"/>
    <n v="295.81931886678723"/>
    <n v="3.6977414858348405"/>
    <n v="0.55190171430370749"/>
    <m/>
    <m/>
    <m/>
    <x v="3"/>
    <d v="2026-02-22T00:00:00"/>
    <m/>
    <n v="0.56000000000000005"/>
    <n v="44.800000000000004"/>
    <d v="2026-02-26T00:00:00"/>
    <n v="28"/>
    <d v="2026-02-26T00:00:00"/>
    <d v="2026-03-31T00:00:00"/>
    <n v="80"/>
    <n v="33"/>
    <m/>
    <m/>
    <m/>
    <m/>
  </r>
  <r>
    <n v="130"/>
    <m/>
    <s v="W05013"/>
    <s v="FBA196PCKJBN"/>
    <s v="W-US"/>
    <x v="0"/>
    <s v="002000032"/>
    <n v="64"/>
    <s v="万邦"/>
    <x v="0"/>
    <x v="0"/>
    <s v="MK1-T"/>
    <s v="MK1-T 智能球形把手锁 钛色"/>
    <s v="MK1"/>
    <n v="4"/>
    <n v="60.031746031746032"/>
    <x v="0"/>
    <n v="3.9"/>
    <m/>
    <n v="2.5316455696202533"/>
    <n v="236.65545509342977"/>
    <n v="3.6977414858348401"/>
    <n v="0.55190171430370749"/>
    <m/>
    <m/>
    <m/>
    <x v="3"/>
    <d v="2026-02-22T00:00:00"/>
    <m/>
    <n v="0.56000000000000005"/>
    <n v="35.840000000000003"/>
    <d v="2026-02-26T00:00:00"/>
    <n v="28"/>
    <d v="2026-02-26T00:00:00"/>
    <d v="2026-03-31T00:00:00"/>
    <n v="64"/>
    <n v="33"/>
    <m/>
    <m/>
    <m/>
    <m/>
  </r>
  <r>
    <n v="131"/>
    <m/>
    <s v="W05005"/>
    <s v="FBA196PBH7G8"/>
    <s v="V-US"/>
    <x v="0"/>
    <s v="006000024"/>
    <n v="450"/>
    <s v="积米"/>
    <x v="0"/>
    <x v="0"/>
    <s v="A-RZ3-100"/>
    <s v="A-Ritz Carlton Hotel 3-100 丽思卡尔顿酒店3香氛油100mL"/>
    <s v="Oil-HQ"/>
    <n v="5"/>
    <n v="80"/>
    <x v="0"/>
    <n v="5.6"/>
    <n v="200"/>
    <n v="90.909090909090907"/>
    <n v="538.90909090909088"/>
    <n v="1.1975757575757575"/>
    <n v="0.17874265038444143"/>
    <m/>
    <m/>
    <m/>
    <x v="5"/>
    <d v="2026-02-19T00:00:00"/>
    <m/>
    <n v="0.37684210526315792"/>
    <n v="169.57894736842107"/>
    <d v="2026-03-05T00:00:00"/>
    <n v="34"/>
    <d v="2026-03-05T00:00:00"/>
    <d v="2026-04-06T00:00:00"/>
    <n v="450"/>
    <n v="32"/>
    <m/>
    <m/>
    <m/>
    <m/>
  </r>
  <r>
    <n v="132"/>
    <m/>
    <s v="W05005"/>
    <s v="FBA196PBH7G8"/>
    <s v="V-US"/>
    <x v="0"/>
    <s v="RZ-500ML"/>
    <n v="120"/>
    <s v="积米"/>
    <x v="0"/>
    <x v="0"/>
    <s v="RZ-500ML"/>
    <s v="RZ-500ML 丽思卡尔顿酒店3香氛油500mL"/>
    <s v="Oil-HQ"/>
    <n v="6"/>
    <n v="96"/>
    <x v="0"/>
    <n v="5.6"/>
    <n v="200"/>
    <n v="109.09090909090909"/>
    <n v="646.69090909090903"/>
    <n v="5.3890909090909087"/>
    <n v="0.80434192672998639"/>
    <m/>
    <m/>
    <m/>
    <x v="5"/>
    <d v="2026-02-19T00:00:00"/>
    <m/>
    <n v="0.37684210526315792"/>
    <n v="45.221052631578949"/>
    <d v="2026-03-05T00:00:00"/>
    <n v="34"/>
    <d v="2026-03-05T00:00:00"/>
    <d v="2026-04-06T00:00:00"/>
    <n v="120"/>
    <n v="32"/>
    <m/>
    <m/>
    <m/>
    <m/>
  </r>
  <r>
    <n v="133"/>
    <m/>
    <s v="W05006"/>
    <s v="FBA196XYH2CB"/>
    <s v="E-US"/>
    <x v="0"/>
    <s v="BLG1-100ML"/>
    <n v="360"/>
    <s v="天盛"/>
    <x v="0"/>
    <x v="10"/>
    <s v="BLG1-100ML"/>
    <s v="BLG1-100ML 百乐宫酒店香氛油100mL"/>
    <s v="Oil-HQ"/>
    <n v="4"/>
    <n v="0.33333333333333331"/>
    <x v="1"/>
    <n v="1150"/>
    <n v="190.8"/>
    <n v="63.6"/>
    <n v="446.93333333333334"/>
    <n v="1.2414814814814814"/>
    <n v="0.18529574350469871"/>
    <m/>
    <m/>
    <m/>
    <x v="5"/>
    <d v="2026-02-22T00:00:00"/>
    <m/>
    <n v="0.36000000000000004"/>
    <n v="129.60000000000002"/>
    <d v="2026-03-03T00:00:00"/>
    <n v="32"/>
    <d v="2026-03-03T00:00:00"/>
    <d v="2026-04-01T00:00:00"/>
    <n v="359"/>
    <n v="29"/>
    <m/>
    <m/>
    <m/>
    <m/>
  </r>
  <r>
    <n v="134"/>
    <m/>
    <s v="W05006"/>
    <s v="FBA196XYH2CB"/>
    <s v="E-US"/>
    <x v="0"/>
    <s v="HOTEL6KIT1-6X10K01"/>
    <n v="608"/>
    <s v="天盛"/>
    <x v="0"/>
    <x v="10"/>
    <s v="HOTEL6KIT1-6X10K01"/>
    <s v="HOTEL6KIT1-6X10K01 酒店香氛油6款10mL套装"/>
    <s v="Oil-HQ"/>
    <n v="8"/>
    <n v="0.66666666666666663"/>
    <x v="1"/>
    <n v="1150"/>
    <n v="190.8"/>
    <n v="127.2"/>
    <n v="893.86666666666667"/>
    <n v="1.4701754385964911"/>
    <n v="0.21942916993977479"/>
    <m/>
    <m/>
    <m/>
    <x v="5"/>
    <d v="2026-02-22T00:00:00"/>
    <m/>
    <n v="0.36000000000000004"/>
    <n v="218.88000000000002"/>
    <d v="2026-03-03T00:00:00"/>
    <n v="32"/>
    <d v="2026-03-03T00:00:00"/>
    <d v="2026-04-01T00:00:00"/>
    <n v="607"/>
    <n v="29"/>
    <m/>
    <m/>
    <m/>
    <m/>
  </r>
  <r>
    <n v="135"/>
    <m/>
    <s v="买单报关"/>
    <s v="FBA196XLRQQD"/>
    <s v="E-US"/>
    <x v="0"/>
    <s v="006000026"/>
    <n v="270"/>
    <s v="天盛"/>
    <x v="0"/>
    <x v="10"/>
    <s v="A-MT-100"/>
    <s v="A-Marriott Hotel 1-100 万豪酒店1香氛油100mL"/>
    <s v="Oil-HQ"/>
    <n v="3"/>
    <n v="57.5"/>
    <x v="0"/>
    <n v="5.8"/>
    <m/>
    <m/>
    <n v="333.5"/>
    <n v="1.2351851851851852"/>
    <n v="0.1843559977888336"/>
    <m/>
    <m/>
    <m/>
    <x v="5"/>
    <d v="2026-02-19T00:00:00"/>
    <m/>
    <n v="0.36"/>
    <n v="97.2"/>
    <d v="2026-03-03T00:00:00"/>
    <n v="32"/>
    <d v="2026-03-03T00:00:00"/>
    <d v="2026-04-01T00:00:00"/>
    <n v="90"/>
    <n v="29"/>
    <m/>
    <m/>
    <m/>
    <m/>
  </r>
  <r>
    <n v="136"/>
    <m/>
    <s v="买单报关"/>
    <s v="FBA196XLRQQD"/>
    <s v="E-US"/>
    <x v="0"/>
    <s v="W-100ML"/>
    <n v="90"/>
    <s v="天盛"/>
    <x v="0"/>
    <x v="10"/>
    <s v="A-WHOTEL-100"/>
    <s v="A-W Hotel-100 W酒店香氛油100mL"/>
    <s v="Oil-HQ"/>
    <n v="1"/>
    <n v="19.166666666666668"/>
    <x v="0"/>
    <n v="5.8"/>
    <m/>
    <m/>
    <n v="111.16666666666667"/>
    <n v="1.2351851851851852"/>
    <n v="0.1843559977888336"/>
    <m/>
    <m/>
    <m/>
    <x v="5"/>
    <d v="2026-02-19T00:00:00"/>
    <m/>
    <n v="0.36"/>
    <n v="32.4"/>
    <d v="2026-03-03T00:00:00"/>
    <n v="32"/>
    <d v="2026-03-03T00:00:00"/>
    <d v="2026-04-01T00:00:00"/>
    <n v="270"/>
    <n v="29"/>
    <m/>
    <m/>
    <m/>
    <m/>
  </r>
  <r>
    <n v="137"/>
    <m/>
    <s v="买单报关"/>
    <s v="FBA196XLRQQD"/>
    <s v="E-US"/>
    <x v="0"/>
    <s v="WST1-100ML"/>
    <n v="180"/>
    <s v="天盛"/>
    <x v="0"/>
    <x v="10"/>
    <s v="WST1-100ML"/>
    <s v="WST1-100ML 威斯汀2酒店香氛油100mL"/>
    <s v="Oil-HQ"/>
    <n v="2"/>
    <n v="38.333333333333336"/>
    <x v="0"/>
    <n v="5.8"/>
    <m/>
    <m/>
    <n v="222.33333333333334"/>
    <n v="1.2351851851851852"/>
    <n v="0.1843559977888336"/>
    <m/>
    <m/>
    <m/>
    <x v="5"/>
    <d v="2026-02-19T00:00:00"/>
    <m/>
    <n v="0.36"/>
    <n v="64.8"/>
    <d v="2026-03-03T00:00:00"/>
    <n v="32"/>
    <d v="2026-03-03T00:00:00"/>
    <d v="2026-04-01T00:00:00"/>
    <n v="179"/>
    <n v="29"/>
    <m/>
    <m/>
    <m/>
    <m/>
  </r>
  <r>
    <n v="138"/>
    <m/>
    <s v="W05011"/>
    <s v="FBA196P9WPZ7"/>
    <s v="E-US"/>
    <x v="0"/>
    <s v="W1-100ML_TZ"/>
    <n v="192"/>
    <s v="积米"/>
    <x v="0"/>
    <x v="1"/>
    <s v="W1-100ML_TZ"/>
    <s v="W1-100ML_TZ W酒店100mL香氛油（天竺） 销售包装"/>
    <s v="Oil-TZ"/>
    <n v="3"/>
    <n v="43.748571428571424"/>
    <x v="0"/>
    <n v="5.6"/>
    <n v="200"/>
    <n v="50"/>
    <n v="294.99199999999996"/>
    <n v="1.5364166666666665"/>
    <n v="0.22931592039800994"/>
    <m/>
    <m/>
    <m/>
    <x v="3"/>
    <d v="2026-02-19T00:00:00"/>
    <m/>
    <n v="0.40571428571428569"/>
    <n v="77.897142857142853"/>
    <d v="2026-03-08T00:00:00"/>
    <n v="38"/>
    <d v="2026-03-08T00:00:00"/>
    <d v="2026-04-06T00:00:00"/>
    <n v="192"/>
    <n v="29"/>
    <m/>
    <m/>
    <m/>
    <m/>
  </r>
  <r>
    <n v="139"/>
    <m/>
    <s v="W05011"/>
    <s v="FBA196P9WPZ7"/>
    <s v="E-US"/>
    <x v="0"/>
    <s v="YH1-100ML_TZ"/>
    <n v="256"/>
    <s v="积米"/>
    <x v="0"/>
    <x v="1"/>
    <s v="YH1-100ML_TZ"/>
    <s v="YH1-100ML_TZ 樱花100mL香氛油（天竺）销售包装"/>
    <s v="Oil-TZ"/>
    <n v="4"/>
    <n v="58.331428571428567"/>
    <x v="0"/>
    <n v="5.6"/>
    <n v="200.00000000000003"/>
    <n v="66.666666666666671"/>
    <n v="393.32266666666663"/>
    <n v="1.5364166666666665"/>
    <n v="0.22931592039800994"/>
    <m/>
    <m/>
    <m/>
    <x v="3"/>
    <d v="2026-02-19T00:00:00"/>
    <m/>
    <n v="0.40571428571428569"/>
    <n v="103.86285714285714"/>
    <d v="2026-03-08T00:00:00"/>
    <n v="38"/>
    <d v="2026-03-08T00:00:00"/>
    <d v="2026-04-06T00:00:00"/>
    <n v="256"/>
    <n v="29"/>
    <m/>
    <m/>
    <m/>
    <m/>
  </r>
  <r>
    <n v="140"/>
    <m/>
    <s v="W05011"/>
    <s v="FBA196PCP9HX"/>
    <s v="E-US"/>
    <x v="0"/>
    <s v="SJ1-100ML_TZ"/>
    <n v="192"/>
    <s v="积米"/>
    <x v="0"/>
    <x v="1"/>
    <s v="SJ1-100ML_TZ"/>
    <s v="SJ1-100ML_TZ 四季酒店100mL香氛油（天竺） 销售包装"/>
    <s v="Oil-TZ"/>
    <n v="3"/>
    <n v="43.751999999999995"/>
    <x v="0"/>
    <n v="5.6"/>
    <m/>
    <n v="50"/>
    <n v="295.01119999999992"/>
    <n v="1.5365166666666663"/>
    <n v="0.22933084577114421"/>
    <m/>
    <m/>
    <m/>
    <x v="3"/>
    <d v="2026-02-19T00:00:00"/>
    <m/>
    <n v="0.36"/>
    <n v="69.12"/>
    <d v="2026-03-08T00:00:00"/>
    <n v="38"/>
    <d v="2026-03-08T00:00:00"/>
    <d v="2026-04-06T00:00:00"/>
    <n v="192"/>
    <n v="29"/>
    <m/>
    <m/>
    <m/>
    <m/>
  </r>
  <r>
    <n v="141"/>
    <m/>
    <s v="W05011"/>
    <s v="FBA196PCP9HX"/>
    <s v="E-US"/>
    <x v="0"/>
    <s v="WST1-100ML_TZ"/>
    <n v="128"/>
    <s v="积米"/>
    <x v="0"/>
    <x v="1"/>
    <s v="WST1-100ML_TZ"/>
    <s v="WST1-100ML_TZ 威斯汀酒店白茶100mL香氛油（天竺） 销售包装"/>
    <s v="Oil-TZ"/>
    <n v="2"/>
    <n v="29.167999999999999"/>
    <x v="0"/>
    <n v="5.6"/>
    <m/>
    <n v="33.333333333333336"/>
    <n v="196.67413333333332"/>
    <n v="1.5365166666666665"/>
    <n v="0.22933084577114426"/>
    <m/>
    <m/>
    <m/>
    <x v="3"/>
    <d v="2026-02-19T00:00:00"/>
    <m/>
    <n v="0.36"/>
    <n v="46.08"/>
    <d v="2026-03-08T00:00:00"/>
    <n v="38"/>
    <d v="2026-03-08T00:00:00"/>
    <d v="2026-04-06T00:00:00"/>
    <n v="128"/>
    <n v="29"/>
    <m/>
    <m/>
    <m/>
    <m/>
  </r>
  <r>
    <n v="142"/>
    <m/>
    <s v="W05007"/>
    <s v="FBA196NCXD8J"/>
    <s v="E-US"/>
    <x v="0"/>
    <s v="003000009"/>
    <n v="52"/>
    <s v="嘀嗒嘀"/>
    <x v="0"/>
    <x v="16"/>
    <s v="AP2US-H13"/>
    <s v="AP2US-H13 内置H13滤网桌面式空气净化器2-美规"/>
    <s v="AP2"/>
    <n v="13"/>
    <n v="302"/>
    <x v="0"/>
    <n v="4.2"/>
    <n v="200"/>
    <n v="200"/>
    <n v="1468.4"/>
    <n v="28.238461538461539"/>
    <n v="4.2146957520091846"/>
    <m/>
    <m/>
    <m/>
    <x v="3"/>
    <d v="2026-02-22T00:00:00"/>
    <m/>
    <n v="0"/>
    <n v="0"/>
    <d v="2026-03-06T00:00:00"/>
    <n v="36"/>
    <d v="2026-03-06T00:00:00"/>
    <d v="2026-03-21T00:00:00"/>
    <n v="52"/>
    <n v="15"/>
    <m/>
    <m/>
    <m/>
    <m/>
  </r>
  <r>
    <n v="143"/>
    <m/>
    <s v="W05008"/>
    <s v="FBA196NCJYG5"/>
    <s v="E-US"/>
    <x v="0"/>
    <s v="003000009"/>
    <n v="48"/>
    <s v="嘀嗒嘀"/>
    <x v="8"/>
    <x v="17"/>
    <s v="AP2US-H13"/>
    <s v="AP2US-H13 内置H13滤网桌面式空气净化器2-美规"/>
    <s v="AP2"/>
    <n v="12"/>
    <n v="280"/>
    <x v="0"/>
    <n v="4.5"/>
    <n v="200"/>
    <n v="96"/>
    <n v="1356"/>
    <n v="28.25"/>
    <n v="4.2164179104477615"/>
    <m/>
    <m/>
    <m/>
    <x v="3"/>
    <d v="2026-03-14T00:00:00"/>
    <m/>
    <n v="0"/>
    <n v="0"/>
    <d v="2026-03-19T00:00:00"/>
    <n v="49"/>
    <d v="2026-03-19T00:00:00"/>
    <d v="2026-03-19T00:00:00"/>
    <n v="48"/>
    <n v="0"/>
    <m/>
    <m/>
    <m/>
    <m/>
  </r>
  <r>
    <n v="144"/>
    <m/>
    <s v="W05009"/>
    <s v="FBA196N9B79B"/>
    <s v="E-US"/>
    <x v="0"/>
    <s v="003000009"/>
    <n v="52"/>
    <s v="嘀嗒嘀"/>
    <x v="8"/>
    <x v="18"/>
    <s v="AP2US-H13"/>
    <s v="AP2US-H13 内置H13滤网桌面式空气净化器2-美规"/>
    <s v="AP2"/>
    <n v="13"/>
    <n v="303"/>
    <x v="0"/>
    <n v="5.5"/>
    <n v="200"/>
    <n v="200"/>
    <n v="1866.5"/>
    <n v="35.894230769230766"/>
    <n v="5.3573478760045923"/>
    <m/>
    <m/>
    <m/>
    <x v="3"/>
    <d v="2026-03-16T00:00:00"/>
    <m/>
    <n v="0"/>
    <n v="0"/>
    <d v="2026-03-30T00:00:00"/>
    <n v="60"/>
    <d v="2026-03-30T00:00:00"/>
    <d v="2026-03-31T00:00:00"/>
    <n v="52"/>
    <n v="1"/>
    <m/>
    <m/>
    <m/>
    <m/>
  </r>
  <r>
    <n v="145"/>
    <m/>
    <s v="W05008"/>
    <s v="FBA196NCQYR0"/>
    <s v="E-US"/>
    <x v="0"/>
    <s v="003000009"/>
    <n v="52"/>
    <s v="嘀嗒嘀"/>
    <x v="8"/>
    <x v="19"/>
    <s v="AP2US-H13"/>
    <s v="AP2US-H13 内置H13滤网桌面式空气净化器2-美规"/>
    <s v="AP2"/>
    <n v="13"/>
    <n v="303"/>
    <x v="0"/>
    <n v="4.9000000000000004"/>
    <n v="200"/>
    <n v="104"/>
    <n v="1588.7"/>
    <n v="30.551923076923078"/>
    <n v="4.5599885189437428"/>
    <m/>
    <m/>
    <m/>
    <x v="3"/>
    <d v="2026-03-14T00:00:00"/>
    <m/>
    <n v="0"/>
    <n v="0"/>
    <d v="2026-03-28T00:00:00"/>
    <n v="58"/>
    <d v="2026-03-28T00:00:00"/>
    <d v="2026-03-29T00:00:00"/>
    <n v="52"/>
    <n v="1"/>
    <m/>
    <m/>
    <m/>
    <m/>
  </r>
  <r>
    <n v="146"/>
    <m/>
    <s v="W05010"/>
    <s v="FBA196NB4NXF"/>
    <s v="E-US"/>
    <x v="0"/>
    <s v="003000009"/>
    <n v="52"/>
    <s v="嘀嗒嘀"/>
    <x v="9"/>
    <x v="20"/>
    <s v="AP2US-H13"/>
    <s v="AP2US-H13 内置H13滤网桌面式空气净化器2-美规"/>
    <s v="AP2"/>
    <n v="13"/>
    <n v="302"/>
    <x v="0"/>
    <n v="5.6"/>
    <n v="200"/>
    <n v="200"/>
    <n v="1891.1999999999998"/>
    <n v="36.369230769230768"/>
    <n v="5.4282433983926515"/>
    <m/>
    <m/>
    <m/>
    <x v="3"/>
    <d v="2026-03-14T00:00:00"/>
    <m/>
    <n v="0"/>
    <n v="0"/>
    <d v="2026-04-08T00:00:00"/>
    <n v="69"/>
    <d v="2026-04-08T00:00:00"/>
    <m/>
    <m/>
    <n v="-46120"/>
    <m/>
    <m/>
    <m/>
    <m/>
  </r>
  <r>
    <n v="147"/>
    <m/>
    <s v="W06002"/>
    <s v="FBA196ZPNG0Z"/>
    <s v="E-US"/>
    <x v="0"/>
    <s v="001000045"/>
    <n v="600"/>
    <s v="嘀嗒嘀"/>
    <x v="0"/>
    <x v="1"/>
    <s v="ANX-B"/>
    <s v="ANX-B 便携式扩香仪 黑色"/>
    <s v="ANX"/>
    <n v="20"/>
    <n v="268.53684210526319"/>
    <x v="0"/>
    <n v="3.5"/>
    <n v="200"/>
    <n v="43.478260869565219"/>
    <n v="983.35720823798647"/>
    <n v="1.6389286803966441"/>
    <n v="0.24461622095472299"/>
    <m/>
    <m/>
    <m/>
    <x v="6"/>
    <d v="2026-03-15T00:00:00"/>
    <m/>
    <n v="0.41106382978723399"/>
    <n v="246.63829787234039"/>
    <d v="2026-04-04T00:00:00"/>
    <n v="61"/>
    <d v="2026-04-04T00:00:00"/>
    <m/>
    <m/>
    <n v="-46116"/>
    <m/>
    <m/>
    <m/>
    <m/>
  </r>
  <r>
    <n v="148"/>
    <m/>
    <s v="W06002"/>
    <s v="FBA196ZPNG0Z"/>
    <s v="E-US"/>
    <x v="0"/>
    <s v="001000049"/>
    <n v="180"/>
    <s v="嘀嗒嘀"/>
    <x v="0"/>
    <x v="1"/>
    <s v="ANX-IB"/>
    <s v="ANX-IB 便携式扩香仪 冰蓝色"/>
    <s v="ANX"/>
    <n v="6"/>
    <n v="80.561052631578946"/>
    <x v="0"/>
    <n v="3.5"/>
    <n v="200"/>
    <n v="13.043478260869565"/>
    <n v="295.00716247139587"/>
    <n v="1.6389286803966436"/>
    <n v="0.24461622095472293"/>
    <m/>
    <m/>
    <m/>
    <x v="6"/>
    <d v="2026-03-15T00:00:00"/>
    <m/>
    <n v="0.41106382978723399"/>
    <n v="73.991489361702122"/>
    <d v="2026-04-04T00:00:00"/>
    <n v="61"/>
    <d v="2026-04-04T00:00:00"/>
    <m/>
    <m/>
    <n v="-46116"/>
    <m/>
    <m/>
    <m/>
    <m/>
  </r>
  <r>
    <n v="149"/>
    <m/>
    <s v="W06002"/>
    <s v="FBA196ZPNG0Z"/>
    <s v="E-US"/>
    <x v="0"/>
    <s v="001000046"/>
    <n v="90"/>
    <s v="嘀嗒嘀"/>
    <x v="0"/>
    <x v="1"/>
    <s v="ANX-SILV"/>
    <s v="ANX-SILV 便携式扩香仪 银色"/>
    <s v="ANX"/>
    <n v="3"/>
    <n v="40.280526315789473"/>
    <x v="0"/>
    <n v="3.5"/>
    <m/>
    <n v="6.5217391304347823"/>
    <n v="147.50358123569794"/>
    <n v="1.6389286803966436"/>
    <n v="0.24461622095472293"/>
    <m/>
    <m/>
    <m/>
    <x v="6"/>
    <d v="2026-03-15T00:00:00"/>
    <m/>
    <n v="0.41106382978723399"/>
    <n v="36.995744680851061"/>
    <d v="2026-04-04T00:00:00"/>
    <n v="61"/>
    <d v="2026-04-04T00:00:00"/>
    <m/>
    <m/>
    <n v="-46116"/>
    <m/>
    <m/>
    <m/>
    <m/>
  </r>
  <r>
    <n v="150"/>
    <m/>
    <s v="W06002"/>
    <s v="FBA196ZPNG0Z"/>
    <s v="E-US"/>
    <x v="0"/>
    <s v="001000052"/>
    <n v="330"/>
    <s v="嘀嗒嘀"/>
    <x v="0"/>
    <x v="1"/>
    <s v="ANX-DT"/>
    <s v="ANX-DT 便携式扩香仪 沙漠钛色"/>
    <s v="ANX"/>
    <n v="11"/>
    <n v="147.69526315789474"/>
    <x v="0"/>
    <n v="3.5"/>
    <m/>
    <n v="23.913043478260871"/>
    <n v="540.84646453089249"/>
    <n v="1.6389286803966439"/>
    <n v="0.24461622095472296"/>
    <m/>
    <m/>
    <m/>
    <x v="6"/>
    <d v="2026-03-15T00:00:00"/>
    <m/>
    <n v="0.41106382978723399"/>
    <n v="135.6510638297872"/>
    <d v="2026-04-04T00:00:00"/>
    <n v="61"/>
    <d v="2026-04-04T00:00:00"/>
    <m/>
    <m/>
    <n v="-46116"/>
    <m/>
    <m/>
    <m/>
    <m/>
  </r>
  <r>
    <n v="151"/>
    <m/>
    <s v="W06002"/>
    <s v="FBA196ZPNG0Z"/>
    <s v="E-US"/>
    <x v="0"/>
    <s v="ANZ-WH"/>
    <n v="680"/>
    <s v="嘀嗒嘀"/>
    <x v="0"/>
    <x v="1"/>
    <s v="ANZ-WH"/>
    <s v="ANZ-WH 便携式扩香仪 白色"/>
    <s v="ANZ"/>
    <n v="17"/>
    <n v="228.25631578947369"/>
    <x v="0"/>
    <n v="3.5"/>
    <m/>
    <n v="36.956521739130437"/>
    <n v="835.85362700228825"/>
    <n v="1.2291965102974827"/>
    <n v="0.18346216571604218"/>
    <m/>
    <m/>
    <m/>
    <x v="6"/>
    <d v="2026-03-15T00:00:00"/>
    <m/>
    <n v="0.41106382978723399"/>
    <n v="279.52340425531912"/>
    <d v="2026-04-04T00:00:00"/>
    <n v="61"/>
    <d v="2026-04-04T00:00:00"/>
    <m/>
    <m/>
    <n v="-46116"/>
    <m/>
    <m/>
    <m/>
    <m/>
  </r>
  <r>
    <n v="152"/>
    <m/>
    <s v="W06002"/>
    <s v="FBA196ZQYZK7"/>
    <s v="E-US"/>
    <x v="0"/>
    <s v="ANXKIT-B_4X10ML"/>
    <n v="90"/>
    <s v="嘀嗒嘀"/>
    <x v="0"/>
    <x v="7"/>
    <s v="ANXKIT-B_4X10ML"/>
    <s v="ANXKIT-B_4X10ML ANX黑色机器+4x10mL香氛油（天竺） 机油套装"/>
    <s v="ANX"/>
    <n v="3"/>
    <n v="50.099999999999994"/>
    <x v="0"/>
    <n v="3.6"/>
    <m/>
    <n v="6.5217391304347823"/>
    <n v="186.88173913043477"/>
    <n v="2.0764637681159419"/>
    <n v="0.30991996539043909"/>
    <m/>
    <m/>
    <m/>
    <x v="6"/>
    <d v="2026-03-15T00:00:00"/>
    <m/>
    <n v="0.44"/>
    <n v="39.6"/>
    <d v="2026-03-26T00:00:00"/>
    <n v="52"/>
    <d v="2026-03-26T00:00:00"/>
    <m/>
    <m/>
    <n v="-46107"/>
    <m/>
    <m/>
    <m/>
    <m/>
  </r>
  <r>
    <n v="153"/>
    <m/>
    <s v="W06002"/>
    <s v="FBA196ZQYZK7"/>
    <s v="E-US"/>
    <x v="0"/>
    <s v="ANZKIT-B_4X10K04_TZ"/>
    <n v="210"/>
    <s v="嘀嗒嘀"/>
    <x v="0"/>
    <x v="7"/>
    <s v="ANZKIT-B_4X10K04_TZ"/>
    <s v="ANZKIT-B_4X10K04_TZ ANZ黑色机器+4x10mL酒店（天竺）香氛油 机油套装"/>
    <s v="ANZ"/>
    <n v="7"/>
    <n v="116.89999999999999"/>
    <x v="0"/>
    <n v="3.6"/>
    <m/>
    <n v="15.217391304347826"/>
    <n v="436.05739130434779"/>
    <n v="2.0764637681159419"/>
    <n v="0.30991996539043909"/>
    <m/>
    <m/>
    <m/>
    <x v="6"/>
    <d v="2026-03-15T00:00:00"/>
    <m/>
    <n v="0.44"/>
    <n v="92.4"/>
    <d v="2026-03-26T00:00:00"/>
    <n v="52"/>
    <d v="2026-03-26T00:00:00"/>
    <m/>
    <m/>
    <n v="-46107"/>
    <m/>
    <m/>
    <m/>
    <m/>
  </r>
  <r>
    <n v="154"/>
    <m/>
    <s v="W06003"/>
    <s v="FBA15LD5H4FM"/>
    <s v="W-DE"/>
    <x v="1"/>
    <s v="001000019"/>
    <n v="120"/>
    <s v="嘀嗒嘀"/>
    <x v="4"/>
    <x v="21"/>
    <s v="AN6-B"/>
    <s v="AN6-B 便携式扩香仪 黑色"/>
    <s v="AN6"/>
    <n v="3"/>
    <n v="41.307692307692307"/>
    <x v="0"/>
    <n v="7.3"/>
    <n v="250"/>
    <n v="57.692307692307693"/>
    <n v="359.23846153846154"/>
    <n v="2.9936538461538462"/>
    <n v="0.44681400688863376"/>
    <m/>
    <m/>
    <m/>
    <x v="6"/>
    <d v="2026-03-22T00:00:00"/>
    <m/>
    <n v="0"/>
    <n v="0"/>
    <d v="2026-04-07T00:00:00"/>
    <n v="64"/>
    <d v="2026-04-07T00:00:00"/>
    <m/>
    <m/>
    <n v="-46119"/>
    <m/>
    <m/>
    <m/>
    <m/>
  </r>
  <r>
    <n v="155"/>
    <m/>
    <s v="W06003"/>
    <s v="FBA15LD5H4FM"/>
    <s v="W-DE"/>
    <x v="1"/>
    <s v="001000039"/>
    <n v="200"/>
    <s v="嘀嗒嘀"/>
    <x v="4"/>
    <x v="21"/>
    <s v="AN6-GL"/>
    <s v="AN6-GL 便携式扩香仪 翠百合色"/>
    <s v="AN6"/>
    <n v="5"/>
    <n v="68.846153846153854"/>
    <x v="0"/>
    <n v="7.3"/>
    <n v="250.00000000000003"/>
    <n v="96.15384615384616"/>
    <n v="598.73076923076928"/>
    <n v="2.9936538461538462"/>
    <n v="0.44681400688863376"/>
    <m/>
    <m/>
    <m/>
    <x v="6"/>
    <d v="2026-03-22T00:00:00"/>
    <m/>
    <n v="0"/>
    <n v="0"/>
    <d v="2026-04-07T00:00:00"/>
    <n v="64"/>
    <d v="2026-04-07T00:00:00"/>
    <m/>
    <m/>
    <n v="-46119"/>
    <m/>
    <m/>
    <m/>
    <m/>
  </r>
  <r>
    <n v="156"/>
    <m/>
    <s v="W06003"/>
    <s v="FBA15LD5H4FM"/>
    <s v="W-DE"/>
    <x v="1"/>
    <s v="001000020"/>
    <n v="200"/>
    <s v="嘀嗒嘀"/>
    <x v="4"/>
    <x v="21"/>
    <s v="AN6-W"/>
    <s v="AN6-W 便携式扩香仪 白色"/>
    <s v="AN6"/>
    <n v="5"/>
    <n v="68.846153846153854"/>
    <x v="0"/>
    <n v="7.3"/>
    <m/>
    <n v="96.15384615384616"/>
    <n v="598.73076923076928"/>
    <n v="2.9936538461538462"/>
    <n v="0.44681400688863376"/>
    <m/>
    <m/>
    <m/>
    <x v="6"/>
    <d v="2026-03-22T00:00:00"/>
    <m/>
    <n v="0"/>
    <n v="0"/>
    <d v="2026-04-07T00:00:00"/>
    <n v="64"/>
    <d v="2026-04-07T00:00:00"/>
    <m/>
    <m/>
    <n v="-46119"/>
    <m/>
    <m/>
    <m/>
    <m/>
  </r>
  <r>
    <n v="157"/>
    <s v="不包提货（报关费400+战争附加费120+头程费516.08）"/>
    <s v="W06001"/>
    <s v="FBA15LD5WXF3"/>
    <s v="E-AE"/>
    <x v="5"/>
    <s v="001000019"/>
    <n v="280"/>
    <s v="亦邦物流"/>
    <x v="10"/>
    <x v="22"/>
    <s v="AN6-B"/>
    <s v="AN6-B 便携式扩香仪 黑色"/>
    <s v="AN6"/>
    <n v="7"/>
    <n v="0.38181818181818178"/>
    <x v="1"/>
    <n v="740"/>
    <n v="1036.08"/>
    <n v="659.3236363636363"/>
    <n v="941.8690909090908"/>
    <n v="3.3638181818181816"/>
    <n v="0.50206241519674355"/>
    <m/>
    <m/>
    <m/>
    <x v="6"/>
    <d v="2026-02-26T00:00:00"/>
    <m/>
    <n v="0"/>
    <n v="0"/>
    <m/>
    <n v="-46055"/>
    <m/>
    <m/>
    <m/>
    <n v="0"/>
    <m/>
    <m/>
    <m/>
    <m/>
  </r>
  <r>
    <n v="158"/>
    <s v="不包提货（报关费400+战争附加费120+头程费516.08）"/>
    <s v="W06001"/>
    <s v="FBA15LD5WXF3"/>
    <s v="E-AE"/>
    <x v="5"/>
    <s v="001000020"/>
    <n v="40"/>
    <s v="亦邦物流"/>
    <x v="10"/>
    <x v="22"/>
    <s v="AN6-W"/>
    <s v="AN6-W 便携式扩香仪 白色"/>
    <s v="AN6"/>
    <n v="1"/>
    <n v="0.05"/>
    <x v="1"/>
    <n v="740"/>
    <n v="1036.08"/>
    <n v="94.189090909090908"/>
    <n v="131.18909090909091"/>
    <n v="3.2797272727272726"/>
    <n v="0.4895115332428765"/>
    <m/>
    <m/>
    <m/>
    <x v="6"/>
    <d v="2026-02-26T00:00:00"/>
    <m/>
    <n v="0"/>
    <n v="0"/>
    <m/>
    <n v="-46055"/>
    <m/>
    <m/>
    <m/>
    <n v="0"/>
    <m/>
    <m/>
    <m/>
    <m/>
  </r>
  <r>
    <n v="159"/>
    <s v="不包提货（报关费400+战争附加费120+头程费516.08）"/>
    <s v="W06001"/>
    <s v="FBA15LD5WXF3"/>
    <s v="E-AE"/>
    <x v="5"/>
    <s v="001000045"/>
    <n v="90"/>
    <s v="亦邦物流"/>
    <x v="10"/>
    <x v="22"/>
    <s v="ANX-B"/>
    <s v="ANX-B 便携式扩香仪 黑色"/>
    <s v="ANX"/>
    <n v="3"/>
    <n v="0.16363636363636364"/>
    <x v="1"/>
    <n v="740"/>
    <m/>
    <n v="282.56727272727272"/>
    <n v="403.65818181818179"/>
    <n v="4.4850909090909088"/>
    <n v="0.66941655359565799"/>
    <m/>
    <m/>
    <m/>
    <x v="6"/>
    <d v="2026-02-26T00:00:00"/>
    <m/>
    <n v="0"/>
    <n v="0"/>
    <m/>
    <n v="-46055"/>
    <m/>
    <m/>
    <m/>
    <n v="0"/>
    <m/>
    <m/>
    <m/>
    <m/>
  </r>
  <r>
    <n v="160"/>
    <m/>
    <s v="W06002"/>
    <s v="FBA196ZPM7XN"/>
    <s v="V-US"/>
    <x v="0"/>
    <s v="AN8KIT-B_B_2X30K02"/>
    <n v="60"/>
    <s v="嘀嗒嘀"/>
    <x v="0"/>
    <x v="1"/>
    <s v="AN8KIT-B_B_2X30K02"/>
    <s v="AN8KIT-B_B_2X30K02 AN8黑色机器两个装+2X30mL香氛油（天竺） 机油套装"/>
    <s v="AN8"/>
    <n v="3"/>
    <n v="40.280769230769238"/>
    <x v="0"/>
    <n v="3.5"/>
    <m/>
    <n v="6.5217391304347823"/>
    <n v="147.50443143812711"/>
    <n v="2.4584071906354521"/>
    <n v="0.3669264463635003"/>
    <m/>
    <m/>
    <m/>
    <x v="6"/>
    <d v="2026-03-15T00:00:00"/>
    <m/>
    <n v="0.45999999999999996"/>
    <n v="27.599999999999998"/>
    <d v="2026-04-04T00:00:00"/>
    <n v="61"/>
    <d v="2026-04-04T00:00:00"/>
    <m/>
    <m/>
    <n v="-46116"/>
    <m/>
    <m/>
    <m/>
    <m/>
  </r>
  <r>
    <n v="161"/>
    <m/>
    <s v="W06002"/>
    <s v="FBA196ZPM7XN"/>
    <s v="V-US"/>
    <x v="0"/>
    <s v="AN8KIT-B_4X10K01"/>
    <n v="300"/>
    <s v="嘀嗒嘀"/>
    <x v="0"/>
    <x v="1"/>
    <s v="AN8KIT-B_4X10K01"/>
    <s v="AN8KIT-B_4X10K01 AN8黑色机器+4x10mL酒店香氛油 机油套装"/>
    <s v="AN8"/>
    <n v="10"/>
    <n v="134.26923076923077"/>
    <x v="0"/>
    <n v="3.5"/>
    <m/>
    <n v="21.739130434782609"/>
    <n v="491.68143812709036"/>
    <n v="1.6389381270903012"/>
    <n v="0.24461763090900016"/>
    <m/>
    <m/>
    <m/>
    <x v="6"/>
    <d v="2026-03-15T00:00:00"/>
    <m/>
    <n v="0.45999999999999996"/>
    <n v="138"/>
    <d v="2026-04-04T00:00:00"/>
    <n v="61"/>
    <d v="2026-04-04T00:00:00"/>
    <m/>
    <m/>
    <n v="-46116"/>
    <m/>
    <m/>
    <m/>
    <m/>
  </r>
  <r>
    <n v="162"/>
    <m/>
    <s v="W06002"/>
    <s v="FBA196ZJWR8P"/>
    <s v="V-US"/>
    <x v="0"/>
    <s v="AN8KIT-B_B"/>
    <n v="120"/>
    <s v="嘀嗒嘀"/>
    <x v="0"/>
    <x v="1"/>
    <s v="AN8KIT-B_B"/>
    <s v="AN8KIT-B_B 便携式扩香仪套装 黑+黑"/>
    <s v="AN8"/>
    <n v="6"/>
    <n v="80.56"/>
    <x v="0"/>
    <n v="3.5"/>
    <m/>
    <n v="13.043478260869565"/>
    <n v="295.0034782608696"/>
    <n v="2.4583623188405799"/>
    <n v="0.36691974908068353"/>
    <m/>
    <m/>
    <m/>
    <x v="6"/>
    <d v="2026-03-15T00:00:00"/>
    <m/>
    <n v="0.38666666666666666"/>
    <n v="46.4"/>
    <d v="2026-04-04T00:00:00"/>
    <n v="61"/>
    <d v="2026-04-04T00:00:00"/>
    <m/>
    <m/>
    <n v="-46116"/>
    <m/>
    <m/>
    <m/>
    <m/>
  </r>
  <r>
    <n v="163"/>
    <m/>
    <s v="W06002"/>
    <s v="FBA196ZJWR8P"/>
    <s v="V-US"/>
    <x v="0"/>
    <s v="AN8-WH"/>
    <n v="240"/>
    <s v="嘀嗒嘀"/>
    <x v="0"/>
    <x v="1"/>
    <s v="AN8-WH"/>
    <s v="AN8-WH 便携式扩香仪 白色"/>
    <s v="AN8"/>
    <n v="6"/>
    <n v="80.56"/>
    <x v="0"/>
    <n v="3.5"/>
    <m/>
    <n v="13.043478260869565"/>
    <n v="295.0034782608696"/>
    <n v="1.2291811594202899"/>
    <n v="0.18345987454034177"/>
    <m/>
    <m/>
    <m/>
    <x v="6"/>
    <d v="2026-03-15T00:00:00"/>
    <m/>
    <n v="0.38666666666666666"/>
    <n v="92.8"/>
    <d v="2026-04-04T00:00:00"/>
    <n v="61"/>
    <d v="2026-04-04T00:00:00"/>
    <m/>
    <m/>
    <n v="-46116"/>
    <m/>
    <m/>
    <m/>
    <m/>
  </r>
  <r>
    <n v="164"/>
    <m/>
    <s v="W06011"/>
    <s v="FBA197DXB0VL"/>
    <s v="W-US"/>
    <x v="0"/>
    <s v="002000027"/>
    <n v="240"/>
    <s v="万邦"/>
    <x v="0"/>
    <x v="23"/>
    <s v="M1-B"/>
    <s v="M1-B 电子球形把手锁 黑色"/>
    <s v="M1"/>
    <n v="15"/>
    <n v="223.63636363636363"/>
    <x v="0"/>
    <n v="3.3"/>
    <n v="200"/>
    <n v="38.961038961038959"/>
    <n v="776.96103896103887"/>
    <n v="3.2373376623376617"/>
    <n v="0.48318472572203908"/>
    <m/>
    <m/>
    <m/>
    <x v="7"/>
    <d v="2026-03-04T00:00:00"/>
    <m/>
    <n v="0.55999999999999994"/>
    <n v="134.39999999999998"/>
    <d v="2026-03-11T00:00:00"/>
    <n v="33"/>
    <d v="2026-03-11T00:00:00"/>
    <m/>
    <m/>
    <n v="-46092"/>
    <m/>
    <m/>
    <m/>
    <m/>
  </r>
  <r>
    <n v="165"/>
    <m/>
    <s v="W06011"/>
    <s v="FBA197DXB0VL"/>
    <s v="W-US"/>
    <x v="0"/>
    <s v="002000037"/>
    <n v="176"/>
    <s v="万邦"/>
    <x v="0"/>
    <x v="23"/>
    <s v="M1-SILV"/>
    <s v="M1-SILV 电子球形把手锁 银色"/>
    <s v="M1"/>
    <n v="11"/>
    <n v="164"/>
    <x v="0"/>
    <n v="3.3"/>
    <n v="200"/>
    <n v="28.571428571428573"/>
    <n v="569.77142857142849"/>
    <n v="3.2373376623376617"/>
    <n v="0.48318472572203908"/>
    <m/>
    <m/>
    <m/>
    <x v="7"/>
    <d v="2026-03-04T00:00:00"/>
    <m/>
    <n v="0.55999999999999994"/>
    <n v="98.559999999999988"/>
    <d v="2026-03-11T00:00:00"/>
    <n v="33"/>
    <d v="2026-03-11T00:00:00"/>
    <m/>
    <m/>
    <n v="-46092"/>
    <m/>
    <m/>
    <m/>
    <m/>
  </r>
  <r>
    <n v="166"/>
    <m/>
    <s v="W06011"/>
    <s v="FBA197DXB0VL"/>
    <s v="W-US"/>
    <x v="0"/>
    <s v="002000029"/>
    <n v="304"/>
    <s v="万邦"/>
    <x v="0"/>
    <x v="23"/>
    <s v="MD1-B"/>
    <s v="MD1-B 电子球形把手锁 指纹 黑色"/>
    <s v="MD1"/>
    <n v="19"/>
    <n v="283.27272727272725"/>
    <x v="0"/>
    <n v="3.3"/>
    <m/>
    <n v="49.350649350649348"/>
    <n v="984.15064935064925"/>
    <n v="3.2373376623376622"/>
    <n v="0.48318472572203913"/>
    <m/>
    <m/>
    <m/>
    <x v="7"/>
    <d v="2026-03-04T00:00:00"/>
    <m/>
    <n v="0.55999999999999994"/>
    <n v="170.23999999999998"/>
    <d v="2026-03-11T00:00:00"/>
    <n v="33"/>
    <d v="2026-03-11T00:00:00"/>
    <m/>
    <m/>
    <n v="-46092"/>
    <m/>
    <m/>
    <m/>
    <m/>
  </r>
  <r>
    <n v="167"/>
    <m/>
    <s v="W06011"/>
    <s v="FBA197DXB0VL"/>
    <s v="W-US"/>
    <x v="0"/>
    <s v="002000038"/>
    <n v="256"/>
    <s v="万邦"/>
    <x v="0"/>
    <x v="23"/>
    <s v="MD1-SILV"/>
    <s v="MD1-SILV 电子球形把手锁 指纹 银色"/>
    <s v="MD1"/>
    <n v="16"/>
    <n v="238.54545454545453"/>
    <x v="0"/>
    <n v="3.3"/>
    <m/>
    <n v="41.558441558441558"/>
    <n v="828.75844155844152"/>
    <n v="3.2373376623376622"/>
    <n v="0.48318472572203913"/>
    <m/>
    <m/>
    <m/>
    <x v="7"/>
    <d v="2026-03-04T00:00:00"/>
    <m/>
    <n v="0.55999999999999994"/>
    <n v="143.35999999999999"/>
    <d v="2026-03-11T00:00:00"/>
    <n v="33"/>
    <d v="2026-03-11T00:00:00"/>
    <m/>
    <m/>
    <n v="-46092"/>
    <m/>
    <m/>
    <m/>
    <m/>
  </r>
  <r>
    <n v="168"/>
    <m/>
    <s v="W06011"/>
    <s v="FBA197DXB0VL"/>
    <s v="W-US"/>
    <x v="0"/>
    <s v="002000031"/>
    <n v="208"/>
    <s v="万邦"/>
    <x v="0"/>
    <x v="23"/>
    <s v="MK1-B"/>
    <s v="MK1-B 智能球形把手锁 黑色"/>
    <s v="MK1"/>
    <n v="13"/>
    <n v="193.81818181818181"/>
    <x v="0"/>
    <n v="3.3"/>
    <m/>
    <n v="33.766233766233768"/>
    <n v="673.36623376623368"/>
    <n v="3.2373376623376617"/>
    <n v="0.48318472572203908"/>
    <m/>
    <m/>
    <m/>
    <x v="7"/>
    <d v="2026-03-04T00:00:00"/>
    <m/>
    <n v="0.55999999999999994"/>
    <n v="116.47999999999999"/>
    <d v="2026-03-11T00:00:00"/>
    <n v="33"/>
    <d v="2026-03-11T00:00:00"/>
    <m/>
    <m/>
    <n v="-46092"/>
    <m/>
    <m/>
    <m/>
    <m/>
  </r>
  <r>
    <n v="169"/>
    <m/>
    <s v="W06011"/>
    <s v="FBA197DXB0VL"/>
    <s v="W-US"/>
    <x v="0"/>
    <s v="002000033"/>
    <n v="32"/>
    <s v="万邦"/>
    <x v="0"/>
    <x v="23"/>
    <s v="MK1-SILV"/>
    <s v="MK1-SILV 智能球形把手锁 银色"/>
    <s v="MK1"/>
    <n v="2"/>
    <n v="29.818181818181817"/>
    <x v="0"/>
    <n v="3.3"/>
    <m/>
    <n v="5.1948051948051948"/>
    <n v="103.59480519480519"/>
    <n v="3.2373376623376622"/>
    <n v="0.48318472572203913"/>
    <m/>
    <m/>
    <m/>
    <x v="7"/>
    <d v="2026-03-04T00:00:00"/>
    <m/>
    <n v="0.55999999999999994"/>
    <n v="17.919999999999998"/>
    <d v="2026-03-11T00:00:00"/>
    <n v="33"/>
    <d v="2026-03-11T00:00:00"/>
    <m/>
    <m/>
    <n v="-46092"/>
    <m/>
    <m/>
    <m/>
    <m/>
  </r>
  <r>
    <n v="170"/>
    <m/>
    <s v="W06011"/>
    <s v="FBA197DXB0VL"/>
    <s v="W-US"/>
    <x v="0"/>
    <s v="002000032"/>
    <n v="16"/>
    <s v="万邦"/>
    <x v="0"/>
    <x v="23"/>
    <s v="MK1-T"/>
    <s v="MK1-T 智能球形把手锁 钛色"/>
    <s v="MK1"/>
    <n v="1"/>
    <n v="14.909090909090908"/>
    <x v="0"/>
    <n v="3.3"/>
    <m/>
    <n v="2.5974025974025974"/>
    <n v="51.797402597402595"/>
    <n v="3.2373376623376622"/>
    <n v="0.48318472572203913"/>
    <m/>
    <m/>
    <m/>
    <x v="7"/>
    <d v="2026-03-04T00:00:00"/>
    <m/>
    <n v="0.55999999999999994"/>
    <n v="8.9599999999999991"/>
    <d v="2026-03-11T00:00:00"/>
    <n v="33"/>
    <d v="2026-03-11T00:00:00"/>
    <m/>
    <m/>
    <n v="-46092"/>
    <m/>
    <m/>
    <m/>
    <m/>
  </r>
  <r>
    <n v="171"/>
    <m/>
    <s v="W06010"/>
    <s v="FBA1976WKL4D"/>
    <s v="W-US"/>
    <x v="0"/>
    <s v="G1-DT"/>
    <n v="144"/>
    <s v="万邦"/>
    <x v="0"/>
    <x v="5"/>
    <s v="G1-DT"/>
    <s v="G1-DT 电子球形把手锁 沙漠钛色"/>
    <s v="G1"/>
    <n v="9"/>
    <n v="121.5"/>
    <x v="0"/>
    <n v="3"/>
    <n v="200"/>
    <n v="100"/>
    <n v="464.5"/>
    <n v="3.2256944444444446"/>
    <n v="0.48144693200663352"/>
    <m/>
    <m/>
    <m/>
    <x v="7"/>
    <d v="2026-03-01T00:00:00"/>
    <m/>
    <n v="0.56000000000000005"/>
    <n v="80.640000000000015"/>
    <d v="2026-03-13T00:00:00"/>
    <n v="35"/>
    <d v="2026-03-13T00:00:00"/>
    <m/>
    <m/>
    <n v="-46094"/>
    <m/>
    <m/>
    <m/>
    <m/>
  </r>
  <r>
    <n v="172"/>
    <m/>
    <s v="W06010"/>
    <s v="FBA1976WKL4D"/>
    <s v="W-US"/>
    <x v="0"/>
    <s v="G1-SILV"/>
    <n v="144"/>
    <s v="万邦"/>
    <x v="0"/>
    <x v="5"/>
    <s v="G1-SILV"/>
    <s v="G1-SILV 电子球形把手锁 银色"/>
    <s v="G1"/>
    <n v="9"/>
    <n v="121.5"/>
    <x v="0"/>
    <n v="3"/>
    <n v="200"/>
    <n v="100"/>
    <n v="464.5"/>
    <n v="3.2256944444444446"/>
    <n v="0.48144693200663352"/>
    <m/>
    <m/>
    <m/>
    <x v="7"/>
    <d v="2026-03-01T00:00:00"/>
    <m/>
    <n v="0.56000000000000005"/>
    <n v="80.640000000000015"/>
    <d v="2026-03-13T00:00:00"/>
    <n v="35"/>
    <d v="2026-03-13T00:00:00"/>
    <m/>
    <m/>
    <n v="-46094"/>
    <m/>
    <m/>
    <m/>
    <m/>
  </r>
  <r>
    <n v="173"/>
    <m/>
    <s v="W06004"/>
    <s v="FBA1976LX63R"/>
    <s v="E-US"/>
    <x v="0"/>
    <s v="003000014"/>
    <n v="80"/>
    <s v="万邦"/>
    <x v="8"/>
    <x v="24"/>
    <s v="AP2US-H14"/>
    <s v="AP2US-H14 内置H14滤网桌面式空气净化器2-美规"/>
    <s v="AP2"/>
    <n v="20"/>
    <n v="476"/>
    <x v="0"/>
    <n v="4.9000000000000004"/>
    <n v="200"/>
    <n v="200"/>
    <n v="2532.4"/>
    <n v="31.655000000000001"/>
    <n v="4.7246268656716417"/>
    <m/>
    <m/>
    <m/>
    <x v="8"/>
    <d v="2026-03-17T00:00:00"/>
    <m/>
    <n v="0"/>
    <n v="0"/>
    <d v="2026-03-26T00:00:00"/>
    <n v="51"/>
    <d v="2026-03-26T00:00:00"/>
    <d v="2026-03-30T00:00:00"/>
    <n v="80"/>
    <n v="4"/>
    <m/>
    <m/>
    <m/>
    <m/>
  </r>
  <r>
    <n v="174"/>
    <m/>
    <s v="W06005"/>
    <s v="FBA1976MP8CY"/>
    <s v="E-US"/>
    <x v="0"/>
    <s v="003000014"/>
    <n v="80"/>
    <s v="万邦"/>
    <x v="0"/>
    <x v="25"/>
    <s v="AP2US-H14"/>
    <s v="AP2US-H14 内置H14滤网桌面式空气净化器2-美规"/>
    <s v="AP2"/>
    <n v="20"/>
    <n v="474"/>
    <x v="0"/>
    <n v="4.7"/>
    <n v="200"/>
    <n v="200"/>
    <n v="2427.8000000000002"/>
    <n v="30.347500000000004"/>
    <n v="4.5294776119402993"/>
    <m/>
    <m/>
    <m/>
    <x v="8"/>
    <d v="2026-03-21T00:00:00"/>
    <m/>
    <n v="0"/>
    <n v="0"/>
    <d v="2026-03-30T00:00:00"/>
    <n v="55"/>
    <d v="2026-03-30T00:00:00"/>
    <d v="2026-03-31T00:00:00"/>
    <n v="80"/>
    <n v="1"/>
    <m/>
    <m/>
    <m/>
    <m/>
  </r>
  <r>
    <n v="175"/>
    <m/>
    <s v="W06006"/>
    <s v="FBA1976N1PRR"/>
    <s v="E-US"/>
    <x v="0"/>
    <s v="003000014"/>
    <n v="80"/>
    <s v="万邦"/>
    <x v="8"/>
    <x v="26"/>
    <s v="AP2US-H14"/>
    <s v="AP2US-H14 内置H14滤网桌面式空气净化器2-美规"/>
    <s v="AP2"/>
    <n v="20"/>
    <n v="478"/>
    <x v="0"/>
    <n v="4.4000000000000004"/>
    <n v="200"/>
    <n v="200"/>
    <n v="2303.2000000000003"/>
    <n v="28.790000000000003"/>
    <n v="4.2970149253731345"/>
    <m/>
    <m/>
    <m/>
    <x v="8"/>
    <d v="2026-03-04T00:00:00"/>
    <m/>
    <n v="0"/>
    <n v="0"/>
    <d v="2026-03-29T00:00:00"/>
    <n v="54"/>
    <d v="2026-03-29T00:00:00"/>
    <d v="2026-04-09T00:00:00"/>
    <n v="80"/>
    <n v="11"/>
    <m/>
    <m/>
    <m/>
    <m/>
  </r>
  <r>
    <n v="176"/>
    <m/>
    <s v="W06007"/>
    <s v="FBA1976NHDF8"/>
    <s v="E-US"/>
    <x v="0"/>
    <s v="003000014"/>
    <n v="80"/>
    <s v="嘀嗒嘀"/>
    <x v="9"/>
    <x v="27"/>
    <s v="AP2US-H14"/>
    <s v="AP2US-H14 内置H14滤网桌面式空气净化器2-美规"/>
    <s v="AP2"/>
    <n v="20"/>
    <n v="474"/>
    <x v="0"/>
    <n v="6"/>
    <n v="200"/>
    <n v="200"/>
    <n v="3044"/>
    <n v="38.049999999999997"/>
    <n v="5.6791044776119399"/>
    <m/>
    <m/>
    <m/>
    <x v="8"/>
    <d v="2026-04-07T00:00:00"/>
    <m/>
    <n v="0"/>
    <n v="0"/>
    <m/>
    <n v="-46056"/>
    <m/>
    <m/>
    <m/>
    <n v="0"/>
    <m/>
    <m/>
    <m/>
    <m/>
  </r>
  <r>
    <n v="177"/>
    <m/>
    <s v="W06008"/>
    <s v="FBA1976MCGX6"/>
    <s v="E-US"/>
    <x v="0"/>
    <s v="003000014"/>
    <n v="80"/>
    <s v="万邦"/>
    <x v="11"/>
    <x v="28"/>
    <s v="AP2US-H14"/>
    <s v="AP2US-H14 内置H14滤网桌面式空气净化器2-美规"/>
    <s v="AP2"/>
    <n v="20"/>
    <n v="474"/>
    <x v="0"/>
    <n v="5.7"/>
    <n v="200"/>
    <n v="200"/>
    <n v="2901.8"/>
    <n v="36.272500000000001"/>
    <n v="5.4138059701492534"/>
    <m/>
    <m/>
    <m/>
    <x v="8"/>
    <d v="2026-03-14T00:00:00"/>
    <m/>
    <n v="0"/>
    <n v="0"/>
    <d v="2026-03-27T00:00:00"/>
    <n v="52"/>
    <d v="2026-03-27T00:00:00"/>
    <d v="2026-03-27T00:00:00"/>
    <n v="80"/>
    <n v="0"/>
    <m/>
    <m/>
    <m/>
    <m/>
  </r>
  <r>
    <n v="178"/>
    <m/>
    <s v="W06009"/>
    <s v="FBA197D77P3S"/>
    <s v="W-US"/>
    <x v="0"/>
    <s v="002000031"/>
    <n v="160"/>
    <s v="万邦"/>
    <x v="11"/>
    <x v="23"/>
    <s v="MK1-B"/>
    <s v="MK1-B 智能球形把手锁 黑色"/>
    <s v="MK1"/>
    <n v="10"/>
    <n v="142"/>
    <x v="0"/>
    <n v="9.5"/>
    <n v="200"/>
    <n v="200"/>
    <n v="1549"/>
    <n v="9.6812500000000004"/>
    <n v="1.4449626865671641"/>
    <m/>
    <m/>
    <m/>
    <x v="7"/>
    <d v="2026-02-22T00:00:00"/>
    <m/>
    <n v="0.55999999999999994"/>
    <n v="89.6"/>
    <d v="2026-03-11T00:00:00"/>
    <n v="33"/>
    <d v="2026-03-11T00:00:00"/>
    <m/>
    <m/>
    <n v="-46092"/>
    <m/>
    <m/>
    <m/>
    <m/>
  </r>
  <r>
    <n v="179"/>
    <m/>
    <s v="W10001"/>
    <s v="FBA1987594KP"/>
    <s v="E-US"/>
    <x v="0"/>
    <s v="ANZ-B"/>
    <n v="200"/>
    <s v="嘀嗒嘀"/>
    <x v="0"/>
    <x v="1"/>
    <s v="ANZ-B"/>
    <s v="ANZ-B 便携式扩香仪 黑色"/>
    <s v="ANZ"/>
    <n v="5"/>
    <n v="73.849999999999994"/>
    <x v="0"/>
    <n v="3.3"/>
    <n v="200"/>
    <n v="7.1942446043165464"/>
    <n v="250.89924460431649"/>
    <n v="1.2544962230215824"/>
    <n v="0.1872382422420272"/>
    <m/>
    <m/>
    <m/>
    <x v="9"/>
    <d v="2026-03-28T00:00:00"/>
    <m/>
    <n v="0.36"/>
    <n v="72"/>
    <d v="2026-04-04T00:00:00"/>
    <n v="29"/>
    <d v="2026-04-04T00:00:00"/>
    <m/>
    <m/>
    <n v="-46116"/>
    <m/>
    <m/>
    <m/>
    <m/>
  </r>
  <r>
    <n v="180"/>
    <m/>
    <s v="W10003"/>
    <s v="FBA198F648V6"/>
    <s v="E-US"/>
    <x v="0"/>
    <s v="ANZ-B"/>
    <n v="600"/>
    <s v="嘀嗒嘀"/>
    <x v="6"/>
    <x v="1"/>
    <s v="ANZ-B"/>
    <s v="ANZ-B 便携式扩香仪 黑色"/>
    <s v="ANZ"/>
    <n v="15"/>
    <n v="202"/>
    <x v="0"/>
    <n v="4.2"/>
    <n v="200"/>
    <n v="200"/>
    <n v="1048.4000000000001"/>
    <n v="1.7473333333333334"/>
    <n v="0.2607960199004975"/>
    <m/>
    <m/>
    <m/>
    <x v="9"/>
    <d v="2026-03-25T00:00:00"/>
    <m/>
    <n v="0.36"/>
    <n v="216"/>
    <d v="2026-04-04T00:00:00"/>
    <n v="29"/>
    <d v="2026-04-04T00:00:00"/>
    <m/>
    <m/>
    <n v="-46116"/>
    <m/>
    <m/>
    <m/>
    <m/>
  </r>
  <r>
    <n v="181"/>
    <m/>
    <s v="W10001"/>
    <s v="FBA198CCWL4Q"/>
    <s v="V-US"/>
    <x v="0"/>
    <s v="001000019"/>
    <n v="800"/>
    <s v="嘀嗒嘀"/>
    <x v="0"/>
    <x v="1"/>
    <s v="AN6-B"/>
    <s v="AN6-B 便携式扩香仪 黑色"/>
    <s v="AN6"/>
    <n v="20"/>
    <n v="295.39555555555557"/>
    <x v="0"/>
    <n v="3.3"/>
    <m/>
    <n v="28.776978417266186"/>
    <n v="1003.5823117505995"/>
    <n v="1.2544778896882494"/>
    <n v="0.18723550592361929"/>
    <m/>
    <m/>
    <m/>
    <x v="9"/>
    <d v="2026-03-28T00:00:00"/>
    <m/>
    <n v="0.3721518987341772"/>
    <n v="297.72151898734177"/>
    <d v="2026-04-04T00:00:00"/>
    <n v="29"/>
    <d v="2026-04-04T00:00:00"/>
    <m/>
    <m/>
    <n v="-46116"/>
    <m/>
    <m/>
    <m/>
    <m/>
  </r>
  <r>
    <n v="182"/>
    <m/>
    <s v="W10001"/>
    <s v="FBA198CCWL4Q"/>
    <s v="V-US"/>
    <x v="0"/>
    <s v="001000020"/>
    <n v="480"/>
    <s v="嘀嗒嘀"/>
    <x v="0"/>
    <x v="1"/>
    <s v="AN6-W"/>
    <s v="AN6-W 便携式扩香仪 白色"/>
    <s v="AN6"/>
    <n v="12"/>
    <n v="177.23733333333334"/>
    <x v="0"/>
    <n v="3.3"/>
    <m/>
    <n v="17.266187050359711"/>
    <n v="602.14938705035968"/>
    <n v="1.2544778896882494"/>
    <n v="0.18723550592361929"/>
    <m/>
    <m/>
    <m/>
    <x v="9"/>
    <d v="2026-03-28T00:00:00"/>
    <m/>
    <n v="0.3721518987341772"/>
    <n v="178.63291139240505"/>
    <d v="2026-04-04T00:00:00"/>
    <n v="29"/>
    <d v="2026-04-04T00:00:00"/>
    <m/>
    <m/>
    <n v="-46116"/>
    <m/>
    <m/>
    <m/>
    <m/>
  </r>
  <r>
    <n v="183"/>
    <m/>
    <s v="W10001"/>
    <s v="FBA198CCWL4Q"/>
    <s v="V-US"/>
    <x v="0"/>
    <s v="AN8KIT-B_B"/>
    <n v="240"/>
    <s v="嘀嗒嘀"/>
    <x v="0"/>
    <x v="1"/>
    <s v="AN8KIT-B_B"/>
    <s v="AN8KIT-B_B 便携式扩香仪套装 黑+黑"/>
    <s v="AN8"/>
    <n v="12"/>
    <n v="177.23733333333334"/>
    <x v="0"/>
    <n v="3.3"/>
    <m/>
    <n v="17.266187050359711"/>
    <n v="602.14938705035968"/>
    <n v="2.5089557793764987"/>
    <n v="0.37447101184723858"/>
    <m/>
    <m/>
    <m/>
    <x v="9"/>
    <d v="2026-03-28T00:00:00"/>
    <m/>
    <n v="0.3721518987341772"/>
    <n v="89.316455696202524"/>
    <d v="2026-04-04T00:00:00"/>
    <n v="29"/>
    <d v="2026-04-04T00:00:00"/>
    <m/>
    <m/>
    <n v="-46116"/>
    <m/>
    <m/>
    <m/>
    <m/>
  </r>
  <r>
    <n v="184"/>
    <m/>
    <s v="W10001"/>
    <s v="FBA198CCWL4Q"/>
    <s v="V-US"/>
    <x v="0"/>
    <s v="RD1PJ-BOT"/>
    <n v="60"/>
    <s v="嘀嗒嘀"/>
    <x v="0"/>
    <x v="1"/>
    <s v="RD1PJ-BOT"/>
    <s v="RD1PJ-BOT 便携式扩香仪100mL带盖替换玻璃瓶"/>
    <s v="RD1-AC"/>
    <n v="1"/>
    <n v="14.769777777777778"/>
    <x v="0"/>
    <n v="3.3"/>
    <m/>
    <n v="1.4388489208633093"/>
    <n v="50.179115587529971"/>
    <n v="0.8363185931254995"/>
    <n v="0.12482367061574619"/>
    <m/>
    <m/>
    <m/>
    <x v="9"/>
    <d v="2026-03-28T00:00:00"/>
    <m/>
    <n v="0.3721518987341772"/>
    <n v="22.329113924050631"/>
    <d v="2026-04-04T00:00:00"/>
    <n v="29"/>
    <d v="2026-04-04T00:00:00"/>
    <m/>
    <m/>
    <n v="-46116"/>
    <m/>
    <m/>
    <m/>
    <m/>
  </r>
  <r>
    <n v="185"/>
    <m/>
    <s v="W10001"/>
    <s v="FBA19873RZMP"/>
    <s v="V-US"/>
    <x v="0"/>
    <s v="AN6KIT-B_4X10ML"/>
    <n v="300"/>
    <s v="嘀嗒嘀"/>
    <x v="0"/>
    <x v="1"/>
    <s v="AN6KIT-B_4X10ML"/>
    <s v="AN6KIT-B_4X10ML AN6黑色机器+4x10mL香氛油（天竺） 机油套装"/>
    <s v="AN6"/>
    <n v="10"/>
    <n v="147.69753086419752"/>
    <x v="0"/>
    <n v="6"/>
    <m/>
    <n v="14.388489208633093"/>
    <n v="900.57367439381824"/>
    <n v="3.0019122479793943"/>
    <n v="0.44804660417602898"/>
    <m/>
    <m/>
    <m/>
    <x v="9"/>
    <d v="2026-03-28T00:00:00"/>
    <m/>
    <n v="0.44"/>
    <n v="132"/>
    <d v="2026-04-04T00:00:00"/>
    <n v="29"/>
    <m/>
    <m/>
    <m/>
    <n v="0"/>
    <m/>
    <m/>
    <m/>
    <m/>
  </r>
  <r>
    <n v="186"/>
    <m/>
    <s v="W10001"/>
    <s v="FBA19873RZMP"/>
    <s v="V-US"/>
    <x v="0"/>
    <s v="AN8KIT-B_4X10K01"/>
    <n v="1200"/>
    <s v="嘀嗒嘀"/>
    <x v="0"/>
    <x v="1"/>
    <s v="AN8KIT-B_4X10K01"/>
    <s v="AN8KIT-B_4X10K01 AN8黑色机器+4x10mL酒店香氛油 机油套装"/>
    <s v="AN8"/>
    <n v="40"/>
    <n v="590.79012345679007"/>
    <x v="0"/>
    <n v="6"/>
    <m/>
    <n v="57.553956834532372"/>
    <n v="3602.2946975752729"/>
    <n v="3.0019122479793943"/>
    <n v="0.44804660417602898"/>
    <m/>
    <m/>
    <m/>
    <x v="9"/>
    <d v="2026-03-28T00:00:00"/>
    <m/>
    <n v="0.44"/>
    <n v="528"/>
    <d v="2026-04-04T00:00:00"/>
    <n v="29"/>
    <m/>
    <m/>
    <m/>
    <n v="0"/>
    <m/>
    <m/>
    <m/>
    <m/>
  </r>
  <r>
    <n v="187"/>
    <m/>
    <s v="W10001"/>
    <s v="FBA19873RZMP"/>
    <s v="V-US"/>
    <x v="0"/>
    <s v="AN8KIT-WH_4X10K01"/>
    <n v="450"/>
    <s v="嘀嗒嘀"/>
    <x v="0"/>
    <x v="1"/>
    <s v="AN8KIT-WH_4X10K01"/>
    <s v="AN8KIT-WH_4X10K01 AN8白色机器+4x10mL酒店香氛油 机油套装"/>
    <s v="AN8"/>
    <n v="15"/>
    <n v="221.5462962962963"/>
    <x v="0"/>
    <n v="6"/>
    <m/>
    <n v="21.582733812949641"/>
    <n v="1350.8605115907276"/>
    <n v="3.0019122479793947"/>
    <n v="0.44804660417602904"/>
    <m/>
    <m/>
    <m/>
    <x v="9"/>
    <d v="2026-03-28T00:00:00"/>
    <m/>
    <n v="0.44"/>
    <n v="198"/>
    <d v="2026-04-04T00:00:00"/>
    <n v="29"/>
    <m/>
    <m/>
    <m/>
    <n v="0"/>
    <m/>
    <m/>
    <m/>
    <m/>
  </r>
  <r>
    <n v="188"/>
    <m/>
    <s v="W10001"/>
    <s v="FBA19873RZMP"/>
    <s v="V-US"/>
    <x v="0"/>
    <s v="RD1KIT-T_2X30K04"/>
    <n v="320"/>
    <s v="嘀嗒嘀"/>
    <x v="0"/>
    <x v="1"/>
    <s v="RD1KIT-T_2X30K04"/>
    <s v="RD1KIT-T_2X30K04 RD1沙漠钛色机器+2X30mL酒店香氛油 机油套装"/>
    <s v="RD1"/>
    <n v="16"/>
    <n v="236.31604938271605"/>
    <x v="0"/>
    <n v="6"/>
    <m/>
    <n v="23.021582733812949"/>
    <n v="1440.9178790301091"/>
    <n v="4.5028683719690914"/>
    <n v="0.6720699062640435"/>
    <m/>
    <m/>
    <m/>
    <x v="9"/>
    <d v="2026-03-28T00:00:00"/>
    <m/>
    <n v="0.44"/>
    <n v="140.80000000000001"/>
    <d v="2026-04-04T00:00:00"/>
    <n v="29"/>
    <m/>
    <m/>
    <m/>
    <n v="0"/>
    <m/>
    <m/>
    <m/>
    <m/>
  </r>
  <r>
    <n v="189"/>
    <m/>
    <s v="W10002"/>
    <s v="FBA198354HLL"/>
    <s v="V-CA"/>
    <x v="3"/>
    <s v="001000019"/>
    <n v="160"/>
    <s v="嘀嗒嘀"/>
    <x v="5"/>
    <x v="29"/>
    <s v="AN6-B"/>
    <s v="AN6-B 便携式扩香仪 黑色"/>
    <s v="AN6"/>
    <n v="4"/>
    <n v="54.8"/>
    <x v="0"/>
    <n v="3.3"/>
    <n v="200"/>
    <n v="80"/>
    <n v="260.83999999999997"/>
    <n v="1.6302499999999998"/>
    <n v="0.243320895522388"/>
    <m/>
    <m/>
    <m/>
    <x v="9"/>
    <d v="2026-04-09T00:00:00"/>
    <m/>
    <n v="0"/>
    <n v="0"/>
    <m/>
    <n v="-46087"/>
    <m/>
    <m/>
    <m/>
    <n v="0"/>
    <m/>
    <m/>
    <m/>
    <m/>
  </r>
  <r>
    <n v="190"/>
    <m/>
    <s v="W10002"/>
    <s v="FBA198354HLL"/>
    <s v="V-CA"/>
    <x v="3"/>
    <s v="001000020"/>
    <n v="200"/>
    <s v="嘀嗒嘀"/>
    <x v="5"/>
    <x v="29"/>
    <s v="AN6-W"/>
    <s v="AN6-W 便携式扩香仪 白色"/>
    <s v="AN6"/>
    <n v="5"/>
    <n v="68.5"/>
    <x v="0"/>
    <n v="3.3"/>
    <n v="200"/>
    <n v="100"/>
    <n v="326.04999999999995"/>
    <n v="1.6302499999999998"/>
    <n v="0.243320895522388"/>
    <m/>
    <m/>
    <m/>
    <x v="9"/>
    <d v="2026-04-09T00:00:00"/>
    <m/>
    <n v="0"/>
    <n v="0"/>
    <m/>
    <n v="-46087"/>
    <m/>
    <m/>
    <m/>
    <n v="0"/>
    <m/>
    <m/>
    <m/>
    <m/>
  </r>
  <r>
    <n v="191"/>
    <m/>
    <s v="W10002"/>
    <s v="FBA198354HLL"/>
    <s v="V-CA"/>
    <x v="3"/>
    <s v="001000021"/>
    <n v="150"/>
    <s v="嘀嗒嘀"/>
    <x v="5"/>
    <x v="29"/>
    <s v="AN6NZ-B"/>
    <s v="AN6NZ-B AN6喷嘴配件套装 黑色"/>
    <s v="AN6-AC"/>
    <n v="0.75"/>
    <n v="10.274999999999999"/>
    <x v="0"/>
    <n v="3.3"/>
    <m/>
    <n v="15"/>
    <n v="48.907499999999992"/>
    <n v="0.32604999999999995"/>
    <n v="4.8664179104477602E-2"/>
    <m/>
    <m/>
    <m/>
    <x v="9"/>
    <d v="2026-04-09T00:00:00"/>
    <m/>
    <n v="0"/>
    <n v="0"/>
    <m/>
    <n v="-46087"/>
    <m/>
    <m/>
    <m/>
    <n v="0"/>
    <m/>
    <m/>
    <m/>
    <m/>
  </r>
  <r>
    <n v="192"/>
    <m/>
    <s v="W10002"/>
    <s v="FBA198354HLL"/>
    <s v="V-CA"/>
    <x v="3"/>
    <s v="001000022"/>
    <n v="50"/>
    <s v="嘀嗒嘀"/>
    <x v="5"/>
    <x v="29"/>
    <s v="AN6NZ-W"/>
    <s v="AN6NZ-W AN6喷嘴配件套装 白色"/>
    <s v="AN6-AC"/>
    <n v="0.25"/>
    <n v="3.4249999999999998"/>
    <x v="0"/>
    <n v="3.3"/>
    <m/>
    <n v="5"/>
    <n v="16.302499999999998"/>
    <n v="0.32604999999999995"/>
    <n v="4.8664179104477602E-2"/>
    <m/>
    <m/>
    <m/>
    <x v="9"/>
    <d v="2026-04-09T00:00:00"/>
    <m/>
    <n v="0"/>
    <n v="0"/>
    <m/>
    <n v="-46087"/>
    <m/>
    <m/>
    <m/>
    <n v="0"/>
    <m/>
    <m/>
    <m/>
    <m/>
  </r>
  <r>
    <n v="193"/>
    <m/>
    <s v="W10001"/>
    <s v="FBA198F4S73Q"/>
    <s v="V-US"/>
    <x v="0"/>
    <s v="001000019"/>
    <n v="200"/>
    <s v="嘀嗒嘀"/>
    <x v="0"/>
    <x v="1"/>
    <s v="AN6-B"/>
    <s v="AN6-B 便携式扩香仪 黑色"/>
    <s v="AN6"/>
    <n v="5"/>
    <n v="73.849999999999994"/>
    <x v="0"/>
    <n v="3.3"/>
    <m/>
    <n v="7.1942446043165464"/>
    <n v="250.89924460431649"/>
    <n v="1.2544962230215824"/>
    <n v="0.1872382422420272"/>
    <m/>
    <m/>
    <m/>
    <x v="9"/>
    <d v="2026-03-28T00:00:00"/>
    <m/>
    <n v="0.36"/>
    <n v="72"/>
    <d v="2026-04-04T00:00:00"/>
    <n v="29"/>
    <d v="2026-04-04T00:00:00"/>
    <m/>
    <m/>
    <n v="-46116"/>
    <m/>
    <m/>
    <m/>
    <m/>
  </r>
  <r>
    <n v="194"/>
    <m/>
    <s v="W10001"/>
    <s v="FBA198F4S73Q"/>
    <s v="V-US"/>
    <x v="0"/>
    <s v="AN6-LV"/>
    <n v="120"/>
    <s v="嘀嗒嘀"/>
    <x v="0"/>
    <x v="1"/>
    <s v="AN6-LV"/>
    <s v="AN6-LV 便携式扩香仪 薰衣草"/>
    <s v="AN6"/>
    <n v="3"/>
    <n v="44.31"/>
    <x v="0"/>
    <n v="3.3"/>
    <m/>
    <n v="4.3165467625899279"/>
    <n v="150.53954676258994"/>
    <n v="1.2544962230215828"/>
    <n v="0.18723824224202729"/>
    <m/>
    <m/>
    <m/>
    <x v="9"/>
    <d v="2026-03-28T00:00:00"/>
    <m/>
    <n v="0.36"/>
    <n v="43.199999999999996"/>
    <d v="2026-04-04T00:00:00"/>
    <n v="29"/>
    <d v="2026-04-04T00:00:00"/>
    <m/>
    <m/>
    <n v="-46116"/>
    <m/>
    <m/>
    <m/>
    <m/>
  </r>
  <r>
    <n v="195"/>
    <m/>
    <s v="W11003"/>
    <s v="FBA198K79B9C"/>
    <s v="E-US"/>
    <x v="0"/>
    <s v="ANZ-B"/>
    <n v="400"/>
    <s v="嘀嗒嘀"/>
    <x v="11"/>
    <x v="23"/>
    <s v="ANZ-B"/>
    <s v="ANZ-B 便携式扩香仪 黑色"/>
    <s v="ANZ"/>
    <n v="10"/>
    <n v="136"/>
    <x v="0"/>
    <n v="6.3"/>
    <n v="200"/>
    <n v="40"/>
    <n v="896.8"/>
    <n v="2.242"/>
    <n v="0.33462686567164179"/>
    <m/>
    <m/>
    <m/>
    <x v="10"/>
    <d v="2026-03-29T00:00:00"/>
    <m/>
    <n v="0.36"/>
    <n v="144"/>
    <d v="2026-04-03T00:00:00"/>
    <n v="21"/>
    <d v="2026-04-03T00:00:00"/>
    <m/>
    <m/>
    <n v="-46115"/>
    <m/>
    <m/>
    <m/>
    <m/>
  </r>
  <r>
    <n v="196"/>
    <m/>
    <s v="W11010"/>
    <s v="FBA198K5X4YB"/>
    <s v="E-US"/>
    <x v="0"/>
    <s v="001000051"/>
    <n v="120"/>
    <s v="嘀嗒嘀"/>
    <x v="0"/>
    <x v="23"/>
    <s v="ANX-SG"/>
    <s v="ANX-SG 便携式扩香仪 太空灰色"/>
    <s v="ANX"/>
    <n v="4"/>
    <n v="53"/>
    <x v="0"/>
    <n v="3.1"/>
    <n v="200"/>
    <n v="50"/>
    <n v="214.3"/>
    <n v="1.7858333333333334"/>
    <n v="0.26654228855721396"/>
    <m/>
    <m/>
    <m/>
    <x v="10"/>
    <d v="2026-04-06T00:00:00"/>
    <m/>
    <n v="0.376"/>
    <n v="45.12"/>
    <m/>
    <n v="-46094"/>
    <m/>
    <m/>
    <m/>
    <n v="0"/>
    <m/>
    <m/>
    <m/>
    <m/>
  </r>
  <r>
    <n v="197"/>
    <m/>
    <s v="W11010"/>
    <s v="FBA198K5X4YB"/>
    <s v="E-US"/>
    <x v="0"/>
    <s v="ANZ-B"/>
    <n v="480"/>
    <s v="嘀嗒嘀"/>
    <x v="0"/>
    <x v="23"/>
    <s v="ANZ-B"/>
    <s v="ANZ-B 便携式扩香仪 黑色"/>
    <s v="ANZ"/>
    <n v="12"/>
    <n v="159"/>
    <x v="0"/>
    <n v="3.1"/>
    <n v="200"/>
    <n v="150"/>
    <n v="642.90000000000009"/>
    <n v="1.3393750000000002"/>
    <n v="0.19990671641791047"/>
    <m/>
    <m/>
    <m/>
    <x v="10"/>
    <d v="2026-04-06T00:00:00"/>
    <m/>
    <n v="0.376"/>
    <n v="180.48"/>
    <m/>
    <n v="-46094"/>
    <m/>
    <m/>
    <m/>
    <n v="0"/>
    <m/>
    <m/>
    <m/>
    <m/>
  </r>
  <r>
    <n v="198"/>
    <m/>
    <s v="W11005"/>
    <s v="FBA15LHXTKQ1"/>
    <s v="E-UK"/>
    <x v="2"/>
    <s v="001000039"/>
    <n v="240"/>
    <s v="嘀嗒嘀"/>
    <x v="3"/>
    <x v="13"/>
    <s v="AN6-GL"/>
    <s v="AN6-GL 便携式扩香仪 翠百合色"/>
    <s v="AN6"/>
    <n v="6"/>
    <n v="80.400000000000006"/>
    <x v="0"/>
    <n v="4.0999999999999996"/>
    <n v="550"/>
    <n v="330"/>
    <n v="659.64"/>
    <n v="2.7484999999999999"/>
    <n v="0.41022388059701492"/>
    <m/>
    <m/>
    <m/>
    <x v="10"/>
    <d v="2026-04-26T00:00:00"/>
    <m/>
    <n v="0"/>
    <n v="0"/>
    <m/>
    <n v="-46094"/>
    <m/>
    <m/>
    <m/>
    <n v="0"/>
    <m/>
    <m/>
    <m/>
    <m/>
  </r>
  <r>
    <n v="199"/>
    <m/>
    <s v="W11005"/>
    <s v="FBA15LHXTKQ1"/>
    <s v="E-UK"/>
    <x v="2"/>
    <s v="001000040"/>
    <n v="80"/>
    <s v="嘀嗒嘀"/>
    <x v="3"/>
    <x v="13"/>
    <s v="AN6-LB"/>
    <s v="AN6-LB 便携式扩香仪 浅钢蓝色"/>
    <s v="AN6"/>
    <n v="2"/>
    <n v="26.8"/>
    <x v="0"/>
    <n v="4.0999999999999996"/>
    <n v="550"/>
    <n v="110"/>
    <n v="219.88"/>
    <n v="2.7484999999999999"/>
    <n v="0.41022388059701492"/>
    <m/>
    <m/>
    <m/>
    <x v="10"/>
    <d v="2026-04-26T00:00:00"/>
    <m/>
    <n v="0"/>
    <n v="0"/>
    <m/>
    <n v="-46094"/>
    <m/>
    <m/>
    <m/>
    <n v="0"/>
    <m/>
    <m/>
    <m/>
    <m/>
  </r>
  <r>
    <n v="200"/>
    <m/>
    <s v="W11005"/>
    <s v="FBA15LHXTKQ1"/>
    <s v="E-UK"/>
    <x v="2"/>
    <s v="001000051"/>
    <n v="60"/>
    <s v="嘀嗒嘀"/>
    <x v="3"/>
    <x v="13"/>
    <s v="ANX-SG"/>
    <s v="ANX-SG 便携式扩香仪 太空灰色"/>
    <s v="ANX"/>
    <n v="2"/>
    <n v="26.8"/>
    <x v="0"/>
    <n v="4.0999999999999996"/>
    <m/>
    <n v="110"/>
    <n v="219.88"/>
    <n v="3.6646666666666667"/>
    <n v="0.54696517412935319"/>
    <m/>
    <m/>
    <m/>
    <x v="10"/>
    <d v="2026-04-26T00:00:00"/>
    <m/>
    <n v="0"/>
    <n v="0"/>
    <m/>
    <n v="-46094"/>
    <m/>
    <m/>
    <m/>
    <n v="0"/>
    <m/>
    <m/>
    <m/>
    <m/>
  </r>
  <r>
    <n v="201"/>
    <m/>
    <s v="W11006"/>
    <s v="FBA15LJ7LFCF"/>
    <s v="W-DE"/>
    <x v="1"/>
    <s v="001000039"/>
    <n v="240"/>
    <s v="万邦"/>
    <x v="4"/>
    <x v="30"/>
    <s v="AN6-GL"/>
    <s v="AN6-GL 便携式扩香仪 翠百合色"/>
    <s v="AN6"/>
    <n v="6"/>
    <n v="81.599999999999994"/>
    <x v="0"/>
    <n v="6.7"/>
    <n v="250"/>
    <n v="150"/>
    <n v="696.72"/>
    <n v="2.903"/>
    <n v="0.43328358208955225"/>
    <m/>
    <m/>
    <m/>
    <x v="11"/>
    <d v="2026-04-18T00:00:00"/>
    <m/>
    <n v="0"/>
    <n v="0"/>
    <m/>
    <n v="-46095"/>
    <m/>
    <m/>
    <m/>
    <n v="0"/>
    <m/>
    <m/>
    <m/>
    <m/>
  </r>
  <r>
    <n v="202"/>
    <m/>
    <s v="W11006"/>
    <s v="FBA15LJ7LFCF"/>
    <s v="W-DE"/>
    <x v="1"/>
    <s v="001000020"/>
    <n v="160"/>
    <s v="万邦"/>
    <x v="4"/>
    <x v="30"/>
    <s v="AN6-W"/>
    <s v="AN6-W 便携式扩香仪 白色"/>
    <s v="AN6"/>
    <n v="4"/>
    <n v="54.4"/>
    <x v="0"/>
    <n v="6.7"/>
    <n v="250"/>
    <n v="100"/>
    <n v="464.48"/>
    <n v="2.903"/>
    <n v="0.43328358208955225"/>
    <m/>
    <m/>
    <m/>
    <x v="11"/>
    <d v="2026-04-18T00:00:00"/>
    <m/>
    <n v="0"/>
    <n v="0"/>
    <m/>
    <n v="-46095"/>
    <m/>
    <m/>
    <m/>
    <n v="0"/>
    <m/>
    <m/>
    <m/>
    <m/>
  </r>
  <r>
    <n v="203"/>
    <m/>
    <s v="W11011"/>
    <s v="FBA198R5WZBL"/>
    <s v="V-US"/>
    <x v="0"/>
    <s v="AN8KIT-B_4X10K01"/>
    <n v="510"/>
    <s v="德速物流"/>
    <x v="0"/>
    <x v="31"/>
    <s v="AN8KIT-B_4X10K01"/>
    <s v="AN8KIT-B_4X10K01 AN8黑色机器+4x10mL酒店香氛油 机油套装"/>
    <s v="AN8"/>
    <n v="17"/>
    <n v="275"/>
    <x v="0"/>
    <n v="3.5"/>
    <n v="200"/>
    <n v="200"/>
    <n v="1162.5"/>
    <n v="2.2794117647058822"/>
    <n v="0.34021071115013168"/>
    <m/>
    <m/>
    <m/>
    <x v="11"/>
    <d v="2026-04-04T00:00:00"/>
    <m/>
    <n v="0.44"/>
    <n v="224.4"/>
    <m/>
    <n v="-46095"/>
    <m/>
    <m/>
    <m/>
    <n v="0"/>
    <m/>
    <m/>
    <m/>
    <m/>
  </r>
  <r>
    <n v="204"/>
    <m/>
    <s v="W11004"/>
    <s v="FBA198R5V676"/>
    <s v="V-US"/>
    <x v="0"/>
    <s v="AN8KIT-B_4X10K01"/>
    <n v="1800"/>
    <s v="万邦"/>
    <x v="6"/>
    <x v="31"/>
    <s v="AN8KIT-B_4X10K01"/>
    <s v="AN8KIT-B_4X10K01 AN8黑色机器+4x10mL酒店香氛油 机油套装"/>
    <s v="AN8"/>
    <n v="60"/>
    <n v="968.99999999999989"/>
    <x v="0"/>
    <n v="4.2"/>
    <n v="200"/>
    <n v="200"/>
    <n v="4269.7999999999993"/>
    <n v="2.3721111111111108"/>
    <n v="0.35404643449419565"/>
    <m/>
    <m/>
    <m/>
    <x v="11"/>
    <d v="2026-04-02T00:00:00"/>
    <m/>
    <n v="0.44"/>
    <n v="792"/>
    <m/>
    <n v="-46095"/>
    <m/>
    <m/>
    <m/>
    <n v="0"/>
    <m/>
    <m/>
    <m/>
    <m/>
  </r>
  <r>
    <n v="205"/>
    <m/>
    <s v="W11012"/>
    <s v="FBA198KBXJ4X"/>
    <s v="V-US"/>
    <x v="0"/>
    <s v="001000019"/>
    <n v="1400"/>
    <s v="万邦"/>
    <x v="0"/>
    <x v="7"/>
    <s v="AN6-B"/>
    <s v="AN6-B 便携式扩香仪 黑色"/>
    <s v="AN6"/>
    <n v="35"/>
    <n v="535.15"/>
    <x v="0"/>
    <n v="3.5"/>
    <n v="200"/>
    <n v="41.420118343195263"/>
    <n v="1914.4451183431952"/>
    <n v="1.3674607988165679"/>
    <n v="0.20409862668903997"/>
    <m/>
    <m/>
    <m/>
    <x v="11"/>
    <d v="2026-04-04T00:00:00"/>
    <m/>
    <n v="0.36533333333333334"/>
    <n v="511.4666666666667"/>
    <d v="2026-04-10T00:00:00"/>
    <n v="27"/>
    <d v="2026-04-10T00:00:00"/>
    <m/>
    <m/>
    <n v="-46122"/>
    <m/>
    <m/>
    <m/>
    <m/>
  </r>
  <r>
    <n v="206"/>
    <m/>
    <s v="W11012"/>
    <s v="FBA198KBXJ4X"/>
    <s v="V-US"/>
    <x v="0"/>
    <s v="AN6-LV"/>
    <n v="120"/>
    <s v="万邦"/>
    <x v="0"/>
    <x v="7"/>
    <s v="AN6-LV"/>
    <s v="AN6-LV 便携式扩香仪 薰衣草"/>
    <s v="AN6"/>
    <n v="3"/>
    <n v="45.870000000000005"/>
    <x v="0"/>
    <n v="3.5"/>
    <n v="200"/>
    <n v="3.5502958579881656"/>
    <n v="164.09529585798819"/>
    <n v="1.3674607988165683"/>
    <n v="0.20409862668904005"/>
    <m/>
    <m/>
    <m/>
    <x v="11"/>
    <d v="2026-04-04T00:00:00"/>
    <m/>
    <n v="0.36533333333333334"/>
    <n v="43.84"/>
    <d v="2026-04-10T00:00:00"/>
    <n v="27"/>
    <d v="2026-04-10T00:00:00"/>
    <m/>
    <m/>
    <n v="-46122"/>
    <m/>
    <m/>
    <m/>
    <m/>
  </r>
  <r>
    <n v="207"/>
    <m/>
    <s v="W11012"/>
    <s v="FBA198KBXJ4X"/>
    <s v="V-US"/>
    <x v="0"/>
    <s v="001000020"/>
    <n v="600"/>
    <s v="万邦"/>
    <x v="0"/>
    <x v="7"/>
    <s v="AN6-W"/>
    <s v="AN6-W 便携式扩香仪 白色"/>
    <s v="AN6"/>
    <n v="15"/>
    <n v="229.35000000000002"/>
    <x v="0"/>
    <n v="3.5"/>
    <m/>
    <n v="17.751479289940828"/>
    <n v="820.47647928994093"/>
    <n v="1.3674607988165681"/>
    <n v="0.20409862668904002"/>
    <m/>
    <m/>
    <m/>
    <x v="11"/>
    <d v="2026-04-04T00:00:00"/>
    <m/>
    <n v="0.36533333333333334"/>
    <n v="219.20000000000002"/>
    <d v="2026-04-10T00:00:00"/>
    <n v="27"/>
    <d v="2026-04-10T00:00:00"/>
    <m/>
    <m/>
    <n v="-46122"/>
    <m/>
    <m/>
    <m/>
    <m/>
  </r>
  <r>
    <n v="208"/>
    <m/>
    <s v="W11012"/>
    <s v="FBA198KBXJ4X"/>
    <s v="V-US"/>
    <x v="0"/>
    <s v="AN6-YG"/>
    <n v="200"/>
    <s v="万邦"/>
    <x v="0"/>
    <x v="7"/>
    <s v="AN6-YG"/>
    <s v="AN6-YG 便携式扩香仪 乳酪色"/>
    <s v="AN6"/>
    <n v="5"/>
    <n v="76.45"/>
    <x v="0"/>
    <n v="3.5"/>
    <m/>
    <n v="5.9171597633136095"/>
    <n v="273.49215976331362"/>
    <n v="1.3674607988165681"/>
    <n v="0.20409862668904002"/>
    <m/>
    <m/>
    <m/>
    <x v="11"/>
    <d v="2026-04-04T00:00:00"/>
    <m/>
    <n v="0.36533333333333334"/>
    <n v="73.066666666666663"/>
    <d v="2026-04-10T00:00:00"/>
    <n v="27"/>
    <d v="2026-04-10T00:00:00"/>
    <m/>
    <m/>
    <n v="-46122"/>
    <m/>
    <m/>
    <m/>
    <m/>
  </r>
  <r>
    <n v="209"/>
    <m/>
    <s v="W11012"/>
    <s v="FBA198KBXJ4X"/>
    <s v="V-US"/>
    <x v="0"/>
    <s v="RD1-B"/>
    <n v="180"/>
    <s v="万邦"/>
    <x v="0"/>
    <x v="7"/>
    <s v="RD1-B"/>
    <s v="RD1-B 便携式扩香仪 黑色"/>
    <s v="RD1"/>
    <n v="6"/>
    <n v="91.740000000000009"/>
    <x v="0"/>
    <n v="3.5"/>
    <m/>
    <n v="7.1005917159763312"/>
    <n v="328.19059171597638"/>
    <n v="1.8232810650887576"/>
    <n v="0.27213150225205335"/>
    <m/>
    <m/>
    <m/>
    <x v="11"/>
    <d v="2026-04-04T00:00:00"/>
    <m/>
    <n v="0.36533333333333334"/>
    <n v="65.760000000000005"/>
    <d v="2026-04-10T00:00:00"/>
    <n v="27"/>
    <d v="2026-04-10T00:00:00"/>
    <m/>
    <m/>
    <n v="-46122"/>
    <m/>
    <m/>
    <m/>
    <m/>
  </r>
  <r>
    <n v="210"/>
    <m/>
    <s v="W11012"/>
    <s v="FBA198KBXJ4X"/>
    <s v="V-US"/>
    <x v="0"/>
    <s v="001000021"/>
    <n v="200"/>
    <s v="万邦"/>
    <x v="0"/>
    <x v="7"/>
    <s v="AN6NZ-B"/>
    <s v="AN6NZ-B AN6喷嘴配件套装 黑色"/>
    <s v="AN6-AC"/>
    <n v="1"/>
    <n v="15.290000000000001"/>
    <x v="0"/>
    <n v="3.5"/>
    <m/>
    <n v="1.1834319526627219"/>
    <n v="54.698431952662723"/>
    <n v="0.27349215976331359"/>
    <n v="4.0819725337807998E-2"/>
    <m/>
    <m/>
    <m/>
    <x v="11"/>
    <d v="2026-04-04T00:00:00"/>
    <m/>
    <n v="0.36533333333333334"/>
    <n v="73.066666666666663"/>
    <d v="2026-04-10T00:00:00"/>
    <n v="27"/>
    <d v="2026-04-10T00:00:00"/>
    <m/>
    <m/>
    <n v="-46122"/>
    <m/>
    <m/>
    <m/>
    <m/>
  </r>
  <r>
    <n v="211"/>
    <m/>
    <s v="W11012"/>
    <s v="FBA198KC8HBQ"/>
    <s v="V-US"/>
    <x v="0"/>
    <s v="AN6KIT-B_4X10ML"/>
    <n v="390"/>
    <s v="万邦"/>
    <x v="0"/>
    <x v="7"/>
    <s v="AN6KIT-B_4X10ML"/>
    <s v="AN6KIT-B_4X10ML AN6黑色机器+4x10mL香氛油（天竺） 机油套装"/>
    <s v="AN6"/>
    <n v="13"/>
    <n v="198.76875000000001"/>
    <x v="0"/>
    <n v="3.5"/>
    <m/>
    <n v="15.384615384615385"/>
    <n v="711.07524038461543"/>
    <n v="1.8232698471400395"/>
    <n v="0.27212982793134916"/>
    <m/>
    <m/>
    <m/>
    <x v="11"/>
    <d v="2026-04-04T00:00:00"/>
    <m/>
    <n v="0.44"/>
    <n v="171.6"/>
    <d v="2026-04-10T00:00:00"/>
    <n v="27"/>
    <d v="2026-04-10T00:00:00"/>
    <m/>
    <m/>
    <n v="-46122"/>
    <m/>
    <m/>
    <m/>
    <m/>
  </r>
  <r>
    <n v="212"/>
    <m/>
    <s v="W11012"/>
    <s v="FBA198KC8HBQ"/>
    <s v="V-US"/>
    <x v="0"/>
    <s v="AN6KIT-WH_4X10K04_TZ"/>
    <n v="120"/>
    <s v="万邦"/>
    <x v="0"/>
    <x v="7"/>
    <s v="AN6KIT-WH_4X10K04_TZ"/>
    <s v="AN6KIT-WH_4X10K04_TZ AN6白色机器+4x10mL酒店（天竺）香氛油 机油套装"/>
    <s v="AN6"/>
    <n v="4"/>
    <n v="61.159615384615385"/>
    <x v="0"/>
    <n v="3.5"/>
    <m/>
    <n v="4.7337278106508878"/>
    <n v="218.79238165680474"/>
    <n v="1.8232698471400395"/>
    <n v="0.27212982793134916"/>
    <m/>
    <m/>
    <m/>
    <x v="11"/>
    <d v="2026-04-04T00:00:00"/>
    <m/>
    <n v="0.44"/>
    <n v="52.8"/>
    <d v="2026-04-10T00:00:00"/>
    <n v="27"/>
    <d v="2026-04-10T00:00:00"/>
    <m/>
    <m/>
    <n v="-46122"/>
    <m/>
    <m/>
    <m/>
    <m/>
  </r>
  <r>
    <n v="213"/>
    <m/>
    <s v="W11012"/>
    <s v="FBA198KC8HBQ"/>
    <s v="V-US"/>
    <x v="0"/>
    <s v="AN8KIT-B_4X10K01"/>
    <n v="2100"/>
    <s v="万邦"/>
    <x v="0"/>
    <x v="7"/>
    <s v="AN8KIT-B_4X10K01"/>
    <s v="AN8KIT-B_4X10K01 AN8黑色机器+4x10mL酒店香氛油 机油套装"/>
    <s v="AN8"/>
    <n v="70"/>
    <n v="1070.2932692307693"/>
    <x v="0"/>
    <n v="3.5"/>
    <m/>
    <n v="82.840236686390526"/>
    <n v="3828.866678994083"/>
    <n v="1.8232698471400395"/>
    <n v="0.27212982793134916"/>
    <m/>
    <m/>
    <m/>
    <x v="11"/>
    <d v="2026-04-04T00:00:00"/>
    <m/>
    <n v="0.44"/>
    <n v="924"/>
    <d v="2026-04-10T00:00:00"/>
    <n v="27"/>
    <d v="2026-04-10T00:00:00"/>
    <m/>
    <m/>
    <n v="-46122"/>
    <m/>
    <m/>
    <m/>
    <m/>
  </r>
  <r>
    <n v="214"/>
    <m/>
    <s v="W11012"/>
    <s v="FBA198KC8HBQ"/>
    <s v="V-US"/>
    <x v="0"/>
    <s v="AN8KIT-WH_4X10K01"/>
    <n v="510"/>
    <s v="万邦"/>
    <x v="0"/>
    <x v="7"/>
    <s v="AN8KIT-WH_4X10K01"/>
    <s v="AN8KIT-WH_4X10K01 AN8白色机器+4x10mL酒店香氛油 机油套装"/>
    <s v="AN8"/>
    <n v="17"/>
    <n v="259.9283653846154"/>
    <x v="0"/>
    <n v="3.5"/>
    <m/>
    <n v="20.118343195266274"/>
    <n v="929.86762204142008"/>
    <n v="1.8232698471400393"/>
    <n v="0.27212982793134916"/>
    <m/>
    <m/>
    <m/>
    <x v="11"/>
    <d v="2026-04-04T00:00:00"/>
    <m/>
    <n v="0.44"/>
    <n v="224.4"/>
    <d v="2026-04-10T00:00:00"/>
    <n v="27"/>
    <d v="2026-04-10T00:00:00"/>
    <m/>
    <m/>
    <n v="-46122"/>
    <m/>
    <m/>
    <m/>
    <m/>
  </r>
  <r>
    <n v="215"/>
    <m/>
    <s v="W11003"/>
    <s v="FBA198K8QZC5"/>
    <s v="V-US"/>
    <x v="0"/>
    <s v="001000019"/>
    <n v="400"/>
    <s v="嘀嗒嘀"/>
    <x v="11"/>
    <x v="0"/>
    <s v="AN6-B"/>
    <s v="AN6-B 便携式扩香仪 黑色"/>
    <s v="AN6"/>
    <n v="10"/>
    <n v="155"/>
    <x v="0"/>
    <n v="7.7"/>
    <n v="200"/>
    <n v="40"/>
    <n v="1233.5"/>
    <n v="3.0837500000000002"/>
    <n v="0.46026119402985077"/>
    <m/>
    <m/>
    <m/>
    <x v="10"/>
    <d v="2026-03-29T00:00:00"/>
    <m/>
    <n v="0.41538461538461541"/>
    <n v="166.15384615384616"/>
    <d v="2026-04-03T00:00:00"/>
    <n v="21"/>
    <d v="2026-04-03T00:00:00"/>
    <m/>
    <m/>
    <n v="-46115"/>
    <m/>
    <m/>
    <m/>
    <m/>
  </r>
  <r>
    <n v="216"/>
    <m/>
    <s v="W11003"/>
    <s v="FBA198K8QZC5"/>
    <s v="V-US"/>
    <x v="0"/>
    <s v="AN8KIT-B_4X10K01"/>
    <n v="900"/>
    <s v="嘀嗒嘀"/>
    <x v="11"/>
    <x v="0"/>
    <s v="AN8KIT-B_4X10K01"/>
    <s v="AN8KIT-B_4X10K01 AN8黑色机器+4x10mL酒店香氛油 机油套装"/>
    <s v="AN8"/>
    <n v="30"/>
    <n v="465"/>
    <x v="0"/>
    <n v="7.7"/>
    <n v="200"/>
    <n v="120"/>
    <n v="3700.5"/>
    <n v="4.1116666666666664"/>
    <n v="0.61368159203980088"/>
    <m/>
    <m/>
    <m/>
    <x v="10"/>
    <d v="2026-03-29T00:00:00"/>
    <m/>
    <n v="0.41538461538461541"/>
    <n v="373.84615384615387"/>
    <d v="2026-04-03T00:00:00"/>
    <n v="21"/>
    <d v="2026-04-03T00:00:00"/>
    <m/>
    <m/>
    <n v="-46115"/>
    <m/>
    <m/>
    <m/>
    <m/>
  </r>
  <r>
    <n v="217"/>
    <m/>
    <s v="W11008"/>
    <s v="FBA198KFN9NS"/>
    <s v="V-CA"/>
    <x v="3"/>
    <s v="001000033"/>
    <n v="72"/>
    <s v="国润通"/>
    <x v="5"/>
    <x v="29"/>
    <s v="ANW-W"/>
    <s v="ANW-W 智能扩香仪 白色"/>
    <s v="ANW"/>
    <n v="6"/>
    <n v="86"/>
    <x v="0"/>
    <n v="6.5"/>
    <n v="350"/>
    <n v="350"/>
    <n v="909"/>
    <n v="12.625"/>
    <n v="1.8843283582089552"/>
    <m/>
    <m/>
    <m/>
    <x v="10"/>
    <d v="2026-04-13T00:00:00"/>
    <m/>
    <n v="0"/>
    <n v="0"/>
    <m/>
    <n v="-46094"/>
    <m/>
    <m/>
    <m/>
    <n v="0"/>
    <m/>
    <m/>
    <m/>
    <m/>
  </r>
  <r>
    <n v="218"/>
    <m/>
    <s v="W11007"/>
    <s v="FBA198K9RVMY"/>
    <s v="V-US"/>
    <x v="0"/>
    <s v="001000033"/>
    <n v="480"/>
    <s v="国润通"/>
    <x v="0"/>
    <x v="32"/>
    <s v="ANW-W"/>
    <s v="ANW-W 智能扩香仪 白色"/>
    <s v="ANW"/>
    <n v="40"/>
    <n v="572"/>
    <x v="0"/>
    <n v="3.2"/>
    <n v="350"/>
    <n v="350"/>
    <n v="2180.4"/>
    <n v="4.5425000000000004"/>
    <n v="0.67798507462686575"/>
    <m/>
    <m/>
    <m/>
    <x v="10"/>
    <d v="2026-04-04T00:00:00"/>
    <m/>
    <n v="0.56000000000000005"/>
    <n v="268.8"/>
    <d v="2026-04-10T00:00:00"/>
    <n v="28"/>
    <d v="2026-04-10T00:00:00"/>
    <m/>
    <m/>
    <n v="-46122"/>
    <m/>
    <m/>
    <m/>
    <m/>
  </r>
  <r>
    <n v="219"/>
    <m/>
    <s v="W11001"/>
    <s v="FBA198LLVD5S"/>
    <s v="E-US"/>
    <x v="0"/>
    <s v="HOTEL6KIT1-6X10K01"/>
    <n v="684"/>
    <s v="天盛"/>
    <x v="0"/>
    <x v="11"/>
    <s v="HOTEL6KIT1-6X10K01"/>
    <s v="HOTEL6KIT1-6X10K01 酒店香氛油6款10mL套装"/>
    <s v="Oil-HQ"/>
    <n v="9"/>
    <n v="0.46800000000000003"/>
    <x v="1"/>
    <n v="1380"/>
    <n v="180"/>
    <n v="77.142857142857139"/>
    <n v="722.98285714285714"/>
    <n v="1.0569924812030076"/>
    <n v="0.15776007182134441"/>
    <m/>
    <m/>
    <m/>
    <x v="10"/>
    <d v="2026-04-04T00:00:00"/>
    <m/>
    <n v="0.36"/>
    <n v="246.23999999999998"/>
    <m/>
    <n v="-46094"/>
    <m/>
    <m/>
    <m/>
    <n v="0"/>
    <m/>
    <m/>
    <m/>
    <m/>
  </r>
  <r>
    <n v="220"/>
    <m/>
    <s v="W11001"/>
    <s v="FBA198LLVD5S"/>
    <s v="E-US"/>
    <x v="0"/>
    <s v="MWAY1-100ML"/>
    <n v="90"/>
    <s v="天盛"/>
    <x v="0"/>
    <x v="11"/>
    <s v="A-MWAY-100"/>
    <s v="A-MWAY Deluxe-100 特定香型香氛油100mL"/>
    <s v="Oil-HQ"/>
    <n v="1"/>
    <n v="5.2000000000000005E-2"/>
    <x v="1"/>
    <n v="1380"/>
    <n v="180"/>
    <n v="8.5714285714285712"/>
    <n v="80.331428571428575"/>
    <n v="0.89257142857142857"/>
    <n v="0.13321961620469083"/>
    <m/>
    <m/>
    <m/>
    <x v="10"/>
    <d v="2026-04-04T00:00:00"/>
    <m/>
    <n v="0.36"/>
    <n v="32.4"/>
    <m/>
    <n v="-46094"/>
    <m/>
    <m/>
    <m/>
    <n v="0"/>
    <m/>
    <m/>
    <m/>
    <m/>
  </r>
  <r>
    <n v="221"/>
    <m/>
    <s v="W11001"/>
    <s v="FBA198LLBYQJ"/>
    <s v="V-US"/>
    <x v="0"/>
    <s v="006000024"/>
    <n v="540"/>
    <s v="天盛"/>
    <x v="0"/>
    <x v="11"/>
    <s v="A-RZ3-100"/>
    <s v="A-Ritz Carlton Hotel 3-100 丽思卡尔顿酒店3香氛油100mL"/>
    <s v="Oil-HQ"/>
    <n v="6"/>
    <n v="0.31636363636363635"/>
    <x v="1"/>
    <n v="1380"/>
    <m/>
    <n v="51.428571428571431"/>
    <n v="488.01038961038961"/>
    <n v="0.90372294372294371"/>
    <n v="0.13488402145118564"/>
    <m/>
    <m/>
    <m/>
    <x v="10"/>
    <d v="2026-04-04T00:00:00"/>
    <m/>
    <n v="0.3725"/>
    <n v="201.15"/>
    <m/>
    <n v="-46094"/>
    <m/>
    <m/>
    <m/>
    <n v="0"/>
    <m/>
    <m/>
    <m/>
    <m/>
  </r>
  <r>
    <n v="222"/>
    <m/>
    <s v="W11001"/>
    <s v="FBA198LLBYQJ"/>
    <s v="V-US"/>
    <x v="0"/>
    <s v="RZ-500ML"/>
    <n v="100"/>
    <s v="天盛"/>
    <x v="0"/>
    <x v="11"/>
    <s v="RZ-500ML"/>
    <s v="RZ-500ML 丽思卡尔顿酒店3香氛油500mL"/>
    <s v="Oil-HQ"/>
    <n v="5"/>
    <n v="0.26363636363636361"/>
    <x v="1"/>
    <n v="1380"/>
    <m/>
    <n v="42.857142857142854"/>
    <n v="406.67532467532465"/>
    <n v="4.0667532467532466"/>
    <n v="0.6069780965303353"/>
    <m/>
    <m/>
    <m/>
    <x v="10"/>
    <d v="2026-04-04T00:00:00"/>
    <m/>
    <n v="0.3725"/>
    <n v="37.25"/>
    <m/>
    <n v="-46094"/>
    <m/>
    <m/>
    <m/>
    <n v="0"/>
    <m/>
    <m/>
    <m/>
    <m/>
  </r>
  <r>
    <n v="223"/>
    <m/>
    <s v="W11002"/>
    <s v="FBA198LK2T65"/>
    <s v="E-US"/>
    <x v="0"/>
    <s v="SJ1-100ML_TZ"/>
    <n v="192"/>
    <s v="天盛"/>
    <x v="0"/>
    <x v="11"/>
    <s v="SJ1-100ML_TZ"/>
    <s v="SJ1-100ML_TZ 四季酒店100mL香氛油（天竺） 销售包装"/>
    <s v="Oil-TZ"/>
    <n v="3"/>
    <n v="0.125"/>
    <x v="1"/>
    <n v="1380"/>
    <n v="180"/>
    <n v="20.76923076923077"/>
    <n v="193.26923076923077"/>
    <n v="1.0066105769230769"/>
    <n v="0.15024038461538461"/>
    <m/>
    <m/>
    <m/>
    <x v="10"/>
    <d v="2026-04-04T00:00:00"/>
    <m/>
    <n v="0.36000000000000004"/>
    <n v="69.12"/>
    <m/>
    <n v="-46094"/>
    <m/>
    <m/>
    <m/>
    <n v="0"/>
    <m/>
    <m/>
    <m/>
    <m/>
  </r>
  <r>
    <n v="224"/>
    <m/>
    <s v="W11002"/>
    <s v="FBA198LK2T65"/>
    <s v="E-US"/>
    <x v="0"/>
    <s v="TX331_100ML"/>
    <n v="128"/>
    <s v="天盛"/>
    <x v="0"/>
    <x v="11"/>
    <s v="TX331_100ML"/>
    <s v="TX331_100ML 檀香33号100mL香氛油（天竺） 销售包装"/>
    <s v="Oil-TZ"/>
    <n v="2"/>
    <n v="8.3333333333333329E-2"/>
    <x v="1"/>
    <n v="1380"/>
    <n v="180"/>
    <n v="13.846153846153847"/>
    <n v="128.84615384615384"/>
    <n v="1.0066105769230769"/>
    <n v="0.15024038461538461"/>
    <m/>
    <m/>
    <m/>
    <x v="10"/>
    <d v="2026-04-04T00:00:00"/>
    <m/>
    <n v="0.36000000000000004"/>
    <n v="46.080000000000005"/>
    <m/>
    <n v="-46094"/>
    <m/>
    <m/>
    <m/>
    <n v="0"/>
    <m/>
    <m/>
    <m/>
    <m/>
  </r>
  <r>
    <n v="225"/>
    <m/>
    <s v="W11002"/>
    <s v="FBA198LK2T65"/>
    <s v="E-US"/>
    <x v="0"/>
    <s v="W1-100ML_TZ"/>
    <n v="384"/>
    <s v="天盛"/>
    <x v="0"/>
    <x v="11"/>
    <s v="W1-100ML_TZ"/>
    <s v="W1-100ML_TZ W酒店100mL香氛油（天竺） 销售包装"/>
    <s v="Oil-TZ"/>
    <n v="6"/>
    <n v="0.25"/>
    <x v="1"/>
    <n v="1380"/>
    <m/>
    <n v="41.53846153846154"/>
    <n v="386.53846153846155"/>
    <n v="1.0066105769230769"/>
    <n v="0.15024038461538461"/>
    <m/>
    <m/>
    <m/>
    <x v="10"/>
    <d v="2026-04-04T00:00:00"/>
    <m/>
    <n v="0.36000000000000004"/>
    <n v="138.24"/>
    <m/>
    <n v="-46094"/>
    <m/>
    <m/>
    <m/>
    <n v="0"/>
    <m/>
    <m/>
    <m/>
    <m/>
  </r>
  <r>
    <n v="226"/>
    <m/>
    <s v="W11002"/>
    <s v="FBA198LK2T65"/>
    <s v="E-US"/>
    <x v="0"/>
    <s v="WST1-100ML_TZ"/>
    <n v="256"/>
    <s v="天盛"/>
    <x v="0"/>
    <x v="11"/>
    <s v="WST1-100ML_TZ"/>
    <s v="WST1-100ML_TZ 威斯汀酒店白茶100mL香氛油（天竺） 销售包装"/>
    <s v="Oil-TZ"/>
    <n v="4"/>
    <n v="0.16666666666666666"/>
    <x v="1"/>
    <n v="1380"/>
    <m/>
    <n v="27.692307692307693"/>
    <n v="257.69230769230768"/>
    <n v="1.0066105769230769"/>
    <n v="0.15024038461538461"/>
    <m/>
    <m/>
    <m/>
    <x v="10"/>
    <d v="2026-04-04T00:00:00"/>
    <m/>
    <n v="0.36000000000000004"/>
    <n v="92.160000000000011"/>
    <m/>
    <n v="-46094"/>
    <m/>
    <m/>
    <m/>
    <n v="0"/>
    <m/>
    <m/>
    <m/>
    <m/>
  </r>
  <r>
    <n v="227"/>
    <m/>
    <s v="W11002"/>
    <s v="FBA198LK2T65"/>
    <s v="E-US"/>
    <x v="0"/>
    <s v="HILTON1-100ML_TZ"/>
    <n v="384"/>
    <s v="天盛"/>
    <x v="0"/>
    <x v="11"/>
    <s v="HILTON1-100ML_TZ"/>
    <s v="HILTON1-100ML_TZ 希尔顿酒店100mL香氛油（天竺） 销售包装"/>
    <s v="Oil-TZ"/>
    <n v="6"/>
    <n v="0.25"/>
    <x v="1"/>
    <n v="1380"/>
    <m/>
    <n v="41.53846153846154"/>
    <n v="386.53846153846155"/>
    <n v="1.0066105769230769"/>
    <n v="0.15024038461538461"/>
    <m/>
    <m/>
    <m/>
    <x v="10"/>
    <d v="2026-04-04T00:00:00"/>
    <m/>
    <n v="0.36000000000000004"/>
    <n v="138.24"/>
    <m/>
    <n v="-46094"/>
    <m/>
    <m/>
    <m/>
    <n v="0"/>
    <m/>
    <m/>
    <m/>
    <m/>
  </r>
  <r>
    <n v="228"/>
    <m/>
    <s v="W11002"/>
    <s v="FBA198LK2T65"/>
    <s v="E-US"/>
    <x v="0"/>
    <s v="YZTT1_100ML"/>
    <n v="128"/>
    <s v="天盛"/>
    <x v="0"/>
    <x v="11"/>
    <s v="YZTT1_100ML"/>
    <s v="YZTT1_100ML 柚子天堂100mL香氛油（天竺） 销售包装"/>
    <s v="Oil-TZ"/>
    <n v="2"/>
    <n v="8.3333333333333329E-2"/>
    <x v="1"/>
    <n v="1380"/>
    <m/>
    <n v="13.846153846153847"/>
    <n v="128.84615384615384"/>
    <n v="1.0066105769230769"/>
    <n v="0.15024038461538461"/>
    <m/>
    <m/>
    <m/>
    <x v="10"/>
    <d v="2026-04-04T00:00:00"/>
    <m/>
    <n v="0.36000000000000004"/>
    <n v="46.080000000000005"/>
    <m/>
    <n v="-46094"/>
    <m/>
    <m/>
    <m/>
    <n v="0"/>
    <m/>
    <m/>
    <m/>
    <m/>
  </r>
  <r>
    <n v="229"/>
    <m/>
    <s v="W11002"/>
    <s v="FBA198LK2T65"/>
    <s v="E-US"/>
    <x v="0"/>
    <s v="TXY1_100ML"/>
    <n v="64"/>
    <s v="天盛"/>
    <x v="0"/>
    <x v="11"/>
    <s v="TXY1_100ML"/>
    <s v="TXY1_100ML 桃星云100mL香氛油（天竺） 销售包装"/>
    <s v="Oil-TZ"/>
    <n v="1"/>
    <n v="4.1666666666666664E-2"/>
    <x v="1"/>
    <n v="1380"/>
    <m/>
    <n v="6.9230769230769234"/>
    <n v="64.42307692307692"/>
    <n v="1.0066105769230769"/>
    <n v="0.15024038461538461"/>
    <m/>
    <m/>
    <m/>
    <x v="10"/>
    <d v="2026-04-04T00:00:00"/>
    <m/>
    <n v="0.36000000000000004"/>
    <n v="23.040000000000003"/>
    <m/>
    <n v="-46094"/>
    <m/>
    <m/>
    <m/>
    <n v="0"/>
    <m/>
    <m/>
    <m/>
    <m/>
  </r>
  <r>
    <n v="230"/>
    <s v="托书上要备注跟FBA198LK2T65 合并报关"/>
    <s v="W11002"/>
    <s v="FBA198LHZYBC"/>
    <s v="K-US"/>
    <x v="0"/>
    <s v="ATS1_100ML_TZ"/>
    <n v="128"/>
    <s v="天盛"/>
    <x v="0"/>
    <x v="5"/>
    <s v="ATS1_100ML_TZ"/>
    <s v="ATS1_100ML_TZ 亚特兰蒂斯酒店100mL香氛油（天竺） 销售包装"/>
    <s v="Oil-TZ"/>
    <n v="2"/>
    <n v="30"/>
    <x v="0"/>
    <n v="6.3"/>
    <m/>
    <n v="13.846153846153847"/>
    <n v="202.84615384615384"/>
    <n v="1.5847355769230769"/>
    <n v="0.23652769804822044"/>
    <m/>
    <m/>
    <m/>
    <x v="10"/>
    <d v="2026-04-04T00:00:00"/>
    <m/>
    <n v="0.36"/>
    <n v="46.08"/>
    <m/>
    <n v="-46094"/>
    <m/>
    <m/>
    <m/>
    <n v="0"/>
    <m/>
    <m/>
    <m/>
    <m/>
  </r>
  <r>
    <n v="231"/>
    <m/>
    <s v="W11009"/>
    <s v="FBA198PY9806"/>
    <s v="A-CA"/>
    <x v="3"/>
    <s v="002000001"/>
    <n v="600"/>
    <s v="万邦"/>
    <x v="5"/>
    <x v="12"/>
    <s v="K1-B"/>
    <s v="K1-B 电子球形把手锁-黑色"/>
    <s v="K1"/>
    <n v="50"/>
    <n v="676.71232876712338"/>
    <x v="0"/>
    <n v="6"/>
    <n v="250"/>
    <n v="171.23287671232876"/>
    <n v="4231.5068493150693"/>
    <n v="7.0525114155251156"/>
    <n v="1.0526136441082261"/>
    <m/>
    <m/>
    <m/>
    <x v="10"/>
    <d v="2026-04-14T00:00:00"/>
    <m/>
    <n v="0"/>
    <n v="0"/>
    <m/>
    <n v="-46094"/>
    <m/>
    <m/>
    <m/>
    <n v="0"/>
    <m/>
    <m/>
    <m/>
    <m/>
  </r>
  <r>
    <n v="232"/>
    <m/>
    <s v="W11009"/>
    <s v="FBA198PY9806"/>
    <s v="A-CA"/>
    <x v="3"/>
    <s v="002000007"/>
    <n v="72"/>
    <s v="万邦"/>
    <x v="5"/>
    <x v="12"/>
    <s v="K1-S+S"/>
    <s v="K1-S+S 电子球形把手锁-镍镍"/>
    <s v="K1"/>
    <n v="6"/>
    <n v="81.205479452054803"/>
    <x v="0"/>
    <n v="6"/>
    <n v="250"/>
    <n v="20.547945205479451"/>
    <n v="507.78082191780823"/>
    <n v="7.0525114155251138"/>
    <n v="1.0526136441082259"/>
    <m/>
    <m/>
    <m/>
    <x v="10"/>
    <d v="2026-04-14T00:00:00"/>
    <m/>
    <n v="0"/>
    <n v="0"/>
    <m/>
    <n v="-46094"/>
    <m/>
    <m/>
    <m/>
    <n v="0"/>
    <m/>
    <m/>
    <m/>
    <m/>
  </r>
  <r>
    <n v="233"/>
    <m/>
    <s v="W11009"/>
    <s v="FBA198PY9806"/>
    <s v="A-CA"/>
    <x v="3"/>
    <s v="002000008"/>
    <n v="204"/>
    <s v="万邦"/>
    <x v="5"/>
    <x v="12"/>
    <s v="K1-SILV"/>
    <s v="K1-SILV 电子球形把手锁-银镍"/>
    <s v="K1"/>
    <n v="17"/>
    <n v="230.08219178082194"/>
    <x v="0"/>
    <n v="6"/>
    <m/>
    <n v="58.219178082191782"/>
    <n v="1438.7123287671234"/>
    <n v="7.0525114155251147"/>
    <n v="1.0526136441082261"/>
    <m/>
    <m/>
    <m/>
    <x v="10"/>
    <d v="2026-04-14T00:00:00"/>
    <m/>
    <n v="0"/>
    <n v="0"/>
    <m/>
    <n v="-46094"/>
    <m/>
    <m/>
    <m/>
    <n v="0"/>
    <m/>
    <m/>
    <m/>
    <m/>
  </r>
  <r>
    <n v="234"/>
    <m/>
    <s v="W12005"/>
    <s v="FBA198VX409J"/>
    <s v="E-US"/>
    <x v="0"/>
    <s v="ANZ-B"/>
    <n v="600"/>
    <s v="天盛"/>
    <x v="11"/>
    <x v="23"/>
    <s v="ANZ-B"/>
    <s v="ANZ-B 便携式扩香仪 黑色"/>
    <s v="ANZ"/>
    <n v="15"/>
    <n v="2.02"/>
    <x v="1"/>
    <n v="2030"/>
    <n v="180"/>
    <n v="69.230769230769226"/>
    <n v="4169.8307692307699"/>
    <n v="6.9497179487179501"/>
    <n v="1.0372713356295449"/>
    <m/>
    <m/>
    <m/>
    <x v="12"/>
    <d v="2026-04-05T00:00:00"/>
    <m/>
    <n v="0.36"/>
    <n v="216"/>
    <d v="2026-04-10T00:00:00"/>
    <n v="20"/>
    <d v="2026-04-10T00:00:00"/>
    <m/>
    <m/>
    <n v="-46122"/>
    <m/>
    <m/>
    <m/>
    <m/>
  </r>
  <r>
    <n v="235"/>
    <m/>
    <s v="W12009"/>
    <s v="FBA198X547X1"/>
    <s v="E-US"/>
    <x v="0"/>
    <s v="ANZKIT-B_4X10K04_TZ"/>
    <n v="300"/>
    <s v="万邦"/>
    <x v="0"/>
    <x v="5"/>
    <s v="ANZKIT-B_4X10K04_TZ"/>
    <s v="ANZKIT-B_4X10K04_TZ ANZ黑色机器+4x10mL酒店（天竺）香氛油 机油套装"/>
    <s v="ANZ"/>
    <n v="10"/>
    <n v="154.5"/>
    <x v="0"/>
    <n v="3.6"/>
    <n v="200"/>
    <n v="14.492753623188406"/>
    <n v="570.69275362318842"/>
    <n v="1.9023091787439614"/>
    <n v="0.28392674309611365"/>
    <m/>
    <m/>
    <m/>
    <x v="12"/>
    <d v="2026-04-10T00:00:00"/>
    <m/>
    <n v="0.44"/>
    <n v="132"/>
    <m/>
    <n v="-46102"/>
    <m/>
    <m/>
    <m/>
    <n v="0"/>
    <m/>
    <m/>
    <m/>
    <m/>
  </r>
  <r>
    <n v="236"/>
    <m/>
    <s v="W12009"/>
    <s v="FBA198X547X1"/>
    <s v="E-US"/>
    <x v="0"/>
    <s v="ANZKIT-W_4X10K04_TZ"/>
    <n v="300"/>
    <s v="万邦"/>
    <x v="0"/>
    <x v="5"/>
    <s v="ANZKIT-W_4X10K04_TZ"/>
    <s v="ANZKIT-W_4X10K04_TZ ANZ白色机器+4x10mL酒店（天竺）香氛油 机油套装"/>
    <s v="ANZ"/>
    <n v="10"/>
    <n v="154.5"/>
    <x v="0"/>
    <n v="3.6"/>
    <n v="200"/>
    <n v="14.492753623188406"/>
    <n v="570.69275362318842"/>
    <n v="1.9023091787439614"/>
    <n v="0.28392674309611365"/>
    <m/>
    <m/>
    <m/>
    <x v="12"/>
    <d v="2026-04-10T00:00:00"/>
    <m/>
    <n v="0.44"/>
    <n v="132"/>
    <m/>
    <n v="-46102"/>
    <m/>
    <m/>
    <m/>
    <n v="0"/>
    <m/>
    <m/>
    <m/>
    <m/>
  </r>
  <r>
    <n v="237"/>
    <m/>
    <s v="W12004"/>
    <s v="FBA198W2C0D1"/>
    <s v="E-US"/>
    <x v="0"/>
    <s v="001000053"/>
    <n v="128"/>
    <s v="国润通"/>
    <x v="0"/>
    <x v="31"/>
    <s v="ANX-2PC-BB"/>
    <s v="ANX-2PC-BB 便携式扩香仪套装 黑+黑"/>
    <s v="ANX"/>
    <n v="8"/>
    <n v="106.73696969696971"/>
    <x v="0"/>
    <n v="2.8"/>
    <n v="200"/>
    <n v="8.1218274111675122"/>
    <n v="306.98534256268266"/>
    <n v="2.3983229887709583"/>
    <n v="0.35795865504044155"/>
    <m/>
    <m/>
    <m/>
    <x v="13"/>
    <d v="2026-04-10T00:00:00"/>
    <m/>
    <n v="0.38269503546099293"/>
    <n v="48.984964539007095"/>
    <m/>
    <n v="-46103"/>
    <m/>
    <m/>
    <m/>
    <n v="0"/>
    <m/>
    <m/>
    <m/>
    <m/>
  </r>
  <r>
    <n v="238"/>
    <m/>
    <s v="W12004"/>
    <s v="FBA198W2C0D1"/>
    <s v="E-US"/>
    <x v="0"/>
    <s v="ANZ-B"/>
    <n v="1000"/>
    <s v="国润通"/>
    <x v="0"/>
    <x v="31"/>
    <s v="ANZ-B"/>
    <s v="ANZ-B 便携式扩香仪 黑色"/>
    <s v="ANZ"/>
    <n v="25"/>
    <n v="333.55303030303037"/>
    <x v="0"/>
    <n v="2.8"/>
    <n v="199.99999999999997"/>
    <n v="25.380710659898476"/>
    <n v="959.32919550838346"/>
    <n v="0.95932919550838347"/>
    <n v="0.14318346201617663"/>
    <m/>
    <m/>
    <m/>
    <x v="13"/>
    <d v="2026-04-10T00:00:00"/>
    <m/>
    <n v="0.38269503546099293"/>
    <n v="382.69503546099293"/>
    <m/>
    <n v="-46103"/>
    <m/>
    <m/>
    <m/>
    <n v="0"/>
    <m/>
    <m/>
    <m/>
    <m/>
  </r>
  <r>
    <n v="239"/>
    <m/>
    <s v="W12005"/>
    <s v="FBA198W7XC64"/>
    <s v="V-US"/>
    <x v="0"/>
    <s v="RD1-B"/>
    <n v="600"/>
    <s v="天盛"/>
    <x v="11"/>
    <x v="23"/>
    <s v="RD1-B"/>
    <s v="RD1-B 便携式扩香仪 黑色"/>
    <s v="RD1"/>
    <n v="20"/>
    <n v="1.6833333333333333"/>
    <x v="1"/>
    <n v="2030"/>
    <n v="180"/>
    <n v="92.307692307692307"/>
    <n v="3509.4743589743589"/>
    <n v="5.8491239316239314"/>
    <n v="0.87300357188416888"/>
    <m/>
    <m/>
    <m/>
    <x v="12"/>
    <d v="2026-04-05T00:00:00"/>
    <m/>
    <n v="0.44"/>
    <n v="264"/>
    <d v="2026-04-10T00:00:00"/>
    <n v="20"/>
    <d v="2026-04-10T00:00:00"/>
    <m/>
    <m/>
    <n v="-46122"/>
    <m/>
    <m/>
    <m/>
    <m/>
  </r>
  <r>
    <n v="240"/>
    <m/>
    <s v="W12005"/>
    <s v="FBA198W7XC64"/>
    <s v="V-US"/>
    <x v="0"/>
    <s v="RD1-DT"/>
    <n v="120"/>
    <s v="天盛"/>
    <x v="11"/>
    <x v="23"/>
    <s v="RD1-DT"/>
    <s v="RD1-DT 便携式扩香仪 沙漠钛色"/>
    <s v="RD1"/>
    <n v="4"/>
    <n v="0.33666666666666667"/>
    <x v="1"/>
    <n v="2030"/>
    <n v="180"/>
    <n v="18.46153846153846"/>
    <n v="701.89487179487185"/>
    <n v="5.8491239316239323"/>
    <n v="0.87300357188416899"/>
    <m/>
    <m/>
    <m/>
    <x v="12"/>
    <d v="2026-04-05T00:00:00"/>
    <m/>
    <n v="0.44"/>
    <n v="52.8"/>
    <d v="2026-04-10T00:00:00"/>
    <n v="20"/>
    <d v="2026-04-10T00:00:00"/>
    <m/>
    <m/>
    <n v="-46122"/>
    <m/>
    <m/>
    <m/>
    <m/>
  </r>
  <r>
    <n v="241"/>
    <m/>
    <s v="W12009"/>
    <s v="FBA198XML3L7"/>
    <s v="V-US"/>
    <x v="0"/>
    <s v="AN6KIT-B_4X10K04_TZ"/>
    <n v="240"/>
    <s v="万邦"/>
    <x v="0"/>
    <x v="11"/>
    <s v="AN6KIT-B_4X10K04_TZ"/>
    <s v="AN6KIT-B_4X10K04_TZ AN6黑色机器+4x10mL酒店（天竺）香氛油 机油套装"/>
    <s v="AN6"/>
    <n v="8"/>
    <n v="129.83050847457628"/>
    <x v="0"/>
    <n v="3.6"/>
    <n v="200"/>
    <n v="11.594202898550725"/>
    <n v="478.98403340702538"/>
    <n v="1.9957668058626057"/>
    <n v="0.29787564266606054"/>
    <m/>
    <m/>
    <m/>
    <x v="12"/>
    <d v="2026-04-10T00:00:00"/>
    <m/>
    <n v="0.43999999999999995"/>
    <n v="105.6"/>
    <m/>
    <n v="-46102"/>
    <m/>
    <m/>
    <m/>
    <n v="0"/>
    <m/>
    <m/>
    <m/>
    <m/>
  </r>
  <r>
    <n v="242"/>
    <m/>
    <s v="W12009"/>
    <s v="FBA198XML3L7"/>
    <s v="V-US"/>
    <x v="0"/>
    <s v="AN6KIT-B_4X10ML"/>
    <n v="300"/>
    <s v="万邦"/>
    <x v="0"/>
    <x v="11"/>
    <s v="AN6KIT-B_4X10ML"/>
    <s v="AN6KIT-B_4X10ML AN6黑色机器+4x10mL香氛油（天竺） 机油套装"/>
    <s v="AN6"/>
    <n v="10"/>
    <n v="162.28813559322035"/>
    <x v="0"/>
    <n v="3.6"/>
    <n v="200"/>
    <n v="14.492753623188406"/>
    <n v="598.73004175878168"/>
    <n v="1.9957668058626057"/>
    <n v="0.29787564266606054"/>
    <m/>
    <m/>
    <m/>
    <x v="12"/>
    <d v="2026-04-10T00:00:00"/>
    <m/>
    <n v="0.43999999999999995"/>
    <n v="131.99999999999997"/>
    <m/>
    <n v="-46102"/>
    <m/>
    <m/>
    <m/>
    <n v="0"/>
    <m/>
    <m/>
    <m/>
    <m/>
  </r>
  <r>
    <n v="243"/>
    <m/>
    <s v="W12009"/>
    <s v="FBA198XML3L7"/>
    <s v="V-US"/>
    <x v="0"/>
    <s v="AN6KIT-WH_4X10ML"/>
    <n v="90"/>
    <s v="万邦"/>
    <x v="0"/>
    <x v="11"/>
    <s v="AN6KIT-WH_4X10ML"/>
    <s v="AN6KIT-WH_4X10ML AN6白色机器+4x10mL香氛油（天竺） 机油套装"/>
    <s v="AN6"/>
    <n v="3"/>
    <n v="48.686440677966104"/>
    <x v="0"/>
    <n v="3.6"/>
    <m/>
    <n v="4.3478260869565215"/>
    <n v="179.61901252763451"/>
    <n v="1.9957668058626057"/>
    <n v="0.29787564266606054"/>
    <m/>
    <m/>
    <m/>
    <x v="12"/>
    <d v="2026-04-10T00:00:00"/>
    <m/>
    <n v="0.43999999999999995"/>
    <n v="39.599999999999994"/>
    <m/>
    <n v="-46102"/>
    <m/>
    <m/>
    <m/>
    <n v="0"/>
    <m/>
    <m/>
    <m/>
    <m/>
  </r>
  <r>
    <n v="244"/>
    <m/>
    <s v="W12009"/>
    <s v="FBA198XML3L7"/>
    <s v="V-US"/>
    <x v="0"/>
    <s v="AN8KIT-B_4X10K01"/>
    <n v="2100"/>
    <s v="万邦"/>
    <x v="0"/>
    <x v="11"/>
    <s v="AN8KIT-B_4X10K01"/>
    <s v="AN8KIT-B_4X10K01 AN8黑色机器+4x10mL酒店香氛油 机油套装"/>
    <s v="AN8"/>
    <n v="70"/>
    <n v="1136.0169491525423"/>
    <x v="0"/>
    <n v="3.6"/>
    <m/>
    <n v="101.44927536231884"/>
    <n v="4191.1102923114713"/>
    <n v="1.9957668058626055"/>
    <n v="0.29787564266606054"/>
    <m/>
    <m/>
    <m/>
    <x v="12"/>
    <d v="2026-04-10T00:00:00"/>
    <m/>
    <n v="0.43999999999999995"/>
    <n v="923.99999999999989"/>
    <m/>
    <n v="-46102"/>
    <m/>
    <m/>
    <m/>
    <n v="0"/>
    <m/>
    <m/>
    <m/>
    <m/>
  </r>
  <r>
    <n v="245"/>
    <m/>
    <s v="W12009"/>
    <s v="FBA198XML3L7"/>
    <s v="V-US"/>
    <x v="0"/>
    <s v="AN8KIT-WH_4X10K01"/>
    <n v="30"/>
    <s v="万邦"/>
    <x v="0"/>
    <x v="11"/>
    <s v="AN8KIT-WH_4X10K01"/>
    <s v="AN8KIT-WH_4X10K01 AN8白色机器+4x10mL酒店香氛油 机油套装"/>
    <s v="AN8"/>
    <n v="1"/>
    <n v="16.228813559322035"/>
    <x v="0"/>
    <n v="3.6"/>
    <m/>
    <n v="1.4492753623188406"/>
    <n v="59.873004175878172"/>
    <n v="1.9957668058626057"/>
    <n v="0.29787564266606054"/>
    <m/>
    <m/>
    <m/>
    <x v="12"/>
    <d v="2026-04-10T00:00:00"/>
    <m/>
    <n v="0.43999999999999995"/>
    <n v="13.2"/>
    <m/>
    <n v="-46102"/>
    <m/>
    <m/>
    <m/>
    <n v="0"/>
    <m/>
    <m/>
    <m/>
    <m/>
  </r>
  <r>
    <n v="246"/>
    <m/>
    <s v="W12009"/>
    <s v="FBA198XML3L7"/>
    <s v="V-US"/>
    <x v="0"/>
    <s v="AN8KIT-WH_4X10K05_TZ"/>
    <n v="780"/>
    <s v="万邦"/>
    <x v="0"/>
    <x v="11"/>
    <s v="AN8KIT-WH_4X10K05_TZ"/>
    <s v="AN8KIT-WH_4X10K05_TZ AN8白色机器+4x10mL（天竺）酒店香氛油 机油套装"/>
    <s v="AN8"/>
    <n v="26"/>
    <n v="421.94915254237287"/>
    <x v="0"/>
    <n v="3.6"/>
    <m/>
    <n v="37.681159420289852"/>
    <n v="1556.6981085728321"/>
    <n v="1.9957668058626052"/>
    <n v="0.29787564266606048"/>
    <m/>
    <m/>
    <m/>
    <x v="12"/>
    <d v="2026-04-10T00:00:00"/>
    <m/>
    <n v="0.43999999999999995"/>
    <n v="343.19999999999993"/>
    <m/>
    <n v="-46102"/>
    <m/>
    <m/>
    <m/>
    <n v="0"/>
    <m/>
    <m/>
    <m/>
    <m/>
  </r>
  <r>
    <n v="247"/>
    <m/>
    <s v="W12006"/>
    <s v="FBA19903R9DH"/>
    <s v="V-US"/>
    <x v="0"/>
    <s v="001000019"/>
    <n v="1200"/>
    <s v="国润通"/>
    <x v="0"/>
    <x v="0"/>
    <s v="AN6-B"/>
    <s v="AN6-B 便携式扩香仪 黑色"/>
    <s v="AN6"/>
    <n v="30"/>
    <n v="420"/>
    <x v="0"/>
    <n v="3.2"/>
    <n v="200"/>
    <n v="71.428571428571431"/>
    <n v="1415.4285714285713"/>
    <n v="1.1795238095238094"/>
    <n v="0.17604832977967305"/>
    <m/>
    <m/>
    <m/>
    <x v="13"/>
    <d v="2026-04-19T00:00:00"/>
    <m/>
    <n v="0.37841269841269842"/>
    <n v="454.09523809523813"/>
    <m/>
    <n v="-46103"/>
    <m/>
    <m/>
    <m/>
    <n v="0"/>
    <m/>
    <m/>
    <m/>
    <m/>
  </r>
  <r>
    <n v="248"/>
    <m/>
    <s v="W12006"/>
    <s v="FBA19903R9DH"/>
    <s v="V-US"/>
    <x v="0"/>
    <s v="AN6-LV"/>
    <n v="120"/>
    <s v="国润通"/>
    <x v="0"/>
    <x v="0"/>
    <s v="AN6-LV"/>
    <s v="AN6-LV 便携式扩香仪 薰衣草"/>
    <s v="AN6"/>
    <n v="3"/>
    <n v="42"/>
    <x v="0"/>
    <n v="3.2"/>
    <n v="200"/>
    <n v="7.1428571428571432"/>
    <n v="141.54285714285714"/>
    <n v="1.1795238095238096"/>
    <n v="0.17604832977967308"/>
    <m/>
    <m/>
    <m/>
    <x v="13"/>
    <d v="2026-04-19T00:00:00"/>
    <m/>
    <n v="0.37841269841269842"/>
    <n v="45.409523809523812"/>
    <m/>
    <n v="-46103"/>
    <m/>
    <m/>
    <m/>
    <n v="0"/>
    <m/>
    <m/>
    <m/>
    <m/>
  </r>
  <r>
    <n v="249"/>
    <m/>
    <s v="W12006"/>
    <s v="FBA19903R9DH"/>
    <s v="V-US"/>
    <x v="0"/>
    <s v="001000020"/>
    <n v="400"/>
    <s v="国润通"/>
    <x v="0"/>
    <x v="0"/>
    <s v="AN6-W"/>
    <s v="AN6-W 便携式扩香仪 白色"/>
    <s v="AN6"/>
    <n v="10"/>
    <n v="140"/>
    <x v="0"/>
    <n v="3.2"/>
    <m/>
    <n v="23.80952380952381"/>
    <n v="471.8095238095238"/>
    <n v="1.1795238095238094"/>
    <n v="0.17604832977967305"/>
    <m/>
    <m/>
    <m/>
    <x v="13"/>
    <d v="2026-04-19T00:00:00"/>
    <m/>
    <n v="0.37841269841269842"/>
    <n v="151.36507936507937"/>
    <m/>
    <n v="-46103"/>
    <m/>
    <m/>
    <m/>
    <n v="0"/>
    <m/>
    <m/>
    <m/>
    <m/>
  </r>
  <r>
    <n v="250"/>
    <m/>
    <s v="W12006"/>
    <s v="FBA19903R9DH"/>
    <s v="V-US"/>
    <x v="0"/>
    <s v="AN8-B"/>
    <n v="160"/>
    <s v="国润通"/>
    <x v="0"/>
    <x v="0"/>
    <s v="AN8-B"/>
    <s v="AN8-B 便携式扩香仪 黑色"/>
    <s v="AN8"/>
    <n v="4"/>
    <n v="56"/>
    <x v="0"/>
    <n v="3.2"/>
    <m/>
    <n v="9.5238095238095237"/>
    <n v="188.72380952380954"/>
    <n v="1.1795238095238096"/>
    <n v="0.17604832977967308"/>
    <m/>
    <m/>
    <m/>
    <x v="13"/>
    <d v="2026-04-19T00:00:00"/>
    <m/>
    <n v="0.37841269841269842"/>
    <n v="60.546031746031744"/>
    <m/>
    <n v="-46103"/>
    <m/>
    <m/>
    <m/>
    <n v="0"/>
    <m/>
    <m/>
    <m/>
    <m/>
  </r>
  <r>
    <n v="251"/>
    <m/>
    <s v="W12006"/>
    <s v="FBA19903R9DH"/>
    <s v="V-US"/>
    <x v="0"/>
    <s v="AN8KIT-B_B"/>
    <n v="100"/>
    <s v="国润通"/>
    <x v="0"/>
    <x v="0"/>
    <s v="AN8KIT-B_B"/>
    <s v="AN8KIT-B_B 便携式扩香仪套装 黑+黑"/>
    <s v="AN8"/>
    <n v="5"/>
    <n v="70"/>
    <x v="0"/>
    <n v="3.2"/>
    <m/>
    <n v="11.904761904761905"/>
    <n v="235.9047619047619"/>
    <n v="2.3590476190476188"/>
    <n v="0.3520966595593461"/>
    <m/>
    <m/>
    <m/>
    <x v="13"/>
    <d v="2026-04-19T00:00:00"/>
    <m/>
    <n v="0.37841269841269842"/>
    <n v="37.841269841269842"/>
    <m/>
    <n v="-46103"/>
    <m/>
    <m/>
    <m/>
    <n v="0"/>
    <m/>
    <m/>
    <m/>
    <m/>
  </r>
  <r>
    <n v="252"/>
    <m/>
    <s v="W12006"/>
    <s v="FBA19903R9DH"/>
    <s v="V-US"/>
    <x v="0"/>
    <s v="RD1-B"/>
    <n v="390"/>
    <s v="国润通"/>
    <x v="0"/>
    <x v="0"/>
    <s v="RD1-B"/>
    <s v="RD1-B 便携式扩香仪 黑色"/>
    <s v="RD1"/>
    <n v="13"/>
    <n v="182"/>
    <x v="0"/>
    <n v="3.2"/>
    <m/>
    <n v="30.952380952380953"/>
    <n v="613.35238095238094"/>
    <n v="1.5726984126984127"/>
    <n v="0.2347311063728974"/>
    <m/>
    <m/>
    <m/>
    <x v="13"/>
    <d v="2026-04-19T00:00:00"/>
    <m/>
    <n v="0.37841269841269842"/>
    <n v="147.5809523809524"/>
    <m/>
    <n v="-46103"/>
    <m/>
    <m/>
    <m/>
    <n v="0"/>
    <m/>
    <m/>
    <m/>
    <m/>
  </r>
  <r>
    <n v="253"/>
    <m/>
    <s v="W12006"/>
    <s v="FBA19903R9DH"/>
    <s v="V-US"/>
    <x v="0"/>
    <s v="RD1PJ-BOT"/>
    <n v="60"/>
    <s v="国润通"/>
    <x v="0"/>
    <x v="0"/>
    <s v="RD1PJ-BOT"/>
    <s v="RD1PJ-BOT 便携式扩香仪100mL带盖替换玻璃瓶"/>
    <s v="RD1-AC"/>
    <n v="1"/>
    <n v="14"/>
    <x v="0"/>
    <n v="3.2"/>
    <m/>
    <n v="2.3809523809523809"/>
    <n v="47.180952380952384"/>
    <n v="0.78634920634920635"/>
    <n v="0.1173655531864487"/>
    <m/>
    <m/>
    <m/>
    <x v="13"/>
    <d v="2026-04-19T00:00:00"/>
    <m/>
    <n v="0.37841269841269842"/>
    <n v="22.704761904761906"/>
    <m/>
    <n v="-46103"/>
    <m/>
    <m/>
    <m/>
    <n v="0"/>
    <m/>
    <m/>
    <m/>
    <m/>
  </r>
  <r>
    <n v="254"/>
    <m/>
    <s v="W12006"/>
    <s v="FBA19903R9DH"/>
    <s v="V-US"/>
    <x v="0"/>
    <s v="RD1-DT"/>
    <n v="90"/>
    <s v="国润通"/>
    <x v="0"/>
    <x v="0"/>
    <s v="RD1-DT"/>
    <s v="RD1-DT 便携式扩香仪 沙漠钛色"/>
    <s v="RD1"/>
    <n v="3"/>
    <n v="42"/>
    <x v="0"/>
    <n v="3.2"/>
    <m/>
    <n v="7.1428571428571432"/>
    <n v="141.54285714285714"/>
    <n v="1.5726984126984127"/>
    <n v="0.2347311063728974"/>
    <m/>
    <m/>
    <m/>
    <x v="13"/>
    <d v="2026-04-19T00:00:00"/>
    <m/>
    <n v="0.37841269841269842"/>
    <n v="34.057142857142857"/>
    <m/>
    <n v="-46103"/>
    <m/>
    <m/>
    <m/>
    <n v="0"/>
    <m/>
    <m/>
    <m/>
    <m/>
  </r>
  <r>
    <n v="255"/>
    <m/>
    <s v="W12010"/>
    <s v="FBA19994C4F1"/>
    <s v="K-US"/>
    <x v="0"/>
    <s v="RDXKIT-B_US_2X100K04"/>
    <n v="90"/>
    <s v="国润通"/>
    <x v="6"/>
    <x v="4"/>
    <s v="RDXKIT-B_US_2X100K04"/>
    <s v="RDXKIT-B_US_2X100K04 RDX黑色机器+2X100mL酒店香氛油（天竺） 机油套装"/>
    <s v="RDX"/>
    <n v="10"/>
    <n v="148"/>
    <x v="0"/>
    <n v="4.5"/>
    <n v="200"/>
    <n v="200"/>
    <n v="866"/>
    <n v="9.6222222222222218"/>
    <n v="1.4361525704809286"/>
    <m/>
    <m/>
    <m/>
    <x v="13"/>
    <d v="2026-04-07T00:00:00"/>
    <m/>
    <n v="0.7"/>
    <n v="62.999999999999993"/>
    <m/>
    <n v="-46103"/>
    <m/>
    <m/>
    <m/>
    <n v="0"/>
    <m/>
    <m/>
    <m/>
    <m/>
  </r>
  <r>
    <n v="256"/>
    <m/>
    <s v="W12004"/>
    <s v="FBA19993QKM2"/>
    <s v="K-US"/>
    <x v="0"/>
    <s v="RDXKIT-B_US_2X100K04"/>
    <n v="360"/>
    <s v="国润通"/>
    <x v="0"/>
    <x v="4"/>
    <s v="RDXKIT-B_US_2X100K04"/>
    <s v="RDXKIT-B_US_2X100K04 RDX黑色机器+2X100mL酒店香氛油（天竺） 机油套装"/>
    <s v="RDX"/>
    <n v="40"/>
    <n v="592"/>
    <x v="0"/>
    <n v="3.6"/>
    <n v="200"/>
    <n v="40.609137055837564"/>
    <n v="2171.8091370558377"/>
    <n v="6.0328031584884378"/>
    <n v="0.90041838186394596"/>
    <m/>
    <m/>
    <m/>
    <x v="13"/>
    <d v="2026-04-10T00:00:00"/>
    <m/>
    <n v="0.7"/>
    <n v="251.99999999999997"/>
    <m/>
    <n v="-46103"/>
    <m/>
    <m/>
    <m/>
    <n v="0"/>
    <m/>
    <m/>
    <m/>
    <m/>
  </r>
  <r>
    <n v="257"/>
    <m/>
    <s v="W12002"/>
    <s v="FBA15G7HFC4R"/>
    <s v="E-AU"/>
    <x v="4"/>
    <s v="AND-IB"/>
    <n v="30"/>
    <s v="澳鹰"/>
    <x v="7"/>
    <x v="14"/>
    <s v="AND-IB"/>
    <s v="AND-IB 便携式双喷扩香仪 冰蓝色"/>
    <s v="AND"/>
    <n v="1"/>
    <n v="13.636363636363637"/>
    <x v="0"/>
    <n v="6.5"/>
    <n v="350"/>
    <n v="15.909090909090908"/>
    <n v="104.54545454545455"/>
    <n v="3.4848484848484849"/>
    <n v="0.52012663952962457"/>
    <m/>
    <m/>
    <m/>
    <x v="14"/>
    <d v="2026-04-22T00:00:00"/>
    <m/>
    <n v="0"/>
    <n v="0"/>
    <m/>
    <n v="-46104"/>
    <m/>
    <m/>
    <m/>
    <n v="0"/>
    <m/>
    <m/>
    <m/>
    <m/>
  </r>
  <r>
    <n v="258"/>
    <m/>
    <s v="W12002"/>
    <s v="FBA15G7HFC4R"/>
    <s v="E-AU"/>
    <x v="4"/>
    <s v="AND-B"/>
    <n v="120"/>
    <s v="澳鹰"/>
    <x v="7"/>
    <x v="14"/>
    <s v="AND-B"/>
    <s v="AND-B 便携式双喷扩香仪 黑色"/>
    <s v="AND"/>
    <n v="4"/>
    <n v="54.545454545454547"/>
    <x v="0"/>
    <n v="6.5"/>
    <n v="350"/>
    <n v="63.636363636363633"/>
    <n v="418.18181818181819"/>
    <n v="3.4848484848484849"/>
    <n v="0.52012663952962457"/>
    <m/>
    <m/>
    <m/>
    <x v="14"/>
    <d v="2026-04-22T00:00:00"/>
    <m/>
    <n v="0"/>
    <n v="0"/>
    <m/>
    <n v="-46104"/>
    <m/>
    <m/>
    <m/>
    <n v="0"/>
    <m/>
    <m/>
    <m/>
    <m/>
  </r>
  <r>
    <n v="259"/>
    <m/>
    <s v="W12002"/>
    <s v="FBA15G7HFC4R"/>
    <s v="E-AU"/>
    <x v="4"/>
    <s v="AND-DT"/>
    <n v="90"/>
    <s v="澳鹰"/>
    <x v="7"/>
    <x v="14"/>
    <s v="AND-DT"/>
    <s v="AND-DT 便携式双喷扩香仪 沙漠钛色"/>
    <s v="AND"/>
    <n v="3"/>
    <n v="40.909090909090907"/>
    <x v="0"/>
    <n v="6.5"/>
    <m/>
    <n v="47.727272727272727"/>
    <n v="313.63636363636363"/>
    <n v="3.4848484848484849"/>
    <n v="0.52012663952962457"/>
    <m/>
    <m/>
    <m/>
    <x v="14"/>
    <d v="2026-04-22T00:00:00"/>
    <m/>
    <n v="0"/>
    <n v="0"/>
    <m/>
    <n v="-46104"/>
    <m/>
    <m/>
    <m/>
    <n v="0"/>
    <m/>
    <m/>
    <m/>
    <m/>
  </r>
  <r>
    <n v="260"/>
    <m/>
    <s v="W12002"/>
    <s v="FBA15G7HFC4R"/>
    <s v="E-AU"/>
    <x v="4"/>
    <s v="001000045"/>
    <n v="210"/>
    <s v="澳鹰"/>
    <x v="7"/>
    <x v="14"/>
    <s v="ANX-B"/>
    <s v="ANX-B 便携式扩香仪 黑色"/>
    <s v="ANX"/>
    <n v="7"/>
    <n v="95.454545454545453"/>
    <x v="0"/>
    <n v="6.5"/>
    <m/>
    <n v="111.36363636363636"/>
    <n v="731.81818181818187"/>
    <n v="3.4848484848484853"/>
    <n v="0.52012663952962468"/>
    <m/>
    <m/>
    <m/>
    <x v="14"/>
    <d v="2026-04-22T00:00:00"/>
    <m/>
    <n v="0"/>
    <n v="0"/>
    <m/>
    <n v="-46104"/>
    <m/>
    <m/>
    <m/>
    <n v="0"/>
    <m/>
    <m/>
    <m/>
    <m/>
  </r>
  <r>
    <n v="261"/>
    <m/>
    <s v="W12002"/>
    <s v="FBA15G7HFC4R"/>
    <s v="E-AU"/>
    <x v="4"/>
    <s v="001000051"/>
    <n v="60"/>
    <s v="澳鹰"/>
    <x v="7"/>
    <x v="14"/>
    <s v="ANX-SG"/>
    <s v="ANX-SG 便携式扩香仪 太空灰色"/>
    <s v="ANX"/>
    <n v="2"/>
    <n v="27.272727272727273"/>
    <x v="0"/>
    <n v="6.5"/>
    <m/>
    <n v="31.818181818181817"/>
    <n v="209.09090909090909"/>
    <n v="3.4848484848484849"/>
    <n v="0.52012663952962457"/>
    <m/>
    <m/>
    <m/>
    <x v="14"/>
    <d v="2026-04-22T00:00:00"/>
    <m/>
    <n v="0"/>
    <n v="0"/>
    <m/>
    <n v="-46104"/>
    <m/>
    <m/>
    <m/>
    <n v="0"/>
    <m/>
    <m/>
    <m/>
    <m/>
  </r>
  <r>
    <n v="262"/>
    <m/>
    <s v="W12002"/>
    <s v="FBA15G7HFC4R"/>
    <s v="E-AU"/>
    <x v="4"/>
    <s v="001000046"/>
    <n v="60"/>
    <s v="澳鹰"/>
    <x v="7"/>
    <x v="14"/>
    <s v="ANX-SILV"/>
    <s v="ANX-SILV 便携式扩香仪 银色"/>
    <s v="ANX"/>
    <n v="2"/>
    <n v="27.272727272727273"/>
    <x v="0"/>
    <n v="6.5"/>
    <m/>
    <n v="31.818181818181817"/>
    <n v="209.09090909090909"/>
    <n v="3.4848484848484849"/>
    <n v="0.52012663952962457"/>
    <m/>
    <m/>
    <m/>
    <x v="14"/>
    <d v="2026-04-22T00:00:00"/>
    <m/>
    <n v="0"/>
    <n v="0"/>
    <m/>
    <n v="-46104"/>
    <m/>
    <m/>
    <m/>
    <n v="0"/>
    <m/>
    <m/>
    <m/>
    <m/>
  </r>
  <r>
    <n v="263"/>
    <m/>
    <s v="W12002"/>
    <s v="FBA15G7HFC4R"/>
    <s v="E-AU"/>
    <x v="4"/>
    <s v="RD1-B"/>
    <n v="90"/>
    <s v="澳鹰"/>
    <x v="7"/>
    <x v="14"/>
    <s v="RD1-B"/>
    <s v="RD1-B 便携式扩香仪 黑色"/>
    <s v="RD1"/>
    <n v="3"/>
    <n v="40.909090909090907"/>
    <x v="0"/>
    <n v="6.5"/>
    <m/>
    <n v="47.727272727272727"/>
    <n v="313.63636363636363"/>
    <n v="3.4848484848484849"/>
    <n v="0.52012663952962457"/>
    <m/>
    <m/>
    <m/>
    <x v="14"/>
    <d v="2026-04-22T00:00:00"/>
    <m/>
    <n v="0"/>
    <n v="0"/>
    <m/>
    <n v="-46104"/>
    <m/>
    <m/>
    <m/>
    <n v="0"/>
    <m/>
    <m/>
    <m/>
    <m/>
  </r>
  <r>
    <n v="264"/>
    <m/>
    <s v="W12004"/>
    <s v="FBA19922135M"/>
    <s v="A-US"/>
    <x v="0"/>
    <s v="ANZKIT-W_SJ30ML"/>
    <n v="150"/>
    <s v="国润通"/>
    <x v="0"/>
    <x v="31"/>
    <s v="ANZKIT-W_SJ30ML"/>
    <s v="ANZKIT-W_SJ30ML ANZ白色机器+30mL四季酒店香氛油（天竺） 机油套装"/>
    <s v="ANZ"/>
    <n v="5"/>
    <n v="66.709999999999994"/>
    <x v="0"/>
    <n v="2.8"/>
    <n v="200"/>
    <n v="5.0761421319796955"/>
    <n v="191.86414213197969"/>
    <n v="1.2790942808798647"/>
    <n v="0.19090959416117381"/>
    <m/>
    <m/>
    <m/>
    <x v="13"/>
    <d v="2026-04-10T00:00:00"/>
    <m/>
    <n v="0.44"/>
    <n v="66"/>
    <m/>
    <n v="-46103"/>
    <m/>
    <m/>
    <m/>
    <n v="0"/>
    <m/>
    <m/>
    <m/>
    <m/>
  </r>
  <r>
    <n v="265"/>
    <m/>
    <s v="W12004"/>
    <s v="FBA198X3QKQ1"/>
    <s v="W-US"/>
    <x v="0"/>
    <s v="002000037"/>
    <n v="32"/>
    <s v="国润通"/>
    <x v="0"/>
    <x v="23"/>
    <s v="M1-SILV"/>
    <s v="M1-SILV 电子球形把手锁 银色"/>
    <s v="M1"/>
    <n v="2"/>
    <n v="30.153846153846153"/>
    <x v="0"/>
    <n v="2.8"/>
    <n v="199.99999999999997"/>
    <n v="2.030456852791878"/>
    <n v="86.461226083561101"/>
    <n v="2.7019133151112844"/>
    <n v="0.40327064404646035"/>
    <m/>
    <m/>
    <m/>
    <x v="15"/>
    <d v="2026-04-10T00:00:00"/>
    <m/>
    <n v="0.56000000000000005"/>
    <n v="17.920000000000002"/>
    <m/>
    <n v="-46101"/>
    <m/>
    <m/>
    <m/>
    <n v="0"/>
    <m/>
    <m/>
    <m/>
    <m/>
  </r>
  <r>
    <n v="266"/>
    <m/>
    <s v="W12004"/>
    <s v="FBA198X3QKQ1"/>
    <s v="W-US"/>
    <x v="0"/>
    <s v="002000029"/>
    <n v="176"/>
    <s v="国润通"/>
    <x v="0"/>
    <x v="23"/>
    <s v="MD1-B"/>
    <s v="MD1-B 电子球形把手锁 指纹 黑色"/>
    <s v="MD1"/>
    <n v="11"/>
    <n v="165.84615384615384"/>
    <x v="0"/>
    <n v="2.8"/>
    <m/>
    <n v="11.167512690355331"/>
    <n v="475.53674345958609"/>
    <n v="2.7019133151112844"/>
    <n v="0.40327064404646035"/>
    <m/>
    <m/>
    <m/>
    <x v="15"/>
    <d v="2026-04-10T00:00:00"/>
    <m/>
    <n v="0.56000000000000005"/>
    <n v="98.56"/>
    <m/>
    <n v="-46101"/>
    <m/>
    <m/>
    <m/>
    <n v="0"/>
    <m/>
    <m/>
    <m/>
    <m/>
  </r>
  <r>
    <n v="267"/>
    <m/>
    <s v="W12007"/>
    <s v="FBA198X58NK5"/>
    <s v="W-US"/>
    <x v="0"/>
    <s v="002000037"/>
    <n v="80"/>
    <s v="天盛"/>
    <x v="11"/>
    <x v="23"/>
    <s v="M1-SILV"/>
    <s v="M1-SILV 电子球形把手锁 银色"/>
    <s v="M1"/>
    <n v="5"/>
    <n v="0.32599999999999996"/>
    <x v="1"/>
    <n v="1830"/>
    <n v="180"/>
    <n v="36"/>
    <n v="632.57999999999993"/>
    <n v="7.9072499999999994"/>
    <n v="1.1801865671641789"/>
    <m/>
    <m/>
    <m/>
    <x v="15"/>
    <d v="2026-04-05T00:00:00"/>
    <m/>
    <n v="0.56000000000000005"/>
    <n v="44.800000000000004"/>
    <d v="2026-04-10T00:00:00"/>
    <n v="21"/>
    <d v="2026-04-10T00:00:00"/>
    <m/>
    <m/>
    <n v="-46122"/>
    <m/>
    <m/>
    <m/>
    <m/>
  </r>
  <r>
    <n v="268"/>
    <m/>
    <s v="W12007"/>
    <s v="FBA198X58NK5"/>
    <s v="W-US"/>
    <x v="0"/>
    <s v="002000029"/>
    <n v="320"/>
    <s v="天盛"/>
    <x v="11"/>
    <x v="23"/>
    <s v="MD1-B"/>
    <s v="MD1-B 电子球形把手锁 指纹 黑色"/>
    <s v="MD1"/>
    <n v="20"/>
    <n v="1.3039999999999998"/>
    <x v="1"/>
    <n v="1830"/>
    <n v="180"/>
    <n v="144"/>
    <n v="2530.3199999999997"/>
    <n v="7.9072499999999994"/>
    <n v="1.1801865671641789"/>
    <m/>
    <m/>
    <m/>
    <x v="15"/>
    <d v="2026-04-05T00:00:00"/>
    <m/>
    <n v="0.56000000000000005"/>
    <n v="179.20000000000002"/>
    <d v="2026-04-10T00:00:00"/>
    <n v="21"/>
    <d v="2026-04-10T00:00:00"/>
    <m/>
    <m/>
    <n v="-46122"/>
    <m/>
    <m/>
    <m/>
    <m/>
  </r>
  <r>
    <n v="269"/>
    <m/>
    <s v="W12006"/>
    <s v="FBA198XV6SCX"/>
    <s v="V-US"/>
    <x v="0"/>
    <s v="ANWKIT-WH_US_2X100K03"/>
    <n v="180"/>
    <s v="国润通"/>
    <x v="0"/>
    <x v="0"/>
    <s v="ANWKIT-WH_US_2X100K03"/>
    <s v="ANWKIT-WH_US_2X100K03 ANW白色机器+2X100mL酒店香氛油（天竺） 机油套装"/>
    <s v="ANW"/>
    <n v="15"/>
    <n v="256"/>
    <x v="0"/>
    <n v="3.2"/>
    <n v="200"/>
    <n v="35.714285714285715"/>
    <n v="854.91428571428571"/>
    <n v="4.7495238095238097"/>
    <n v="0.7088841506751955"/>
    <m/>
    <m/>
    <m/>
    <x v="15"/>
    <d v="2026-04-19T00:00:00"/>
    <m/>
    <n v="0.55999999999999994"/>
    <n v="100.79999999999998"/>
    <m/>
    <n v="-46101"/>
    <m/>
    <m/>
    <m/>
    <n v="0"/>
    <m/>
    <m/>
    <m/>
    <m/>
  </r>
  <r>
    <n v="270"/>
    <m/>
    <s v="W12008"/>
    <s v="FBA198W8K669"/>
    <s v="V-US"/>
    <x v="0"/>
    <s v="ANP-W_US"/>
    <n v="288"/>
    <s v="国润通"/>
    <x v="11"/>
    <x v="23"/>
    <s v="ANP-W_US"/>
    <s v="ANP-W_US 墙插式智能扩香仪 白色"/>
    <s v="ANP"/>
    <n v="9"/>
    <n v="143"/>
    <x v="0"/>
    <n v="8.5"/>
    <n v="200"/>
    <n v="200"/>
    <n v="1415.5"/>
    <n v="4.9149305555555554"/>
    <n v="0.73357172470978438"/>
    <m/>
    <m/>
    <m/>
    <x v="15"/>
    <d v="2026-04-05T00:00:00"/>
    <m/>
    <n v="0.44"/>
    <n v="126.72"/>
    <m/>
    <n v="-46101"/>
    <m/>
    <m/>
    <m/>
    <n v="0"/>
    <m/>
    <m/>
    <m/>
    <m/>
  </r>
  <r>
    <n v="271"/>
    <m/>
    <s v="W12004"/>
    <s v="FBA198VY9H04"/>
    <s v="V-US"/>
    <x v="0"/>
    <s v="001000032"/>
    <n v="180"/>
    <s v="国润通"/>
    <x v="0"/>
    <x v="5"/>
    <s v="ANW-B"/>
    <s v="ANW-B 智能扩香仪 黑色"/>
    <s v="ANW"/>
    <n v="15"/>
    <n v="214.24242424242422"/>
    <x v="0"/>
    <n v="3.6"/>
    <n v="200"/>
    <n v="15.228426395939087"/>
    <n v="786.50115366866635"/>
    <n v="4.3694508537148131"/>
    <n v="0.65215684383803174"/>
    <m/>
    <m/>
    <m/>
    <x v="15"/>
    <d v="2026-04-10T00:00:00"/>
    <m/>
    <n v="0.54788643533123027"/>
    <n v="98.61955835962145"/>
    <m/>
    <n v="-46101"/>
    <m/>
    <m/>
    <m/>
    <n v="0"/>
    <m/>
    <m/>
    <m/>
    <m/>
  </r>
  <r>
    <n v="272"/>
    <m/>
    <s v="W12004"/>
    <s v="FBA198VY9H04"/>
    <s v="V-US"/>
    <x v="0"/>
    <s v="001000033"/>
    <n v="960"/>
    <s v="国润通"/>
    <x v="0"/>
    <x v="5"/>
    <s v="ANW-W"/>
    <s v="ANW-W 智能扩香仪 白色"/>
    <s v="ANW"/>
    <n v="80"/>
    <n v="1142.6262626262626"/>
    <x v="0"/>
    <n v="3.6"/>
    <n v="200"/>
    <n v="81.218274111675129"/>
    <n v="4194.6728195662199"/>
    <n v="4.3694508537148122"/>
    <n v="0.65215684383803163"/>
    <m/>
    <m/>
    <m/>
    <x v="15"/>
    <d v="2026-04-10T00:00:00"/>
    <m/>
    <n v="0.54788643533123027"/>
    <n v="525.97097791798103"/>
    <m/>
    <n v="-46101"/>
    <m/>
    <m/>
    <m/>
    <n v="0"/>
    <m/>
    <m/>
    <m/>
    <m/>
  </r>
  <r>
    <n v="273"/>
    <m/>
    <s v="W12004"/>
    <s v="FBA198VY9H04"/>
    <s v="V-US"/>
    <x v="0"/>
    <s v="ANP-W_US"/>
    <n v="128"/>
    <s v="国润通"/>
    <x v="0"/>
    <x v="5"/>
    <s v="ANP-W_US"/>
    <s v="ANP-W_US 墙插式智能扩香仪 白色"/>
    <s v="ANP"/>
    <n v="4"/>
    <n v="57.131313131313128"/>
    <x v="0"/>
    <n v="3.6"/>
    <n v="199.99999999999997"/>
    <n v="4.0609137055837561"/>
    <n v="209.733640978311"/>
    <n v="1.6385440701430547"/>
    <n v="0.24455881643926189"/>
    <m/>
    <m/>
    <m/>
    <x v="15"/>
    <d v="2026-04-10T00:00:00"/>
    <m/>
    <n v="0.54788643533123027"/>
    <n v="70.129463722397475"/>
    <m/>
    <n v="-46101"/>
    <m/>
    <m/>
    <m/>
    <n v="0"/>
    <m/>
    <m/>
    <m/>
    <m/>
  </r>
  <r>
    <n v="274"/>
    <m/>
    <s v="W12003"/>
    <s v="FBA198W7ZHBG"/>
    <s v="E-US"/>
    <x v="0"/>
    <s v="SJ1-100ML_TZ"/>
    <n v="192"/>
    <s v="天盛"/>
    <x v="0"/>
    <x v="31"/>
    <s v="SJ1-100ML_TZ"/>
    <s v="SJ1-100ML_TZ 四季酒店100mL香氛油（天竺） 销售包装"/>
    <s v="Oil-TZ"/>
    <n v="3"/>
    <n v="0.125"/>
    <x v="1"/>
    <n v="1030"/>
    <n v="180"/>
    <n v="20.76923076923077"/>
    <n v="149.51923076923077"/>
    <n v="0.77874599358974361"/>
    <n v="0.11623074531190203"/>
    <m/>
    <m/>
    <m/>
    <x v="15"/>
    <d v="2026-04-07T00:00:00"/>
    <m/>
    <n v="0.36333333333333334"/>
    <n v="69.760000000000005"/>
    <m/>
    <n v="-46101"/>
    <m/>
    <m/>
    <m/>
    <n v="0"/>
    <m/>
    <m/>
    <m/>
    <m/>
  </r>
  <r>
    <n v="275"/>
    <m/>
    <s v="W12003"/>
    <s v="FBA198W7ZHBG"/>
    <s v="E-US"/>
    <x v="0"/>
    <s v="TX331_100ML"/>
    <n v="640"/>
    <s v="天盛"/>
    <x v="0"/>
    <x v="31"/>
    <s v="TX331_100ML"/>
    <s v="TX331_100ML 檀香33号100mL香氛油（天竺） 销售包装"/>
    <s v="Oil-TZ"/>
    <n v="10"/>
    <n v="0.41666666666666663"/>
    <x v="1"/>
    <n v="1030"/>
    <n v="180"/>
    <n v="69.230769230769226"/>
    <n v="498.39743589743586"/>
    <n v="0.7787459935897435"/>
    <n v="0.11623074531190201"/>
    <m/>
    <m/>
    <m/>
    <x v="15"/>
    <d v="2026-04-07T00:00:00"/>
    <m/>
    <n v="0.36333333333333334"/>
    <n v="232.53333333333333"/>
    <m/>
    <n v="-46101"/>
    <m/>
    <m/>
    <m/>
    <n v="0"/>
    <m/>
    <m/>
    <m/>
    <m/>
  </r>
  <r>
    <n v="276"/>
    <m/>
    <s v="W12003"/>
    <s v="FBA198W7ZHBG"/>
    <s v="E-US"/>
    <x v="0"/>
    <s v="HILTON1-100ML_TZ"/>
    <n v="192"/>
    <s v="天盛"/>
    <x v="0"/>
    <x v="31"/>
    <s v="HILTON1-100ML_TZ"/>
    <s v="HILTON1-100ML_TZ 希尔顿酒店100mL香氛油（天竺） 销售包装"/>
    <s v="Oil-TZ"/>
    <n v="3"/>
    <n v="0.125"/>
    <x v="1"/>
    <n v="1030"/>
    <m/>
    <n v="20.76923076923077"/>
    <n v="149.51923076923077"/>
    <n v="0.77874599358974361"/>
    <n v="0.11623074531190203"/>
    <m/>
    <m/>
    <m/>
    <x v="15"/>
    <d v="2026-04-07T00:00:00"/>
    <m/>
    <n v="0.36333333333333334"/>
    <n v="69.760000000000005"/>
    <m/>
    <n v="-46101"/>
    <m/>
    <m/>
    <m/>
    <n v="0"/>
    <m/>
    <m/>
    <m/>
    <m/>
  </r>
  <r>
    <n v="277"/>
    <m/>
    <s v="W12003"/>
    <s v="FBA198W7ZHBG"/>
    <s v="E-US"/>
    <x v="0"/>
    <s v="YH1-100ML_TZ"/>
    <n v="64"/>
    <s v="天盛"/>
    <x v="0"/>
    <x v="31"/>
    <s v="YH1-100ML_TZ"/>
    <s v="YH1-100ML_TZ 樱花100mL香氛油（天竺）销售包装"/>
    <s v="Oil-TZ"/>
    <n v="1"/>
    <n v="4.1666666666666664E-2"/>
    <x v="1"/>
    <n v="1030"/>
    <m/>
    <n v="6.9230769230769234"/>
    <n v="49.839743589743591"/>
    <n v="0.77874599358974361"/>
    <n v="0.11623074531190203"/>
    <m/>
    <m/>
    <m/>
    <x v="15"/>
    <d v="2026-04-07T00:00:00"/>
    <m/>
    <n v="0.36333333333333334"/>
    <n v="23.253333333333334"/>
    <m/>
    <n v="-46101"/>
    <m/>
    <m/>
    <m/>
    <n v="0"/>
    <m/>
    <m/>
    <m/>
    <m/>
  </r>
  <r>
    <n v="278"/>
    <m/>
    <s v="W12003"/>
    <s v="FBA198W7ZHBG"/>
    <s v="E-US"/>
    <x v="0"/>
    <s v="YZTT1_100ML"/>
    <n v="256"/>
    <s v="天盛"/>
    <x v="0"/>
    <x v="31"/>
    <s v="YZTT1_100ML"/>
    <s v="YZTT1_100ML 柚子天堂100mL香氛油（天竺） 销售包装"/>
    <s v="Oil-TZ"/>
    <n v="4"/>
    <n v="0.16666666666666666"/>
    <x v="1"/>
    <n v="1030"/>
    <m/>
    <n v="27.692307692307693"/>
    <n v="199.35897435897436"/>
    <n v="0.77874599358974361"/>
    <n v="0.11623074531190203"/>
    <m/>
    <m/>
    <m/>
    <x v="15"/>
    <d v="2026-04-07T00:00:00"/>
    <m/>
    <n v="0.36333333333333334"/>
    <n v="93.013333333333335"/>
    <m/>
    <n v="-46101"/>
    <m/>
    <m/>
    <m/>
    <n v="0"/>
    <m/>
    <m/>
    <m/>
    <m/>
  </r>
  <r>
    <n v="279"/>
    <m/>
    <s v="W12003"/>
    <s v="FBA198W7ZHBG"/>
    <s v="E-US"/>
    <x v="0"/>
    <s v="TXY1_100ML"/>
    <n v="192"/>
    <s v="天盛"/>
    <x v="0"/>
    <x v="31"/>
    <s v="TXY1_100ML"/>
    <s v="TXY1_100ML 桃星云100mL香氛油（天竺） 销售包装"/>
    <s v="Oil-TZ"/>
    <n v="3"/>
    <n v="0.125"/>
    <x v="1"/>
    <n v="1030"/>
    <m/>
    <n v="20.76923076923077"/>
    <n v="149.51923076923077"/>
    <n v="0.77874599358974361"/>
    <n v="0.11623074531190203"/>
    <m/>
    <m/>
    <m/>
    <x v="15"/>
    <d v="2026-04-07T00:00:00"/>
    <m/>
    <n v="0.36333333333333334"/>
    <n v="69.760000000000005"/>
    <m/>
    <n v="-46101"/>
    <m/>
    <m/>
    <m/>
    <n v="0"/>
    <m/>
    <m/>
    <m/>
    <m/>
  </r>
  <r>
    <n v="280"/>
    <s v="备注跟FBA198W7ZHBG合并报关"/>
    <s v="W12003"/>
    <s v="FBA199220GQD"/>
    <s v="K-US"/>
    <x v="0"/>
    <s v="BGR1_100ML_TZ"/>
    <n v="128"/>
    <s v="天盛"/>
    <x v="0"/>
    <x v="0"/>
    <s v="BGR1_100ML_TZ"/>
    <s v="BGR1_100ML_TZ 宝格丽酒店100mL香氛油（天竺） 销售包装"/>
    <s v="Oil-TZ"/>
    <n v="2"/>
    <n v="30"/>
    <x v="0"/>
    <n v="6.6"/>
    <m/>
    <n v="13.846153846153847"/>
    <n v="211.84615384615384"/>
    <n v="1.6550480769230769"/>
    <n v="0.24702210103329506"/>
    <m/>
    <m/>
    <m/>
    <x v="15"/>
    <d v="2026-04-07T00:00:00"/>
    <m/>
    <n v="0.36"/>
    <n v="46.08"/>
    <m/>
    <n v="-46101"/>
    <m/>
    <m/>
    <m/>
    <n v="0"/>
    <m/>
    <m/>
    <m/>
    <m/>
  </r>
  <r>
    <n v="281"/>
    <m/>
    <s v="W12004"/>
    <s v="FBA198W7P8C9"/>
    <s v="E-US"/>
    <x v="0"/>
    <s v="003000007"/>
    <n v="252"/>
    <s v="国润通"/>
    <x v="0"/>
    <x v="32"/>
    <s v="AP2F-H14"/>
    <s v="AP2F-H14 空气净化器滤网2-H14"/>
    <s v="AP2F"/>
    <n v="7"/>
    <n v="154"/>
    <x v="0"/>
    <n v="2.8"/>
    <n v="200"/>
    <n v="7.1065989847715736"/>
    <n v="438.30659898477154"/>
    <n v="1.7393119007332205"/>
    <n v="0.25959879115421203"/>
    <m/>
    <m/>
    <m/>
    <x v="15"/>
    <d v="2026-04-10T00:00:00"/>
    <m/>
    <n v="0.56000000000000005"/>
    <n v="141.12"/>
    <m/>
    <n v="-46101"/>
    <m/>
    <m/>
    <m/>
    <n v="0"/>
    <m/>
    <m/>
    <m/>
    <m/>
  </r>
  <r>
    <n v="282"/>
    <m/>
    <s v="W13010"/>
    <s v="FBA19985BHPR"/>
    <s v="V-US"/>
    <x v="0"/>
    <s v="AN8KIT-B_4X10K05_TZ"/>
    <n v="1200"/>
    <s v="万邦"/>
    <x v="11"/>
    <x v="4"/>
    <s v="AN8KIT-B_4X10K05_TZ"/>
    <s v="AN8KIT-B_4X10K05_TZ AN8黑色机器+4x10mL（天竺）酒店香氛油 机油套装"/>
    <s v="AN8"/>
    <n v="40"/>
    <n v="648"/>
    <x v="0"/>
    <n v="9.4"/>
    <n v="200"/>
    <n v="200"/>
    <n v="6291.2"/>
    <n v="5.2426666666666666"/>
    <n v="0.78248756218905469"/>
    <m/>
    <m/>
    <m/>
    <x v="16"/>
    <d v="2026-04-14T00:00:00"/>
    <m/>
    <n v="0.44"/>
    <n v="528"/>
    <m/>
    <n v="-46109"/>
    <m/>
    <m/>
    <m/>
    <n v="0"/>
    <m/>
    <m/>
    <m/>
    <m/>
  </r>
  <r>
    <n v="283"/>
    <m/>
    <s v="W13008"/>
    <s v="FBA1997PDD0Z"/>
    <s v="V-US"/>
    <x v="0"/>
    <s v="001000019"/>
    <n v="2000"/>
    <s v="万邦"/>
    <x v="0"/>
    <x v="11"/>
    <s v="AN6-B"/>
    <s v="AN6-B 便携式扩香仪 黑色"/>
    <s v="AN6"/>
    <n v="50"/>
    <n v="681.18279569892468"/>
    <x v="0"/>
    <n v="3.9"/>
    <n v="200"/>
    <n v="68.493150684931507"/>
    <n v="2725.106053910738"/>
    <n v="1.362553026955369"/>
    <n v="0.20336612342617447"/>
    <m/>
    <m/>
    <m/>
    <x v="16"/>
    <d v="2026-04-17T00:00:00"/>
    <m/>
    <n v="0.36416666666666669"/>
    <n v="728.33333333333337"/>
    <m/>
    <n v="-46109"/>
    <m/>
    <m/>
    <m/>
    <n v="0"/>
    <m/>
    <m/>
    <m/>
    <m/>
  </r>
  <r>
    <n v="284"/>
    <m/>
    <s v="W13008"/>
    <s v="FBA1997PDD0Z"/>
    <s v="V-US"/>
    <x v="0"/>
    <s v="AN6-LV"/>
    <n v="120"/>
    <s v="万邦"/>
    <x v="0"/>
    <x v="11"/>
    <s v="AN6-LV"/>
    <s v="AN6-LV 便携式扩香仪 薰衣草"/>
    <s v="AN6"/>
    <n v="3"/>
    <n v="40.87096774193548"/>
    <x v="0"/>
    <n v="3.9"/>
    <n v="200"/>
    <n v="4.1095890410958908"/>
    <n v="163.50636323464425"/>
    <n v="1.3625530269553687"/>
    <n v="0.20336612342617444"/>
    <m/>
    <m/>
    <m/>
    <x v="16"/>
    <d v="2026-04-17T00:00:00"/>
    <m/>
    <n v="0.36416666666666669"/>
    <n v="43.7"/>
    <m/>
    <n v="-46109"/>
    <m/>
    <m/>
    <m/>
    <n v="0"/>
    <m/>
    <m/>
    <m/>
    <m/>
  </r>
  <r>
    <n v="285"/>
    <m/>
    <s v="W13008"/>
    <s v="FBA1997PDD0Z"/>
    <s v="V-US"/>
    <x v="0"/>
    <s v="001000020"/>
    <n v="600"/>
    <s v="万邦"/>
    <x v="0"/>
    <x v="11"/>
    <s v="AN6-W"/>
    <s v="AN6-W 便携式扩香仪 白色"/>
    <s v="AN6"/>
    <n v="15"/>
    <n v="204.35483870967741"/>
    <x v="0"/>
    <n v="3.9"/>
    <m/>
    <n v="20.547945205479451"/>
    <n v="817.53181617322127"/>
    <n v="1.3625530269553687"/>
    <n v="0.20336612342617444"/>
    <m/>
    <m/>
    <m/>
    <x v="16"/>
    <d v="2026-04-17T00:00:00"/>
    <m/>
    <n v="0.36416666666666669"/>
    <n v="218.50000000000003"/>
    <m/>
    <n v="-46109"/>
    <m/>
    <m/>
    <m/>
    <n v="0"/>
    <m/>
    <m/>
    <m/>
    <m/>
  </r>
  <r>
    <n v="286"/>
    <m/>
    <s v="W13008"/>
    <s v="FBA1997PDD0Z"/>
    <s v="V-US"/>
    <x v="0"/>
    <s v="AN6-YG"/>
    <n v="200"/>
    <s v="万邦"/>
    <x v="0"/>
    <x v="11"/>
    <s v="AN6-YG"/>
    <s v="AN6-YG 便携式扩香仪 乳酪色"/>
    <s v="AN6"/>
    <n v="5"/>
    <n v="68.118279569892465"/>
    <x v="0"/>
    <n v="3.9"/>
    <m/>
    <n v="6.8493150684931505"/>
    <n v="272.51060539107374"/>
    <n v="1.3625530269553687"/>
    <n v="0.20336612342617444"/>
    <m/>
    <m/>
    <m/>
    <x v="16"/>
    <d v="2026-04-17T00:00:00"/>
    <m/>
    <n v="0.36416666666666669"/>
    <n v="72.833333333333343"/>
    <m/>
    <n v="-46109"/>
    <m/>
    <m/>
    <m/>
    <n v="0"/>
    <m/>
    <m/>
    <m/>
    <m/>
  </r>
  <r>
    <n v="287"/>
    <m/>
    <s v="W13008"/>
    <s v="FBA1997PDD0Z"/>
    <s v="V-US"/>
    <x v="0"/>
    <s v="AN8-B"/>
    <n v="320"/>
    <s v="万邦"/>
    <x v="0"/>
    <x v="11"/>
    <s v="AN8-B"/>
    <s v="AN8-B 便携式扩香仪 黑色"/>
    <s v="AN8"/>
    <n v="8"/>
    <n v="108.98924731182795"/>
    <x v="0"/>
    <n v="3.9"/>
    <m/>
    <n v="10.95890410958904"/>
    <n v="436.01696862571799"/>
    <n v="1.3625530269553687"/>
    <n v="0.20336612342617444"/>
    <m/>
    <m/>
    <m/>
    <x v="16"/>
    <d v="2026-04-17T00:00:00"/>
    <m/>
    <n v="0.36416666666666669"/>
    <n v="116.53333333333335"/>
    <m/>
    <n v="-46109"/>
    <m/>
    <m/>
    <m/>
    <n v="0"/>
    <m/>
    <m/>
    <m/>
    <m/>
  </r>
  <r>
    <n v="288"/>
    <m/>
    <s v="W13008"/>
    <s v="FBA1997PDD0Z"/>
    <s v="V-US"/>
    <x v="0"/>
    <s v="AN8KIT-B_B"/>
    <n v="200"/>
    <s v="万邦"/>
    <x v="0"/>
    <x v="11"/>
    <s v="AN8KIT-B_B"/>
    <s v="AN8KIT-B_B 便携式扩香仪套装 黑+黑"/>
    <s v="AN8"/>
    <n v="10"/>
    <n v="136.23655913978493"/>
    <x v="0"/>
    <n v="3.9"/>
    <m/>
    <n v="13.698630136986301"/>
    <n v="545.02121078214748"/>
    <n v="2.7251060539107375"/>
    <n v="0.40673224685234888"/>
    <m/>
    <m/>
    <m/>
    <x v="16"/>
    <d v="2026-04-17T00:00:00"/>
    <m/>
    <n v="0.36416666666666669"/>
    <n v="72.833333333333343"/>
    <m/>
    <n v="-46109"/>
    <m/>
    <m/>
    <m/>
    <n v="0"/>
    <m/>
    <m/>
    <m/>
    <m/>
  </r>
  <r>
    <n v="289"/>
    <m/>
    <s v="W13008"/>
    <s v="FBA1997PDD0Z"/>
    <s v="V-US"/>
    <x v="0"/>
    <s v="001000021"/>
    <n v="200"/>
    <s v="万邦"/>
    <x v="0"/>
    <x v="11"/>
    <s v="AN6NZ-B"/>
    <s v="AN6NZ-B AN6喷嘴配件套装 黑色"/>
    <s v="AN6-AC"/>
    <n v="1"/>
    <n v="13.623655913978494"/>
    <x v="0"/>
    <n v="3.9"/>
    <m/>
    <n v="1.3698630136986301"/>
    <n v="54.502121078214749"/>
    <n v="0.27251060539107375"/>
    <n v="4.0673224685234884E-2"/>
    <m/>
    <m/>
    <m/>
    <x v="16"/>
    <d v="2026-04-17T00:00:00"/>
    <m/>
    <n v="0.36416666666666669"/>
    <n v="72.833333333333343"/>
    <m/>
    <n v="-46109"/>
    <m/>
    <m/>
    <m/>
    <n v="0"/>
    <m/>
    <m/>
    <m/>
    <m/>
  </r>
  <r>
    <n v="290"/>
    <m/>
    <s v="W13008"/>
    <s v="FBA1997PDD0Z"/>
    <s v="V-US"/>
    <x v="0"/>
    <s v="001000021"/>
    <n v="100"/>
    <s v="万邦"/>
    <x v="0"/>
    <x v="11"/>
    <s v="AN6NZ-B"/>
    <s v="AN6NZ-B AN6喷嘴配件套装 黑色"/>
    <s v="AN6-AC"/>
    <n v="0.5"/>
    <n v="6.811827956989247"/>
    <x v="0"/>
    <n v="3.9"/>
    <m/>
    <n v="0.68493150684931503"/>
    <n v="27.251060539107375"/>
    <n v="0.27251060539107375"/>
    <n v="4.0673224685234884E-2"/>
    <m/>
    <m/>
    <m/>
    <x v="16"/>
    <d v="2026-04-17T00:00:00"/>
    <m/>
    <n v="0.36416666666666669"/>
    <n v="36.416666666666671"/>
    <m/>
    <n v="-46109"/>
    <m/>
    <m/>
    <m/>
    <n v="0"/>
    <m/>
    <m/>
    <m/>
    <m/>
  </r>
  <r>
    <n v="291"/>
    <m/>
    <s v="W13008"/>
    <s v="FBA1997PDD0Z"/>
    <s v="V-US"/>
    <x v="0"/>
    <s v="001000022"/>
    <n v="100"/>
    <s v="万邦"/>
    <x v="0"/>
    <x v="11"/>
    <s v="AN6NZ-W"/>
    <s v="AN6NZ-W AN6喷嘴配件套装 白色"/>
    <s v="AN6-AC"/>
    <n v="0.5"/>
    <n v="6.811827956989247"/>
    <x v="0"/>
    <n v="3.9"/>
    <m/>
    <n v="0.68493150684931503"/>
    <n v="27.251060539107375"/>
    <n v="0.27251060539107375"/>
    <n v="4.0673224685234884E-2"/>
    <m/>
    <m/>
    <m/>
    <x v="16"/>
    <d v="2026-04-17T00:00:00"/>
    <m/>
    <n v="0.36416666666666669"/>
    <n v="36.416666666666671"/>
    <m/>
    <n v="-46109"/>
    <m/>
    <m/>
    <m/>
    <n v="0"/>
    <m/>
    <m/>
    <m/>
    <m/>
  </r>
  <r>
    <n v="292"/>
    <m/>
    <s v="W13009"/>
    <s v="FBA199C7XWBM"/>
    <s v="V-US"/>
    <x v="0"/>
    <s v="AN6KIT-B_4X10K04_TZ"/>
    <n v="300"/>
    <s v="嘀嗒嘀"/>
    <x v="0"/>
    <x v="15"/>
    <s v="AN6KIT-B_4X10K04_TZ"/>
    <s v="AN6KIT-B_4X10K04_TZ AN6黑色机器+4x10mL酒店（天竺）香氛油 机油套装"/>
    <s v="AN6"/>
    <n v="10"/>
    <n v="158.79611650485435"/>
    <x v="0"/>
    <n v="4.2"/>
    <n v="200"/>
    <n v="14.492753623188406"/>
    <n v="681.43644294357671"/>
    <n v="2.2714548098119223"/>
    <n v="0.33902310594207796"/>
    <m/>
    <m/>
    <m/>
    <x v="16"/>
    <d v="2026-04-19T00:00:00"/>
    <m/>
    <n v="0.43999999999999995"/>
    <n v="131.99999999999997"/>
    <m/>
    <n v="-46109"/>
    <m/>
    <m/>
    <m/>
    <n v="0"/>
    <m/>
    <m/>
    <m/>
    <m/>
  </r>
  <r>
    <n v="293"/>
    <m/>
    <s v="W13009"/>
    <s v="FBA199C7XWBM"/>
    <s v="V-US"/>
    <x v="0"/>
    <s v="AN8KIT-B_4X10K01"/>
    <n v="570"/>
    <s v="嘀嗒嘀"/>
    <x v="0"/>
    <x v="15"/>
    <s v="AN8KIT-B_4X10K01"/>
    <s v="AN8KIT-B_4X10K01 AN8黑色机器+4x10mL酒店香氛油 机油套装"/>
    <s v="AN8"/>
    <n v="19"/>
    <n v="301.71262135922331"/>
    <x v="0"/>
    <n v="4.2"/>
    <n v="200"/>
    <n v="27.536231884057973"/>
    <n v="1294.7292415927959"/>
    <n v="2.2714548098119227"/>
    <n v="0.33902310594207802"/>
    <m/>
    <m/>
    <m/>
    <x v="16"/>
    <d v="2026-04-19T00:00:00"/>
    <m/>
    <n v="0.43999999999999995"/>
    <n v="250.79999999999998"/>
    <m/>
    <n v="-46109"/>
    <m/>
    <m/>
    <m/>
    <n v="0"/>
    <m/>
    <m/>
    <m/>
    <m/>
  </r>
  <r>
    <n v="294"/>
    <m/>
    <s v="W13009"/>
    <s v="FBA199C7XWBM"/>
    <s v="V-US"/>
    <x v="0"/>
    <s v="AN8KIT-B_4X10K05_TZ"/>
    <n v="1500"/>
    <s v="嘀嗒嘀"/>
    <x v="0"/>
    <x v="15"/>
    <s v="AN8KIT-B_4X10K05_TZ"/>
    <s v="AN8KIT-B_4X10K05_TZ AN8黑色机器+4x10mL（天竺）酒店香氛油 机油套装"/>
    <s v="AN8"/>
    <n v="50"/>
    <n v="793.98058252427188"/>
    <x v="0"/>
    <n v="4.2"/>
    <m/>
    <n v="72.463768115942031"/>
    <n v="3407.1822147178841"/>
    <n v="2.2714548098119227"/>
    <n v="0.33902310594207802"/>
    <m/>
    <m/>
    <m/>
    <x v="16"/>
    <d v="2026-04-19T00:00:00"/>
    <m/>
    <n v="0.43999999999999995"/>
    <n v="659.99999999999989"/>
    <m/>
    <n v="-46109"/>
    <m/>
    <m/>
    <m/>
    <n v="0"/>
    <m/>
    <m/>
    <m/>
    <m/>
  </r>
  <r>
    <n v="295"/>
    <m/>
    <s v="W13009"/>
    <s v="FBA199C7XWBM"/>
    <s v="V-US"/>
    <x v="0"/>
    <s v="AN8KIT-WH_4X10K05_TZ"/>
    <n v="720"/>
    <s v="嘀嗒嘀"/>
    <x v="0"/>
    <x v="15"/>
    <s v="AN8KIT-WH_4X10K05_TZ"/>
    <s v="AN8KIT-WH_4X10K05_TZ AN8白色机器+4x10mL（天竺）酒店香氛油 机油套装"/>
    <s v="AN8"/>
    <n v="24"/>
    <n v="381.11067961165048"/>
    <x v="0"/>
    <n v="4.2"/>
    <m/>
    <n v="34.782608695652172"/>
    <n v="1635.4474630645843"/>
    <n v="2.2714548098119227"/>
    <n v="0.33902310594207802"/>
    <m/>
    <m/>
    <m/>
    <x v="16"/>
    <d v="2026-04-19T00:00:00"/>
    <m/>
    <n v="0.43999999999999995"/>
    <n v="316.79999999999995"/>
    <m/>
    <n v="-46109"/>
    <m/>
    <m/>
    <m/>
    <n v="0"/>
    <m/>
    <m/>
    <m/>
    <m/>
  </r>
  <r>
    <n v="296"/>
    <m/>
    <s v="W13009"/>
    <s v="FBA1998DXN77"/>
    <s v="A-US"/>
    <x v="0"/>
    <s v="ANZKIT-W_SJ30ML"/>
    <n v="150"/>
    <s v="嘀嗒嘀"/>
    <x v="0"/>
    <x v="15"/>
    <s v="ANZKIT-W_SJ30ML"/>
    <s v="ANZKIT-W_SJ30ML ANZ白色机器+30mL四季酒店香氛油（天竺） 机油套装"/>
    <s v="ANZ"/>
    <n v="5"/>
    <n v="79.400000000000006"/>
    <x v="0"/>
    <n v="4.2"/>
    <m/>
    <n v="7.2463768115942031"/>
    <n v="340.72637681159421"/>
    <n v="2.2715091787439614"/>
    <n v="0.33903122070805392"/>
    <m/>
    <m/>
    <m/>
    <x v="16"/>
    <d v="2026-04-19T00:00:00"/>
    <m/>
    <n v="0.44"/>
    <n v="66"/>
    <m/>
    <n v="-46109"/>
    <m/>
    <m/>
    <m/>
    <n v="0"/>
    <m/>
    <m/>
    <m/>
    <m/>
  </r>
  <r>
    <n v="297"/>
    <m/>
    <s v="W13011"/>
    <s v="FBA19981TS59"/>
    <s v="E-US"/>
    <x v="0"/>
    <s v="ANZ-B"/>
    <n v="800"/>
    <s v="万邦"/>
    <x v="6"/>
    <x v="5"/>
    <s v="ANZ-B"/>
    <s v="ANZ-B 便携式扩香仪 黑色"/>
    <s v="ANZ"/>
    <n v="20"/>
    <n v="287.14"/>
    <x v="0"/>
    <n v="4.9000000000000004"/>
    <n v="200"/>
    <n v="142.85714285714286"/>
    <n v="1549.843142857143"/>
    <n v="1.9373039285714286"/>
    <n v="0.28914984008528782"/>
    <m/>
    <m/>
    <m/>
    <x v="16"/>
    <d v="2026-04-12T00:00:00"/>
    <m/>
    <n v="0.36"/>
    <n v="288"/>
    <m/>
    <n v="-46109"/>
    <m/>
    <m/>
    <m/>
    <n v="0"/>
    <m/>
    <m/>
    <m/>
    <m/>
  </r>
  <r>
    <n v="298"/>
    <m/>
    <s v="W13011"/>
    <s v="FBA19982BL68"/>
    <s v="E-US"/>
    <x v="0"/>
    <s v="ANZKIT-B_4X10K04_TZ"/>
    <n v="240"/>
    <s v="万邦"/>
    <x v="6"/>
    <x v="5"/>
    <s v="ANZKIT-B_4X10K04_TZ"/>
    <s v="ANZKIT-B_4X10K04_TZ ANZ黑色机器+4x10mL酒店（天竺）香氛油 机油套装"/>
    <s v="ANZ"/>
    <n v="8"/>
    <n v="114.86"/>
    <x v="0"/>
    <n v="4.9000000000000004"/>
    <n v="200"/>
    <n v="57.142857142857146"/>
    <n v="619.95685714285719"/>
    <n v="2.5831535714285718"/>
    <n v="0.38554530916844354"/>
    <m/>
    <m/>
    <m/>
    <x v="16"/>
    <d v="2026-04-12T00:00:00"/>
    <m/>
    <n v="0.44"/>
    <n v="105.6"/>
    <m/>
    <n v="-46109"/>
    <m/>
    <m/>
    <m/>
    <n v="0"/>
    <m/>
    <m/>
    <m/>
    <m/>
  </r>
  <r>
    <n v="299"/>
    <m/>
    <s v="W13009"/>
    <s v="FBA1997ZZGG7"/>
    <s v="E-US"/>
    <x v="0"/>
    <s v="ANZKIT-B_4X10K04_TZ"/>
    <n v="360"/>
    <s v="嘀嗒嘀"/>
    <x v="0"/>
    <x v="5"/>
    <s v="ANZKIT-B_4X10K04_TZ"/>
    <s v="ANZKIT-B_4X10K04_TZ ANZ黑色机器+4x10mL酒店（天竺）香氛油 机油套装"/>
    <s v="ANZ"/>
    <n v="12"/>
    <n v="192.54545454545456"/>
    <x v="0"/>
    <n v="4.3"/>
    <n v="200"/>
    <n v="17.391304347826086"/>
    <n v="845.33675889328072"/>
    <n v="2.3481576635924464"/>
    <n v="0.35047129307349945"/>
    <m/>
    <m/>
    <m/>
    <x v="16"/>
    <d v="2026-04-19T00:00:00"/>
    <m/>
    <n v="0.43999999999999995"/>
    <n v="158.39999999999998"/>
    <m/>
    <n v="-46109"/>
    <m/>
    <m/>
    <m/>
    <n v="0"/>
    <m/>
    <m/>
    <m/>
    <m/>
  </r>
  <r>
    <n v="300"/>
    <m/>
    <s v="W13009"/>
    <s v="FBA1997ZZGG7"/>
    <s v="E-US"/>
    <x v="0"/>
    <s v="ANZKIT-W_4X10K04_TZ"/>
    <n v="300"/>
    <s v="嘀嗒嘀"/>
    <x v="0"/>
    <x v="5"/>
    <s v="ANZKIT-W_4X10K04_TZ"/>
    <s v="ANZKIT-W_4X10K04_TZ ANZ白色机器+4x10mL酒店（天竺）香氛油 机油套装"/>
    <s v="ANZ"/>
    <n v="10"/>
    <n v="160.45454545454547"/>
    <x v="0"/>
    <n v="4.3"/>
    <n v="200"/>
    <n v="14.492753623188406"/>
    <n v="704.44729907773387"/>
    <n v="2.3481576635924464"/>
    <n v="0.35047129307349945"/>
    <m/>
    <m/>
    <m/>
    <x v="16"/>
    <d v="2026-04-19T00:00:00"/>
    <m/>
    <n v="0.43999999999999995"/>
    <n v="131.99999999999997"/>
    <m/>
    <n v="-46109"/>
    <m/>
    <m/>
    <m/>
    <n v="0"/>
    <m/>
    <m/>
    <m/>
    <m/>
  </r>
  <r>
    <n v="301"/>
    <m/>
    <s v="W13005"/>
    <s v="FBA19981L65S"/>
    <s v="E-US"/>
    <x v="0"/>
    <s v="001000045"/>
    <n v="180"/>
    <s v="国润通"/>
    <x v="0"/>
    <x v="5"/>
    <s v="ANX-B"/>
    <s v="ANX-B 便携式扩香仪 黑色"/>
    <s v="ANX"/>
    <n v="6"/>
    <n v="76.89473684210526"/>
    <x v="0"/>
    <n v="4"/>
    <n v="200"/>
    <n v="12"/>
    <n v="319.57894736842104"/>
    <n v="1.775438596491228"/>
    <n v="0.26499083529719819"/>
    <m/>
    <m/>
    <m/>
    <x v="16"/>
    <d v="2026-04-18T00:00:00"/>
    <m/>
    <n v="0.38244604316546765"/>
    <n v="68.840287769784183"/>
    <m/>
    <n v="-46109"/>
    <m/>
    <m/>
    <m/>
    <n v="0"/>
    <m/>
    <m/>
    <m/>
    <m/>
  </r>
  <r>
    <n v="302"/>
    <m/>
    <s v="W13005"/>
    <s v="FBA19981L65S"/>
    <s v="E-US"/>
    <x v="0"/>
    <s v="001000052"/>
    <n v="210"/>
    <s v="国润通"/>
    <x v="0"/>
    <x v="5"/>
    <s v="ANX-DT"/>
    <s v="ANX-DT 便携式扩香仪 沙漠钛色"/>
    <s v="ANX"/>
    <n v="7"/>
    <n v="89.71052631578948"/>
    <x v="0"/>
    <n v="4"/>
    <n v="200"/>
    <n v="14"/>
    <n v="372.84210526315792"/>
    <n v="1.7754385964912283"/>
    <n v="0.26499083529719825"/>
    <m/>
    <m/>
    <m/>
    <x v="16"/>
    <d v="2026-04-18T00:00:00"/>
    <m/>
    <n v="0.38244604316546765"/>
    <n v="80.313669064748211"/>
    <m/>
    <n v="-46109"/>
    <m/>
    <m/>
    <m/>
    <n v="0"/>
    <m/>
    <m/>
    <m/>
    <m/>
  </r>
  <r>
    <n v="303"/>
    <m/>
    <s v="W13005"/>
    <s v="FBA19981L65S"/>
    <s v="E-US"/>
    <x v="0"/>
    <s v="ANZ-B"/>
    <n v="600"/>
    <s v="国润通"/>
    <x v="0"/>
    <x v="5"/>
    <s v="ANZ-B"/>
    <s v="ANZ-B 便携式扩香仪 黑色"/>
    <s v="ANZ"/>
    <n v="15"/>
    <n v="192.23684210526315"/>
    <x v="0"/>
    <n v="4"/>
    <m/>
    <n v="30"/>
    <n v="798.9473684210526"/>
    <n v="1.331578947368421"/>
    <n v="0.19874312647289866"/>
    <m/>
    <m/>
    <m/>
    <x v="16"/>
    <d v="2026-04-18T00:00:00"/>
    <m/>
    <n v="0.38244604316546765"/>
    <n v="229.46762589928059"/>
    <m/>
    <n v="-46109"/>
    <m/>
    <m/>
    <m/>
    <n v="0"/>
    <m/>
    <m/>
    <m/>
    <m/>
  </r>
  <r>
    <n v="304"/>
    <m/>
    <s v="W13005"/>
    <s v="FBA19981L65S"/>
    <s v="E-US"/>
    <x v="0"/>
    <s v="ANZ-WH"/>
    <n v="400"/>
    <s v="国润通"/>
    <x v="0"/>
    <x v="5"/>
    <s v="ANZ-WH"/>
    <s v="ANZ-WH 便携式扩香仪 白色"/>
    <s v="ANZ"/>
    <n v="10"/>
    <n v="128.15789473684211"/>
    <x v="0"/>
    <n v="4"/>
    <m/>
    <n v="20"/>
    <n v="532.63157894736844"/>
    <n v="1.3315789473684212"/>
    <n v="0.19874312647289868"/>
    <m/>
    <m/>
    <m/>
    <x v="16"/>
    <d v="2026-04-18T00:00:00"/>
    <m/>
    <n v="0.38244604316546765"/>
    <n v="152.97841726618705"/>
    <m/>
    <n v="-46109"/>
    <m/>
    <m/>
    <m/>
    <n v="0"/>
    <m/>
    <m/>
    <m/>
    <m/>
  </r>
  <r>
    <n v="305"/>
    <m/>
    <s v="W13006"/>
    <s v="FBA15LKVV9JS"/>
    <s v="E-UK"/>
    <x v="2"/>
    <s v="AN6-G"/>
    <n v="80"/>
    <s v="嘀嗒嘀"/>
    <x v="3"/>
    <x v="13"/>
    <s v="AN6-G"/>
    <s v="AN6-G 便携式扩香仪 灰色"/>
    <s v="AN6"/>
    <n v="2"/>
    <n v="24.5"/>
    <x v="0"/>
    <n v="4.5999999999999996"/>
    <n v="550"/>
    <n v="68.75"/>
    <n v="181.45"/>
    <n v="2.2681249999999999"/>
    <n v="0.33852611940298505"/>
    <m/>
    <m/>
    <m/>
    <x v="16"/>
    <d v="2026-05-10T00:00:00"/>
    <m/>
    <n v="0"/>
    <n v="0"/>
    <m/>
    <n v="-46109"/>
    <m/>
    <m/>
    <m/>
    <n v="0"/>
    <m/>
    <m/>
    <m/>
    <m/>
  </r>
  <r>
    <n v="306"/>
    <m/>
    <s v="W13006"/>
    <s v="FBA15LKVV9JS"/>
    <s v="E-UK"/>
    <x v="2"/>
    <s v="001000045"/>
    <n v="210"/>
    <s v="嘀嗒嘀"/>
    <x v="3"/>
    <x v="13"/>
    <s v="ANX-B"/>
    <s v="ANX-B 便携式扩香仪 黑色"/>
    <s v="ANX"/>
    <n v="7"/>
    <n v="85.75"/>
    <x v="0"/>
    <n v="4.5999999999999996"/>
    <n v="550"/>
    <n v="240.625"/>
    <n v="635.07500000000005"/>
    <n v="3.0241666666666669"/>
    <n v="0.4513681592039801"/>
    <m/>
    <m/>
    <m/>
    <x v="16"/>
    <d v="2026-05-10T00:00:00"/>
    <m/>
    <n v="0"/>
    <n v="0"/>
    <m/>
    <n v="-46109"/>
    <m/>
    <m/>
    <m/>
    <n v="0"/>
    <m/>
    <m/>
    <m/>
    <m/>
  </r>
  <r>
    <n v="307"/>
    <m/>
    <s v="W13006"/>
    <s v="FBA15LKVV9JS"/>
    <s v="E-UK"/>
    <x v="2"/>
    <s v="001000052"/>
    <n v="90"/>
    <s v="嘀嗒嘀"/>
    <x v="3"/>
    <x v="13"/>
    <s v="ANX-DT"/>
    <s v="ANX-DT 便携式扩香仪 沙漠钛色"/>
    <s v="ANX"/>
    <n v="3"/>
    <n v="36.75"/>
    <x v="0"/>
    <n v="4.5999999999999996"/>
    <m/>
    <n v="103.125"/>
    <n v="272.17499999999995"/>
    <n v="3.024166666666666"/>
    <n v="0.45136815920397999"/>
    <m/>
    <m/>
    <m/>
    <x v="16"/>
    <d v="2026-05-10T00:00:00"/>
    <m/>
    <n v="0"/>
    <n v="0"/>
    <m/>
    <n v="-46109"/>
    <m/>
    <m/>
    <m/>
    <n v="0"/>
    <m/>
    <m/>
    <m/>
    <m/>
  </r>
  <r>
    <n v="308"/>
    <m/>
    <s v="W13006"/>
    <s v="FBA15LKVV9JS"/>
    <s v="E-UK"/>
    <x v="2"/>
    <s v="001000051"/>
    <n v="60"/>
    <s v="嘀嗒嘀"/>
    <x v="3"/>
    <x v="13"/>
    <s v="ANX-SG"/>
    <s v="ANX-SG 便携式扩香仪 太空灰色"/>
    <s v="ANX"/>
    <n v="2"/>
    <n v="24.5"/>
    <x v="0"/>
    <n v="4.5999999999999996"/>
    <m/>
    <n v="68.75"/>
    <n v="181.45"/>
    <n v="3.0241666666666664"/>
    <n v="0.45136815920398005"/>
    <m/>
    <m/>
    <m/>
    <x v="16"/>
    <d v="2026-05-10T00:00:00"/>
    <m/>
    <n v="0"/>
    <n v="0"/>
    <m/>
    <n v="-46109"/>
    <m/>
    <m/>
    <m/>
    <n v="0"/>
    <m/>
    <m/>
    <m/>
    <m/>
  </r>
  <r>
    <n v="309"/>
    <m/>
    <s v="W13006"/>
    <s v="FBA15LKVV9JS"/>
    <s v="E-UK"/>
    <x v="2"/>
    <s v="001000046"/>
    <n v="60"/>
    <s v="嘀嗒嘀"/>
    <x v="3"/>
    <x v="13"/>
    <s v="ANX-SILV"/>
    <s v="ANX-SILV 便携式扩香仪 银色"/>
    <s v="ANX"/>
    <n v="2"/>
    <n v="24.5"/>
    <x v="0"/>
    <n v="4.5999999999999996"/>
    <m/>
    <n v="68.75"/>
    <n v="181.45"/>
    <n v="3.0241666666666664"/>
    <n v="0.45136815920398005"/>
    <m/>
    <m/>
    <m/>
    <x v="16"/>
    <d v="2026-05-10T00:00:00"/>
    <m/>
    <n v="0"/>
    <n v="0"/>
    <m/>
    <n v="-46109"/>
    <m/>
    <m/>
    <m/>
    <n v="0"/>
    <m/>
    <m/>
    <m/>
    <m/>
  </r>
  <r>
    <n v="310"/>
    <m/>
    <s v="W13007"/>
    <s v="FBA15LKZVHYC"/>
    <s v="W-DE"/>
    <x v="1"/>
    <s v="AN8KIT-B_4X10K05_TZ"/>
    <n v="150"/>
    <s v="万邦"/>
    <x v="4"/>
    <x v="30"/>
    <s v="AN8KIT-B_4X10K05_TZ"/>
    <s v="AN8KIT-B_4X10K05_TZ AN8黑色机器+4x10mL（天竺）酒店香氛油 机油套装"/>
    <s v="AN8"/>
    <n v="5"/>
    <n v="79.5"/>
    <x v="0"/>
    <n v="9.6"/>
    <n v="550"/>
    <n v="275"/>
    <n v="1038.1999999999998"/>
    <n v="6.9213333333333322"/>
    <n v="1.0330348258706465"/>
    <m/>
    <m/>
    <m/>
    <x v="17"/>
    <d v="2026-04-29T00:00:00"/>
    <m/>
    <n v="0"/>
    <n v="0"/>
    <m/>
    <n v="-46107"/>
    <m/>
    <m/>
    <m/>
    <n v="0"/>
    <m/>
    <m/>
    <m/>
    <m/>
  </r>
  <r>
    <n v="311"/>
    <m/>
    <s v="W13007"/>
    <s v="FBA15LKZVHYC"/>
    <s v="W-DE"/>
    <x v="1"/>
    <s v="AN8KIT-WH_4X10K05_TZ"/>
    <n v="90"/>
    <s v="万邦"/>
    <x v="4"/>
    <x v="30"/>
    <s v="AN8KIT-WH_4X10K05_TZ"/>
    <s v="AN8KIT-WH_4X10K05_TZ AN8白色机器+4x10mL（天竺）酒店香氛油 机油套装"/>
    <s v="AN8"/>
    <n v="3"/>
    <n v="47.7"/>
    <x v="0"/>
    <n v="9.6"/>
    <n v="550"/>
    <n v="165"/>
    <n v="622.92000000000007"/>
    <n v="6.921333333333334"/>
    <n v="1.0330348258706468"/>
    <m/>
    <m/>
    <m/>
    <x v="17"/>
    <d v="2026-04-29T00:00:00"/>
    <m/>
    <n v="0"/>
    <n v="0"/>
    <m/>
    <n v="-46107"/>
    <m/>
    <m/>
    <m/>
    <n v="0"/>
    <m/>
    <m/>
    <m/>
    <m/>
  </r>
  <r>
    <n v="312"/>
    <m/>
    <s v="W13009"/>
    <s v="FBA1990KKRQ3"/>
    <s v="A-US"/>
    <x v="0"/>
    <s v="ANZKIT-B_B"/>
    <n v="160"/>
    <s v="嘀嗒嘀"/>
    <x v="0"/>
    <x v="0"/>
    <s v="ANZKIT-B_B"/>
    <s v="ANZKIT-B_B 便携式扩香仪 黑色 两个装"/>
    <s v="ANZ"/>
    <n v="8"/>
    <n v="104"/>
    <x v="0"/>
    <n v="4.0999999999999996"/>
    <n v="200"/>
    <n v="11.594202898550725"/>
    <n v="437.99420289855072"/>
    <n v="2.7374637681159419"/>
    <n v="0.40857668180834955"/>
    <m/>
    <m/>
    <m/>
    <x v="16"/>
    <d v="2026-04-19T00:00:00"/>
    <m/>
    <n v="0.44000000000000006"/>
    <n v="70.400000000000006"/>
    <m/>
    <n v="-46109"/>
    <m/>
    <m/>
    <m/>
    <n v="0"/>
    <m/>
    <m/>
    <m/>
    <m/>
  </r>
  <r>
    <n v="313"/>
    <m/>
    <s v="W13002"/>
    <s v="FBA1998CWPX7"/>
    <s v="W-US"/>
    <x v="0"/>
    <s v="002000027"/>
    <n v="192"/>
    <s v="国润通"/>
    <x v="0"/>
    <x v="15"/>
    <s v="M1-B"/>
    <s v="M1-B 电子球形把手锁 黑色"/>
    <s v="M1"/>
    <n v="12"/>
    <n v="175.99924528301887"/>
    <x v="0"/>
    <n v="3.9"/>
    <n v="200"/>
    <n v="38.095238095238095"/>
    <n v="724.49229469901161"/>
    <n v="3.7733973682240189"/>
    <n v="0.56319363704836101"/>
    <m/>
    <m/>
    <m/>
    <x v="18"/>
    <d v="2026-04-13T00:00:00"/>
    <m/>
    <n v="0.55999999999999994"/>
    <n v="107.51999999999998"/>
    <m/>
    <n v="-46108"/>
    <m/>
    <m/>
    <m/>
    <n v="0"/>
    <m/>
    <m/>
    <m/>
    <m/>
  </r>
  <r>
    <n v="314"/>
    <m/>
    <s v="W13002"/>
    <s v="FBA1998CWPX7"/>
    <s v="W-US"/>
    <x v="0"/>
    <s v="002000028"/>
    <n v="64"/>
    <s v="国润通"/>
    <x v="0"/>
    <x v="15"/>
    <s v="M1-T"/>
    <s v="M1-T 电子球形把手锁 钛灰色"/>
    <s v="M1"/>
    <n v="4"/>
    <n v="58.666415094339627"/>
    <x v="0"/>
    <n v="3.9"/>
    <n v="200"/>
    <n v="12.698412698412698"/>
    <n v="241.49743156633724"/>
    <n v="3.7733973682240194"/>
    <n v="0.56319363704836112"/>
    <m/>
    <m/>
    <m/>
    <x v="18"/>
    <d v="2026-04-13T00:00:00"/>
    <m/>
    <n v="0.55999999999999994"/>
    <n v="35.839999999999996"/>
    <m/>
    <n v="-46108"/>
    <m/>
    <m/>
    <m/>
    <n v="0"/>
    <m/>
    <m/>
    <m/>
    <m/>
  </r>
  <r>
    <n v="315"/>
    <m/>
    <s v="W13002"/>
    <s v="FBA1998CWPX7"/>
    <s v="W-US"/>
    <x v="0"/>
    <s v="002000029"/>
    <n v="528"/>
    <s v="国润通"/>
    <x v="0"/>
    <x v="15"/>
    <s v="MD1-B"/>
    <s v="MD1-B 电子球形把手锁 指纹 黑色"/>
    <s v="MD1"/>
    <n v="33"/>
    <n v="483.99792452830189"/>
    <x v="0"/>
    <n v="3.9"/>
    <m/>
    <n v="104.76190476190476"/>
    <n v="1992.3538104222821"/>
    <n v="3.7733973682240189"/>
    <n v="0.56319363704836101"/>
    <m/>
    <m/>
    <m/>
    <x v="18"/>
    <d v="2026-04-13T00:00:00"/>
    <m/>
    <n v="0.55999999999999994"/>
    <n v="295.67999999999995"/>
    <m/>
    <n v="-46108"/>
    <m/>
    <m/>
    <m/>
    <n v="0"/>
    <m/>
    <m/>
    <m/>
    <m/>
  </r>
  <r>
    <n v="316"/>
    <m/>
    <s v="W13002"/>
    <s v="FBA1998CWPX7"/>
    <s v="W-US"/>
    <x v="0"/>
    <s v="002000030"/>
    <n v="16"/>
    <s v="国润通"/>
    <x v="0"/>
    <x v="15"/>
    <s v="MD1-T"/>
    <s v="MD1-T 电子球形把手锁 指纹 钛灰色"/>
    <s v="MD1"/>
    <n v="1"/>
    <n v="14.666603773584907"/>
    <x v="0"/>
    <n v="3.9"/>
    <m/>
    <n v="3.1746031746031744"/>
    <n v="60.37435789158431"/>
    <n v="3.7733973682240194"/>
    <n v="0.56319363704836112"/>
    <m/>
    <m/>
    <m/>
    <x v="18"/>
    <d v="2026-04-13T00:00:00"/>
    <m/>
    <n v="0.55999999999999994"/>
    <n v="8.9599999999999991"/>
    <m/>
    <n v="-46108"/>
    <m/>
    <m/>
    <m/>
    <n v="0"/>
    <m/>
    <m/>
    <m/>
    <m/>
  </r>
  <r>
    <n v="317"/>
    <m/>
    <s v="W13002"/>
    <s v="FBA1998CWPX7"/>
    <s v="W-US"/>
    <x v="0"/>
    <s v="002000031"/>
    <n v="32"/>
    <s v="国润通"/>
    <x v="0"/>
    <x v="15"/>
    <s v="MK1-B"/>
    <s v="MK1-B 智能球形把手锁 黑色"/>
    <s v="MK1"/>
    <n v="2"/>
    <n v="29.333207547169813"/>
    <x v="0"/>
    <n v="3.9"/>
    <m/>
    <n v="6.3492063492063489"/>
    <n v="120.74871578316862"/>
    <n v="3.7733973682240194"/>
    <n v="0.56319363704836112"/>
    <m/>
    <m/>
    <m/>
    <x v="18"/>
    <d v="2026-04-13T00:00:00"/>
    <m/>
    <n v="0.55999999999999994"/>
    <n v="17.919999999999998"/>
    <m/>
    <n v="-46108"/>
    <m/>
    <m/>
    <m/>
    <n v="0"/>
    <m/>
    <m/>
    <m/>
    <m/>
  </r>
  <r>
    <n v="318"/>
    <m/>
    <s v="W13002"/>
    <s v="FBA1998CWPX7"/>
    <s v="W-US"/>
    <x v="0"/>
    <s v="002000032"/>
    <n v="16"/>
    <s v="国润通"/>
    <x v="0"/>
    <x v="15"/>
    <s v="MK1-T"/>
    <s v="MK1-T 智能球形把手锁 钛色"/>
    <s v="MK1"/>
    <n v="1"/>
    <n v="14.666603773584907"/>
    <x v="0"/>
    <n v="3.9"/>
    <m/>
    <n v="3.1746031746031744"/>
    <n v="60.37435789158431"/>
    <n v="3.7733973682240194"/>
    <n v="0.56319363704836112"/>
    <m/>
    <m/>
    <m/>
    <x v="18"/>
    <d v="2026-04-13T00:00:00"/>
    <m/>
    <n v="0.55999999999999994"/>
    <n v="8.9599999999999991"/>
    <m/>
    <n v="-46108"/>
    <m/>
    <m/>
    <m/>
    <n v="0"/>
    <m/>
    <m/>
    <m/>
    <m/>
  </r>
  <r>
    <n v="319"/>
    <m/>
    <s v="W13004"/>
    <s v="FBA1998BJR8W"/>
    <s v="W-US"/>
    <x v="0"/>
    <s v="002000027"/>
    <n v="176"/>
    <s v="国润通"/>
    <x v="6"/>
    <x v="31"/>
    <s v="M1-B"/>
    <s v="M1-B 电子球形把手锁 黑色"/>
    <s v="M1"/>
    <n v="11"/>
    <n v="159"/>
    <x v="0"/>
    <n v="4.3"/>
    <n v="200"/>
    <n v="200"/>
    <n v="883.69999999999993"/>
    <n v="5.0210227272727268"/>
    <n v="0.74940637720488457"/>
    <m/>
    <m/>
    <m/>
    <x v="18"/>
    <d v="2026-04-14T00:00:00"/>
    <m/>
    <n v="0.56000000000000005"/>
    <n v="98.56"/>
    <m/>
    <n v="-46108"/>
    <m/>
    <m/>
    <m/>
    <n v="0"/>
    <m/>
    <m/>
    <m/>
    <m/>
  </r>
  <r>
    <n v="320"/>
    <m/>
    <s v="W13002"/>
    <s v="FBA1998CHTC2"/>
    <s v="W-US"/>
    <x v="0"/>
    <s v="G1-B"/>
    <n v="160"/>
    <s v="国润通"/>
    <x v="0"/>
    <x v="15"/>
    <s v="G1-B"/>
    <s v="G1-B 电子球形把手锁 黑色"/>
    <s v="G1"/>
    <n v="10"/>
    <n v="146.66999999999999"/>
    <x v="0"/>
    <n v="3.9"/>
    <n v="200"/>
    <n v="31.746031746031747"/>
    <n v="603.75903174603172"/>
    <n v="3.7734939484126984"/>
    <n v="0.56320805200189528"/>
    <m/>
    <m/>
    <m/>
    <x v="18"/>
    <d v="2026-04-13T00:00:00"/>
    <m/>
    <n v="0.55999999999999994"/>
    <n v="89.6"/>
    <m/>
    <n v="-46108"/>
    <m/>
    <m/>
    <m/>
    <n v="0"/>
    <m/>
    <m/>
    <m/>
    <m/>
  </r>
  <r>
    <n v="321"/>
    <m/>
    <s v="W13003"/>
    <s v="FBA1998BTZST"/>
    <s v="W-CA"/>
    <x v="3"/>
    <s v="002000027"/>
    <n v="32"/>
    <s v="国润通"/>
    <x v="5"/>
    <x v="33"/>
    <s v="M1-B"/>
    <s v="M1-B 电子球形把手锁 黑色"/>
    <s v="M1"/>
    <n v="2"/>
    <n v="29.666666666666668"/>
    <x v="0"/>
    <n v="5"/>
    <n v="350"/>
    <n v="116.66666666666667"/>
    <n v="265"/>
    <n v="8.28125"/>
    <n v="1.2360074626865671"/>
    <m/>
    <m/>
    <m/>
    <x v="18"/>
    <d v="2026-04-20T00:00:00"/>
    <m/>
    <n v="0"/>
    <n v="0"/>
    <m/>
    <n v="-46108"/>
    <m/>
    <m/>
    <m/>
    <n v="0"/>
    <m/>
    <m/>
    <m/>
    <m/>
  </r>
  <r>
    <n v="322"/>
    <m/>
    <s v="W13003"/>
    <s v="FBA1998BTZST"/>
    <s v="W-CA"/>
    <x v="3"/>
    <s v="002000029"/>
    <n v="48"/>
    <s v="国润通"/>
    <x v="5"/>
    <x v="33"/>
    <s v="MD1-B"/>
    <s v="MD1-B 电子球形把手锁 指纹 黑色"/>
    <s v="MD1"/>
    <n v="3"/>
    <n v="44.5"/>
    <x v="0"/>
    <n v="5"/>
    <n v="200"/>
    <n v="175"/>
    <n v="397.5"/>
    <n v="8.28125"/>
    <n v="1.2360074626865671"/>
    <m/>
    <m/>
    <m/>
    <x v="18"/>
    <d v="2026-04-20T00:00:00"/>
    <m/>
    <n v="0"/>
    <n v="0"/>
    <m/>
    <n v="-46108"/>
    <m/>
    <m/>
    <m/>
    <n v="0"/>
    <m/>
    <m/>
    <m/>
    <m/>
  </r>
  <r>
    <n v="323"/>
    <m/>
    <s v="W13003"/>
    <s v="FBA1998BTZST"/>
    <s v="W-CA"/>
    <x v="3"/>
    <s v="002000031"/>
    <n v="16"/>
    <s v="国润通"/>
    <x v="5"/>
    <x v="33"/>
    <s v="MK1-B"/>
    <s v="MK1-B 智能球形把手锁 黑色"/>
    <s v="MK1"/>
    <n v="1"/>
    <n v="14.833333333333334"/>
    <x v="0"/>
    <n v="5"/>
    <m/>
    <n v="58.333333333333336"/>
    <n v="132.5"/>
    <n v="8.28125"/>
    <n v="1.2360074626865671"/>
    <m/>
    <m/>
    <m/>
    <x v="18"/>
    <d v="2026-04-20T00:00:00"/>
    <m/>
    <n v="0"/>
    <n v="0"/>
    <m/>
    <n v="-46108"/>
    <m/>
    <m/>
    <m/>
    <n v="0"/>
    <m/>
    <m/>
    <m/>
    <m/>
  </r>
  <r>
    <n v="324"/>
    <m/>
    <s v="W13008"/>
    <s v="FBA19968P4N3"/>
    <s v="V-US"/>
    <x v="0"/>
    <s v="ANWKIT-B_US_2X100K03"/>
    <n v="360"/>
    <s v="万邦"/>
    <x v="0"/>
    <x v="15"/>
    <s v="ANWKIT-B_US_2X100K03"/>
    <s v="ANWKIT-B_US_2X100K03 ANW黑色机器+2X100mL酒店香氛油（天竺） 机油套装"/>
    <s v="ANW"/>
    <n v="30"/>
    <n v="522.45283018867917"/>
    <x v="0"/>
    <n v="4.2"/>
    <n v="200"/>
    <n v="41.095890410958901"/>
    <n v="2235.3977772034114"/>
    <n v="6.2094382700094757"/>
    <n v="0.92678183134469783"/>
    <m/>
    <m/>
    <m/>
    <x v="16"/>
    <d v="2026-04-17T00:00:00"/>
    <m/>
    <n v="0.56000000000000005"/>
    <n v="201.60000000000002"/>
    <m/>
    <n v="-46109"/>
    <m/>
    <m/>
    <m/>
    <n v="0"/>
    <m/>
    <m/>
    <m/>
    <m/>
  </r>
  <r>
    <n v="325"/>
    <m/>
    <s v="W13008"/>
    <s v="FBA19968P4N3"/>
    <s v="V-US"/>
    <x v="0"/>
    <s v="ANWKIT-WH_US_2X100K03"/>
    <n v="276"/>
    <s v="万邦"/>
    <x v="0"/>
    <x v="15"/>
    <s v="ANWKIT-WH_US_2X100K03"/>
    <s v="ANWKIT-WH_US_2X100K03 ANW白色机器+2X100mL酒店香氛油（天竺） 机油套装"/>
    <s v="ANW"/>
    <n v="23"/>
    <n v="400.54716981132071"/>
    <x v="0"/>
    <n v="4.2"/>
    <m/>
    <n v="31.506849315068493"/>
    <n v="1713.8049625226154"/>
    <n v="6.2094382700094757"/>
    <n v="0.92678183134469783"/>
    <m/>
    <m/>
    <m/>
    <x v="16"/>
    <d v="2026-04-17T00:00:00"/>
    <m/>
    <n v="0.56000000000000005"/>
    <n v="154.56"/>
    <m/>
    <n v="-46109"/>
    <m/>
    <m/>
    <m/>
    <n v="0"/>
    <m/>
    <m/>
    <m/>
    <m/>
  </r>
  <r>
    <n v="326"/>
    <m/>
    <s v="W13012"/>
    <s v="FBA198XY9VBP"/>
    <s v="K-US"/>
    <x v="0"/>
    <s v="ANPKIT-B_US_3X20K01_TZ"/>
    <n v="192"/>
    <s v="万邦"/>
    <x v="0"/>
    <x v="7"/>
    <s v="ANPKIT-B_US_3X20K01_TZ"/>
    <s v="ANPKIT-B_US_3X20K01_TZ ANP黑色机器+3X20mL酒店香氛油（天竺） 机油套装"/>
    <s v="ANP"/>
    <n v="6"/>
    <n v="120.89999999999999"/>
    <x v="0"/>
    <n v="4.2"/>
    <n v="200"/>
    <n v="60"/>
    <n v="567.78"/>
    <n v="2.9571874999999999"/>
    <n v="0.44137126865671639"/>
    <m/>
    <m/>
    <m/>
    <x v="16"/>
    <d v="2026-04-17T00:00:00"/>
    <m/>
    <n v="0.42870056497175141"/>
    <n v="82.310508474576267"/>
    <m/>
    <n v="-46109"/>
    <m/>
    <m/>
    <m/>
    <n v="0"/>
    <m/>
    <m/>
    <m/>
    <m/>
  </r>
  <r>
    <n v="327"/>
    <m/>
    <s v="W13012"/>
    <s v="FBA198XY9VBP"/>
    <s v="K-US"/>
    <x v="0"/>
    <s v="ANPKIT-WH_US_3X20K01_TZ"/>
    <n v="416"/>
    <s v="万邦"/>
    <x v="0"/>
    <x v="7"/>
    <s v="ANPKIT-WH_US_3X20K01_TZ"/>
    <s v="ANPKIT-WH_US_3X20K01_TZ ANP白色机器+3X20mL酒店香氛油（天竺） 机油套装"/>
    <s v="ANP"/>
    <n v="13"/>
    <n v="261.95"/>
    <x v="0"/>
    <n v="4.2"/>
    <n v="200"/>
    <n v="130"/>
    <n v="1230.19"/>
    <n v="2.9571875000000003"/>
    <n v="0.44137126865671644"/>
    <m/>
    <m/>
    <m/>
    <x v="16"/>
    <d v="2026-04-17T00:00:00"/>
    <m/>
    <n v="0.42870056497175141"/>
    <n v="178.33943502824857"/>
    <m/>
    <n v="-46109"/>
    <m/>
    <m/>
    <m/>
    <n v="0"/>
    <m/>
    <m/>
    <m/>
    <m/>
  </r>
  <r>
    <n v="328"/>
    <m/>
    <s v="W13012"/>
    <s v="FBA198XY9VBP"/>
    <s v="K-US"/>
    <x v="0"/>
    <s v="ANPPJ-BOT"/>
    <n v="100"/>
    <s v="万邦"/>
    <x v="0"/>
    <x v="7"/>
    <s v="ANPPJ-BOT"/>
    <s v="ANPPJ-BOT 墙插式智能扩香仪160mL带盖替换瓶"/>
    <s v="ANP-AC"/>
    <n v="1"/>
    <n v="20.149999999999999"/>
    <x v="0"/>
    <n v="4.2"/>
    <m/>
    <n v="10"/>
    <n v="94.63"/>
    <n v="0.94629999999999992"/>
    <n v="0.14123880597014923"/>
    <m/>
    <m/>
    <m/>
    <x v="16"/>
    <d v="2026-04-17T00:00:00"/>
    <m/>
    <n v="0.42870056497175141"/>
    <n v="42.870056497175142"/>
    <m/>
    <n v="-46109"/>
    <m/>
    <m/>
    <m/>
    <n v="0"/>
    <m/>
    <m/>
    <m/>
    <m/>
  </r>
  <r>
    <n v="329"/>
    <m/>
    <s v="W13005"/>
    <s v="FBA199664Z1H"/>
    <s v="V-US"/>
    <x v="0"/>
    <s v="001000032"/>
    <n v="180"/>
    <s v="国润通"/>
    <x v="0"/>
    <x v="1"/>
    <s v="ANW-B"/>
    <s v="ANW-B 智能扩香仪 黑色"/>
    <s v="ANW"/>
    <n v="15"/>
    <n v="213.62903225806451"/>
    <x v="0"/>
    <n v="4"/>
    <n v="200"/>
    <n v="30"/>
    <n v="884.51612903225805"/>
    <n v="4.913978494623656"/>
    <n v="0.73342962606323225"/>
    <m/>
    <m/>
    <m/>
    <x v="18"/>
    <d v="2026-04-18T00:00:00"/>
    <m/>
    <n v="0.50218809980806134"/>
    <n v="90.393857965451048"/>
    <m/>
    <n v="-46108"/>
    <m/>
    <m/>
    <m/>
    <n v="0"/>
    <m/>
    <m/>
    <m/>
    <m/>
  </r>
  <r>
    <n v="330"/>
    <m/>
    <s v="W13005"/>
    <s v="FBA199664Z1H"/>
    <s v="V-US"/>
    <x v="0"/>
    <s v="001000033"/>
    <n v="420"/>
    <s v="国润通"/>
    <x v="0"/>
    <x v="1"/>
    <s v="ANW-W"/>
    <s v="ANW-W 智能扩香仪 白色"/>
    <s v="ANW"/>
    <n v="35"/>
    <n v="498.4677419354839"/>
    <x v="0"/>
    <n v="4"/>
    <n v="200"/>
    <n v="70"/>
    <n v="2063.8709677419356"/>
    <n v="4.913978494623656"/>
    <n v="0.73342962606323225"/>
    <m/>
    <m/>
    <m/>
    <x v="18"/>
    <d v="2026-04-18T00:00:00"/>
    <m/>
    <n v="0.50218809980806134"/>
    <n v="210.91900191938575"/>
    <m/>
    <n v="-46108"/>
    <m/>
    <m/>
    <m/>
    <n v="0"/>
    <m/>
    <m/>
    <m/>
    <m/>
  </r>
  <r>
    <n v="331"/>
    <m/>
    <s v="W13005"/>
    <s v="FBA199664Z1H"/>
    <s v="V-US"/>
    <x v="0"/>
    <s v="ANP-W_US"/>
    <n v="352"/>
    <s v="国润通"/>
    <x v="0"/>
    <x v="1"/>
    <s v="ANP-W_US"/>
    <s v="ANP-W_US 墙插式智能扩香仪 白色"/>
    <s v="ANP"/>
    <n v="11"/>
    <n v="156.66129032258064"/>
    <x v="0"/>
    <n v="4"/>
    <m/>
    <n v="22"/>
    <n v="648.64516129032256"/>
    <n v="1.842741935483871"/>
    <n v="0.27503610977371207"/>
    <m/>
    <m/>
    <m/>
    <x v="18"/>
    <d v="2026-04-18T00:00:00"/>
    <m/>
    <n v="0.50218809980806134"/>
    <n v="176.77021113243759"/>
    <m/>
    <n v="-46108"/>
    <m/>
    <m/>
    <m/>
    <n v="0"/>
    <m/>
    <m/>
    <m/>
    <m/>
  </r>
  <r>
    <n v="332"/>
    <m/>
    <s v="W13005"/>
    <s v="FBA199664Z1H"/>
    <s v="V-US"/>
    <x v="0"/>
    <s v="001000056"/>
    <n v="90"/>
    <s v="国润通"/>
    <x v="0"/>
    <x v="1"/>
    <s v="ANW-Wbot"/>
    <s v="ANW-Wbot ANW带盖瓶子 白喷头"/>
    <s v="ANW-AC"/>
    <n v="1"/>
    <n v="14.241935483870968"/>
    <x v="0"/>
    <n v="4"/>
    <m/>
    <n v="2"/>
    <n v="58.967741935483872"/>
    <n v="0.65519713261648749"/>
    <n v="9.7790616808430972E-2"/>
    <m/>
    <m/>
    <m/>
    <x v="18"/>
    <d v="2026-04-18T00:00:00"/>
    <m/>
    <n v="0.50218809980806134"/>
    <n v="45.196928982725524"/>
    <m/>
    <n v="-46108"/>
    <m/>
    <m/>
    <m/>
    <n v="0"/>
    <m/>
    <m/>
    <m/>
    <m/>
  </r>
  <r>
    <n v="333"/>
    <m/>
    <s v="W13001"/>
    <s v="FBA19987CYJC"/>
    <s v="V-US"/>
    <x v="0"/>
    <s v="006000024"/>
    <n v="1350"/>
    <s v="天盛"/>
    <x v="0"/>
    <x v="0"/>
    <s v="A-RZ3-100"/>
    <s v="A-Ritz Carlton Hotel 3-100 丽思卡尔顿酒店3香氛油100mL"/>
    <s v="Oil-HQ"/>
    <n v="15"/>
    <n v="1"/>
    <x v="1"/>
    <n v="1180"/>
    <n v="180"/>
    <n v="72.972972972972968"/>
    <n v="1252.9729729729729"/>
    <n v="0.92812812812812806"/>
    <n v="0.13852658628778031"/>
    <m/>
    <m/>
    <m/>
    <x v="18"/>
    <d v="2026-04-18T00:00:00"/>
    <m/>
    <n v="0.36"/>
    <n v="486"/>
    <m/>
    <n v="-46108"/>
    <m/>
    <m/>
    <m/>
    <n v="0"/>
    <m/>
    <m/>
    <m/>
    <m/>
  </r>
  <r>
    <n v="334"/>
    <s v="备注跟FBA19987CYJC合并报关"/>
    <s v="W13001"/>
    <s v="FBA199632TX8"/>
    <s v="E-US"/>
    <x v="0"/>
    <s v="HOTEL6KIT1-6X10K01"/>
    <n v="760"/>
    <s v="天盛"/>
    <x v="0"/>
    <x v="31"/>
    <s v="HOTEL6KIT1-6X10K01"/>
    <s v="HOTEL6KIT1-6X10K01 酒店香氛油6款10mL套装"/>
    <s v="Oil-HQ"/>
    <n v="10"/>
    <n v="0.49"/>
    <x v="1"/>
    <n v="1030"/>
    <n v="180"/>
    <n v="48.648648648648646"/>
    <n v="553.34864864864858"/>
    <n v="0.72809032716927446"/>
    <n v="0.10867019808496634"/>
    <m/>
    <m/>
    <m/>
    <x v="18"/>
    <d v="2026-04-18T00:00:00"/>
    <m/>
    <n v="0.36000000000000004"/>
    <n v="273.60000000000002"/>
    <m/>
    <n v="-46108"/>
    <m/>
    <m/>
    <m/>
    <n v="0"/>
    <m/>
    <m/>
    <m/>
    <m/>
  </r>
  <r>
    <n v="335"/>
    <s v="送货到天盛广州仓安排跟会七里的货合并计费，备注跟FBA19987CYJC合并报关"/>
    <s v="W13001"/>
    <s v="FBA1996418F0"/>
    <s v="E-US"/>
    <x v="0"/>
    <s v="SJ1-100ML_TZ"/>
    <n v="256"/>
    <s v="天盛"/>
    <x v="0"/>
    <x v="31"/>
    <s v="SJ1-100ML_TZ"/>
    <s v="SJ1-100ML_TZ 四季酒店100mL香氛油（天竺） 销售包装"/>
    <s v="Oil-TZ"/>
    <n v="4"/>
    <n v="0.19666666666666666"/>
    <x v="1"/>
    <n v="1030"/>
    <m/>
    <n v="19.45945945945946"/>
    <n v="222.02612612612612"/>
    <n v="0.86728955518018014"/>
    <n v="0.12944620226569853"/>
    <m/>
    <m/>
    <m/>
    <x v="18"/>
    <d v="2026-04-18T00:00:00"/>
    <m/>
    <n v="0.36000000000000004"/>
    <n v="92.160000000000011"/>
    <m/>
    <n v="-46108"/>
    <m/>
    <m/>
    <m/>
    <n v="0"/>
    <m/>
    <m/>
    <m/>
    <m/>
  </r>
  <r>
    <n v="336"/>
    <m/>
    <s v="W13001"/>
    <s v="FBA1996418F0"/>
    <s v="E-US"/>
    <x v="0"/>
    <s v="WST1-100ML_TZ"/>
    <n v="128"/>
    <s v="天盛"/>
    <x v="0"/>
    <x v="31"/>
    <s v="WST1-100ML_TZ"/>
    <s v="WST1-100ML_TZ 威斯汀酒店白茶100mL香氛油（天竺） 销售包装"/>
    <s v="Oil-TZ"/>
    <n v="2"/>
    <n v="9.8333333333333328E-2"/>
    <x v="1"/>
    <n v="1030"/>
    <m/>
    <n v="9.7297297297297298"/>
    <n v="111.01306306306306"/>
    <n v="0.86728955518018014"/>
    <n v="0.12944620226569853"/>
    <m/>
    <m/>
    <m/>
    <x v="18"/>
    <d v="2026-04-18T00:00:00"/>
    <m/>
    <n v="0.36000000000000004"/>
    <n v="46.080000000000005"/>
    <m/>
    <n v="-46108"/>
    <m/>
    <m/>
    <m/>
    <n v="0"/>
    <m/>
    <m/>
    <m/>
    <m/>
  </r>
  <r>
    <n v="337"/>
    <m/>
    <s v="W13001"/>
    <s v="FBA1996418F0"/>
    <s v="E-US"/>
    <x v="0"/>
    <s v="HILTON1-100ML_TZ"/>
    <n v="384"/>
    <s v="天盛"/>
    <x v="0"/>
    <x v="31"/>
    <s v="HILTON1-100ML_TZ"/>
    <s v="HILTON1-100ML_TZ 希尔顿酒店100mL香氛油（天竺） 销售包装"/>
    <s v="Oil-TZ"/>
    <n v="6"/>
    <n v="0.29499999999999998"/>
    <x v="1"/>
    <n v="1030"/>
    <m/>
    <n v="29.189189189189189"/>
    <n v="333.03918918918913"/>
    <n v="0.86728955518018003"/>
    <n v="0.1294462022656985"/>
    <m/>
    <m/>
    <m/>
    <x v="18"/>
    <d v="2026-04-18T00:00:00"/>
    <m/>
    <n v="0.36000000000000004"/>
    <n v="138.24"/>
    <m/>
    <n v="-46108"/>
    <m/>
    <m/>
    <m/>
    <n v="0"/>
    <m/>
    <m/>
    <m/>
    <m/>
  </r>
  <r>
    <n v="338"/>
    <m/>
    <s v="W13007"/>
    <s v="FBA15LKFVN1C"/>
    <s v="W-DE"/>
    <x v="1"/>
    <s v="003000007"/>
    <n v="72"/>
    <s v="万邦"/>
    <x v="4"/>
    <x v="30"/>
    <s v="AP2F-H14"/>
    <s v="AP2F-H14 空气净化器滤网2-H14"/>
    <s v="AP2F"/>
    <n v="2"/>
    <n v="31.8"/>
    <x v="0"/>
    <n v="9.6"/>
    <n v="550"/>
    <n v="110"/>
    <n v="415.28"/>
    <n v="5.767777777777777"/>
    <n v="0.86086235489220553"/>
    <m/>
    <m/>
    <m/>
    <x v="17"/>
    <d v="2026-04-29T00:00:00"/>
    <m/>
    <n v="0"/>
    <n v="0"/>
    <m/>
    <n v="-46107"/>
    <m/>
    <m/>
    <m/>
    <n v="0"/>
    <m/>
    <m/>
    <m/>
    <m/>
  </r>
  <r>
    <n v="339"/>
    <m/>
    <s v="W14006"/>
    <s v="FBA199KPSFXM"/>
    <s v="E-US"/>
    <x v="0"/>
    <s v="ANZKIT-B_4X10K04_TZ"/>
    <n v="810"/>
    <s v="嘀嗒嘀"/>
    <x v="0"/>
    <x v="4"/>
    <s v="ANZKIT-B_4X10K04_TZ"/>
    <s v="ANZKIT-B_4X10K04_TZ ANZ黑色机器+4x10mL酒店（天竺）香氛油 机油套装"/>
    <s v="ANZ"/>
    <n v="27"/>
    <n v="431.49648648648645"/>
    <x v="0"/>
    <n v="3.7"/>
    <n v="200"/>
    <n v="24.107142857142858"/>
    <n v="1620.6441428571429"/>
    <n v="2.0007952380952383"/>
    <n v="0.29862615493958777"/>
    <m/>
    <m/>
    <m/>
    <x v="19"/>
    <d v="2026-04-27T00:00:00"/>
    <m/>
    <n v="0.44"/>
    <n v="356.4"/>
    <m/>
    <m/>
    <m/>
    <m/>
    <m/>
    <m/>
    <m/>
    <m/>
    <m/>
    <m/>
  </r>
  <r>
    <n v="340"/>
    <m/>
    <s v="W14006"/>
    <s v="FBA199KPSFXM"/>
    <s v="E-US"/>
    <x v="0"/>
    <s v="ANZKIT-W_4X10K04_TZ"/>
    <n v="300"/>
    <s v="嘀嗒嘀"/>
    <x v="0"/>
    <x v="4"/>
    <s v="ANZKIT-W_4X10K04_TZ"/>
    <s v="ANZKIT-W_4X10K04_TZ ANZ白色机器+4x10mL酒店（天竺）香氛油 机油套装"/>
    <s v="ANZ"/>
    <n v="10"/>
    <n v="159.8135135135135"/>
    <x v="0"/>
    <n v="3.7"/>
    <n v="200"/>
    <n v="8.9285714285714288"/>
    <n v="600.23857142857139"/>
    <n v="2.0007952380952378"/>
    <n v="0.29862615493958772"/>
    <m/>
    <m/>
    <m/>
    <x v="19"/>
    <d v="2026-04-27T00:00:00"/>
    <m/>
    <n v="0.44"/>
    <n v="132"/>
    <m/>
    <m/>
    <m/>
    <m/>
    <m/>
    <m/>
    <m/>
    <m/>
    <m/>
    <m/>
  </r>
  <r>
    <n v="341"/>
    <m/>
    <s v="W14007"/>
    <s v="FBA199KNT8RY"/>
    <s v="E-US"/>
    <x v="0"/>
    <s v="001000045"/>
    <n v="450"/>
    <s v="万邦"/>
    <x v="0"/>
    <x v="4"/>
    <s v="ANX-B"/>
    <s v="ANX-B 便携式扩香仪 黑色"/>
    <s v="ANX"/>
    <n v="15"/>
    <n v="202.02073170731708"/>
    <x v="0"/>
    <n v="3.6"/>
    <n v="200"/>
    <n v="21.276595744680851"/>
    <n v="748.55122989102244"/>
    <n v="1.6634471775356054"/>
    <n v="0.24827569813964259"/>
    <m/>
    <m/>
    <m/>
    <x v="19"/>
    <d v="2026-04-25T00:00:00"/>
    <m/>
    <n v="0.37558441558441558"/>
    <n v="169.012987012987"/>
    <m/>
    <m/>
    <m/>
    <m/>
    <m/>
    <m/>
    <m/>
    <m/>
    <m/>
    <m/>
  </r>
  <r>
    <n v="342"/>
    <m/>
    <s v="W14007"/>
    <s v="FBA199KNT8RY"/>
    <s v="E-US"/>
    <x v="0"/>
    <s v="001000051"/>
    <n v="150"/>
    <s v="万邦"/>
    <x v="0"/>
    <x v="4"/>
    <s v="ANX-SG"/>
    <s v="ANX-SG 便携式扩香仪 太空灰色"/>
    <s v="ANX"/>
    <n v="5"/>
    <n v="67.340243902439028"/>
    <x v="0"/>
    <n v="3.6"/>
    <n v="200"/>
    <n v="7.0921985815602833"/>
    <n v="249.5170766303408"/>
    <n v="1.6634471775356052"/>
    <n v="0.24827569813964256"/>
    <m/>
    <m/>
    <m/>
    <x v="19"/>
    <d v="2026-04-25T00:00:00"/>
    <m/>
    <n v="0.37558441558441558"/>
    <n v="56.337662337662337"/>
    <m/>
    <m/>
    <m/>
    <m/>
    <m/>
    <m/>
    <m/>
    <m/>
    <m/>
    <m/>
  </r>
  <r>
    <n v="343"/>
    <m/>
    <s v="W14007"/>
    <s v="FBA199KNT8RY"/>
    <s v="E-US"/>
    <x v="0"/>
    <s v="ANZ-B"/>
    <n v="2000"/>
    <s v="万邦"/>
    <x v="0"/>
    <x v="4"/>
    <s v="ANZ-B"/>
    <s v="ANZ-B 便携式扩香仪 黑色"/>
    <s v="ANZ"/>
    <n v="50"/>
    <n v="673.40243902439033"/>
    <x v="0"/>
    <n v="3.6"/>
    <m/>
    <n v="70.921985815602838"/>
    <n v="2495.1707663034081"/>
    <n v="1.2475853831517041"/>
    <n v="0.18620677360473195"/>
    <m/>
    <m/>
    <m/>
    <x v="19"/>
    <d v="2026-04-25T00:00:00"/>
    <m/>
    <n v="0.37558441558441558"/>
    <n v="751.16883116883116"/>
    <m/>
    <m/>
    <m/>
    <m/>
    <m/>
    <m/>
    <m/>
    <m/>
    <m/>
    <m/>
  </r>
  <r>
    <n v="344"/>
    <m/>
    <s v="W14007"/>
    <s v="FBA199KNT8RY"/>
    <s v="E-US"/>
    <x v="0"/>
    <s v="ANZ-WH"/>
    <n v="480"/>
    <s v="万邦"/>
    <x v="0"/>
    <x v="4"/>
    <s v="ANZ-WH"/>
    <s v="ANZ-WH 便携式扩香仪 白色"/>
    <s v="ANZ"/>
    <n v="12"/>
    <n v="161.61658536585367"/>
    <x v="0"/>
    <n v="3.6"/>
    <m/>
    <n v="17.021276595744681"/>
    <n v="598.84098391281793"/>
    <n v="1.2475853831517041"/>
    <n v="0.18620677360473195"/>
    <m/>
    <m/>
    <m/>
    <x v="19"/>
    <d v="2026-04-25T00:00:00"/>
    <m/>
    <n v="0.37558441558441558"/>
    <n v="180.28051948051947"/>
    <m/>
    <m/>
    <m/>
    <m/>
    <m/>
    <m/>
    <m/>
    <m/>
    <m/>
    <m/>
  </r>
  <r>
    <n v="345"/>
    <m/>
    <s v="W14007"/>
    <s v="FBA199JBH82C"/>
    <s v="A-US"/>
    <x v="0"/>
    <s v="ANZKIT-B_B"/>
    <n v="100"/>
    <s v="万邦"/>
    <x v="0"/>
    <x v="4"/>
    <s v="ANZKIT-B_B"/>
    <s v="ANZKIT-B_B 便携式扩香仪 黑色 两个装"/>
    <s v="ANZ"/>
    <n v="5"/>
    <n v="67.34"/>
    <x v="0"/>
    <n v="3.6"/>
    <m/>
    <n v="7.0921985815602833"/>
    <n v="249.5161985815603"/>
    <n v="2.4951619858156029"/>
    <n v="0.37241223668889595"/>
    <m/>
    <m/>
    <m/>
    <x v="19"/>
    <d v="2026-04-25T00:00:00"/>
    <m/>
    <n v="0.44"/>
    <n v="44"/>
    <m/>
    <m/>
    <m/>
    <m/>
    <m/>
    <m/>
    <m/>
    <m/>
    <m/>
    <m/>
  </r>
  <r>
    <n v="346"/>
    <m/>
    <s v="W14006"/>
    <s v="FBA199J9RQ5K"/>
    <s v="V-US"/>
    <x v="0"/>
    <s v="AN6KIT-B_4X10K04_TZ"/>
    <n v="420"/>
    <s v="嘀嗒嘀"/>
    <x v="0"/>
    <x v="4"/>
    <s v="AN6KIT-B_4X10K04_TZ"/>
    <s v="AN6KIT-B_4X10K04_TZ AN6黑色机器+4x10mL酒店（天竺）香氛油 机油套装"/>
    <s v="AN6"/>
    <n v="14"/>
    <n v="223.73919354838711"/>
    <x v="0"/>
    <n v="3.7"/>
    <n v="200"/>
    <n v="12.5"/>
    <n v="840.33501612903228"/>
    <n v="2.000797657450077"/>
    <n v="0.29862651603732493"/>
    <m/>
    <m/>
    <m/>
    <x v="19"/>
    <d v="2026-04-27T00:00:00"/>
    <m/>
    <n v="0.44"/>
    <n v="184.8"/>
    <m/>
    <m/>
    <m/>
    <m/>
    <m/>
    <m/>
    <m/>
    <m/>
    <m/>
    <m/>
  </r>
  <r>
    <n v="347"/>
    <m/>
    <s v="W14006"/>
    <s v="FBA199J9RQ5K"/>
    <s v="V-US"/>
    <x v="0"/>
    <s v="AN8KIT-B_4X10K05_TZ"/>
    <n v="3300"/>
    <s v="嘀嗒嘀"/>
    <x v="0"/>
    <x v="4"/>
    <s v="AN8KIT-B_4X10K05_TZ"/>
    <s v="AN8KIT-B_4X10K05_TZ AN8黑色机器+4x10mL（天竺）酒店香氛油 机油套装"/>
    <s v="AN8"/>
    <n v="110"/>
    <n v="1757.9508064516131"/>
    <x v="0"/>
    <n v="3.7"/>
    <n v="200"/>
    <n v="98.214285714285708"/>
    <n v="6602.6322695852541"/>
    <n v="2.000797657450077"/>
    <n v="0.29862651603732493"/>
    <m/>
    <m/>
    <m/>
    <x v="19"/>
    <d v="2026-04-27T00:00:00"/>
    <m/>
    <n v="0.44"/>
    <n v="1452"/>
    <m/>
    <m/>
    <m/>
    <m/>
    <m/>
    <m/>
    <m/>
    <m/>
    <m/>
    <m/>
  </r>
  <r>
    <n v="348"/>
    <m/>
    <s v="W14007"/>
    <s v="FBA199JCMDW7"/>
    <s v="V-US"/>
    <x v="0"/>
    <s v="001000019"/>
    <n v="1000"/>
    <s v="万邦"/>
    <x v="0"/>
    <x v="4"/>
    <s v="AN6-B"/>
    <s v="AN6-B 便携式扩香仪 黑色"/>
    <s v="AN6"/>
    <n v="25"/>
    <n v="336.7037037037037"/>
    <x v="0"/>
    <n v="3.6"/>
    <n v="200"/>
    <n v="35.460992907801419"/>
    <n v="1247.5943262411349"/>
    <n v="1.2475943262411349"/>
    <n v="0.18620810839419924"/>
    <m/>
    <m/>
    <m/>
    <x v="19"/>
    <d v="2026-04-25T00:00:00"/>
    <m/>
    <n v="0.36672897196261678"/>
    <n v="366.72897196261675"/>
    <m/>
    <m/>
    <m/>
    <m/>
    <m/>
    <m/>
    <m/>
    <m/>
    <m/>
    <m/>
  </r>
  <r>
    <n v="349"/>
    <m/>
    <s v="W14007"/>
    <s v="FBA199JCMDW7"/>
    <s v="V-US"/>
    <x v="0"/>
    <s v="001000039"/>
    <n v="240"/>
    <s v="万邦"/>
    <x v="0"/>
    <x v="4"/>
    <s v="AN6-GL"/>
    <s v="AN6-GL 便携式扩香仪 翠百合色"/>
    <s v="AN6"/>
    <n v="6"/>
    <n v="80.808888888888887"/>
    <x v="0"/>
    <n v="3.6"/>
    <n v="200"/>
    <n v="8.5106382978723403"/>
    <n v="299.42263829787231"/>
    <n v="1.2475943262411346"/>
    <n v="0.18620810839419918"/>
    <m/>
    <m/>
    <m/>
    <x v="19"/>
    <d v="2026-04-25T00:00:00"/>
    <m/>
    <n v="0.36672897196261678"/>
    <n v="88.01495327102802"/>
    <m/>
    <m/>
    <m/>
    <m/>
    <m/>
    <m/>
    <m/>
    <m/>
    <m/>
    <m/>
  </r>
  <r>
    <n v="350"/>
    <m/>
    <s v="W14007"/>
    <s v="FBA199JCMDW7"/>
    <s v="V-US"/>
    <x v="0"/>
    <s v="AN8-B"/>
    <n v="320"/>
    <s v="万邦"/>
    <x v="0"/>
    <x v="4"/>
    <s v="AN8-B"/>
    <s v="AN8-B 便携式扩香仪 黑色"/>
    <s v="AN8"/>
    <n v="8"/>
    <n v="107.74518518518518"/>
    <x v="0"/>
    <n v="3.6"/>
    <m/>
    <n v="11.347517730496454"/>
    <n v="399.2301843971631"/>
    <n v="1.2475943262411346"/>
    <n v="0.18620810839419918"/>
    <m/>
    <m/>
    <m/>
    <x v="19"/>
    <d v="2026-04-25T00:00:00"/>
    <m/>
    <n v="0.36672897196261678"/>
    <n v="117.35327102803737"/>
    <m/>
    <m/>
    <m/>
    <m/>
    <m/>
    <m/>
    <m/>
    <m/>
    <m/>
    <m/>
  </r>
  <r>
    <n v="351"/>
    <m/>
    <s v="W14007"/>
    <s v="FBA199JCMDW7"/>
    <s v="V-US"/>
    <x v="0"/>
    <s v="AN8KIT-B_B"/>
    <n v="180"/>
    <s v="万邦"/>
    <x v="0"/>
    <x v="4"/>
    <s v="AN8KIT-B_B"/>
    <s v="AN8KIT-B_B 便携式扩香仪套装 黑+黑"/>
    <s v="AN8"/>
    <n v="9"/>
    <n v="121.21333333333332"/>
    <x v="0"/>
    <n v="3.6"/>
    <m/>
    <n v="12.76595744680851"/>
    <n v="449.13395744680849"/>
    <n v="2.4951886524822693"/>
    <n v="0.37241621678839837"/>
    <m/>
    <m/>
    <m/>
    <x v="19"/>
    <d v="2026-04-25T00:00:00"/>
    <m/>
    <n v="0.36672897196261678"/>
    <n v="66.011214953271022"/>
    <m/>
    <m/>
    <m/>
    <m/>
    <m/>
    <m/>
    <m/>
    <m/>
    <m/>
    <m/>
  </r>
  <r>
    <n v="352"/>
    <m/>
    <s v="W14007"/>
    <s v="FBA199JCMDW7"/>
    <s v="V-US"/>
    <x v="0"/>
    <s v="AN8-WH"/>
    <n v="200"/>
    <s v="万邦"/>
    <x v="0"/>
    <x v="4"/>
    <s v="AN8-WH"/>
    <s v="AN8-WH 便携式扩香仪 白色"/>
    <s v="AN8"/>
    <n v="5"/>
    <n v="67.340740740740742"/>
    <x v="0"/>
    <n v="3.6"/>
    <m/>
    <n v="7.0921985815602833"/>
    <n v="249.51886524822697"/>
    <n v="1.2475943262411349"/>
    <n v="0.18620810839419924"/>
    <m/>
    <m/>
    <m/>
    <x v="19"/>
    <d v="2026-04-25T00:00:00"/>
    <m/>
    <n v="0.36672897196261678"/>
    <n v="73.345794392523359"/>
    <m/>
    <m/>
    <m/>
    <m/>
    <m/>
    <m/>
    <m/>
    <m/>
    <m/>
    <m/>
  </r>
  <r>
    <n v="353"/>
    <m/>
    <s v="W14007"/>
    <s v="FBA199JCMDW7"/>
    <s v="V-US"/>
    <x v="0"/>
    <s v="AN8NZ-B"/>
    <n v="200"/>
    <s v="万邦"/>
    <x v="0"/>
    <x v="4"/>
    <s v="AN8NZ-B"/>
    <s v="AN8NZ-B AN8(Z)喷嘴配件套装 黑色"/>
    <s v="AN8-AC"/>
    <n v="1"/>
    <n v="13.468148148148147"/>
    <x v="0"/>
    <n v="3.6"/>
    <m/>
    <n v="1.4184397163120568"/>
    <n v="49.903773049645388"/>
    <n v="0.24951886524822695"/>
    <n v="3.7241621678839841E-2"/>
    <m/>
    <m/>
    <m/>
    <x v="19"/>
    <d v="2026-04-25T00:00:00"/>
    <m/>
    <n v="0.36672897196261678"/>
    <n v="73.345794392523359"/>
    <m/>
    <m/>
    <m/>
    <m/>
    <m/>
    <m/>
    <m/>
    <m/>
    <m/>
    <m/>
  </r>
  <r>
    <n v="354"/>
    <m/>
    <s v="W14002"/>
    <s v="FBA199ND5Y2G"/>
    <s v="K-US"/>
    <x v="0"/>
    <s v="RDX-B_US"/>
    <n v="90"/>
    <s v="嘀嗒嘀"/>
    <x v="0"/>
    <x v="1"/>
    <s v="RDX-B_US"/>
    <s v="RDX-B_US 智能扩香仪 黑色"/>
    <s v="RDX"/>
    <n v="10"/>
    <n v="151.80000000000001"/>
    <x v="0"/>
    <n v="4.8"/>
    <n v="200"/>
    <n v="36.363636363636367"/>
    <n v="765.00363636363636"/>
    <n v="8.5000404040404032"/>
    <n v="1.268662746871702"/>
    <m/>
    <m/>
    <m/>
    <x v="19"/>
    <d v="2026-04-27T00:00:00"/>
    <m/>
    <n v="0.7"/>
    <n v="62.999999999999993"/>
    <m/>
    <m/>
    <m/>
    <m/>
    <m/>
    <m/>
    <m/>
    <m/>
    <m/>
    <m/>
  </r>
  <r>
    <n v="355"/>
    <m/>
    <s v="W14002"/>
    <s v="FBA199ND5Y2G"/>
    <s v="K-US"/>
    <x v="0"/>
    <s v="RDXKIT-B_US_2X100K04"/>
    <n v="360"/>
    <s v="嘀嗒嘀"/>
    <x v="0"/>
    <x v="1"/>
    <s v="RDXKIT-B_US_2X100K04"/>
    <s v="RDXKIT-B_US_2X100K04 RDX黑色机器+2X100mL酒店香氛油（天竺） 机油套装"/>
    <s v="RDX"/>
    <n v="40"/>
    <n v="607.20000000000005"/>
    <x v="0"/>
    <n v="4.8"/>
    <n v="200"/>
    <n v="145.45454545454547"/>
    <n v="3060.0145454545454"/>
    <n v="8.5000404040404032"/>
    <n v="1.268662746871702"/>
    <m/>
    <m/>
    <m/>
    <x v="19"/>
    <d v="2026-04-27T00:00:00"/>
    <m/>
    <n v="0.7"/>
    <n v="251.99999999999997"/>
    <m/>
    <m/>
    <m/>
    <m/>
    <m/>
    <m/>
    <m/>
    <m/>
    <m/>
    <m/>
  </r>
  <r>
    <n v="356"/>
    <m/>
    <s v="W14001"/>
    <s v="FBA199JC2QFL"/>
    <s v="W-US"/>
    <x v="0"/>
    <s v="G1-B"/>
    <n v="592"/>
    <s v="天盛"/>
    <x v="11"/>
    <x v="32"/>
    <s v="G1-B"/>
    <s v="G1-B 电子球形把手锁 黑色"/>
    <s v="G1"/>
    <n v="37"/>
    <n v="1.6217021276595744"/>
    <x v="1"/>
    <n v="1890"/>
    <n v="180"/>
    <n v="141.70212765957447"/>
    <n v="3206.7191489361703"/>
    <n v="5.4167553191489359"/>
    <n v="0.80847094315655754"/>
    <m/>
    <m/>
    <m/>
    <x v="20"/>
    <d v="2026-04-19T00:00:00"/>
    <m/>
    <n v="0.56000000000000005"/>
    <n v="331.52000000000004"/>
    <m/>
    <m/>
    <m/>
    <m/>
    <m/>
    <m/>
    <m/>
    <m/>
    <m/>
    <m/>
  </r>
  <r>
    <n v="357"/>
    <m/>
    <s v="W14001"/>
    <s v="FBA199JC2QFL"/>
    <s v="W-US"/>
    <x v="0"/>
    <s v="G1-SILV"/>
    <n v="160"/>
    <s v="天盛"/>
    <x v="11"/>
    <x v="32"/>
    <s v="G1-SILV"/>
    <s v="G1-SILV 电子球形把手锁 银色"/>
    <s v="G1"/>
    <n v="10"/>
    <n v="0.4382978723404255"/>
    <x v="1"/>
    <n v="1890"/>
    <n v="180"/>
    <n v="38.297872340425535"/>
    <n v="866.68085106382978"/>
    <n v="5.4167553191489359"/>
    <n v="0.80847094315655754"/>
    <m/>
    <m/>
    <m/>
    <x v="20"/>
    <d v="2026-04-19T00:00:00"/>
    <m/>
    <n v="0.56000000000000005"/>
    <n v="89.600000000000009"/>
    <m/>
    <m/>
    <m/>
    <m/>
    <m/>
    <m/>
    <m/>
    <m/>
    <m/>
    <m/>
  </r>
  <r>
    <n v="358"/>
    <m/>
    <s v="W14005"/>
    <s v="FBA199J9FWBW"/>
    <s v="W-US"/>
    <x v="0"/>
    <s v="G1-B"/>
    <n v="304"/>
    <s v="国润通"/>
    <x v="0"/>
    <x v="32"/>
    <s v="G1-B"/>
    <s v="G1-B 电子球形把手锁 黑色"/>
    <s v="G1"/>
    <n v="19"/>
    <n v="256"/>
    <x v="0"/>
    <n v="3.2"/>
    <n v="200"/>
    <n v="200"/>
    <n v="1019.2"/>
    <n v="3.3526315789473684"/>
    <n v="0.50039277297721918"/>
    <m/>
    <m/>
    <m/>
    <x v="20"/>
    <d v="2026-04-25T00:00:00"/>
    <m/>
    <n v="0.56000000000000005"/>
    <n v="170.24"/>
    <m/>
    <m/>
    <m/>
    <m/>
    <m/>
    <m/>
    <m/>
    <m/>
    <m/>
    <m/>
  </r>
  <r>
    <n v="359"/>
    <m/>
    <s v="W14006"/>
    <s v="FBA199JBK252"/>
    <s v="V-US"/>
    <x v="0"/>
    <s v="001000032"/>
    <n v="240"/>
    <s v="嘀嗒嘀"/>
    <x v="0"/>
    <x v="4"/>
    <s v="ANW-B"/>
    <s v="ANW-B 智能扩香仪 黑色"/>
    <s v="ANW"/>
    <n v="20"/>
    <n v="286.34827586206893"/>
    <x v="0"/>
    <n v="4.5"/>
    <n v="200"/>
    <n v="17.857142857142858"/>
    <n v="1306.4243842364531"/>
    <n v="5.4434349343185549"/>
    <n v="0.81245297527142613"/>
    <m/>
    <m/>
    <m/>
    <x v="20"/>
    <d v="2026-04-27T00:00:00"/>
    <m/>
    <n v="0.55999999999999994"/>
    <n v="134.39999999999998"/>
    <m/>
    <m/>
    <m/>
    <m/>
    <m/>
    <m/>
    <m/>
    <m/>
    <m/>
    <m/>
  </r>
  <r>
    <n v="360"/>
    <m/>
    <s v="W14006"/>
    <s v="FBA199JBK252"/>
    <s v="V-US"/>
    <x v="0"/>
    <s v="001000033"/>
    <n v="456"/>
    <s v="嘀嗒嘀"/>
    <x v="0"/>
    <x v="4"/>
    <s v="ANW-W"/>
    <s v="ANW-W 智能扩香仪 白色"/>
    <s v="ANW"/>
    <n v="38"/>
    <n v="544.06172413793104"/>
    <x v="0"/>
    <n v="4.5"/>
    <n v="200"/>
    <n v="33.928571428571431"/>
    <n v="2482.2063300492614"/>
    <n v="5.4434349343185557"/>
    <n v="0.81245297527142624"/>
    <m/>
    <m/>
    <m/>
    <x v="20"/>
    <d v="2026-04-27T00:00:00"/>
    <m/>
    <n v="0.55999999999999994"/>
    <n v="255.35999999999999"/>
    <m/>
    <m/>
    <m/>
    <m/>
    <m/>
    <m/>
    <m/>
    <m/>
    <m/>
    <m/>
  </r>
  <r>
    <n v="361"/>
    <m/>
    <s v="W14002"/>
    <s v="FBA199KWXBZZ"/>
    <s v="K-US"/>
    <x v="0"/>
    <s v="ANPKIT-WH_US_3X20K01_TZ"/>
    <n v="160"/>
    <s v="嘀嗒嘀"/>
    <x v="0"/>
    <x v="4"/>
    <s v="ANPKIT-WH_US_3X20K01_TZ"/>
    <s v="ANPKIT-WH_US_3X20K01_TZ ANP白色机器+3X20mL酒店香氛油（天竺） 机油套装"/>
    <s v="ANP"/>
    <n v="5"/>
    <n v="84"/>
    <x v="0"/>
    <n v="4.5"/>
    <n v="200"/>
    <n v="18.181818181818183"/>
    <n v="396.18181818181819"/>
    <n v="2.4761363636363636"/>
    <n v="0.36957259158751693"/>
    <m/>
    <m/>
    <m/>
    <x v="20"/>
    <d v="2026-04-27T00:00:00"/>
    <m/>
    <n v="0.44000000000000006"/>
    <n v="70.400000000000006"/>
    <m/>
    <m/>
    <m/>
    <m/>
    <m/>
    <m/>
    <m/>
    <m/>
    <m/>
    <m/>
  </r>
  <r>
    <n v="362"/>
    <m/>
    <s v="W14006"/>
    <s v="FBA199J8WL2C"/>
    <s v="V-US"/>
    <x v="0"/>
    <s v="ANP-W_US"/>
    <n v="160"/>
    <s v="嘀嗒嘀"/>
    <x v="0"/>
    <x v="4"/>
    <s v="ANP-W_US"/>
    <s v="ANP-W_US 墙插式智能扩香仪 白色"/>
    <s v="ANP"/>
    <n v="5"/>
    <n v="71.59"/>
    <x v="0"/>
    <n v="4.5"/>
    <n v="200"/>
    <n v="4.4642857142857144"/>
    <n v="326.61928571428575"/>
    <n v="2.0413705357142859"/>
    <n v="0.30468216950959492"/>
    <m/>
    <m/>
    <m/>
    <x v="20"/>
    <d v="2026-04-27T00:00:00"/>
    <m/>
    <n v="0.44000000000000006"/>
    <n v="70.400000000000006"/>
    <m/>
    <m/>
    <m/>
    <m/>
    <m/>
    <m/>
    <m/>
    <m/>
    <m/>
    <m/>
  </r>
  <r>
    <n v="363"/>
    <m/>
    <s v="W14004"/>
    <s v="FBA199J7KYFZ"/>
    <s v="E-US"/>
    <x v="0"/>
    <s v="BLG1-100ML"/>
    <n v="180"/>
    <s v="天盛"/>
    <x v="0"/>
    <x v="31"/>
    <s v="BLG1-100ML"/>
    <s v="BLG1-100ML 百乐宫酒店香氛油100mL"/>
    <s v="Oil-HQ"/>
    <n v="2"/>
    <n v="9.3333333333333338E-2"/>
    <x v="1"/>
    <n v="1030"/>
    <n v="180"/>
    <n v="12.857142857142858"/>
    <n v="108.9904761904762"/>
    <n v="0.60550264550264554"/>
    <n v="9.0373529179499326E-2"/>
    <m/>
    <m/>
    <m/>
    <x v="21"/>
    <d v="2026-04-25T00:00:00"/>
    <m/>
    <n v="0.36"/>
    <n v="64.8"/>
    <m/>
    <m/>
    <m/>
    <m/>
    <m/>
    <m/>
    <m/>
    <m/>
    <m/>
    <m/>
  </r>
  <r>
    <n v="364"/>
    <m/>
    <s v="W14004"/>
    <s v="FBA199J7KYFZ"/>
    <s v="E-US"/>
    <x v="0"/>
    <s v="MWAY1-100ML"/>
    <n v="90"/>
    <s v="天盛"/>
    <x v="0"/>
    <x v="31"/>
    <s v="A-MWAY-100"/>
    <s v="A-MWAY Deluxe-100 特定香型香氛油100mL"/>
    <s v="Oil-HQ"/>
    <n v="1"/>
    <n v="4.6666666666666669E-2"/>
    <x v="1"/>
    <n v="1030"/>
    <n v="180"/>
    <n v="6.4285714285714288"/>
    <n v="54.495238095238101"/>
    <n v="0.60550264550264554"/>
    <n v="9.0373529179499326E-2"/>
    <m/>
    <m/>
    <m/>
    <x v="21"/>
    <d v="2026-04-25T00:00:00"/>
    <m/>
    <n v="0.36"/>
    <n v="32.4"/>
    <m/>
    <m/>
    <m/>
    <m/>
    <m/>
    <m/>
    <m/>
    <m/>
    <m/>
    <m/>
  </r>
  <r>
    <n v="365"/>
    <m/>
    <s v="W14004"/>
    <s v="FBA199J7KYFZ"/>
    <s v="E-US"/>
    <x v="0"/>
    <s v="006000026"/>
    <n v="270"/>
    <s v="天盛"/>
    <x v="0"/>
    <x v="31"/>
    <s v="A-MT-100"/>
    <s v="A-Marriott Hotel 1-100 万豪酒店1香氛油100mL"/>
    <s v="Oil-HQ"/>
    <n v="3"/>
    <n v="0.14000000000000001"/>
    <x v="1"/>
    <n v="1030"/>
    <m/>
    <n v="19.285714285714285"/>
    <n v="163.48571428571429"/>
    <n v="0.60550264550264554"/>
    <n v="9.0373529179499326E-2"/>
    <m/>
    <m/>
    <m/>
    <x v="21"/>
    <d v="2026-04-25T00:00:00"/>
    <m/>
    <n v="0.36"/>
    <n v="97.2"/>
    <m/>
    <m/>
    <m/>
    <m/>
    <m/>
    <m/>
    <m/>
    <m/>
    <m/>
    <m/>
  </r>
  <r>
    <n v="366"/>
    <m/>
    <s v="W14004"/>
    <s v="FBA199JB9GX5"/>
    <s v="V-US"/>
    <x v="0"/>
    <s v="006000024"/>
    <n v="630"/>
    <s v="天盛"/>
    <x v="0"/>
    <x v="31"/>
    <s v="A-RZ3-100"/>
    <s v="A-Ritz Carlton Hotel 3-100 丽思卡尔顿酒店3香氛油100mL"/>
    <s v="Oil-HQ"/>
    <n v="7"/>
    <n v="0.32200000000000001"/>
    <x v="1"/>
    <n v="1030"/>
    <m/>
    <n v="45"/>
    <n v="376.66"/>
    <n v="0.59787301587301589"/>
    <n v="8.9234778488509831E-2"/>
    <m/>
    <m/>
    <m/>
    <x v="21"/>
    <d v="2026-04-25T00:00:00"/>
    <m/>
    <n v="0.3669565217391304"/>
    <n v="231.18260869565216"/>
    <m/>
    <m/>
    <m/>
    <m/>
    <m/>
    <m/>
    <m/>
    <m/>
    <m/>
    <m/>
  </r>
  <r>
    <n v="367"/>
    <m/>
    <s v="W14004"/>
    <s v="FBA199JB9GX5"/>
    <s v="V-US"/>
    <x v="0"/>
    <s v="RZ-500ML"/>
    <n v="60"/>
    <s v="天盛"/>
    <x v="0"/>
    <x v="31"/>
    <s v="RZ-500ML"/>
    <s v="RZ-500ML 丽思卡尔顿酒店3香氛油500mL"/>
    <s v="Oil-HQ"/>
    <n v="3"/>
    <n v="0.13800000000000001"/>
    <x v="1"/>
    <n v="1030"/>
    <m/>
    <n v="19.285714285714285"/>
    <n v="161.42571428571429"/>
    <n v="2.6904285714285714"/>
    <n v="0.40155650319829422"/>
    <m/>
    <m/>
    <m/>
    <x v="21"/>
    <d v="2026-04-25T00:00:00"/>
    <m/>
    <n v="0.3669565217391304"/>
    <n v="22.017391304347825"/>
    <m/>
    <m/>
    <m/>
    <m/>
    <m/>
    <m/>
    <m/>
    <m/>
    <m/>
    <m/>
  </r>
  <r>
    <n v="368"/>
    <s v="跟上周一样，拉到广州仓库去合并下单，报关"/>
    <s v="W14004"/>
    <s v="FBA199J506NT"/>
    <s v="E-US"/>
    <x v="0"/>
    <s v="BCRT1-100ML_TZ"/>
    <n v="192"/>
    <s v="天盛"/>
    <x v="0"/>
    <x v="31"/>
    <s v="BCRT1-100ML_TZ"/>
    <s v="BCRT1-100ML_TZ 巴卡拉酒店100mL香氛油（天竺） 销售包装"/>
    <s v="Oil-TZ"/>
    <n v="3"/>
    <n v="0.13750000000000001"/>
    <x v="1"/>
    <n v="1030"/>
    <m/>
    <n v="19.285714285714285"/>
    <n v="160.91071428571428"/>
    <n v="0.83807663690476186"/>
    <n v="0.12508606520966595"/>
    <m/>
    <m/>
    <m/>
    <x v="20"/>
    <d v="2026-04-25T00:00:00"/>
    <m/>
    <n v="0.36000000000000004"/>
    <n v="69.12"/>
    <m/>
    <m/>
    <m/>
    <m/>
    <m/>
    <m/>
    <m/>
    <m/>
    <m/>
    <m/>
  </r>
  <r>
    <n v="369"/>
    <m/>
    <s v="W14004"/>
    <s v="FBA199J506NT"/>
    <s v="E-US"/>
    <x v="0"/>
    <s v="W1-100ML_TZ"/>
    <n v="128"/>
    <s v="天盛"/>
    <x v="0"/>
    <x v="31"/>
    <s v="W1-100ML_TZ"/>
    <s v="W1-100ML_TZ W酒店100mL香氛油（天竺） 销售包装"/>
    <s v="Oil-TZ"/>
    <n v="2"/>
    <n v="9.1666666666666674E-2"/>
    <x v="1"/>
    <n v="1030"/>
    <m/>
    <n v="12.857142857142858"/>
    <n v="107.27380952380953"/>
    <n v="0.83807663690476197"/>
    <n v="0.12508606520966598"/>
    <m/>
    <m/>
    <m/>
    <x v="20"/>
    <d v="2026-04-25T00:00:00"/>
    <m/>
    <n v="0.36000000000000004"/>
    <n v="46.080000000000005"/>
    <m/>
    <m/>
    <m/>
    <m/>
    <m/>
    <m/>
    <m/>
    <m/>
    <m/>
    <m/>
  </r>
  <r>
    <n v="370"/>
    <m/>
    <s v="W14004"/>
    <s v="FBA199J506NT"/>
    <s v="E-US"/>
    <x v="0"/>
    <s v="HILTON1-100ML_TZ"/>
    <n v="448"/>
    <s v="天盛"/>
    <x v="0"/>
    <x v="31"/>
    <s v="HILTON1-100ML_TZ"/>
    <s v="HILTON1-100ML_TZ 希尔顿酒店100mL香氛油（天竺） 销售包装"/>
    <s v="Oil-TZ"/>
    <n v="7"/>
    <n v="0.32083333333333336"/>
    <x v="1"/>
    <n v="1030"/>
    <m/>
    <n v="45"/>
    <n v="375.45833333333337"/>
    <n v="0.83807663690476197"/>
    <n v="0.12508606520966598"/>
    <m/>
    <m/>
    <m/>
    <x v="20"/>
    <d v="2026-04-25T00:00:00"/>
    <m/>
    <n v="0.36000000000000004"/>
    <n v="161.28000000000003"/>
    <m/>
    <m/>
    <m/>
    <m/>
    <m/>
    <m/>
    <m/>
    <m/>
    <m/>
    <m/>
  </r>
  <r>
    <n v="371"/>
    <m/>
    <s v="W14003"/>
    <s v="FBA199JBCYRR"/>
    <s v="A-CA"/>
    <x v="3"/>
    <s v="002000022"/>
    <n v="24"/>
    <s v="国润通"/>
    <x v="5"/>
    <x v="34"/>
    <s v="H2-G"/>
    <s v="H2-G 电子指纹球形把手锁-灰色"/>
    <s v="H2"/>
    <n v="2"/>
    <n v="27.111111111111111"/>
    <x v="0"/>
    <n v="5"/>
    <n v="350"/>
    <n v="15.555555555555555"/>
    <n v="151.11111111111109"/>
    <n v="6.2962962962962949"/>
    <n v="0.93974571586511857"/>
    <m/>
    <m/>
    <m/>
    <x v="20"/>
    <d v="2026-04-28T00:00:00"/>
    <m/>
    <n v="0"/>
    <n v="0"/>
    <m/>
    <m/>
    <m/>
    <m/>
    <m/>
    <m/>
    <m/>
    <m/>
    <m/>
    <m/>
  </r>
  <r>
    <n v="372"/>
    <m/>
    <s v="W14003"/>
    <s v="FBA199JBCYRR"/>
    <s v="A-CA"/>
    <x v="3"/>
    <s v="002000001"/>
    <n v="168"/>
    <s v="国润通"/>
    <x v="5"/>
    <x v="34"/>
    <s v="K1-B"/>
    <s v="K1-B 电子球形把手锁-黑色"/>
    <s v="K1"/>
    <n v="14"/>
    <n v="189.77777777777777"/>
    <x v="0"/>
    <n v="5"/>
    <n v="350"/>
    <n v="108.88888888888889"/>
    <n v="1057.7777777777778"/>
    <n v="6.2962962962962967"/>
    <n v="0.9397457158651189"/>
    <m/>
    <m/>
    <m/>
    <x v="20"/>
    <d v="2026-04-28T00:00:00"/>
    <m/>
    <n v="0"/>
    <n v="0"/>
    <m/>
    <m/>
    <m/>
    <m/>
    <m/>
    <m/>
    <m/>
    <m/>
    <m/>
    <m/>
  </r>
  <r>
    <n v="373"/>
    <m/>
    <s v="W14003"/>
    <s v="FBA199JBCYRR"/>
    <s v="A-CA"/>
    <x v="3"/>
    <s v="002000007"/>
    <n v="348"/>
    <s v="国润通"/>
    <x v="5"/>
    <x v="34"/>
    <s v="K1-S+S"/>
    <s v="K1-S+S 电子球形把手锁-镍镍"/>
    <s v="K1"/>
    <n v="29"/>
    <n v="393.11111111111109"/>
    <x v="0"/>
    <n v="5"/>
    <m/>
    <n v="225.55555555555554"/>
    <n v="2191.1111111111109"/>
    <n v="6.2962962962962958"/>
    <n v="0.93974571586511879"/>
    <m/>
    <m/>
    <m/>
    <x v="20"/>
    <d v="2026-04-28T00:00:00"/>
    <m/>
    <n v="0"/>
    <n v="0"/>
    <m/>
    <m/>
    <m/>
    <m/>
    <m/>
    <m/>
    <m/>
    <m/>
    <m/>
    <m/>
  </r>
  <r>
    <n v="374"/>
    <m/>
    <s v="W15007"/>
    <s v="FBA199V9G06K"/>
    <s v="V-US"/>
    <x v="0"/>
    <s v="001000028"/>
    <n v="300"/>
    <s v="万邦"/>
    <x v="0"/>
    <x v="4"/>
    <s v="AN6-2PC-BB"/>
    <s v="AN6-2PC-BB 便携式扩香仪套装 黑+黑"/>
    <s v="AN6"/>
    <n v="15"/>
    <n v="203.60847457627119"/>
    <x v="0"/>
    <n v="4"/>
    <n v="200"/>
    <n v="26.086956521739129"/>
    <n v="840.52085482682389"/>
    <n v="2.8017361827560796"/>
    <n v="0.41816957951583278"/>
    <m/>
    <m/>
    <m/>
    <x v="22"/>
    <d v="2026-05-05T00:00:00"/>
    <m/>
    <m/>
    <m/>
    <m/>
    <m/>
    <m/>
    <m/>
    <m/>
    <m/>
    <m/>
    <m/>
    <m/>
    <m/>
  </r>
  <r>
    <n v="375"/>
    <m/>
    <s v="W15007"/>
    <s v="FBA199V9G06K"/>
    <s v="V-US"/>
    <x v="0"/>
    <s v="001000019"/>
    <n v="1200"/>
    <s v="万邦"/>
    <x v="0"/>
    <x v="4"/>
    <s v="AN6-B"/>
    <s v="AN6-B 便携式扩香仪 黑色"/>
    <s v="AN6"/>
    <n v="30"/>
    <n v="407.21694915254238"/>
    <x v="0"/>
    <n v="4"/>
    <n v="200"/>
    <n v="52.173913043478258"/>
    <n v="1681.0417096536478"/>
    <n v="1.4008680913780398"/>
    <n v="0.20908478975791639"/>
    <m/>
    <m/>
    <m/>
    <x v="22"/>
    <d v="2026-05-05T00:00:00"/>
    <m/>
    <m/>
    <m/>
    <m/>
    <m/>
    <m/>
    <m/>
    <m/>
    <m/>
    <m/>
    <m/>
    <m/>
    <m/>
  </r>
  <r>
    <n v="376"/>
    <m/>
    <s v="W15007"/>
    <s v="FBA199V9G06K"/>
    <s v="V-US"/>
    <x v="0"/>
    <s v="001000020"/>
    <n v="240"/>
    <s v="万邦"/>
    <x v="0"/>
    <x v="4"/>
    <s v="AN6-W"/>
    <s v="AN6-W 便携式扩香仪 白色"/>
    <s v="AN6"/>
    <n v="6"/>
    <n v="81.44338983050848"/>
    <x v="0"/>
    <n v="4"/>
    <m/>
    <n v="10.434782608695652"/>
    <n v="336.20834193072955"/>
    <n v="1.4008680913780398"/>
    <n v="0.20908478975791639"/>
    <m/>
    <m/>
    <m/>
    <x v="22"/>
    <d v="2026-05-05T00:00:00"/>
    <m/>
    <m/>
    <m/>
    <m/>
    <m/>
    <m/>
    <m/>
    <m/>
    <m/>
    <m/>
    <m/>
    <m/>
    <m/>
  </r>
  <r>
    <n v="377"/>
    <m/>
    <s v="W15007"/>
    <s v="FBA199V9G06K"/>
    <s v="V-US"/>
    <x v="0"/>
    <s v="AN8-B"/>
    <n v="320"/>
    <s v="万邦"/>
    <x v="0"/>
    <x v="4"/>
    <s v="AN8-B"/>
    <s v="AN8-B 便携式扩香仪 黑色"/>
    <s v="AN8"/>
    <n v="8"/>
    <n v="108.59118644067797"/>
    <x v="0"/>
    <n v="4"/>
    <m/>
    <n v="13.913043478260869"/>
    <n v="448.27778924097277"/>
    <n v="1.4008680913780398"/>
    <n v="0.20908478975791639"/>
    <m/>
    <m/>
    <m/>
    <x v="22"/>
    <d v="2026-05-05T00:00:00"/>
    <m/>
    <m/>
    <m/>
    <m/>
    <m/>
    <m/>
    <m/>
    <m/>
    <m/>
    <m/>
    <m/>
    <m/>
    <m/>
  </r>
  <r>
    <n v="378"/>
    <m/>
    <s v="W15001"/>
    <s v="FBA19B7DZGDV"/>
    <s v="K-US"/>
    <x v="0"/>
    <s v="RDXKIT-B_US_2X100K04"/>
    <n v="288"/>
    <s v="万邦"/>
    <x v="0"/>
    <x v="5"/>
    <s v="RDXKIT-B_US_2X100K04"/>
    <s v="RDXKIT-B_US_2X100K04 RDX黑色机器+2X100mL酒店香氛油（天竺） 机油套装"/>
    <s v="RDX"/>
    <n v="32"/>
    <n v="468"/>
    <x v="0"/>
    <n v="4.8"/>
    <n v="200"/>
    <n v="130.61224489795919"/>
    <n v="2377.0122448979591"/>
    <n v="8.2535147392290256"/>
    <n v="1.2318678715267202"/>
    <m/>
    <m/>
    <m/>
    <x v="22"/>
    <d v="2026-05-05T00:00:00"/>
    <m/>
    <m/>
    <m/>
    <m/>
    <m/>
    <m/>
    <m/>
    <m/>
    <m/>
    <m/>
    <m/>
    <m/>
    <m/>
  </r>
  <r>
    <n v="379"/>
    <m/>
    <s v="W15003"/>
    <s v="FBA199V98MJG"/>
    <s v="V-US"/>
    <x v="0"/>
    <s v="AN8KIT-B_4X10K05_TZ"/>
    <n v="3300"/>
    <s v="嘀嗒嘀"/>
    <x v="0"/>
    <x v="0"/>
    <s v="AN8KIT-B_4X10K05_TZ"/>
    <s v="AN8KIT-B_4X10K05_TZ AN8黑色机器+4x10mL（天竺）酒店香氛油 机油套装"/>
    <s v="AN8"/>
    <n v="110"/>
    <n v="1741.219512195122"/>
    <x v="0"/>
    <n v="4.0999999999999996"/>
    <n v="200"/>
    <n v="77.738515901060069"/>
    <n v="7216.7385159010591"/>
    <n v="2.1868904593639571"/>
    <n v="0.32640156109909807"/>
    <m/>
    <m/>
    <m/>
    <x v="23"/>
    <d v="2026-05-03T00:00:00"/>
    <m/>
    <m/>
    <m/>
    <m/>
    <m/>
    <m/>
    <m/>
    <m/>
    <m/>
    <m/>
    <m/>
    <m/>
    <m/>
  </r>
  <r>
    <n v="380"/>
    <m/>
    <s v="W15003"/>
    <s v="FBA199V98MJG"/>
    <s v="V-US"/>
    <x v="0"/>
    <s v="AN8KIT-WH_4X10K05_TZ"/>
    <n v="300"/>
    <s v="嘀嗒嘀"/>
    <x v="0"/>
    <x v="0"/>
    <s v="AN8KIT-WH_4X10K05_TZ"/>
    <s v="AN8KIT-WH_4X10K05_TZ AN8白色机器+4x10mL（天竺）酒店香氛油 机油套装"/>
    <s v="AN8"/>
    <n v="10"/>
    <n v="158.29268292682929"/>
    <x v="0"/>
    <n v="4.0999999999999996"/>
    <n v="200"/>
    <n v="7.0671378091872787"/>
    <n v="656.06713780918733"/>
    <n v="2.186890459363958"/>
    <n v="0.32640156109909818"/>
    <m/>
    <m/>
    <m/>
    <x v="23"/>
    <d v="2026-05-03T00:00:00"/>
    <m/>
    <m/>
    <m/>
    <m/>
    <m/>
    <m/>
    <m/>
    <m/>
    <m/>
    <m/>
    <m/>
    <m/>
    <m/>
  </r>
  <r>
    <n v="381"/>
    <m/>
    <s v="W15003"/>
    <s v="FBA199V98MJG"/>
    <s v="V-US"/>
    <x v="0"/>
    <s v="ANXKIT-GD_RZ30ml"/>
    <n v="90"/>
    <s v="嘀嗒嘀"/>
    <x v="0"/>
    <x v="0"/>
    <s v="ANXKIT-GD_RZ30ml"/>
    <s v="ANXKIT-GD_RZ30ml ANX金色机器+30mL丽思香氛油 机油套装"/>
    <s v="ANX"/>
    <n v="3"/>
    <n v="47.487804878048784"/>
    <x v="0"/>
    <n v="4.0999999999999996"/>
    <m/>
    <n v="2.1201413427561837"/>
    <n v="196.82014134275616"/>
    <n v="2.1868904593639575"/>
    <n v="0.32640156109909813"/>
    <m/>
    <m/>
    <m/>
    <x v="23"/>
    <d v="2026-05-03T00:00:00"/>
    <m/>
    <m/>
    <m/>
    <m/>
    <m/>
    <m/>
    <m/>
    <m/>
    <m/>
    <m/>
    <m/>
    <m/>
    <m/>
  </r>
  <r>
    <n v="382"/>
    <m/>
    <s v="W15006"/>
    <s v="FBA199WVYDVD"/>
    <s v="E-US"/>
    <x v="0"/>
    <s v="001000046"/>
    <n v="180"/>
    <s v="万邦"/>
    <x v="6"/>
    <x v="4"/>
    <s v="ANX-SILV"/>
    <s v="ANX-SILV 便携式扩香仪 银色"/>
    <s v="ANX"/>
    <n v="6"/>
    <n v="75"/>
    <x v="0"/>
    <n v="5.2"/>
    <n v="200"/>
    <n v="200"/>
    <n v="590"/>
    <n v="3.2777777777777777"/>
    <n v="0.48922056384742951"/>
    <m/>
    <m/>
    <m/>
    <x v="22"/>
    <d v="2026-04-28T00:00:00"/>
    <m/>
    <m/>
    <m/>
    <m/>
    <m/>
    <m/>
    <m/>
    <m/>
    <m/>
    <m/>
    <m/>
    <m/>
    <m/>
  </r>
  <r>
    <n v="383"/>
    <m/>
    <s v="W15007"/>
    <s v="FBA199WX2PW7"/>
    <s v="E-US"/>
    <x v="0"/>
    <s v="001000045"/>
    <n v="180"/>
    <s v="万邦"/>
    <x v="0"/>
    <x v="4"/>
    <s v="ANX-B"/>
    <s v="ANX-B 便携式扩香仪 黑色"/>
    <s v="ANX"/>
    <n v="6"/>
    <n v="81.443571428571431"/>
    <x v="0"/>
    <n v="4"/>
    <n v="200"/>
    <n v="10.434782608695652"/>
    <n v="336.20906832298135"/>
    <n v="1.8678281573498965"/>
    <n v="0.27878032199252184"/>
    <m/>
    <m/>
    <m/>
    <x v="22"/>
    <d v="2026-05-05T00:00:00"/>
    <m/>
    <m/>
    <m/>
    <m/>
    <m/>
    <m/>
    <m/>
    <m/>
    <m/>
    <m/>
    <m/>
    <m/>
    <m/>
  </r>
  <r>
    <n v="384"/>
    <m/>
    <s v="W15007"/>
    <s v="FBA199WX2PW7"/>
    <s v="E-US"/>
    <x v="0"/>
    <s v="ANZ-B"/>
    <n v="1400"/>
    <s v="万邦"/>
    <x v="0"/>
    <x v="4"/>
    <s v="ANZ-B"/>
    <s v="ANZ-B 便携式扩香仪 黑色"/>
    <s v="ANZ"/>
    <n v="35"/>
    <n v="475.08749999999998"/>
    <x v="0"/>
    <n v="4"/>
    <n v="200"/>
    <n v="60.869565217391305"/>
    <n v="1961.2195652173912"/>
    <n v="1.4008711180124223"/>
    <n v="0.20908524149439137"/>
    <m/>
    <m/>
    <m/>
    <x v="22"/>
    <d v="2026-05-05T00:00:00"/>
    <m/>
    <m/>
    <m/>
    <m/>
    <m/>
    <m/>
    <m/>
    <m/>
    <m/>
    <m/>
    <m/>
    <m/>
    <m/>
  </r>
  <r>
    <n v="385"/>
    <m/>
    <s v="W15007"/>
    <s v="FBA199WX2PW7"/>
    <s v="E-US"/>
    <x v="0"/>
    <s v="ANZ-WH"/>
    <n v="600"/>
    <s v="万邦"/>
    <x v="0"/>
    <x v="4"/>
    <s v="ANZ-WH"/>
    <s v="ANZ-WH 便携式扩香仪 白色"/>
    <s v="ANZ"/>
    <n v="15"/>
    <n v="203.60892857142855"/>
    <x v="0"/>
    <n v="4"/>
    <n v="200"/>
    <n v="26.086956521739129"/>
    <n v="840.52267080745332"/>
    <n v="1.4008711180124223"/>
    <n v="0.20908524149439137"/>
    <m/>
    <m/>
    <m/>
    <x v="22"/>
    <d v="2026-05-05T00:00:00"/>
    <m/>
    <m/>
    <m/>
    <m/>
    <m/>
    <m/>
    <m/>
    <m/>
    <m/>
    <m/>
    <m/>
    <m/>
    <m/>
  </r>
  <r>
    <n v="386"/>
    <m/>
    <s v="W15003"/>
    <s v="FBA199WV8JXK"/>
    <s v="E-US"/>
    <x v="0"/>
    <s v="ANZKIT-B_4X10K04_TZ"/>
    <n v="420"/>
    <s v="嘀嗒嘀"/>
    <x v="0"/>
    <x v="1"/>
    <s v="ANZKIT-B_4X10K04_TZ"/>
    <s v="ANZKIT-B_4X10K04_TZ ANZ黑色机器+4x10mL酒店（天竺）香氛油 机油套装"/>
    <s v="ANZ"/>
    <n v="14"/>
    <n v="223"/>
    <x v="0"/>
    <n v="4.0999999999999996"/>
    <n v="200"/>
    <n v="9.8939929328621901"/>
    <n v="924.1939929328621"/>
    <n v="2.2004618879353859"/>
    <n v="0.32842714745304263"/>
    <m/>
    <m/>
    <m/>
    <x v="23"/>
    <d v="2026-05-03T00:00:00"/>
    <m/>
    <m/>
    <m/>
    <m/>
    <m/>
    <m/>
    <m/>
    <m/>
    <m/>
    <m/>
    <m/>
    <m/>
    <m/>
  </r>
  <r>
    <n v="387"/>
    <m/>
    <s v="W15003"/>
    <s v="FBA199X2YQJT"/>
    <s v="W-US"/>
    <x v="0"/>
    <s v="G1-B"/>
    <n v="576"/>
    <s v="嘀嗒嘀"/>
    <x v="0"/>
    <x v="15"/>
    <s v="G1-B"/>
    <s v="G1-B 电子球形把手锁 黑色"/>
    <s v="G1"/>
    <n v="36"/>
    <n v="501.27272727272725"/>
    <x v="0"/>
    <n v="3.6"/>
    <n v="200"/>
    <n v="25.441696113074205"/>
    <n v="1830.0235142948923"/>
    <n v="3.1771241567619657"/>
    <n v="0.47419763533760678"/>
    <m/>
    <m/>
    <m/>
    <x v="23"/>
    <d v="2026-05-03T00:00:00"/>
    <m/>
    <m/>
    <m/>
    <m/>
    <m/>
    <m/>
    <m/>
    <m/>
    <m/>
    <m/>
    <m/>
    <m/>
    <m/>
  </r>
  <r>
    <n v="388"/>
    <m/>
    <s v="W15003"/>
    <s v="FBA199X2YQJT"/>
    <s v="W-US"/>
    <x v="0"/>
    <s v="G1-SILV"/>
    <n v="112"/>
    <s v="嘀嗒嘀"/>
    <x v="0"/>
    <x v="15"/>
    <s v="G1-SILV"/>
    <s v="G1-SILV 电子球形把手锁 银色"/>
    <s v="G1"/>
    <n v="7"/>
    <n v="97.469696969696969"/>
    <x v="0"/>
    <n v="3.6"/>
    <m/>
    <n v="4.946996466431095"/>
    <n v="355.83790555734015"/>
    <n v="3.1771241567619657"/>
    <n v="0.47419763533760678"/>
    <m/>
    <m/>
    <m/>
    <x v="23"/>
    <d v="2026-05-03T00:00:00"/>
    <m/>
    <m/>
    <m/>
    <m/>
    <m/>
    <m/>
    <m/>
    <m/>
    <m/>
    <m/>
    <m/>
    <m/>
    <m/>
  </r>
  <r>
    <n v="389"/>
    <m/>
    <s v="W15003"/>
    <s v="FBA199X2YQJT"/>
    <s v="W-US"/>
    <x v="0"/>
    <s v="002000029"/>
    <n v="160"/>
    <s v="嘀嗒嘀"/>
    <x v="0"/>
    <x v="15"/>
    <s v="MD1-B"/>
    <s v="MD1-B 电子球形把手锁 指纹 黑色"/>
    <s v="MD1"/>
    <n v="10"/>
    <n v="139.24242424242425"/>
    <x v="0"/>
    <n v="3.6"/>
    <m/>
    <n v="7.0671378091872787"/>
    <n v="508.33986508191458"/>
    <n v="3.1771241567619661"/>
    <n v="0.47419763533760689"/>
    <m/>
    <m/>
    <m/>
    <x v="23"/>
    <d v="2026-05-03T00:00:00"/>
    <m/>
    <m/>
    <m/>
    <m/>
    <m/>
    <m/>
    <m/>
    <m/>
    <m/>
    <m/>
    <m/>
    <m/>
    <m/>
  </r>
  <r>
    <n v="390"/>
    <m/>
    <s v="W15003"/>
    <s v="FBA199X2YQJT"/>
    <s v="W-US"/>
    <x v="0"/>
    <s v="002000038"/>
    <n v="80"/>
    <s v="嘀嗒嘀"/>
    <x v="0"/>
    <x v="15"/>
    <s v="MD1-SILV"/>
    <s v="MD1-SILV 电子球形把手锁 指纹 银色"/>
    <s v="MD1"/>
    <n v="5"/>
    <n v="69.621212121212125"/>
    <x v="0"/>
    <n v="3.6"/>
    <m/>
    <n v="3.5335689045936394"/>
    <n v="254.16993254095729"/>
    <n v="3.1771241567619661"/>
    <n v="0.47419763533760689"/>
    <m/>
    <m/>
    <m/>
    <x v="23"/>
    <d v="2026-05-03T00:00:00"/>
    <m/>
    <m/>
    <m/>
    <m/>
    <m/>
    <m/>
    <m/>
    <m/>
    <m/>
    <m/>
    <m/>
    <m/>
    <m/>
  </r>
  <r>
    <n v="391"/>
    <m/>
    <s v="W15003"/>
    <s v="FBA199X2YQJT"/>
    <s v="W-US"/>
    <x v="0"/>
    <s v="002000030"/>
    <n v="48"/>
    <s v="嘀嗒嘀"/>
    <x v="0"/>
    <x v="15"/>
    <s v="MD1-T"/>
    <s v="MD1-T 电子球形把手锁 指纹 钛灰色"/>
    <s v="MD1"/>
    <n v="3"/>
    <n v="41.772727272727273"/>
    <x v="0"/>
    <n v="3.6"/>
    <m/>
    <n v="2.1201413427561837"/>
    <n v="152.50195952457435"/>
    <n v="3.1771241567619657"/>
    <n v="0.47419763533760678"/>
    <m/>
    <m/>
    <m/>
    <x v="23"/>
    <d v="2026-05-03T00:00:00"/>
    <m/>
    <m/>
    <m/>
    <m/>
    <m/>
    <m/>
    <m/>
    <m/>
    <m/>
    <m/>
    <m/>
    <m/>
    <m/>
  </r>
  <r>
    <n v="392"/>
    <m/>
    <s v="W15003"/>
    <s v="FBA199X2YQJT"/>
    <s v="W-US"/>
    <x v="0"/>
    <s v="002000031"/>
    <n v="80"/>
    <s v="嘀嗒嘀"/>
    <x v="0"/>
    <x v="15"/>
    <s v="MK1-B"/>
    <s v="MK1-B 智能球形把手锁 黑色"/>
    <s v="MK1"/>
    <n v="5"/>
    <n v="69.621212121212125"/>
    <x v="0"/>
    <n v="3.6"/>
    <m/>
    <n v="3.5335689045936394"/>
    <n v="254.16993254095729"/>
    <n v="3.1771241567619661"/>
    <n v="0.47419763533760689"/>
    <m/>
    <m/>
    <m/>
    <x v="23"/>
    <d v="2026-05-03T00:00:00"/>
    <m/>
    <m/>
    <m/>
    <m/>
    <m/>
    <m/>
    <m/>
    <m/>
    <m/>
    <m/>
    <m/>
    <m/>
    <m/>
  </r>
  <r>
    <n v="393"/>
    <m/>
    <s v="W15003"/>
    <s v="FBA199V40XDQ"/>
    <s v="V-US"/>
    <x v="0"/>
    <s v="ANAKIT-WH_US_2X100K03"/>
    <n v="396"/>
    <s v="嘀嗒嘀"/>
    <x v="0"/>
    <x v="0"/>
    <s v="ANAKIT-WH_US_2X100K03"/>
    <s v="ANAKIT-WH_US_2X100K03 ANA白色机器+2X100mL酒店香氛油（天竺） 机油套装"/>
    <s v="ANA"/>
    <n v="33"/>
    <n v="568.5625"/>
    <x v="0"/>
    <n v="4.0999999999999996"/>
    <m/>
    <n v="23.32155477031802"/>
    <n v="2354.4278047703178"/>
    <n v="5.945524759521005"/>
    <n v="0.88739175515238877"/>
    <m/>
    <m/>
    <m/>
    <x v="23"/>
    <d v="2026-05-03T00:00:00"/>
    <m/>
    <m/>
    <m/>
    <m/>
    <m/>
    <m/>
    <m/>
    <m/>
    <m/>
    <m/>
    <m/>
    <m/>
    <m/>
  </r>
  <r>
    <n v="394"/>
    <m/>
    <s v="W15003"/>
    <s v="FBA199V40XDQ"/>
    <s v="V-US"/>
    <x v="0"/>
    <s v="ANWKIT-B_US_2X100K03"/>
    <n v="180"/>
    <s v="嘀嗒嘀"/>
    <x v="0"/>
    <x v="0"/>
    <s v="ANWKIT-B_US_2X100K03"/>
    <s v="ANWKIT-B_US_2X100K03 ANW黑色机器+2X100mL酒店香氛油（天竺） 机油套装"/>
    <s v="ANW"/>
    <n v="15"/>
    <n v="258.4375"/>
    <x v="0"/>
    <n v="4.0999999999999996"/>
    <m/>
    <n v="10.600706713780919"/>
    <n v="1070.1944567137809"/>
    <n v="5.945524759521005"/>
    <n v="0.88739175515238877"/>
    <m/>
    <m/>
    <m/>
    <x v="23"/>
    <d v="2026-05-03T00:00:00"/>
    <m/>
    <m/>
    <m/>
    <m/>
    <m/>
    <m/>
    <m/>
    <m/>
    <m/>
    <m/>
    <m/>
    <m/>
    <m/>
  </r>
  <r>
    <n v="395"/>
    <m/>
    <s v="W15003"/>
    <s v="FBA199V5RZPW"/>
    <s v="V-US"/>
    <x v="0"/>
    <s v="001000032"/>
    <n v="240"/>
    <s v="嘀嗒嘀"/>
    <x v="0"/>
    <x v="4"/>
    <s v="ANW-B"/>
    <s v="ANW-B 智能扩香仪 黑色"/>
    <s v="ANW"/>
    <n v="20"/>
    <n v="283.125"/>
    <x v="0"/>
    <n v="4.8"/>
    <m/>
    <n v="14.134275618374557"/>
    <n v="1373.1342756183747"/>
    <n v="5.7213928150765607"/>
    <n v="0.85393922613082995"/>
    <m/>
    <m/>
    <m/>
    <x v="23"/>
    <d v="2026-05-03T00:00:00"/>
    <m/>
    <m/>
    <m/>
    <m/>
    <m/>
    <m/>
    <m/>
    <m/>
    <m/>
    <m/>
    <m/>
    <m/>
    <m/>
  </r>
  <r>
    <n v="396"/>
    <m/>
    <s v="W15003"/>
    <s v="FBA199V5RZPW"/>
    <s v="V-US"/>
    <x v="0"/>
    <s v="ANP-W_US"/>
    <n v="352"/>
    <s v="嘀嗒嘀"/>
    <x v="0"/>
    <x v="4"/>
    <s v="ANP-W_US"/>
    <s v="ANP-W_US 墙插式智能扩香仪 白色"/>
    <s v="ANP"/>
    <n v="11"/>
    <n v="155.71875"/>
    <x v="0"/>
    <n v="4.8"/>
    <m/>
    <n v="7.7738515901060072"/>
    <n v="755.22385159010594"/>
    <n v="2.14552230565371"/>
    <n v="0.32022720979906122"/>
    <m/>
    <m/>
    <m/>
    <x v="23"/>
    <d v="2026-05-03T00:00:00"/>
    <m/>
    <m/>
    <m/>
    <m/>
    <m/>
    <m/>
    <m/>
    <m/>
    <m/>
    <m/>
    <m/>
    <m/>
    <m/>
  </r>
  <r>
    <n v="397"/>
    <m/>
    <s v="W15003"/>
    <s v="FBA199V5RZPW"/>
    <s v="V-US"/>
    <x v="0"/>
    <s v="001000057"/>
    <n v="90"/>
    <s v="嘀嗒嘀"/>
    <x v="0"/>
    <x v="4"/>
    <s v="ANW-Bbot"/>
    <s v="ANW-Bbot ANW带盖瓶子 黑喷头"/>
    <s v="ANW-AC"/>
    <n v="1"/>
    <n v="14.15625"/>
    <x v="0"/>
    <n v="4.8"/>
    <m/>
    <n v="0.70671378091872794"/>
    <n v="68.656713780918736"/>
    <n v="0.76285237534354156"/>
    <n v="0.11385856348411068"/>
    <m/>
    <m/>
    <m/>
    <x v="23"/>
    <d v="2026-05-03T00:00:00"/>
    <m/>
    <m/>
    <m/>
    <m/>
    <m/>
    <m/>
    <m/>
    <m/>
    <m/>
    <m/>
    <m/>
    <m/>
    <m/>
  </r>
  <r>
    <n v="398"/>
    <m/>
    <s v="W15002"/>
    <s v="FBA15LMGRQ7F"/>
    <s v="W-DE"/>
    <x v="1"/>
    <s v="ANA-WH_EU"/>
    <n v="144"/>
    <s v="万邦"/>
    <x v="4"/>
    <x v="30"/>
    <s v="ANA-WH_EU"/>
    <s v="ANA-WH_EU 智能扩香仪 欧规 白色"/>
    <s v="ANA"/>
    <n v="12"/>
    <n v="178"/>
    <x v="0"/>
    <n v="7.4"/>
    <n v="200"/>
    <n v="200"/>
    <n v="1517.2"/>
    <n v="10.536111111111111"/>
    <n v="1.5725538971807629"/>
    <m/>
    <m/>
    <m/>
    <x v="23"/>
    <d v="2026-05-13T00:00:00"/>
    <m/>
    <m/>
    <m/>
    <m/>
    <m/>
    <m/>
    <m/>
    <m/>
    <m/>
    <m/>
    <m/>
    <m/>
    <m/>
  </r>
  <r>
    <n v="399"/>
    <m/>
    <s v="W15004"/>
    <s v="FBA199WG4JL3"/>
    <s v="V-US"/>
    <x v="0"/>
    <s v="006000024"/>
    <n v="450"/>
    <s v="天盛"/>
    <x v="0"/>
    <x v="4"/>
    <s v="A-RZ3-100"/>
    <s v="A-Ritz Carlton Hotel 3-100 丽思卡尔顿酒店3香氛油100mL"/>
    <s v="Oil-HQ"/>
    <n v="5"/>
    <n v="101.67"/>
    <x v="0"/>
    <n v="6.2"/>
    <n v="180"/>
    <n v="100"/>
    <n v="730.35400000000004"/>
    <n v="1.6230088888888889"/>
    <n v="0.24224013266998343"/>
    <m/>
    <m/>
    <m/>
    <x v="23"/>
    <d v="2026-05-02T00:00:00"/>
    <m/>
    <m/>
    <m/>
    <m/>
    <m/>
    <m/>
    <m/>
    <m/>
    <m/>
    <m/>
    <m/>
    <m/>
    <m/>
  </r>
  <r>
    <n v="400"/>
    <m/>
    <s v="W15004"/>
    <s v="FBA199TT251G"/>
    <s v="E-US"/>
    <x v="0"/>
    <s v="HOTEL6KIT1-6X10K01"/>
    <n v="228"/>
    <s v="天盛"/>
    <x v="0"/>
    <x v="4"/>
    <s v="HOTEL6KIT1-6X10K01"/>
    <s v="HOTEL6KIT1-6X10K01 酒店香氛油6款10mL套装"/>
    <s v="Oil-HQ"/>
    <n v="3"/>
    <n v="60.997500000000002"/>
    <x v="0"/>
    <n v="6.2"/>
    <n v="180"/>
    <n v="60"/>
    <n v="438.18450000000001"/>
    <n v="1.9218618421052631"/>
    <n v="0.28684505106048702"/>
    <m/>
    <m/>
    <m/>
    <x v="23"/>
    <d v="2026-05-02T00:00:00"/>
    <m/>
    <m/>
    <m/>
    <m/>
    <m/>
    <m/>
    <m/>
    <m/>
    <m/>
    <m/>
    <m/>
    <m/>
    <m/>
  </r>
  <r>
    <n v="401"/>
    <m/>
    <s v="W15004"/>
    <s v="FBA199TT251G"/>
    <s v="E-US"/>
    <x v="0"/>
    <s v="JY-100ML"/>
    <n v="90"/>
    <s v="天盛"/>
    <x v="0"/>
    <x v="4"/>
    <s v="A-JY-100"/>
    <s v="A-Grand Hyatt Hotel-100 君悦酒店香氛油100mL"/>
    <s v="Oil-HQ"/>
    <n v="1"/>
    <n v="20.3325"/>
    <x v="0"/>
    <n v="6.2"/>
    <m/>
    <n v="20"/>
    <n v="146.0615"/>
    <n v="1.6229055555555556"/>
    <n v="0.24222470978441127"/>
    <m/>
    <m/>
    <m/>
    <x v="23"/>
    <d v="2026-05-02T00:00:00"/>
    <m/>
    <m/>
    <m/>
    <m/>
    <m/>
    <m/>
    <m/>
    <m/>
    <m/>
    <m/>
    <m/>
    <m/>
    <m/>
  </r>
  <r>
    <n v="402"/>
    <m/>
    <s v="W15005"/>
    <s v="FBA199WTFJB1"/>
    <s v="E-US"/>
    <x v="0"/>
    <s v="BCRT1-100ML_TZ"/>
    <n v="256"/>
    <s v="天盛"/>
    <x v="0"/>
    <x v="1"/>
    <s v="BCRT1-100ML_TZ"/>
    <s v="BCRT1-100ML_TZ 巴卡拉酒店100mL香氛油（天竺） 销售包装"/>
    <s v="Oil-TZ"/>
    <n v="4"/>
    <n v="59.272727272727273"/>
    <x v="0"/>
    <n v="6.3"/>
    <n v="180"/>
    <n v="65.454545454545453"/>
    <n v="438.87272727272727"/>
    <n v="1.7143465909090909"/>
    <n v="0.25587262550881951"/>
    <m/>
    <m/>
    <m/>
    <x v="23"/>
    <m/>
    <m/>
    <m/>
    <m/>
    <m/>
    <m/>
    <m/>
    <m/>
    <m/>
    <m/>
    <m/>
    <m/>
    <m/>
    <m/>
  </r>
  <r>
    <n v="403"/>
    <m/>
    <s v="W15005"/>
    <s v="FBA199WTFJB1"/>
    <s v="E-US"/>
    <x v="0"/>
    <s v="W1-100ML_TZ"/>
    <n v="256"/>
    <s v="天盛"/>
    <x v="0"/>
    <x v="1"/>
    <s v="W1-100ML_TZ"/>
    <s v="W1-100ML_TZ W酒店100mL香氛油（天竺） 销售包装"/>
    <s v="Oil-TZ"/>
    <n v="4"/>
    <n v="59.272727272727273"/>
    <x v="0"/>
    <n v="6.3"/>
    <n v="180"/>
    <n v="65.454545454545453"/>
    <n v="438.87272727272727"/>
    <n v="1.7143465909090909"/>
    <n v="0.25587262550881951"/>
    <m/>
    <m/>
    <m/>
    <x v="23"/>
    <m/>
    <m/>
    <m/>
    <m/>
    <m/>
    <m/>
    <m/>
    <m/>
    <m/>
    <m/>
    <m/>
    <m/>
    <m/>
    <m/>
  </r>
  <r>
    <n v="404"/>
    <m/>
    <s v="W15005"/>
    <s v="FBA199WTFJB1"/>
    <s v="E-US"/>
    <x v="0"/>
    <s v="HILTON1-100ML_TZ"/>
    <n v="128"/>
    <s v="天盛"/>
    <x v="0"/>
    <x v="1"/>
    <s v="HILTON1-100ML_TZ"/>
    <s v="HILTON1-100ML_TZ 希尔顿酒店100mL香氛油（天竺） 销售包装"/>
    <s v="Oil-TZ"/>
    <n v="2"/>
    <n v="29.636363636363637"/>
    <x v="0"/>
    <n v="6.3"/>
    <m/>
    <n v="32.727272727272727"/>
    <n v="219.43636363636364"/>
    <n v="1.7143465909090909"/>
    <n v="0.25587262550881951"/>
    <m/>
    <m/>
    <m/>
    <x v="23"/>
    <m/>
    <m/>
    <m/>
    <m/>
    <m/>
    <m/>
    <m/>
    <m/>
    <m/>
    <m/>
    <m/>
    <m/>
    <m/>
    <m/>
  </r>
  <r>
    <n v="405"/>
    <m/>
    <s v="W15005"/>
    <s v="FBA199WTFJB1"/>
    <s v="E-US"/>
    <x v="0"/>
    <s v="YH1-100ML_TZ"/>
    <n v="64"/>
    <s v="天盛"/>
    <x v="0"/>
    <x v="1"/>
    <s v="YH1-100ML_TZ"/>
    <s v="YH1-100ML_TZ 樱花100mL香氛油（天竺）销售包装"/>
    <s v="Oil-TZ"/>
    <n v="1"/>
    <n v="14.818181818181818"/>
    <x v="0"/>
    <n v="6.3"/>
    <m/>
    <n v="16.363636363636363"/>
    <n v="109.71818181818182"/>
    <n v="1.7143465909090909"/>
    <n v="0.25587262550881951"/>
    <m/>
    <m/>
    <m/>
    <x v="23"/>
    <m/>
    <m/>
    <m/>
    <m/>
    <m/>
    <m/>
    <m/>
    <m/>
    <m/>
    <m/>
    <m/>
    <m/>
    <m/>
    <m/>
  </r>
  <r>
    <n v="406"/>
    <m/>
    <s v="W15008"/>
    <s v="FBA199V32GNW"/>
    <s v="E-US"/>
    <x v="0"/>
    <s v="008000002"/>
    <n v="70"/>
    <s v="国润通"/>
    <x v="0"/>
    <x v="0"/>
    <s v="ES1-B"/>
    <s v="ES1-B 电动泡沫喷机 黑色"/>
    <s v="ES1"/>
    <n v="1"/>
    <n v="13.25"/>
    <x v="0"/>
    <n v="4.3"/>
    <n v="200"/>
    <n v="10"/>
    <n v="66.974999999999994"/>
    <n v="0.95678571428571424"/>
    <n v="0.14280383795309168"/>
    <m/>
    <m/>
    <m/>
    <x v="22"/>
    <d v="2026-05-02T00:00:00"/>
    <m/>
    <m/>
    <m/>
    <m/>
    <m/>
    <m/>
    <m/>
    <m/>
    <m/>
    <m/>
    <m/>
    <m/>
    <m/>
  </r>
  <r>
    <n v="407"/>
    <m/>
    <s v="W15008"/>
    <s v="FBA199V32GNW"/>
    <s v="E-US"/>
    <x v="0"/>
    <s v="008000005"/>
    <n v="288"/>
    <s v="国润通"/>
    <x v="0"/>
    <x v="0"/>
    <s v="ES1-Bkit"/>
    <s v="ES1-Bkit 电动泡沫喷机黑色 托架 硅胶刷 套装"/>
    <s v="ES1"/>
    <n v="12"/>
    <n v="159"/>
    <x v="0"/>
    <n v="4.3"/>
    <n v="200"/>
    <n v="120"/>
    <n v="803.69999999999993"/>
    <n v="2.7906249999999999"/>
    <n v="0.41651119402985071"/>
    <m/>
    <m/>
    <m/>
    <x v="22"/>
    <d v="2026-05-02T00:00:00"/>
    <m/>
    <m/>
    <m/>
    <m/>
    <m/>
    <m/>
    <m/>
    <m/>
    <m/>
    <m/>
    <m/>
    <m/>
    <m/>
  </r>
  <r>
    <n v="408"/>
    <m/>
    <s v="W15008"/>
    <s v="FBA199V32GNW"/>
    <s v="E-US"/>
    <x v="0"/>
    <s v="ES1KIT-W_W"/>
    <n v="120"/>
    <s v="国润通"/>
    <x v="0"/>
    <x v="0"/>
    <s v="ES1KIT-W_W"/>
    <s v="ES1KIT-W_W 电动泡沫喷机 白色 两个装"/>
    <s v="ES1"/>
    <n v="5"/>
    <n v="66.25"/>
    <x v="0"/>
    <n v="4.3"/>
    <m/>
    <n v="50"/>
    <n v="334.875"/>
    <n v="2.7906249999999999"/>
    <n v="0.41651119402985071"/>
    <m/>
    <m/>
    <m/>
    <x v="22"/>
    <d v="2026-05-02T00:00:00"/>
    <m/>
    <m/>
    <m/>
    <m/>
    <m/>
    <m/>
    <m/>
    <m/>
    <m/>
    <m/>
    <m/>
    <m/>
    <m/>
  </r>
  <r>
    <n v="409"/>
    <m/>
    <s v="W15008"/>
    <s v="FBA199V32GNW"/>
    <s v="E-US"/>
    <x v="0"/>
    <s v="008000002"/>
    <n v="29"/>
    <s v="国润通"/>
    <x v="0"/>
    <x v="0"/>
    <s v="ES1-B"/>
    <s v="ES1-B 电动泡沫喷机 黑色"/>
    <s v="ES1"/>
    <n v="0.5"/>
    <n v="6.625"/>
    <x v="0"/>
    <n v="4.3"/>
    <m/>
    <n v="5"/>
    <n v="33.487499999999997"/>
    <n v="1.1547413793103447"/>
    <n v="0.17234945959855891"/>
    <m/>
    <m/>
    <m/>
    <x v="22"/>
    <d v="2026-05-02T00:00:00"/>
    <m/>
    <m/>
    <m/>
    <m/>
    <m/>
    <m/>
    <m/>
    <m/>
    <m/>
    <m/>
    <m/>
    <m/>
    <m/>
  </r>
  <r>
    <n v="410"/>
    <m/>
    <s v="W15008"/>
    <s v="FBA199V32GNW"/>
    <s v="E-US"/>
    <x v="0"/>
    <s v="ES1-W"/>
    <n v="33"/>
    <s v="国润通"/>
    <x v="0"/>
    <x v="0"/>
    <s v="ES1-W"/>
    <s v="ES1-W 电动泡沫喷机（202602新） 白色"/>
    <s v="ES1"/>
    <n v="0.5"/>
    <n v="6.625"/>
    <x v="0"/>
    <n v="4.3"/>
    <m/>
    <n v="5"/>
    <n v="33.487499999999997"/>
    <n v="1.0147727272727272"/>
    <n v="0.15145861601085481"/>
    <m/>
    <m/>
    <m/>
    <x v="22"/>
    <d v="2026-05-02T00:00:00"/>
    <m/>
    <m/>
    <m/>
    <m/>
    <m/>
    <m/>
    <m/>
    <m/>
    <m/>
    <m/>
    <m/>
    <m/>
    <m/>
  </r>
  <r>
    <n v="411"/>
    <m/>
    <s v="W15001"/>
    <s v="FBA199WGX66P"/>
    <s v="K-US"/>
    <x v="0"/>
    <s v="ES1KIT-W_W"/>
    <n v="408"/>
    <s v="万邦"/>
    <x v="0"/>
    <x v="4"/>
    <s v="ES1KIT-W_W"/>
    <s v="ES1KIT-W_W 电动泡沫喷机 白色 两个装"/>
    <s v="ES1"/>
    <n v="17"/>
    <n v="201"/>
    <x v="0"/>
    <n v="5"/>
    <n v="200"/>
    <n v="69.387755102040813"/>
    <n v="1074.3877551020407"/>
    <n v="2.6333033213285311"/>
    <n v="0.3930303464669449"/>
    <m/>
    <m/>
    <m/>
    <x v="22"/>
    <d v="2026-05-05T00:00:00"/>
    <m/>
    <m/>
    <m/>
    <m/>
    <m/>
    <m/>
    <m/>
    <m/>
    <m/>
    <m/>
    <m/>
    <m/>
    <m/>
  </r>
  <r>
    <n v="412"/>
    <m/>
    <s v="W15008"/>
    <s v="FBA199TTG21T"/>
    <s v="W-US"/>
    <x v="0"/>
    <s v="ES1-W"/>
    <n v="70"/>
    <s v="国润通"/>
    <x v="0"/>
    <x v="0"/>
    <s v="ES1-W"/>
    <s v="ES1-W 电动泡沫喷机（202602新） 白色"/>
    <s v="ES1"/>
    <n v="1"/>
    <n v="13.25"/>
    <x v="0"/>
    <n v="4.3"/>
    <n v="200"/>
    <n v="10"/>
    <n v="66.974999999999994"/>
    <n v="0.95678571428571424"/>
    <n v="0.14280383795309168"/>
    <m/>
    <m/>
    <m/>
    <x v="22"/>
    <d v="2026-05-02T00:00:00"/>
    <m/>
    <m/>
    <m/>
    <m/>
    <m/>
    <m/>
    <m/>
    <m/>
    <m/>
    <m/>
    <m/>
    <m/>
    <m/>
  </r>
  <r>
    <n v="413"/>
    <m/>
    <s v="W16006"/>
    <s v="FBA19B9KJ2QH"/>
    <s v="E-US"/>
    <x v="0"/>
    <s v="001000045"/>
    <n v="390"/>
    <s v="嘀嗒嘀"/>
    <x v="0"/>
    <x v="0"/>
    <s v="ANX-B"/>
    <s v="ANX-B 便携式扩香仪 黑色"/>
    <s v="ANX"/>
    <n v="13"/>
    <n v="161.65217391304347"/>
    <x v="0"/>
    <n v="4.2"/>
    <n v="200"/>
    <n v="96.296296296296291"/>
    <n v="775.23542673107886"/>
    <n v="1.9877831454643047"/>
    <n v="0.29668405156183653"/>
    <m/>
    <m/>
    <m/>
    <x v="24"/>
    <m/>
    <m/>
    <m/>
    <m/>
    <m/>
    <m/>
    <m/>
    <m/>
    <m/>
    <m/>
    <m/>
    <m/>
    <m/>
    <m/>
  </r>
  <r>
    <n v="414"/>
    <m/>
    <s v="W16006"/>
    <s v="FBA19B9KJ2QH"/>
    <s v="E-US"/>
    <x v="0"/>
    <s v="001000052"/>
    <n v="150"/>
    <s v="嘀嗒嘀"/>
    <x v="0"/>
    <x v="0"/>
    <s v="ANX-DT"/>
    <s v="ANX-DT 便携式扩香仪 沙漠钛色"/>
    <s v="ANX"/>
    <n v="5"/>
    <n v="62.173913043478265"/>
    <x v="0"/>
    <n v="4.2"/>
    <n v="200"/>
    <n v="37.037037037037038"/>
    <n v="298.16747181964581"/>
    <n v="1.9877831454643053"/>
    <n v="0.29668405156183664"/>
    <m/>
    <m/>
    <m/>
    <x v="24"/>
    <m/>
    <m/>
    <m/>
    <m/>
    <m/>
    <m/>
    <m/>
    <m/>
    <m/>
    <m/>
    <m/>
    <m/>
    <m/>
    <m/>
  </r>
  <r>
    <n v="415"/>
    <m/>
    <s v="W16006"/>
    <s v="FBA19B9KJ2QH"/>
    <s v="E-US"/>
    <x v="0"/>
    <s v="ANZ-B"/>
    <n v="200"/>
    <s v="嘀嗒嘀"/>
    <x v="0"/>
    <x v="0"/>
    <s v="ANZ-B"/>
    <s v="ANZ-B 便携式扩香仪 黑色"/>
    <s v="ANZ"/>
    <n v="5"/>
    <n v="62.173913043478265"/>
    <x v="0"/>
    <n v="4.2"/>
    <m/>
    <n v="37.037037037037038"/>
    <n v="298.16747181964581"/>
    <n v="1.4908373590982291"/>
    <n v="0.22251303867137748"/>
    <m/>
    <m/>
    <m/>
    <x v="24"/>
    <m/>
    <m/>
    <m/>
    <m/>
    <m/>
    <m/>
    <m/>
    <m/>
    <m/>
    <m/>
    <m/>
    <m/>
    <m/>
    <m/>
  </r>
  <r>
    <n v="416"/>
    <m/>
    <s v="W16007"/>
    <s v="FBA19B9LM3JV"/>
    <s v="E-US"/>
    <x v="0"/>
    <s v="ANZKIT-B_4X10K04_TZ"/>
    <n v="480"/>
    <s v="嘀嗒嘀"/>
    <x v="11"/>
    <x v="0"/>
    <s v="ANZKIT-B_4X10K04_TZ"/>
    <s v="ANZKIT-B_4X10K04_TZ ANZ黑色机器+4x10mL酒店（天竺）香氛油 机油套装"/>
    <s v="ANZ"/>
    <n v="16"/>
    <n v="253"/>
    <x v="0"/>
    <n v="8.9"/>
    <n v="200"/>
    <n v="88.888888888888886"/>
    <n v="2340.588888888889"/>
    <n v="4.8762268518518521"/>
    <n v="0.72779505251520182"/>
    <m/>
    <m/>
    <m/>
    <x v="24"/>
    <m/>
    <m/>
    <m/>
    <m/>
    <m/>
    <m/>
    <m/>
    <m/>
    <m/>
    <m/>
    <m/>
    <m/>
    <m/>
    <m/>
  </r>
  <r>
    <n v="417"/>
    <m/>
    <s v="W16003"/>
    <s v="FBA15LN44JQQ"/>
    <s v="E-UK"/>
    <x v="2"/>
    <s v="001000019"/>
    <n v="280"/>
    <s v="嘀嗒嘀"/>
    <x v="3"/>
    <x v="6"/>
    <s v="AN6-B"/>
    <s v="AN6-B 便携式扩香仪 黑色"/>
    <s v="AN6"/>
    <n v="7"/>
    <n v="93.545454545454547"/>
    <x v="0"/>
    <n v="4.4000000000000004"/>
    <n v="550"/>
    <n v="320.83333333333331"/>
    <n v="732.43333333333339"/>
    <n v="2.6158333333333337"/>
    <n v="0.39042288557213933"/>
    <m/>
    <m/>
    <m/>
    <x v="25"/>
    <m/>
    <m/>
    <m/>
    <m/>
    <m/>
    <m/>
    <m/>
    <m/>
    <m/>
    <m/>
    <m/>
    <m/>
    <m/>
    <m/>
  </r>
  <r>
    <n v="418"/>
    <m/>
    <s v="W16003"/>
    <s v="FBA15LN44JQQ"/>
    <s v="E-UK"/>
    <x v="2"/>
    <s v="AN6-G"/>
    <n v="80"/>
    <s v="嘀嗒嘀"/>
    <x v="3"/>
    <x v="6"/>
    <s v="AN6-G"/>
    <s v="AN6-G 便携式扩香仪 灰色"/>
    <s v="AN6"/>
    <n v="2"/>
    <n v="26.727272727272727"/>
    <x v="0"/>
    <n v="4.4000000000000004"/>
    <n v="550"/>
    <n v="91.666666666666671"/>
    <n v="209.26666666666668"/>
    <n v="2.6158333333333337"/>
    <n v="0.39042288557213933"/>
    <m/>
    <m/>
    <m/>
    <x v="25"/>
    <m/>
    <m/>
    <m/>
    <m/>
    <m/>
    <m/>
    <m/>
    <m/>
    <m/>
    <m/>
    <m/>
    <m/>
    <m/>
    <m/>
  </r>
  <r>
    <n v="419"/>
    <m/>
    <s v="W16003"/>
    <s v="FBA15LN44JQQ"/>
    <s v="E-UK"/>
    <x v="2"/>
    <s v="001000040"/>
    <n v="80"/>
    <s v="嘀嗒嘀"/>
    <x v="3"/>
    <x v="6"/>
    <s v="AN6-LB"/>
    <s v="AN6-LB 便携式扩香仪 浅钢蓝色"/>
    <s v="AN6"/>
    <n v="2"/>
    <n v="26.727272727272727"/>
    <x v="0"/>
    <n v="4.4000000000000004"/>
    <m/>
    <n v="91.666666666666671"/>
    <n v="209.26666666666668"/>
    <n v="2.6158333333333337"/>
    <n v="0.39042288557213933"/>
    <m/>
    <m/>
    <m/>
    <x v="25"/>
    <m/>
    <m/>
    <m/>
    <m/>
    <m/>
    <m/>
    <m/>
    <m/>
    <m/>
    <m/>
    <m/>
    <m/>
    <m/>
    <m/>
  </r>
  <r>
    <n v="420"/>
    <s v="100KG起收费"/>
    <s v="W16001"/>
    <s v="FBA15G8D1ZB2"/>
    <s v="E-AU"/>
    <x v="4"/>
    <s v="001000045"/>
    <n v="240"/>
    <s v="澳鹰"/>
    <x v="7"/>
    <x v="14"/>
    <s v="ANX-B"/>
    <s v="ANX-B 便携式扩香仪 黑色"/>
    <s v="ANX"/>
    <n v="8"/>
    <n v="100"/>
    <x v="0"/>
    <n v="8"/>
    <n v="350"/>
    <n v="350"/>
    <n v="1150"/>
    <n v="4.791666666666667"/>
    <n v="0.71517412935323388"/>
    <m/>
    <m/>
    <m/>
    <x v="25"/>
    <m/>
    <m/>
    <m/>
    <m/>
    <m/>
    <m/>
    <m/>
    <m/>
    <m/>
    <m/>
    <m/>
    <m/>
    <m/>
    <m/>
  </r>
  <r>
    <n v="421"/>
    <m/>
    <s v="W16014"/>
    <s v="FBA19BBRVKSC"/>
    <s v="V-US"/>
    <x v="0"/>
    <s v="ADXKIT-B_4X10K04_TZ"/>
    <n v="990"/>
    <s v="万邦"/>
    <x v="0"/>
    <x v="4"/>
    <s v="ADXKIT-B_4X10K04_TZ"/>
    <s v="ADXKIT-B_4X10K04_TZ ADX黑色机器+4x10mL酒店（天竺）香氛油 机油套装"/>
    <s v="ADX"/>
    <n v="33"/>
    <n v="559.69306930693074"/>
    <x v="0"/>
    <n v="4.2"/>
    <n v="200"/>
    <n v="49.624060150375939"/>
    <n v="2400.3349512394852"/>
    <n v="2.424580758827763"/>
    <n v="0.36187772519817357"/>
    <m/>
    <m/>
    <m/>
    <x v="24"/>
    <m/>
    <m/>
    <m/>
    <m/>
    <m/>
    <m/>
    <m/>
    <m/>
    <m/>
    <m/>
    <m/>
    <m/>
    <m/>
    <m/>
  </r>
  <r>
    <n v="422"/>
    <m/>
    <s v="W16014"/>
    <s v="FBA19BBRVKSC"/>
    <s v="V-US"/>
    <x v="0"/>
    <s v="ADXKIT-DT_4X10K04_TZ"/>
    <n v="300"/>
    <s v="万邦"/>
    <x v="0"/>
    <x v="4"/>
    <s v="ADXKIT-DT_4X10K04_TZ"/>
    <s v="ADXKIT-DT_4X10K04_TZ AD钛色机器+4x10mL酒店（天竺）香氛油 机油套装"/>
    <s v="ADX"/>
    <n v="10"/>
    <n v="169.60396039603961"/>
    <x v="0"/>
    <n v="4.2"/>
    <n v="200"/>
    <n v="15.037593984962406"/>
    <n v="727.37422764832877"/>
    <n v="2.4245807588277626"/>
    <n v="0.36187772519817352"/>
    <m/>
    <m/>
    <m/>
    <x v="24"/>
    <m/>
    <m/>
    <m/>
    <m/>
    <m/>
    <m/>
    <m/>
    <m/>
    <m/>
    <m/>
    <m/>
    <m/>
    <m/>
    <m/>
  </r>
  <r>
    <n v="423"/>
    <m/>
    <s v="W16014"/>
    <s v="FBA19BBRVKSC"/>
    <s v="V-US"/>
    <x v="0"/>
    <s v="AN8KIT-B_B_2X30K02"/>
    <n v="160"/>
    <s v="万邦"/>
    <x v="0"/>
    <x v="4"/>
    <s v="AN8KIT-B_B_2X30K02"/>
    <s v="AN8KIT-B_B_2X30K02 AN8黑色机器两个装+2X30mL香氛油（天竺） 机油套装"/>
    <s v="AN8"/>
    <n v="8"/>
    <n v="135.68316831683168"/>
    <x v="0"/>
    <n v="4.2"/>
    <m/>
    <n v="12.030075187969924"/>
    <n v="581.89938211866308"/>
    <n v="3.6368711382416441"/>
    <n v="0.54281658779726027"/>
    <m/>
    <m/>
    <m/>
    <x v="24"/>
    <m/>
    <m/>
    <m/>
    <m/>
    <m/>
    <m/>
    <m/>
    <m/>
    <m/>
    <m/>
    <m/>
    <m/>
    <m/>
    <m/>
  </r>
  <r>
    <n v="424"/>
    <m/>
    <s v="W16014"/>
    <s v="FBA19BBRVKSC"/>
    <s v="V-US"/>
    <x v="0"/>
    <s v="AN8KIT-B_4X10K05_TZ"/>
    <n v="1200"/>
    <s v="万邦"/>
    <x v="0"/>
    <x v="4"/>
    <s v="AN8KIT-B_4X10K05_TZ"/>
    <s v="AN8KIT-B_4X10K05_TZ AN8黑色机器+4x10mL（天竺）酒店香氛油 机油套装"/>
    <s v="AN8"/>
    <n v="40"/>
    <n v="678.41584158415844"/>
    <x v="0"/>
    <n v="4.2"/>
    <m/>
    <n v="60.150375939849624"/>
    <n v="2909.4969105933151"/>
    <n v="2.4245807588277626"/>
    <n v="0.36187772519817352"/>
    <m/>
    <m/>
    <m/>
    <x v="24"/>
    <m/>
    <m/>
    <m/>
    <m/>
    <m/>
    <m/>
    <m/>
    <m/>
    <m/>
    <m/>
    <m/>
    <m/>
    <m/>
    <m/>
  </r>
  <r>
    <n v="425"/>
    <m/>
    <s v="W16014"/>
    <s v="FBA19BBRVKSC"/>
    <s v="V-US"/>
    <x v="0"/>
    <s v="AN8KIT-B_4X10K02"/>
    <n v="300"/>
    <s v="万邦"/>
    <x v="0"/>
    <x v="4"/>
    <s v="AN8KIT-B_4X10K02"/>
    <s v="AN8KIT-B_4X10K02 AN8黑色机器+4x10mL（天竺）香氛油 机油套装"/>
    <s v="AN8"/>
    <n v="10"/>
    <n v="169.60396039603961"/>
    <x v="0"/>
    <n v="4.2"/>
    <m/>
    <n v="15.037593984962406"/>
    <n v="727.37422764832877"/>
    <n v="2.4245807588277626"/>
    <n v="0.36187772519817352"/>
    <m/>
    <m/>
    <m/>
    <x v="24"/>
    <m/>
    <m/>
    <m/>
    <m/>
    <m/>
    <m/>
    <m/>
    <m/>
    <m/>
    <m/>
    <m/>
    <m/>
    <m/>
    <m/>
  </r>
  <r>
    <n v="426"/>
    <m/>
    <s v="W16005"/>
    <s v="FBA19B9C8RDL"/>
    <s v="V-US"/>
    <x v="0"/>
    <s v="ADXKIT-B_DT"/>
    <n v="32"/>
    <s v="国润通"/>
    <x v="0"/>
    <x v="15"/>
    <s v="ADXKIT-B_DT"/>
    <s v="ADXKIT-B_DT ADX便携式扩香仪两个装套装 黑+沙漠钛"/>
    <s v="ADX"/>
    <n v="2"/>
    <n v="27.754716981132077"/>
    <x v="0"/>
    <n v="3.8"/>
    <n v="200"/>
    <n v="3.225806451612903"/>
    <n v="108.69373097991479"/>
    <n v="3.3966790931223372"/>
    <n v="0.50696702882422939"/>
    <m/>
    <m/>
    <m/>
    <x v="24"/>
    <m/>
    <m/>
    <m/>
    <m/>
    <m/>
    <m/>
    <m/>
    <m/>
    <m/>
    <m/>
    <m/>
    <m/>
    <m/>
    <m/>
  </r>
  <r>
    <n v="427"/>
    <m/>
    <s v="W16005"/>
    <s v="FBA19B9C8RDL"/>
    <s v="V-US"/>
    <x v="0"/>
    <s v="001000019"/>
    <n v="2000"/>
    <s v="国润通"/>
    <x v="0"/>
    <x v="15"/>
    <s v="AN6-B"/>
    <s v="AN6-B 便携式扩香仪 黑色"/>
    <s v="AN6"/>
    <n v="50"/>
    <n v="693.86792452830196"/>
    <x v="0"/>
    <n v="3.8"/>
    <n v="200"/>
    <n v="80.645161290322577"/>
    <n v="2717.34327449787"/>
    <n v="1.3586716372489349"/>
    <n v="0.20278681152969177"/>
    <m/>
    <m/>
    <m/>
    <x v="24"/>
    <m/>
    <m/>
    <m/>
    <m/>
    <m/>
    <m/>
    <m/>
    <m/>
    <m/>
    <m/>
    <m/>
    <m/>
    <m/>
    <m/>
  </r>
  <r>
    <n v="428"/>
    <m/>
    <s v="W16005"/>
    <s v="FBA19B9C8RDL"/>
    <s v="V-US"/>
    <x v="0"/>
    <s v="001000039"/>
    <n v="320"/>
    <s v="国润通"/>
    <x v="0"/>
    <x v="15"/>
    <s v="AN6-GL"/>
    <s v="AN6-GL 便携式扩香仪 翠百合色"/>
    <s v="AN6"/>
    <n v="8"/>
    <n v="111.01886792452831"/>
    <x v="0"/>
    <n v="3.8"/>
    <m/>
    <n v="12.903225806451612"/>
    <n v="434.77492391965916"/>
    <n v="1.3586716372489349"/>
    <n v="0.20278681152969177"/>
    <m/>
    <m/>
    <m/>
    <x v="24"/>
    <m/>
    <m/>
    <m/>
    <m/>
    <m/>
    <m/>
    <m/>
    <m/>
    <m/>
    <m/>
    <m/>
    <m/>
    <m/>
    <m/>
  </r>
  <r>
    <n v="429"/>
    <m/>
    <s v="W16005"/>
    <s v="FBA19B9C8RDL"/>
    <s v="V-US"/>
    <x v="0"/>
    <s v="001000020"/>
    <n v="680"/>
    <s v="国润通"/>
    <x v="0"/>
    <x v="15"/>
    <s v="AN6-W"/>
    <s v="AN6-W 便携式扩香仪 白色"/>
    <s v="AN6"/>
    <n v="17"/>
    <n v="235.91509433962267"/>
    <x v="0"/>
    <n v="3.8"/>
    <m/>
    <n v="27.419354838709676"/>
    <n v="923.89671332927571"/>
    <n v="1.3586716372489349"/>
    <n v="0.20278681152969177"/>
    <m/>
    <m/>
    <m/>
    <x v="24"/>
    <m/>
    <m/>
    <m/>
    <m/>
    <m/>
    <m/>
    <m/>
    <m/>
    <m/>
    <m/>
    <m/>
    <m/>
    <m/>
    <m/>
  </r>
  <r>
    <n v="430"/>
    <m/>
    <s v="W16005"/>
    <s v="FBA19B9C8RDL"/>
    <s v="V-US"/>
    <x v="0"/>
    <s v="RD1-B"/>
    <n v="660"/>
    <s v="国润通"/>
    <x v="0"/>
    <x v="15"/>
    <s v="RD1-B"/>
    <s v="RD1-B 便携式扩香仪 黑色"/>
    <s v="RD1"/>
    <n v="22"/>
    <n v="305.30188679245282"/>
    <x v="0"/>
    <n v="3.8"/>
    <m/>
    <n v="35.483870967741936"/>
    <n v="1195.6310407790627"/>
    <n v="1.8115621829985797"/>
    <n v="0.27038241537292235"/>
    <m/>
    <m/>
    <m/>
    <x v="24"/>
    <m/>
    <m/>
    <m/>
    <m/>
    <m/>
    <m/>
    <m/>
    <m/>
    <m/>
    <m/>
    <m/>
    <m/>
    <m/>
    <m/>
  </r>
  <r>
    <n v="431"/>
    <m/>
    <s v="W16005"/>
    <s v="FBA19B9C8RDL"/>
    <s v="V-US"/>
    <x v="0"/>
    <s v="RD1-DT"/>
    <n v="210"/>
    <s v="国润通"/>
    <x v="0"/>
    <x v="15"/>
    <s v="RD1-DT"/>
    <s v="RD1-DT 便携式扩香仪 沙漠钛色"/>
    <s v="RD1"/>
    <n v="7"/>
    <n v="97.14150943396227"/>
    <x v="0"/>
    <n v="3.8"/>
    <m/>
    <n v="11.290322580645162"/>
    <n v="380.42805842970176"/>
    <n v="1.8115621829985797"/>
    <n v="0.27038241537292235"/>
    <m/>
    <m/>
    <m/>
    <x v="24"/>
    <m/>
    <m/>
    <m/>
    <m/>
    <m/>
    <m/>
    <m/>
    <m/>
    <m/>
    <m/>
    <m/>
    <m/>
    <m/>
    <m/>
  </r>
  <r>
    <n v="432"/>
    <m/>
    <s v="W16006"/>
    <s v="FBA19BC498R6"/>
    <s v="A-US"/>
    <x v="0"/>
    <s v="ANZKIT-B_B"/>
    <n v="80"/>
    <s v="嘀嗒嘀"/>
    <x v="0"/>
    <x v="1"/>
    <s v="ANZKIT-B_B"/>
    <s v="ANZKIT-B_B 便携式扩香仪 黑色 两个装"/>
    <s v="ANZ"/>
    <n v="4"/>
    <n v="52"/>
    <x v="0"/>
    <n v="4.0999999999999996"/>
    <n v="200"/>
    <n v="29.62962962962963"/>
    <n v="242.82962962962961"/>
    <n v="3.0353703703703703"/>
    <n v="0.45304035378662244"/>
    <m/>
    <m/>
    <m/>
    <x v="24"/>
    <m/>
    <m/>
    <m/>
    <m/>
    <m/>
    <m/>
    <m/>
    <m/>
    <m/>
    <m/>
    <m/>
    <m/>
    <m/>
    <m/>
  </r>
  <r>
    <n v="433"/>
    <m/>
    <s v="W16002"/>
    <s v="FBA19BC2TT08"/>
    <s v="K-US"/>
    <x v="0"/>
    <s v="RD2KIT-B_2X30K06_TZ"/>
    <n v="780"/>
    <s v="嘀嗒嘀"/>
    <x v="0"/>
    <x v="1"/>
    <s v="RD2KIT-B_2X30K06_TZ"/>
    <s v="RD2KIT-B_2X30K06_TZ RD2黑色机器+2X30mL酒店香氛油（天竺）  机油套装"/>
    <s v="RD2"/>
    <n v="39"/>
    <n v="538.57000000000005"/>
    <x v="0"/>
    <n v="4.0999999999999996"/>
    <n v="200"/>
    <n v="123.80952380952381"/>
    <n v="2331.946523809524"/>
    <n v="2.9896750305250306"/>
    <n v="0.44622015380970603"/>
    <m/>
    <m/>
    <m/>
    <x v="24"/>
    <m/>
    <m/>
    <m/>
    <m/>
    <m/>
    <m/>
    <m/>
    <m/>
    <m/>
    <m/>
    <m/>
    <m/>
    <m/>
    <m/>
  </r>
  <r>
    <n v="434"/>
    <m/>
    <s v="W16007"/>
    <s v="FBA19B9HK18P"/>
    <s v="V-US"/>
    <x v="0"/>
    <s v="ADXKIT-DT_4X10K04_TZ"/>
    <n v="300"/>
    <s v="嘀嗒嘀"/>
    <x v="11"/>
    <x v="15"/>
    <s v="ADXKIT-DT_4X10K04_TZ"/>
    <s v="ADXKIT-DT_4X10K04_TZ AD钛色机器+4x10mL酒店（天竺）香氛油 机油套装"/>
    <s v="ADX"/>
    <n v="10"/>
    <n v="164.5"/>
    <x v="0"/>
    <n v="7.9"/>
    <n v="200"/>
    <n v="55.555555555555557"/>
    <n v="1355.1055555555556"/>
    <n v="4.517018518518519"/>
    <n v="0.6741818684355998"/>
    <m/>
    <m/>
    <m/>
    <x v="24"/>
    <m/>
    <m/>
    <m/>
    <m/>
    <m/>
    <m/>
    <m/>
    <m/>
    <m/>
    <m/>
    <m/>
    <m/>
    <m/>
    <m/>
  </r>
  <r>
    <n v="435"/>
    <m/>
    <s v="W16007"/>
    <s v="FBA19B9HK18P"/>
    <s v="V-US"/>
    <x v="0"/>
    <s v="RD1-DT"/>
    <n v="300"/>
    <s v="嘀嗒嘀"/>
    <x v="11"/>
    <x v="15"/>
    <s v="RD1-DT"/>
    <s v="RD1-DT 便携式扩香仪 沙漠钛色"/>
    <s v="RD1"/>
    <n v="10"/>
    <n v="164.5"/>
    <x v="0"/>
    <n v="7.9"/>
    <n v="200"/>
    <n v="55.555555555555557"/>
    <n v="1355.1055555555556"/>
    <n v="4.517018518518519"/>
    <n v="0.6741818684355998"/>
    <m/>
    <m/>
    <m/>
    <x v="24"/>
    <m/>
    <m/>
    <m/>
    <m/>
    <m/>
    <m/>
    <m/>
    <m/>
    <m/>
    <m/>
    <m/>
    <m/>
    <m/>
    <m/>
  </r>
  <r>
    <n v="436"/>
    <m/>
    <s v="W16002"/>
    <s v="FBA19BK8QFSK"/>
    <s v="K-US"/>
    <x v="0"/>
    <s v="RDXKIT-B_US_2X100K04"/>
    <n v="216"/>
    <s v="嘀嗒嘀"/>
    <x v="0"/>
    <x v="1"/>
    <s v="RDXKIT-B_US_2X100K04"/>
    <s v="RDXKIT-B_US_2X100K04 RDX黑色机器+2X100mL酒店香氛油（天竺） 机油套装"/>
    <s v="RDX"/>
    <n v="24"/>
    <n v="331.43"/>
    <x v="0"/>
    <n v="4.0999999999999996"/>
    <n v="200"/>
    <n v="76.19047619047619"/>
    <n v="1435.053476190476"/>
    <n v="6.6437660934744258"/>
    <n v="0.99160687962304861"/>
    <m/>
    <m/>
    <m/>
    <x v="24"/>
    <m/>
    <m/>
    <m/>
    <m/>
    <m/>
    <m/>
    <m/>
    <m/>
    <m/>
    <m/>
    <m/>
    <m/>
    <m/>
    <m/>
  </r>
  <r>
    <n v="437"/>
    <m/>
    <s v="W16010"/>
    <s v="FBA19BCDLF7B"/>
    <s v="W-US"/>
    <x v="0"/>
    <s v="G1-B"/>
    <n v="480"/>
    <s v="天盛"/>
    <x v="0"/>
    <x v="5"/>
    <s v="G1-B"/>
    <s v="G1-B 电子球形把手锁 黑色"/>
    <s v="G1"/>
    <n v="30"/>
    <n v="1.6445783132530121"/>
    <x v="1"/>
    <n v="1020"/>
    <n v="180"/>
    <n v="50.943396226415096"/>
    <n v="1728.4132757444875"/>
    <n v="3.6008609911343488"/>
    <n v="0.53744193897527592"/>
    <m/>
    <m/>
    <m/>
    <x v="24"/>
    <m/>
    <m/>
    <m/>
    <m/>
    <m/>
    <m/>
    <m/>
    <m/>
    <m/>
    <m/>
    <m/>
    <m/>
    <m/>
    <m/>
  </r>
  <r>
    <n v="438"/>
    <m/>
    <s v="W16010"/>
    <s v="FBA19BCDLF7B"/>
    <s v="W-US"/>
    <x v="0"/>
    <s v="G1-SILV"/>
    <n v="240"/>
    <s v="天盛"/>
    <x v="0"/>
    <x v="5"/>
    <s v="G1-SILV"/>
    <s v="G1-SILV 电子球形把手锁 银色"/>
    <s v="G1"/>
    <n v="15"/>
    <n v="0.82228915662650603"/>
    <x v="1"/>
    <n v="1020"/>
    <n v="180"/>
    <n v="25.471698113207548"/>
    <n v="864.20663787224373"/>
    <n v="3.6008609911343488"/>
    <n v="0.53744193897527592"/>
    <m/>
    <m/>
    <m/>
    <x v="24"/>
    <m/>
    <m/>
    <m/>
    <m/>
    <m/>
    <m/>
    <m/>
    <m/>
    <m/>
    <m/>
    <m/>
    <m/>
    <m/>
    <m/>
  </r>
  <r>
    <n v="439"/>
    <m/>
    <s v="W16010"/>
    <s v="FBA19BCDLF7B"/>
    <s v="W-US"/>
    <x v="0"/>
    <s v="002000029"/>
    <n v="400"/>
    <s v="天盛"/>
    <x v="0"/>
    <x v="5"/>
    <s v="MD1-B"/>
    <s v="MD1-B 电子球形把手锁 指纹 黑色"/>
    <s v="MD1"/>
    <n v="25"/>
    <n v="1.3704819277108433"/>
    <x v="1"/>
    <n v="1020"/>
    <m/>
    <n v="42.452830188679243"/>
    <n v="1440.3443964537394"/>
    <n v="3.6008609911343483"/>
    <n v="0.53744193897527581"/>
    <m/>
    <m/>
    <m/>
    <x v="24"/>
    <m/>
    <m/>
    <m/>
    <m/>
    <m/>
    <m/>
    <m/>
    <m/>
    <m/>
    <m/>
    <m/>
    <m/>
    <m/>
    <m/>
  </r>
  <r>
    <n v="440"/>
    <m/>
    <s v="W16010"/>
    <s v="FBA19BCDLF7B"/>
    <s v="W-US"/>
    <x v="0"/>
    <s v="002000038"/>
    <n v="208"/>
    <s v="天盛"/>
    <x v="0"/>
    <x v="5"/>
    <s v="MD1-SILV"/>
    <s v="MD1-SILV 电子球形把手锁 指纹 银色"/>
    <s v="MD1"/>
    <n v="13"/>
    <n v="0.71265060240963851"/>
    <x v="1"/>
    <n v="1020"/>
    <m/>
    <n v="22.075471698113208"/>
    <n v="748.97908615594451"/>
    <n v="3.6008609911343488"/>
    <n v="0.53744193897527592"/>
    <m/>
    <m/>
    <m/>
    <x v="24"/>
    <m/>
    <m/>
    <m/>
    <m/>
    <m/>
    <m/>
    <m/>
    <m/>
    <m/>
    <m/>
    <m/>
    <m/>
    <m/>
    <m/>
  </r>
  <r>
    <n v="441"/>
    <m/>
    <s v="W16014"/>
    <s v="FBA19BCGVYN1"/>
    <s v="V-US"/>
    <x v="0"/>
    <s v="ANWKIT-B_US_2X100K03"/>
    <n v="180"/>
    <s v="万邦"/>
    <x v="0"/>
    <x v="4"/>
    <s v="ANWKIT-B_US_2X100K03"/>
    <s v="ANWKIT-B_US_2X100K03 ANW黑色机器+2X100mL酒店香氛油（天竺） 机油套装"/>
    <s v="ANW"/>
    <n v="15"/>
    <n v="261.09375"/>
    <x v="0"/>
    <n v="4.8"/>
    <n v="200"/>
    <n v="22.556390977443609"/>
    <n v="1275.8063909774437"/>
    <n v="7.0878132832080203"/>
    <n v="1.0578825795832867"/>
    <m/>
    <m/>
    <m/>
    <x v="24"/>
    <m/>
    <m/>
    <m/>
    <m/>
    <m/>
    <m/>
    <m/>
    <m/>
    <m/>
    <m/>
    <m/>
    <m/>
    <m/>
    <m/>
  </r>
  <r>
    <n v="442"/>
    <m/>
    <s v="W16014"/>
    <s v="FBA19BCGVYN1"/>
    <s v="V-US"/>
    <x v="0"/>
    <s v="ANWKIT-WH_US_2X100K03"/>
    <n v="204"/>
    <s v="万邦"/>
    <x v="0"/>
    <x v="4"/>
    <s v="ANWKIT-WH_US_2X100K03"/>
    <s v="ANWKIT-WH_US_2X100K03 ANW白色机器+2X100mL酒店香氛油（天竺） 机油套装"/>
    <s v="ANW"/>
    <n v="17"/>
    <n v="295.90625"/>
    <x v="0"/>
    <n v="4.8"/>
    <n v="200"/>
    <n v="25.563909774436091"/>
    <n v="1445.913909774436"/>
    <n v="7.0878132832080194"/>
    <n v="1.0578825795832865"/>
    <m/>
    <m/>
    <m/>
    <x v="24"/>
    <m/>
    <m/>
    <m/>
    <m/>
    <m/>
    <m/>
    <m/>
    <m/>
    <m/>
    <m/>
    <m/>
    <m/>
    <m/>
    <m/>
  </r>
  <r>
    <n v="443"/>
    <m/>
    <s v="W16012"/>
    <s v="FBA19BCK42Y8"/>
    <s v="V-US"/>
    <x v="0"/>
    <s v="001000032"/>
    <n v="480"/>
    <s v="国润通"/>
    <x v="0"/>
    <x v="4"/>
    <s v="ANW-B"/>
    <s v="ANW-B 智能扩香仪 黑色"/>
    <s v="ANW"/>
    <n v="40"/>
    <n v="574.13793103448279"/>
    <x v="0"/>
    <n v="4.0999999999999996"/>
    <n v="200"/>
    <n v="68.965517241379317"/>
    <n v="2422.9310344827586"/>
    <n v="5.0477729885057467"/>
    <n v="0.75339895350832042"/>
    <m/>
    <m/>
    <m/>
    <x v="24"/>
    <m/>
    <m/>
    <m/>
    <m/>
    <m/>
    <m/>
    <m/>
    <m/>
    <m/>
    <m/>
    <m/>
    <m/>
    <m/>
    <m/>
  </r>
  <r>
    <n v="444"/>
    <m/>
    <s v="W16012"/>
    <s v="FBA19BCK42Y8"/>
    <s v="V-US"/>
    <x v="0"/>
    <s v="001000033"/>
    <n v="756"/>
    <s v="国润通"/>
    <x v="0"/>
    <x v="4"/>
    <s v="ANW-W"/>
    <s v="ANW-W 智能扩香仪 白色"/>
    <s v="ANW"/>
    <n v="63"/>
    <n v="904.26724137931035"/>
    <x v="0"/>
    <n v="4.0999999999999996"/>
    <n v="200"/>
    <n v="108.62068965517241"/>
    <n v="3816.1163793103447"/>
    <n v="5.0477729885057467"/>
    <n v="0.75339895350832042"/>
    <m/>
    <m/>
    <m/>
    <x v="24"/>
    <m/>
    <m/>
    <m/>
    <m/>
    <m/>
    <m/>
    <m/>
    <m/>
    <m/>
    <m/>
    <m/>
    <m/>
    <m/>
    <m/>
  </r>
  <r>
    <n v="445"/>
    <m/>
    <s v="W16012"/>
    <s v="FBA19BCK42Y8"/>
    <s v="V-US"/>
    <x v="0"/>
    <s v="ANP-B_US"/>
    <n v="416"/>
    <s v="国润通"/>
    <x v="0"/>
    <x v="4"/>
    <s v="ANP-B_US"/>
    <s v="ANP-B_US 墙插式智能扩香仪 黑色"/>
    <s v="ANP"/>
    <n v="13"/>
    <n v="186.59482758620689"/>
    <x v="0"/>
    <n v="4.0999999999999996"/>
    <m/>
    <n v="22.413793103448278"/>
    <n v="787.4525862068964"/>
    <n v="1.8929148706896548"/>
    <n v="0.28252460756562009"/>
    <m/>
    <m/>
    <m/>
    <x v="24"/>
    <m/>
    <m/>
    <m/>
    <m/>
    <m/>
    <m/>
    <m/>
    <m/>
    <m/>
    <m/>
    <m/>
    <m/>
    <m/>
    <m/>
  </r>
  <r>
    <n v="446"/>
    <m/>
    <s v="W16004"/>
    <s v="FBA19B9NXYNH"/>
    <s v="V-CA"/>
    <x v="3"/>
    <s v="001000032"/>
    <n v="48"/>
    <s v="万邦"/>
    <x v="5"/>
    <x v="34"/>
    <s v="ANW-B"/>
    <s v="ANW-B 智能扩香仪 黑色"/>
    <s v="ANW"/>
    <n v="4"/>
    <n v="57.714285714285715"/>
    <x v="0"/>
    <n v="5.4"/>
    <n v="200"/>
    <n v="20.512820512820515"/>
    <n v="332.1699633699634"/>
    <n v="6.9202075702075705"/>
    <n v="1.0328668015235181"/>
    <m/>
    <m/>
    <m/>
    <x v="24"/>
    <m/>
    <m/>
    <m/>
    <m/>
    <m/>
    <m/>
    <m/>
    <m/>
    <m/>
    <m/>
    <m/>
    <m/>
    <m/>
    <m/>
  </r>
  <r>
    <n v="447"/>
    <m/>
    <s v="W16004"/>
    <s v="FBA19B9NXYNH"/>
    <s v="V-CA"/>
    <x v="3"/>
    <s v="001000033"/>
    <n v="36"/>
    <s v="万邦"/>
    <x v="5"/>
    <x v="34"/>
    <s v="ANW-W"/>
    <s v="ANW-W 智能扩香仪 白色"/>
    <s v="ANW"/>
    <n v="3"/>
    <n v="43.285714285714285"/>
    <x v="0"/>
    <n v="5.4"/>
    <n v="200"/>
    <n v="15.384615384615385"/>
    <n v="249.12747252747255"/>
    <n v="6.9202075702075705"/>
    <n v="1.0328668015235181"/>
    <m/>
    <m/>
    <m/>
    <x v="24"/>
    <m/>
    <m/>
    <m/>
    <m/>
    <m/>
    <m/>
    <m/>
    <m/>
    <m/>
    <m/>
    <m/>
    <m/>
    <m/>
    <m/>
  </r>
  <r>
    <n v="448"/>
    <s v="跟FBA19BCDLF7B合并报关，需要同一天提货"/>
    <s v="W16010"/>
    <s v="FBA19B7B1PZ2"/>
    <s v="V-US"/>
    <x v="0"/>
    <s v="006000024"/>
    <n v="1170"/>
    <s v="天盛"/>
    <x v="0"/>
    <x v="5"/>
    <s v="A-RZ3-100"/>
    <s v="A-Ritz Carlton Hotel 3-100 丽思卡尔顿酒店3香氛油100mL"/>
    <s v="Oil-HQ"/>
    <n v="13"/>
    <n v="0.72"/>
    <x v="1"/>
    <n v="1220"/>
    <n v="180"/>
    <n v="22.075471698113208"/>
    <n v="900.47547169811321"/>
    <n v="0.76963715529753263"/>
    <n v="0.11487121720858695"/>
    <m/>
    <m/>
    <m/>
    <x v="24"/>
    <m/>
    <m/>
    <m/>
    <m/>
    <m/>
    <m/>
    <m/>
    <m/>
    <m/>
    <m/>
    <m/>
    <m/>
    <m/>
    <m/>
  </r>
  <r>
    <n v="449"/>
    <m/>
    <s v="W16010"/>
    <s v="FBA19B79W7D9"/>
    <s v="E-US"/>
    <x v="0"/>
    <s v="HOTEL6KIT1-6X10K01"/>
    <n v="304"/>
    <s v="天盛"/>
    <x v="0"/>
    <x v="5"/>
    <s v="HOTEL6KIT1-6X10K01"/>
    <s v="HOTEL6KIT1-6X10K01 酒店香氛油6款10mL套装"/>
    <s v="Oil-HQ"/>
    <n v="4"/>
    <n v="0.22000000000000003"/>
    <x v="1"/>
    <n v="1220"/>
    <n v="180"/>
    <n v="6.7924528301886795"/>
    <n v="275.1924528301887"/>
    <n v="0.90523833167825229"/>
    <n v="0.13511019875794811"/>
    <m/>
    <m/>
    <m/>
    <x v="24"/>
    <m/>
    <m/>
    <m/>
    <m/>
    <m/>
    <m/>
    <m/>
    <m/>
    <m/>
    <m/>
    <m/>
    <m/>
    <m/>
    <m/>
  </r>
  <r>
    <n v="450"/>
    <m/>
    <s v="W16010"/>
    <s v="FBA19B79W7D9"/>
    <s v="E-US"/>
    <x v="0"/>
    <s v="JY-100ML"/>
    <n v="180"/>
    <s v="天盛"/>
    <x v="0"/>
    <x v="5"/>
    <s v="A-JY-100"/>
    <s v="A-Grand Hyatt Hotel-100 君悦酒店香氛油100mL"/>
    <s v="Oil-HQ"/>
    <n v="2"/>
    <n v="0.11000000000000001"/>
    <x v="1"/>
    <n v="1220"/>
    <m/>
    <n v="3.3962264150943398"/>
    <n v="137.59622641509435"/>
    <n v="0.76442348008385752"/>
    <n v="0.11409305672893395"/>
    <m/>
    <m/>
    <m/>
    <x v="24"/>
    <m/>
    <m/>
    <m/>
    <m/>
    <m/>
    <m/>
    <m/>
    <m/>
    <m/>
    <m/>
    <m/>
    <m/>
    <m/>
    <m/>
  </r>
  <r>
    <n v="451"/>
    <m/>
    <s v="W16010"/>
    <s v="FBA19B79W7D9"/>
    <s v="E-US"/>
    <x v="0"/>
    <s v="MWAY1-100ML"/>
    <n v="180"/>
    <s v="天盛"/>
    <x v="0"/>
    <x v="5"/>
    <s v="A-MWAY-100"/>
    <s v="A-MWAY Deluxe-100 特定香型香氛油100mL"/>
    <s v="Oil-HQ"/>
    <n v="2"/>
    <n v="0.11000000000000001"/>
    <x v="1"/>
    <n v="1220"/>
    <m/>
    <n v="3.3962264150943398"/>
    <n v="137.59622641509435"/>
    <n v="0.76442348008385752"/>
    <n v="0.11409305672893395"/>
    <m/>
    <m/>
    <m/>
    <x v="24"/>
    <m/>
    <m/>
    <m/>
    <m/>
    <m/>
    <m/>
    <m/>
    <m/>
    <m/>
    <m/>
    <m/>
    <m/>
    <m/>
    <m/>
  </r>
  <r>
    <n v="452"/>
    <m/>
    <s v="W16010"/>
    <s v="FBA19B79W7D9"/>
    <s v="E-US"/>
    <x v="0"/>
    <s v="006000026"/>
    <n v="180"/>
    <s v="天盛"/>
    <x v="0"/>
    <x v="5"/>
    <s v="A-MT-100"/>
    <s v="A-Marriott Hotel 1-100 万豪酒店1香氛油100mL"/>
    <s v="Oil-HQ"/>
    <n v="2"/>
    <n v="0.11000000000000001"/>
    <x v="1"/>
    <n v="1220"/>
    <m/>
    <n v="3.3962264150943398"/>
    <n v="137.59622641509435"/>
    <n v="0.76442348008385752"/>
    <n v="0.11409305672893395"/>
    <m/>
    <m/>
    <m/>
    <x v="24"/>
    <m/>
    <m/>
    <m/>
    <m/>
    <m/>
    <m/>
    <m/>
    <m/>
    <m/>
    <m/>
    <m/>
    <m/>
    <m/>
    <m/>
  </r>
  <r>
    <n v="453"/>
    <m/>
    <s v="W16011"/>
    <s v="FBA19B7N189J"/>
    <s v="E-US"/>
    <x v="0"/>
    <s v="SJ1-100ML_TZ"/>
    <n v="512"/>
    <s v="天盛"/>
    <x v="0"/>
    <x v="5"/>
    <s v="SJ1-100ML_TZ"/>
    <s v="SJ1-100ML_TZ 四季酒店100mL香氛油（天竺） 销售包装"/>
    <s v="Oil-TZ"/>
    <n v="8"/>
    <n v="0.31384615384615383"/>
    <x v="1"/>
    <n v="1220"/>
    <n v="180"/>
    <n v="46.451612903225808"/>
    <n v="429.34392059553346"/>
    <n v="0.83856234491315129"/>
    <n v="0.12515855894226138"/>
    <m/>
    <m/>
    <m/>
    <x v="24"/>
    <m/>
    <m/>
    <m/>
    <m/>
    <m/>
    <m/>
    <m/>
    <m/>
    <m/>
    <m/>
    <m/>
    <m/>
    <m/>
    <m/>
  </r>
  <r>
    <n v="454"/>
    <m/>
    <s v="W16011"/>
    <s v="FBA19B7N189J"/>
    <s v="E-US"/>
    <x v="0"/>
    <s v="TX331_100ML"/>
    <n v="128"/>
    <s v="天盛"/>
    <x v="0"/>
    <x v="5"/>
    <s v="TX331_100ML"/>
    <s v="TX331_100ML 檀香33号100mL香氛油（天竺） 销售包装"/>
    <s v="Oil-TZ"/>
    <n v="2"/>
    <n v="7.8461538461538458E-2"/>
    <x v="1"/>
    <n v="1220"/>
    <n v="180"/>
    <n v="11.612903225806452"/>
    <n v="107.33598014888337"/>
    <n v="0.83856234491315129"/>
    <n v="0.12515855894226138"/>
    <m/>
    <m/>
    <m/>
    <x v="24"/>
    <m/>
    <m/>
    <m/>
    <m/>
    <m/>
    <m/>
    <m/>
    <m/>
    <m/>
    <m/>
    <m/>
    <m/>
    <m/>
    <m/>
  </r>
  <r>
    <n v="455"/>
    <m/>
    <s v="W16011"/>
    <s v="FBA19B7N189J"/>
    <s v="E-US"/>
    <x v="0"/>
    <s v="W1-100ML_TZ"/>
    <n v="256"/>
    <s v="天盛"/>
    <x v="0"/>
    <x v="5"/>
    <s v="W1-100ML_TZ"/>
    <s v="W1-100ML_TZ W酒店100mL香氛油（天竺） 销售包装"/>
    <s v="Oil-TZ"/>
    <n v="4"/>
    <n v="0.15692307692307692"/>
    <x v="1"/>
    <n v="1220"/>
    <m/>
    <n v="23.225806451612904"/>
    <n v="214.67196029776673"/>
    <n v="0.83856234491315129"/>
    <n v="0.12515855894226138"/>
    <m/>
    <m/>
    <m/>
    <x v="24"/>
    <m/>
    <m/>
    <m/>
    <m/>
    <m/>
    <m/>
    <m/>
    <m/>
    <m/>
    <m/>
    <m/>
    <m/>
    <m/>
    <m/>
  </r>
  <r>
    <n v="456"/>
    <m/>
    <s v="W16011"/>
    <s v="FBA19B7N189J"/>
    <s v="E-US"/>
    <x v="0"/>
    <s v="HILTON1-100ML_TZ"/>
    <n v="512"/>
    <s v="天盛"/>
    <x v="0"/>
    <x v="5"/>
    <s v="HILTON1-100ML_TZ"/>
    <s v="HILTON1-100ML_TZ 希尔顿酒店100mL香氛油（天竺） 销售包装"/>
    <s v="Oil-TZ"/>
    <n v="8"/>
    <n v="0.31384615384615383"/>
    <x v="1"/>
    <n v="1220"/>
    <m/>
    <n v="46.451612903225808"/>
    <n v="429.34392059553346"/>
    <n v="0.83856234491315129"/>
    <n v="0.12515855894226138"/>
    <m/>
    <m/>
    <m/>
    <x v="24"/>
    <m/>
    <m/>
    <m/>
    <m/>
    <m/>
    <m/>
    <m/>
    <m/>
    <m/>
    <m/>
    <m/>
    <m/>
    <m/>
    <m/>
  </r>
  <r>
    <n v="457"/>
    <m/>
    <s v="W16011"/>
    <s v="FBA19B7N189J"/>
    <s v="E-US"/>
    <x v="0"/>
    <s v="YH1-100ML_TZ"/>
    <n v="128"/>
    <s v="天盛"/>
    <x v="0"/>
    <x v="5"/>
    <s v="YH1-100ML_TZ"/>
    <s v="YH1-100ML_TZ 樱花100mL香氛油（天竺）销售包装"/>
    <s v="Oil-TZ"/>
    <n v="2"/>
    <n v="7.8461538461538458E-2"/>
    <x v="1"/>
    <n v="1220"/>
    <m/>
    <n v="11.612903225806452"/>
    <n v="107.33598014888337"/>
    <n v="0.83856234491315129"/>
    <n v="0.12515855894226138"/>
    <m/>
    <m/>
    <m/>
    <x v="24"/>
    <m/>
    <m/>
    <m/>
    <m/>
    <m/>
    <m/>
    <m/>
    <m/>
    <m/>
    <m/>
    <m/>
    <m/>
    <m/>
    <m/>
  </r>
  <r>
    <n v="458"/>
    <m/>
    <s v="W16011"/>
    <s v="FBA19B7N189J"/>
    <s v="E-US"/>
    <x v="0"/>
    <s v="YZTT1_100ML"/>
    <n v="64"/>
    <s v="天盛"/>
    <x v="0"/>
    <x v="5"/>
    <s v="YZTT1_100ML"/>
    <s v="YZTT1_100ML 柚子天堂100mL香氛油（天竺） 销售包装"/>
    <s v="Oil-TZ"/>
    <n v="1"/>
    <n v="3.9230769230769229E-2"/>
    <x v="1"/>
    <n v="1220"/>
    <m/>
    <n v="5.806451612903226"/>
    <n v="53.667990074441683"/>
    <n v="0.83856234491315129"/>
    <n v="0.12515855894226138"/>
    <m/>
    <m/>
    <m/>
    <x v="24"/>
    <m/>
    <m/>
    <m/>
    <m/>
    <m/>
    <m/>
    <m/>
    <m/>
    <m/>
    <m/>
    <m/>
    <m/>
    <m/>
    <m/>
  </r>
  <r>
    <n v="459"/>
    <m/>
    <s v="W16011"/>
    <s v="FBA19B7N189J"/>
    <s v="E-US"/>
    <x v="0"/>
    <s v="TXY1_100ML"/>
    <n v="64"/>
    <s v="天盛"/>
    <x v="0"/>
    <x v="5"/>
    <s v="TXY1_100ML"/>
    <s v="TXY1_100ML 桃星云100mL香氛油（天竺） 销售包装"/>
    <s v="Oil-TZ"/>
    <n v="1"/>
    <n v="3.9230769230769229E-2"/>
    <x v="1"/>
    <n v="1220"/>
    <m/>
    <n v="5.806451612903226"/>
    <n v="53.667990074441683"/>
    <n v="0.83856234491315129"/>
    <n v="0.12515855894226138"/>
    <m/>
    <m/>
    <m/>
    <x v="24"/>
    <m/>
    <m/>
    <m/>
    <m/>
    <m/>
    <m/>
    <m/>
    <m/>
    <m/>
    <m/>
    <m/>
    <m/>
    <m/>
    <m/>
  </r>
  <r>
    <n v="460"/>
    <m/>
    <s v="W16011"/>
    <s v="FBA19B7J1BX9"/>
    <s v="V-US"/>
    <x v="0"/>
    <s v="RZ1-500ML_TZ"/>
    <n v="100"/>
    <s v="天盛"/>
    <x v="0"/>
    <x v="5"/>
    <s v="RZ1-500ML_TZ"/>
    <s v="RZ1-500ML_TZ 丽思卡尔顿酒店500mL香氛油（天竺） 销售包装"/>
    <s v="Oil-TZ"/>
    <n v="5"/>
    <n v="0.2"/>
    <x v="1"/>
    <n v="1220"/>
    <m/>
    <n v="29.032258064516128"/>
    <n v="273.0322580645161"/>
    <n v="2.730322580645161"/>
    <n v="0.40751083293211354"/>
    <m/>
    <m/>
    <m/>
    <x v="24"/>
    <m/>
    <m/>
    <m/>
    <m/>
    <m/>
    <m/>
    <m/>
    <m/>
    <m/>
    <m/>
    <m/>
    <m/>
    <m/>
    <m/>
  </r>
  <r>
    <n v="461"/>
    <m/>
    <s v="W16004"/>
    <s v="FBA19B9HSTHR"/>
    <s v="A-CA"/>
    <x v="3"/>
    <s v="002000020"/>
    <n v="84"/>
    <s v="万邦"/>
    <x v="5"/>
    <x v="34"/>
    <s v="H2-B"/>
    <s v="H2-B 电子指纹球形把手锁-黑色"/>
    <s v="H2"/>
    <n v="7"/>
    <n v="96.25"/>
    <x v="0"/>
    <n v="5.4"/>
    <n v="200"/>
    <n v="35.897435897435898"/>
    <n v="555.64743589743591"/>
    <n v="6.6148504273504276"/>
    <n v="0.98729110855976532"/>
    <m/>
    <m/>
    <m/>
    <x v="24"/>
    <m/>
    <m/>
    <m/>
    <m/>
    <m/>
    <m/>
    <m/>
    <m/>
    <m/>
    <m/>
    <m/>
    <m/>
    <m/>
    <m/>
  </r>
  <r>
    <n v="462"/>
    <m/>
    <s v="W16004"/>
    <s v="FBA19B9HSTHR"/>
    <s v="A-CA"/>
    <x v="3"/>
    <s v="002000023"/>
    <n v="60"/>
    <s v="万邦"/>
    <x v="5"/>
    <x v="34"/>
    <s v="H2-SILV"/>
    <s v="H2-SILV 电子指纹球形把手锁-银色"/>
    <s v="H2"/>
    <n v="5"/>
    <n v="68.75"/>
    <x v="0"/>
    <n v="5.4"/>
    <n v="200"/>
    <n v="25.641025641025642"/>
    <n v="396.89102564102564"/>
    <n v="6.6148504273504276"/>
    <n v="0.98729110855976532"/>
    <m/>
    <m/>
    <m/>
    <x v="24"/>
    <m/>
    <m/>
    <m/>
    <m/>
    <m/>
    <m/>
    <m/>
    <m/>
    <m/>
    <m/>
    <m/>
    <m/>
    <m/>
    <m/>
  </r>
  <r>
    <n v="463"/>
    <m/>
    <s v="W16004"/>
    <s v="FBA19B9HSTHR"/>
    <s v="A-CA"/>
    <x v="3"/>
    <s v="002000001"/>
    <n v="240"/>
    <s v="万邦"/>
    <x v="5"/>
    <x v="34"/>
    <s v="K1-B"/>
    <s v="K1-B 电子球形把手锁-黑色"/>
    <s v="K1"/>
    <n v="20"/>
    <n v="275"/>
    <x v="0"/>
    <n v="5.4"/>
    <m/>
    <n v="102.56410256410257"/>
    <n v="1587.5641025641025"/>
    <n v="6.6148504273504276"/>
    <n v="0.98729110855976532"/>
    <m/>
    <m/>
    <m/>
    <x v="24"/>
    <m/>
    <m/>
    <m/>
    <m/>
    <m/>
    <m/>
    <m/>
    <m/>
    <m/>
    <m/>
    <m/>
    <m/>
    <m/>
    <m/>
  </r>
  <r>
    <n v="464"/>
    <m/>
    <s v="W16013"/>
    <s v="FBA19B9DG84G"/>
    <s v="E-US"/>
    <x v="0"/>
    <s v="003000014"/>
    <n v="72"/>
    <s v="嘀嗒嘀"/>
    <x v="9"/>
    <x v="35"/>
    <s v="AP2US-H14"/>
    <s v="AP2US-H14 内置H14滤网桌面式空气净化器2-美规"/>
    <s v="AP2"/>
    <n v="18"/>
    <n v="425"/>
    <x v="0"/>
    <n v="5.7"/>
    <n v="200"/>
    <n v="200"/>
    <n v="2622.5"/>
    <n v="36.423611111111114"/>
    <n v="5.4363598673300171"/>
    <m/>
    <m/>
    <m/>
    <x v="24"/>
    <m/>
    <m/>
    <m/>
    <m/>
    <m/>
    <m/>
    <m/>
    <m/>
    <m/>
    <m/>
    <m/>
    <m/>
    <m/>
    <m/>
  </r>
  <r>
    <n v="465"/>
    <m/>
    <s v="W16008"/>
    <s v="FBA19B9DKZG9"/>
    <s v="E-US"/>
    <x v="0"/>
    <s v="003000014"/>
    <n v="72"/>
    <s v="国润通"/>
    <x v="0"/>
    <x v="36"/>
    <s v="AP2US-H14"/>
    <s v="AP2US-H14 内置H14滤网桌面式空气净化器2-美规"/>
    <s v="AP2"/>
    <n v="18"/>
    <n v="438"/>
    <x v="0"/>
    <n v="5.2"/>
    <n v="200"/>
    <n v="100"/>
    <n v="2377.6"/>
    <n v="33.022222222222219"/>
    <n v="4.9286898839137638"/>
    <m/>
    <m/>
    <m/>
    <x v="24"/>
    <m/>
    <m/>
    <m/>
    <m/>
    <m/>
    <m/>
    <m/>
    <m/>
    <m/>
    <m/>
    <m/>
    <m/>
    <m/>
    <m/>
  </r>
  <r>
    <n v="466"/>
    <m/>
    <s v="W16008"/>
    <s v="FBA19B9HCN3R"/>
    <s v="E-US"/>
    <x v="0"/>
    <s v="003000014"/>
    <n v="72"/>
    <s v="国润通"/>
    <x v="0"/>
    <x v="24"/>
    <s v="AP2US-H14"/>
    <s v="AP2US-H14 内置H14滤网桌面式空气净化器2-美规"/>
    <s v="AP2"/>
    <n v="18"/>
    <n v="438"/>
    <x v="0"/>
    <n v="5"/>
    <n v="200"/>
    <n v="100"/>
    <n v="2290"/>
    <n v="31.805555555555557"/>
    <n v="4.74709784411277"/>
    <m/>
    <m/>
    <m/>
    <x v="24"/>
    <m/>
    <m/>
    <m/>
    <m/>
    <m/>
    <m/>
    <m/>
    <m/>
    <m/>
    <m/>
    <m/>
    <m/>
    <m/>
    <m/>
  </r>
  <r>
    <n v="467"/>
    <m/>
    <s v="W16009"/>
    <s v="FBA19B9HCF21"/>
    <s v="E-US"/>
    <x v="0"/>
    <s v="003000014"/>
    <n v="72"/>
    <s v="国润通"/>
    <x v="0"/>
    <x v="37"/>
    <s v="AP2US-H14"/>
    <s v="AP2US-H14 内置H14滤网桌面式空气净化器2-美规"/>
    <s v="AP2"/>
    <n v="18"/>
    <n v="437"/>
    <x v="0"/>
    <n v="4.7"/>
    <n v="200"/>
    <n v="200"/>
    <n v="2253.9"/>
    <n v="31.304166666666667"/>
    <n v="4.6722636815920398"/>
    <m/>
    <m/>
    <m/>
    <x v="24"/>
    <m/>
    <m/>
    <m/>
    <m/>
    <m/>
    <m/>
    <m/>
    <m/>
    <m/>
    <m/>
    <m/>
    <m/>
    <m/>
    <m/>
  </r>
  <r>
    <n v="468"/>
    <m/>
    <s v="W16005"/>
    <s v="FBA19B9DLDTH"/>
    <s v="E-US"/>
    <x v="0"/>
    <s v="003000014"/>
    <n v="72"/>
    <s v="国润通"/>
    <x v="0"/>
    <x v="38"/>
    <s v="AP2US-H14"/>
    <s v="AP2US-H14 内置H14滤网桌面式空气净化器2-美规"/>
    <s v="AP2"/>
    <n v="18"/>
    <n v="437"/>
    <x v="0"/>
    <n v="5.8"/>
    <n v="200"/>
    <n v="29.032258064516128"/>
    <n v="2563.632258064516"/>
    <n v="35.606003584229391"/>
    <n v="5.3143288931685655"/>
    <m/>
    <m/>
    <m/>
    <x v="24"/>
    <m/>
    <m/>
    <m/>
    <m/>
    <m/>
    <m/>
    <m/>
    <m/>
    <m/>
    <m/>
    <m/>
    <m/>
    <m/>
    <m/>
  </r>
  <r>
    <n v="469"/>
    <m/>
    <s v="W16003"/>
    <s v="FBA15LN4716N"/>
    <s v="E-UK"/>
    <x v="2"/>
    <s v="003000007"/>
    <n v="36"/>
    <s v="嘀嗒嘀"/>
    <x v="3"/>
    <x v="6"/>
    <s v="AP2F-H14"/>
    <s v="AP2F-H14 空气净化器滤网2-H14"/>
    <s v="AP2F"/>
    <n v="1"/>
    <n v="22"/>
    <x v="0"/>
    <n v="4.4000000000000004"/>
    <n v="550"/>
    <n v="45.833333333333336"/>
    <n v="142.63333333333335"/>
    <n v="3.9620370370370375"/>
    <n v="0.59134881149806529"/>
    <m/>
    <m/>
    <m/>
    <x v="24"/>
    <m/>
    <m/>
    <m/>
    <m/>
    <m/>
    <m/>
    <m/>
    <m/>
    <m/>
    <m/>
    <m/>
    <m/>
    <m/>
    <m/>
  </r>
  <r>
    <m/>
    <m/>
    <m/>
    <m/>
    <m/>
    <x v="6"/>
    <m/>
    <m/>
    <m/>
    <x v="12"/>
    <x v="39"/>
    <m/>
    <m/>
    <m/>
    <m/>
    <m/>
    <x v="2"/>
    <m/>
    <m/>
    <m/>
    <m/>
    <m/>
    <m/>
    <m/>
    <m/>
    <m/>
    <x v="26"/>
    <m/>
    <m/>
    <m/>
    <m/>
    <m/>
    <m/>
    <m/>
    <m/>
    <m/>
    <m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03">
  <r>
    <m/>
    <s v="W020005"/>
    <s v="FBA195L9WC0P"/>
    <s v="E-US"/>
    <x v="0"/>
    <s v="ANZ-B"/>
    <n v="1000"/>
    <s v="万邦"/>
    <s v="盐田海卡"/>
    <s v="TCY2"/>
    <x v="0"/>
    <s v="ANZ-B 便携式扩香仪 黑色"/>
    <x v="0"/>
    <n v="25"/>
    <n v="326.95999999999998"/>
    <s v="重量收费"/>
    <n v="3.5"/>
    <m/>
    <m/>
    <n v="1144.3599999999999"/>
    <n v="1.1443599999999998"/>
    <n v="0.17079999999999998"/>
    <m/>
    <m/>
    <m/>
    <x v="0"/>
    <d v="2026-02-01T00:00:00"/>
    <m/>
    <n v="0.34"/>
    <n v="340"/>
    <d v="2026-02-11T00:00:00"/>
    <n v="33"/>
    <d v="2026-03-19T00:00:00"/>
    <n v="997"/>
    <n v="36"/>
    <m/>
    <m/>
    <m/>
    <m/>
  </r>
  <r>
    <m/>
    <s v="W020005"/>
    <s v="FBA195LB0WFL"/>
    <s v="E-US"/>
    <x v="0"/>
    <s v="001000045"/>
    <n v="210"/>
    <s v="万邦"/>
    <s v="盐田海卡"/>
    <s v="TCY2"/>
    <x v="1"/>
    <s v="ANX-B 便携式扩香仪 黑色"/>
    <x v="1"/>
    <n v="7"/>
    <n v="91.549230769230775"/>
    <s v="重量收费"/>
    <n v="3.5"/>
    <m/>
    <m/>
    <n v="320.4223076923077"/>
    <n v="1.5258205128205129"/>
    <n v="0.22773440489858401"/>
    <m/>
    <m/>
    <m/>
    <x v="0"/>
    <d v="2026-02-01T00:00:00"/>
    <m/>
    <n v="0.43782608695652175"/>
    <n v="91.943478260869568"/>
    <d v="2026-02-11T00:00:00"/>
    <n v="33"/>
    <d v="2026-03-18T00:00:00"/>
    <n v="208"/>
    <n v="35"/>
    <m/>
    <m/>
    <m/>
    <m/>
  </r>
  <r>
    <m/>
    <s v="W020005"/>
    <s v="FBA195LB0WFL"/>
    <s v="E-US"/>
    <x v="0"/>
    <s v="001000058"/>
    <n v="208"/>
    <s v="万邦"/>
    <s v="盐田海卡"/>
    <s v="TCY2"/>
    <x v="2"/>
    <s v="ANX-2PC-BS 便携式扩香仪套装 黑+银"/>
    <x v="1"/>
    <n v="13"/>
    <n v="170.02"/>
    <s v="重量收费"/>
    <n v="3.5"/>
    <m/>
    <m/>
    <n v="595.07000000000005"/>
    <n v="2.8609134615384617"/>
    <n v="0.42700200918484504"/>
    <m/>
    <m/>
    <m/>
    <x v="0"/>
    <d v="2026-02-01T00:00:00"/>
    <m/>
    <n v="0.43782608695652175"/>
    <n v="91.067826086956529"/>
    <d v="2026-02-11T00:00:00"/>
    <n v="33"/>
    <d v="2026-03-18T00:00:00"/>
    <n v="205"/>
    <n v="35"/>
    <m/>
    <m/>
    <m/>
    <m/>
  </r>
  <r>
    <m/>
    <s v="W020005"/>
    <s v="FBA195LB0WFL"/>
    <s v="E-US"/>
    <x v="0"/>
    <s v="001000050"/>
    <n v="90"/>
    <s v="万邦"/>
    <s v="盐田海卡"/>
    <s v="TCY2"/>
    <x v="3"/>
    <s v="ANX-RP 便携式扩香仪 红粉色"/>
    <x v="1"/>
    <n v="3"/>
    <n v="39.235384615384618"/>
    <s v="重量收费"/>
    <n v="3.5"/>
    <m/>
    <m/>
    <n v="137.32384615384615"/>
    <n v="1.5258205128205127"/>
    <n v="0.22773440489858399"/>
    <m/>
    <m/>
    <m/>
    <x v="0"/>
    <d v="2026-02-01T00:00:00"/>
    <m/>
    <n v="0.43782608695652175"/>
    <n v="39.404347826086955"/>
    <d v="2026-02-11T00:00:00"/>
    <n v="33"/>
    <d v="2026-03-18T00:00:00"/>
    <n v="89"/>
    <n v="35"/>
    <m/>
    <m/>
    <m/>
    <m/>
  </r>
  <r>
    <m/>
    <s v="W020005"/>
    <s v="FBA195LB0WFL"/>
    <s v="E-US"/>
    <x v="0"/>
    <s v="001000051"/>
    <n v="90"/>
    <s v="万邦"/>
    <s v="盐田海卡"/>
    <s v="TCY2"/>
    <x v="4"/>
    <s v="ANX-SG 便携式扩香仪 太空灰色"/>
    <x v="1"/>
    <n v="3"/>
    <n v="39.235384615384618"/>
    <s v="重量收费"/>
    <n v="3.5"/>
    <m/>
    <m/>
    <n v="137.32384615384615"/>
    <n v="1.5258205128205127"/>
    <n v="0.22773440489858399"/>
    <m/>
    <m/>
    <m/>
    <x v="0"/>
    <d v="2026-02-01T00:00:00"/>
    <m/>
    <n v="0.43782608695652175"/>
    <n v="39.404347826086955"/>
    <d v="2026-02-11T00:00:00"/>
    <n v="33"/>
    <d v="2026-03-18T00:00:00"/>
    <n v="89"/>
    <n v="35"/>
    <m/>
    <m/>
    <m/>
    <m/>
  </r>
  <r>
    <m/>
    <s v="W020004"/>
    <s v="FBA195LCJDMZ"/>
    <s v="V-US"/>
    <x v="0"/>
    <s v="ADXKIT_B_TX33_30ML"/>
    <n v="990"/>
    <s v="万邦"/>
    <s v="盐田海卡"/>
    <s v="TCY1"/>
    <x v="5"/>
    <s v="ADXKIT_B_TX33_30ML ADX黑色机器+30mL檀香33香氛油（天竺） 机油套装"/>
    <x v="2"/>
    <n v="33"/>
    <n v="493.09632653061226"/>
    <s v="重量收费"/>
    <n v="3.5"/>
    <n v="300"/>
    <n v="27.197802197802197"/>
    <n v="1753.0349450549452"/>
    <n v="1.7707423687423689"/>
    <n v="0.2642899057824431"/>
    <m/>
    <m/>
    <m/>
    <x v="0"/>
    <d v="2026-02-01T00:00:00"/>
    <m/>
    <n v="0.41"/>
    <n v="405.9"/>
    <d v="2026-02-13T00:00:00"/>
    <n v="35"/>
    <d v="2026-03-21T00:00:00"/>
    <n v="992"/>
    <n v="36"/>
    <m/>
    <m/>
    <m/>
    <m/>
  </r>
  <r>
    <m/>
    <s v="W020004"/>
    <s v="FBA195LCJDMZ"/>
    <s v="V-US"/>
    <x v="0"/>
    <s v="AN6KIT-B_2X20K01"/>
    <n v="1200"/>
    <s v="万邦"/>
    <s v="盐田海卡"/>
    <s v="TCY1"/>
    <x v="6"/>
    <s v="AN6KIT-B_2X20K01 AN6黑色机器+2X20mL酒店香氛油 机油套装"/>
    <x v="3"/>
    <n v="40"/>
    <n v="597.69251700680275"/>
    <s v="重量收费"/>
    <n v="3.5"/>
    <n v="300.00000000000006"/>
    <n v="32.967032967032964"/>
    <n v="2124.8908424908427"/>
    <n v="1.7707423687423689"/>
    <n v="0.2642899057824431"/>
    <m/>
    <m/>
    <m/>
    <x v="0"/>
    <d v="2026-02-01T00:00:00"/>
    <m/>
    <n v="0.41"/>
    <n v="491.99999999999994"/>
    <d v="2026-02-13T00:00:00"/>
    <n v="35"/>
    <d v="2026-03-21T00:00:00"/>
    <n v="1201"/>
    <n v="36"/>
    <m/>
    <m/>
    <m/>
    <m/>
  </r>
  <r>
    <m/>
    <s v="W020004"/>
    <s v="FBA195LCJDMZ"/>
    <s v="V-US"/>
    <x v="0"/>
    <s v="AN6KIT-B_4X10ML"/>
    <n v="600"/>
    <s v="万邦"/>
    <s v="盐田海卡"/>
    <s v="TCY1"/>
    <x v="7"/>
    <s v="AN6KIT-B_4X10ML AN6黑色机器+4x10mL香氛油（天竺） 机油套装"/>
    <x v="3"/>
    <n v="20"/>
    <n v="298.84625850340137"/>
    <s v="重量收费"/>
    <n v="3.5"/>
    <m/>
    <n v="16.483516483516482"/>
    <n v="1062.4454212454214"/>
    <n v="1.7707423687423689"/>
    <n v="0.2642899057824431"/>
    <m/>
    <m/>
    <m/>
    <x v="0"/>
    <d v="2026-02-01T00:00:00"/>
    <m/>
    <n v="0.41"/>
    <n v="245.99999999999997"/>
    <d v="2026-02-13T00:00:00"/>
    <n v="35"/>
    <d v="2026-03-21T00:00:00"/>
    <n v="608"/>
    <n v="36"/>
    <m/>
    <m/>
    <m/>
    <m/>
  </r>
  <r>
    <m/>
    <s v="W020004"/>
    <s v="FBA195LCJDMZ"/>
    <s v="V-US"/>
    <x v="0"/>
    <s v="AN6KIT-B_RZ30ml"/>
    <n v="1800"/>
    <s v="万邦"/>
    <s v="盐田海卡"/>
    <s v="TCY1"/>
    <x v="8"/>
    <s v="AN6KIT-B_RZ30ml AN6黑色机器+30mL丽思香氛油 机油套装"/>
    <x v="3"/>
    <n v="60"/>
    <n v="896.53877551020412"/>
    <s v="重量收费"/>
    <n v="3.5"/>
    <m/>
    <n v="49.450549450549453"/>
    <n v="3187.3362637362638"/>
    <n v="1.7707423687423689"/>
    <n v="0.2642899057824431"/>
    <m/>
    <m/>
    <m/>
    <x v="0"/>
    <d v="2026-02-01T00:00:00"/>
    <m/>
    <n v="0.41"/>
    <n v="738"/>
    <d v="2026-02-13T00:00:00"/>
    <n v="35"/>
    <d v="2026-03-21T00:00:00"/>
    <n v="1749"/>
    <n v="36"/>
    <m/>
    <m/>
    <m/>
    <m/>
  </r>
  <r>
    <m/>
    <s v="W020004"/>
    <s v="FBA195LCJDMZ"/>
    <s v="V-US"/>
    <x v="0"/>
    <s v="AN6KIT-WH_SJ30ML"/>
    <n v="450"/>
    <s v="万邦"/>
    <s v="盐田海卡"/>
    <s v="TCY1"/>
    <x v="9"/>
    <s v="AN6KIT-WH_SJ30ML AN6白色机器+30mL四季酒店香氛油 机油套装"/>
    <x v="3"/>
    <n v="15"/>
    <n v="224.13469387755103"/>
    <s v="重量收费"/>
    <n v="3.5"/>
    <m/>
    <n v="12.362637362637363"/>
    <n v="796.83406593406596"/>
    <n v="1.7707423687423689"/>
    <n v="0.2642899057824431"/>
    <m/>
    <m/>
    <m/>
    <x v="0"/>
    <d v="2026-02-01T00:00:00"/>
    <m/>
    <n v="0.41"/>
    <n v="184.5"/>
    <d v="2026-02-13T00:00:00"/>
    <n v="35"/>
    <d v="2026-03-21T00:00:00"/>
    <n v="450"/>
    <n v="36"/>
    <m/>
    <m/>
    <m/>
    <m/>
  </r>
  <r>
    <m/>
    <s v="W020004"/>
    <s v="FBA195LCJDMZ"/>
    <s v="V-US"/>
    <x v="0"/>
    <s v="AN8KIT-B_4X10K01"/>
    <n v="3000"/>
    <s v="万邦"/>
    <s v="盐田海卡"/>
    <s v="TCY1"/>
    <x v="10"/>
    <s v="AN8KIT-B_4X10K01 AN8黑色机器+4x10mL酒店香氛油 机油套装"/>
    <x v="4"/>
    <n v="100"/>
    <n v="1494.2312925170068"/>
    <s v="重量收费"/>
    <n v="3.5"/>
    <m/>
    <n v="82.417582417582423"/>
    <n v="5312.2271062271066"/>
    <n v="1.7707423687423689"/>
    <n v="0.2642899057824431"/>
    <m/>
    <m/>
    <m/>
    <x v="0"/>
    <d v="2026-02-01T00:00:00"/>
    <m/>
    <n v="0.41"/>
    <n v="1230"/>
    <d v="2026-02-13T00:00:00"/>
    <n v="35"/>
    <d v="2026-03-21T00:00:00"/>
    <n v="2972"/>
    <n v="36"/>
    <m/>
    <m/>
    <m/>
    <m/>
  </r>
  <r>
    <m/>
    <s v="W020004"/>
    <s v="FBA195LCJDMZ"/>
    <s v="V-US"/>
    <x v="0"/>
    <s v="AN8KIT-B_4X10K02"/>
    <n v="210"/>
    <s v="万邦"/>
    <s v="盐田海卡"/>
    <s v="TCY1"/>
    <x v="11"/>
    <s v="AN8KIT-B_4X10K02 AN8黑色机器+4x10mL（天竺）香氛油 机油套装"/>
    <x v="4"/>
    <n v="7"/>
    <n v="104.59619047619047"/>
    <s v="重量收费"/>
    <n v="3.5"/>
    <m/>
    <n v="5.7692307692307692"/>
    <n v="371.85589743589742"/>
    <n v="1.7707423687423687"/>
    <n v="0.2642899057824431"/>
    <m/>
    <m/>
    <m/>
    <x v="0"/>
    <d v="2026-02-01T00:00:00"/>
    <m/>
    <n v="0.41"/>
    <n v="86.1"/>
    <d v="2026-02-13T00:00:00"/>
    <n v="35"/>
    <d v="2026-03-21T00:00:00"/>
    <n v="212"/>
    <n v="36"/>
    <m/>
    <m/>
    <m/>
    <m/>
  </r>
  <r>
    <m/>
    <s v="W020004"/>
    <s v="FBA195LCJDMZ"/>
    <s v="V-US"/>
    <x v="0"/>
    <s v="AN8KIT-WH_4X10K01"/>
    <n v="240"/>
    <s v="万邦"/>
    <s v="盐田海卡"/>
    <s v="TCY1"/>
    <x v="12"/>
    <s v="AN8KIT-WH_4X10K01 AN8白色机器+4x10mL酒店香氛油 机油套装"/>
    <x v="4"/>
    <n v="8"/>
    <n v="119.53850340136054"/>
    <s v="重量收费"/>
    <n v="3.5"/>
    <m/>
    <n v="6.5934065934065931"/>
    <n v="424.97816849816849"/>
    <n v="1.7707423687423687"/>
    <n v="0.2642899057824431"/>
    <m/>
    <m/>
    <m/>
    <x v="0"/>
    <d v="2026-02-01T00:00:00"/>
    <m/>
    <n v="0.41"/>
    <n v="98.399999999999991"/>
    <d v="2026-02-13T00:00:00"/>
    <n v="35"/>
    <d v="2026-03-21T00:00:00"/>
    <n v="240"/>
    <n v="36"/>
    <m/>
    <m/>
    <m/>
    <m/>
  </r>
  <r>
    <m/>
    <s v="W020004"/>
    <s v="FBA195LCJDMZ"/>
    <s v="V-US"/>
    <x v="0"/>
    <s v="ANXKIT-B_RZ30ml"/>
    <n v="300"/>
    <s v="万邦"/>
    <s v="盐田海卡"/>
    <s v="TCY1"/>
    <x v="13"/>
    <s v="ANXKIT-B_RZ30ml ANX黑色机器+30mL丽思香氛油 机油套装"/>
    <x v="1"/>
    <n v="10"/>
    <n v="149.42312925170069"/>
    <s v="重量收费"/>
    <n v="3.5"/>
    <m/>
    <n v="8.2417582417582409"/>
    <n v="531.22271062271068"/>
    <n v="1.7707423687423689"/>
    <n v="0.2642899057824431"/>
    <m/>
    <m/>
    <m/>
    <x v="0"/>
    <d v="2026-02-01T00:00:00"/>
    <m/>
    <n v="0.41"/>
    <n v="122.99999999999999"/>
    <d v="2026-02-13T00:00:00"/>
    <n v="35"/>
    <d v="2026-03-21T00:00:00"/>
    <n v="300"/>
    <n v="36"/>
    <m/>
    <m/>
    <m/>
    <m/>
  </r>
  <r>
    <m/>
    <s v="W020004"/>
    <s v="FBA195LCJDMZ"/>
    <s v="V-US"/>
    <x v="0"/>
    <s v="AN8KIT-B_2X20K01"/>
    <n v="10"/>
    <s v="万邦"/>
    <s v="盐田海卡"/>
    <s v="TCY1"/>
    <x v="14"/>
    <s v="AN8KIT-B_2X20K01 AN8黑色机器+2X20mL酒店香氛油 机油套装"/>
    <x v="4"/>
    <n v="0.33333333333333298"/>
    <n v="4.980770975056684"/>
    <s v="重量收费"/>
    <n v="3.5"/>
    <m/>
    <n v="0.27472527472527442"/>
    <n v="17.707423687423667"/>
    <n v="1.7707423687423667"/>
    <n v="0.26428990578244277"/>
    <m/>
    <m/>
    <m/>
    <x v="0"/>
    <d v="2026-02-01T00:00:00"/>
    <m/>
    <n v="0.41"/>
    <n v="4.0999999999999996"/>
    <d v="2026-02-13T00:00:00"/>
    <n v="35"/>
    <d v="2026-03-21T00:00:00"/>
    <n v="10"/>
    <n v="36"/>
    <m/>
    <m/>
    <m/>
    <m/>
  </r>
  <r>
    <m/>
    <s v="W020004"/>
    <s v="FBA195LCJDMZ"/>
    <s v="V-US"/>
    <x v="0"/>
    <s v="AN8KIT-WH_2X20K01"/>
    <n v="20"/>
    <s v="万邦"/>
    <s v="盐田海卡"/>
    <s v="TCY1"/>
    <x v="15"/>
    <s v="AN8KIT-WH_2X20K01 AN8白色机器+2X20mL酒店香氛油 机油套装"/>
    <x v="4"/>
    <n v="0.66666666666666696"/>
    <n v="9.9615419501133822"/>
    <s v="重量收费"/>
    <n v="3.5"/>
    <m/>
    <n v="0.54945054945054972"/>
    <n v="35.414847374847383"/>
    <n v="1.7707423687423691"/>
    <n v="0.26428990578244316"/>
    <m/>
    <m/>
    <m/>
    <x v="0"/>
    <d v="2026-02-01T00:00:00"/>
    <m/>
    <n v="0.41"/>
    <n v="8.1999999999999993"/>
    <d v="2026-02-13T00:00:00"/>
    <n v="35"/>
    <d v="2026-03-21T00:00:00"/>
    <n v="22"/>
    <n v="36"/>
    <m/>
    <m/>
    <m/>
    <m/>
  </r>
  <r>
    <m/>
    <s v="W020004"/>
    <s v="FBA195LBB4TM"/>
    <s v="V-US"/>
    <x v="0"/>
    <s v="001000028"/>
    <n v="100"/>
    <s v="万邦"/>
    <s v="盐田海卡"/>
    <s v="TCY1"/>
    <x v="16"/>
    <s v="AN6-2PC-BB 便携式扩香仪套装 黑+黑"/>
    <x v="3"/>
    <n v="5"/>
    <n v="74.711403508771937"/>
    <s v="重量收费"/>
    <n v="3.5"/>
    <m/>
    <n v="4.1208791208791204"/>
    <n v="265.61079140158091"/>
    <n v="2.6561079140158093"/>
    <n v="0.39643401701728498"/>
    <m/>
    <m/>
    <m/>
    <x v="0"/>
    <d v="2026-02-01T00:00:00"/>
    <m/>
    <n v="0.35028436018957348"/>
    <n v="35.02843601895735"/>
    <d v="2026-02-16T00:00:00"/>
    <n v="38"/>
    <d v="2026-03-24T00:00:00"/>
    <n v="100"/>
    <n v="36"/>
    <m/>
    <m/>
    <m/>
    <m/>
  </r>
  <r>
    <m/>
    <s v="W020004"/>
    <s v="FBA195LBB4TM"/>
    <s v="V-US"/>
    <x v="0"/>
    <s v="001000019"/>
    <n v="1200"/>
    <s v="万邦"/>
    <s v="盐田海卡"/>
    <s v="TCY1"/>
    <x v="17"/>
    <s v="AN6-B 便携式扩香仪 黑色"/>
    <x v="3"/>
    <n v="30"/>
    <n v="448.2684210526316"/>
    <s v="重量收费"/>
    <n v="3.5"/>
    <m/>
    <n v="24.725274725274726"/>
    <n v="1593.6647484094851"/>
    <n v="1.3280539570079042"/>
    <n v="0.19821700850864241"/>
    <m/>
    <m/>
    <m/>
    <x v="0"/>
    <d v="2026-02-01T00:00:00"/>
    <m/>
    <n v="0.35028436018957348"/>
    <n v="420.34123222748821"/>
    <d v="2026-02-16T00:00:00"/>
    <n v="38"/>
    <d v="2026-03-24T00:00:00"/>
    <n v="1200"/>
    <n v="36"/>
    <m/>
    <m/>
    <m/>
    <m/>
  </r>
  <r>
    <m/>
    <s v="W020004"/>
    <s v="FBA195LBB4TM"/>
    <s v="V-US"/>
    <x v="0"/>
    <s v="001000020"/>
    <n v="480"/>
    <s v="万邦"/>
    <s v="盐田海卡"/>
    <s v="TCY1"/>
    <x v="18"/>
    <s v="AN6-W 便携式扩香仪 白色"/>
    <x v="3"/>
    <n v="12"/>
    <n v="179.30736842105264"/>
    <s v="重量收费"/>
    <n v="3.5"/>
    <m/>
    <n v="9.8901098901098905"/>
    <n v="637.46589936379416"/>
    <n v="1.3280539570079044"/>
    <n v="0.19821700850864243"/>
    <m/>
    <m/>
    <m/>
    <x v="0"/>
    <d v="2026-02-01T00:00:00"/>
    <m/>
    <n v="0.35028436018957348"/>
    <n v="168.13649289099527"/>
    <d v="2026-02-16T00:00:00"/>
    <n v="38"/>
    <d v="2026-03-24T00:00:00"/>
    <n v="480"/>
    <n v="36"/>
    <m/>
    <m/>
    <m/>
    <m/>
  </r>
  <r>
    <m/>
    <s v="W020004"/>
    <s v="FBA195LBB4TM"/>
    <s v="V-US"/>
    <x v="0"/>
    <s v="AN6-YG"/>
    <n v="120"/>
    <s v="万邦"/>
    <s v="盐田海卡"/>
    <s v="TCY1"/>
    <x v="19"/>
    <s v="AN6-YG 便携式扩香仪 乳酪色"/>
    <x v="3"/>
    <n v="3"/>
    <n v="44.826842105263161"/>
    <s v="重量收费"/>
    <n v="3.5"/>
    <m/>
    <n v="2.4725274725274726"/>
    <n v="159.36647484094854"/>
    <n v="1.3280539570079044"/>
    <n v="0.19821700850864243"/>
    <m/>
    <m/>
    <m/>
    <x v="0"/>
    <d v="2026-02-01T00:00:00"/>
    <m/>
    <n v="0.35028436018957348"/>
    <n v="42.034123222748818"/>
    <d v="2026-02-16T00:00:00"/>
    <n v="38"/>
    <d v="2026-03-24T00:00:00"/>
    <n v="120"/>
    <n v="36"/>
    <m/>
    <m/>
    <m/>
    <m/>
  </r>
  <r>
    <m/>
    <s v="W020004"/>
    <s v="FBA195LBB4TM"/>
    <s v="V-US"/>
    <x v="0"/>
    <s v="AND-B"/>
    <n v="60"/>
    <s v="万邦"/>
    <s v="盐田海卡"/>
    <s v="TCY1"/>
    <x v="20"/>
    <s v="AND-B 便携式双喷扩香仪 黑色"/>
    <x v="5"/>
    <n v="2"/>
    <n v="29.884561403508773"/>
    <s v="重量收费"/>
    <n v="3.5"/>
    <m/>
    <n v="1.6483516483516483"/>
    <n v="106.24431656063236"/>
    <n v="1.7707386093438726"/>
    <n v="0.26428934467818993"/>
    <m/>
    <m/>
    <m/>
    <x v="0"/>
    <d v="2026-02-01T00:00:00"/>
    <m/>
    <n v="0.35028436018957348"/>
    <n v="21.017061611374409"/>
    <d v="2026-02-16T00:00:00"/>
    <n v="38"/>
    <d v="2026-03-24T00:00:00"/>
    <n v="60"/>
    <n v="36"/>
    <m/>
    <m/>
    <m/>
    <m/>
  </r>
  <r>
    <m/>
    <s v="W020004"/>
    <s v="FBA195LBB4TM"/>
    <s v="V-US"/>
    <x v="0"/>
    <s v="AND-DT"/>
    <n v="150"/>
    <s v="万邦"/>
    <s v="盐田海卡"/>
    <s v="TCY1"/>
    <x v="21"/>
    <s v="AND-DT 便携式双喷扩香仪 沙漠钛色"/>
    <x v="5"/>
    <n v="5"/>
    <n v="74.711403508771937"/>
    <s v="重量收费"/>
    <n v="3.5"/>
    <m/>
    <n v="4.1208791208791204"/>
    <n v="265.61079140158091"/>
    <n v="1.7707386093438728"/>
    <n v="0.26428934467818999"/>
    <m/>
    <m/>
    <m/>
    <x v="0"/>
    <d v="2026-02-01T00:00:00"/>
    <m/>
    <n v="0.35028436018957348"/>
    <n v="52.542654028436026"/>
    <d v="2026-02-16T00:00:00"/>
    <n v="38"/>
    <d v="2026-03-24T00:00:00"/>
    <n v="150"/>
    <n v="36"/>
    <m/>
    <m/>
    <m/>
    <m/>
  </r>
  <r>
    <m/>
    <s v="W020004"/>
    <s v="FBA195LB2C32"/>
    <s v="A-US"/>
    <x v="0"/>
    <s v="ANZKIT-B_HILTON30ML"/>
    <n v="390"/>
    <s v="万邦"/>
    <s v="盐田海卡"/>
    <s v="TCY1"/>
    <x v="22"/>
    <s v="ANZKIT-B_HILTON30ML ANZ黑色机器+30mL希尔顿酒店香氛油（天竺） 机油套装"/>
    <x v="0"/>
    <n v="13"/>
    <n v="194.25"/>
    <s v="重量收费"/>
    <n v="3.5"/>
    <m/>
    <n v="10.714285714285714"/>
    <n v="690.58928571428567"/>
    <n v="1.7707417582417582"/>
    <n v="0.26428981466294899"/>
    <m/>
    <m/>
    <m/>
    <x v="0"/>
    <d v="2026-02-01T00:00:00"/>
    <m/>
    <n v="0.41000000000000003"/>
    <n v="159.9"/>
    <d v="2026-02-13T00:00:00"/>
    <n v="35"/>
    <d v="2026-03-18T00:00:00"/>
    <n v="360"/>
    <n v="33"/>
    <m/>
    <m/>
    <m/>
    <m/>
  </r>
  <r>
    <m/>
    <s v="W020003"/>
    <s v="FBA195LDDMB5"/>
    <s v="E-US"/>
    <x v="0"/>
    <s v="SJ1-100ML_TZ"/>
    <n v="320"/>
    <s v="积米"/>
    <s v="盐田海卡"/>
    <s v="TCY1"/>
    <x v="23"/>
    <s v="SJ1-100ML_TZ 四季酒店100mL香氛油（天竺） 销售包装"/>
    <x v="6"/>
    <n v="5"/>
    <n v="71.25"/>
    <s v="重量收费"/>
    <n v="5.6"/>
    <n v="350"/>
    <n v="218.75"/>
    <n v="617.75"/>
    <n v="1.93046875"/>
    <n v="0.28812966417910446"/>
    <m/>
    <m/>
    <m/>
    <x v="0"/>
    <d v="2026-01-29T00:00:00"/>
    <m/>
    <n v="0.33999999999999997"/>
    <n v="108.79999999999998"/>
    <d v="2026-02-11T00:00:00"/>
    <n v="33"/>
    <d v="2026-03-11T00:00:00"/>
    <n v="331"/>
    <n v="28"/>
    <m/>
    <m/>
    <m/>
    <m/>
  </r>
  <r>
    <m/>
    <s v="W020003"/>
    <s v="FBA195L9WKNH"/>
    <s v="V-US"/>
    <x v="0"/>
    <s v="W1-100ML_TZ"/>
    <n v="192"/>
    <s v="积米"/>
    <s v="盐田海卡"/>
    <s v="TCY1"/>
    <x v="24"/>
    <s v="W1-100ML_TZ W酒店100mL香氛油（天竺） 销售包装"/>
    <x v="6"/>
    <n v="3"/>
    <n v="42.75"/>
    <s v="重量收费"/>
    <n v="5.6"/>
    <n v="350"/>
    <n v="131.25"/>
    <n v="370.65"/>
    <n v="1.93046875"/>
    <n v="0.28812966417910446"/>
    <m/>
    <m/>
    <m/>
    <x v="0"/>
    <d v="2026-01-29T00:00:00"/>
    <m/>
    <n v="0.34"/>
    <n v="65.28"/>
    <d v="2026-02-11T00:00:00"/>
    <n v="33"/>
    <d v="2026-03-10T00:00:00"/>
    <n v="193"/>
    <n v="27"/>
    <m/>
    <m/>
    <m/>
    <m/>
  </r>
  <r>
    <m/>
    <s v="W020001"/>
    <s v="FBA195TXJ79C"/>
    <s v="E-US"/>
    <x v="0"/>
    <s v="AC1-WH_US"/>
    <n v="360"/>
    <s v="万邦"/>
    <s v="美国空派"/>
    <s v="PSC2"/>
    <x v="25"/>
    <s v="AC1-WH_US 智能控制器 美规 白色 一个装"/>
    <x v="7"/>
    <n v="3"/>
    <n v="53.5"/>
    <s v="重量收费"/>
    <n v="44.5"/>
    <n v="355.74"/>
    <n v="177.87"/>
    <n v="2558.62"/>
    <n v="7.1072777777777771"/>
    <n v="1.0607877280265339"/>
    <m/>
    <m/>
    <m/>
    <x v="0"/>
    <d v="2026-02-09T00:00:00"/>
    <m/>
    <n v="0.3"/>
    <n v="108"/>
    <d v="2026-01-22T00:00:00"/>
    <n v="13"/>
    <d v="2026-02-21T00:00:00"/>
    <n v="359"/>
    <n v="30"/>
    <m/>
    <s v="UPS #1ZK6E8620337817764"/>
    <m/>
    <m/>
  </r>
  <r>
    <m/>
    <s v="W020001"/>
    <s v="FBA195TXJ79C"/>
    <s v="E-US"/>
    <x v="0"/>
    <s v="AC1KIT_WH_WH_US"/>
    <n v="360"/>
    <s v="万邦"/>
    <s v="美国空派"/>
    <s v="PSC2"/>
    <x v="26"/>
    <s v="AC1KIT_WH_WH_US 智能控制器 美规 白色 两个装"/>
    <x v="7"/>
    <n v="3"/>
    <n v="53.5"/>
    <s v="重量收费"/>
    <n v="44.5"/>
    <n v="355.74"/>
    <n v="177.87"/>
    <n v="2558.62"/>
    <n v="7.1072777777777771"/>
    <n v="1.0607877280265339"/>
    <m/>
    <m/>
    <m/>
    <x v="0"/>
    <d v="2026-02-09T00:00:00"/>
    <m/>
    <n v="0.3"/>
    <n v="108"/>
    <d v="2026-01-22T00:00:00"/>
    <n v="13"/>
    <d v="2026-02-21T00:00:00"/>
    <n v="348"/>
    <n v="30"/>
    <m/>
    <s v="UPS #1ZK6E8620337817764"/>
    <m/>
    <m/>
  </r>
  <r>
    <m/>
    <s v="W020002"/>
    <s v="FBA15L9C2DCR"/>
    <s v="W-DE"/>
    <x v="1"/>
    <s v="AC1-WH_EU"/>
    <n v="120"/>
    <s v="万邦"/>
    <s v="欧洲空派"/>
    <s v="DTM1"/>
    <x v="27"/>
    <s v="AC1-WH_EU 智能控制器 欧规 白色 一个装"/>
    <x v="7"/>
    <n v="1"/>
    <n v="17.5"/>
    <s v="重量收费"/>
    <n v="51"/>
    <n v="301.90999999999997"/>
    <n v="150.95499999999998"/>
    <n v="1043.4549999999999"/>
    <n v="8.6954583333333328"/>
    <n v="1.2978296019900497"/>
    <m/>
    <m/>
    <m/>
    <x v="0"/>
    <d v="2026-02-09T00:00:00"/>
    <m/>
    <n v="0"/>
    <n v="0"/>
    <d v="2026-01-28T00:00:00"/>
    <n v="19"/>
    <d v="2026-02-11T00:00:00"/>
    <n v="120"/>
    <n v="14"/>
    <m/>
    <s v="UPS #1ZB57B606831614652"/>
    <m/>
    <m/>
  </r>
  <r>
    <m/>
    <s v="W020002"/>
    <s v="FBA15L9C2DCR"/>
    <s v="W-DE"/>
    <x v="1"/>
    <s v="AC1KIT-WH_WH_EU"/>
    <n v="120"/>
    <s v="万邦"/>
    <s v="欧洲空派"/>
    <s v="DTM1"/>
    <x v="28"/>
    <s v="AC1KIT-WH_WH_EU 智能控制器 欧规 白色 两个装"/>
    <x v="7"/>
    <n v="1"/>
    <n v="17.5"/>
    <s v="重量收费"/>
    <n v="51"/>
    <n v="301.90999999999997"/>
    <n v="150.95499999999998"/>
    <n v="1043.4549999999999"/>
    <n v="8.6954583333333328"/>
    <n v="1.2978296019900497"/>
    <m/>
    <m/>
    <m/>
    <x v="0"/>
    <d v="2026-02-09T00:00:00"/>
    <m/>
    <n v="0"/>
    <n v="0"/>
    <d v="2026-01-28T00:00:00"/>
    <n v="19"/>
    <d v="2026-02-11T00:00:00"/>
    <n v="120"/>
    <n v="14"/>
    <m/>
    <s v="UPS #1ZB57B606831614652"/>
    <m/>
    <m/>
  </r>
  <r>
    <m/>
    <s v="W03005"/>
    <s v="FBA1962WJ10Y"/>
    <s v="V-US"/>
    <x v="0"/>
    <s v="AN6KIT-B_RZ30ml"/>
    <n v="1800"/>
    <s v="万邦"/>
    <s v="盐田海卡"/>
    <s v="GEU2"/>
    <x v="8"/>
    <s v="AN6KIT-B_RZ30ml AN6黑色机器+30mL丽思香氛油 机油套装"/>
    <x v="3"/>
    <n v="60"/>
    <n v="909.75818181818192"/>
    <s v="重量收费"/>
    <n v="3.9"/>
    <n v="250"/>
    <n v="55.350553505535053"/>
    <n v="3603.4074625964445"/>
    <n v="2.0018930347758026"/>
    <n v="0.29879000519041832"/>
    <m/>
    <m/>
    <m/>
    <x v="1"/>
    <d v="2026-02-07T00:00:00"/>
    <m/>
    <n v="0.41"/>
    <n v="738"/>
    <d v="2026-02-14T00:00:00"/>
    <n v="29"/>
    <d v="2026-03-20T00:00:00"/>
    <n v="1822"/>
    <n v="34"/>
    <m/>
    <m/>
    <m/>
    <m/>
  </r>
  <r>
    <m/>
    <s v="W03005"/>
    <s v="FBA1962WJ10Y"/>
    <s v="V-US"/>
    <x v="0"/>
    <s v="AN6KIT-WH_4X10ML"/>
    <n v="390"/>
    <s v="万邦"/>
    <s v="盐田海卡"/>
    <s v="GEU2"/>
    <x v="29"/>
    <s v="AN6KIT-WH_4X10ML AN6白色机器+4x10mL香氛油（天竺） 机油套装"/>
    <x v="3"/>
    <n v="13"/>
    <n v="197.11427272727275"/>
    <s v="重量收费"/>
    <n v="3.9"/>
    <n v="250"/>
    <n v="11.992619926199263"/>
    <n v="780.73828356256297"/>
    <n v="2.0018930347758026"/>
    <n v="0.29879000519041832"/>
    <m/>
    <m/>
    <m/>
    <x v="1"/>
    <d v="2026-02-07T00:00:00"/>
    <m/>
    <n v="0.41"/>
    <n v="159.89999999999998"/>
    <d v="2026-02-14T00:00:00"/>
    <n v="29"/>
    <d v="2026-03-20T00:00:00"/>
    <n v="390"/>
    <n v="34"/>
    <m/>
    <m/>
    <m/>
    <m/>
  </r>
  <r>
    <m/>
    <s v="W03005"/>
    <s v="FBA1962WJ10Y"/>
    <s v="V-US"/>
    <x v="0"/>
    <s v="AN8KIT-B_4X10K01"/>
    <n v="990"/>
    <s v="万邦"/>
    <s v="盐田海卡"/>
    <s v="GEU2"/>
    <x v="10"/>
    <s v="AN8KIT-B_4X10K01 AN8黑色机器+4x10mL酒店香氛油 机油套装"/>
    <x v="4"/>
    <n v="33"/>
    <n v="500.36700000000002"/>
    <s v="重量收费"/>
    <n v="3.9"/>
    <m/>
    <n v="30.44280442804428"/>
    <n v="1981.8741044280443"/>
    <n v="2.0018930347758022"/>
    <n v="0.29879000519041821"/>
    <m/>
    <m/>
    <m/>
    <x v="1"/>
    <d v="2026-02-07T00:00:00"/>
    <m/>
    <n v="0.41"/>
    <n v="405.9"/>
    <d v="2026-02-14T00:00:00"/>
    <n v="29"/>
    <d v="2026-03-20T00:00:00"/>
    <n v="990"/>
    <n v="34"/>
    <m/>
    <m/>
    <m/>
    <m/>
  </r>
  <r>
    <m/>
    <s v="W03005"/>
    <s v="FBA1962WJ10Y"/>
    <s v="V-US"/>
    <x v="0"/>
    <s v="ANXKIT-T_4X10ML"/>
    <n v="120"/>
    <s v="万邦"/>
    <s v="盐田海卡"/>
    <s v="GEU2"/>
    <x v="30"/>
    <s v="ANXKIT-T_4X10ML ANX钛色机器+4x10mL香氛油（天竺） 机油套装"/>
    <x v="1"/>
    <n v="4"/>
    <n v="60.650545454545458"/>
    <s v="重量收费"/>
    <n v="3.9"/>
    <m/>
    <n v="3.6900369003690039"/>
    <n v="240.22716417309627"/>
    <n v="2.0018930347758022"/>
    <n v="0.29879000519041821"/>
    <m/>
    <m/>
    <m/>
    <x v="1"/>
    <d v="2026-02-07T00:00:00"/>
    <m/>
    <n v="0.41"/>
    <n v="49.199999999999996"/>
    <d v="2026-02-14T00:00:00"/>
    <n v="29"/>
    <d v="2026-03-20T00:00:00"/>
    <n v="121"/>
    <n v="34"/>
    <m/>
    <m/>
    <m/>
    <m/>
  </r>
  <r>
    <m/>
    <s v="W03007"/>
    <s v="FBA195WQT42J"/>
    <s v="V-US"/>
    <x v="0"/>
    <s v="001000019"/>
    <n v="2000"/>
    <s v="嘀嗒嘀"/>
    <s v="盐田海卡"/>
    <s v="GEU3"/>
    <x v="17"/>
    <s v="AN6-B 便携式扩香仪 黑色"/>
    <x v="3"/>
    <n v="50"/>
    <n v="681.94444444444446"/>
    <s v="重量收费"/>
    <n v="3.2"/>
    <n v="200"/>
    <n v="89.285714285714292"/>
    <n v="2271.5079365079364"/>
    <n v="1.1357539682539681"/>
    <n v="0.16951551764984599"/>
    <m/>
    <m/>
    <m/>
    <x v="1"/>
    <d v="2026-02-07T00:00:00"/>
    <m/>
    <n v="0.34492957746478875"/>
    <n v="689.85915492957747"/>
    <d v="2026-02-17T00:00:00"/>
    <n v="32"/>
    <d v="2026-03-21T00:00:00"/>
    <n v="1999"/>
    <n v="32"/>
    <m/>
    <m/>
    <m/>
    <m/>
  </r>
  <r>
    <m/>
    <s v="W03007"/>
    <s v="FBA195WQT42J"/>
    <s v="V-US"/>
    <x v="0"/>
    <s v="AN8-B"/>
    <n v="320"/>
    <s v="嘀嗒嘀"/>
    <s v="盐田海卡"/>
    <s v="GEU3"/>
    <x v="31"/>
    <s v="AN8-B 便携式扩香仪 黑色"/>
    <x v="4"/>
    <n v="8"/>
    <n v="109.11111111111111"/>
    <s v="重量收费"/>
    <n v="3.2"/>
    <n v="200"/>
    <n v="14.285714285714286"/>
    <n v="363.44126984126984"/>
    <n v="1.1357539682539683"/>
    <n v="0.16951551764984601"/>
    <m/>
    <m/>
    <m/>
    <x v="1"/>
    <d v="2026-02-07T00:00:00"/>
    <m/>
    <n v="0.34492957746478875"/>
    <n v="110.3774647887324"/>
    <d v="2026-02-17T00:00:00"/>
    <n v="32"/>
    <d v="2026-03-21T00:00:00"/>
    <n v="319"/>
    <n v="32"/>
    <m/>
    <m/>
    <m/>
    <m/>
  </r>
  <r>
    <m/>
    <s v="W03007"/>
    <s v="FBA195WQT42J"/>
    <s v="V-US"/>
    <x v="0"/>
    <s v="AN8KIT-B_B"/>
    <n v="200"/>
    <s v="嘀嗒嘀"/>
    <s v="盐田海卡"/>
    <s v="GEU3"/>
    <x v="32"/>
    <s v="AN8KIT-B_B 便携式扩香仪套装 黑+黑"/>
    <x v="4"/>
    <n v="10"/>
    <n v="136.38888888888889"/>
    <s v="重量收费"/>
    <n v="3.2"/>
    <m/>
    <n v="17.857142857142858"/>
    <n v="454.30158730158729"/>
    <n v="2.2715079365079363"/>
    <n v="0.33903103529969197"/>
    <m/>
    <m/>
    <m/>
    <x v="1"/>
    <d v="2026-02-07T00:00:00"/>
    <m/>
    <n v="0.34492957746478875"/>
    <n v="68.985915492957744"/>
    <d v="2026-02-17T00:00:00"/>
    <n v="32"/>
    <d v="2026-03-21T00:00:00"/>
    <n v="200"/>
    <n v="32"/>
    <m/>
    <m/>
    <m/>
    <m/>
  </r>
  <r>
    <m/>
    <s v="W03007"/>
    <s v="FBA195WQT42J"/>
    <s v="V-US"/>
    <x v="0"/>
    <s v="AN8-WH"/>
    <n v="120"/>
    <s v="嘀嗒嘀"/>
    <s v="盐田海卡"/>
    <s v="GEU3"/>
    <x v="33"/>
    <s v="AN8-WH 便携式扩香仪 白色"/>
    <x v="4"/>
    <n v="3"/>
    <n v="40.916666666666671"/>
    <s v="重量收费"/>
    <n v="3.2"/>
    <m/>
    <n v="5.3571428571428568"/>
    <n v="136.29047619047623"/>
    <n v="1.1357539682539686"/>
    <n v="0.16951551764984604"/>
    <m/>
    <m/>
    <m/>
    <x v="1"/>
    <d v="2026-02-07T00:00:00"/>
    <m/>
    <n v="0.34492957746478875"/>
    <n v="41.391549295774652"/>
    <d v="2026-02-17T00:00:00"/>
    <n v="32"/>
    <d v="2026-03-21T00:00:00"/>
    <n v="120"/>
    <n v="32"/>
    <m/>
    <m/>
    <m/>
    <m/>
  </r>
  <r>
    <m/>
    <s v="W03007"/>
    <s v="FBA195WQT42J"/>
    <s v="V-US"/>
    <x v="0"/>
    <s v="AN8NZ-B"/>
    <n v="200"/>
    <s v="嘀嗒嘀"/>
    <s v="盐田海卡"/>
    <s v="GEU3"/>
    <x v="34"/>
    <s v="AN8NZ-B AN8(Z)喷嘴配件套装 黑色"/>
    <x v="8"/>
    <n v="1"/>
    <n v="13.638888888888889"/>
    <s v="重量收费"/>
    <n v="3.2"/>
    <m/>
    <n v="1.7857142857142858"/>
    <n v="45.43015873015873"/>
    <n v="0.22715079365079366"/>
    <n v="3.3903103529969204E-2"/>
    <m/>
    <m/>
    <m/>
    <x v="1"/>
    <d v="2026-02-07T00:00:00"/>
    <m/>
    <n v="0.34492957746478875"/>
    <n v="68.985915492957744"/>
    <d v="2026-02-17T00:00:00"/>
    <n v="32"/>
    <d v="2026-03-21T00:00:00"/>
    <n v="200"/>
    <n v="32"/>
    <m/>
    <m/>
    <m/>
    <m/>
  </r>
  <r>
    <m/>
    <s v="W03006"/>
    <s v="FBA15L9NCNFT"/>
    <s v="E-UK"/>
    <x v="2"/>
    <s v="001000019"/>
    <n v="240"/>
    <s v="万邦"/>
    <s v="英国海卡"/>
    <s v="LBA4"/>
    <x v="17"/>
    <s v="AN6-B 便携式扩香仪 黑色"/>
    <x v="3"/>
    <n v="6"/>
    <n v="82.199999999999989"/>
    <s v="重量收费"/>
    <n v="4.8"/>
    <n v="600"/>
    <n v="360"/>
    <n v="754.56"/>
    <n v="3.1439999999999997"/>
    <n v="0.46925373134328352"/>
    <n v="576.35"/>
    <n v="345.81"/>
    <s v="是"/>
    <x v="1"/>
    <d v="2026-03-13T00:00:00"/>
    <m/>
    <n v="0"/>
    <n v="0"/>
    <d v="2026-03-21T00:00:00"/>
    <n v="64"/>
    <d v="2026-04-06T00:00:00"/>
    <n v="240"/>
    <n v="16"/>
    <m/>
    <m/>
    <m/>
    <m/>
  </r>
  <r>
    <m/>
    <s v="W03006"/>
    <s v="FBA15L9NCNFT"/>
    <s v="E-UK"/>
    <x v="2"/>
    <s v="001000039"/>
    <n v="40"/>
    <s v="万邦"/>
    <s v="英国海卡"/>
    <s v="LBA4"/>
    <x v="35"/>
    <s v="AN6-GL 便携式扩香仪 翠百合色"/>
    <x v="3"/>
    <n v="1"/>
    <n v="13.7"/>
    <s v="重量收费"/>
    <n v="4.8"/>
    <n v="600"/>
    <n v="60"/>
    <n v="125.75999999999999"/>
    <n v="3.1439999999999997"/>
    <n v="0.46925373134328352"/>
    <m/>
    <n v="57.635000000000005"/>
    <s v="是"/>
    <x v="1"/>
    <d v="2026-03-13T00:00:00"/>
    <m/>
    <n v="0"/>
    <n v="0"/>
    <d v="2026-03-21T00:00:00"/>
    <n v="64"/>
    <d v="2026-04-06T00:00:00"/>
    <n v="40"/>
    <n v="16"/>
    <m/>
    <m/>
    <m/>
    <m/>
  </r>
  <r>
    <m/>
    <s v="W03006"/>
    <s v="FBA15L9NCNFT"/>
    <s v="E-UK"/>
    <x v="2"/>
    <s v="001000020"/>
    <n v="120"/>
    <s v="万邦"/>
    <s v="英国海卡"/>
    <s v="LBA4"/>
    <x v="18"/>
    <s v="AN6-W 便携式扩香仪 白色"/>
    <x v="3"/>
    <n v="3"/>
    <n v="41.099999999999994"/>
    <s v="重量收费"/>
    <n v="4.8"/>
    <m/>
    <n v="180"/>
    <n v="377.28"/>
    <n v="3.1439999999999997"/>
    <n v="0.46925373134328352"/>
    <m/>
    <n v="172.905"/>
    <s v="是"/>
    <x v="1"/>
    <d v="2026-03-13T00:00:00"/>
    <m/>
    <n v="0"/>
    <n v="0"/>
    <d v="2026-03-21T00:00:00"/>
    <n v="64"/>
    <d v="2026-04-06T00:00:00"/>
    <n v="120"/>
    <n v="16"/>
    <m/>
    <m/>
    <m/>
    <m/>
  </r>
  <r>
    <m/>
    <s v="W03007"/>
    <s v="FBA195X71HBT"/>
    <s v="E-US"/>
    <x v="0"/>
    <s v="001000049"/>
    <n v="90"/>
    <s v="嘀嗒嘀"/>
    <s v="盐田海卡"/>
    <s v="HLI2"/>
    <x v="36"/>
    <s v="ANX-IB 便携式扩香仪 冰蓝色"/>
    <x v="1"/>
    <n v="3"/>
    <n v="40.275000000000006"/>
    <s v="重量收费"/>
    <n v="3.2"/>
    <m/>
    <n v="5.3571428571428568"/>
    <n v="134.23714285714289"/>
    <n v="1.4915238095238099"/>
    <n v="0.22261549395877758"/>
    <m/>
    <m/>
    <m/>
    <x v="1"/>
    <d v="2026-02-07T00:00:00"/>
    <m/>
    <n v="0.35399999999999998"/>
    <n v="31.86"/>
    <d v="2026-02-16T00:00:00"/>
    <n v="31"/>
    <d v="2026-03-22T00:00:00"/>
    <n v="89"/>
    <n v="34"/>
    <m/>
    <m/>
    <m/>
    <m/>
  </r>
  <r>
    <m/>
    <s v="W03007"/>
    <s v="FBA195X71HBT"/>
    <s v="E-US"/>
    <x v="0"/>
    <s v="001000052"/>
    <n v="210"/>
    <s v="嘀嗒嘀"/>
    <s v="盐田海卡"/>
    <s v="HLI2"/>
    <x v="37"/>
    <s v="ANX-DT 便携式扩香仪 沙漠钛色"/>
    <x v="1"/>
    <n v="7"/>
    <n v="93.975000000000009"/>
    <s v="重量收费"/>
    <n v="3.2"/>
    <m/>
    <n v="12.5"/>
    <n v="313.22000000000003"/>
    <n v="1.4915238095238097"/>
    <n v="0.22261549395877755"/>
    <m/>
    <m/>
    <m/>
    <x v="1"/>
    <d v="2026-02-07T00:00:00"/>
    <m/>
    <n v="0.35399999999999998"/>
    <n v="74.339999999999989"/>
    <d v="2026-02-16T00:00:00"/>
    <n v="31"/>
    <d v="2026-03-22T00:00:00"/>
    <n v="209"/>
    <n v="34"/>
    <m/>
    <m/>
    <m/>
    <m/>
  </r>
  <r>
    <m/>
    <s v="W03007"/>
    <s v="FBA195X71HBT"/>
    <s v="E-US"/>
    <x v="0"/>
    <s v="ANZ-B"/>
    <n v="1200"/>
    <s v="嘀嗒嘀"/>
    <s v="盐田海卡"/>
    <s v="HLI2"/>
    <x v="0"/>
    <s v="ANZ-B 便携式扩香仪 黑色"/>
    <x v="0"/>
    <n v="30"/>
    <n v="402.75"/>
    <s v="重量收费"/>
    <n v="3.2"/>
    <m/>
    <n v="53.571428571428569"/>
    <n v="1342.3714285714289"/>
    <n v="1.1186428571428573"/>
    <n v="0.16696162046908317"/>
    <m/>
    <m/>
    <m/>
    <x v="1"/>
    <d v="2026-02-07T00:00:00"/>
    <m/>
    <n v="0.35399999999999998"/>
    <n v="424.79999999999995"/>
    <d v="2026-02-16T00:00:00"/>
    <n v="31"/>
    <d v="2026-03-22T00:00:00"/>
    <n v="1154"/>
    <n v="34"/>
    <m/>
    <m/>
    <m/>
    <m/>
  </r>
  <r>
    <m/>
    <s v="W03005"/>
    <s v="FBA19630ZHP6"/>
    <s v="E-US"/>
    <x v="0"/>
    <s v="ANZKIT-B_4X10K04_TZ"/>
    <n v="390"/>
    <s v="万邦"/>
    <s v="盐田海卡"/>
    <s v="GEU2"/>
    <x v="38"/>
    <s v="ANZKIT-B_4X10K04_TZ ANZ黑色机器+4x10mL酒店（天竺）香氛油 机油套装"/>
    <x v="0"/>
    <n v="13"/>
    <n v="197.11"/>
    <s v="重量收费"/>
    <n v="3.9"/>
    <m/>
    <n v="11.992619926199263"/>
    <n v="780.72161992619931"/>
    <n v="2.0018503075030751"/>
    <n v="0.2987836279855336"/>
    <m/>
    <m/>
    <m/>
    <x v="1"/>
    <d v="2026-02-07T00:00:00"/>
    <m/>
    <n v="0.41000000000000003"/>
    <n v="159.9"/>
    <d v="2026-02-17T00:00:00"/>
    <n v="32"/>
    <d v="2026-03-19T00:00:00"/>
    <n v="397"/>
    <n v="30"/>
    <m/>
    <m/>
    <m/>
    <m/>
  </r>
  <r>
    <m/>
    <s v="W03003"/>
    <s v="FBA15L9C90G5"/>
    <s v="W-DE"/>
    <x v="1"/>
    <s v="ANA-WH_EU"/>
    <n v="144"/>
    <s v="万邦"/>
    <s v="欧洲海卡"/>
    <s v="HAJ1"/>
    <x v="39"/>
    <s v="ANA-WH_EU 智能扩香仪 欧规 白色"/>
    <x v="9"/>
    <n v="12"/>
    <n v="177"/>
    <s v="重量收费"/>
    <n v="7.1"/>
    <n v="250"/>
    <n v="250"/>
    <n v="1506.7"/>
    <n v="10.463194444444445"/>
    <n v="1.5616708126036485"/>
    <m/>
    <m/>
    <m/>
    <x v="1"/>
    <d v="2026-03-01T00:00:00"/>
    <m/>
    <n v="0"/>
    <n v="0"/>
    <d v="2026-03-10T00:00:00"/>
    <n v="53"/>
    <d v="2026-03-24T00:00:00"/>
    <n v="144"/>
    <n v="14"/>
    <m/>
    <m/>
    <m/>
    <m/>
  </r>
  <r>
    <m/>
    <s v="W03004"/>
    <s v="FBA196675KXQ"/>
    <s v="V-CA"/>
    <x v="3"/>
    <s v="001000032"/>
    <n v="72"/>
    <s v="万邦"/>
    <s v="加拿大海卡"/>
    <s v="YHM1"/>
    <x v="40"/>
    <s v="ANW-B 智能扩香仪 黑色"/>
    <x v="10"/>
    <n v="6"/>
    <n v="87.6"/>
    <s v="重量收费"/>
    <n v="6"/>
    <n v="250"/>
    <n v="150"/>
    <n v="675.59999999999991"/>
    <n v="9.3833333333333329"/>
    <n v="1.4004975124378107"/>
    <m/>
    <m/>
    <m/>
    <x v="1"/>
    <d v="2026-02-25T00:00:00"/>
    <m/>
    <n v="0"/>
    <n v="0"/>
    <d v="2026-03-08T00:00:00"/>
    <n v="51"/>
    <d v="2026-03-29T00:00:00"/>
    <n v="72"/>
    <n v="21"/>
    <m/>
    <m/>
    <m/>
    <m/>
  </r>
  <r>
    <m/>
    <s v="W03004"/>
    <s v="FBA196675KXQ"/>
    <s v="V-CA"/>
    <x v="3"/>
    <s v="001000033"/>
    <n v="48"/>
    <s v="万邦"/>
    <s v="加拿大海卡"/>
    <s v="YHM1"/>
    <x v="41"/>
    <s v="ANW-W 智能扩香仪 白色"/>
    <x v="10"/>
    <n v="4"/>
    <n v="58.4"/>
    <s v="重量收费"/>
    <n v="6"/>
    <n v="250"/>
    <n v="100"/>
    <n v="450.4"/>
    <n v="9.3833333333333329"/>
    <n v="1.4004975124378107"/>
    <m/>
    <m/>
    <m/>
    <x v="1"/>
    <d v="2026-02-25T00:00:00"/>
    <m/>
    <n v="0"/>
    <n v="0"/>
    <d v="2026-03-08T00:00:00"/>
    <n v="51"/>
    <d v="2026-03-29T00:00:00"/>
    <n v="48"/>
    <n v="21"/>
    <m/>
    <m/>
    <m/>
    <m/>
  </r>
  <r>
    <m/>
    <s v="W03005"/>
    <s v="FBA195TQGKS4"/>
    <s v="V-US"/>
    <x v="0"/>
    <s v="ANAKIT-B_US_2X100K03"/>
    <n v="660"/>
    <s v="万邦"/>
    <s v="盐田海卡"/>
    <s v="GEU3"/>
    <x v="42"/>
    <s v="ANAKIT-B_US_2X100K03 ANA黑色机器+2X100mL酒店香氛油（天竺） 机油套装"/>
    <x v="9"/>
    <n v="55"/>
    <n v="956.18243243243251"/>
    <s v="重量收费"/>
    <n v="3.9"/>
    <m/>
    <n v="50.738007380073803"/>
    <n v="3779.8494938665604"/>
    <n v="5.7270446876766066"/>
    <n v="0.85478278920546369"/>
    <m/>
    <m/>
    <m/>
    <x v="1"/>
    <d v="2026-02-07T00:00:00"/>
    <m/>
    <n v="0.49"/>
    <n v="323.39999999999998"/>
    <d v="2026-02-17T00:00:00"/>
    <n v="32"/>
    <d v="2026-03-25T00:00:00"/>
    <n v="660"/>
    <n v="36"/>
    <m/>
    <m/>
    <m/>
    <m/>
  </r>
  <r>
    <m/>
    <s v="W03005"/>
    <s v="FBA195TQGKS4"/>
    <s v="V-US"/>
    <x v="0"/>
    <s v="ANAKIT-WH_US_2X100K03"/>
    <n v="660"/>
    <s v="万邦"/>
    <s v="盐田海卡"/>
    <s v="GEU3"/>
    <x v="43"/>
    <s v="ANAKIT-WH_US_2X100K03 ANA白色机器+2X100mL酒店香氛油（天竺） 机油套装"/>
    <x v="9"/>
    <n v="55"/>
    <n v="956.18243243243251"/>
    <s v="重量收费"/>
    <n v="3.9"/>
    <m/>
    <n v="50.738007380073803"/>
    <n v="3779.8494938665604"/>
    <n v="5.7270446876766066"/>
    <n v="0.85478278920546369"/>
    <m/>
    <m/>
    <m/>
    <x v="1"/>
    <d v="2026-02-07T00:00:00"/>
    <m/>
    <n v="0.49"/>
    <n v="323.39999999999998"/>
    <d v="2026-02-17T00:00:00"/>
    <n v="32"/>
    <d v="2026-03-25T00:00:00"/>
    <n v="660"/>
    <n v="36"/>
    <m/>
    <m/>
    <m/>
    <m/>
  </r>
  <r>
    <m/>
    <s v="W03005"/>
    <s v="FBA195TQGKS4"/>
    <s v="V-US"/>
    <x v="0"/>
    <s v="ANWKIT-WH_US_2X100K03"/>
    <n v="456"/>
    <s v="万邦"/>
    <s v="盐田海卡"/>
    <s v="GEU3"/>
    <x v="44"/>
    <s v="ANWKIT-WH_US_2X100K03 ANW白色机器+2X100mL酒店香氛油（天竺） 机油套装"/>
    <x v="10"/>
    <n v="38"/>
    <n v="660.63513513513522"/>
    <s v="重量收费"/>
    <n v="3.9"/>
    <m/>
    <n v="35.055350553505534"/>
    <n v="2611.5323775805327"/>
    <n v="5.7270446876766066"/>
    <n v="0.85478278920546369"/>
    <m/>
    <m/>
    <m/>
    <x v="1"/>
    <d v="2026-02-07T00:00:00"/>
    <m/>
    <n v="0.49"/>
    <n v="223.44"/>
    <d v="2026-02-17T00:00:00"/>
    <n v="32"/>
    <d v="2026-03-25T00:00:00"/>
    <n v="454"/>
    <n v="36"/>
    <m/>
    <m/>
    <m/>
    <m/>
  </r>
  <r>
    <m/>
    <s v="W03001"/>
    <s v="FBA195WSLNLM"/>
    <s v="E-US"/>
    <x v="0"/>
    <s v="HOTEL6KIT1-6X10K01"/>
    <n v="532"/>
    <s v="积米"/>
    <s v="以星海卡"/>
    <s v="GEU5"/>
    <x v="45"/>
    <s v="HOTEL6KIT1-6X10K01 酒店香氛油6款10mL套装"/>
    <x v="11"/>
    <n v="7"/>
    <n v="152"/>
    <s v="重量收费"/>
    <n v="6.5"/>
    <n v="350"/>
    <n v="350"/>
    <n v="1338"/>
    <n v="2.5150375939849625"/>
    <n v="0.37537874537088994"/>
    <m/>
    <m/>
    <m/>
    <x v="1"/>
    <d v="2026-02-10T00:00:00"/>
    <m/>
    <n v="0.33999999999999997"/>
    <n v="180.88"/>
    <d v="2026-02-22T00:00:00"/>
    <n v="37"/>
    <d v="2026-03-25T00:00:00"/>
    <n v="528"/>
    <n v="31"/>
    <m/>
    <m/>
    <m/>
    <m/>
  </r>
  <r>
    <m/>
    <s v="买单报关"/>
    <s v="FBA195X3NXZ7"/>
    <s v="V-US"/>
    <x v="0"/>
    <s v="006000024"/>
    <n v="1260"/>
    <s v="积米"/>
    <s v="盐田海卡"/>
    <s v="QXY8"/>
    <x v="46"/>
    <s v="A-Ritz Carlton Hotel 3-100 丽思卡尔顿酒店3香氛油100mL"/>
    <x v="11"/>
    <n v="14"/>
    <n v="286.58999999999997"/>
    <s v="重量收费"/>
    <n v="5.6"/>
    <n v="350"/>
    <m/>
    <n v="1604.9039999999998"/>
    <n v="1.2737333333333332"/>
    <n v="0.19010945273631838"/>
    <m/>
    <m/>
    <m/>
    <x v="1"/>
    <d v="2026-02-05T00:00:00"/>
    <m/>
    <n v="0.33999999999999997"/>
    <n v="428.4"/>
    <d v="2026-03-12T00:00:00"/>
    <n v="55"/>
    <d v="2026-04-11T00:00:00"/>
    <m/>
    <n v="30"/>
    <m/>
    <m/>
    <m/>
    <m/>
  </r>
  <r>
    <m/>
    <s v="买单报关"/>
    <s v="FBA195X3FRY0"/>
    <s v="E-US"/>
    <x v="0"/>
    <s v="BCRT1-100ML"/>
    <n v="90"/>
    <s v="积米"/>
    <s v="盐田海卡"/>
    <s v="QXY8"/>
    <x v="47"/>
    <s v="BCRT1-100ML 巴卡拉酒店香氛油100mL"/>
    <x v="11"/>
    <n v="1"/>
    <n v="20.470500000000001"/>
    <s v="重量收费"/>
    <n v="5.6"/>
    <m/>
    <m/>
    <n v="114.6348"/>
    <n v="1.27372"/>
    <n v="0.19010746268656714"/>
    <m/>
    <m/>
    <m/>
    <x v="1"/>
    <d v="2026-02-05T00:00:00"/>
    <m/>
    <n v="0.34"/>
    <n v="30.6"/>
    <d v="2026-03-12T00:00:00"/>
    <n v="55"/>
    <d v="2026-04-12T00:00:00"/>
    <m/>
    <n v="31"/>
    <m/>
    <m/>
    <m/>
    <m/>
  </r>
  <r>
    <m/>
    <s v="买单报关"/>
    <s v="FBA195X3FRY0"/>
    <s v="E-US"/>
    <x v="0"/>
    <s v="BLG1-100ML"/>
    <n v="90"/>
    <s v="积米"/>
    <s v="盐田海卡"/>
    <s v="QXY8"/>
    <x v="48"/>
    <s v="BLG1-100ML 百乐宫酒店香氛油100mL"/>
    <x v="11"/>
    <n v="1"/>
    <n v="20.470500000000001"/>
    <s v="重量收费"/>
    <n v="5.6"/>
    <m/>
    <m/>
    <n v="114.6348"/>
    <n v="1.27372"/>
    <n v="0.19010746268656714"/>
    <m/>
    <m/>
    <m/>
    <x v="1"/>
    <d v="2026-02-05T00:00:00"/>
    <m/>
    <n v="0.34"/>
    <n v="30.6"/>
    <d v="2026-03-12T00:00:00"/>
    <n v="55"/>
    <d v="2026-04-12T00:00:00"/>
    <m/>
    <n v="31"/>
    <m/>
    <m/>
    <m/>
    <m/>
  </r>
  <r>
    <s v="备注第3至第16箱，单独报关"/>
    <s v="W03002"/>
    <s v="FBA195X3FRY0"/>
    <s v="E-US"/>
    <x v="0"/>
    <s v="HOTEL6KIT1-6X10K01"/>
    <n v="1064"/>
    <s v="积米"/>
    <s v="盐田海卡"/>
    <s v="QXY8"/>
    <x v="45"/>
    <s v="HOTEL6KIT1-6X10K01 酒店香氛油6款10mL套装"/>
    <x v="11"/>
    <n v="14"/>
    <n v="286.58699999999999"/>
    <s v="重量收费"/>
    <n v="5.6"/>
    <n v="350"/>
    <n v="350"/>
    <n v="1954.8871999999999"/>
    <n v="1.8372999999999999"/>
    <n v="0.27422388059701491"/>
    <m/>
    <m/>
    <m/>
    <x v="1"/>
    <d v="2026-02-05T00:00:00"/>
    <m/>
    <n v="0.34"/>
    <n v="361.76000000000005"/>
    <d v="2026-03-12T00:00:00"/>
    <n v="55"/>
    <d v="2026-04-12T00:00:00"/>
    <m/>
    <n v="31"/>
    <m/>
    <m/>
    <m/>
    <m/>
  </r>
  <r>
    <m/>
    <s v="买单报关"/>
    <s v="FBA195X3FRY0"/>
    <s v="E-US"/>
    <x v="0"/>
    <s v="JY-100ML"/>
    <n v="90"/>
    <s v="积米"/>
    <s v="盐田海卡"/>
    <s v="QXY8"/>
    <x v="49"/>
    <s v="A-Grand Hyatt Hotel-100 君悦酒店香氛油100mL"/>
    <x v="11"/>
    <n v="1"/>
    <n v="20.470500000000001"/>
    <s v="重量收费"/>
    <n v="5.6"/>
    <n v="350"/>
    <m/>
    <n v="114.6348"/>
    <n v="1.27372"/>
    <n v="0.19010746268656714"/>
    <m/>
    <m/>
    <m/>
    <x v="1"/>
    <d v="2026-02-05T00:00:00"/>
    <m/>
    <n v="0.34"/>
    <n v="30.6"/>
    <d v="2026-03-12T00:00:00"/>
    <n v="55"/>
    <d v="2026-04-12T00:00:00"/>
    <m/>
    <n v="31"/>
    <m/>
    <m/>
    <m/>
    <m/>
  </r>
  <r>
    <m/>
    <s v="买单报关"/>
    <s v="FBA195X3FRY0"/>
    <s v="E-US"/>
    <x v="0"/>
    <s v="MWAY1-100ML"/>
    <n v="180"/>
    <s v="积米"/>
    <s v="盐田海卡"/>
    <s v="QXY8"/>
    <x v="50"/>
    <s v="A-MWAY Deluxe-100 特定香型香氛油100mL"/>
    <x v="11"/>
    <n v="2"/>
    <n v="40.941000000000003"/>
    <s v="重量收费"/>
    <n v="5.6"/>
    <m/>
    <m/>
    <n v="229.2696"/>
    <n v="1.27372"/>
    <n v="0.19010746268656714"/>
    <m/>
    <m/>
    <m/>
    <x v="1"/>
    <d v="2026-02-05T00:00:00"/>
    <m/>
    <n v="0.34"/>
    <n v="61.2"/>
    <d v="2026-03-12T00:00:00"/>
    <n v="55"/>
    <d v="2026-04-12T00:00:00"/>
    <m/>
    <n v="31"/>
    <m/>
    <m/>
    <m/>
    <m/>
  </r>
  <r>
    <m/>
    <s v="买单报关"/>
    <s v="FBA195X3FRY0"/>
    <s v="E-US"/>
    <x v="0"/>
    <s v="WST1-100ML"/>
    <n v="90"/>
    <s v="积米"/>
    <s v="盐田海卡"/>
    <s v="QXY8"/>
    <x v="51"/>
    <s v="WST1-100ML 威斯汀2酒店香氛油100mL"/>
    <x v="11"/>
    <n v="1"/>
    <n v="20.470500000000001"/>
    <s v="重量收费"/>
    <n v="5.6"/>
    <m/>
    <m/>
    <n v="114.6348"/>
    <n v="1.27372"/>
    <n v="0.19010746268656714"/>
    <m/>
    <m/>
    <m/>
    <x v="1"/>
    <d v="2026-02-05T00:00:00"/>
    <m/>
    <n v="0.34"/>
    <n v="30.6"/>
    <d v="2026-03-12T00:00:00"/>
    <n v="55"/>
    <d v="2026-04-12T00:00:00"/>
    <m/>
    <n v="31"/>
    <m/>
    <m/>
    <m/>
    <m/>
  </r>
  <r>
    <m/>
    <s v="W04003"/>
    <s v="FBA1967GPG1X"/>
    <s v="E-US"/>
    <x v="0"/>
    <s v="001000053"/>
    <n v="128"/>
    <s v="嘀嗒嘀"/>
    <s v="盐田海卡"/>
    <s v="QXY8"/>
    <x v="52"/>
    <s v="ANX-2PC-BB 便携式扩香仪套装 黑+黑"/>
    <x v="1"/>
    <n v="8"/>
    <n v="106.57627118644068"/>
    <s v="重量收费"/>
    <n v="3.4"/>
    <n v="200"/>
    <n v="10.884353741496598"/>
    <n v="373.24367577539493"/>
    <n v="2.9159662169952729"/>
    <n v="0.43521883835750341"/>
    <m/>
    <m/>
    <m/>
    <x v="2"/>
    <d v="2026-02-14T00:00:00"/>
    <m/>
    <n v="0.35943907156673116"/>
    <n v="46.008201160541589"/>
    <d v="2026-02-24T00:00:00"/>
    <n v="32"/>
    <d v="2026-03-26T00:00:00"/>
    <n v="128"/>
    <n v="30"/>
    <m/>
    <m/>
    <m/>
    <m/>
  </r>
  <r>
    <m/>
    <s v="W04003"/>
    <s v="FBA1967GPG1X"/>
    <s v="E-US"/>
    <x v="0"/>
    <s v="001000045"/>
    <n v="300"/>
    <s v="嘀嗒嘀"/>
    <s v="盐田海卡"/>
    <s v="QXY8"/>
    <x v="1"/>
    <s v="ANX-B 便携式扩香仪 黑色"/>
    <x v="1"/>
    <n v="10"/>
    <n v="133.22033898305085"/>
    <s v="重量收费"/>
    <n v="3.4"/>
    <n v="200"/>
    <n v="13.605442176870747"/>
    <n v="466.5545947192436"/>
    <n v="1.5551819823974786"/>
    <n v="0.23211671379066845"/>
    <m/>
    <m/>
    <m/>
    <x v="2"/>
    <d v="2026-02-14T00:00:00"/>
    <m/>
    <n v="0.35943907156673116"/>
    <n v="107.83172147001935"/>
    <d v="2026-02-24T00:00:00"/>
    <n v="32"/>
    <d v="2026-03-26T00:00:00"/>
    <n v="300"/>
    <n v="30"/>
    <m/>
    <m/>
    <m/>
    <m/>
  </r>
  <r>
    <m/>
    <s v="W04003"/>
    <s v="FBA1967GPG1X"/>
    <s v="E-US"/>
    <x v="0"/>
    <s v="ANZ-B"/>
    <n v="1200"/>
    <s v="嘀嗒嘀"/>
    <s v="盐田海卡"/>
    <s v="QXY8"/>
    <x v="0"/>
    <s v="ANZ-B 便携式扩香仪 黑色"/>
    <x v="0"/>
    <n v="30"/>
    <n v="399.66101694915255"/>
    <s v="重量收费"/>
    <n v="3.4"/>
    <m/>
    <n v="40.816326530612244"/>
    <n v="1399.663784157731"/>
    <n v="1.1663864867981091"/>
    <n v="0.17408753534300134"/>
    <m/>
    <m/>
    <m/>
    <x v="2"/>
    <d v="2026-02-14T00:00:00"/>
    <m/>
    <n v="0.35943907156673116"/>
    <n v="431.32688588007738"/>
    <d v="2026-02-24T00:00:00"/>
    <n v="32"/>
    <d v="2026-03-26T00:00:00"/>
    <n v="1198"/>
    <n v="30"/>
    <m/>
    <m/>
    <m/>
    <m/>
  </r>
  <r>
    <m/>
    <s v="W04003"/>
    <s v="FBA1967GPG1X"/>
    <s v="E-US"/>
    <x v="0"/>
    <s v="ANZ-WH"/>
    <n v="440"/>
    <s v="嘀嗒嘀"/>
    <s v="盐田海卡"/>
    <s v="QXY8"/>
    <x v="53"/>
    <s v="ANZ-WH 便携式扩香仪 白色"/>
    <x v="0"/>
    <n v="11"/>
    <n v="146.54237288135593"/>
    <s v="重量收费"/>
    <n v="3.4"/>
    <m/>
    <n v="14.965986394557824"/>
    <n v="513.21005419116796"/>
    <n v="1.1663864867981091"/>
    <n v="0.17408753534300134"/>
    <m/>
    <m/>
    <m/>
    <x v="2"/>
    <d v="2026-02-14T00:00:00"/>
    <m/>
    <n v="0.35943907156673116"/>
    <n v="158.15319148936172"/>
    <d v="2026-02-24T00:00:00"/>
    <n v="32"/>
    <d v="2026-03-26T00:00:00"/>
    <n v="437"/>
    <n v="30"/>
    <m/>
    <m/>
    <m/>
    <m/>
  </r>
  <r>
    <m/>
    <s v="W04005"/>
    <s v="FBA1967FNB50"/>
    <s v="E-US"/>
    <x v="0"/>
    <s v="ANZKIT-B_4X10K04_TZ"/>
    <n v="600"/>
    <s v="万邦"/>
    <s v="盐田海卡"/>
    <s v="TCY1"/>
    <x v="38"/>
    <s v="ANZKIT-B_4X10K04_TZ ANZ黑色机器+4x10mL酒店（天竺）香氛油 机油套装"/>
    <x v="0"/>
    <n v="20"/>
    <n v="319.62"/>
    <s v="重量收费"/>
    <n v="3.9"/>
    <n v="250"/>
    <n v="45.871559633027523"/>
    <n v="1292.3895596330276"/>
    <n v="2.1539825993883794"/>
    <n v="0.32148994020722083"/>
    <m/>
    <m/>
    <m/>
    <x v="2"/>
    <d v="2026-03-08T00:00:00"/>
    <m/>
    <n v="0.41"/>
    <n v="245.99999999999997"/>
    <d v="2026-03-20T00:00:00"/>
    <n v="56"/>
    <d v="2026-04-23T00:00:00"/>
    <m/>
    <n v="34"/>
    <m/>
    <m/>
    <m/>
    <m/>
  </r>
  <r>
    <m/>
    <s v="W04005"/>
    <s v="FBA196FDHR3M"/>
    <s v="V-US"/>
    <x v="0"/>
    <s v="ADXKIT-B_4X10K04_TZ"/>
    <n v="600"/>
    <s v="万邦"/>
    <s v="盐田海卡"/>
    <s v="TCY1"/>
    <x v="54"/>
    <s v="ADXKIT-B_4X10K04_TZ ADX黑色机器+4x10mL酒店（天竺）香氛油 机油套装"/>
    <x v="2"/>
    <n v="20"/>
    <n v="319.61971830985919"/>
    <s v="重量收费"/>
    <n v="3.9"/>
    <n v="250"/>
    <n v="45.871559633027523"/>
    <n v="1292.3884610414784"/>
    <n v="2.1539807684024641"/>
    <n v="0.32148966692574088"/>
    <m/>
    <m/>
    <m/>
    <x v="2"/>
    <d v="2026-03-08T00:00:00"/>
    <m/>
    <n v="0.44"/>
    <n v="264"/>
    <d v="2026-03-20T00:00:00"/>
    <n v="56"/>
    <d v="2026-04-23T00:00:00"/>
    <m/>
    <n v="34"/>
    <m/>
    <m/>
    <m/>
    <m/>
  </r>
  <r>
    <m/>
    <s v="W04005"/>
    <s v="FBA196FDHR3M"/>
    <s v="V-US"/>
    <x v="0"/>
    <s v="ADXKIT-DT_4X10K04_TZ"/>
    <n v="180"/>
    <s v="万邦"/>
    <s v="盐田海卡"/>
    <s v="TCY1"/>
    <x v="55"/>
    <s v="ADXKIT-DT_4X10K04_TZ AD钛色机器+4x10mL酒店（天竺）香氛油 机油套装"/>
    <x v="2"/>
    <n v="6"/>
    <n v="95.88591549295775"/>
    <s v="重量收费"/>
    <n v="3.9"/>
    <m/>
    <n v="13.761467889908257"/>
    <n v="387.7165383124435"/>
    <n v="2.1539807684024641"/>
    <n v="0.32148966692574088"/>
    <m/>
    <m/>
    <m/>
    <x v="2"/>
    <d v="2026-03-08T00:00:00"/>
    <m/>
    <n v="0.44"/>
    <n v="79.2"/>
    <d v="2026-03-20T00:00:00"/>
    <n v="56"/>
    <d v="2026-04-23T00:00:00"/>
    <m/>
    <n v="34"/>
    <m/>
    <m/>
    <m/>
    <m/>
  </r>
  <r>
    <m/>
    <s v="W04005"/>
    <s v="FBA196FDHR3M"/>
    <s v="V-US"/>
    <x v="0"/>
    <s v="AN6KIT-WH_SJ30ML_TZ"/>
    <n v="150"/>
    <s v="万邦"/>
    <s v="盐田海卡"/>
    <s v="TCY1"/>
    <x v="56"/>
    <s v="AN6KIT-WH_SJ30ML_TZ AN6白色机器+30mL四季酒店香氛油（天竺） 机油套装"/>
    <x v="3"/>
    <n v="5"/>
    <n v="79.904929577464799"/>
    <s v="重量收费"/>
    <n v="3.9"/>
    <m/>
    <n v="11.467889908256881"/>
    <n v="323.09711526036961"/>
    <n v="2.1539807684024641"/>
    <n v="0.32148966692574088"/>
    <m/>
    <m/>
    <m/>
    <x v="2"/>
    <d v="2026-03-08T00:00:00"/>
    <m/>
    <n v="0.44"/>
    <n v="66"/>
    <d v="2026-03-20T00:00:00"/>
    <n v="56"/>
    <d v="2026-04-23T00:00:00"/>
    <m/>
    <n v="34"/>
    <m/>
    <m/>
    <m/>
    <m/>
  </r>
  <r>
    <m/>
    <s v="W04005"/>
    <s v="FBA196FDHR3M"/>
    <s v="V-US"/>
    <x v="0"/>
    <s v="AN8KIT-B_2X20K03"/>
    <n v="600"/>
    <s v="万邦"/>
    <s v="盐田海卡"/>
    <s v="TCY1"/>
    <x v="57"/>
    <s v="AN8KIT-B_2X20K03 AN8黑色机器+2X20mL（天竺）酒店香氛油 机油套装"/>
    <x v="4"/>
    <n v="20"/>
    <n v="319.61971830985919"/>
    <s v="重量收费"/>
    <n v="3.9"/>
    <m/>
    <n v="45.871559633027523"/>
    <n v="1292.3884610414784"/>
    <n v="2.1539807684024641"/>
    <n v="0.32148966692574088"/>
    <m/>
    <m/>
    <m/>
    <x v="2"/>
    <d v="2026-03-08T00:00:00"/>
    <m/>
    <n v="0.44"/>
    <n v="264"/>
    <d v="2026-03-20T00:00:00"/>
    <n v="56"/>
    <d v="2026-04-23T00:00:00"/>
    <m/>
    <n v="34"/>
    <m/>
    <m/>
    <m/>
    <m/>
  </r>
  <r>
    <m/>
    <s v="W04005"/>
    <s v="FBA196FDHR3M"/>
    <s v="V-US"/>
    <x v="0"/>
    <s v="AN8KIT-B_4X10K01"/>
    <n v="300"/>
    <s v="万邦"/>
    <s v="盐田海卡"/>
    <s v="TCY1"/>
    <x v="10"/>
    <s v="AN8KIT-B_4X10K01 AN8黑色机器+4x10mL酒店香氛油 机油套装"/>
    <x v="4"/>
    <n v="10"/>
    <n v="159.8098591549296"/>
    <s v="重量收费"/>
    <n v="3.9"/>
    <m/>
    <n v="22.935779816513762"/>
    <n v="646.19423052073921"/>
    <n v="2.1539807684024641"/>
    <n v="0.32148966692574088"/>
    <m/>
    <m/>
    <m/>
    <x v="2"/>
    <d v="2026-03-08T00:00:00"/>
    <m/>
    <n v="0.44"/>
    <n v="132"/>
    <d v="2026-03-20T00:00:00"/>
    <n v="56"/>
    <d v="2026-04-23T00:00:00"/>
    <m/>
    <n v="34"/>
    <m/>
    <m/>
    <m/>
    <m/>
  </r>
  <r>
    <m/>
    <s v="W04005"/>
    <s v="FBA196FDHR3M"/>
    <s v="V-US"/>
    <x v="0"/>
    <s v="AN8KIT-B_4X10K02"/>
    <n v="300"/>
    <s v="万邦"/>
    <s v="盐田海卡"/>
    <s v="TCY1"/>
    <x v="11"/>
    <s v="AN8KIT-B_4X10K02 AN8黑色机器+4x10mL（天竺）香氛油 机油套装"/>
    <x v="4"/>
    <n v="10"/>
    <n v="159.8098591549296"/>
    <s v="重量收费"/>
    <n v="3.9"/>
    <m/>
    <n v="22.935779816513762"/>
    <n v="646.19423052073921"/>
    <n v="2.1539807684024641"/>
    <n v="0.32148966692574088"/>
    <m/>
    <m/>
    <m/>
    <x v="2"/>
    <d v="2026-03-08T00:00:00"/>
    <m/>
    <n v="0.44"/>
    <n v="132"/>
    <d v="2026-03-20T00:00:00"/>
    <n v="56"/>
    <d v="2026-04-23T00:00:00"/>
    <m/>
    <n v="34"/>
    <m/>
    <m/>
    <m/>
    <m/>
  </r>
  <r>
    <m/>
    <s v="W04005"/>
    <s v="FBA196FG6V2S"/>
    <s v="V-US"/>
    <x v="0"/>
    <s v="001000039"/>
    <n v="400"/>
    <s v="万邦"/>
    <s v="盐田海卡"/>
    <s v="TCY1"/>
    <x v="35"/>
    <s v="AN6-GL 便携式扩香仪 翠百合色"/>
    <x v="3"/>
    <n v="10"/>
    <n v="159.80714285714285"/>
    <s v="重量收费"/>
    <n v="3.9"/>
    <m/>
    <n v="22.935779816513762"/>
    <n v="646.18363695937092"/>
    <n v="1.6154590923984273"/>
    <n v="0.2411132973728996"/>
    <m/>
    <m/>
    <m/>
    <x v="2"/>
    <d v="2026-03-08T00:00:00"/>
    <m/>
    <n v="0.37846153846153846"/>
    <n v="151.38461538461539"/>
    <d v="2026-03-20T00:00:00"/>
    <n v="56"/>
    <d v="2026-04-23T00:00:00"/>
    <m/>
    <n v="34"/>
    <m/>
    <m/>
    <m/>
    <m/>
  </r>
  <r>
    <m/>
    <s v="W04005"/>
    <s v="FBA196FG6V2S"/>
    <s v="V-US"/>
    <x v="0"/>
    <s v="AND-LV"/>
    <n v="60"/>
    <s v="万邦"/>
    <s v="盐田海卡"/>
    <s v="TCY1"/>
    <x v="58"/>
    <s v="AND-LV 便携式双喷扩香仪 薰衣草色"/>
    <x v="5"/>
    <n v="2"/>
    <n v="31.96142857142857"/>
    <s v="重量收费"/>
    <n v="3.9"/>
    <m/>
    <n v="4.5871559633027523"/>
    <n v="129.23672739187418"/>
    <n v="2.1539454565312366"/>
    <n v="0.32148439649719951"/>
    <m/>
    <m/>
    <m/>
    <x v="2"/>
    <d v="2026-03-08T00:00:00"/>
    <m/>
    <n v="0.37846153846153846"/>
    <n v="22.707692307692309"/>
    <d v="2026-03-20T00:00:00"/>
    <n v="56"/>
    <d v="2026-04-23T00:00:00"/>
    <m/>
    <n v="34"/>
    <m/>
    <m/>
    <m/>
    <m/>
  </r>
  <r>
    <m/>
    <s v="W04005"/>
    <s v="FBA196FG6V2S"/>
    <s v="V-US"/>
    <x v="0"/>
    <s v="AND-MT"/>
    <n v="60"/>
    <s v="万邦"/>
    <s v="盐田海卡"/>
    <s v="TCY1"/>
    <x v="59"/>
    <s v="AND-MT 便携式双喷扩香仪 薄荷绿色"/>
    <x v="5"/>
    <n v="2"/>
    <n v="31.96142857142857"/>
    <s v="重量收费"/>
    <n v="3.9"/>
    <m/>
    <n v="4.5871559633027523"/>
    <n v="129.23672739187418"/>
    <n v="2.1539454565312366"/>
    <n v="0.32148439649719951"/>
    <m/>
    <m/>
    <m/>
    <x v="2"/>
    <d v="2026-03-08T00:00:00"/>
    <m/>
    <n v="0.37846153846153846"/>
    <n v="22.707692307692309"/>
    <d v="2026-03-20T00:00:00"/>
    <n v="56"/>
    <d v="2026-04-23T00:00:00"/>
    <m/>
    <n v="34"/>
    <m/>
    <m/>
    <m/>
    <m/>
  </r>
  <r>
    <m/>
    <s v="W04005"/>
    <s v="FBA196866S65"/>
    <s v="A-US"/>
    <x v="0"/>
    <s v="ANZKIT-B_HILTON30ML"/>
    <n v="120"/>
    <s v="万邦"/>
    <s v="盐田海卡"/>
    <s v="TCY2"/>
    <x v="22"/>
    <s v="ANZKIT-B_HILTON30ML ANZ黑色机器+30mL希尔顿酒店香氛油（天竺） 机油套装"/>
    <x v="0"/>
    <n v="4"/>
    <n v="56"/>
    <s v="重量收费"/>
    <n v="3.9"/>
    <m/>
    <n v="9.1743119266055047"/>
    <n v="227.5743119266055"/>
    <n v="1.8964525993883792"/>
    <n v="0.28305262677438492"/>
    <m/>
    <m/>
    <m/>
    <x v="2"/>
    <d v="2026-03-08T00:00:00"/>
    <m/>
    <n v="0.44"/>
    <n v="52.8"/>
    <d v="2026-03-21T00:00:00"/>
    <n v="57"/>
    <d v="2026-04-21T00:00:00"/>
    <m/>
    <n v="31"/>
    <m/>
    <m/>
    <m/>
    <m/>
  </r>
  <r>
    <m/>
    <s v="W04004"/>
    <s v="FBA1969SRVSY"/>
    <s v="V-CA"/>
    <x v="3"/>
    <s v="001000019"/>
    <n v="240"/>
    <s v="嘀嗒嘀"/>
    <s v="加拿大海卡"/>
    <s v="YOW3"/>
    <x v="17"/>
    <s v="AN6-B 便携式扩香仪 黑色"/>
    <x v="3"/>
    <n v="6"/>
    <n v="83"/>
    <s v="重量收费"/>
    <n v="6"/>
    <n v="200"/>
    <n v="34.285714285714285"/>
    <n v="532.28571428571433"/>
    <n v="2.217857142857143"/>
    <n v="0.3310234541577825"/>
    <m/>
    <m/>
    <m/>
    <x v="2"/>
    <d v="2026-03-12T00:00:00"/>
    <m/>
    <n v="0"/>
    <n v="0"/>
    <d v="2026-03-14T00:00:00"/>
    <n v="50"/>
    <d v="2026-04-01T00:00:00"/>
    <n v="240"/>
    <n v="18"/>
    <m/>
    <m/>
    <m/>
    <m/>
  </r>
  <r>
    <m/>
    <s v="买单报关"/>
    <s v="FBA196837WL2"/>
    <s v="V-US"/>
    <x v="0"/>
    <s v="006000024"/>
    <n v="720"/>
    <s v="积米"/>
    <s v="盐田海卡"/>
    <s v="TCY1"/>
    <x v="46"/>
    <s v="A-Ritz Carlton Hotel 3-100 丽思卡尔顿酒店3香氛油100mL"/>
    <x v="11"/>
    <n v="8"/>
    <n v="157"/>
    <s v="重量收费"/>
    <n v="5.3"/>
    <m/>
    <m/>
    <n v="832.1"/>
    <n v="1.1556944444444446"/>
    <n v="0.17249170812603651"/>
    <m/>
    <m/>
    <m/>
    <x v="2"/>
    <d v="2026-02-12T00:00:00"/>
    <m/>
    <n v="0.36"/>
    <n v="259.2"/>
    <d v="2026-02-28T00:00:00"/>
    <n v="36"/>
    <d v="2026-03-28T00:00:00"/>
    <n v="717"/>
    <n v="28"/>
    <m/>
    <m/>
    <m/>
    <m/>
  </r>
  <r>
    <m/>
    <s v="W04002"/>
    <s v="FBA19683VMP8"/>
    <s v="V-US"/>
    <x v="0"/>
    <s v="006000024"/>
    <n v="1890"/>
    <s v="天盛"/>
    <s v="盐田海卡"/>
    <s v="GEU3"/>
    <x v="46"/>
    <s v="A-Ritz Carlton Hotel 3-100 丽思卡尔顿酒店3香氛油100mL"/>
    <x v="11"/>
    <n v="21"/>
    <n v="1.0828125"/>
    <s v="CBM收费"/>
    <n v="1150"/>
    <n v="190.8"/>
    <n v="125.21250000000001"/>
    <n v="1370.4468750000001"/>
    <n v="0.72510416666666666"/>
    <n v="0.10822450248756219"/>
    <m/>
    <m/>
    <m/>
    <x v="2"/>
    <d v="2026-02-10T00:00:00"/>
    <m/>
    <n v="0.36402010050251254"/>
    <n v="687.99798994974867"/>
    <d v="2026-02-27T00:00:00"/>
    <n v="35"/>
    <d v="2026-03-30T00:00:00"/>
    <n v="1889"/>
    <n v="31"/>
    <m/>
    <m/>
    <m/>
    <m/>
  </r>
  <r>
    <m/>
    <s v="W04002"/>
    <s v="FBA19683VMP8"/>
    <s v="V-US"/>
    <x v="0"/>
    <s v="RZ-500ML"/>
    <n v="100"/>
    <s v="天盛"/>
    <s v="盐田海卡"/>
    <s v="GEU3"/>
    <x v="60"/>
    <s v="RZ-500ML 丽思卡尔顿酒店3香氛油500mL"/>
    <x v="11"/>
    <n v="5"/>
    <n v="0.2578125"/>
    <s v="CBM收费"/>
    <n v="1150"/>
    <n v="190.8"/>
    <n v="29.8125"/>
    <n v="326.296875"/>
    <n v="3.2629687500000002"/>
    <n v="0.48701026119402985"/>
    <m/>
    <m/>
    <m/>
    <x v="2"/>
    <d v="2026-02-10T00:00:00"/>
    <m/>
    <n v="0.36402010050251254"/>
    <n v="36.402010050251256"/>
    <d v="2026-02-27T00:00:00"/>
    <n v="35"/>
    <d v="2026-03-30T00:00:00"/>
    <n v="100"/>
    <n v="31"/>
    <m/>
    <m/>
    <m/>
    <m/>
  </r>
  <r>
    <m/>
    <s v="W04002"/>
    <s v="FBA19682VZWD"/>
    <s v="E-US"/>
    <x v="0"/>
    <s v="HOTEL6KIT1-6X10K01"/>
    <n v="304"/>
    <s v="天盛"/>
    <s v="盐田海卡"/>
    <s v="GEU3"/>
    <x v="45"/>
    <s v="HOTEL6KIT1-6X10K01 酒店香氛油6款10mL套装"/>
    <x v="11"/>
    <n v="4"/>
    <n v="0.20624999999999999"/>
    <s v="CBM收费"/>
    <n v="1150"/>
    <m/>
    <n v="23.85"/>
    <n v="261.03750000000002"/>
    <n v="0.85867598684210533"/>
    <n v="0.12816059505106051"/>
    <m/>
    <m/>
    <m/>
    <x v="2"/>
    <d v="2026-02-10T00:00:00"/>
    <m/>
    <n v="0.36000000000000004"/>
    <n v="109.44000000000001"/>
    <d v="2026-02-19T00:00:00"/>
    <n v="27"/>
    <d v="2026-03-30T00:00:00"/>
    <n v="306"/>
    <n v="39"/>
    <m/>
    <m/>
    <m/>
    <m/>
  </r>
  <r>
    <m/>
    <s v="W04002"/>
    <s v="FBA19682VZWD"/>
    <s v="E-US"/>
    <x v="0"/>
    <s v="JY-100ML"/>
    <n v="180"/>
    <s v="天盛"/>
    <s v="盐田海卡"/>
    <s v="GEU3"/>
    <x v="49"/>
    <s v="A-Grand Hyatt Hotel-100 君悦酒店香氛油100mL"/>
    <x v="11"/>
    <n v="2"/>
    <n v="0.10312499999999999"/>
    <s v="CBM收费"/>
    <n v="1150"/>
    <m/>
    <n v="11.925000000000001"/>
    <n v="130.51875000000001"/>
    <n v="0.72510416666666677"/>
    <n v="0.1082245024875622"/>
    <m/>
    <m/>
    <m/>
    <x v="2"/>
    <d v="2026-02-10T00:00:00"/>
    <m/>
    <n v="0.36000000000000004"/>
    <n v="64.800000000000011"/>
    <d v="2026-02-19T00:00:00"/>
    <n v="27"/>
    <d v="2026-03-30T00:00:00"/>
    <n v="179"/>
    <n v="39"/>
    <m/>
    <m/>
    <m/>
    <m/>
  </r>
  <r>
    <m/>
    <s v="买单报关"/>
    <s v="FBA1968392KJ"/>
    <s v="V-US"/>
    <x v="0"/>
    <s v="HILTON1-100ML_TZ"/>
    <n v="576"/>
    <s v="积米"/>
    <s v="盐田海卡"/>
    <s v="GEU3"/>
    <x v="61"/>
    <s v="HILTON1-100ML_TZ 希尔顿酒店100mL香氛油（天竺） 销售包装"/>
    <x v="6"/>
    <n v="9"/>
    <n v="130"/>
    <s v="重量收费"/>
    <n v="5.3"/>
    <m/>
    <m/>
    <n v="689"/>
    <n v="1.1961805555555556"/>
    <n v="0.17853441127694858"/>
    <m/>
    <m/>
    <m/>
    <x v="2"/>
    <d v="2026-02-12T00:00:00"/>
    <m/>
    <n v="0.36000000000000004"/>
    <n v="207.36"/>
    <d v="2026-02-26T00:00:00"/>
    <n v="34"/>
    <d v="2026-03-28T00:00:00"/>
    <n v="574"/>
    <n v="30"/>
    <m/>
    <m/>
    <m/>
    <m/>
  </r>
  <r>
    <m/>
    <s v="W04001"/>
    <s v="FBA19686T54K"/>
    <s v="E-US"/>
    <x v="0"/>
    <s v="BCRT1-100ML_TZ"/>
    <n v="384"/>
    <s v="积米"/>
    <s v="盐田海卡"/>
    <s v="TCY1"/>
    <x v="62"/>
    <s v="BCRT1-100ML_TZ 巴卡拉酒店100mL香氛油（天竺） 销售包装"/>
    <x v="6"/>
    <n v="6"/>
    <n v="86.84210526315789"/>
    <s v="重量收费"/>
    <n v="5.3"/>
    <n v="350"/>
    <n v="110.52631578947368"/>
    <n v="570.78947368421052"/>
    <n v="1.4864309210526316"/>
    <n v="0.22185536135113904"/>
    <m/>
    <m/>
    <m/>
    <x v="2"/>
    <d v="2026-02-12T00:00:00"/>
    <m/>
    <n v="0.36"/>
    <n v="138.24"/>
    <d v="2026-02-28T00:00:00"/>
    <n v="36"/>
    <d v="2026-03-29T00:00:00"/>
    <n v="384"/>
    <n v="29"/>
    <m/>
    <m/>
    <m/>
    <m/>
  </r>
  <r>
    <m/>
    <s v="W04001"/>
    <s v="FBA19686T54K"/>
    <s v="E-US"/>
    <x v="0"/>
    <s v="SJ1-100ML_TZ"/>
    <n v="576"/>
    <s v="积米"/>
    <s v="盐田海卡"/>
    <s v="TCY1"/>
    <x v="23"/>
    <s v="SJ1-100ML_TZ 四季酒店100mL香氛油（天竺） 销售包装"/>
    <x v="6"/>
    <n v="9"/>
    <n v="130.26315789473682"/>
    <s v="重量收费"/>
    <n v="5.3"/>
    <n v="350"/>
    <n v="165.78947368421052"/>
    <n v="856.18421052631561"/>
    <n v="1.4864309210526312"/>
    <n v="0.22185536135113898"/>
    <m/>
    <m/>
    <m/>
    <x v="2"/>
    <d v="2026-02-12T00:00:00"/>
    <m/>
    <n v="0.36"/>
    <n v="207.35999999999999"/>
    <d v="2026-02-28T00:00:00"/>
    <n v="36"/>
    <d v="2026-03-29T00:00:00"/>
    <n v="565"/>
    <n v="29"/>
    <m/>
    <m/>
    <m/>
    <m/>
  </r>
  <r>
    <m/>
    <s v="W04001"/>
    <s v="FBA19686T54K"/>
    <s v="E-US"/>
    <x v="0"/>
    <s v="W1-100ML_TZ"/>
    <n v="256"/>
    <s v="积米"/>
    <s v="盐田海卡"/>
    <s v="TCY1"/>
    <x v="24"/>
    <s v="W1-100ML_TZ W酒店100mL香氛油（天竺） 销售包装"/>
    <x v="6"/>
    <n v="4"/>
    <n v="57.89473684210526"/>
    <s v="重量收费"/>
    <n v="5.3"/>
    <m/>
    <n v="73.684210526315795"/>
    <n v="380.52631578947364"/>
    <n v="1.4864309210526314"/>
    <n v="0.22185536135113901"/>
    <m/>
    <m/>
    <m/>
    <x v="2"/>
    <d v="2026-02-12T00:00:00"/>
    <m/>
    <n v="0.36"/>
    <n v="92.16"/>
    <d v="2026-02-28T00:00:00"/>
    <n v="36"/>
    <d v="2026-03-29T00:00:00"/>
    <n v="254"/>
    <n v="29"/>
    <m/>
    <m/>
    <m/>
    <m/>
  </r>
  <r>
    <m/>
    <s v="W04003"/>
    <s v="FBA1967F889Z"/>
    <s v="W-US"/>
    <x v="0"/>
    <s v="G1-B"/>
    <n v="1088"/>
    <s v="嘀嗒嘀"/>
    <s v="盐田海卡"/>
    <s v="TCY1"/>
    <x v="63"/>
    <s v="G1-B 电子球形把手锁 黑色"/>
    <x v="12"/>
    <n v="68"/>
    <n v="911.81818181818176"/>
    <s v="重量收费"/>
    <n v="3.1"/>
    <m/>
    <n v="92.517006802721085"/>
    <n v="2919.1533704390845"/>
    <n v="2.6830453772418057"/>
    <n v="0.40045453391668739"/>
    <m/>
    <m/>
    <m/>
    <x v="2"/>
    <d v="2026-02-14T00:00:00"/>
    <m/>
    <n v="0.59022727272727271"/>
    <n v="642.16727272727269"/>
    <d v="2026-02-23T00:00:00"/>
    <n v="31"/>
    <d v="2026-04-25T00:00:00"/>
    <m/>
    <n v="61"/>
    <m/>
    <m/>
    <m/>
    <m/>
  </r>
  <r>
    <m/>
    <s v="W04003"/>
    <s v="FBA1967F889Z"/>
    <s v="W-US"/>
    <x v="0"/>
    <s v="G1-DT"/>
    <n v="160"/>
    <s v="嘀嗒嘀"/>
    <s v="盐田海卡"/>
    <s v="TCY1"/>
    <x v="64"/>
    <s v="G1-DT 电子球形把手锁 沙漠钛色"/>
    <x v="12"/>
    <n v="10"/>
    <n v="134.09090909090909"/>
    <s v="重量收费"/>
    <n v="3.1"/>
    <m/>
    <n v="13.605442176870747"/>
    <n v="429.28726035868891"/>
    <n v="2.6830453772418057"/>
    <n v="0.40045453391668739"/>
    <m/>
    <m/>
    <m/>
    <x v="2"/>
    <d v="2026-02-14T00:00:00"/>
    <m/>
    <n v="0.59022727272727271"/>
    <n v="94.436363636363637"/>
    <d v="2026-02-23T00:00:00"/>
    <n v="31"/>
    <d v="2026-04-25T00:00:00"/>
    <m/>
    <n v="61"/>
    <m/>
    <m/>
    <m/>
    <m/>
  </r>
  <r>
    <m/>
    <s v="W04003"/>
    <s v="FBA1967F889Z"/>
    <s v="W-US"/>
    <x v="0"/>
    <s v="G1-SILV"/>
    <n v="160"/>
    <s v="嘀嗒嘀"/>
    <s v="盐田海卡"/>
    <s v="TCY1"/>
    <x v="65"/>
    <s v="G1-SILV 电子球形把手锁 银色"/>
    <x v="12"/>
    <n v="10"/>
    <n v="134.09090909090909"/>
    <s v="重量收费"/>
    <n v="3.1"/>
    <m/>
    <n v="13.605442176870747"/>
    <n v="429.28726035868891"/>
    <n v="2.6830453772418057"/>
    <n v="0.40045453391668739"/>
    <m/>
    <m/>
    <m/>
    <x v="2"/>
    <d v="2026-02-14T00:00:00"/>
    <m/>
    <n v="0.59022727272727271"/>
    <n v="94.436363636363637"/>
    <d v="2026-02-23T00:00:00"/>
    <n v="31"/>
    <d v="2026-04-25T00:00:00"/>
    <m/>
    <n v="61"/>
    <m/>
    <m/>
    <m/>
    <m/>
  </r>
  <r>
    <m/>
    <s v="W04004"/>
    <s v="FBA1967XZYX3"/>
    <s v="A-CA"/>
    <x v="3"/>
    <s v="002000020"/>
    <n v="228"/>
    <s v="嘀嗒嘀"/>
    <s v="加拿大海卡"/>
    <s v="YHM1"/>
    <x v="66"/>
    <s v="H2-B 电子指纹球形把手锁-黑色"/>
    <x v="13"/>
    <n v="19"/>
    <n v="266.65517241379314"/>
    <s v="重量收费"/>
    <n v="6"/>
    <m/>
    <n v="108.57142857142857"/>
    <n v="1708.5024630541875"/>
    <n v="7.4934318555008224"/>
    <n v="1.1184226650001228"/>
    <m/>
    <m/>
    <m/>
    <x v="2"/>
    <d v="2026-03-12T00:00:00"/>
    <m/>
    <n v="0"/>
    <n v="0"/>
    <d v="2026-03-16T00:00:00"/>
    <n v="52"/>
    <d v="2026-03-26T00:00:00"/>
    <n v="227"/>
    <n v="10"/>
    <m/>
    <m/>
    <m/>
    <m/>
  </r>
  <r>
    <m/>
    <s v="W04004"/>
    <s v="FBA1967XZYX3"/>
    <s v="A-CA"/>
    <x v="3"/>
    <s v="002000023"/>
    <n v="120"/>
    <s v="嘀嗒嘀"/>
    <s v="加拿大海卡"/>
    <s v="YHM1"/>
    <x v="67"/>
    <s v="H2-SILV 电子指纹球形把手锁-银色"/>
    <x v="13"/>
    <n v="10"/>
    <n v="140.34482758620692"/>
    <s v="重量收费"/>
    <n v="6"/>
    <m/>
    <n v="57.142857142857146"/>
    <n v="899.21182266009862"/>
    <n v="7.4934318555008215"/>
    <n v="1.1184226650001226"/>
    <m/>
    <m/>
    <m/>
    <x v="2"/>
    <d v="2026-03-12T00:00:00"/>
    <m/>
    <n v="0"/>
    <n v="0"/>
    <d v="2026-03-16T00:00:00"/>
    <n v="52"/>
    <d v="2026-03-26T00:00:00"/>
    <n v="120"/>
    <n v="10"/>
    <m/>
    <m/>
    <m/>
    <m/>
  </r>
  <r>
    <m/>
    <s v="W05002"/>
    <s v="FBA15LCDDPG8"/>
    <s v="E-UK"/>
    <x v="2"/>
    <s v="001000019"/>
    <n v="440"/>
    <s v="嘀嗒嘀"/>
    <s v="英国海卡"/>
    <s v="BHX4"/>
    <x v="17"/>
    <s v="AN6-B 便携式扩香仪 黑色"/>
    <x v="3"/>
    <n v="11"/>
    <n v="0.52433333333333332"/>
    <s v="CBM收费"/>
    <n v="750"/>
    <n v="550"/>
    <n v="201.66666666666663"/>
    <n v="594.91666666666663"/>
    <n v="1.3520833333333333"/>
    <n v="0.20180348258706465"/>
    <m/>
    <m/>
    <s v="是"/>
    <x v="3"/>
    <d v="2026-03-13T00:00:00"/>
    <m/>
    <n v="0"/>
    <n v="0"/>
    <d v="2026-03-18T00:00:00"/>
    <n v="48"/>
    <d v="2026-04-02T00:00:00"/>
    <n v="440"/>
    <n v="15"/>
    <m/>
    <m/>
    <m/>
    <m/>
  </r>
  <r>
    <m/>
    <s v="W05002"/>
    <s v="FBA15LCDDPG8"/>
    <s v="E-UK"/>
    <x v="2"/>
    <s v="001000039"/>
    <n v="120"/>
    <s v="嘀嗒嘀"/>
    <s v="英国海卡"/>
    <s v="BHX4"/>
    <x v="35"/>
    <s v="AN6-GL 便携式扩香仪 翠百合色"/>
    <x v="3"/>
    <n v="3"/>
    <n v="0.14299999999999999"/>
    <s v="CBM收费"/>
    <n v="750"/>
    <n v="549.99999999999989"/>
    <n v="54.999999999999986"/>
    <n v="162.24999999999997"/>
    <n v="1.3520833333333331"/>
    <n v="0.20180348258706463"/>
    <m/>
    <m/>
    <s v="是"/>
    <x v="3"/>
    <d v="2026-03-13T00:00:00"/>
    <m/>
    <n v="0"/>
    <n v="0"/>
    <d v="2026-03-18T00:00:00"/>
    <n v="48"/>
    <d v="2026-04-02T00:00:00"/>
    <n v="120"/>
    <n v="15"/>
    <m/>
    <m/>
    <m/>
    <m/>
  </r>
  <r>
    <m/>
    <s v="W05002"/>
    <s v="FBA15LCDDPG8"/>
    <s v="E-UK"/>
    <x v="2"/>
    <s v="001000020"/>
    <n v="320"/>
    <s v="嘀嗒嘀"/>
    <s v="英国海卡"/>
    <s v="BHX4"/>
    <x v="18"/>
    <s v="AN6-W 便携式扩香仪 白色"/>
    <x v="3"/>
    <n v="8"/>
    <n v="0.3813333333333333"/>
    <s v="CBM收费"/>
    <n v="750"/>
    <m/>
    <n v="146.66666666666663"/>
    <n v="432.66666666666663"/>
    <n v="1.3520833333333333"/>
    <n v="0.20180348258706465"/>
    <m/>
    <m/>
    <s v="是"/>
    <x v="3"/>
    <d v="2026-03-13T00:00:00"/>
    <m/>
    <n v="0"/>
    <n v="0"/>
    <d v="2026-03-18T00:00:00"/>
    <n v="48"/>
    <d v="2026-04-02T00:00:00"/>
    <n v="320"/>
    <n v="15"/>
    <m/>
    <m/>
    <m/>
    <m/>
  </r>
  <r>
    <m/>
    <s v="W05002"/>
    <s v="FBA15LCDDPG8"/>
    <s v="E-UK"/>
    <x v="2"/>
    <s v="001000045"/>
    <n v="180"/>
    <s v="嘀嗒嘀"/>
    <s v="英国海卡"/>
    <s v="BHX4"/>
    <x v="1"/>
    <s v="ANX-B 便携式扩香仪 黑色"/>
    <x v="1"/>
    <n v="6"/>
    <n v="0.28599999999999998"/>
    <s v="CBM收费"/>
    <n v="750"/>
    <m/>
    <n v="109.99999999999997"/>
    <n v="324.49999999999994"/>
    <n v="1.8027777777777774"/>
    <n v="0.26907131011608615"/>
    <m/>
    <m/>
    <s v="是"/>
    <x v="3"/>
    <d v="2026-03-13T00:00:00"/>
    <m/>
    <n v="0"/>
    <n v="0"/>
    <d v="2026-03-18T00:00:00"/>
    <n v="48"/>
    <d v="2026-04-02T00:00:00"/>
    <n v="180"/>
    <n v="15"/>
    <m/>
    <m/>
    <m/>
    <m/>
  </r>
  <r>
    <m/>
    <s v="W05002"/>
    <s v="FBA15LCDDPG8"/>
    <s v="E-UK"/>
    <x v="2"/>
    <s v="001000052"/>
    <n v="60"/>
    <s v="嘀嗒嘀"/>
    <s v="英国海卡"/>
    <s v="BHX4"/>
    <x v="37"/>
    <s v="ANX-DT 便携式扩香仪 沙漠钛色"/>
    <x v="1"/>
    <n v="2"/>
    <n v="9.5333333333333325E-2"/>
    <s v="CBM收费"/>
    <n v="750"/>
    <m/>
    <n v="36.666666666666657"/>
    <n v="108.16666666666666"/>
    <n v="1.8027777777777776"/>
    <n v="0.2690713101160862"/>
    <m/>
    <m/>
    <s v="是"/>
    <x v="3"/>
    <d v="2026-03-13T00:00:00"/>
    <m/>
    <n v="0"/>
    <n v="0"/>
    <d v="2026-03-18T00:00:00"/>
    <n v="48"/>
    <d v="2026-04-02T00:00:00"/>
    <n v="60"/>
    <n v="15"/>
    <m/>
    <m/>
    <m/>
    <m/>
  </r>
  <r>
    <m/>
    <s v="W05012"/>
    <s v="FBA196P9L68R"/>
    <s v="V-US"/>
    <x v="0"/>
    <s v="ADXKIT-B_4X10K04_TZ"/>
    <n v="390"/>
    <s v="嘀嗒嘀"/>
    <s v="盐田海卡"/>
    <s v="TCY2"/>
    <x v="54"/>
    <s v="ADXKIT-B_4X10K04_TZ ADX黑色机器+4x10mL酒店（天竺）香氛油 机油套装"/>
    <x v="2"/>
    <n v="13"/>
    <n v="194.69"/>
    <s v="重量收费"/>
    <n v="3.9"/>
    <n v="200"/>
    <n v="11.403508771929825"/>
    <n v="770.6945087719298"/>
    <n v="1.9761397660818714"/>
    <n v="0.29494623374356288"/>
    <m/>
    <m/>
    <m/>
    <x v="3"/>
    <d v="2026-02-22T00:00:00"/>
    <m/>
    <n v="0.44"/>
    <n v="171.6"/>
    <d v="2026-03-03T00:00:00"/>
    <n v="33"/>
    <d v="2026-04-04T00:00:00"/>
    <n v="390"/>
    <n v="32"/>
    <m/>
    <m/>
    <m/>
    <m/>
  </r>
  <r>
    <m/>
    <s v="W05012"/>
    <s v="FBA196P93TMX"/>
    <s v="V-US"/>
    <x v="0"/>
    <s v="001000019"/>
    <n v="1000"/>
    <s v="嘀嗒嘀"/>
    <s v="盐田海卡"/>
    <s v="TCY2"/>
    <x v="17"/>
    <s v="AN6-B 便携式扩香仪 黑色"/>
    <x v="3"/>
    <n v="25"/>
    <n v="374.40517241379314"/>
    <s v="重量收费"/>
    <n v="3.9"/>
    <n v="199.99999999999997"/>
    <n v="21.92982456140351"/>
    <n v="1482.1099969751967"/>
    <n v="1.4821099969751967"/>
    <n v="0.22121044730973086"/>
    <m/>
    <m/>
    <m/>
    <x v="3"/>
    <d v="2026-02-22T00:00:00"/>
    <m/>
    <n v="0.36"/>
    <n v="360"/>
    <d v="2026-03-03T00:00:00"/>
    <n v="33"/>
    <d v="2026-04-07T00:00:00"/>
    <n v="1000"/>
    <n v="35"/>
    <m/>
    <m/>
    <m/>
    <m/>
  </r>
  <r>
    <m/>
    <s v="W05012"/>
    <s v="FBA196P93TMX"/>
    <s v="V-US"/>
    <x v="0"/>
    <s v="AN6-LV"/>
    <n v="120"/>
    <s v="嘀嗒嘀"/>
    <s v="盐田海卡"/>
    <s v="TCY2"/>
    <x v="68"/>
    <s v="AN6-LV 便携式扩香仪 薰衣草"/>
    <x v="3"/>
    <n v="3"/>
    <n v="44.928620689655176"/>
    <s v="重量收费"/>
    <n v="3.9"/>
    <m/>
    <n v="2.6315789473684212"/>
    <n v="177.85319963702361"/>
    <n v="1.4821099969751967"/>
    <n v="0.22121044730973086"/>
    <m/>
    <m/>
    <m/>
    <x v="3"/>
    <d v="2026-02-22T00:00:00"/>
    <m/>
    <n v="0.36"/>
    <n v="43.199999999999996"/>
    <d v="2026-03-03T00:00:00"/>
    <n v="33"/>
    <d v="2026-04-07T00:00:00"/>
    <n v="120"/>
    <n v="35"/>
    <m/>
    <m/>
    <m/>
    <m/>
  </r>
  <r>
    <m/>
    <s v="W05012"/>
    <s v="FBA196P93TMX"/>
    <s v="V-US"/>
    <x v="0"/>
    <s v="001000021"/>
    <n v="200"/>
    <s v="嘀嗒嘀"/>
    <s v="盐田海卡"/>
    <s v="TCY2"/>
    <x v="69"/>
    <s v="AN6NZ-B AN6喷嘴配件套装 黑色"/>
    <x v="14"/>
    <n v="1"/>
    <n v="14.976206896551725"/>
    <s v="重量收费"/>
    <n v="3.9"/>
    <m/>
    <n v="0.8771929824561403"/>
    <n v="59.284399879007864"/>
    <n v="0.29642199939503933"/>
    <n v="4.4242089461946167E-2"/>
    <m/>
    <m/>
    <m/>
    <x v="3"/>
    <d v="2026-02-22T00:00:00"/>
    <m/>
    <n v="0.36"/>
    <n v="72"/>
    <d v="2026-03-03T00:00:00"/>
    <n v="33"/>
    <d v="2026-04-07T00:00:00"/>
    <n v="198"/>
    <n v="35"/>
    <m/>
    <m/>
    <m/>
    <m/>
  </r>
  <r>
    <m/>
    <s v="W05012"/>
    <s v="FBA196PBJHGY"/>
    <s v="E-US"/>
    <x v="0"/>
    <s v="ANXKIT-B_4X10K04_TZ"/>
    <n v="300"/>
    <s v="嘀嗒嘀"/>
    <s v="盐田海卡"/>
    <s v="TCY1"/>
    <x v="70"/>
    <s v="ANXKIT-B_4X10K04_TZ ANX黑色机器+4x10mL酒店（天竺）香氛油 机油套装"/>
    <x v="1"/>
    <n v="10"/>
    <n v="145.7138888888889"/>
    <s v="重量收费"/>
    <n v="3.6"/>
    <m/>
    <n v="8.7719298245614041"/>
    <n v="533.34192982456148"/>
    <n v="1.7778064327485383"/>
    <n v="0.26534424369381171"/>
    <m/>
    <m/>
    <m/>
    <x v="3"/>
    <d v="2026-02-22T00:00:00"/>
    <m/>
    <n v="0.44"/>
    <n v="132"/>
    <d v="2026-03-02T00:00:00"/>
    <n v="32"/>
    <d v="2026-04-07T00:00:00"/>
    <n v="300"/>
    <n v="36"/>
    <m/>
    <m/>
    <m/>
    <m/>
  </r>
  <r>
    <m/>
    <s v="W05012"/>
    <s v="FBA196PBJHGY"/>
    <s v="E-US"/>
    <x v="0"/>
    <s v="ANXKIT-T_4X10K04_TZ"/>
    <n v="180"/>
    <s v="嘀嗒嘀"/>
    <s v="盐田海卡"/>
    <s v="TCY1"/>
    <x v="71"/>
    <s v="ANXKIT-T_4X10K04_TZ ANX钛色机器+4x10mL酒店（天竺）香氛油 机油套装"/>
    <x v="1"/>
    <n v="6"/>
    <n v="87.428333333333342"/>
    <s v="重量收费"/>
    <n v="3.6"/>
    <m/>
    <n v="5.2631578947368425"/>
    <n v="320.00515789473684"/>
    <n v="1.7778064327485379"/>
    <n v="0.2653442436938116"/>
    <m/>
    <m/>
    <m/>
    <x v="3"/>
    <d v="2026-02-22T00:00:00"/>
    <m/>
    <n v="0.44"/>
    <n v="79.2"/>
    <d v="2026-03-02T00:00:00"/>
    <n v="32"/>
    <d v="2026-04-07T00:00:00"/>
    <n v="180"/>
    <n v="36"/>
    <m/>
    <m/>
    <m/>
    <m/>
  </r>
  <r>
    <m/>
    <s v="W05012"/>
    <s v="FBA196PBJHGY"/>
    <s v="E-US"/>
    <x v="0"/>
    <s v="ANZKIT-B_4X10K04_TZ"/>
    <n v="600"/>
    <s v="嘀嗒嘀"/>
    <s v="盐田海卡"/>
    <s v="TCY1"/>
    <x v="38"/>
    <s v="ANZKIT-B_4X10K04_TZ ANZ黑色机器+4x10mL酒店（天竺）香氛油 机油套装"/>
    <x v="0"/>
    <n v="20"/>
    <n v="291.42777777777781"/>
    <s v="重量收费"/>
    <n v="3.6"/>
    <m/>
    <n v="17.543859649122808"/>
    <n v="1066.683859649123"/>
    <n v="1.7778064327485383"/>
    <n v="0.26534424369381171"/>
    <m/>
    <m/>
    <m/>
    <x v="3"/>
    <d v="2026-02-22T00:00:00"/>
    <m/>
    <n v="0.44"/>
    <n v="264"/>
    <d v="2026-03-02T00:00:00"/>
    <n v="32"/>
    <d v="2026-04-07T00:00:00"/>
    <n v="564"/>
    <n v="36"/>
    <m/>
    <m/>
    <m/>
    <m/>
  </r>
  <r>
    <m/>
    <s v="W05012"/>
    <s v="FBA196PD1BWG"/>
    <s v="E-US"/>
    <x v="0"/>
    <s v="001000045"/>
    <n v="510"/>
    <s v="嘀嗒嘀"/>
    <s v="盐田海卡"/>
    <s v="TCY1"/>
    <x v="1"/>
    <s v="ANX-B 便携式扩香仪 黑色"/>
    <x v="1"/>
    <n v="17"/>
    <n v="247.71463768115939"/>
    <s v="重量收费"/>
    <n v="3.6"/>
    <m/>
    <n v="14.912280701754385"/>
    <n v="906.68497635392828"/>
    <n v="1.7778136791253496"/>
    <n v="0.26534532524258947"/>
    <m/>
    <m/>
    <m/>
    <x v="3"/>
    <d v="2026-02-22T00:00:00"/>
    <m/>
    <n v="0.40734824281150162"/>
    <n v="207.74760383386581"/>
    <d v="2026-03-02T00:00:00"/>
    <n v="32"/>
    <d v="2026-04-05T00:00:00"/>
    <n v="512"/>
    <n v="34"/>
    <m/>
    <m/>
    <m/>
    <m/>
  </r>
  <r>
    <m/>
    <s v="W05012"/>
    <s v="FBA196PD1BWG"/>
    <s v="E-US"/>
    <x v="0"/>
    <s v="001000050"/>
    <n v="90"/>
    <s v="嘀嗒嘀"/>
    <s v="盐田海卡"/>
    <s v="TCY1"/>
    <x v="3"/>
    <s v="ANX-RP 便携式扩香仪 红粉色"/>
    <x v="1"/>
    <n v="3"/>
    <n v="43.71434782608695"/>
    <s v="重量收费"/>
    <n v="3.6"/>
    <m/>
    <n v="2.6315789473684212"/>
    <n v="160.00323112128143"/>
    <n v="1.7778136791253492"/>
    <n v="0.26534532524258941"/>
    <m/>
    <m/>
    <m/>
    <x v="3"/>
    <d v="2026-02-22T00:00:00"/>
    <m/>
    <n v="0.40734824281150162"/>
    <n v="36.661341853035147"/>
    <d v="2026-03-02T00:00:00"/>
    <n v="32"/>
    <d v="2026-04-05T00:00:00"/>
    <n v="90"/>
    <n v="34"/>
    <m/>
    <m/>
    <m/>
    <m/>
  </r>
  <r>
    <m/>
    <s v="W05012"/>
    <s v="FBA196PD1BWG"/>
    <s v="E-US"/>
    <x v="0"/>
    <s v="ANZ-B"/>
    <n v="1000"/>
    <s v="嘀嗒嘀"/>
    <s v="盐田海卡"/>
    <s v="TCY1"/>
    <x v="0"/>
    <s v="ANZ-B 便携式扩香仪 黑色"/>
    <x v="0"/>
    <n v="25"/>
    <n v="364.28623188405794"/>
    <s v="重量收费"/>
    <n v="3.6"/>
    <m/>
    <n v="21.92982456140351"/>
    <n v="1333.3602593440123"/>
    <n v="1.3333602593440124"/>
    <n v="0.19900899393194213"/>
    <m/>
    <m/>
    <m/>
    <x v="3"/>
    <d v="2026-02-22T00:00:00"/>
    <m/>
    <n v="0.40734824281150162"/>
    <n v="407.34824281150162"/>
    <d v="2026-03-02T00:00:00"/>
    <n v="32"/>
    <d v="2026-04-05T00:00:00"/>
    <n v="1004"/>
    <n v="34"/>
    <m/>
    <m/>
    <m/>
    <m/>
  </r>
  <r>
    <m/>
    <s v="W05012"/>
    <s v="FBA196PD1BWG"/>
    <s v="E-US"/>
    <x v="0"/>
    <s v="ANZ-WH"/>
    <n v="400"/>
    <s v="嘀嗒嘀"/>
    <s v="盐田海卡"/>
    <s v="TCY1"/>
    <x v="53"/>
    <s v="ANZ-WH 便携式扩香仪 白色"/>
    <x v="0"/>
    <n v="10"/>
    <n v="145.71449275362318"/>
    <s v="重量收费"/>
    <n v="3.6"/>
    <m/>
    <n v="8.7719298245614041"/>
    <n v="533.34410373760488"/>
    <n v="1.3333602593440121"/>
    <n v="0.1990089939319421"/>
    <m/>
    <m/>
    <m/>
    <x v="3"/>
    <d v="2026-02-22T00:00:00"/>
    <m/>
    <n v="0.40734824281150162"/>
    <n v="162.93929712460064"/>
    <d v="2026-03-02T00:00:00"/>
    <n v="32"/>
    <d v="2026-04-05T00:00:00"/>
    <n v="404"/>
    <n v="34"/>
    <m/>
    <m/>
    <m/>
    <m/>
  </r>
  <r>
    <m/>
    <s v="W05004"/>
    <s v="FBA15G5ZVZZ2"/>
    <s v="E-AU"/>
    <x v="4"/>
    <s v="AND-B"/>
    <n v="30"/>
    <s v="澳鹰"/>
    <s v="澳洲海卡"/>
    <s v="BWU2"/>
    <x v="20"/>
    <s v="AND-B 便携式双喷扩香仪 黑色"/>
    <x v="5"/>
    <n v="1"/>
    <n v="12.545454545454545"/>
    <s v="重量收费"/>
    <n v="7"/>
    <n v="350"/>
    <n v="31.818181818181817"/>
    <n v="119.63636363636363"/>
    <n v="3.9878787878787874"/>
    <n v="0.59520578923563994"/>
    <m/>
    <m/>
    <m/>
    <x v="4"/>
    <d v="2026-03-06T00:00:00"/>
    <m/>
    <n v="0"/>
    <n v="0"/>
    <d v="2026-03-17T00:00:00"/>
    <n v="48"/>
    <d v="2026-04-05T00:00:00"/>
    <n v="30"/>
    <n v="19"/>
    <m/>
    <m/>
    <m/>
    <m/>
  </r>
  <r>
    <m/>
    <s v="W05004"/>
    <s v="FBA15G5ZVZZ2"/>
    <s v="E-AU"/>
    <x v="4"/>
    <s v="001000045"/>
    <n v="120"/>
    <s v="澳鹰"/>
    <s v="澳洲海卡"/>
    <s v="BWU2"/>
    <x v="1"/>
    <s v="ANX-B 便携式扩香仪 黑色"/>
    <x v="1"/>
    <n v="4"/>
    <n v="50.18181818181818"/>
    <s v="重量收费"/>
    <n v="7"/>
    <n v="350"/>
    <n v="127.27272727272727"/>
    <n v="478.5454545454545"/>
    <n v="3.9878787878787874"/>
    <n v="0.59520578923563994"/>
    <m/>
    <m/>
    <m/>
    <x v="4"/>
    <d v="2026-03-06T00:00:00"/>
    <m/>
    <n v="0"/>
    <n v="0"/>
    <d v="2026-03-17T00:00:00"/>
    <n v="48"/>
    <d v="2026-04-05T00:00:00"/>
    <n v="120"/>
    <n v="19"/>
    <m/>
    <m/>
    <m/>
    <m/>
  </r>
  <r>
    <m/>
    <s v="W05004"/>
    <s v="FBA15G5ZVZZ2"/>
    <s v="E-AU"/>
    <x v="4"/>
    <s v="001000052"/>
    <n v="60"/>
    <s v="澳鹰"/>
    <s v="澳洲海卡"/>
    <s v="BWU2"/>
    <x v="37"/>
    <s v="ANX-DT 便携式扩香仪 沙漠钛色"/>
    <x v="1"/>
    <n v="2"/>
    <n v="25.09090909090909"/>
    <s v="重量收费"/>
    <n v="7"/>
    <m/>
    <n v="63.636363636363633"/>
    <n v="239.27272727272725"/>
    <n v="3.9878787878787874"/>
    <n v="0.59520578923563994"/>
    <m/>
    <m/>
    <m/>
    <x v="4"/>
    <d v="2026-03-06T00:00:00"/>
    <m/>
    <n v="0"/>
    <n v="0"/>
    <d v="2026-03-17T00:00:00"/>
    <n v="48"/>
    <d v="2026-04-05T00:00:00"/>
    <n v="60"/>
    <n v="19"/>
    <m/>
    <m/>
    <m/>
    <m/>
  </r>
  <r>
    <m/>
    <s v="W05004"/>
    <s v="FBA15G5ZVZZ2"/>
    <s v="E-AU"/>
    <x v="4"/>
    <s v="001000049"/>
    <n v="60"/>
    <s v="澳鹰"/>
    <s v="澳洲海卡"/>
    <s v="BWU2"/>
    <x v="36"/>
    <s v="ANX-IB 便携式扩香仪 冰蓝色"/>
    <x v="1"/>
    <n v="2"/>
    <n v="25.09090909090909"/>
    <s v="重量收费"/>
    <n v="7"/>
    <m/>
    <n v="63.636363636363633"/>
    <n v="239.27272727272725"/>
    <n v="3.9878787878787874"/>
    <n v="0.59520578923563994"/>
    <m/>
    <m/>
    <m/>
    <x v="4"/>
    <d v="2026-03-06T00:00:00"/>
    <m/>
    <n v="0"/>
    <n v="0"/>
    <d v="2026-03-17T00:00:00"/>
    <n v="48"/>
    <d v="2026-04-05T00:00:00"/>
    <n v="60"/>
    <n v="19"/>
    <m/>
    <m/>
    <m/>
    <m/>
  </r>
  <r>
    <m/>
    <s v="W05004"/>
    <s v="FBA15G5ZVZZ2"/>
    <s v="E-AU"/>
    <x v="4"/>
    <s v="001000050"/>
    <n v="60"/>
    <s v="澳鹰"/>
    <s v="澳洲海卡"/>
    <s v="BWU2"/>
    <x v="3"/>
    <s v="ANX-RP 便携式扩香仪 红粉色"/>
    <x v="1"/>
    <n v="2"/>
    <n v="25.09090909090909"/>
    <s v="重量收费"/>
    <n v="7"/>
    <m/>
    <n v="63.636363636363633"/>
    <n v="239.27272727272725"/>
    <n v="3.9878787878787874"/>
    <n v="0.59520578923563994"/>
    <m/>
    <m/>
    <m/>
    <x v="4"/>
    <d v="2026-03-06T00:00:00"/>
    <m/>
    <n v="0"/>
    <n v="0"/>
    <d v="2026-03-17T00:00:00"/>
    <n v="48"/>
    <d v="2026-04-05T00:00:00"/>
    <n v="60"/>
    <n v="19"/>
    <m/>
    <m/>
    <m/>
    <m/>
  </r>
  <r>
    <m/>
    <s v="W05012"/>
    <s v="FBA196PD1BWG"/>
    <s v="E-US"/>
    <x v="0"/>
    <s v="003000007"/>
    <n v="180"/>
    <s v="嘀嗒嘀"/>
    <s v="盐田海卡"/>
    <s v="TCY1"/>
    <x v="72"/>
    <s v="AP2F-H14 空气净化器滤网2-H14"/>
    <x v="15"/>
    <n v="5"/>
    <n v="72.857246376811588"/>
    <s v="重量收费"/>
    <n v="3.6"/>
    <s v=" "/>
    <n v="4.3859649122807021"/>
    <n v="266.67205186880244"/>
    <n v="1.4815113992711246"/>
    <n v="0.22112110436882457"/>
    <m/>
    <m/>
    <m/>
    <x v="3"/>
    <d v="2026-02-22T00:00:00"/>
    <m/>
    <n v="0.40734824281150162"/>
    <n v="73.322683706070293"/>
    <d v="2026-03-02T00:00:00"/>
    <n v="32"/>
    <d v="2026-04-05T00:00:00"/>
    <n v="180"/>
    <n v="34"/>
    <m/>
    <m/>
    <m/>
    <m/>
  </r>
  <r>
    <m/>
    <s v="W05012"/>
    <s v="FBA196PD1BWG"/>
    <s v="E-US"/>
    <x v="0"/>
    <s v="003000007"/>
    <n v="72"/>
    <s v="嘀嗒嘀"/>
    <s v="盐田海卡"/>
    <s v="TCY1"/>
    <x v="72"/>
    <s v="AP2F-H14 空气净化器滤网2-H14"/>
    <x v="15"/>
    <n v="2"/>
    <n v="29.142898550724635"/>
    <s v="重量收费"/>
    <n v="3.6"/>
    <s v=" "/>
    <n v="1.7543859649122806"/>
    <n v="106.66882074752095"/>
    <n v="1.4815113992711244"/>
    <n v="0.22112110436882454"/>
    <m/>
    <m/>
    <m/>
    <x v="3"/>
    <d v="2026-02-22T00:00:00"/>
    <m/>
    <n v="0.40734824281150162"/>
    <n v="29.329073482428115"/>
    <d v="2026-03-02T00:00:00"/>
    <n v="32"/>
    <d v="2026-04-05T00:00:00"/>
    <n v="71"/>
    <n v="34"/>
    <m/>
    <m/>
    <m/>
    <m/>
  </r>
  <r>
    <m/>
    <s v="W05012"/>
    <s v="FBA196PD1BWG"/>
    <s v="E-US"/>
    <x v="0"/>
    <s v="003000005"/>
    <n v="252"/>
    <s v="嘀嗒嘀"/>
    <s v="盐田海卡"/>
    <s v="TCY1"/>
    <x v="73"/>
    <s v="AP2F-H13 空气净化器滤网2-H13"/>
    <x v="15"/>
    <n v="7"/>
    <n v="102.00014492753623"/>
    <s v="重量收费"/>
    <n v="3.6"/>
    <m/>
    <n v="6.1403508771929829"/>
    <n v="373.3408726163234"/>
    <n v="1.4815113992711246"/>
    <n v="0.22112110436882457"/>
    <m/>
    <m/>
    <m/>
    <x v="3"/>
    <d v="2026-02-22T00:00:00"/>
    <m/>
    <n v="0.40734824281150162"/>
    <n v="102.65175718849841"/>
    <d v="2026-03-02T00:00:00"/>
    <n v="32"/>
    <d v="2026-04-05T00:00:00"/>
    <n v="250"/>
    <n v="34"/>
    <m/>
    <m/>
    <m/>
    <m/>
  </r>
  <r>
    <m/>
    <s v="W05013"/>
    <s v="FBA196VGYP1S"/>
    <s v="V-US"/>
    <x v="0"/>
    <s v="AN6KIT-B_4X10K04_TZ"/>
    <n v="840"/>
    <s v="万邦"/>
    <s v="盐田海卡"/>
    <s v="MIT2"/>
    <x v="74"/>
    <s v="AN6KIT-B_4X10K04_TZ AN6黑色机器+4x10mL酒店（天竺）香氛油 机油套装"/>
    <x v="3"/>
    <n v="28"/>
    <n v="460.72727272727269"/>
    <s v="重量收费"/>
    <n v="3.9"/>
    <n v="200"/>
    <n v="17.721518987341771"/>
    <n v="1814.5578826237054"/>
    <n v="2.1601879555044112"/>
    <n v="0.32241611276185239"/>
    <m/>
    <m/>
    <m/>
    <x v="3"/>
    <d v="2026-02-22T00:00:00"/>
    <m/>
    <n v="0.43999999999999995"/>
    <n v="369.59999999999997"/>
    <d v="2026-02-26T00:00:00"/>
    <n v="28"/>
    <d v="2026-04-01T00:00:00"/>
    <n v="845"/>
    <n v="34"/>
    <m/>
    <m/>
    <m/>
    <m/>
  </r>
  <r>
    <m/>
    <s v="W05013"/>
    <s v="FBA196VGYP1S"/>
    <s v="V-US"/>
    <x v="0"/>
    <s v="AN6KIT-WH_4X10K04_TZ"/>
    <n v="480"/>
    <s v="万邦"/>
    <s v="盐田海卡"/>
    <s v="MIT2"/>
    <x v="75"/>
    <s v="AN6KIT-WH_4X10K04_TZ AN6白色机器+4x10mL酒店（天竺）香氛油 机油套装"/>
    <x v="3"/>
    <n v="16"/>
    <n v="263.27272727272725"/>
    <s v="重量收费"/>
    <n v="3.9"/>
    <n v="200.00000000000006"/>
    <n v="10.126582278481013"/>
    <n v="1036.8902186421174"/>
    <n v="2.1601879555044112"/>
    <n v="0.32241611276185239"/>
    <m/>
    <m/>
    <m/>
    <x v="3"/>
    <d v="2026-02-22T00:00:00"/>
    <m/>
    <n v="0.43999999999999995"/>
    <n v="211.2"/>
    <d v="2026-02-26T00:00:00"/>
    <n v="28"/>
    <d v="2026-04-01T00:00:00"/>
    <n v="480"/>
    <n v="34"/>
    <m/>
    <m/>
    <m/>
    <m/>
  </r>
  <r>
    <m/>
    <s v="W05013"/>
    <s v="FBA196PDTG5X"/>
    <s v="V-US"/>
    <x v="0"/>
    <s v="001000033"/>
    <n v="1344"/>
    <s v="万邦"/>
    <s v="盐田海卡"/>
    <s v="TCY2"/>
    <x v="41"/>
    <s v="ANW-W 智能扩香仪 白色"/>
    <x v="10"/>
    <n v="112"/>
    <n v="1704.55"/>
    <s v="重量收费"/>
    <n v="4.4000000000000004"/>
    <m/>
    <n v="70.886075949367083"/>
    <n v="7570.9060759493677"/>
    <n v="5.6331146398432796"/>
    <n v="0.84076337908108645"/>
    <m/>
    <m/>
    <m/>
    <x v="3"/>
    <d v="2026-02-22T00:00:00"/>
    <m/>
    <n v="0.55999999999999994"/>
    <n v="752.63999999999987"/>
    <d v="2026-02-26T00:00:00"/>
    <n v="28"/>
    <d v="2026-03-31T00:00:00"/>
    <n v="1357"/>
    <n v="33"/>
    <m/>
    <m/>
    <m/>
    <m/>
  </r>
  <r>
    <m/>
    <s v="W05013"/>
    <s v="FBA196P88RYV"/>
    <s v="V-US"/>
    <x v="0"/>
    <s v="ANAKIT-B_US_2X100K03"/>
    <n v="240"/>
    <s v="万邦"/>
    <s v="盐田海卡"/>
    <s v="TCY2"/>
    <x v="42"/>
    <s v="ANAKIT-B_US_2X100K03 ANA黑色机器+2X100mL酒店香氛油（天竺） 机油套装"/>
    <x v="9"/>
    <n v="20"/>
    <n v="304.38235294117652"/>
    <s v="重量收费"/>
    <n v="4.4000000000000004"/>
    <m/>
    <n v="12.658227848101266"/>
    <n v="1351.9405807892781"/>
    <n v="5.6330857532886585"/>
    <n v="0.84075906765502362"/>
    <m/>
    <m/>
    <m/>
    <x v="3"/>
    <d v="2026-02-22T00:00:00"/>
    <m/>
    <n v="0.55999999999999994"/>
    <n v="134.39999999999998"/>
    <d v="2026-02-26T00:00:00"/>
    <n v="28"/>
    <d v="2026-03-29T00:00:00"/>
    <n v="240"/>
    <n v="31"/>
    <m/>
    <m/>
    <m/>
    <m/>
  </r>
  <r>
    <m/>
    <s v="W05013"/>
    <s v="FBA196P88RYV"/>
    <s v="V-US"/>
    <x v="0"/>
    <s v="ANAKIT-WH_US_2X100K03"/>
    <n v="168"/>
    <s v="万邦"/>
    <s v="盐田海卡"/>
    <s v="TCY2"/>
    <x v="43"/>
    <s v="ANAKIT-WH_US_2X100K03 ANA白色机器+2X100mL酒店香氛油（天竺） 机油套装"/>
    <x v="9"/>
    <n v="14"/>
    <n v="213.06764705882355"/>
    <s v="重量收费"/>
    <n v="4.4000000000000004"/>
    <m/>
    <n v="8.8607594936708853"/>
    <n v="946.35840655249467"/>
    <n v="5.6330857532886585"/>
    <n v="0.84075906765502362"/>
    <m/>
    <m/>
    <m/>
    <x v="3"/>
    <d v="2026-02-22T00:00:00"/>
    <m/>
    <n v="0.55999999999999994"/>
    <n v="94.079999999999984"/>
    <d v="2026-02-26T00:00:00"/>
    <n v="28"/>
    <d v="2026-03-29T00:00:00"/>
    <n v="156"/>
    <n v="31"/>
    <m/>
    <m/>
    <m/>
    <m/>
  </r>
  <r>
    <m/>
    <s v="W05003"/>
    <s v="FBA1969S9B3Z"/>
    <s v="W-CA"/>
    <x v="3"/>
    <s v="007000001"/>
    <n v="64"/>
    <s v="嘀嗒嘀"/>
    <s v="加拿大海卡"/>
    <s v="YHM1"/>
    <x v="76"/>
    <s v="X1-B 智能入户门锁 黑色"/>
    <x v="16"/>
    <n v="4"/>
    <n v="69"/>
    <s v="重量收费"/>
    <n v="6"/>
    <n v="200"/>
    <n v="200"/>
    <n v="614"/>
    <n v="9.59375"/>
    <n v="1.4319029850746268"/>
    <m/>
    <m/>
    <m/>
    <x v="3"/>
    <d v="2026-03-06T00:00:00"/>
    <m/>
    <n v="0"/>
    <n v="0"/>
    <d v="2026-03-23T00:00:00"/>
    <n v="53"/>
    <d v="2026-04-05T00:00:00"/>
    <n v="64"/>
    <n v="13"/>
    <m/>
    <m/>
    <m/>
    <m/>
  </r>
  <r>
    <m/>
    <s v="W05012"/>
    <s v="FBA196P9YDLV"/>
    <s v="W-US"/>
    <x v="0"/>
    <s v="007000001"/>
    <n v="816"/>
    <s v="嘀嗒嘀"/>
    <s v="盐田海卡"/>
    <s v="TCY2"/>
    <x v="76"/>
    <s v="X1-B 智能入户门锁 黑色"/>
    <x v="16"/>
    <n v="51"/>
    <n v="873.29629629629619"/>
    <s v="重量收费"/>
    <n v="3.7"/>
    <n v="200"/>
    <n v="44.736842105263158"/>
    <n v="3275.9331384015595"/>
    <n v="4.0146239441195579"/>
    <n v="0.59919760359993401"/>
    <m/>
    <m/>
    <m/>
    <x v="3"/>
    <d v="2026-02-22T00:00:00"/>
    <m/>
    <n v="0.55999999999999994"/>
    <n v="456.96"/>
    <d v="2026-03-03T00:00:00"/>
    <n v="33"/>
    <d v="2026-04-08T00:00:00"/>
    <n v="816"/>
    <n v="36"/>
    <m/>
    <m/>
    <m/>
    <m/>
  </r>
  <r>
    <m/>
    <s v="W05012"/>
    <s v="FBA196P9YDLV"/>
    <s v="W-US"/>
    <x v="0"/>
    <s v="007000002"/>
    <n v="384"/>
    <s v="嘀嗒嘀"/>
    <s v="盐田海卡"/>
    <s v="TCY2"/>
    <x v="77"/>
    <s v="X1-SG 智能入户门锁 太空灰色"/>
    <x v="16"/>
    <n v="24"/>
    <n v="410.96296296296293"/>
    <s v="重量收费"/>
    <n v="3.7"/>
    <m/>
    <n v="21.05263157894737"/>
    <n v="1541.6155945419102"/>
    <n v="4.0146239441195579"/>
    <n v="0.59919760359993401"/>
    <m/>
    <m/>
    <m/>
    <x v="3"/>
    <d v="2026-02-22T00:00:00"/>
    <m/>
    <n v="0.55999999999999994"/>
    <n v="215.03999999999996"/>
    <d v="2026-03-03T00:00:00"/>
    <n v="33"/>
    <d v="2026-04-08T00:00:00"/>
    <n v="384"/>
    <n v="36"/>
    <m/>
    <m/>
    <m/>
    <m/>
  </r>
  <r>
    <m/>
    <s v="W05012"/>
    <s v="FBA196P9YDLV"/>
    <s v="W-US"/>
    <x v="0"/>
    <s v="X3-B"/>
    <n v="96"/>
    <s v="嘀嗒嘀"/>
    <s v="盐田海卡"/>
    <s v="TCY2"/>
    <x v="78"/>
    <s v="X3-B 智能入户门锁 黑色"/>
    <x v="17"/>
    <n v="6"/>
    <n v="102.74074074074073"/>
    <s v="重量收费"/>
    <n v="3.7"/>
    <m/>
    <n v="5.2631578947368425"/>
    <n v="385.40389863547756"/>
    <n v="4.0146239441195579"/>
    <n v="0.59919760359993401"/>
    <m/>
    <m/>
    <m/>
    <x v="3"/>
    <d v="2026-02-22T00:00:00"/>
    <m/>
    <n v="0.55999999999999994"/>
    <n v="53.759999999999991"/>
    <d v="2026-03-03T00:00:00"/>
    <n v="33"/>
    <d v="2026-04-08T00:00:00"/>
    <n v="96"/>
    <n v="36"/>
    <m/>
    <m/>
    <m/>
    <m/>
  </r>
  <r>
    <m/>
    <s v="W05013"/>
    <s v="FBA196PCKJBN"/>
    <s v="W-US"/>
    <x v="0"/>
    <s v="002000027"/>
    <n v="80"/>
    <s v="万邦"/>
    <s v="盐田海卡"/>
    <s v="TCY2"/>
    <x v="79"/>
    <s v="M1-B 电子球形把手锁 黑色"/>
    <x v="18"/>
    <n v="5"/>
    <n v="75.039682539682545"/>
    <s v="重量收费"/>
    <n v="3.9"/>
    <m/>
    <n v="3.1645569620253164"/>
    <n v="295.81931886678723"/>
    <n v="3.6977414858348405"/>
    <n v="0.55190171430370749"/>
    <m/>
    <m/>
    <m/>
    <x v="3"/>
    <d v="2026-02-22T00:00:00"/>
    <m/>
    <n v="0.56000000000000005"/>
    <n v="44.800000000000004"/>
    <d v="2026-02-26T00:00:00"/>
    <n v="28"/>
    <d v="2026-03-31T00:00:00"/>
    <n v="94"/>
    <n v="33"/>
    <m/>
    <m/>
    <m/>
    <m/>
  </r>
  <r>
    <m/>
    <s v="W05013"/>
    <s v="FBA196PCKJBN"/>
    <s v="W-US"/>
    <x v="0"/>
    <s v="002000028"/>
    <n v="672"/>
    <s v="万邦"/>
    <s v="盐田海卡"/>
    <s v="TCY2"/>
    <x v="80"/>
    <s v="M1-T 电子球形把手锁 钛灰色"/>
    <x v="18"/>
    <n v="42"/>
    <n v="630.33333333333337"/>
    <s v="重量收费"/>
    <n v="3.9"/>
    <m/>
    <n v="26.582278481012658"/>
    <n v="2484.8822784810127"/>
    <n v="3.6977414858348405"/>
    <n v="0.55190171430370749"/>
    <m/>
    <m/>
    <m/>
    <x v="3"/>
    <d v="2026-02-22T00:00:00"/>
    <m/>
    <n v="0.56000000000000005"/>
    <n v="376.32000000000005"/>
    <d v="2026-02-26T00:00:00"/>
    <n v="28"/>
    <d v="2026-03-31T00:00:00"/>
    <n v="672"/>
    <n v="33"/>
    <m/>
    <m/>
    <m/>
    <m/>
  </r>
  <r>
    <m/>
    <s v="W05013"/>
    <s v="FBA196PCKJBN"/>
    <s v="W-US"/>
    <x v="0"/>
    <s v="002000029"/>
    <n v="592"/>
    <s v="万邦"/>
    <s v="盐田海卡"/>
    <s v="TCY2"/>
    <x v="81"/>
    <s v="MD1-B 电子球形把手锁 指纹 黑色"/>
    <x v="19"/>
    <n v="37"/>
    <n v="555.29365079365084"/>
    <s v="重量收费"/>
    <n v="3.9"/>
    <m/>
    <n v="23.417721518987342"/>
    <n v="2189.0629596142257"/>
    <n v="3.697741485834841"/>
    <n v="0.5519017143037076"/>
    <m/>
    <m/>
    <m/>
    <x v="3"/>
    <d v="2026-02-22T00:00:00"/>
    <m/>
    <n v="0.56000000000000005"/>
    <n v="331.52000000000004"/>
    <d v="2026-02-26T00:00:00"/>
    <n v="28"/>
    <d v="2026-03-31T00:00:00"/>
    <n v="592"/>
    <n v="33"/>
    <m/>
    <m/>
    <m/>
    <m/>
  </r>
  <r>
    <m/>
    <s v="W05013"/>
    <s v="FBA196PCKJBN"/>
    <s v="W-US"/>
    <x v="0"/>
    <s v="002000038"/>
    <n v="240"/>
    <s v="万邦"/>
    <s v="盐田海卡"/>
    <s v="TCY2"/>
    <x v="82"/>
    <s v="MD1-SILV 电子球形把手锁 指纹 银色"/>
    <x v="19"/>
    <n v="15"/>
    <n v="225.11904761904762"/>
    <s v="重量收费"/>
    <n v="3.9"/>
    <m/>
    <n v="9.4936708860759502"/>
    <n v="887.45795660036163"/>
    <n v="3.6977414858348401"/>
    <n v="0.55190171430370749"/>
    <m/>
    <m/>
    <m/>
    <x v="3"/>
    <d v="2026-02-22T00:00:00"/>
    <m/>
    <n v="0.56000000000000005"/>
    <n v="134.4"/>
    <d v="2026-02-26T00:00:00"/>
    <n v="28"/>
    <d v="2026-03-31T00:00:00"/>
    <n v="240"/>
    <n v="33"/>
    <m/>
    <m/>
    <m/>
    <m/>
  </r>
  <r>
    <m/>
    <s v="W05013"/>
    <s v="FBA196PCKJBN"/>
    <s v="W-US"/>
    <x v="0"/>
    <s v="002000030"/>
    <n v="272"/>
    <s v="万邦"/>
    <s v="盐田海卡"/>
    <s v="TCY2"/>
    <x v="83"/>
    <s v="MD1-T 电子球形把手锁 指纹 钛灰色"/>
    <x v="19"/>
    <n v="17"/>
    <n v="255.13492063492063"/>
    <s v="重量收费"/>
    <n v="3.9"/>
    <m/>
    <n v="10.759493670886076"/>
    <n v="1005.7856841470765"/>
    <n v="3.6977414858348401"/>
    <n v="0.55190171430370749"/>
    <m/>
    <m/>
    <m/>
    <x v="3"/>
    <d v="2026-02-22T00:00:00"/>
    <m/>
    <n v="0.56000000000000005"/>
    <n v="152.32000000000002"/>
    <d v="2026-02-26T00:00:00"/>
    <n v="28"/>
    <d v="2026-03-31T00:00:00"/>
    <n v="272"/>
    <n v="33"/>
    <m/>
    <m/>
    <m/>
    <m/>
  </r>
  <r>
    <m/>
    <s v="W05013"/>
    <s v="FBA196PCKJBN"/>
    <s v="W-US"/>
    <x v="0"/>
    <s v="002000031"/>
    <n v="16"/>
    <s v="万邦"/>
    <s v="盐田海卡"/>
    <s v="TCY2"/>
    <x v="84"/>
    <s v="MK1-B 智能球形把手锁 黑色"/>
    <x v="20"/>
    <n v="1"/>
    <n v="15.007936507936508"/>
    <s v="重量收费"/>
    <n v="3.9"/>
    <m/>
    <n v="0.63291139240506333"/>
    <n v="59.163863773357441"/>
    <n v="3.6977414858348401"/>
    <n v="0.55190171430370749"/>
    <m/>
    <m/>
    <m/>
    <x v="3"/>
    <d v="2026-02-22T00:00:00"/>
    <m/>
    <n v="0.56000000000000005"/>
    <n v="8.9600000000000009"/>
    <d v="2026-02-26T00:00:00"/>
    <n v="28"/>
    <d v="2026-03-31T00:00:00"/>
    <n v="16"/>
    <n v="33"/>
    <m/>
    <m/>
    <m/>
    <m/>
  </r>
  <r>
    <m/>
    <s v="W05013"/>
    <s v="FBA196PCKJBN"/>
    <s v="W-US"/>
    <x v="0"/>
    <s v="002000033"/>
    <n v="80"/>
    <s v="万邦"/>
    <s v="盐田海卡"/>
    <s v="TCY2"/>
    <x v="85"/>
    <s v="MK1-SILV 智能球形把手锁 银色"/>
    <x v="20"/>
    <n v="5"/>
    <n v="75.039682539682545"/>
    <s v="重量收费"/>
    <n v="3.9"/>
    <m/>
    <n v="3.1645569620253164"/>
    <n v="295.81931886678723"/>
    <n v="3.6977414858348405"/>
    <n v="0.55190171430370749"/>
    <m/>
    <m/>
    <m/>
    <x v="3"/>
    <d v="2026-02-22T00:00:00"/>
    <m/>
    <n v="0.56000000000000005"/>
    <n v="44.800000000000004"/>
    <d v="2026-02-26T00:00:00"/>
    <n v="28"/>
    <d v="2026-03-31T00:00:00"/>
    <n v="80"/>
    <n v="33"/>
    <m/>
    <m/>
    <m/>
    <m/>
  </r>
  <r>
    <m/>
    <s v="W05013"/>
    <s v="FBA196PCKJBN"/>
    <s v="W-US"/>
    <x v="0"/>
    <s v="002000032"/>
    <n v="64"/>
    <s v="万邦"/>
    <s v="盐田海卡"/>
    <s v="TCY2"/>
    <x v="86"/>
    <s v="MK1-T 智能球形把手锁 钛色"/>
    <x v="20"/>
    <n v="4"/>
    <n v="60.031746031746032"/>
    <s v="重量收费"/>
    <n v="3.9"/>
    <m/>
    <n v="2.5316455696202533"/>
    <n v="236.65545509342977"/>
    <n v="3.6977414858348401"/>
    <n v="0.55190171430370749"/>
    <m/>
    <m/>
    <m/>
    <x v="3"/>
    <d v="2026-02-22T00:00:00"/>
    <m/>
    <n v="0.56000000000000005"/>
    <n v="35.840000000000003"/>
    <d v="2026-02-26T00:00:00"/>
    <n v="28"/>
    <d v="2026-03-31T00:00:00"/>
    <n v="64"/>
    <n v="33"/>
    <m/>
    <m/>
    <m/>
    <m/>
  </r>
  <r>
    <m/>
    <s v="W05005"/>
    <s v="FBA196PBH7G8"/>
    <s v="V-US"/>
    <x v="0"/>
    <s v="006000024"/>
    <n v="450"/>
    <s v="积米"/>
    <s v="盐田海卡"/>
    <s v="TCY2"/>
    <x v="46"/>
    <s v="A-Ritz Carlton Hotel 3-100 丽思卡尔顿酒店3香氛油100mL"/>
    <x v="11"/>
    <n v="5"/>
    <n v="80"/>
    <s v="重量收费"/>
    <n v="5.6"/>
    <n v="200"/>
    <n v="90.909090909090907"/>
    <n v="538.90909090909088"/>
    <n v="1.1975757575757575"/>
    <n v="0.17874265038444143"/>
    <m/>
    <m/>
    <m/>
    <x v="5"/>
    <d v="2026-02-19T00:00:00"/>
    <m/>
    <n v="0.37684210526315792"/>
    <n v="169.57894736842107"/>
    <d v="2026-03-05T00:00:00"/>
    <n v="34"/>
    <d v="2026-04-06T00:00:00"/>
    <n v="450"/>
    <n v="32"/>
    <m/>
    <m/>
    <m/>
    <m/>
  </r>
  <r>
    <m/>
    <s v="W05005"/>
    <s v="FBA196PBH7G8"/>
    <s v="V-US"/>
    <x v="0"/>
    <s v="RZ-500ML"/>
    <n v="120"/>
    <s v="积米"/>
    <s v="盐田海卡"/>
    <s v="TCY2"/>
    <x v="60"/>
    <s v="RZ-500ML 丽思卡尔顿酒店3香氛油500mL"/>
    <x v="11"/>
    <n v="6"/>
    <n v="96"/>
    <s v="重量收费"/>
    <n v="5.6"/>
    <n v="200"/>
    <n v="109.09090909090909"/>
    <n v="646.69090909090903"/>
    <n v="5.3890909090909087"/>
    <n v="0.80434192672998639"/>
    <m/>
    <m/>
    <m/>
    <x v="5"/>
    <d v="2026-02-19T00:00:00"/>
    <m/>
    <n v="0.37684210526315792"/>
    <n v="45.221052631578949"/>
    <d v="2026-03-05T00:00:00"/>
    <n v="34"/>
    <d v="2026-04-06T00:00:00"/>
    <n v="120"/>
    <n v="32"/>
    <m/>
    <m/>
    <m/>
    <m/>
  </r>
  <r>
    <m/>
    <s v="W05006"/>
    <s v="FBA196XYH2CB"/>
    <s v="E-US"/>
    <x v="0"/>
    <s v="BLG1-100ML"/>
    <n v="360"/>
    <s v="天盛"/>
    <s v="盐田海卡"/>
    <s v="GEU5"/>
    <x v="48"/>
    <s v="BLG1-100ML 百乐宫酒店香氛油100mL"/>
    <x v="11"/>
    <n v="4"/>
    <n v="0.33333333333333331"/>
    <s v="CBM收费"/>
    <n v="1150"/>
    <n v="190.8"/>
    <n v="63.6"/>
    <n v="446.93333333333334"/>
    <n v="1.2414814814814814"/>
    <n v="0.18529574350469871"/>
    <m/>
    <m/>
    <m/>
    <x v="5"/>
    <d v="2026-02-22T00:00:00"/>
    <m/>
    <n v="0.36000000000000004"/>
    <n v="129.60000000000002"/>
    <d v="2026-03-03T00:00:00"/>
    <n v="32"/>
    <d v="2026-04-01T00:00:00"/>
    <n v="359"/>
    <n v="29"/>
    <m/>
    <m/>
    <m/>
    <m/>
  </r>
  <r>
    <m/>
    <s v="W05006"/>
    <s v="FBA196XYH2CB"/>
    <s v="E-US"/>
    <x v="0"/>
    <s v="HOTEL6KIT1-6X10K01"/>
    <n v="608"/>
    <s v="天盛"/>
    <s v="盐田海卡"/>
    <s v="GEU5"/>
    <x v="45"/>
    <s v="HOTEL6KIT1-6X10K01 酒店香氛油6款10mL套装"/>
    <x v="11"/>
    <n v="8"/>
    <n v="0.66666666666666663"/>
    <s v="CBM收费"/>
    <n v="1150"/>
    <n v="190.8"/>
    <n v="127.2"/>
    <n v="893.86666666666667"/>
    <n v="1.4701754385964911"/>
    <n v="0.21942916993977479"/>
    <m/>
    <m/>
    <m/>
    <x v="5"/>
    <d v="2026-02-22T00:00:00"/>
    <m/>
    <n v="0.36000000000000004"/>
    <n v="218.88000000000002"/>
    <d v="2026-03-03T00:00:00"/>
    <n v="32"/>
    <d v="2026-04-01T00:00:00"/>
    <n v="607"/>
    <n v="29"/>
    <m/>
    <m/>
    <m/>
    <m/>
  </r>
  <r>
    <m/>
    <s v="买单报关"/>
    <s v="FBA196XLRQQD"/>
    <s v="E-US"/>
    <x v="0"/>
    <s v="006000026"/>
    <n v="270"/>
    <s v="天盛"/>
    <s v="盐田海卡"/>
    <s v="GEU5"/>
    <x v="87"/>
    <s v="A-Marriott Hotel 1-100 万豪酒店1香氛油100mL"/>
    <x v="11"/>
    <n v="3"/>
    <n v="57.5"/>
    <s v="重量收费"/>
    <n v="5.8"/>
    <m/>
    <m/>
    <n v="333.5"/>
    <n v="1.2351851851851852"/>
    <n v="0.1843559977888336"/>
    <m/>
    <m/>
    <m/>
    <x v="5"/>
    <d v="2026-02-19T00:00:00"/>
    <m/>
    <n v="0.36"/>
    <n v="97.2"/>
    <d v="2026-03-03T00:00:00"/>
    <n v="32"/>
    <d v="2026-04-01T00:00:00"/>
    <n v="90"/>
    <n v="29"/>
    <m/>
    <m/>
    <m/>
    <m/>
  </r>
  <r>
    <m/>
    <s v="买单报关"/>
    <s v="FBA196XLRQQD"/>
    <s v="E-US"/>
    <x v="0"/>
    <s v="W-100ML"/>
    <n v="90"/>
    <s v="天盛"/>
    <s v="盐田海卡"/>
    <s v="GEU5"/>
    <x v="88"/>
    <s v="A-W Hotel-100 W酒店香氛油100mL"/>
    <x v="11"/>
    <n v="1"/>
    <n v="19.166666666666668"/>
    <s v="重量收费"/>
    <n v="5.8"/>
    <m/>
    <m/>
    <n v="111.16666666666667"/>
    <n v="1.2351851851851852"/>
    <n v="0.1843559977888336"/>
    <m/>
    <m/>
    <m/>
    <x v="5"/>
    <d v="2026-02-19T00:00:00"/>
    <m/>
    <n v="0.36"/>
    <n v="32.4"/>
    <d v="2026-03-03T00:00:00"/>
    <n v="32"/>
    <d v="2026-04-01T00:00:00"/>
    <n v="270"/>
    <n v="29"/>
    <m/>
    <m/>
    <m/>
    <m/>
  </r>
  <r>
    <m/>
    <s v="买单报关"/>
    <s v="FBA196XLRQQD"/>
    <s v="E-US"/>
    <x v="0"/>
    <s v="WST1-100ML"/>
    <n v="180"/>
    <s v="天盛"/>
    <s v="盐田海卡"/>
    <s v="GEU5"/>
    <x v="51"/>
    <s v="WST1-100ML 威斯汀2酒店香氛油100mL"/>
    <x v="11"/>
    <n v="2"/>
    <n v="38.333333333333336"/>
    <s v="重量收费"/>
    <n v="5.8"/>
    <m/>
    <m/>
    <n v="222.33333333333334"/>
    <n v="1.2351851851851852"/>
    <n v="0.1843559977888336"/>
    <m/>
    <m/>
    <m/>
    <x v="5"/>
    <d v="2026-02-19T00:00:00"/>
    <m/>
    <n v="0.36"/>
    <n v="64.8"/>
    <d v="2026-03-03T00:00:00"/>
    <n v="32"/>
    <d v="2026-04-01T00:00:00"/>
    <n v="179"/>
    <n v="29"/>
    <m/>
    <m/>
    <m/>
    <m/>
  </r>
  <r>
    <m/>
    <s v="W05011"/>
    <s v="FBA196P9WPZ7"/>
    <s v="E-US"/>
    <x v="0"/>
    <s v="W1-100ML_TZ"/>
    <n v="192"/>
    <s v="积米"/>
    <s v="盐田海卡"/>
    <s v="TCY1"/>
    <x v="24"/>
    <s v="W1-100ML_TZ W酒店100mL香氛油（天竺） 销售包装"/>
    <x v="6"/>
    <n v="3"/>
    <n v="43.748571428571424"/>
    <s v="重量收费"/>
    <n v="5.6"/>
    <n v="200"/>
    <n v="50"/>
    <n v="294.99199999999996"/>
    <n v="1.5364166666666665"/>
    <n v="0.22931592039800994"/>
    <m/>
    <m/>
    <m/>
    <x v="3"/>
    <d v="2026-02-19T00:00:00"/>
    <m/>
    <n v="0.40571428571428569"/>
    <n v="77.897142857142853"/>
    <d v="2026-03-08T00:00:00"/>
    <n v="38"/>
    <d v="2026-04-06T00:00:00"/>
    <n v="192"/>
    <n v="29"/>
    <m/>
    <m/>
    <m/>
    <m/>
  </r>
  <r>
    <m/>
    <s v="W05011"/>
    <s v="FBA196P9WPZ7"/>
    <s v="E-US"/>
    <x v="0"/>
    <s v="YH1-100ML_TZ"/>
    <n v="256"/>
    <s v="积米"/>
    <s v="盐田海卡"/>
    <s v="TCY1"/>
    <x v="89"/>
    <s v="YH1-100ML_TZ 樱花100mL香氛油（天竺）销售包装"/>
    <x v="6"/>
    <n v="4"/>
    <n v="58.331428571428567"/>
    <s v="重量收费"/>
    <n v="5.6"/>
    <n v="200.00000000000003"/>
    <n v="66.666666666666671"/>
    <n v="393.32266666666663"/>
    <n v="1.5364166666666665"/>
    <n v="0.22931592039800994"/>
    <m/>
    <m/>
    <m/>
    <x v="3"/>
    <d v="2026-02-19T00:00:00"/>
    <m/>
    <n v="0.40571428571428569"/>
    <n v="103.86285714285714"/>
    <d v="2026-03-08T00:00:00"/>
    <n v="38"/>
    <d v="2026-04-06T00:00:00"/>
    <n v="256"/>
    <n v="29"/>
    <m/>
    <m/>
    <m/>
    <m/>
  </r>
  <r>
    <m/>
    <s v="W05011"/>
    <s v="FBA196PCP9HX"/>
    <s v="E-US"/>
    <x v="0"/>
    <s v="SJ1-100ML_TZ"/>
    <n v="192"/>
    <s v="积米"/>
    <s v="盐田海卡"/>
    <s v="TCY1"/>
    <x v="23"/>
    <s v="SJ1-100ML_TZ 四季酒店100mL香氛油（天竺） 销售包装"/>
    <x v="6"/>
    <n v="3"/>
    <n v="43.751999999999995"/>
    <s v="重量收费"/>
    <n v="5.6"/>
    <m/>
    <n v="50"/>
    <n v="295.01119999999992"/>
    <n v="1.5365166666666663"/>
    <n v="0.22933084577114421"/>
    <m/>
    <m/>
    <m/>
    <x v="3"/>
    <d v="2026-02-19T00:00:00"/>
    <m/>
    <n v="0.36"/>
    <n v="69.12"/>
    <d v="2026-03-08T00:00:00"/>
    <n v="38"/>
    <d v="2026-04-06T00:00:00"/>
    <n v="192"/>
    <n v="29"/>
    <m/>
    <m/>
    <m/>
    <m/>
  </r>
  <r>
    <m/>
    <s v="W05011"/>
    <s v="FBA196PCP9HX"/>
    <s v="E-US"/>
    <x v="0"/>
    <s v="WST1-100ML_TZ"/>
    <n v="128"/>
    <s v="积米"/>
    <s v="盐田海卡"/>
    <s v="TCY1"/>
    <x v="90"/>
    <s v="WST1-100ML_TZ 威斯汀酒店白茶100mL香氛油（天竺） 销售包装"/>
    <x v="6"/>
    <n v="2"/>
    <n v="29.167999999999999"/>
    <s v="重量收费"/>
    <n v="5.6"/>
    <m/>
    <n v="33.333333333333336"/>
    <n v="196.67413333333332"/>
    <n v="1.5365166666666665"/>
    <n v="0.22933084577114426"/>
    <m/>
    <m/>
    <m/>
    <x v="3"/>
    <d v="2026-02-19T00:00:00"/>
    <m/>
    <n v="0.36"/>
    <n v="46.08"/>
    <d v="2026-03-08T00:00:00"/>
    <n v="38"/>
    <d v="2026-04-06T00:00:00"/>
    <n v="128"/>
    <n v="29"/>
    <m/>
    <m/>
    <m/>
    <m/>
  </r>
  <r>
    <m/>
    <s v="W05007"/>
    <s v="FBA196NCXD8J"/>
    <s v="E-US"/>
    <x v="0"/>
    <s v="003000009"/>
    <n v="52"/>
    <s v="嘀嗒嘀"/>
    <s v="盐田海卡"/>
    <s v="OAK3"/>
    <x v="91"/>
    <s v="AP2US-H13 内置H13滤网桌面式空气净化器2-美规"/>
    <x v="21"/>
    <n v="13"/>
    <n v="302"/>
    <s v="重量收费"/>
    <n v="4.2"/>
    <n v="200"/>
    <n v="200"/>
    <n v="1468.4"/>
    <n v="28.238461538461539"/>
    <n v="4.2146957520091846"/>
    <m/>
    <m/>
    <m/>
    <x v="3"/>
    <d v="2026-02-22T00:00:00"/>
    <m/>
    <n v="0"/>
    <n v="0"/>
    <d v="2026-03-06T00:00:00"/>
    <n v="36"/>
    <d v="2026-03-21T00:00:00"/>
    <n v="52"/>
    <n v="15"/>
    <m/>
    <m/>
    <m/>
    <m/>
  </r>
  <r>
    <m/>
    <s v="W05008"/>
    <s v="FBA196NCJYG5"/>
    <s v="E-US"/>
    <x v="0"/>
    <s v="003000009"/>
    <n v="48"/>
    <s v="嘀嗒嘀"/>
    <s v="美东海卡"/>
    <s v="ACY2"/>
    <x v="91"/>
    <s v="AP2US-H13 内置H13滤网桌面式空气净化器2-美规"/>
    <x v="21"/>
    <n v="12"/>
    <n v="280"/>
    <s v="重量收费"/>
    <n v="4.5"/>
    <n v="200"/>
    <n v="96"/>
    <n v="1356"/>
    <n v="28.25"/>
    <n v="4.2164179104477615"/>
    <m/>
    <m/>
    <m/>
    <x v="3"/>
    <d v="2026-03-14T00:00:00"/>
    <m/>
    <n v="0"/>
    <n v="0"/>
    <d v="2026-03-19T00:00:00"/>
    <n v="49"/>
    <d v="2026-03-19T00:00:00"/>
    <n v="48"/>
    <n v="0"/>
    <m/>
    <m/>
    <m/>
    <m/>
  </r>
  <r>
    <m/>
    <s v="W05009"/>
    <s v="FBA196N9B79B"/>
    <s v="E-US"/>
    <x v="0"/>
    <s v="003000009"/>
    <n v="52"/>
    <s v="嘀嗒嘀"/>
    <s v="美东海卡"/>
    <s v="HSV1"/>
    <x v="91"/>
    <s v="AP2US-H13 内置H13滤网桌面式空气净化器2-美规"/>
    <x v="21"/>
    <n v="13"/>
    <n v="303"/>
    <s v="重量收费"/>
    <n v="5.5"/>
    <n v="200"/>
    <n v="200"/>
    <n v="1866.5"/>
    <n v="35.894230769230766"/>
    <n v="5.3573478760045923"/>
    <m/>
    <m/>
    <m/>
    <x v="3"/>
    <d v="2026-03-16T00:00:00"/>
    <m/>
    <n v="0"/>
    <n v="0"/>
    <d v="2026-03-30T00:00:00"/>
    <n v="60"/>
    <d v="2026-03-31T00:00:00"/>
    <n v="52"/>
    <n v="1"/>
    <m/>
    <m/>
    <m/>
    <m/>
  </r>
  <r>
    <m/>
    <s v="W05008"/>
    <s v="FBA196NCQYR0"/>
    <s v="E-US"/>
    <x v="0"/>
    <s v="003000009"/>
    <n v="52"/>
    <s v="嘀嗒嘀"/>
    <s v="美东海卡"/>
    <s v="MDT1"/>
    <x v="91"/>
    <s v="AP2US-H13 内置H13滤网桌面式空气净化器2-美规"/>
    <x v="21"/>
    <n v="13"/>
    <n v="303"/>
    <s v="重量收费"/>
    <n v="4.9000000000000004"/>
    <n v="200"/>
    <n v="104"/>
    <n v="1588.7"/>
    <n v="30.551923076923078"/>
    <n v="4.5599885189437428"/>
    <m/>
    <m/>
    <m/>
    <x v="3"/>
    <d v="2026-03-14T00:00:00"/>
    <m/>
    <n v="0"/>
    <n v="0"/>
    <d v="2026-03-28T00:00:00"/>
    <n v="58"/>
    <d v="2026-03-29T00:00:00"/>
    <n v="52"/>
    <n v="1"/>
    <m/>
    <m/>
    <m/>
    <m/>
  </r>
  <r>
    <m/>
    <s v="W05010"/>
    <s v="FBA196NB4NXF"/>
    <s v="E-US"/>
    <x v="0"/>
    <s v="003000009"/>
    <n v="52"/>
    <s v="嘀嗒嘀"/>
    <s v="美中海卡"/>
    <s v="FOE1"/>
    <x v="91"/>
    <s v="AP2US-H13 内置H13滤网桌面式空气净化器2-美规"/>
    <x v="21"/>
    <n v="13"/>
    <n v="302"/>
    <s v="重量收费"/>
    <n v="5.6"/>
    <n v="200"/>
    <n v="200"/>
    <n v="1891.1999999999998"/>
    <n v="36.369230769230768"/>
    <n v="5.4282433983926515"/>
    <m/>
    <m/>
    <m/>
    <x v="3"/>
    <d v="2026-03-14T00:00:00"/>
    <m/>
    <n v="0"/>
    <n v="0"/>
    <d v="2026-04-08T00:00:00"/>
    <n v="69"/>
    <d v="2026-04-22T00:00:00"/>
    <m/>
    <n v="14"/>
    <m/>
    <m/>
    <m/>
    <m/>
  </r>
  <r>
    <m/>
    <s v="W06002"/>
    <s v="FBA196ZPNG0Z"/>
    <s v="E-US"/>
    <x v="0"/>
    <s v="001000045"/>
    <n v="600"/>
    <s v="嘀嗒嘀"/>
    <s v="盐田海卡"/>
    <s v="TCY1"/>
    <x v="1"/>
    <s v="ANX-B 便携式扩香仪 黑色"/>
    <x v="1"/>
    <n v="20"/>
    <n v="268.53684210526319"/>
    <s v="重量收费"/>
    <n v="3.5"/>
    <n v="200"/>
    <n v="43.478260869565219"/>
    <n v="983.35720823798647"/>
    <n v="1.6389286803966441"/>
    <n v="0.24461622095472299"/>
    <m/>
    <m/>
    <m/>
    <x v="6"/>
    <d v="2026-03-15T00:00:00"/>
    <m/>
    <n v="0.41106382978723399"/>
    <n v="246.63829787234039"/>
    <d v="2026-04-04T00:00:00"/>
    <n v="61"/>
    <d v="2026-05-10T00:00:00"/>
    <m/>
    <n v="36"/>
    <m/>
    <m/>
    <m/>
    <m/>
  </r>
  <r>
    <m/>
    <s v="W06002"/>
    <s v="FBA196ZPNG0Z"/>
    <s v="E-US"/>
    <x v="0"/>
    <s v="001000049"/>
    <n v="180"/>
    <s v="嘀嗒嘀"/>
    <s v="盐田海卡"/>
    <s v="TCY1"/>
    <x v="36"/>
    <s v="ANX-IB 便携式扩香仪 冰蓝色"/>
    <x v="1"/>
    <n v="6"/>
    <n v="80.561052631578946"/>
    <s v="重量收费"/>
    <n v="3.5"/>
    <n v="200"/>
    <n v="13.043478260869565"/>
    <n v="295.00716247139587"/>
    <n v="1.6389286803966436"/>
    <n v="0.24461622095472293"/>
    <m/>
    <m/>
    <m/>
    <x v="6"/>
    <d v="2026-03-15T00:00:00"/>
    <m/>
    <n v="0.41106382978723399"/>
    <n v="73.991489361702122"/>
    <d v="2026-04-04T00:00:00"/>
    <n v="61"/>
    <d v="2026-05-10T00:00:00"/>
    <m/>
    <n v="36"/>
    <m/>
    <m/>
    <m/>
    <m/>
  </r>
  <r>
    <m/>
    <s v="W06002"/>
    <s v="FBA196ZPNG0Z"/>
    <s v="E-US"/>
    <x v="0"/>
    <s v="001000046"/>
    <n v="90"/>
    <s v="嘀嗒嘀"/>
    <s v="盐田海卡"/>
    <s v="TCY1"/>
    <x v="92"/>
    <s v="ANX-SILV 便携式扩香仪 银色"/>
    <x v="1"/>
    <n v="3"/>
    <n v="40.280526315789473"/>
    <s v="重量收费"/>
    <n v="3.5"/>
    <m/>
    <n v="6.5217391304347823"/>
    <n v="147.50358123569794"/>
    <n v="1.6389286803966436"/>
    <n v="0.24461622095472293"/>
    <m/>
    <m/>
    <m/>
    <x v="6"/>
    <d v="2026-03-15T00:00:00"/>
    <m/>
    <n v="0.41106382978723399"/>
    <n v="36.995744680851061"/>
    <d v="2026-04-04T00:00:00"/>
    <n v="61"/>
    <d v="2026-05-10T00:00:00"/>
    <m/>
    <n v="36"/>
    <m/>
    <m/>
    <m/>
    <m/>
  </r>
  <r>
    <m/>
    <s v="W06002"/>
    <s v="FBA196ZPNG0Z"/>
    <s v="E-US"/>
    <x v="0"/>
    <s v="001000052"/>
    <n v="330"/>
    <s v="嘀嗒嘀"/>
    <s v="盐田海卡"/>
    <s v="TCY1"/>
    <x v="37"/>
    <s v="ANX-DT 便携式扩香仪 沙漠钛色"/>
    <x v="1"/>
    <n v="11"/>
    <n v="147.69526315789474"/>
    <s v="重量收费"/>
    <n v="3.5"/>
    <m/>
    <n v="23.913043478260871"/>
    <n v="540.84646453089249"/>
    <n v="1.6389286803966439"/>
    <n v="0.24461622095472296"/>
    <m/>
    <m/>
    <m/>
    <x v="6"/>
    <d v="2026-03-15T00:00:00"/>
    <m/>
    <n v="0.41106382978723399"/>
    <n v="135.6510638297872"/>
    <d v="2026-04-04T00:00:00"/>
    <n v="61"/>
    <d v="2026-05-10T00:00:00"/>
    <m/>
    <n v="36"/>
    <m/>
    <m/>
    <m/>
    <m/>
  </r>
  <r>
    <m/>
    <s v="W06002"/>
    <s v="FBA196ZPNG0Z"/>
    <s v="E-US"/>
    <x v="0"/>
    <s v="ANZ-WH"/>
    <n v="680"/>
    <s v="嘀嗒嘀"/>
    <s v="盐田海卡"/>
    <s v="TCY1"/>
    <x v="53"/>
    <s v="ANZ-WH 便携式扩香仪 白色"/>
    <x v="0"/>
    <n v="17"/>
    <n v="228.25631578947369"/>
    <s v="重量收费"/>
    <n v="3.5"/>
    <m/>
    <n v="36.956521739130437"/>
    <n v="835.85362700228825"/>
    <n v="1.2291965102974827"/>
    <n v="0.18346216571604218"/>
    <m/>
    <m/>
    <m/>
    <x v="6"/>
    <d v="2026-03-15T00:00:00"/>
    <m/>
    <n v="0.41106382978723399"/>
    <n v="279.52340425531912"/>
    <d v="2026-04-04T00:00:00"/>
    <n v="61"/>
    <d v="2026-05-10T00:00:00"/>
    <m/>
    <n v="36"/>
    <m/>
    <m/>
    <m/>
    <m/>
  </r>
  <r>
    <m/>
    <s v="W06002"/>
    <s v="FBA196ZQYZK7"/>
    <s v="E-US"/>
    <x v="0"/>
    <s v="ANXKIT-B_4X10ML"/>
    <n v="90"/>
    <s v="嘀嗒嘀"/>
    <s v="盐田海卡"/>
    <s v="HLI2"/>
    <x v="93"/>
    <s v="ANXKIT-B_4X10ML ANX黑色机器+4x10mL香氛油（天竺） 机油套装"/>
    <x v="1"/>
    <n v="3"/>
    <n v="50.099999999999994"/>
    <s v="重量收费"/>
    <n v="3.6"/>
    <m/>
    <n v="6.5217391304347823"/>
    <n v="186.88173913043477"/>
    <n v="2.0764637681159419"/>
    <n v="0.30991996539043909"/>
    <m/>
    <m/>
    <m/>
    <x v="6"/>
    <d v="2026-03-15T00:00:00"/>
    <m/>
    <n v="0.44"/>
    <n v="39.6"/>
    <d v="2026-03-26T00:00:00"/>
    <n v="52"/>
    <d v="2026-04-30T00:00:00"/>
    <m/>
    <n v="35"/>
    <m/>
    <m/>
    <m/>
    <m/>
  </r>
  <r>
    <m/>
    <s v="W06002"/>
    <s v="FBA196ZQYZK7"/>
    <s v="E-US"/>
    <x v="0"/>
    <s v="ANZKIT-B_4X10K04_TZ"/>
    <n v="210"/>
    <s v="嘀嗒嘀"/>
    <s v="盐田海卡"/>
    <s v="HLI2"/>
    <x v="38"/>
    <s v="ANZKIT-B_4X10K04_TZ ANZ黑色机器+4x10mL酒店（天竺）香氛油 机油套装"/>
    <x v="0"/>
    <n v="7"/>
    <n v="116.89999999999999"/>
    <s v="重量收费"/>
    <n v="3.6"/>
    <m/>
    <n v="15.217391304347826"/>
    <n v="436.05739130434779"/>
    <n v="2.0764637681159419"/>
    <n v="0.30991996539043909"/>
    <m/>
    <m/>
    <m/>
    <x v="6"/>
    <d v="2026-03-15T00:00:00"/>
    <m/>
    <n v="0.44"/>
    <n v="92.4"/>
    <d v="2026-03-26T00:00:00"/>
    <n v="52"/>
    <d v="2026-04-30T00:00:00"/>
    <m/>
    <n v="35"/>
    <m/>
    <m/>
    <m/>
    <m/>
  </r>
  <r>
    <m/>
    <s v="W06003"/>
    <s v="FBA15LD5H4FM"/>
    <s v="W-DE"/>
    <x v="1"/>
    <s v="001000019"/>
    <n v="120"/>
    <s v="嘀嗒嘀"/>
    <s v="欧洲海卡"/>
    <s v="DTM9"/>
    <x v="17"/>
    <s v="AN6-B 便携式扩香仪 黑色"/>
    <x v="3"/>
    <n v="3"/>
    <n v="41.307692307692307"/>
    <s v="重量收费"/>
    <n v="7.3"/>
    <n v="250"/>
    <n v="57.692307692307693"/>
    <n v="359.23846153846154"/>
    <n v="2.9936538461538462"/>
    <n v="0.44681400688863376"/>
    <m/>
    <m/>
    <m/>
    <x v="6"/>
    <d v="2026-03-22T00:00:00"/>
    <m/>
    <n v="0"/>
    <n v="0"/>
    <d v="2026-04-07T00:00:00"/>
    <n v="64"/>
    <d v="2026-05-05T00:00:00"/>
    <m/>
    <n v="28"/>
    <m/>
    <m/>
    <m/>
    <m/>
  </r>
  <r>
    <m/>
    <s v="W06003"/>
    <s v="FBA15LD5H4FM"/>
    <s v="W-DE"/>
    <x v="1"/>
    <s v="001000039"/>
    <n v="200"/>
    <s v="嘀嗒嘀"/>
    <s v="欧洲海卡"/>
    <s v="DTM9"/>
    <x v="35"/>
    <s v="AN6-GL 便携式扩香仪 翠百合色"/>
    <x v="3"/>
    <n v="5"/>
    <n v="68.846153846153854"/>
    <s v="重量收费"/>
    <n v="7.3"/>
    <n v="250.00000000000003"/>
    <n v="96.15384615384616"/>
    <n v="598.73076923076928"/>
    <n v="2.9936538461538462"/>
    <n v="0.44681400688863376"/>
    <m/>
    <m/>
    <m/>
    <x v="6"/>
    <d v="2026-03-22T00:00:00"/>
    <m/>
    <n v="0"/>
    <n v="0"/>
    <d v="2026-04-07T00:00:00"/>
    <n v="64"/>
    <d v="2026-05-05T00:00:00"/>
    <m/>
    <n v="28"/>
    <m/>
    <m/>
    <m/>
    <m/>
  </r>
  <r>
    <m/>
    <s v="W06003"/>
    <s v="FBA15LD5H4FM"/>
    <s v="W-DE"/>
    <x v="1"/>
    <s v="001000020"/>
    <n v="200"/>
    <s v="嘀嗒嘀"/>
    <s v="欧洲海卡"/>
    <s v="DTM9"/>
    <x v="18"/>
    <s v="AN6-W 便携式扩香仪 白色"/>
    <x v="3"/>
    <n v="5"/>
    <n v="68.846153846153854"/>
    <s v="重量收费"/>
    <n v="7.3"/>
    <m/>
    <n v="96.15384615384616"/>
    <n v="598.73076923076928"/>
    <n v="2.9936538461538462"/>
    <n v="0.44681400688863376"/>
    <m/>
    <m/>
    <m/>
    <x v="6"/>
    <d v="2026-03-22T00:00:00"/>
    <m/>
    <n v="0"/>
    <n v="0"/>
    <d v="2026-04-07T00:00:00"/>
    <n v="64"/>
    <d v="2026-05-05T00:00:00"/>
    <m/>
    <n v="28"/>
    <m/>
    <m/>
    <m/>
    <m/>
  </r>
  <r>
    <s v="不包提货（报关费400+战争附加费120+头程费516.08）"/>
    <s v="W06001"/>
    <s v="FBA15LD5WXF3"/>
    <s v="E-AE"/>
    <x v="5"/>
    <s v="001000019"/>
    <n v="280"/>
    <s v="亦邦物流"/>
    <s v="阿联酋海派"/>
    <s v="DXB5"/>
    <x v="17"/>
    <s v="AN6-B 便携式扩香仪 黑色"/>
    <x v="3"/>
    <n v="7"/>
    <n v="0.38181818181818178"/>
    <s v="CBM收费"/>
    <n v="740"/>
    <n v="1036.08"/>
    <n v="659.3236363636363"/>
    <n v="941.8690909090908"/>
    <n v="3.3638181818181816"/>
    <n v="0.50206241519674355"/>
    <m/>
    <m/>
    <m/>
    <x v="6"/>
    <d v="2026-02-26T00:00:00"/>
    <m/>
    <n v="0"/>
    <n v="0"/>
    <d v="2026-04-21T00:00:00"/>
    <n v="78"/>
    <d v="2026-05-06T00:00:00"/>
    <m/>
    <n v="15"/>
    <m/>
    <m/>
    <m/>
    <m/>
  </r>
  <r>
    <s v="不包提货（报关费400+战争附加费120+头程费516.08）"/>
    <s v="W06001"/>
    <s v="FBA15LD5WXF3"/>
    <s v="E-AE"/>
    <x v="5"/>
    <s v="001000020"/>
    <n v="40"/>
    <s v="亦邦物流"/>
    <s v="阿联酋海派"/>
    <s v="DXB5"/>
    <x v="18"/>
    <s v="AN6-W 便携式扩香仪 白色"/>
    <x v="3"/>
    <n v="1"/>
    <n v="0.05"/>
    <s v="CBM收费"/>
    <n v="740"/>
    <n v="1036.08"/>
    <n v="94.189090909090908"/>
    <n v="131.18909090909091"/>
    <n v="3.2797272727272726"/>
    <n v="0.4895115332428765"/>
    <m/>
    <m/>
    <m/>
    <x v="6"/>
    <d v="2026-02-26T00:00:00"/>
    <m/>
    <n v="0"/>
    <n v="0"/>
    <d v="2026-04-21T00:00:00"/>
    <n v="78"/>
    <d v="2026-05-06T00:00:00"/>
    <m/>
    <n v="15"/>
    <m/>
    <m/>
    <m/>
    <m/>
  </r>
  <r>
    <s v="不包提货（报关费400+战争附加费120+头程费516.08）"/>
    <s v="W06001"/>
    <s v="FBA15LD5WXF3"/>
    <s v="E-AE"/>
    <x v="5"/>
    <s v="001000045"/>
    <n v="90"/>
    <s v="亦邦物流"/>
    <s v="阿联酋海派"/>
    <s v="DXB5"/>
    <x v="1"/>
    <s v="ANX-B 便携式扩香仪 黑色"/>
    <x v="1"/>
    <n v="3"/>
    <n v="0.16363636363636364"/>
    <s v="CBM收费"/>
    <n v="740"/>
    <m/>
    <n v="282.56727272727272"/>
    <n v="403.65818181818179"/>
    <n v="4.4850909090909088"/>
    <n v="0.66941655359565799"/>
    <m/>
    <m/>
    <m/>
    <x v="6"/>
    <d v="2026-02-26T00:00:00"/>
    <m/>
    <n v="0"/>
    <n v="0"/>
    <d v="2026-04-21T00:00:00"/>
    <n v="78"/>
    <d v="2026-05-06T00:00:00"/>
    <m/>
    <n v="15"/>
    <m/>
    <m/>
    <m/>
    <m/>
  </r>
  <r>
    <m/>
    <s v="W06002"/>
    <s v="FBA196ZPM7XN"/>
    <s v="V-US"/>
    <x v="0"/>
    <s v="AN8KIT-B_B_2X30K02"/>
    <n v="60"/>
    <s v="嘀嗒嘀"/>
    <s v="盐田海卡"/>
    <s v="TCY1"/>
    <x v="94"/>
    <s v="AN8KIT-B_B_2X30K02 AN8黑色机器两个装+2X30mL香氛油（天竺） 机油套装"/>
    <x v="4"/>
    <n v="3"/>
    <n v="40.280769230769238"/>
    <s v="重量收费"/>
    <n v="3.5"/>
    <m/>
    <n v="6.5217391304347823"/>
    <n v="147.50443143812711"/>
    <n v="2.4584071906354521"/>
    <n v="0.3669264463635003"/>
    <m/>
    <m/>
    <m/>
    <x v="6"/>
    <d v="2026-03-15T00:00:00"/>
    <m/>
    <n v="0.45999999999999996"/>
    <n v="27.599999999999998"/>
    <d v="2026-04-04T00:00:00"/>
    <n v="61"/>
    <d v="2026-05-10T00:00:00"/>
    <m/>
    <n v="36"/>
    <m/>
    <m/>
    <m/>
    <m/>
  </r>
  <r>
    <m/>
    <s v="W06002"/>
    <s v="FBA196ZPM7XN"/>
    <s v="V-US"/>
    <x v="0"/>
    <s v="AN8KIT-B_4X10K01"/>
    <n v="300"/>
    <s v="嘀嗒嘀"/>
    <s v="盐田海卡"/>
    <s v="TCY1"/>
    <x v="10"/>
    <s v="AN8KIT-B_4X10K01 AN8黑色机器+4x10mL酒店香氛油 机油套装"/>
    <x v="4"/>
    <n v="10"/>
    <n v="134.26923076923077"/>
    <s v="重量收费"/>
    <n v="3.5"/>
    <m/>
    <n v="21.739130434782609"/>
    <n v="491.68143812709036"/>
    <n v="1.6389381270903012"/>
    <n v="0.24461763090900016"/>
    <m/>
    <m/>
    <m/>
    <x v="6"/>
    <d v="2026-03-15T00:00:00"/>
    <m/>
    <n v="0.45999999999999996"/>
    <n v="138"/>
    <d v="2026-04-04T00:00:00"/>
    <n v="61"/>
    <d v="2026-05-10T00:00:00"/>
    <m/>
    <n v="36"/>
    <m/>
    <m/>
    <m/>
    <m/>
  </r>
  <r>
    <m/>
    <s v="W06002"/>
    <s v="FBA196ZJWR8P"/>
    <s v="V-US"/>
    <x v="0"/>
    <s v="AN8KIT-B_B"/>
    <n v="120"/>
    <s v="嘀嗒嘀"/>
    <s v="盐田海卡"/>
    <s v="TCY1"/>
    <x v="32"/>
    <s v="AN8KIT-B_B 便携式扩香仪套装 黑+黑"/>
    <x v="4"/>
    <n v="6"/>
    <n v="80.56"/>
    <s v="重量收费"/>
    <n v="3.5"/>
    <m/>
    <n v="13.043478260869565"/>
    <n v="295.0034782608696"/>
    <n v="2.4583623188405799"/>
    <n v="0.36691974908068353"/>
    <m/>
    <m/>
    <m/>
    <x v="6"/>
    <d v="2026-03-15T00:00:00"/>
    <m/>
    <n v="0.38666666666666666"/>
    <n v="46.4"/>
    <d v="2026-04-04T00:00:00"/>
    <n v="61"/>
    <d v="2026-05-08T00:00:00"/>
    <m/>
    <n v="34"/>
    <m/>
    <m/>
    <m/>
    <m/>
  </r>
  <r>
    <m/>
    <s v="W06002"/>
    <s v="FBA196ZJWR8P"/>
    <s v="V-US"/>
    <x v="0"/>
    <s v="AN8-WH"/>
    <n v="240"/>
    <s v="嘀嗒嘀"/>
    <s v="盐田海卡"/>
    <s v="TCY1"/>
    <x v="33"/>
    <s v="AN8-WH 便携式扩香仪 白色"/>
    <x v="4"/>
    <n v="6"/>
    <n v="80.56"/>
    <s v="重量收费"/>
    <n v="3.5"/>
    <m/>
    <n v="13.043478260869565"/>
    <n v="295.0034782608696"/>
    <n v="1.2291811594202899"/>
    <n v="0.18345987454034177"/>
    <m/>
    <m/>
    <m/>
    <x v="6"/>
    <d v="2026-03-15T00:00:00"/>
    <m/>
    <n v="0.38666666666666666"/>
    <n v="92.8"/>
    <d v="2026-04-04T00:00:00"/>
    <n v="61"/>
    <d v="2026-05-08T00:00:00"/>
    <m/>
    <n v="34"/>
    <m/>
    <m/>
    <m/>
    <m/>
  </r>
  <r>
    <m/>
    <s v="W06011"/>
    <s v="FBA197DXB0VL"/>
    <s v="W-US"/>
    <x v="0"/>
    <s v="002000027"/>
    <n v="240"/>
    <s v="万邦"/>
    <s v="盐田海卡"/>
    <s v="POC2"/>
    <x v="79"/>
    <s v="M1-B 电子球形把手锁 黑色"/>
    <x v="18"/>
    <n v="15"/>
    <n v="223.63636363636363"/>
    <s v="重量收费"/>
    <n v="3.3"/>
    <n v="200"/>
    <n v="38.961038961038959"/>
    <n v="776.96103896103887"/>
    <n v="3.2373376623376617"/>
    <n v="0.48318472572203908"/>
    <m/>
    <m/>
    <m/>
    <x v="7"/>
    <d v="2026-03-04T00:00:00"/>
    <m/>
    <n v="0.55999999999999994"/>
    <n v="134.39999999999998"/>
    <d v="2026-03-11T00:00:00"/>
    <n v="33"/>
    <d v="2026-04-19T00:00:00"/>
    <m/>
    <n v="39"/>
    <m/>
    <m/>
    <m/>
    <m/>
  </r>
  <r>
    <m/>
    <s v="W06011"/>
    <s v="FBA197DXB0VL"/>
    <s v="W-US"/>
    <x v="0"/>
    <s v="002000037"/>
    <n v="176"/>
    <s v="万邦"/>
    <s v="盐田海卡"/>
    <s v="POC2"/>
    <x v="95"/>
    <s v="M1-SILV 电子球形把手锁 银色"/>
    <x v="18"/>
    <n v="11"/>
    <n v="164"/>
    <s v="重量收费"/>
    <n v="3.3"/>
    <n v="200"/>
    <n v="28.571428571428573"/>
    <n v="569.77142857142849"/>
    <n v="3.2373376623376617"/>
    <n v="0.48318472572203908"/>
    <m/>
    <m/>
    <m/>
    <x v="7"/>
    <d v="2026-03-04T00:00:00"/>
    <m/>
    <n v="0.55999999999999994"/>
    <n v="98.559999999999988"/>
    <d v="2026-03-11T00:00:00"/>
    <n v="33"/>
    <d v="2026-04-19T00:00:00"/>
    <m/>
    <n v="39"/>
    <m/>
    <m/>
    <m/>
    <m/>
  </r>
  <r>
    <m/>
    <s v="W06011"/>
    <s v="FBA197DXB0VL"/>
    <s v="W-US"/>
    <x v="0"/>
    <s v="002000029"/>
    <n v="304"/>
    <s v="万邦"/>
    <s v="盐田海卡"/>
    <s v="POC2"/>
    <x v="81"/>
    <s v="MD1-B 电子球形把手锁 指纹 黑色"/>
    <x v="19"/>
    <n v="19"/>
    <n v="283.27272727272725"/>
    <s v="重量收费"/>
    <n v="3.3"/>
    <m/>
    <n v="49.350649350649348"/>
    <n v="984.15064935064925"/>
    <n v="3.2373376623376622"/>
    <n v="0.48318472572203913"/>
    <m/>
    <m/>
    <m/>
    <x v="7"/>
    <d v="2026-03-04T00:00:00"/>
    <m/>
    <n v="0.55999999999999994"/>
    <n v="170.23999999999998"/>
    <d v="2026-03-11T00:00:00"/>
    <n v="33"/>
    <d v="2026-04-19T00:00:00"/>
    <m/>
    <n v="39"/>
    <m/>
    <m/>
    <m/>
    <m/>
  </r>
  <r>
    <m/>
    <s v="W06011"/>
    <s v="FBA197DXB0VL"/>
    <s v="W-US"/>
    <x v="0"/>
    <s v="002000038"/>
    <n v="256"/>
    <s v="万邦"/>
    <s v="盐田海卡"/>
    <s v="POC2"/>
    <x v="82"/>
    <s v="MD1-SILV 电子球形把手锁 指纹 银色"/>
    <x v="19"/>
    <n v="16"/>
    <n v="238.54545454545453"/>
    <s v="重量收费"/>
    <n v="3.3"/>
    <m/>
    <n v="41.558441558441558"/>
    <n v="828.75844155844152"/>
    <n v="3.2373376623376622"/>
    <n v="0.48318472572203913"/>
    <m/>
    <m/>
    <m/>
    <x v="7"/>
    <d v="2026-03-04T00:00:00"/>
    <m/>
    <n v="0.55999999999999994"/>
    <n v="143.35999999999999"/>
    <d v="2026-03-11T00:00:00"/>
    <n v="33"/>
    <d v="2026-04-19T00:00:00"/>
    <m/>
    <n v="39"/>
    <m/>
    <m/>
    <m/>
    <m/>
  </r>
  <r>
    <m/>
    <s v="W06011"/>
    <s v="FBA197DXB0VL"/>
    <s v="W-US"/>
    <x v="0"/>
    <s v="002000031"/>
    <n v="208"/>
    <s v="万邦"/>
    <s v="盐田海卡"/>
    <s v="POC2"/>
    <x v="84"/>
    <s v="MK1-B 智能球形把手锁 黑色"/>
    <x v="20"/>
    <n v="13"/>
    <n v="193.81818181818181"/>
    <s v="重量收费"/>
    <n v="3.3"/>
    <m/>
    <n v="33.766233766233768"/>
    <n v="673.36623376623368"/>
    <n v="3.2373376623376617"/>
    <n v="0.48318472572203908"/>
    <m/>
    <m/>
    <m/>
    <x v="7"/>
    <d v="2026-03-04T00:00:00"/>
    <m/>
    <n v="0.55999999999999994"/>
    <n v="116.47999999999999"/>
    <d v="2026-03-11T00:00:00"/>
    <n v="33"/>
    <d v="2026-04-19T00:00:00"/>
    <m/>
    <n v="39"/>
    <m/>
    <m/>
    <m/>
    <m/>
  </r>
  <r>
    <m/>
    <s v="W06011"/>
    <s v="FBA197DXB0VL"/>
    <s v="W-US"/>
    <x v="0"/>
    <s v="002000033"/>
    <n v="32"/>
    <s v="万邦"/>
    <s v="盐田海卡"/>
    <s v="POC2"/>
    <x v="85"/>
    <s v="MK1-SILV 智能球形把手锁 银色"/>
    <x v="20"/>
    <n v="2"/>
    <n v="29.818181818181817"/>
    <s v="重量收费"/>
    <n v="3.3"/>
    <m/>
    <n v="5.1948051948051948"/>
    <n v="103.59480519480519"/>
    <n v="3.2373376623376622"/>
    <n v="0.48318472572203913"/>
    <m/>
    <m/>
    <m/>
    <x v="7"/>
    <d v="2026-03-04T00:00:00"/>
    <m/>
    <n v="0.55999999999999994"/>
    <n v="17.919999999999998"/>
    <d v="2026-03-11T00:00:00"/>
    <n v="33"/>
    <d v="2026-04-19T00:00:00"/>
    <m/>
    <n v="39"/>
    <m/>
    <m/>
    <m/>
    <m/>
  </r>
  <r>
    <m/>
    <s v="W06011"/>
    <s v="FBA197DXB0VL"/>
    <s v="W-US"/>
    <x v="0"/>
    <s v="002000032"/>
    <n v="16"/>
    <s v="万邦"/>
    <s v="盐田海卡"/>
    <s v="POC2"/>
    <x v="86"/>
    <s v="MK1-T 智能球形把手锁 钛色"/>
    <x v="20"/>
    <n v="1"/>
    <n v="14.909090909090908"/>
    <s v="重量收费"/>
    <n v="3.3"/>
    <m/>
    <n v="2.5974025974025974"/>
    <n v="51.797402597402595"/>
    <n v="3.2373376623376622"/>
    <n v="0.48318472572203913"/>
    <m/>
    <m/>
    <m/>
    <x v="7"/>
    <d v="2026-03-04T00:00:00"/>
    <m/>
    <n v="0.55999999999999994"/>
    <n v="8.9599999999999991"/>
    <d v="2026-03-11T00:00:00"/>
    <n v="33"/>
    <d v="2026-04-19T00:00:00"/>
    <m/>
    <n v="39"/>
    <m/>
    <m/>
    <m/>
    <m/>
  </r>
  <r>
    <m/>
    <s v="W06010"/>
    <s v="FBA1976WKL4D"/>
    <s v="W-US"/>
    <x v="0"/>
    <s v="G1-DT"/>
    <n v="144"/>
    <s v="万邦"/>
    <s v="盐田海卡"/>
    <s v="GEU3"/>
    <x v="64"/>
    <s v="G1-DT 电子球形把手锁 沙漠钛色"/>
    <x v="12"/>
    <n v="9"/>
    <n v="121.5"/>
    <s v="重量收费"/>
    <n v="3"/>
    <n v="200"/>
    <n v="100"/>
    <n v="464.5"/>
    <n v="3.2256944444444446"/>
    <n v="0.48144693200663352"/>
    <m/>
    <m/>
    <m/>
    <x v="7"/>
    <d v="2026-03-01T00:00:00"/>
    <m/>
    <n v="0.56000000000000005"/>
    <n v="80.640000000000015"/>
    <d v="2026-03-13T00:00:00"/>
    <n v="35"/>
    <d v="2026-04-16T00:00:00"/>
    <m/>
    <n v="34"/>
    <m/>
    <m/>
    <m/>
    <m/>
  </r>
  <r>
    <m/>
    <s v="W06010"/>
    <s v="FBA1976WKL4D"/>
    <s v="W-US"/>
    <x v="0"/>
    <s v="G1-SILV"/>
    <n v="144"/>
    <s v="万邦"/>
    <s v="盐田海卡"/>
    <s v="GEU3"/>
    <x v="65"/>
    <s v="G1-SILV 电子球形把手锁 银色"/>
    <x v="12"/>
    <n v="9"/>
    <n v="121.5"/>
    <s v="重量收费"/>
    <n v="3"/>
    <n v="200"/>
    <n v="100"/>
    <n v="464.5"/>
    <n v="3.2256944444444446"/>
    <n v="0.48144693200663352"/>
    <m/>
    <m/>
    <m/>
    <x v="7"/>
    <d v="2026-03-01T00:00:00"/>
    <m/>
    <n v="0.56000000000000005"/>
    <n v="80.640000000000015"/>
    <d v="2026-03-13T00:00:00"/>
    <n v="35"/>
    <d v="2026-04-16T00:00:00"/>
    <m/>
    <n v="34"/>
    <m/>
    <m/>
    <m/>
    <m/>
  </r>
  <r>
    <m/>
    <s v="W06004"/>
    <s v="FBA1976LX63R"/>
    <s v="E-US"/>
    <x v="0"/>
    <s v="003000014"/>
    <n v="80"/>
    <s v="万邦"/>
    <s v="美东海卡"/>
    <s v="MGE3"/>
    <x v="96"/>
    <s v="AP2US-H14 内置H14滤网桌面式空气净化器2-美规"/>
    <x v="21"/>
    <n v="20"/>
    <n v="476"/>
    <s v="重量收费"/>
    <n v="4.9000000000000004"/>
    <n v="200"/>
    <n v="200"/>
    <n v="2532.4"/>
    <n v="31.655000000000001"/>
    <n v="4.7246268656716417"/>
    <m/>
    <m/>
    <m/>
    <x v="8"/>
    <d v="2026-03-17T00:00:00"/>
    <m/>
    <n v="0"/>
    <n v="0"/>
    <d v="2026-03-26T00:00:00"/>
    <n v="51"/>
    <d v="2026-03-30T00:00:00"/>
    <n v="80"/>
    <n v="4"/>
    <m/>
    <m/>
    <m/>
    <m/>
  </r>
  <r>
    <m/>
    <s v="W06005"/>
    <s v="FBA1976MP8CY"/>
    <s v="E-US"/>
    <x v="0"/>
    <s v="003000014"/>
    <n v="80"/>
    <s v="万邦"/>
    <s v="盐田海卡"/>
    <s v="SWF1"/>
    <x v="96"/>
    <s v="AP2US-H14 内置H14滤网桌面式空气净化器2-美规"/>
    <x v="21"/>
    <n v="20"/>
    <n v="474"/>
    <s v="重量收费"/>
    <n v="4.7"/>
    <n v="200"/>
    <n v="200"/>
    <n v="2427.8000000000002"/>
    <n v="30.347500000000004"/>
    <n v="4.5294776119402993"/>
    <m/>
    <m/>
    <m/>
    <x v="8"/>
    <d v="2026-03-21T00:00:00"/>
    <m/>
    <n v="0"/>
    <n v="0"/>
    <d v="2026-03-30T00:00:00"/>
    <n v="55"/>
    <d v="2026-03-31T00:00:00"/>
    <n v="80"/>
    <n v="1"/>
    <m/>
    <m/>
    <m/>
    <m/>
  </r>
  <r>
    <m/>
    <s v="W06006"/>
    <s v="FBA1976N1PRR"/>
    <s v="E-US"/>
    <x v="0"/>
    <s v="003000014"/>
    <n v="80"/>
    <s v="万邦"/>
    <s v="美东海卡"/>
    <s v="FAT2"/>
    <x v="96"/>
    <s v="AP2US-H14 内置H14滤网桌面式空气净化器2-美规"/>
    <x v="21"/>
    <n v="20"/>
    <n v="478"/>
    <s v="重量收费"/>
    <n v="4.4000000000000004"/>
    <n v="200"/>
    <n v="200"/>
    <n v="2303.2000000000003"/>
    <n v="28.790000000000003"/>
    <n v="4.2970149253731345"/>
    <m/>
    <m/>
    <m/>
    <x v="8"/>
    <d v="2026-03-04T00:00:00"/>
    <m/>
    <n v="0"/>
    <n v="0"/>
    <d v="2026-03-29T00:00:00"/>
    <n v="54"/>
    <d v="2026-04-09T00:00:00"/>
    <n v="80"/>
    <n v="11"/>
    <m/>
    <m/>
    <m/>
    <m/>
  </r>
  <r>
    <m/>
    <s v="W06007"/>
    <s v="FBA1976NHDF8"/>
    <s v="E-US"/>
    <x v="0"/>
    <s v="003000014"/>
    <n v="80"/>
    <s v="嘀嗒嘀"/>
    <s v="美中海卡"/>
    <s v="AKR1"/>
    <x v="96"/>
    <s v="AP2US-H14 内置H14滤网桌面式空气净化器2-美规"/>
    <x v="21"/>
    <n v="20"/>
    <n v="474"/>
    <s v="重量收费"/>
    <n v="6"/>
    <n v="200"/>
    <n v="200"/>
    <n v="3044"/>
    <n v="38.049999999999997"/>
    <n v="5.6791044776119399"/>
    <m/>
    <m/>
    <m/>
    <x v="8"/>
    <d v="2026-04-07T00:00:00"/>
    <m/>
    <n v="0"/>
    <n v="0"/>
    <d v="2026-04-18T00:00:00"/>
    <n v="74"/>
    <d v="2026-04-28T00:00:00"/>
    <m/>
    <n v="10"/>
    <m/>
    <m/>
    <m/>
    <m/>
  </r>
  <r>
    <m/>
    <s v="W06008"/>
    <s v="FBA1976MCGX6"/>
    <s v="E-US"/>
    <x v="0"/>
    <s v="003000014"/>
    <n v="80"/>
    <s v="万邦"/>
    <s v="美森海卡"/>
    <s v="LFT1"/>
    <x v="96"/>
    <s v="AP2US-H14 内置H14滤网桌面式空气净化器2-美规"/>
    <x v="21"/>
    <n v="20"/>
    <n v="474"/>
    <s v="重量收费"/>
    <n v="5.7"/>
    <n v="200"/>
    <n v="200"/>
    <n v="2901.8"/>
    <n v="36.272500000000001"/>
    <n v="5.4138059701492534"/>
    <m/>
    <m/>
    <m/>
    <x v="8"/>
    <d v="2026-03-14T00:00:00"/>
    <m/>
    <n v="0"/>
    <n v="0"/>
    <d v="2026-03-27T00:00:00"/>
    <n v="52"/>
    <d v="2026-03-27T00:00:00"/>
    <n v="80"/>
    <n v="0"/>
    <m/>
    <m/>
    <m/>
    <m/>
  </r>
  <r>
    <m/>
    <s v="W06009"/>
    <s v="FBA197D77P3S"/>
    <s v="W-US"/>
    <x v="0"/>
    <s v="002000031"/>
    <n v="160"/>
    <s v="万邦"/>
    <s v="美森海卡"/>
    <s v="POC2"/>
    <x v="84"/>
    <s v="MK1-B 智能球形把手锁 黑色"/>
    <x v="20"/>
    <n v="10"/>
    <n v="142"/>
    <s v="重量收费"/>
    <n v="9.5"/>
    <n v="200"/>
    <n v="200"/>
    <n v="1549"/>
    <n v="9.6812500000000004"/>
    <n v="1.4449626865671641"/>
    <m/>
    <m/>
    <m/>
    <x v="7"/>
    <d v="2026-02-22T00:00:00"/>
    <m/>
    <n v="0.55999999999999994"/>
    <n v="89.6"/>
    <d v="2026-03-11T00:00:00"/>
    <n v="33"/>
    <d v="2026-04-12T00:00:00"/>
    <m/>
    <n v="32"/>
    <m/>
    <m/>
    <m/>
    <m/>
  </r>
  <r>
    <m/>
    <s v="W10001"/>
    <s v="FBA1987594KP"/>
    <s v="E-US"/>
    <x v="0"/>
    <s v="ANZ-B"/>
    <n v="200"/>
    <s v="嘀嗒嘀"/>
    <s v="盐田海卡"/>
    <s v="TCY1"/>
    <x v="0"/>
    <s v="ANZ-B 便携式扩香仪 黑色"/>
    <x v="0"/>
    <n v="5"/>
    <n v="73.849999999999994"/>
    <s v="重量收费"/>
    <n v="3.3"/>
    <n v="200"/>
    <n v="7.1942446043165464"/>
    <n v="250.89924460431649"/>
    <n v="1.2544962230215824"/>
    <n v="0.1872382422420272"/>
    <m/>
    <m/>
    <m/>
    <x v="9"/>
    <d v="2026-03-28T00:00:00"/>
    <m/>
    <n v="0.36"/>
    <n v="72"/>
    <d v="2026-04-04T00:00:00"/>
    <n v="29"/>
    <d v="2026-05-07T00:00:00"/>
    <m/>
    <n v="33"/>
    <m/>
    <m/>
    <m/>
    <m/>
  </r>
  <r>
    <m/>
    <s v="W10003"/>
    <s v="FBA198F648V6"/>
    <s v="E-US"/>
    <x v="0"/>
    <s v="ANZ-B"/>
    <n v="600"/>
    <s v="嘀嗒嘀"/>
    <s v="以星海卡"/>
    <s v="TCY1"/>
    <x v="0"/>
    <s v="ANZ-B 便携式扩香仪 黑色"/>
    <x v="0"/>
    <n v="15"/>
    <n v="202"/>
    <s v="重量收费"/>
    <n v="4.2"/>
    <n v="200"/>
    <n v="200"/>
    <n v="1048.4000000000001"/>
    <n v="1.7473333333333334"/>
    <n v="0.2607960199004975"/>
    <m/>
    <m/>
    <m/>
    <x v="9"/>
    <d v="2026-03-25T00:00:00"/>
    <m/>
    <n v="0.36"/>
    <n v="216"/>
    <d v="2026-04-04T00:00:00"/>
    <n v="29"/>
    <d v="2026-04-29T00:00:00"/>
    <m/>
    <n v="25"/>
    <m/>
    <m/>
    <m/>
    <m/>
  </r>
  <r>
    <m/>
    <s v="W10001"/>
    <s v="FBA198CCWL4Q"/>
    <s v="V-US"/>
    <x v="0"/>
    <s v="001000019"/>
    <n v="800"/>
    <s v="嘀嗒嘀"/>
    <s v="盐田海卡"/>
    <s v="TCY1"/>
    <x v="17"/>
    <s v="AN6-B 便携式扩香仪 黑色"/>
    <x v="3"/>
    <n v="20"/>
    <n v="295.39555555555557"/>
    <s v="重量收费"/>
    <n v="3.3"/>
    <m/>
    <n v="28.776978417266186"/>
    <n v="1003.5823117505995"/>
    <n v="1.2544778896882494"/>
    <n v="0.18723550592361929"/>
    <m/>
    <m/>
    <m/>
    <x v="9"/>
    <d v="2026-03-28T00:00:00"/>
    <m/>
    <n v="0.3721518987341772"/>
    <n v="297.72151898734177"/>
    <d v="2026-04-04T00:00:00"/>
    <n v="29"/>
    <d v="2026-05-09T00:00:00"/>
    <m/>
    <n v="35"/>
    <m/>
    <m/>
    <m/>
    <m/>
  </r>
  <r>
    <m/>
    <s v="W10001"/>
    <s v="FBA198CCWL4Q"/>
    <s v="V-US"/>
    <x v="0"/>
    <s v="001000020"/>
    <n v="480"/>
    <s v="嘀嗒嘀"/>
    <s v="盐田海卡"/>
    <s v="TCY1"/>
    <x v="18"/>
    <s v="AN6-W 便携式扩香仪 白色"/>
    <x v="3"/>
    <n v="12"/>
    <n v="177.23733333333334"/>
    <s v="重量收费"/>
    <n v="3.3"/>
    <m/>
    <n v="17.266187050359711"/>
    <n v="602.14938705035968"/>
    <n v="1.2544778896882494"/>
    <n v="0.18723550592361929"/>
    <m/>
    <m/>
    <m/>
    <x v="9"/>
    <d v="2026-03-28T00:00:00"/>
    <m/>
    <n v="0.3721518987341772"/>
    <n v="178.63291139240505"/>
    <d v="2026-04-04T00:00:00"/>
    <n v="29"/>
    <d v="2026-05-09T00:00:00"/>
    <m/>
    <n v="35"/>
    <m/>
    <m/>
    <m/>
    <m/>
  </r>
  <r>
    <m/>
    <s v="W10001"/>
    <s v="FBA198CCWL4Q"/>
    <s v="V-US"/>
    <x v="0"/>
    <s v="AN8KIT-B_B"/>
    <n v="240"/>
    <s v="嘀嗒嘀"/>
    <s v="盐田海卡"/>
    <s v="TCY1"/>
    <x v="32"/>
    <s v="AN8KIT-B_B 便携式扩香仪套装 黑+黑"/>
    <x v="4"/>
    <n v="12"/>
    <n v="177.23733333333334"/>
    <s v="重量收费"/>
    <n v="3.3"/>
    <m/>
    <n v="17.266187050359711"/>
    <n v="602.14938705035968"/>
    <n v="2.5089557793764987"/>
    <n v="0.37447101184723858"/>
    <m/>
    <m/>
    <m/>
    <x v="9"/>
    <d v="2026-03-28T00:00:00"/>
    <m/>
    <n v="0.3721518987341772"/>
    <n v="89.316455696202524"/>
    <d v="2026-04-04T00:00:00"/>
    <n v="29"/>
    <d v="2026-05-09T00:00:00"/>
    <m/>
    <n v="35"/>
    <m/>
    <m/>
    <m/>
    <m/>
  </r>
  <r>
    <m/>
    <s v="W10001"/>
    <s v="FBA198CCWL4Q"/>
    <s v="V-US"/>
    <x v="0"/>
    <s v="RD1PJ-BOT"/>
    <n v="60"/>
    <s v="嘀嗒嘀"/>
    <s v="盐田海卡"/>
    <s v="TCY1"/>
    <x v="97"/>
    <s v="RD1PJ-BOT 便携式扩香仪100mL带盖替换玻璃瓶"/>
    <x v="22"/>
    <n v="1"/>
    <n v="14.769777777777778"/>
    <s v="重量收费"/>
    <n v="3.3"/>
    <m/>
    <n v="1.4388489208633093"/>
    <n v="50.179115587529971"/>
    <n v="0.8363185931254995"/>
    <n v="0.12482367061574619"/>
    <m/>
    <m/>
    <m/>
    <x v="9"/>
    <d v="2026-03-28T00:00:00"/>
    <m/>
    <n v="0.3721518987341772"/>
    <n v="22.329113924050631"/>
    <d v="2026-04-04T00:00:00"/>
    <n v="29"/>
    <d v="2026-05-09T00:00:00"/>
    <m/>
    <n v="35"/>
    <m/>
    <m/>
    <m/>
    <m/>
  </r>
  <r>
    <m/>
    <s v="W10001"/>
    <s v="FBA19873RZMP"/>
    <s v="V-US"/>
    <x v="0"/>
    <s v="AN6KIT-B_4X10ML"/>
    <n v="300"/>
    <s v="嘀嗒嘀"/>
    <s v="盐田海卡"/>
    <s v="TCY1"/>
    <x v="7"/>
    <s v="AN6KIT-B_4X10ML AN6黑色机器+4x10mL香氛油（天竺） 机油套装"/>
    <x v="3"/>
    <n v="10"/>
    <n v="147.69753086419752"/>
    <s v="重量收费"/>
    <n v="3.3"/>
    <m/>
    <n v="14.388489208633093"/>
    <n v="501.79034106048488"/>
    <n v="1.6726344702016163"/>
    <n v="0.24964693585098749"/>
    <m/>
    <m/>
    <m/>
    <x v="9"/>
    <d v="2026-03-28T00:00:00"/>
    <m/>
    <n v="0.44"/>
    <n v="132"/>
    <d v="2026-04-04T00:00:00"/>
    <n v="29"/>
    <d v="2026-05-09T00:00:00"/>
    <m/>
    <n v="35"/>
    <m/>
    <m/>
    <m/>
    <m/>
  </r>
  <r>
    <m/>
    <s v="W10001"/>
    <s v="FBA19873RZMP"/>
    <s v="V-US"/>
    <x v="0"/>
    <s v="AN8KIT-B_4X10K01"/>
    <n v="1200"/>
    <s v="嘀嗒嘀"/>
    <s v="盐田海卡"/>
    <s v="TCY1"/>
    <x v="10"/>
    <s v="AN8KIT-B_4X10K01 AN8黑色机器+4x10mL酒店香氛油 机油套装"/>
    <x v="4"/>
    <n v="40"/>
    <n v="590.79012345679007"/>
    <s v="重量收费"/>
    <n v="3.3"/>
    <m/>
    <n v="57.553956834532372"/>
    <n v="2007.1613642419395"/>
    <n v="1.6726344702016163"/>
    <n v="0.24964693585098749"/>
    <m/>
    <m/>
    <m/>
    <x v="9"/>
    <d v="2026-03-28T00:00:00"/>
    <m/>
    <n v="0.44"/>
    <n v="528"/>
    <d v="2026-04-04T00:00:00"/>
    <n v="29"/>
    <d v="2026-05-09T00:00:00"/>
    <m/>
    <n v="35"/>
    <m/>
    <m/>
    <m/>
    <m/>
  </r>
  <r>
    <m/>
    <s v="W10001"/>
    <s v="FBA19873RZMP"/>
    <s v="V-US"/>
    <x v="0"/>
    <s v="AN8KIT-WH_4X10K01"/>
    <n v="450"/>
    <s v="嘀嗒嘀"/>
    <s v="盐田海卡"/>
    <s v="TCY1"/>
    <x v="12"/>
    <s v="AN8KIT-WH_4X10K01 AN8白色机器+4x10mL酒店香氛油 机油套装"/>
    <x v="4"/>
    <n v="15"/>
    <n v="221.5462962962963"/>
    <s v="重量收费"/>
    <n v="3.3"/>
    <m/>
    <n v="21.582733812949641"/>
    <n v="752.6855115907274"/>
    <n v="1.6726344702016165"/>
    <n v="0.24964693585098752"/>
    <m/>
    <m/>
    <m/>
    <x v="9"/>
    <d v="2026-03-28T00:00:00"/>
    <m/>
    <n v="0.44"/>
    <n v="198"/>
    <d v="2026-04-04T00:00:00"/>
    <n v="29"/>
    <d v="2026-05-09T00:00:00"/>
    <m/>
    <n v="35"/>
    <m/>
    <m/>
    <m/>
    <m/>
  </r>
  <r>
    <m/>
    <s v="W10001"/>
    <s v="FBA19873RZMP"/>
    <s v="V-US"/>
    <x v="0"/>
    <s v="RD1KIT-T_2X30K04"/>
    <n v="320"/>
    <s v="嘀嗒嘀"/>
    <s v="盐田海卡"/>
    <s v="TCY1"/>
    <x v="98"/>
    <s v="RD1KIT-T_2X30K04 RD1沙漠钛色机器+2X30mL酒店香氛油 机油套装"/>
    <x v="23"/>
    <n v="16"/>
    <n v="236.31604938271605"/>
    <s v="重量收费"/>
    <n v="3.3"/>
    <m/>
    <n v="23.021582733812949"/>
    <n v="802.86454569677585"/>
    <n v="2.5089517053024246"/>
    <n v="0.37447040377648128"/>
    <m/>
    <m/>
    <m/>
    <x v="9"/>
    <d v="2026-03-28T00:00:00"/>
    <m/>
    <n v="0.44"/>
    <n v="140.80000000000001"/>
    <d v="2026-04-04T00:00:00"/>
    <n v="29"/>
    <d v="2026-05-09T00:00:00"/>
    <m/>
    <n v="35"/>
    <m/>
    <m/>
    <m/>
    <m/>
  </r>
  <r>
    <m/>
    <s v="W10002"/>
    <s v="FBA198354HLL"/>
    <s v="V-CA"/>
    <x v="3"/>
    <s v="001000019"/>
    <n v="160"/>
    <s v="嘀嗒嘀"/>
    <s v="加拿大海卡"/>
    <s v="YVR4"/>
    <x v="17"/>
    <s v="AN6-B 便携式扩香仪 黑色"/>
    <x v="3"/>
    <n v="4"/>
    <n v="54.8"/>
    <s v="重量收费"/>
    <n v="3.3"/>
    <n v="200"/>
    <n v="80"/>
    <n v="260.83999999999997"/>
    <n v="1.6302499999999998"/>
    <n v="0.243320895522388"/>
    <m/>
    <m/>
    <m/>
    <x v="9"/>
    <d v="2026-04-09T00:00:00"/>
    <m/>
    <n v="0"/>
    <n v="0"/>
    <d v="2026-04-13T00:00:00"/>
    <n v="38"/>
    <d v="2026-05-13T00:00:00"/>
    <m/>
    <n v="30"/>
    <m/>
    <m/>
    <m/>
    <m/>
  </r>
  <r>
    <m/>
    <s v="W10002"/>
    <s v="FBA198354HLL"/>
    <s v="V-CA"/>
    <x v="3"/>
    <s v="001000020"/>
    <n v="200"/>
    <s v="嘀嗒嘀"/>
    <s v="加拿大海卡"/>
    <s v="YVR4"/>
    <x v="18"/>
    <s v="AN6-W 便携式扩香仪 白色"/>
    <x v="3"/>
    <n v="5"/>
    <n v="68.5"/>
    <s v="重量收费"/>
    <n v="3.3"/>
    <n v="200"/>
    <n v="100"/>
    <n v="326.04999999999995"/>
    <n v="1.6302499999999998"/>
    <n v="0.243320895522388"/>
    <m/>
    <m/>
    <m/>
    <x v="9"/>
    <d v="2026-04-09T00:00:00"/>
    <m/>
    <n v="0"/>
    <n v="0"/>
    <d v="2026-04-13T00:00:00"/>
    <n v="38"/>
    <d v="2026-05-13T00:00:00"/>
    <m/>
    <n v="30"/>
    <m/>
    <m/>
    <m/>
    <m/>
  </r>
  <r>
    <m/>
    <s v="W10002"/>
    <s v="FBA198354HLL"/>
    <s v="V-CA"/>
    <x v="3"/>
    <s v="001000021"/>
    <n v="150"/>
    <s v="嘀嗒嘀"/>
    <s v="加拿大海卡"/>
    <s v="YVR4"/>
    <x v="69"/>
    <s v="AN6NZ-B AN6喷嘴配件套装 黑色"/>
    <x v="14"/>
    <n v="0.75"/>
    <n v="10.274999999999999"/>
    <s v="重量收费"/>
    <n v="3.3"/>
    <m/>
    <n v="15"/>
    <n v="48.907499999999992"/>
    <n v="0.32604999999999995"/>
    <n v="4.8664179104477602E-2"/>
    <m/>
    <m/>
    <m/>
    <x v="9"/>
    <d v="2026-04-09T00:00:00"/>
    <m/>
    <n v="0"/>
    <n v="0"/>
    <d v="2026-04-13T00:00:00"/>
    <n v="38"/>
    <d v="2026-05-13T00:00:00"/>
    <m/>
    <n v="30"/>
    <m/>
    <m/>
    <m/>
    <m/>
  </r>
  <r>
    <m/>
    <s v="W10002"/>
    <s v="FBA198354HLL"/>
    <s v="V-CA"/>
    <x v="3"/>
    <s v="001000022"/>
    <n v="50"/>
    <s v="嘀嗒嘀"/>
    <s v="加拿大海卡"/>
    <s v="YVR4"/>
    <x v="99"/>
    <s v="AN6NZ-W AN6喷嘴配件套装 白色"/>
    <x v="14"/>
    <n v="0.25"/>
    <n v="3.4249999999999998"/>
    <s v="重量收费"/>
    <n v="3.3"/>
    <m/>
    <n v="5"/>
    <n v="16.302499999999998"/>
    <n v="0.32604999999999995"/>
    <n v="4.8664179104477602E-2"/>
    <m/>
    <m/>
    <m/>
    <x v="9"/>
    <d v="2026-04-09T00:00:00"/>
    <m/>
    <n v="0"/>
    <n v="0"/>
    <d v="2026-04-13T00:00:00"/>
    <n v="38"/>
    <d v="2026-05-13T00:00:00"/>
    <m/>
    <n v="30"/>
    <m/>
    <m/>
    <m/>
    <m/>
  </r>
  <r>
    <m/>
    <s v="W10001"/>
    <s v="FBA198F4S73Q"/>
    <s v="V-US"/>
    <x v="0"/>
    <s v="001000019"/>
    <n v="200"/>
    <s v="嘀嗒嘀"/>
    <s v="盐田海卡"/>
    <s v="TCY1"/>
    <x v="17"/>
    <s v="AN6-B 便携式扩香仪 黑色"/>
    <x v="3"/>
    <n v="5"/>
    <n v="73.849999999999994"/>
    <s v="重量收费"/>
    <n v="3.3"/>
    <m/>
    <n v="7.1942446043165464"/>
    <n v="250.89924460431649"/>
    <n v="1.2544962230215824"/>
    <n v="0.1872382422420272"/>
    <m/>
    <m/>
    <m/>
    <x v="9"/>
    <d v="2026-03-28T00:00:00"/>
    <m/>
    <n v="0.36"/>
    <n v="72"/>
    <d v="2026-04-04T00:00:00"/>
    <n v="29"/>
    <d v="2026-05-06T00:00:00"/>
    <m/>
    <n v="32"/>
    <m/>
    <m/>
    <m/>
    <m/>
  </r>
  <r>
    <m/>
    <s v="W10001"/>
    <s v="FBA198F4S73Q"/>
    <s v="V-US"/>
    <x v="0"/>
    <s v="AN6-LV"/>
    <n v="120"/>
    <s v="嘀嗒嘀"/>
    <s v="盐田海卡"/>
    <s v="TCY1"/>
    <x v="68"/>
    <s v="AN6-LV 便携式扩香仪 薰衣草"/>
    <x v="3"/>
    <n v="3"/>
    <n v="44.31"/>
    <s v="重量收费"/>
    <n v="3.3"/>
    <m/>
    <n v="4.3165467625899279"/>
    <n v="150.53954676258994"/>
    <n v="1.2544962230215828"/>
    <n v="0.18723824224202729"/>
    <m/>
    <m/>
    <m/>
    <x v="9"/>
    <d v="2026-03-28T00:00:00"/>
    <m/>
    <n v="0.36"/>
    <n v="43.199999999999996"/>
    <d v="2026-04-04T00:00:00"/>
    <n v="29"/>
    <d v="2026-05-06T00:00:00"/>
    <m/>
    <n v="32"/>
    <m/>
    <m/>
    <m/>
    <m/>
  </r>
  <r>
    <m/>
    <s v="W11003"/>
    <s v="FBA198K79B9C"/>
    <s v="E-US"/>
    <x v="0"/>
    <s v="ANZ-B"/>
    <n v="400"/>
    <s v="嘀嗒嘀"/>
    <s v="美森海卡"/>
    <s v="POC2"/>
    <x v="0"/>
    <s v="ANZ-B 便携式扩香仪 黑色"/>
    <x v="0"/>
    <n v="10"/>
    <n v="136"/>
    <s v="重量收费"/>
    <n v="6.3"/>
    <n v="200"/>
    <n v="40"/>
    <n v="896.8"/>
    <n v="2.242"/>
    <n v="0.33462686567164179"/>
    <m/>
    <m/>
    <m/>
    <x v="10"/>
    <d v="2026-03-29T00:00:00"/>
    <m/>
    <n v="0.36"/>
    <n v="144"/>
    <d v="2026-04-03T00:00:00"/>
    <n v="21"/>
    <d v="2026-05-05T00:00:00"/>
    <m/>
    <n v="32"/>
    <m/>
    <m/>
    <m/>
    <m/>
  </r>
  <r>
    <m/>
    <s v="W11010"/>
    <s v="FBA198K5X4YB"/>
    <s v="E-US"/>
    <x v="0"/>
    <s v="001000051"/>
    <n v="120"/>
    <s v="嘀嗒嘀"/>
    <s v="盐田海卡"/>
    <s v="POC2"/>
    <x v="4"/>
    <s v="ANX-SG 便携式扩香仪 太空灰色"/>
    <x v="1"/>
    <n v="4"/>
    <n v="53"/>
    <s v="重量收费"/>
    <n v="3.1"/>
    <n v="200"/>
    <n v="50"/>
    <n v="214.3"/>
    <n v="1.7858333333333334"/>
    <n v="0.26654228855721396"/>
    <m/>
    <m/>
    <m/>
    <x v="10"/>
    <d v="2026-04-06T00:00:00"/>
    <m/>
    <n v="0.376"/>
    <n v="45.12"/>
    <d v="2026-04-17T00:00:00"/>
    <n v="35"/>
    <d v="2026-05-19T00:00:00"/>
    <m/>
    <n v="32"/>
    <m/>
    <m/>
    <m/>
    <m/>
  </r>
  <r>
    <m/>
    <s v="W11010"/>
    <s v="FBA198K5X4YB"/>
    <s v="E-US"/>
    <x v="0"/>
    <s v="ANZ-B"/>
    <n v="480"/>
    <s v="嘀嗒嘀"/>
    <s v="盐田海卡"/>
    <s v="POC2"/>
    <x v="0"/>
    <s v="ANZ-B 便携式扩香仪 黑色"/>
    <x v="0"/>
    <n v="12"/>
    <n v="159"/>
    <s v="重量收费"/>
    <n v="3.1"/>
    <n v="200"/>
    <n v="150"/>
    <n v="642.90000000000009"/>
    <n v="1.3393750000000002"/>
    <n v="0.19990671641791047"/>
    <m/>
    <m/>
    <m/>
    <x v="10"/>
    <d v="2026-04-06T00:00:00"/>
    <m/>
    <n v="0.376"/>
    <n v="180.48"/>
    <d v="2026-04-17T00:00:00"/>
    <n v="35"/>
    <d v="2026-05-19T00:00:00"/>
    <m/>
    <n v="32"/>
    <m/>
    <m/>
    <m/>
    <m/>
  </r>
  <r>
    <m/>
    <s v="W11005"/>
    <s v="FBA15LHXTKQ1"/>
    <s v="E-UK"/>
    <x v="2"/>
    <s v="001000039"/>
    <n v="240"/>
    <s v="嘀嗒嘀"/>
    <s v="英国海卡"/>
    <s v="BHX4"/>
    <x v="35"/>
    <s v="AN6-GL 便携式扩香仪 翠百合色"/>
    <x v="3"/>
    <n v="6"/>
    <n v="80.400000000000006"/>
    <s v="重量收费"/>
    <n v="4.0999999999999996"/>
    <n v="550"/>
    <n v="330"/>
    <n v="659.64"/>
    <n v="2.7484999999999999"/>
    <n v="0.41022388059701492"/>
    <m/>
    <m/>
    <m/>
    <x v="10"/>
    <d v="2026-04-26T00:00:00"/>
    <m/>
    <n v="0"/>
    <n v="0"/>
    <d v="2026-05-01T00:00:00"/>
    <n v="49"/>
    <m/>
    <m/>
    <n v="-46143"/>
    <m/>
    <m/>
    <m/>
    <m/>
  </r>
  <r>
    <m/>
    <s v="W11005"/>
    <s v="FBA15LHXTKQ1"/>
    <s v="E-UK"/>
    <x v="2"/>
    <s v="001000040"/>
    <n v="80"/>
    <s v="嘀嗒嘀"/>
    <s v="英国海卡"/>
    <s v="BHX4"/>
    <x v="100"/>
    <s v="AN6-LB 便携式扩香仪 浅钢蓝色"/>
    <x v="3"/>
    <n v="2"/>
    <n v="26.8"/>
    <s v="重量收费"/>
    <n v="4.0999999999999996"/>
    <n v="550"/>
    <n v="110"/>
    <n v="219.88"/>
    <n v="2.7484999999999999"/>
    <n v="0.41022388059701492"/>
    <m/>
    <m/>
    <m/>
    <x v="10"/>
    <d v="2026-04-26T00:00:00"/>
    <m/>
    <n v="0"/>
    <n v="0"/>
    <d v="2026-05-01T00:00:00"/>
    <n v="49"/>
    <m/>
    <m/>
    <n v="-46143"/>
    <m/>
    <m/>
    <m/>
    <m/>
  </r>
  <r>
    <m/>
    <s v="W11005"/>
    <s v="FBA15LHXTKQ1"/>
    <s v="E-UK"/>
    <x v="2"/>
    <s v="001000051"/>
    <n v="60"/>
    <s v="嘀嗒嘀"/>
    <s v="英国海卡"/>
    <s v="BHX4"/>
    <x v="4"/>
    <s v="ANX-SG 便携式扩香仪 太空灰色"/>
    <x v="1"/>
    <n v="2"/>
    <n v="26.8"/>
    <s v="重量收费"/>
    <n v="4.0999999999999996"/>
    <m/>
    <n v="110"/>
    <n v="219.88"/>
    <n v="3.6646666666666667"/>
    <n v="0.54696517412935319"/>
    <m/>
    <m/>
    <m/>
    <x v="10"/>
    <d v="2026-04-26T00:00:00"/>
    <m/>
    <n v="0"/>
    <n v="0"/>
    <d v="2026-05-01T00:00:00"/>
    <n v="49"/>
    <m/>
    <m/>
    <n v="-46143"/>
    <m/>
    <m/>
    <m/>
    <m/>
  </r>
  <r>
    <m/>
    <s v="W11006"/>
    <s v="FBA15LJ7LFCF"/>
    <s v="W-DE"/>
    <x v="1"/>
    <s v="001000039"/>
    <n v="240"/>
    <s v="万邦"/>
    <s v="欧洲海卡"/>
    <s v="BER8"/>
    <x v="35"/>
    <s v="AN6-GL 便携式扩香仪 翠百合色"/>
    <x v="3"/>
    <n v="6"/>
    <n v="81.599999999999994"/>
    <s v="重量收费"/>
    <n v="6.7"/>
    <n v="250"/>
    <n v="150"/>
    <n v="696.72"/>
    <n v="2.903"/>
    <n v="0.43328358208955225"/>
    <m/>
    <m/>
    <m/>
    <x v="11"/>
    <d v="2026-04-18T00:00:00"/>
    <m/>
    <n v="0"/>
    <n v="0"/>
    <d v="2026-05-22T00:00:00"/>
    <n v="69"/>
    <m/>
    <m/>
    <n v="-46164"/>
    <m/>
    <m/>
    <m/>
    <m/>
  </r>
  <r>
    <m/>
    <s v="W11006"/>
    <s v="FBA15LJ7LFCF"/>
    <s v="W-DE"/>
    <x v="1"/>
    <s v="001000020"/>
    <n v="160"/>
    <s v="万邦"/>
    <s v="欧洲海卡"/>
    <s v="BER8"/>
    <x v="18"/>
    <s v="AN6-W 便携式扩香仪 白色"/>
    <x v="3"/>
    <n v="4"/>
    <n v="54.4"/>
    <s v="重量收费"/>
    <n v="6.7"/>
    <n v="250"/>
    <n v="100"/>
    <n v="464.48"/>
    <n v="2.903"/>
    <n v="0.43328358208955225"/>
    <m/>
    <m/>
    <m/>
    <x v="11"/>
    <d v="2026-04-18T00:00:00"/>
    <m/>
    <n v="0"/>
    <n v="0"/>
    <d v="2026-05-22T00:00:00"/>
    <n v="69"/>
    <m/>
    <m/>
    <n v="-46164"/>
    <m/>
    <m/>
    <m/>
    <m/>
  </r>
  <r>
    <m/>
    <s v="W11011"/>
    <s v="FBA198R5WZBL"/>
    <s v="V-US"/>
    <x v="0"/>
    <s v="AN8KIT-B_4X10K01"/>
    <n v="510"/>
    <s v="德速物流"/>
    <s v="盐田海卡"/>
    <s v="POC3"/>
    <x v="10"/>
    <s v="AN8KIT-B_4X10K01 AN8黑色机器+4x10mL酒店香氛油 机油套装"/>
    <x v="4"/>
    <n v="17"/>
    <n v="273"/>
    <s v="重量收费"/>
    <n v="3.2"/>
    <n v="200"/>
    <n v="200"/>
    <n v="1073.5999999999999"/>
    <n v="2.1050980392156862"/>
    <n v="0.31419373719637106"/>
    <m/>
    <m/>
    <m/>
    <x v="11"/>
    <d v="2026-04-04T00:00:00"/>
    <m/>
    <n v="0.44"/>
    <n v="224.4"/>
    <d v="2026-04-11T00:00:00"/>
    <n v="28"/>
    <d v="2026-05-12T00:00:00"/>
    <m/>
    <n v="31"/>
    <m/>
    <m/>
    <m/>
    <m/>
  </r>
  <r>
    <m/>
    <s v="W11004"/>
    <s v="FBA198R5V676"/>
    <s v="V-US"/>
    <x v="0"/>
    <s v="AN8KIT-B_4X10K01"/>
    <n v="1800"/>
    <s v="万邦"/>
    <s v="以星海卡"/>
    <s v="POC3"/>
    <x v="10"/>
    <s v="AN8KIT-B_4X10K01 AN8黑色机器+4x10mL酒店香氛油 机油套装"/>
    <x v="4"/>
    <n v="60"/>
    <n v="968.99999999999989"/>
    <s v="重量收费"/>
    <n v="4.2"/>
    <n v="200"/>
    <n v="200"/>
    <n v="4269.7999999999993"/>
    <n v="2.3721111111111108"/>
    <n v="0.35404643449419565"/>
    <m/>
    <m/>
    <m/>
    <x v="11"/>
    <d v="2026-04-02T00:00:00"/>
    <m/>
    <n v="0.44"/>
    <n v="792"/>
    <d v="2026-04-11T00:00:00"/>
    <n v="28"/>
    <d v="2026-05-15T00:00:00"/>
    <m/>
    <n v="34"/>
    <m/>
    <m/>
    <m/>
    <m/>
  </r>
  <r>
    <m/>
    <s v="W11012"/>
    <s v="FBA198KBXJ4X"/>
    <s v="V-US"/>
    <x v="0"/>
    <s v="001000019"/>
    <n v="1400"/>
    <s v="万邦"/>
    <s v="盐田海卡"/>
    <s v="HLI2"/>
    <x v="17"/>
    <s v="AN6-B 便携式扩香仪 黑色"/>
    <x v="3"/>
    <n v="35"/>
    <n v="535.15"/>
    <s v="重量收费"/>
    <n v="3.5"/>
    <n v="200"/>
    <n v="41.420118343195263"/>
    <n v="1914.4451183431952"/>
    <n v="1.3674607988165679"/>
    <n v="0.20409862668903997"/>
    <m/>
    <m/>
    <m/>
    <x v="11"/>
    <d v="2026-04-04T00:00:00"/>
    <m/>
    <n v="0.36533333333333334"/>
    <n v="511.4666666666667"/>
    <d v="2026-04-10T00:00:00"/>
    <n v="27"/>
    <m/>
    <m/>
    <n v="-46122"/>
    <m/>
    <m/>
    <m/>
    <m/>
  </r>
  <r>
    <m/>
    <s v="W11012"/>
    <s v="FBA198KBXJ4X"/>
    <s v="V-US"/>
    <x v="0"/>
    <s v="AN6-LV"/>
    <n v="120"/>
    <s v="万邦"/>
    <s v="盐田海卡"/>
    <s v="HLI2"/>
    <x v="68"/>
    <s v="AN6-LV 便携式扩香仪 薰衣草"/>
    <x v="3"/>
    <n v="3"/>
    <n v="45.870000000000005"/>
    <s v="重量收费"/>
    <n v="3.5"/>
    <n v="200"/>
    <n v="3.5502958579881656"/>
    <n v="164.09529585798819"/>
    <n v="1.3674607988165683"/>
    <n v="0.20409862668904005"/>
    <m/>
    <m/>
    <m/>
    <x v="11"/>
    <d v="2026-04-04T00:00:00"/>
    <m/>
    <n v="0.36533333333333334"/>
    <n v="43.84"/>
    <d v="2026-04-10T00:00:00"/>
    <n v="27"/>
    <m/>
    <m/>
    <n v="-46122"/>
    <m/>
    <m/>
    <m/>
    <m/>
  </r>
  <r>
    <m/>
    <s v="W11012"/>
    <s v="FBA198KBXJ4X"/>
    <s v="V-US"/>
    <x v="0"/>
    <s v="001000020"/>
    <n v="600"/>
    <s v="万邦"/>
    <s v="盐田海卡"/>
    <s v="HLI2"/>
    <x v="18"/>
    <s v="AN6-W 便携式扩香仪 白色"/>
    <x v="3"/>
    <n v="15"/>
    <n v="229.35000000000002"/>
    <s v="重量收费"/>
    <n v="3.5"/>
    <m/>
    <n v="17.751479289940828"/>
    <n v="820.47647928994093"/>
    <n v="1.3674607988165681"/>
    <n v="0.20409862668904002"/>
    <m/>
    <m/>
    <m/>
    <x v="11"/>
    <d v="2026-04-04T00:00:00"/>
    <m/>
    <n v="0.36533333333333334"/>
    <n v="219.20000000000002"/>
    <d v="2026-04-10T00:00:00"/>
    <n v="27"/>
    <m/>
    <m/>
    <n v="-46122"/>
    <m/>
    <m/>
    <m/>
    <m/>
  </r>
  <r>
    <m/>
    <s v="W11012"/>
    <s v="FBA198KBXJ4X"/>
    <s v="V-US"/>
    <x v="0"/>
    <s v="AN6-YG"/>
    <n v="200"/>
    <s v="万邦"/>
    <s v="盐田海卡"/>
    <s v="HLI2"/>
    <x v="19"/>
    <s v="AN6-YG 便携式扩香仪 乳酪色"/>
    <x v="3"/>
    <n v="5"/>
    <n v="76.45"/>
    <s v="重量收费"/>
    <n v="3.5"/>
    <m/>
    <n v="5.9171597633136095"/>
    <n v="273.49215976331362"/>
    <n v="1.3674607988165681"/>
    <n v="0.20409862668904002"/>
    <m/>
    <m/>
    <m/>
    <x v="11"/>
    <d v="2026-04-04T00:00:00"/>
    <m/>
    <n v="0.36533333333333334"/>
    <n v="73.066666666666663"/>
    <d v="2026-04-10T00:00:00"/>
    <n v="27"/>
    <m/>
    <m/>
    <n v="-46122"/>
    <m/>
    <m/>
    <m/>
    <m/>
  </r>
  <r>
    <m/>
    <s v="W11012"/>
    <s v="FBA198KBXJ4X"/>
    <s v="V-US"/>
    <x v="0"/>
    <s v="RD1-B"/>
    <n v="180"/>
    <s v="万邦"/>
    <s v="盐田海卡"/>
    <s v="HLI2"/>
    <x v="101"/>
    <s v="RD1-B 便携式扩香仪 黑色"/>
    <x v="23"/>
    <n v="6"/>
    <n v="91.740000000000009"/>
    <s v="重量收费"/>
    <n v="3.5"/>
    <m/>
    <n v="7.1005917159763312"/>
    <n v="328.19059171597638"/>
    <n v="1.8232810650887576"/>
    <n v="0.27213150225205335"/>
    <m/>
    <m/>
    <m/>
    <x v="11"/>
    <d v="2026-04-04T00:00:00"/>
    <m/>
    <n v="0.36533333333333334"/>
    <n v="65.760000000000005"/>
    <d v="2026-04-10T00:00:00"/>
    <n v="27"/>
    <m/>
    <m/>
    <n v="-46122"/>
    <m/>
    <m/>
    <m/>
    <m/>
  </r>
  <r>
    <m/>
    <s v="W11012"/>
    <s v="FBA198KBXJ4X"/>
    <s v="V-US"/>
    <x v="0"/>
    <s v="001000021"/>
    <n v="200"/>
    <s v="万邦"/>
    <s v="盐田海卡"/>
    <s v="HLI2"/>
    <x v="69"/>
    <s v="AN6NZ-B AN6喷嘴配件套装 黑色"/>
    <x v="14"/>
    <n v="1"/>
    <n v="15.290000000000001"/>
    <s v="重量收费"/>
    <n v="3.5"/>
    <m/>
    <n v="1.1834319526627219"/>
    <n v="54.698431952662723"/>
    <n v="0.27349215976331359"/>
    <n v="4.0819725337807998E-2"/>
    <m/>
    <m/>
    <m/>
    <x v="11"/>
    <d v="2026-04-04T00:00:00"/>
    <m/>
    <n v="0.36533333333333334"/>
    <n v="73.066666666666663"/>
    <d v="2026-04-10T00:00:00"/>
    <n v="27"/>
    <m/>
    <m/>
    <n v="-46122"/>
    <m/>
    <m/>
    <m/>
    <m/>
  </r>
  <r>
    <m/>
    <s v="W11012"/>
    <s v="FBA198KC8HBQ"/>
    <s v="V-US"/>
    <x v="0"/>
    <s v="AN6KIT-B_4X10ML"/>
    <n v="390"/>
    <s v="万邦"/>
    <s v="盐田海卡"/>
    <s v="HLI2"/>
    <x v="7"/>
    <s v="AN6KIT-B_4X10ML AN6黑色机器+4x10mL香氛油（天竺） 机油套装"/>
    <x v="3"/>
    <n v="13"/>
    <n v="198.76875000000001"/>
    <s v="重量收费"/>
    <n v="3.5"/>
    <m/>
    <n v="15.384615384615385"/>
    <n v="711.07524038461543"/>
    <n v="1.8232698471400395"/>
    <n v="0.27212982793134916"/>
    <m/>
    <m/>
    <m/>
    <x v="11"/>
    <d v="2026-04-04T00:00:00"/>
    <m/>
    <n v="0.44"/>
    <n v="171.6"/>
    <d v="2026-04-10T00:00:00"/>
    <n v="27"/>
    <m/>
    <m/>
    <n v="-46122"/>
    <m/>
    <m/>
    <m/>
    <m/>
  </r>
  <r>
    <m/>
    <s v="W11012"/>
    <s v="FBA198KC8HBQ"/>
    <s v="V-US"/>
    <x v="0"/>
    <s v="AN6KIT-WH_4X10K04_TZ"/>
    <n v="120"/>
    <s v="万邦"/>
    <s v="盐田海卡"/>
    <s v="HLI2"/>
    <x v="75"/>
    <s v="AN6KIT-WH_4X10K04_TZ AN6白色机器+4x10mL酒店（天竺）香氛油 机油套装"/>
    <x v="3"/>
    <n v="4"/>
    <n v="61.159615384615385"/>
    <s v="重量收费"/>
    <n v="3.5"/>
    <m/>
    <n v="4.7337278106508878"/>
    <n v="218.79238165680474"/>
    <n v="1.8232698471400395"/>
    <n v="0.27212982793134916"/>
    <m/>
    <m/>
    <m/>
    <x v="11"/>
    <d v="2026-04-04T00:00:00"/>
    <m/>
    <n v="0.44"/>
    <n v="52.8"/>
    <d v="2026-04-10T00:00:00"/>
    <n v="27"/>
    <m/>
    <m/>
    <n v="-46122"/>
    <m/>
    <m/>
    <m/>
    <m/>
  </r>
  <r>
    <m/>
    <s v="W11012"/>
    <s v="FBA198KC8HBQ"/>
    <s v="V-US"/>
    <x v="0"/>
    <s v="AN8KIT-B_4X10K01"/>
    <n v="2100"/>
    <s v="万邦"/>
    <s v="盐田海卡"/>
    <s v="HLI2"/>
    <x v="10"/>
    <s v="AN8KIT-B_4X10K01 AN8黑色机器+4x10mL酒店香氛油 机油套装"/>
    <x v="4"/>
    <n v="70"/>
    <n v="1070.2932692307693"/>
    <s v="重量收费"/>
    <n v="3.5"/>
    <m/>
    <n v="82.840236686390526"/>
    <n v="3828.866678994083"/>
    <n v="1.8232698471400395"/>
    <n v="0.27212982793134916"/>
    <m/>
    <m/>
    <m/>
    <x v="11"/>
    <d v="2026-04-04T00:00:00"/>
    <m/>
    <n v="0.44"/>
    <n v="924"/>
    <d v="2026-04-10T00:00:00"/>
    <n v="27"/>
    <m/>
    <m/>
    <n v="-46122"/>
    <m/>
    <m/>
    <m/>
    <m/>
  </r>
  <r>
    <m/>
    <s v="W11012"/>
    <s v="FBA198KC8HBQ"/>
    <s v="V-US"/>
    <x v="0"/>
    <s v="AN8KIT-WH_4X10K01"/>
    <n v="510"/>
    <s v="万邦"/>
    <s v="盐田海卡"/>
    <s v="HLI2"/>
    <x v="12"/>
    <s v="AN8KIT-WH_4X10K01 AN8白色机器+4x10mL酒店香氛油 机油套装"/>
    <x v="4"/>
    <n v="17"/>
    <n v="259.9283653846154"/>
    <s v="重量收费"/>
    <n v="3.5"/>
    <m/>
    <n v="20.118343195266274"/>
    <n v="929.86762204142008"/>
    <n v="1.8232698471400393"/>
    <n v="0.27212982793134916"/>
    <m/>
    <m/>
    <m/>
    <x v="11"/>
    <d v="2026-04-04T00:00:00"/>
    <m/>
    <n v="0.44"/>
    <n v="224.4"/>
    <d v="2026-04-10T00:00:00"/>
    <n v="27"/>
    <m/>
    <m/>
    <n v="-46122"/>
    <m/>
    <m/>
    <m/>
    <m/>
  </r>
  <r>
    <m/>
    <s v="W11003"/>
    <s v="FBA198K8QZC5"/>
    <s v="V-US"/>
    <x v="0"/>
    <s v="001000019"/>
    <n v="400"/>
    <s v="嘀嗒嘀"/>
    <s v="美森海卡"/>
    <s v="TCY2"/>
    <x v="17"/>
    <s v="AN6-B 便携式扩香仪 黑色"/>
    <x v="3"/>
    <n v="10"/>
    <n v="155"/>
    <s v="重量收费"/>
    <n v="7.7"/>
    <n v="200"/>
    <n v="40"/>
    <n v="1233.5"/>
    <n v="3.0837500000000002"/>
    <n v="0.46026119402985077"/>
    <m/>
    <m/>
    <m/>
    <x v="10"/>
    <d v="2026-03-29T00:00:00"/>
    <m/>
    <n v="0.41538461538461541"/>
    <n v="166.15384615384616"/>
    <d v="2026-04-03T00:00:00"/>
    <n v="21"/>
    <d v="2026-05-08T00:00:00"/>
    <m/>
    <n v="35"/>
    <m/>
    <m/>
    <m/>
    <m/>
  </r>
  <r>
    <m/>
    <s v="W11003"/>
    <s v="FBA198K8QZC5"/>
    <s v="V-US"/>
    <x v="0"/>
    <s v="AN8KIT-B_4X10K01"/>
    <n v="900"/>
    <s v="嘀嗒嘀"/>
    <s v="美森海卡"/>
    <s v="TCY2"/>
    <x v="10"/>
    <s v="AN8KIT-B_4X10K01 AN8黑色机器+4x10mL酒店香氛油 机油套装"/>
    <x v="4"/>
    <n v="30"/>
    <n v="465"/>
    <s v="重量收费"/>
    <n v="7.7"/>
    <n v="200"/>
    <n v="120"/>
    <n v="3700.5"/>
    <n v="4.1116666666666664"/>
    <n v="0.61368159203980088"/>
    <m/>
    <m/>
    <m/>
    <x v="10"/>
    <d v="2026-03-29T00:00:00"/>
    <m/>
    <n v="0.41538461538461541"/>
    <n v="373.84615384615387"/>
    <d v="2026-04-03T00:00:00"/>
    <n v="21"/>
    <d v="2026-05-08T00:00:00"/>
    <m/>
    <n v="35"/>
    <m/>
    <m/>
    <m/>
    <m/>
  </r>
  <r>
    <m/>
    <s v="W11008"/>
    <s v="FBA198KFN9NS"/>
    <s v="V-CA"/>
    <x v="3"/>
    <s v="001000033"/>
    <n v="72"/>
    <s v="国润通"/>
    <s v="加拿大海卡"/>
    <s v="YVR4"/>
    <x v="41"/>
    <s v="ANW-W 智能扩香仪 白色"/>
    <x v="10"/>
    <n v="6"/>
    <n v="86"/>
    <s v="重量收费"/>
    <n v="6.5"/>
    <n v="350"/>
    <n v="350"/>
    <n v="909"/>
    <n v="12.625"/>
    <n v="1.8843283582089552"/>
    <m/>
    <m/>
    <m/>
    <x v="10"/>
    <d v="2026-04-13T00:00:00"/>
    <m/>
    <n v="0"/>
    <n v="0"/>
    <d v="2026-04-25T00:00:00"/>
    <n v="43"/>
    <d v="2026-05-01T00:00:00"/>
    <m/>
    <n v="6"/>
    <m/>
    <m/>
    <m/>
    <m/>
  </r>
  <r>
    <m/>
    <s v="W11007"/>
    <s v="FBA198K9RVMY"/>
    <s v="V-US"/>
    <x v="0"/>
    <s v="001000033"/>
    <n v="480"/>
    <s v="国润通"/>
    <s v="盐田海卡"/>
    <s v="POC1"/>
    <x v="41"/>
    <s v="ANW-W 智能扩香仪 白色"/>
    <x v="10"/>
    <n v="40"/>
    <n v="572"/>
    <s v="重量收费"/>
    <n v="3.2"/>
    <n v="350"/>
    <n v="350"/>
    <n v="2180.4"/>
    <n v="4.5425000000000004"/>
    <n v="0.67798507462686575"/>
    <m/>
    <m/>
    <m/>
    <x v="10"/>
    <d v="2026-04-04T00:00:00"/>
    <m/>
    <n v="0.56000000000000005"/>
    <n v="268.8"/>
    <d v="2026-04-10T00:00:00"/>
    <n v="28"/>
    <d v="2026-05-11T00:00:00"/>
    <m/>
    <n v="31"/>
    <m/>
    <m/>
    <m/>
    <m/>
  </r>
  <r>
    <m/>
    <s v="W11001"/>
    <s v="FBA198LLVD5S"/>
    <s v="E-US"/>
    <x v="0"/>
    <s v="HOTEL6KIT1-6X10K01"/>
    <n v="684"/>
    <s v="天盛"/>
    <s v="盐田海卡"/>
    <s v="QXY8"/>
    <x v="45"/>
    <s v="HOTEL6KIT1-6X10K01 酒店香氛油6款10mL套装"/>
    <x v="11"/>
    <n v="9"/>
    <n v="0.46800000000000003"/>
    <s v="CBM收费"/>
    <n v="1380"/>
    <n v="180"/>
    <n v="77.142857142857139"/>
    <n v="722.98285714285714"/>
    <n v="1.0569924812030076"/>
    <n v="0.15776007182134441"/>
    <m/>
    <m/>
    <m/>
    <x v="10"/>
    <d v="2026-04-04T00:00:00"/>
    <m/>
    <n v="0.36"/>
    <n v="246.23999999999998"/>
    <d v="2026-04-17T00:00:00"/>
    <n v="35"/>
    <d v="2026-05-13T00:00:00"/>
    <m/>
    <n v="26"/>
    <m/>
    <m/>
    <m/>
    <m/>
  </r>
  <r>
    <m/>
    <s v="W11001"/>
    <s v="FBA198LLVD5S"/>
    <s v="E-US"/>
    <x v="0"/>
    <s v="MWAY1-100ML"/>
    <n v="90"/>
    <s v="天盛"/>
    <s v="盐田海卡"/>
    <s v="QXY8"/>
    <x v="50"/>
    <s v="A-MWAY Deluxe-100 特定香型香氛油100mL"/>
    <x v="11"/>
    <n v="1"/>
    <n v="5.2000000000000005E-2"/>
    <s v="CBM收费"/>
    <n v="1380"/>
    <n v="180"/>
    <n v="8.5714285714285712"/>
    <n v="80.331428571428575"/>
    <n v="0.89257142857142857"/>
    <n v="0.13321961620469083"/>
    <m/>
    <m/>
    <m/>
    <x v="10"/>
    <d v="2026-04-04T00:00:00"/>
    <m/>
    <n v="0.36"/>
    <n v="32.4"/>
    <d v="2026-04-17T00:00:00"/>
    <n v="35"/>
    <d v="2026-05-13T00:00:00"/>
    <m/>
    <n v="26"/>
    <m/>
    <m/>
    <m/>
    <m/>
  </r>
  <r>
    <m/>
    <s v="W11001"/>
    <s v="FBA198LLBYQJ"/>
    <s v="V-US"/>
    <x v="0"/>
    <s v="006000024"/>
    <n v="540"/>
    <s v="天盛"/>
    <s v="盐田海卡"/>
    <s v="QXY8"/>
    <x v="46"/>
    <s v="A-Ritz Carlton Hotel 3-100 丽思卡尔顿酒店3香氛油100mL"/>
    <x v="11"/>
    <n v="6"/>
    <n v="0.31636363636363635"/>
    <s v="CBM收费"/>
    <n v="1380"/>
    <m/>
    <n v="51.428571428571431"/>
    <n v="488.01038961038961"/>
    <n v="0.90372294372294371"/>
    <n v="0.13488402145118564"/>
    <m/>
    <m/>
    <m/>
    <x v="10"/>
    <d v="2026-04-04T00:00:00"/>
    <m/>
    <n v="0.3725"/>
    <n v="201.15"/>
    <d v="2026-04-12T00:00:00"/>
    <n v="30"/>
    <d v="2026-05-14T00:00:00"/>
    <m/>
    <n v="32"/>
    <m/>
    <m/>
    <m/>
    <m/>
  </r>
  <r>
    <m/>
    <s v="W11001"/>
    <s v="FBA198LLBYQJ"/>
    <s v="V-US"/>
    <x v="0"/>
    <s v="RZ-500ML"/>
    <n v="100"/>
    <s v="天盛"/>
    <s v="盐田海卡"/>
    <s v="QXY8"/>
    <x v="60"/>
    <s v="RZ-500ML 丽思卡尔顿酒店3香氛油500mL"/>
    <x v="11"/>
    <n v="5"/>
    <n v="0.26363636363636361"/>
    <s v="CBM收费"/>
    <n v="1380"/>
    <m/>
    <n v="42.857142857142854"/>
    <n v="406.67532467532465"/>
    <n v="4.0667532467532466"/>
    <n v="0.6069780965303353"/>
    <m/>
    <m/>
    <m/>
    <x v="10"/>
    <d v="2026-04-04T00:00:00"/>
    <m/>
    <n v="0.3725"/>
    <n v="37.25"/>
    <d v="2026-04-12T00:00:00"/>
    <n v="30"/>
    <d v="2026-05-14T00:00:00"/>
    <m/>
    <n v="32"/>
    <m/>
    <m/>
    <m/>
    <m/>
  </r>
  <r>
    <m/>
    <s v="W11002"/>
    <s v="FBA198LK2T65"/>
    <s v="E-US"/>
    <x v="0"/>
    <s v="SJ1-100ML_TZ"/>
    <n v="192"/>
    <s v="天盛"/>
    <s v="盐田海卡"/>
    <s v="QXY8"/>
    <x v="23"/>
    <s v="SJ1-100ML_TZ 四季酒店100mL香氛油（天竺） 销售包装"/>
    <x v="6"/>
    <n v="3"/>
    <n v="0.125"/>
    <s v="CBM收费"/>
    <n v="1380"/>
    <n v="180"/>
    <n v="20.76923076923077"/>
    <n v="193.26923076923077"/>
    <n v="1.0066105769230769"/>
    <n v="0.15024038461538461"/>
    <m/>
    <m/>
    <m/>
    <x v="10"/>
    <d v="2026-04-04T00:00:00"/>
    <m/>
    <n v="0.36000000000000004"/>
    <n v="69.12"/>
    <d v="2026-04-17T00:00:00"/>
    <n v="35"/>
    <d v="2026-05-22T00:00:00"/>
    <m/>
    <n v="35"/>
    <m/>
    <m/>
    <m/>
    <m/>
  </r>
  <r>
    <m/>
    <s v="W11002"/>
    <s v="FBA198LK2T65"/>
    <s v="E-US"/>
    <x v="0"/>
    <s v="TX331_100ML"/>
    <n v="128"/>
    <s v="天盛"/>
    <s v="盐田海卡"/>
    <s v="QXY8"/>
    <x v="102"/>
    <s v="TX331_100ML 檀香33号100mL香氛油（天竺） 销售包装"/>
    <x v="6"/>
    <n v="2"/>
    <n v="8.3333333333333329E-2"/>
    <s v="CBM收费"/>
    <n v="1380"/>
    <n v="180"/>
    <n v="13.846153846153847"/>
    <n v="128.84615384615384"/>
    <n v="1.0066105769230769"/>
    <n v="0.15024038461538461"/>
    <m/>
    <m/>
    <m/>
    <x v="10"/>
    <d v="2026-04-04T00:00:00"/>
    <m/>
    <n v="0.36000000000000004"/>
    <n v="46.080000000000005"/>
    <d v="2026-04-17T00:00:00"/>
    <n v="35"/>
    <d v="2026-05-22T00:00:00"/>
    <m/>
    <n v="35"/>
    <m/>
    <m/>
    <m/>
    <m/>
  </r>
  <r>
    <m/>
    <s v="W11002"/>
    <s v="FBA198LK2T65"/>
    <s v="E-US"/>
    <x v="0"/>
    <s v="W1-100ML_TZ"/>
    <n v="384"/>
    <s v="天盛"/>
    <s v="盐田海卡"/>
    <s v="QXY8"/>
    <x v="24"/>
    <s v="W1-100ML_TZ W酒店100mL香氛油（天竺） 销售包装"/>
    <x v="6"/>
    <n v="6"/>
    <n v="0.25"/>
    <s v="CBM收费"/>
    <n v="1380"/>
    <m/>
    <n v="41.53846153846154"/>
    <n v="386.53846153846155"/>
    <n v="1.0066105769230769"/>
    <n v="0.15024038461538461"/>
    <m/>
    <m/>
    <m/>
    <x v="10"/>
    <d v="2026-04-04T00:00:00"/>
    <m/>
    <n v="0.36000000000000004"/>
    <n v="138.24"/>
    <d v="2026-04-17T00:00:00"/>
    <n v="35"/>
    <d v="2026-05-22T00:00:00"/>
    <m/>
    <n v="35"/>
    <m/>
    <m/>
    <m/>
    <m/>
  </r>
  <r>
    <m/>
    <s v="W11002"/>
    <s v="FBA198LK2T65"/>
    <s v="E-US"/>
    <x v="0"/>
    <s v="WST1-100ML_TZ"/>
    <n v="256"/>
    <s v="天盛"/>
    <s v="盐田海卡"/>
    <s v="QXY8"/>
    <x v="90"/>
    <s v="WST1-100ML_TZ 威斯汀酒店白茶100mL香氛油（天竺） 销售包装"/>
    <x v="6"/>
    <n v="4"/>
    <n v="0.16666666666666666"/>
    <s v="CBM收费"/>
    <n v="1380"/>
    <m/>
    <n v="27.692307692307693"/>
    <n v="257.69230769230768"/>
    <n v="1.0066105769230769"/>
    <n v="0.15024038461538461"/>
    <m/>
    <m/>
    <m/>
    <x v="10"/>
    <d v="2026-04-04T00:00:00"/>
    <m/>
    <n v="0.36000000000000004"/>
    <n v="92.160000000000011"/>
    <d v="2026-04-17T00:00:00"/>
    <n v="35"/>
    <d v="2026-05-22T00:00:00"/>
    <m/>
    <n v="35"/>
    <m/>
    <m/>
    <m/>
    <m/>
  </r>
  <r>
    <m/>
    <s v="W11002"/>
    <s v="FBA198LK2T65"/>
    <s v="E-US"/>
    <x v="0"/>
    <s v="HILTON1-100ML_TZ"/>
    <n v="384"/>
    <s v="天盛"/>
    <s v="盐田海卡"/>
    <s v="QXY8"/>
    <x v="61"/>
    <s v="HILTON1-100ML_TZ 希尔顿酒店100mL香氛油（天竺） 销售包装"/>
    <x v="6"/>
    <n v="6"/>
    <n v="0.25"/>
    <s v="CBM收费"/>
    <n v="1380"/>
    <m/>
    <n v="41.53846153846154"/>
    <n v="386.53846153846155"/>
    <n v="1.0066105769230769"/>
    <n v="0.15024038461538461"/>
    <m/>
    <m/>
    <m/>
    <x v="10"/>
    <d v="2026-04-04T00:00:00"/>
    <m/>
    <n v="0.36000000000000004"/>
    <n v="138.24"/>
    <d v="2026-04-17T00:00:00"/>
    <n v="35"/>
    <d v="2026-05-22T00:00:00"/>
    <m/>
    <n v="35"/>
    <m/>
    <m/>
    <m/>
    <m/>
  </r>
  <r>
    <m/>
    <s v="W11002"/>
    <s v="FBA198LK2T65"/>
    <s v="E-US"/>
    <x v="0"/>
    <s v="YZTT1_100ML"/>
    <n v="128"/>
    <s v="天盛"/>
    <s v="盐田海卡"/>
    <s v="QXY8"/>
    <x v="103"/>
    <s v="YZTT1_100ML 柚子天堂100mL香氛油（天竺） 销售包装"/>
    <x v="6"/>
    <n v="2"/>
    <n v="8.3333333333333329E-2"/>
    <s v="CBM收费"/>
    <n v="1380"/>
    <m/>
    <n v="13.846153846153847"/>
    <n v="128.84615384615384"/>
    <n v="1.0066105769230769"/>
    <n v="0.15024038461538461"/>
    <m/>
    <m/>
    <m/>
    <x v="10"/>
    <d v="2026-04-04T00:00:00"/>
    <m/>
    <n v="0.36000000000000004"/>
    <n v="46.080000000000005"/>
    <d v="2026-04-17T00:00:00"/>
    <n v="35"/>
    <d v="2026-05-22T00:00:00"/>
    <m/>
    <n v="35"/>
    <m/>
    <m/>
    <m/>
    <m/>
  </r>
  <r>
    <m/>
    <s v="W11002"/>
    <s v="FBA198LK2T65"/>
    <s v="E-US"/>
    <x v="0"/>
    <s v="TXY1_100ML"/>
    <n v="64"/>
    <s v="天盛"/>
    <s v="盐田海卡"/>
    <s v="QXY8"/>
    <x v="104"/>
    <s v="TXY1_100ML 桃星云100mL香氛油（天竺） 销售包装"/>
    <x v="6"/>
    <n v="1"/>
    <n v="4.1666666666666664E-2"/>
    <s v="CBM收费"/>
    <n v="1380"/>
    <m/>
    <n v="6.9230769230769234"/>
    <n v="64.42307692307692"/>
    <n v="1.0066105769230769"/>
    <n v="0.15024038461538461"/>
    <m/>
    <m/>
    <m/>
    <x v="10"/>
    <d v="2026-04-04T00:00:00"/>
    <m/>
    <n v="0.36000000000000004"/>
    <n v="23.040000000000003"/>
    <d v="2026-04-17T00:00:00"/>
    <n v="35"/>
    <d v="2026-05-22T00:00:00"/>
    <m/>
    <n v="35"/>
    <m/>
    <m/>
    <m/>
    <m/>
  </r>
  <r>
    <s v="托书上要备注跟FBA198LK2T65 合并报关"/>
    <s v="W11002"/>
    <s v="FBA198LHZYBC"/>
    <s v="K-US"/>
    <x v="0"/>
    <s v="ATS1_100ML_TZ"/>
    <n v="128"/>
    <s v="天盛"/>
    <s v="盐田海卡"/>
    <s v="GEU3"/>
    <x v="105"/>
    <s v="ATS1_100ML_TZ 亚特兰蒂斯酒店100mL香氛油（天竺） 销售包装"/>
    <x v="6"/>
    <n v="2"/>
    <n v="30"/>
    <s v="重量收费"/>
    <n v="6.3"/>
    <m/>
    <n v="13.846153846153847"/>
    <n v="202.84615384615384"/>
    <n v="1.5847355769230769"/>
    <n v="0.23652769804822044"/>
    <m/>
    <m/>
    <m/>
    <x v="10"/>
    <d v="2026-04-04T00:00:00"/>
    <m/>
    <n v="0.36"/>
    <n v="46.08"/>
    <d v="2026-04-16T00:00:00"/>
    <n v="34"/>
    <d v="2026-05-15T00:00:00"/>
    <m/>
    <n v="29"/>
    <m/>
    <m/>
    <m/>
    <m/>
  </r>
  <r>
    <m/>
    <s v="W11009"/>
    <s v="FBA198PY9806"/>
    <s v="A-CA"/>
    <x v="3"/>
    <s v="002000001"/>
    <n v="600"/>
    <s v="万邦"/>
    <s v="加拿大海卡"/>
    <s v="YOW3"/>
    <x v="106"/>
    <s v="K1-B 电子球形把手锁-黑色"/>
    <x v="24"/>
    <n v="50"/>
    <n v="676.71232876712338"/>
    <s v="重量收费"/>
    <n v="6"/>
    <n v="250"/>
    <n v="171.23287671232876"/>
    <n v="4231.5068493150693"/>
    <n v="7.0525114155251156"/>
    <n v="1.0526136441082261"/>
    <m/>
    <m/>
    <m/>
    <x v="10"/>
    <d v="2026-04-14T00:00:00"/>
    <m/>
    <n v="0"/>
    <n v="0"/>
    <d v="2026-04-27T00:00:00"/>
    <n v="45"/>
    <d v="2026-05-28T00:00:00"/>
    <m/>
    <n v="31"/>
    <m/>
    <m/>
    <m/>
    <m/>
  </r>
  <r>
    <m/>
    <s v="W11009"/>
    <s v="FBA198PY9806"/>
    <s v="A-CA"/>
    <x v="3"/>
    <s v="002000007"/>
    <n v="72"/>
    <s v="万邦"/>
    <s v="加拿大海卡"/>
    <s v="YOW3"/>
    <x v="107"/>
    <s v="K1-S+S 电子球形把手锁-镍镍"/>
    <x v="24"/>
    <n v="6"/>
    <n v="81.205479452054803"/>
    <s v="重量收费"/>
    <n v="6"/>
    <n v="250"/>
    <n v="20.547945205479451"/>
    <n v="507.78082191780823"/>
    <n v="7.0525114155251138"/>
    <n v="1.0526136441082259"/>
    <m/>
    <m/>
    <m/>
    <x v="10"/>
    <d v="2026-04-14T00:00:00"/>
    <m/>
    <n v="0"/>
    <n v="0"/>
    <d v="2026-04-27T00:00:00"/>
    <n v="45"/>
    <d v="2026-05-28T00:00:00"/>
    <m/>
    <n v="31"/>
    <m/>
    <m/>
    <m/>
    <m/>
  </r>
  <r>
    <m/>
    <s v="W11009"/>
    <s v="FBA198PY9806"/>
    <s v="A-CA"/>
    <x v="3"/>
    <s v="002000008"/>
    <n v="204"/>
    <s v="万邦"/>
    <s v="加拿大海卡"/>
    <s v="YOW3"/>
    <x v="108"/>
    <s v="K1-SILV 电子球形把手锁-银镍"/>
    <x v="24"/>
    <n v="17"/>
    <n v="230.08219178082194"/>
    <s v="重量收费"/>
    <n v="6"/>
    <m/>
    <n v="58.219178082191782"/>
    <n v="1438.7123287671234"/>
    <n v="7.0525114155251147"/>
    <n v="1.0526136441082261"/>
    <m/>
    <m/>
    <m/>
    <x v="10"/>
    <d v="2026-04-14T00:00:00"/>
    <m/>
    <n v="0"/>
    <n v="0"/>
    <d v="2026-04-27T00:00:00"/>
    <n v="45"/>
    <d v="2026-05-28T00:00:00"/>
    <m/>
    <n v="31"/>
    <m/>
    <m/>
    <m/>
    <m/>
  </r>
  <r>
    <m/>
    <s v="W12005"/>
    <s v="FBA198VX409J"/>
    <s v="E-US"/>
    <x v="0"/>
    <s v="ANZ-B"/>
    <n v="600"/>
    <s v="天盛"/>
    <s v="美森海卡"/>
    <s v="POC2"/>
    <x v="0"/>
    <s v="ANZ-B 便携式扩香仪 黑色"/>
    <x v="0"/>
    <n v="15"/>
    <n v="0.78"/>
    <s v="CBM收费"/>
    <n v="1830"/>
    <n v="180"/>
    <n v="69.230769230769226"/>
    <n v="1496.6307692307694"/>
    <n v="2.4943846153846154"/>
    <n v="0.37229621125143514"/>
    <m/>
    <m/>
    <m/>
    <x v="12"/>
    <d v="2026-04-05T00:00:00"/>
    <m/>
    <n v="0.36"/>
    <n v="216"/>
    <d v="2026-04-10T00:00:00"/>
    <n v="20"/>
    <d v="2026-05-14T00:00:00"/>
    <m/>
    <n v="34"/>
    <m/>
    <m/>
    <m/>
    <m/>
  </r>
  <r>
    <m/>
    <s v="W12009"/>
    <s v="FBA198X547X1"/>
    <s v="E-US"/>
    <x v="0"/>
    <s v="ANZKIT-B_4X10K04_TZ"/>
    <n v="300"/>
    <s v="万邦"/>
    <s v="盐田海卡"/>
    <s v="GEU3"/>
    <x v="38"/>
    <s v="ANZKIT-B_4X10K04_TZ ANZ黑色机器+4x10mL酒店（天竺）香氛油 机油套装"/>
    <x v="0"/>
    <n v="10"/>
    <n v="154.5"/>
    <s v="重量收费"/>
    <n v="3.6"/>
    <n v="200"/>
    <n v="14.492753623188406"/>
    <n v="570.69275362318842"/>
    <n v="1.9023091787439614"/>
    <n v="0.28392674309611365"/>
    <m/>
    <m/>
    <m/>
    <x v="12"/>
    <d v="2026-04-10T00:00:00"/>
    <m/>
    <n v="0.44"/>
    <n v="132"/>
    <d v="2026-04-17T00:00:00"/>
    <n v="27"/>
    <d v="2026-05-20T00:00:00"/>
    <m/>
    <n v="33"/>
    <m/>
    <m/>
    <m/>
    <m/>
  </r>
  <r>
    <m/>
    <s v="W12009"/>
    <s v="FBA198X547X1"/>
    <s v="E-US"/>
    <x v="0"/>
    <s v="ANZKIT-W_4X10K04_TZ"/>
    <n v="300"/>
    <s v="万邦"/>
    <s v="盐田海卡"/>
    <s v="GEU3"/>
    <x v="109"/>
    <s v="ANZKIT-W_4X10K04_TZ ANZ白色机器+4x10mL酒店（天竺）香氛油 机油套装"/>
    <x v="0"/>
    <n v="10"/>
    <n v="154.5"/>
    <s v="重量收费"/>
    <n v="3.6"/>
    <n v="200"/>
    <n v="14.492753623188406"/>
    <n v="570.69275362318842"/>
    <n v="1.9023091787439614"/>
    <n v="0.28392674309611365"/>
    <m/>
    <m/>
    <m/>
    <x v="12"/>
    <d v="2026-04-10T00:00:00"/>
    <m/>
    <n v="0.44"/>
    <n v="132"/>
    <d v="2026-04-17T00:00:00"/>
    <n v="27"/>
    <d v="2026-05-20T00:00:00"/>
    <m/>
    <n v="33"/>
    <m/>
    <m/>
    <m/>
    <m/>
  </r>
  <r>
    <m/>
    <s v="W12004"/>
    <s v="FBA198W2C0D1"/>
    <s v="E-US"/>
    <x v="0"/>
    <s v="001000053"/>
    <n v="128"/>
    <s v="国润通"/>
    <s v="盐田海卡"/>
    <s v="POC3"/>
    <x v="52"/>
    <s v="ANX-2PC-BB 便携式扩香仪套装 黑+黑"/>
    <x v="1"/>
    <n v="8"/>
    <n v="106.73696969696971"/>
    <s v="重量收费"/>
    <n v="2.8"/>
    <n v="200"/>
    <n v="8.1218274111675122"/>
    <n v="306.98534256268266"/>
    <n v="2.3983229887709583"/>
    <n v="0.35795865504044155"/>
    <m/>
    <m/>
    <m/>
    <x v="13"/>
    <d v="2026-04-10T00:00:00"/>
    <m/>
    <n v="0.38269503546099293"/>
    <n v="48.984964539007095"/>
    <d v="2026-04-28T00:00:00"/>
    <n v="37"/>
    <m/>
    <m/>
    <n v="-46140"/>
    <m/>
    <m/>
    <m/>
    <m/>
  </r>
  <r>
    <m/>
    <s v="W12004"/>
    <s v="FBA198W2C0D1"/>
    <s v="E-US"/>
    <x v="0"/>
    <s v="ANZ-B"/>
    <n v="1000"/>
    <s v="国润通"/>
    <s v="盐田海卡"/>
    <s v="POC3"/>
    <x v="0"/>
    <s v="ANZ-B 便携式扩香仪 黑色"/>
    <x v="0"/>
    <n v="25"/>
    <n v="333.55303030303037"/>
    <s v="重量收费"/>
    <n v="2.8"/>
    <n v="199.99999999999997"/>
    <n v="25.380710659898476"/>
    <n v="959.32919550838346"/>
    <n v="0.95932919550838347"/>
    <n v="0.14318346201617663"/>
    <m/>
    <m/>
    <m/>
    <x v="13"/>
    <d v="2026-04-10T00:00:00"/>
    <m/>
    <n v="0.38269503546099293"/>
    <n v="382.69503546099293"/>
    <d v="2026-04-28T00:00:00"/>
    <n v="37"/>
    <m/>
    <m/>
    <n v="-46140"/>
    <m/>
    <m/>
    <m/>
    <m/>
  </r>
  <r>
    <m/>
    <s v="W12005"/>
    <s v="FBA198W7XC64"/>
    <s v="V-US"/>
    <x v="0"/>
    <s v="RD1-B"/>
    <n v="600"/>
    <s v="天盛"/>
    <s v="美森海卡"/>
    <s v="POC2"/>
    <x v="101"/>
    <s v="RD1-B 便携式扩香仪 黑色"/>
    <x v="23"/>
    <n v="20"/>
    <n v="1.0333333333333332"/>
    <s v="CBM收费"/>
    <n v="1830"/>
    <n v="180"/>
    <n v="92.307692307692307"/>
    <n v="1983.3076923076922"/>
    <n v="3.3055128205128201"/>
    <n v="0.49336012246459998"/>
    <m/>
    <m/>
    <m/>
    <x v="12"/>
    <d v="2026-04-05T00:00:00"/>
    <m/>
    <n v="0.44"/>
    <n v="264"/>
    <d v="2026-04-10T00:00:00"/>
    <n v="20"/>
    <d v="2026-05-14T00:00:00"/>
    <m/>
    <n v="34"/>
    <m/>
    <m/>
    <m/>
    <m/>
  </r>
  <r>
    <m/>
    <s v="W12005"/>
    <s v="FBA198W7XC64"/>
    <s v="V-US"/>
    <x v="0"/>
    <s v="RD1-DT"/>
    <n v="120"/>
    <s v="天盛"/>
    <s v="美森海卡"/>
    <s v="POC2"/>
    <x v="110"/>
    <s v="RD1-DT 便携式扩香仪 沙漠钛色"/>
    <x v="23"/>
    <n v="4"/>
    <n v="0.20666666666666667"/>
    <s v="CBM收费"/>
    <n v="1830"/>
    <n v="180"/>
    <n v="18.46153846153846"/>
    <n v="396.66153846153844"/>
    <n v="3.3055128205128201"/>
    <n v="0.49336012246459998"/>
    <m/>
    <m/>
    <m/>
    <x v="12"/>
    <d v="2026-04-05T00:00:00"/>
    <m/>
    <n v="0.44"/>
    <n v="52.8"/>
    <d v="2026-04-10T00:00:00"/>
    <n v="20"/>
    <d v="2026-05-14T00:00:00"/>
    <m/>
    <n v="34"/>
    <m/>
    <m/>
    <m/>
    <m/>
  </r>
  <r>
    <m/>
    <s v="W12009"/>
    <s v="FBA198XML3L7"/>
    <s v="V-US"/>
    <x v="0"/>
    <s v="AN6KIT-B_4X10K04_TZ"/>
    <n v="240"/>
    <s v="万邦"/>
    <s v="盐田海卡"/>
    <s v="QXY8"/>
    <x v="74"/>
    <s v="AN6KIT-B_4X10K04_TZ AN6黑色机器+4x10mL酒店（天竺）香氛油 机油套装"/>
    <x v="3"/>
    <n v="8"/>
    <n v="129.83050847457628"/>
    <s v="重量收费"/>
    <n v="3.6"/>
    <n v="200"/>
    <n v="11.594202898550725"/>
    <n v="478.98403340702538"/>
    <n v="1.9957668058626057"/>
    <n v="0.29787564266606054"/>
    <m/>
    <m/>
    <m/>
    <x v="12"/>
    <d v="2026-04-10T00:00:00"/>
    <m/>
    <n v="0.43999999999999995"/>
    <n v="105.6"/>
    <d v="2026-04-20T00:00:00"/>
    <n v="30"/>
    <d v="2026-05-25T00:00:00"/>
    <m/>
    <n v="35"/>
    <m/>
    <m/>
    <m/>
    <m/>
  </r>
  <r>
    <m/>
    <s v="W12009"/>
    <s v="FBA198XML3L7"/>
    <s v="V-US"/>
    <x v="0"/>
    <s v="AN6KIT-B_4X10ML"/>
    <n v="300"/>
    <s v="万邦"/>
    <s v="盐田海卡"/>
    <s v="QXY8"/>
    <x v="7"/>
    <s v="AN6KIT-B_4X10ML AN6黑色机器+4x10mL香氛油（天竺） 机油套装"/>
    <x v="3"/>
    <n v="10"/>
    <n v="162.28813559322035"/>
    <s v="重量收费"/>
    <n v="3.6"/>
    <n v="200"/>
    <n v="14.492753623188406"/>
    <n v="598.73004175878168"/>
    <n v="1.9957668058626057"/>
    <n v="0.29787564266606054"/>
    <m/>
    <m/>
    <m/>
    <x v="12"/>
    <d v="2026-04-10T00:00:00"/>
    <m/>
    <n v="0.43999999999999995"/>
    <n v="131.99999999999997"/>
    <d v="2026-04-20T00:00:00"/>
    <n v="30"/>
    <d v="2026-05-25T00:00:00"/>
    <m/>
    <n v="35"/>
    <m/>
    <m/>
    <m/>
    <m/>
  </r>
  <r>
    <m/>
    <s v="W12009"/>
    <s v="FBA198XML3L7"/>
    <s v="V-US"/>
    <x v="0"/>
    <s v="AN6KIT-WH_4X10ML"/>
    <n v="90"/>
    <s v="万邦"/>
    <s v="盐田海卡"/>
    <s v="QXY8"/>
    <x v="29"/>
    <s v="AN6KIT-WH_4X10ML AN6白色机器+4x10mL香氛油（天竺） 机油套装"/>
    <x v="3"/>
    <n v="3"/>
    <n v="48.686440677966104"/>
    <s v="重量收费"/>
    <n v="3.6"/>
    <m/>
    <n v="4.3478260869565215"/>
    <n v="179.61901252763451"/>
    <n v="1.9957668058626057"/>
    <n v="0.29787564266606054"/>
    <m/>
    <m/>
    <m/>
    <x v="12"/>
    <d v="2026-04-10T00:00:00"/>
    <m/>
    <n v="0.43999999999999995"/>
    <n v="39.599999999999994"/>
    <d v="2026-04-20T00:00:00"/>
    <n v="30"/>
    <d v="2026-05-25T00:00:00"/>
    <m/>
    <n v="35"/>
    <m/>
    <m/>
    <m/>
    <m/>
  </r>
  <r>
    <m/>
    <s v="W12009"/>
    <s v="FBA198XML3L7"/>
    <s v="V-US"/>
    <x v="0"/>
    <s v="AN8KIT-B_4X10K01"/>
    <n v="2100"/>
    <s v="万邦"/>
    <s v="盐田海卡"/>
    <s v="QXY8"/>
    <x v="10"/>
    <s v="AN8KIT-B_4X10K01 AN8黑色机器+4x10mL酒店香氛油 机油套装"/>
    <x v="4"/>
    <n v="70"/>
    <n v="1136.0169491525423"/>
    <s v="重量收费"/>
    <n v="3.6"/>
    <m/>
    <n v="101.44927536231884"/>
    <n v="4191.1102923114713"/>
    <n v="1.9957668058626055"/>
    <n v="0.29787564266606054"/>
    <m/>
    <m/>
    <m/>
    <x v="12"/>
    <d v="2026-04-10T00:00:00"/>
    <m/>
    <n v="0.43999999999999995"/>
    <n v="923.99999999999989"/>
    <d v="2026-04-20T00:00:00"/>
    <n v="30"/>
    <d v="2026-05-25T00:00:00"/>
    <m/>
    <n v="35"/>
    <m/>
    <m/>
    <m/>
    <m/>
  </r>
  <r>
    <m/>
    <s v="W12009"/>
    <s v="FBA198XML3L7"/>
    <s v="V-US"/>
    <x v="0"/>
    <s v="AN8KIT-WH_4X10K01"/>
    <n v="30"/>
    <s v="万邦"/>
    <s v="盐田海卡"/>
    <s v="QXY8"/>
    <x v="12"/>
    <s v="AN8KIT-WH_4X10K01 AN8白色机器+4x10mL酒店香氛油 机油套装"/>
    <x v="4"/>
    <n v="1"/>
    <n v="16.228813559322035"/>
    <s v="重量收费"/>
    <n v="3.6"/>
    <m/>
    <n v="1.4492753623188406"/>
    <n v="59.873004175878172"/>
    <n v="1.9957668058626057"/>
    <n v="0.29787564266606054"/>
    <m/>
    <m/>
    <m/>
    <x v="12"/>
    <d v="2026-04-10T00:00:00"/>
    <m/>
    <n v="0.43999999999999995"/>
    <n v="13.2"/>
    <d v="2026-04-20T00:00:00"/>
    <n v="30"/>
    <d v="2026-05-25T00:00:00"/>
    <m/>
    <n v="35"/>
    <m/>
    <m/>
    <m/>
    <m/>
  </r>
  <r>
    <m/>
    <s v="W12009"/>
    <s v="FBA198XML3L7"/>
    <s v="V-US"/>
    <x v="0"/>
    <s v="AN8KIT-WH_4X10K05_TZ"/>
    <n v="780"/>
    <s v="万邦"/>
    <s v="盐田海卡"/>
    <s v="QXY8"/>
    <x v="111"/>
    <s v="AN8KIT-WH_4X10K05_TZ AN8白色机器+4x10mL（天竺）酒店香氛油 机油套装"/>
    <x v="4"/>
    <n v="26"/>
    <n v="421.94915254237287"/>
    <s v="重量收费"/>
    <n v="3.6"/>
    <m/>
    <n v="37.681159420289852"/>
    <n v="1556.6981085728321"/>
    <n v="1.9957668058626052"/>
    <n v="0.29787564266606048"/>
    <m/>
    <m/>
    <m/>
    <x v="12"/>
    <d v="2026-04-10T00:00:00"/>
    <m/>
    <n v="0.43999999999999995"/>
    <n v="343.19999999999993"/>
    <d v="2026-04-20T00:00:00"/>
    <n v="30"/>
    <d v="2026-05-25T00:00:00"/>
    <m/>
    <n v="35"/>
    <m/>
    <m/>
    <m/>
    <m/>
  </r>
  <r>
    <m/>
    <s v="W12006"/>
    <s v="FBA19903R9DH"/>
    <s v="V-US"/>
    <x v="0"/>
    <s v="001000019"/>
    <n v="1200"/>
    <s v="国润通"/>
    <s v="盐田海卡"/>
    <s v="TCY2"/>
    <x v="17"/>
    <s v="AN6-B 便携式扩香仪 黑色"/>
    <x v="3"/>
    <n v="30"/>
    <n v="420"/>
    <s v="重量收费"/>
    <n v="3.2"/>
    <n v="200"/>
    <n v="71.428571428571431"/>
    <n v="1415.4285714285713"/>
    <n v="1.1795238095238094"/>
    <n v="0.17604832977967305"/>
    <m/>
    <m/>
    <m/>
    <x v="13"/>
    <d v="2026-04-19T00:00:00"/>
    <m/>
    <n v="0.37841269841269842"/>
    <n v="454.09523809523813"/>
    <d v="2026-04-27T00:00:00"/>
    <n v="36"/>
    <d v="2026-05-27T00:00:00"/>
    <m/>
    <n v="30"/>
    <m/>
    <m/>
    <m/>
    <m/>
  </r>
  <r>
    <m/>
    <s v="W12006"/>
    <s v="FBA19903R9DH"/>
    <s v="V-US"/>
    <x v="0"/>
    <s v="AN6-LV"/>
    <n v="120"/>
    <s v="国润通"/>
    <s v="盐田海卡"/>
    <s v="TCY2"/>
    <x v="68"/>
    <s v="AN6-LV 便携式扩香仪 薰衣草"/>
    <x v="3"/>
    <n v="3"/>
    <n v="42"/>
    <s v="重量收费"/>
    <n v="3.2"/>
    <n v="200"/>
    <n v="7.1428571428571432"/>
    <n v="141.54285714285714"/>
    <n v="1.1795238095238096"/>
    <n v="0.17604832977967308"/>
    <m/>
    <m/>
    <m/>
    <x v="13"/>
    <d v="2026-04-19T00:00:00"/>
    <m/>
    <n v="0.37841269841269842"/>
    <n v="45.409523809523812"/>
    <d v="2026-04-27T00:00:00"/>
    <n v="36"/>
    <d v="2026-05-27T00:00:00"/>
    <m/>
    <n v="30"/>
    <m/>
    <m/>
    <m/>
    <m/>
  </r>
  <r>
    <m/>
    <s v="W12006"/>
    <s v="FBA19903R9DH"/>
    <s v="V-US"/>
    <x v="0"/>
    <s v="001000020"/>
    <n v="400"/>
    <s v="国润通"/>
    <s v="盐田海卡"/>
    <s v="TCY2"/>
    <x v="18"/>
    <s v="AN6-W 便携式扩香仪 白色"/>
    <x v="3"/>
    <n v="10"/>
    <n v="140"/>
    <s v="重量收费"/>
    <n v="3.2"/>
    <m/>
    <n v="23.80952380952381"/>
    <n v="471.8095238095238"/>
    <n v="1.1795238095238094"/>
    <n v="0.17604832977967305"/>
    <m/>
    <m/>
    <m/>
    <x v="13"/>
    <d v="2026-04-19T00:00:00"/>
    <m/>
    <n v="0.37841269841269842"/>
    <n v="151.36507936507937"/>
    <d v="2026-04-27T00:00:00"/>
    <n v="36"/>
    <d v="2026-05-27T00:00:00"/>
    <m/>
    <n v="30"/>
    <m/>
    <m/>
    <m/>
    <m/>
  </r>
  <r>
    <m/>
    <s v="W12006"/>
    <s v="FBA19903R9DH"/>
    <s v="V-US"/>
    <x v="0"/>
    <s v="AN8-B"/>
    <n v="160"/>
    <s v="国润通"/>
    <s v="盐田海卡"/>
    <s v="TCY2"/>
    <x v="31"/>
    <s v="AN8-B 便携式扩香仪 黑色"/>
    <x v="4"/>
    <n v="4"/>
    <n v="56"/>
    <s v="重量收费"/>
    <n v="3.2"/>
    <m/>
    <n v="9.5238095238095237"/>
    <n v="188.72380952380954"/>
    <n v="1.1795238095238096"/>
    <n v="0.17604832977967308"/>
    <m/>
    <m/>
    <m/>
    <x v="13"/>
    <d v="2026-04-19T00:00:00"/>
    <m/>
    <n v="0.37841269841269842"/>
    <n v="60.546031746031744"/>
    <d v="2026-04-27T00:00:00"/>
    <n v="36"/>
    <d v="2026-05-27T00:00:00"/>
    <m/>
    <n v="30"/>
    <m/>
    <m/>
    <m/>
    <m/>
  </r>
  <r>
    <m/>
    <s v="W12006"/>
    <s v="FBA19903R9DH"/>
    <s v="V-US"/>
    <x v="0"/>
    <s v="AN8KIT-B_B"/>
    <n v="100"/>
    <s v="国润通"/>
    <s v="盐田海卡"/>
    <s v="TCY2"/>
    <x v="32"/>
    <s v="AN8KIT-B_B 便携式扩香仪套装 黑+黑"/>
    <x v="4"/>
    <n v="5"/>
    <n v="70"/>
    <s v="重量收费"/>
    <n v="3.2"/>
    <m/>
    <n v="11.904761904761905"/>
    <n v="235.9047619047619"/>
    <n v="2.3590476190476188"/>
    <n v="0.3520966595593461"/>
    <m/>
    <m/>
    <m/>
    <x v="13"/>
    <d v="2026-04-19T00:00:00"/>
    <m/>
    <n v="0.37841269841269842"/>
    <n v="37.841269841269842"/>
    <d v="2026-04-27T00:00:00"/>
    <n v="36"/>
    <d v="2026-05-27T00:00:00"/>
    <m/>
    <n v="30"/>
    <m/>
    <m/>
    <m/>
    <m/>
  </r>
  <r>
    <m/>
    <s v="W12006"/>
    <s v="FBA19903R9DH"/>
    <s v="V-US"/>
    <x v="0"/>
    <s v="RD1-B"/>
    <n v="390"/>
    <s v="国润通"/>
    <s v="盐田海卡"/>
    <s v="TCY2"/>
    <x v="101"/>
    <s v="RD1-B 便携式扩香仪 黑色"/>
    <x v="23"/>
    <n v="13"/>
    <n v="182"/>
    <s v="重量收费"/>
    <n v="3.2"/>
    <m/>
    <n v="30.952380952380953"/>
    <n v="613.35238095238094"/>
    <n v="1.5726984126984127"/>
    <n v="0.2347311063728974"/>
    <m/>
    <m/>
    <m/>
    <x v="13"/>
    <d v="2026-04-19T00:00:00"/>
    <m/>
    <n v="0.37841269841269842"/>
    <n v="147.5809523809524"/>
    <d v="2026-04-27T00:00:00"/>
    <n v="36"/>
    <d v="2026-05-27T00:00:00"/>
    <m/>
    <n v="30"/>
    <m/>
    <m/>
    <m/>
    <m/>
  </r>
  <r>
    <m/>
    <s v="W12006"/>
    <s v="FBA19903R9DH"/>
    <s v="V-US"/>
    <x v="0"/>
    <s v="RD1PJ-BOT"/>
    <n v="60"/>
    <s v="国润通"/>
    <s v="盐田海卡"/>
    <s v="TCY2"/>
    <x v="97"/>
    <s v="RD1PJ-BOT 便携式扩香仪100mL带盖替换玻璃瓶"/>
    <x v="22"/>
    <n v="1"/>
    <n v="14"/>
    <s v="重量收费"/>
    <n v="3.2"/>
    <m/>
    <n v="2.3809523809523809"/>
    <n v="47.180952380952384"/>
    <n v="0.78634920634920635"/>
    <n v="0.1173655531864487"/>
    <m/>
    <m/>
    <m/>
    <x v="13"/>
    <d v="2026-04-19T00:00:00"/>
    <m/>
    <n v="0.37841269841269842"/>
    <n v="22.704761904761906"/>
    <d v="2026-04-27T00:00:00"/>
    <n v="36"/>
    <d v="2026-05-27T00:00:00"/>
    <m/>
    <n v="30"/>
    <m/>
    <m/>
    <m/>
    <m/>
  </r>
  <r>
    <m/>
    <s v="W12006"/>
    <s v="FBA19903R9DH"/>
    <s v="V-US"/>
    <x v="0"/>
    <s v="RD1-DT"/>
    <n v="90"/>
    <s v="国润通"/>
    <s v="盐田海卡"/>
    <s v="TCY2"/>
    <x v="110"/>
    <s v="RD1-DT 便携式扩香仪 沙漠钛色"/>
    <x v="23"/>
    <n v="3"/>
    <n v="42"/>
    <s v="重量收费"/>
    <n v="3.2"/>
    <m/>
    <n v="7.1428571428571432"/>
    <n v="141.54285714285714"/>
    <n v="1.5726984126984127"/>
    <n v="0.2347311063728974"/>
    <m/>
    <m/>
    <m/>
    <x v="13"/>
    <d v="2026-04-19T00:00:00"/>
    <m/>
    <n v="0.37841269841269842"/>
    <n v="34.057142857142857"/>
    <d v="2026-04-27T00:00:00"/>
    <n v="36"/>
    <d v="2026-05-27T00:00:00"/>
    <m/>
    <n v="30"/>
    <m/>
    <m/>
    <m/>
    <m/>
  </r>
  <r>
    <m/>
    <s v="W12010"/>
    <s v="FBA19994C4F1"/>
    <s v="K-US"/>
    <x v="0"/>
    <s v="RDXKIT-B_US_2X100K04"/>
    <n v="90"/>
    <s v="国润通"/>
    <s v="以星海卡"/>
    <s v="GEU2"/>
    <x v="112"/>
    <s v="RDXKIT-B_US_2X100K04 RDX黑色机器+2X100mL酒店香氛油（天竺） 机油套装"/>
    <x v="25"/>
    <n v="10"/>
    <n v="148"/>
    <s v="重量收费"/>
    <n v="4.5"/>
    <n v="200"/>
    <n v="200"/>
    <n v="866"/>
    <n v="9.6222222222222218"/>
    <n v="1.4361525704809286"/>
    <m/>
    <m/>
    <m/>
    <x v="13"/>
    <d v="2026-04-07T00:00:00"/>
    <m/>
    <n v="0.7"/>
    <n v="62.999999999999993"/>
    <d v="2026-04-26T00:00:00"/>
    <n v="35"/>
    <d v="2026-05-23T00:00:00"/>
    <m/>
    <n v="27"/>
    <m/>
    <m/>
    <m/>
    <m/>
  </r>
  <r>
    <m/>
    <s v="W12004"/>
    <s v="FBA19993QKM2"/>
    <s v="K-US"/>
    <x v="0"/>
    <s v="RDXKIT-B_US_2X100K04"/>
    <n v="360"/>
    <s v="国润通"/>
    <s v="盐田海卡"/>
    <s v="GEU2"/>
    <x v="112"/>
    <s v="RDXKIT-B_US_2X100K04 RDX黑色机器+2X100mL酒店香氛油（天竺） 机油套装"/>
    <x v="25"/>
    <n v="40"/>
    <n v="592"/>
    <s v="重量收费"/>
    <n v="3.6"/>
    <n v="200"/>
    <n v="40.609137055837564"/>
    <n v="2171.8091370558377"/>
    <n v="6.0328031584884378"/>
    <n v="0.90041838186394596"/>
    <m/>
    <m/>
    <m/>
    <x v="13"/>
    <d v="2026-04-10T00:00:00"/>
    <m/>
    <n v="0.7"/>
    <n v="251.99999999999997"/>
    <d v="2026-04-26T00:00:00"/>
    <n v="35"/>
    <d v="2026-05-22T00:00:00"/>
    <m/>
    <n v="26"/>
    <m/>
    <m/>
    <m/>
    <m/>
  </r>
  <r>
    <m/>
    <s v="W12002"/>
    <s v="FBA15G7HFC4R"/>
    <s v="E-AU"/>
    <x v="4"/>
    <s v="AND-IB"/>
    <n v="30"/>
    <s v="澳鹰"/>
    <s v="澳洲海卡"/>
    <s v="BWU2"/>
    <x v="113"/>
    <s v="AND-IB 便携式双喷扩香仪 冰蓝色"/>
    <x v="5"/>
    <n v="1"/>
    <n v="13.636363636363637"/>
    <s v="重量收费"/>
    <n v="6.5"/>
    <n v="350"/>
    <n v="15.909090909090908"/>
    <n v="104.54545454545455"/>
    <n v="3.4848484848484849"/>
    <n v="0.52012663952962457"/>
    <m/>
    <m/>
    <m/>
    <x v="14"/>
    <d v="2026-04-22T00:00:00"/>
    <m/>
    <n v="0"/>
    <n v="0"/>
    <d v="2026-05-10T00:00:00"/>
    <n v="48"/>
    <d v="2026-05-26T00:00:00"/>
    <m/>
    <n v="16"/>
    <m/>
    <m/>
    <m/>
    <m/>
  </r>
  <r>
    <m/>
    <s v="W12002"/>
    <s v="FBA15G7HFC4R"/>
    <s v="E-AU"/>
    <x v="4"/>
    <s v="AND-B"/>
    <n v="120"/>
    <s v="澳鹰"/>
    <s v="澳洲海卡"/>
    <s v="BWU2"/>
    <x v="20"/>
    <s v="AND-B 便携式双喷扩香仪 黑色"/>
    <x v="5"/>
    <n v="4"/>
    <n v="54.545454545454547"/>
    <s v="重量收费"/>
    <n v="6.5"/>
    <n v="350"/>
    <n v="63.636363636363633"/>
    <n v="418.18181818181819"/>
    <n v="3.4848484848484849"/>
    <n v="0.52012663952962457"/>
    <m/>
    <m/>
    <m/>
    <x v="14"/>
    <d v="2026-04-22T00:00:00"/>
    <m/>
    <n v="0"/>
    <n v="0"/>
    <d v="2026-05-10T00:00:00"/>
    <n v="48"/>
    <d v="2026-05-26T00:00:00"/>
    <m/>
    <n v="16"/>
    <m/>
    <m/>
    <m/>
    <m/>
  </r>
  <r>
    <m/>
    <s v="W12002"/>
    <s v="FBA15G7HFC4R"/>
    <s v="E-AU"/>
    <x v="4"/>
    <s v="AND-DT"/>
    <n v="90"/>
    <s v="澳鹰"/>
    <s v="澳洲海卡"/>
    <s v="BWU2"/>
    <x v="21"/>
    <s v="AND-DT 便携式双喷扩香仪 沙漠钛色"/>
    <x v="5"/>
    <n v="3"/>
    <n v="40.909090909090907"/>
    <s v="重量收费"/>
    <n v="6.5"/>
    <m/>
    <n v="47.727272727272727"/>
    <n v="313.63636363636363"/>
    <n v="3.4848484848484849"/>
    <n v="0.52012663952962457"/>
    <m/>
    <m/>
    <m/>
    <x v="14"/>
    <d v="2026-04-22T00:00:00"/>
    <m/>
    <n v="0"/>
    <n v="0"/>
    <d v="2026-05-10T00:00:00"/>
    <n v="48"/>
    <d v="2026-05-26T00:00:00"/>
    <m/>
    <n v="16"/>
    <m/>
    <m/>
    <m/>
    <m/>
  </r>
  <r>
    <m/>
    <s v="W12002"/>
    <s v="FBA15G7HFC4R"/>
    <s v="E-AU"/>
    <x v="4"/>
    <s v="001000045"/>
    <n v="210"/>
    <s v="澳鹰"/>
    <s v="澳洲海卡"/>
    <s v="BWU2"/>
    <x v="1"/>
    <s v="ANX-B 便携式扩香仪 黑色"/>
    <x v="1"/>
    <n v="7"/>
    <n v="95.454545454545453"/>
    <s v="重量收费"/>
    <n v="6.5"/>
    <m/>
    <n v="111.36363636363636"/>
    <n v="731.81818181818187"/>
    <n v="3.4848484848484853"/>
    <n v="0.52012663952962468"/>
    <m/>
    <m/>
    <m/>
    <x v="14"/>
    <d v="2026-04-22T00:00:00"/>
    <m/>
    <n v="0"/>
    <n v="0"/>
    <d v="2026-05-10T00:00:00"/>
    <n v="48"/>
    <d v="2026-05-26T00:00:00"/>
    <m/>
    <n v="16"/>
    <m/>
    <m/>
    <m/>
    <m/>
  </r>
  <r>
    <m/>
    <s v="W12002"/>
    <s v="FBA15G7HFC4R"/>
    <s v="E-AU"/>
    <x v="4"/>
    <s v="001000051"/>
    <n v="60"/>
    <s v="澳鹰"/>
    <s v="澳洲海卡"/>
    <s v="BWU2"/>
    <x v="4"/>
    <s v="ANX-SG 便携式扩香仪 太空灰色"/>
    <x v="1"/>
    <n v="2"/>
    <n v="27.272727272727273"/>
    <s v="重量收费"/>
    <n v="6.5"/>
    <m/>
    <n v="31.818181818181817"/>
    <n v="209.09090909090909"/>
    <n v="3.4848484848484849"/>
    <n v="0.52012663952962457"/>
    <m/>
    <m/>
    <m/>
    <x v="14"/>
    <d v="2026-04-22T00:00:00"/>
    <m/>
    <n v="0"/>
    <n v="0"/>
    <d v="2026-05-10T00:00:00"/>
    <n v="48"/>
    <d v="2026-05-26T00:00:00"/>
    <m/>
    <n v="16"/>
    <m/>
    <m/>
    <m/>
    <m/>
  </r>
  <r>
    <m/>
    <s v="W12002"/>
    <s v="FBA15G7HFC4R"/>
    <s v="E-AU"/>
    <x v="4"/>
    <s v="001000046"/>
    <n v="60"/>
    <s v="澳鹰"/>
    <s v="澳洲海卡"/>
    <s v="BWU2"/>
    <x v="92"/>
    <s v="ANX-SILV 便携式扩香仪 银色"/>
    <x v="1"/>
    <n v="2"/>
    <n v="27.272727272727273"/>
    <s v="重量收费"/>
    <n v="6.5"/>
    <m/>
    <n v="31.818181818181817"/>
    <n v="209.09090909090909"/>
    <n v="3.4848484848484849"/>
    <n v="0.52012663952962457"/>
    <m/>
    <m/>
    <m/>
    <x v="14"/>
    <d v="2026-04-22T00:00:00"/>
    <m/>
    <n v="0"/>
    <n v="0"/>
    <d v="2026-05-10T00:00:00"/>
    <n v="48"/>
    <d v="2026-05-26T00:00:00"/>
    <m/>
    <n v="16"/>
    <m/>
    <m/>
    <m/>
    <m/>
  </r>
  <r>
    <m/>
    <s v="W12002"/>
    <s v="FBA15G7HFC4R"/>
    <s v="E-AU"/>
    <x v="4"/>
    <s v="RD1-B"/>
    <n v="90"/>
    <s v="澳鹰"/>
    <s v="澳洲海卡"/>
    <s v="BWU2"/>
    <x v="101"/>
    <s v="RD1-B 便携式扩香仪 黑色"/>
    <x v="23"/>
    <n v="3"/>
    <n v="40.909090909090907"/>
    <s v="重量收费"/>
    <n v="6.5"/>
    <m/>
    <n v="47.727272727272727"/>
    <n v="313.63636363636363"/>
    <n v="3.4848484848484849"/>
    <n v="0.52012663952962457"/>
    <m/>
    <m/>
    <m/>
    <x v="14"/>
    <d v="2026-04-22T00:00:00"/>
    <m/>
    <n v="0"/>
    <n v="0"/>
    <d v="2026-05-10T00:00:00"/>
    <n v="48"/>
    <d v="2026-05-26T00:00:00"/>
    <m/>
    <n v="16"/>
    <m/>
    <m/>
    <m/>
    <m/>
  </r>
  <r>
    <m/>
    <s v="W12004"/>
    <s v="FBA19922135M"/>
    <s v="A-US"/>
    <x v="0"/>
    <s v="ANZKIT-W_SJ30ML"/>
    <n v="150"/>
    <s v="国润通"/>
    <s v="盐田海卡"/>
    <s v="POC3"/>
    <x v="114"/>
    <s v="ANZKIT-W_SJ30ML ANZ白色机器+30mL四季酒店香氛油（天竺） 机油套装"/>
    <x v="0"/>
    <n v="5"/>
    <n v="66.709999999999994"/>
    <s v="重量收费"/>
    <n v="2.8"/>
    <n v="200"/>
    <n v="5.0761421319796955"/>
    <n v="191.86414213197969"/>
    <n v="1.2790942808798647"/>
    <n v="0.19090959416117381"/>
    <m/>
    <m/>
    <m/>
    <x v="13"/>
    <d v="2026-04-10T00:00:00"/>
    <m/>
    <n v="0.44"/>
    <n v="66"/>
    <d v="2026-05-01T00:00:00"/>
    <n v="40"/>
    <d v="2026-05-25T00:00:00"/>
    <m/>
    <n v="24"/>
    <m/>
    <m/>
    <m/>
    <m/>
  </r>
  <r>
    <m/>
    <s v="W12004"/>
    <s v="FBA198X3QKQ1"/>
    <s v="W-US"/>
    <x v="0"/>
    <s v="002000037"/>
    <n v="32"/>
    <s v="国润通"/>
    <s v="盐田海卡"/>
    <s v="POC2"/>
    <x v="95"/>
    <s v="M1-SILV 电子球形把手锁 银色"/>
    <x v="18"/>
    <n v="2"/>
    <n v="30.153846153846153"/>
    <s v="重量收费"/>
    <n v="2.8"/>
    <n v="199.99999999999997"/>
    <n v="2.030456852791878"/>
    <n v="86.461226083561101"/>
    <n v="2.7019133151112844"/>
    <n v="0.40327064404646035"/>
    <m/>
    <m/>
    <m/>
    <x v="15"/>
    <d v="2026-04-10T00:00:00"/>
    <m/>
    <n v="0.56000000000000005"/>
    <n v="17.920000000000002"/>
    <d v="2026-04-23T00:00:00"/>
    <n v="34"/>
    <d v="2026-05-23T00:00:00"/>
    <m/>
    <n v="30"/>
    <m/>
    <m/>
    <m/>
    <m/>
  </r>
  <r>
    <m/>
    <s v="W12004"/>
    <s v="FBA198X3QKQ1"/>
    <s v="W-US"/>
    <x v="0"/>
    <s v="002000029"/>
    <n v="176"/>
    <s v="国润通"/>
    <s v="盐田海卡"/>
    <s v="POC2"/>
    <x v="81"/>
    <s v="MD1-B 电子球形把手锁 指纹 黑色"/>
    <x v="19"/>
    <n v="11"/>
    <n v="165.84615384615384"/>
    <s v="重量收费"/>
    <n v="2.8"/>
    <m/>
    <n v="11.167512690355331"/>
    <n v="475.53674345958609"/>
    <n v="2.7019133151112844"/>
    <n v="0.40327064404646035"/>
    <m/>
    <m/>
    <m/>
    <x v="15"/>
    <d v="2026-04-10T00:00:00"/>
    <m/>
    <n v="0.56000000000000005"/>
    <n v="98.56"/>
    <d v="2026-04-23T00:00:00"/>
    <n v="34"/>
    <d v="2026-05-23T00:00:00"/>
    <m/>
    <n v="30"/>
    <m/>
    <m/>
    <m/>
    <m/>
  </r>
  <r>
    <m/>
    <s v="W12007"/>
    <s v="FBA198X58NK5"/>
    <s v="W-US"/>
    <x v="0"/>
    <s v="002000037"/>
    <n v="80"/>
    <s v="天盛"/>
    <s v="美森海卡"/>
    <s v="POC2"/>
    <x v="95"/>
    <s v="M1-SILV 电子球形把手锁 银色"/>
    <x v="18"/>
    <n v="5"/>
    <n v="0.32599999999999996"/>
    <s v="CBM收费"/>
    <n v="1830"/>
    <n v="180"/>
    <n v="36"/>
    <n v="632.57999999999993"/>
    <n v="7.9072499999999994"/>
    <n v="1.1801865671641789"/>
    <m/>
    <m/>
    <m/>
    <x v="15"/>
    <d v="2026-04-05T00:00:00"/>
    <m/>
    <n v="0.56000000000000005"/>
    <n v="44.800000000000004"/>
    <d v="2026-04-10T00:00:00"/>
    <n v="21"/>
    <d v="2026-05-14T00:00:00"/>
    <m/>
    <n v="34"/>
    <m/>
    <m/>
    <m/>
    <m/>
  </r>
  <r>
    <m/>
    <s v="W12007"/>
    <s v="FBA198X58NK5"/>
    <s v="W-US"/>
    <x v="0"/>
    <s v="002000029"/>
    <n v="320"/>
    <s v="天盛"/>
    <s v="美森海卡"/>
    <s v="POC2"/>
    <x v="81"/>
    <s v="MD1-B 电子球形把手锁 指纹 黑色"/>
    <x v="19"/>
    <n v="20"/>
    <n v="1.3039999999999998"/>
    <s v="CBM收费"/>
    <n v="1830"/>
    <n v="180"/>
    <n v="144"/>
    <n v="2530.3199999999997"/>
    <n v="7.9072499999999994"/>
    <n v="1.1801865671641789"/>
    <m/>
    <m/>
    <m/>
    <x v="15"/>
    <d v="2026-04-05T00:00:00"/>
    <m/>
    <n v="0.56000000000000005"/>
    <n v="179.20000000000002"/>
    <d v="2026-04-10T00:00:00"/>
    <n v="21"/>
    <d v="2026-05-14T00:00:00"/>
    <m/>
    <n v="34"/>
    <m/>
    <m/>
    <m/>
    <m/>
  </r>
  <r>
    <m/>
    <s v="W12006"/>
    <s v="FBA198XV6SCX"/>
    <s v="V-US"/>
    <x v="0"/>
    <s v="ANWKIT-WH_US_2X100K03"/>
    <n v="180"/>
    <s v="国润通"/>
    <s v="盐田海卡"/>
    <s v="TCY2"/>
    <x v="44"/>
    <s v="ANWKIT-WH_US_2X100K03 ANW白色机器+2X100mL酒店香氛油（天竺） 机油套装"/>
    <x v="10"/>
    <n v="15"/>
    <n v="256"/>
    <s v="重量收费"/>
    <n v="3.2"/>
    <n v="200"/>
    <n v="35.714285714285715"/>
    <n v="854.91428571428571"/>
    <n v="4.7495238095238097"/>
    <n v="0.7088841506751955"/>
    <m/>
    <m/>
    <m/>
    <x v="15"/>
    <d v="2026-04-19T00:00:00"/>
    <m/>
    <n v="0.55999999999999994"/>
    <n v="100.79999999999998"/>
    <d v="2026-04-27T00:00:00"/>
    <n v="38"/>
    <d v="2026-05-25T00:00:00"/>
    <m/>
    <n v="28"/>
    <m/>
    <m/>
    <m/>
    <m/>
  </r>
  <r>
    <m/>
    <s v="W12008"/>
    <s v="FBA198W8K669"/>
    <s v="V-US"/>
    <x v="0"/>
    <s v="ANP-W_US"/>
    <n v="288"/>
    <s v="国润通"/>
    <s v="美森海卡"/>
    <s v="POC2"/>
    <x v="115"/>
    <s v="ANP-W_US 墙插式智能扩香仪 白色"/>
    <x v="26"/>
    <n v="9"/>
    <n v="143"/>
    <s v="重量收费"/>
    <n v="8.5"/>
    <n v="200"/>
    <n v="200"/>
    <n v="1415.5"/>
    <n v="4.9149305555555554"/>
    <n v="0.73357172470978438"/>
    <m/>
    <m/>
    <m/>
    <x v="15"/>
    <d v="2026-04-05T00:00:00"/>
    <m/>
    <n v="0.44"/>
    <n v="126.72"/>
    <d v="2026-04-15T00:00:00"/>
    <n v="26"/>
    <d v="2026-05-14T00:00:00"/>
    <m/>
    <n v="29"/>
    <m/>
    <m/>
    <m/>
    <m/>
  </r>
  <r>
    <m/>
    <s v="W12004"/>
    <s v="FBA198VY9H04"/>
    <s v="V-US"/>
    <x v="0"/>
    <s v="001000032"/>
    <n v="180"/>
    <s v="国润通"/>
    <s v="盐田海卡"/>
    <s v="GEU3"/>
    <x v="40"/>
    <s v="ANW-B 智能扩香仪 黑色"/>
    <x v="10"/>
    <n v="15"/>
    <n v="214.24242424242422"/>
    <s v="重量收费"/>
    <n v="3.6"/>
    <n v="200"/>
    <n v="15.228426395939087"/>
    <n v="786.50115366866635"/>
    <n v="4.3694508537148131"/>
    <n v="0.65215684383803174"/>
    <m/>
    <m/>
    <m/>
    <x v="15"/>
    <d v="2026-04-10T00:00:00"/>
    <m/>
    <n v="0.54788643533123027"/>
    <n v="98.61955835962145"/>
    <d v="2026-04-21T00:00:00"/>
    <n v="32"/>
    <d v="2026-05-26T00:00:00"/>
    <m/>
    <n v="35"/>
    <m/>
    <m/>
    <m/>
    <m/>
  </r>
  <r>
    <m/>
    <s v="W12004"/>
    <s v="FBA198VY9H04"/>
    <s v="V-US"/>
    <x v="0"/>
    <s v="001000033"/>
    <n v="960"/>
    <s v="国润通"/>
    <s v="盐田海卡"/>
    <s v="GEU3"/>
    <x v="41"/>
    <s v="ANW-W 智能扩香仪 白色"/>
    <x v="10"/>
    <n v="80"/>
    <n v="1142.6262626262626"/>
    <s v="重量收费"/>
    <n v="3.6"/>
    <n v="200"/>
    <n v="81.218274111675129"/>
    <n v="4194.6728195662199"/>
    <n v="4.3694508537148122"/>
    <n v="0.65215684383803163"/>
    <m/>
    <m/>
    <m/>
    <x v="15"/>
    <d v="2026-04-10T00:00:00"/>
    <m/>
    <n v="0.54788643533123027"/>
    <n v="525.97097791798103"/>
    <d v="2026-04-21T00:00:00"/>
    <n v="32"/>
    <d v="2026-05-26T00:00:00"/>
    <m/>
    <n v="35"/>
    <m/>
    <m/>
    <m/>
    <m/>
  </r>
  <r>
    <m/>
    <s v="W12004"/>
    <s v="FBA198VY9H04"/>
    <s v="V-US"/>
    <x v="0"/>
    <s v="ANP-W_US"/>
    <n v="128"/>
    <s v="国润通"/>
    <s v="盐田海卡"/>
    <s v="GEU3"/>
    <x v="115"/>
    <s v="ANP-W_US 墙插式智能扩香仪 白色"/>
    <x v="26"/>
    <n v="4"/>
    <n v="57.131313131313128"/>
    <s v="重量收费"/>
    <n v="3.6"/>
    <n v="199.99999999999997"/>
    <n v="4.0609137055837561"/>
    <n v="209.733640978311"/>
    <n v="1.6385440701430547"/>
    <n v="0.24455881643926189"/>
    <m/>
    <m/>
    <m/>
    <x v="15"/>
    <d v="2026-04-10T00:00:00"/>
    <m/>
    <n v="0.54788643533123027"/>
    <n v="70.129463722397475"/>
    <d v="2026-04-21T00:00:00"/>
    <n v="32"/>
    <d v="2026-05-26T00:00:00"/>
    <m/>
    <n v="35"/>
    <m/>
    <m/>
    <m/>
    <m/>
  </r>
  <r>
    <m/>
    <s v="W12003"/>
    <s v="FBA198W7ZHBG"/>
    <s v="E-US"/>
    <x v="0"/>
    <s v="SJ1-100ML_TZ"/>
    <n v="192"/>
    <s v="天盛"/>
    <s v="盐田海卡"/>
    <s v="POC3"/>
    <x v="23"/>
    <s v="SJ1-100ML_TZ 四季酒店100mL香氛油（天竺） 销售包装"/>
    <x v="6"/>
    <n v="3"/>
    <n v="0.125"/>
    <s v="CBM收费"/>
    <n v="1030"/>
    <n v="180"/>
    <n v="20.76923076923077"/>
    <n v="149.51923076923077"/>
    <n v="0.77874599358974361"/>
    <n v="0.11623074531190203"/>
    <m/>
    <m/>
    <m/>
    <x v="15"/>
    <d v="2026-04-07T00:00:00"/>
    <m/>
    <n v="0.36333333333333334"/>
    <n v="69.760000000000005"/>
    <d v="2026-04-16T00:00:00"/>
    <n v="27"/>
    <d v="2026-05-16T00:00:00"/>
    <m/>
    <n v="30"/>
    <m/>
    <m/>
    <m/>
    <m/>
  </r>
  <r>
    <m/>
    <s v="W12003"/>
    <s v="FBA198W7ZHBG"/>
    <s v="E-US"/>
    <x v="0"/>
    <s v="TX331_100ML"/>
    <n v="640"/>
    <s v="天盛"/>
    <s v="盐田海卡"/>
    <s v="POC3"/>
    <x v="102"/>
    <s v="TX331_100ML 檀香33号100mL香氛油（天竺） 销售包装"/>
    <x v="6"/>
    <n v="10"/>
    <n v="0.41666666666666663"/>
    <s v="CBM收费"/>
    <n v="1030"/>
    <n v="180"/>
    <n v="69.230769230769226"/>
    <n v="498.39743589743586"/>
    <n v="0.7787459935897435"/>
    <n v="0.11623074531190201"/>
    <m/>
    <m/>
    <m/>
    <x v="15"/>
    <d v="2026-04-07T00:00:00"/>
    <m/>
    <n v="0.36333333333333334"/>
    <n v="232.53333333333333"/>
    <d v="2026-04-16T00:00:00"/>
    <n v="27"/>
    <d v="2026-05-16T00:00:00"/>
    <m/>
    <n v="30"/>
    <m/>
    <m/>
    <m/>
    <m/>
  </r>
  <r>
    <m/>
    <s v="W12003"/>
    <s v="FBA198W7ZHBG"/>
    <s v="E-US"/>
    <x v="0"/>
    <s v="HILTON1-100ML_TZ"/>
    <n v="192"/>
    <s v="天盛"/>
    <s v="盐田海卡"/>
    <s v="POC3"/>
    <x v="61"/>
    <s v="HILTON1-100ML_TZ 希尔顿酒店100mL香氛油（天竺） 销售包装"/>
    <x v="6"/>
    <n v="3"/>
    <n v="0.125"/>
    <s v="CBM收费"/>
    <n v="1030"/>
    <m/>
    <n v="20.76923076923077"/>
    <n v="149.51923076923077"/>
    <n v="0.77874599358974361"/>
    <n v="0.11623074531190203"/>
    <m/>
    <m/>
    <m/>
    <x v="15"/>
    <d v="2026-04-07T00:00:00"/>
    <m/>
    <n v="0.36333333333333334"/>
    <n v="69.760000000000005"/>
    <d v="2026-04-16T00:00:00"/>
    <n v="27"/>
    <d v="2026-05-16T00:00:00"/>
    <m/>
    <n v="30"/>
    <m/>
    <m/>
    <m/>
    <m/>
  </r>
  <r>
    <m/>
    <s v="W12003"/>
    <s v="FBA198W7ZHBG"/>
    <s v="E-US"/>
    <x v="0"/>
    <s v="YH1-100ML_TZ"/>
    <n v="64"/>
    <s v="天盛"/>
    <s v="盐田海卡"/>
    <s v="POC3"/>
    <x v="89"/>
    <s v="YH1-100ML_TZ 樱花100mL香氛油（天竺）销售包装"/>
    <x v="6"/>
    <n v="1"/>
    <n v="4.1666666666666664E-2"/>
    <s v="CBM收费"/>
    <n v="1030"/>
    <m/>
    <n v="6.9230769230769234"/>
    <n v="49.839743589743591"/>
    <n v="0.77874599358974361"/>
    <n v="0.11623074531190203"/>
    <m/>
    <m/>
    <m/>
    <x v="15"/>
    <d v="2026-04-07T00:00:00"/>
    <m/>
    <n v="0.36333333333333334"/>
    <n v="23.253333333333334"/>
    <d v="2026-04-16T00:00:00"/>
    <n v="27"/>
    <d v="2026-05-16T00:00:00"/>
    <m/>
    <n v="30"/>
    <m/>
    <m/>
    <m/>
    <m/>
  </r>
  <r>
    <m/>
    <s v="W12003"/>
    <s v="FBA198W7ZHBG"/>
    <s v="E-US"/>
    <x v="0"/>
    <s v="YZTT1_100ML"/>
    <n v="256"/>
    <s v="天盛"/>
    <s v="盐田海卡"/>
    <s v="POC3"/>
    <x v="103"/>
    <s v="YZTT1_100ML 柚子天堂100mL香氛油（天竺） 销售包装"/>
    <x v="6"/>
    <n v="4"/>
    <n v="0.16666666666666666"/>
    <s v="CBM收费"/>
    <n v="1030"/>
    <m/>
    <n v="27.692307692307693"/>
    <n v="199.35897435897436"/>
    <n v="0.77874599358974361"/>
    <n v="0.11623074531190203"/>
    <m/>
    <m/>
    <m/>
    <x v="15"/>
    <d v="2026-04-07T00:00:00"/>
    <m/>
    <n v="0.36333333333333334"/>
    <n v="93.013333333333335"/>
    <d v="2026-04-16T00:00:00"/>
    <n v="27"/>
    <d v="2026-05-16T00:00:00"/>
    <m/>
    <n v="30"/>
    <m/>
    <m/>
    <m/>
    <m/>
  </r>
  <r>
    <m/>
    <s v="W12003"/>
    <s v="FBA198W7ZHBG"/>
    <s v="E-US"/>
    <x v="0"/>
    <s v="TXY1_100ML"/>
    <n v="192"/>
    <s v="天盛"/>
    <s v="盐田海卡"/>
    <s v="POC3"/>
    <x v="104"/>
    <s v="TXY1_100ML 桃星云100mL香氛油（天竺） 销售包装"/>
    <x v="6"/>
    <n v="3"/>
    <n v="0.125"/>
    <s v="CBM收费"/>
    <n v="1030"/>
    <m/>
    <n v="20.76923076923077"/>
    <n v="149.51923076923077"/>
    <n v="0.77874599358974361"/>
    <n v="0.11623074531190203"/>
    <m/>
    <m/>
    <m/>
    <x v="15"/>
    <d v="2026-04-07T00:00:00"/>
    <m/>
    <n v="0.36333333333333334"/>
    <n v="69.760000000000005"/>
    <d v="2026-04-16T00:00:00"/>
    <n v="27"/>
    <d v="2026-05-16T00:00:00"/>
    <m/>
    <n v="30"/>
    <m/>
    <m/>
    <m/>
    <m/>
  </r>
  <r>
    <s v="备注跟FBA198W7ZHBG合并报关"/>
    <s v="W12003"/>
    <s v="FBA199220GQD"/>
    <s v="K-US"/>
    <x v="0"/>
    <s v="BGR1_100ML_TZ"/>
    <n v="128"/>
    <s v="天盛"/>
    <s v="盐田海卡"/>
    <s v="TCY2"/>
    <x v="116"/>
    <s v="BGR1_100ML_TZ 宝格丽酒店100mL香氛油（天竺） 销售包装"/>
    <x v="6"/>
    <n v="2"/>
    <n v="30"/>
    <s v="重量收费"/>
    <n v="6.6"/>
    <m/>
    <n v="13.846153846153847"/>
    <n v="211.84615384615384"/>
    <n v="1.6550480769230769"/>
    <n v="0.24702210103329506"/>
    <m/>
    <m/>
    <m/>
    <x v="15"/>
    <d v="2026-04-07T00:00:00"/>
    <m/>
    <n v="0.36"/>
    <n v="46.08"/>
    <d v="2026-04-19T00:00:00"/>
    <n v="30"/>
    <d v="2026-05-15T00:00:00"/>
    <m/>
    <n v="26"/>
    <m/>
    <m/>
    <m/>
    <m/>
  </r>
  <r>
    <m/>
    <s v="W12004"/>
    <s v="FBA198W7P8C9"/>
    <s v="E-US"/>
    <x v="0"/>
    <s v="003000007"/>
    <n v="252"/>
    <s v="国润通"/>
    <s v="盐田海卡"/>
    <s v="POC1"/>
    <x v="72"/>
    <s v="AP2F-H14 空气净化器滤网2-H14"/>
    <x v="15"/>
    <n v="7"/>
    <n v="154"/>
    <s v="重量收费"/>
    <n v="2.8"/>
    <n v="200"/>
    <n v="7.1065989847715736"/>
    <n v="438.30659898477154"/>
    <n v="1.7393119007332205"/>
    <n v="0.25959879115421203"/>
    <m/>
    <m/>
    <m/>
    <x v="15"/>
    <d v="2026-04-10T00:00:00"/>
    <m/>
    <n v="0.56000000000000005"/>
    <n v="141.12"/>
    <d v="2026-04-19T00:00:00"/>
    <n v="30"/>
    <d v="2026-05-17T00:00:00"/>
    <m/>
    <n v="28"/>
    <m/>
    <m/>
    <m/>
    <m/>
  </r>
  <r>
    <m/>
    <s v="W13010"/>
    <s v="FBA19985BHPR"/>
    <s v="V-US"/>
    <x v="0"/>
    <s v="AN8KIT-B_4X10K05_TZ"/>
    <n v="1200"/>
    <s v="万邦"/>
    <s v="美森海卡"/>
    <s v="GEU2"/>
    <x v="117"/>
    <s v="AN8KIT-B_4X10K05_TZ AN8黑色机器+4x10mL（天竺）酒店香氛油 机油套装"/>
    <x v="4"/>
    <n v="40"/>
    <n v="648"/>
    <s v="重量收费"/>
    <n v="9.4"/>
    <n v="200"/>
    <n v="200"/>
    <n v="6291.2"/>
    <n v="5.2426666666666666"/>
    <n v="0.78248756218905469"/>
    <m/>
    <m/>
    <m/>
    <x v="16"/>
    <d v="2026-04-14T00:00:00"/>
    <m/>
    <n v="0.44"/>
    <n v="528"/>
    <d v="2026-04-22T00:00:00"/>
    <n v="25"/>
    <d v="2026-05-21T00:00:00"/>
    <m/>
    <n v="29"/>
    <m/>
    <m/>
    <m/>
    <m/>
  </r>
  <r>
    <m/>
    <s v="W13008"/>
    <s v="FBA1997PDD0Z"/>
    <s v="V-US"/>
    <x v="0"/>
    <s v="001000019"/>
    <n v="2000"/>
    <s v="万邦"/>
    <s v="盐田海卡"/>
    <s v="QXY8"/>
    <x v="17"/>
    <s v="AN6-B 便携式扩香仪 黑色"/>
    <x v="3"/>
    <n v="50"/>
    <n v="681.18279569892468"/>
    <s v="重量收费"/>
    <n v="3.9"/>
    <n v="200"/>
    <n v="68.493150684931507"/>
    <n v="2725.106053910738"/>
    <n v="1.362553026955369"/>
    <n v="0.20336612342617447"/>
    <m/>
    <m/>
    <m/>
    <x v="16"/>
    <d v="2026-04-17T00:00:00"/>
    <m/>
    <n v="0.36416666666666669"/>
    <n v="728.33333333333337"/>
    <d v="2026-05-04T00:00:00"/>
    <n v="37"/>
    <m/>
    <m/>
    <n v="-46146"/>
    <m/>
    <m/>
    <m/>
    <m/>
  </r>
  <r>
    <m/>
    <s v="W13008"/>
    <s v="FBA1997PDD0Z"/>
    <s v="V-US"/>
    <x v="0"/>
    <s v="AN6-LV"/>
    <n v="120"/>
    <s v="万邦"/>
    <s v="盐田海卡"/>
    <s v="QXY8"/>
    <x v="68"/>
    <s v="AN6-LV 便携式扩香仪 薰衣草"/>
    <x v="3"/>
    <n v="3"/>
    <n v="40.87096774193548"/>
    <s v="重量收费"/>
    <n v="3.9"/>
    <n v="200"/>
    <n v="4.1095890410958908"/>
    <n v="163.50636323464425"/>
    <n v="1.3625530269553687"/>
    <n v="0.20336612342617444"/>
    <m/>
    <m/>
    <m/>
    <x v="16"/>
    <d v="2026-04-17T00:00:00"/>
    <m/>
    <n v="0.36416666666666669"/>
    <n v="43.7"/>
    <d v="2026-05-04T00:00:00"/>
    <n v="37"/>
    <m/>
    <m/>
    <n v="-46146"/>
    <m/>
    <m/>
    <m/>
    <m/>
  </r>
  <r>
    <m/>
    <s v="W13008"/>
    <s v="FBA1997PDD0Z"/>
    <s v="V-US"/>
    <x v="0"/>
    <s v="001000020"/>
    <n v="600"/>
    <s v="万邦"/>
    <s v="盐田海卡"/>
    <s v="QXY8"/>
    <x v="18"/>
    <s v="AN6-W 便携式扩香仪 白色"/>
    <x v="3"/>
    <n v="15"/>
    <n v="204.35483870967741"/>
    <s v="重量收费"/>
    <n v="3.9"/>
    <m/>
    <n v="20.547945205479451"/>
    <n v="817.53181617322127"/>
    <n v="1.3625530269553687"/>
    <n v="0.20336612342617444"/>
    <m/>
    <m/>
    <m/>
    <x v="16"/>
    <d v="2026-04-17T00:00:00"/>
    <m/>
    <n v="0.36416666666666669"/>
    <n v="218.50000000000003"/>
    <d v="2026-05-04T00:00:00"/>
    <n v="37"/>
    <m/>
    <m/>
    <n v="-46146"/>
    <m/>
    <m/>
    <m/>
    <m/>
  </r>
  <r>
    <m/>
    <s v="W13008"/>
    <s v="FBA1997PDD0Z"/>
    <s v="V-US"/>
    <x v="0"/>
    <s v="AN6-YG"/>
    <n v="200"/>
    <s v="万邦"/>
    <s v="盐田海卡"/>
    <s v="QXY8"/>
    <x v="19"/>
    <s v="AN6-YG 便携式扩香仪 乳酪色"/>
    <x v="3"/>
    <n v="5"/>
    <n v="68.118279569892465"/>
    <s v="重量收费"/>
    <n v="3.9"/>
    <m/>
    <n v="6.8493150684931505"/>
    <n v="272.51060539107374"/>
    <n v="1.3625530269553687"/>
    <n v="0.20336612342617444"/>
    <m/>
    <m/>
    <m/>
    <x v="16"/>
    <d v="2026-04-17T00:00:00"/>
    <m/>
    <n v="0.36416666666666669"/>
    <n v="72.833333333333343"/>
    <d v="2026-05-04T00:00:00"/>
    <n v="37"/>
    <m/>
    <m/>
    <n v="-46146"/>
    <m/>
    <m/>
    <m/>
    <m/>
  </r>
  <r>
    <m/>
    <s v="W13008"/>
    <s v="FBA1997PDD0Z"/>
    <s v="V-US"/>
    <x v="0"/>
    <s v="AN8-B"/>
    <n v="320"/>
    <s v="万邦"/>
    <s v="盐田海卡"/>
    <s v="QXY8"/>
    <x v="31"/>
    <s v="AN8-B 便携式扩香仪 黑色"/>
    <x v="4"/>
    <n v="8"/>
    <n v="108.98924731182795"/>
    <s v="重量收费"/>
    <n v="3.9"/>
    <m/>
    <n v="10.95890410958904"/>
    <n v="436.01696862571799"/>
    <n v="1.3625530269553687"/>
    <n v="0.20336612342617444"/>
    <m/>
    <m/>
    <m/>
    <x v="16"/>
    <d v="2026-04-17T00:00:00"/>
    <m/>
    <n v="0.36416666666666669"/>
    <n v="116.53333333333335"/>
    <d v="2026-05-04T00:00:00"/>
    <n v="37"/>
    <m/>
    <m/>
    <n v="-46146"/>
    <m/>
    <m/>
    <m/>
    <m/>
  </r>
  <r>
    <m/>
    <s v="W13008"/>
    <s v="FBA1997PDD0Z"/>
    <s v="V-US"/>
    <x v="0"/>
    <s v="AN8KIT-B_B"/>
    <n v="200"/>
    <s v="万邦"/>
    <s v="盐田海卡"/>
    <s v="QXY8"/>
    <x v="32"/>
    <s v="AN8KIT-B_B 便携式扩香仪套装 黑+黑"/>
    <x v="4"/>
    <n v="10"/>
    <n v="136.23655913978493"/>
    <s v="重量收费"/>
    <n v="3.9"/>
    <m/>
    <n v="13.698630136986301"/>
    <n v="545.02121078214748"/>
    <n v="2.7251060539107375"/>
    <n v="0.40673224685234888"/>
    <m/>
    <m/>
    <m/>
    <x v="16"/>
    <d v="2026-04-17T00:00:00"/>
    <m/>
    <n v="0.36416666666666669"/>
    <n v="72.833333333333343"/>
    <d v="2026-05-04T00:00:00"/>
    <n v="37"/>
    <m/>
    <m/>
    <n v="-46146"/>
    <m/>
    <m/>
    <m/>
    <m/>
  </r>
  <r>
    <m/>
    <s v="W13008"/>
    <s v="FBA1997PDD0Z"/>
    <s v="V-US"/>
    <x v="0"/>
    <s v="001000021"/>
    <n v="200"/>
    <s v="万邦"/>
    <s v="盐田海卡"/>
    <s v="QXY8"/>
    <x v="69"/>
    <s v="AN6NZ-B AN6喷嘴配件套装 黑色"/>
    <x v="14"/>
    <n v="1"/>
    <n v="13.623655913978494"/>
    <s v="重量收费"/>
    <n v="3.9"/>
    <m/>
    <n v="1.3698630136986301"/>
    <n v="54.502121078214749"/>
    <n v="0.27251060539107375"/>
    <n v="4.0673224685234884E-2"/>
    <m/>
    <m/>
    <m/>
    <x v="16"/>
    <d v="2026-04-17T00:00:00"/>
    <m/>
    <n v="0.36416666666666669"/>
    <n v="72.833333333333343"/>
    <d v="2026-05-04T00:00:00"/>
    <n v="37"/>
    <m/>
    <m/>
    <n v="-46146"/>
    <m/>
    <m/>
    <m/>
    <m/>
  </r>
  <r>
    <m/>
    <s v="W13008"/>
    <s v="FBA1997PDD0Z"/>
    <s v="V-US"/>
    <x v="0"/>
    <s v="001000021"/>
    <n v="100"/>
    <s v="万邦"/>
    <s v="盐田海卡"/>
    <s v="QXY8"/>
    <x v="69"/>
    <s v="AN6NZ-B AN6喷嘴配件套装 黑色"/>
    <x v="14"/>
    <n v="0.5"/>
    <n v="6.811827956989247"/>
    <s v="重量收费"/>
    <n v="3.9"/>
    <m/>
    <n v="0.68493150684931503"/>
    <n v="27.251060539107375"/>
    <n v="0.27251060539107375"/>
    <n v="4.0673224685234884E-2"/>
    <m/>
    <m/>
    <m/>
    <x v="16"/>
    <d v="2026-04-17T00:00:00"/>
    <m/>
    <n v="0.36416666666666669"/>
    <n v="36.416666666666671"/>
    <d v="2026-05-04T00:00:00"/>
    <n v="37"/>
    <m/>
    <m/>
    <n v="-46146"/>
    <m/>
    <m/>
    <m/>
    <m/>
  </r>
  <r>
    <m/>
    <s v="W13008"/>
    <s v="FBA1997PDD0Z"/>
    <s v="V-US"/>
    <x v="0"/>
    <s v="001000022"/>
    <n v="100"/>
    <s v="万邦"/>
    <s v="盐田海卡"/>
    <s v="QXY8"/>
    <x v="99"/>
    <s v="AN6NZ-W AN6喷嘴配件套装 白色"/>
    <x v="14"/>
    <n v="0.5"/>
    <n v="6.811827956989247"/>
    <s v="重量收费"/>
    <n v="3.9"/>
    <m/>
    <n v="0.68493150684931503"/>
    <n v="27.251060539107375"/>
    <n v="0.27251060539107375"/>
    <n v="4.0673224685234884E-2"/>
    <m/>
    <m/>
    <m/>
    <x v="16"/>
    <d v="2026-04-17T00:00:00"/>
    <m/>
    <n v="0.36416666666666669"/>
    <n v="36.416666666666671"/>
    <d v="2026-05-04T00:00:00"/>
    <n v="37"/>
    <m/>
    <m/>
    <n v="-46146"/>
    <m/>
    <m/>
    <m/>
    <m/>
  </r>
  <r>
    <m/>
    <s v="W13009"/>
    <s v="FBA199C7XWBM"/>
    <s v="V-US"/>
    <x v="0"/>
    <s v="AN6KIT-B_4X10K04_TZ"/>
    <n v="300"/>
    <s v="嘀嗒嘀"/>
    <s v="盐田海卡"/>
    <s v="MIT2"/>
    <x v="74"/>
    <s v="AN6KIT-B_4X10K04_TZ AN6黑色机器+4x10mL酒店（天竺）香氛油 机油套装"/>
    <x v="3"/>
    <n v="10"/>
    <n v="158.79611650485435"/>
    <s v="重量收费"/>
    <n v="4.2"/>
    <n v="200"/>
    <n v="14.492753623188406"/>
    <n v="681.43644294357671"/>
    <n v="2.2714548098119223"/>
    <n v="0.33902310594207796"/>
    <m/>
    <m/>
    <m/>
    <x v="16"/>
    <d v="2026-04-19T00:00:00"/>
    <m/>
    <n v="0.43999999999999995"/>
    <n v="131.99999999999997"/>
    <d v="2026-04-29T00:00:00"/>
    <n v="32"/>
    <m/>
    <m/>
    <n v="-46141"/>
    <m/>
    <m/>
    <m/>
    <m/>
  </r>
  <r>
    <m/>
    <s v="W13009"/>
    <s v="FBA199C7XWBM"/>
    <s v="V-US"/>
    <x v="0"/>
    <s v="AN8KIT-B_4X10K01"/>
    <n v="570"/>
    <s v="嘀嗒嘀"/>
    <s v="盐田海卡"/>
    <s v="MIT2"/>
    <x v="10"/>
    <s v="AN8KIT-B_4X10K01 AN8黑色机器+4x10mL酒店香氛油 机油套装"/>
    <x v="4"/>
    <n v="19"/>
    <n v="301.71262135922331"/>
    <s v="重量收费"/>
    <n v="4.2"/>
    <n v="200"/>
    <n v="27.536231884057973"/>
    <n v="1294.7292415927959"/>
    <n v="2.2714548098119227"/>
    <n v="0.33902310594207802"/>
    <m/>
    <m/>
    <m/>
    <x v="16"/>
    <d v="2026-04-19T00:00:00"/>
    <m/>
    <n v="0.43999999999999995"/>
    <n v="250.79999999999998"/>
    <d v="2026-04-29T00:00:00"/>
    <n v="32"/>
    <m/>
    <m/>
    <n v="-46141"/>
    <m/>
    <m/>
    <m/>
    <m/>
  </r>
  <r>
    <m/>
    <s v="W13009"/>
    <s v="FBA199C7XWBM"/>
    <s v="V-US"/>
    <x v="0"/>
    <s v="AN8KIT-B_4X10K05_TZ"/>
    <n v="1500"/>
    <s v="嘀嗒嘀"/>
    <s v="盐田海卡"/>
    <s v="MIT2"/>
    <x v="117"/>
    <s v="AN8KIT-B_4X10K05_TZ AN8黑色机器+4x10mL（天竺）酒店香氛油 机油套装"/>
    <x v="4"/>
    <n v="50"/>
    <n v="793.98058252427188"/>
    <s v="重量收费"/>
    <n v="4.2"/>
    <m/>
    <n v="72.463768115942031"/>
    <n v="3407.1822147178841"/>
    <n v="2.2714548098119227"/>
    <n v="0.33902310594207802"/>
    <m/>
    <m/>
    <m/>
    <x v="16"/>
    <d v="2026-04-19T00:00:00"/>
    <m/>
    <n v="0.43999999999999995"/>
    <n v="659.99999999999989"/>
    <d v="2026-04-29T00:00:00"/>
    <n v="32"/>
    <m/>
    <m/>
    <n v="-46141"/>
    <m/>
    <m/>
    <m/>
    <m/>
  </r>
  <r>
    <m/>
    <s v="W13009"/>
    <s v="FBA199C7XWBM"/>
    <s v="V-US"/>
    <x v="0"/>
    <s v="AN8KIT-WH_4X10K05_TZ"/>
    <n v="720"/>
    <s v="嘀嗒嘀"/>
    <s v="盐田海卡"/>
    <s v="MIT2"/>
    <x v="111"/>
    <s v="AN8KIT-WH_4X10K05_TZ AN8白色机器+4x10mL（天竺）酒店香氛油 机油套装"/>
    <x v="4"/>
    <n v="24"/>
    <n v="381.11067961165048"/>
    <s v="重量收费"/>
    <n v="4.2"/>
    <m/>
    <n v="34.782608695652172"/>
    <n v="1635.4474630645843"/>
    <n v="2.2714548098119227"/>
    <n v="0.33902310594207802"/>
    <m/>
    <m/>
    <m/>
    <x v="16"/>
    <d v="2026-04-19T00:00:00"/>
    <m/>
    <n v="0.43999999999999995"/>
    <n v="316.79999999999995"/>
    <d v="2026-04-29T00:00:00"/>
    <n v="32"/>
    <m/>
    <m/>
    <n v="-46141"/>
    <m/>
    <m/>
    <m/>
    <m/>
  </r>
  <r>
    <m/>
    <s v="W13009"/>
    <s v="FBA1998DXN77"/>
    <s v="A-US"/>
    <x v="0"/>
    <s v="ANZKIT-W_SJ30ML"/>
    <n v="150"/>
    <s v="嘀嗒嘀"/>
    <s v="盐田海卡"/>
    <s v="MIT2"/>
    <x v="114"/>
    <s v="ANZKIT-W_SJ30ML ANZ白色机器+30mL四季酒店香氛油（天竺） 机油套装"/>
    <x v="0"/>
    <n v="5"/>
    <n v="79.400000000000006"/>
    <s v="重量收费"/>
    <n v="4.2"/>
    <m/>
    <n v="7.2463768115942031"/>
    <n v="340.72637681159421"/>
    <n v="2.2715091787439614"/>
    <n v="0.33903122070805392"/>
    <m/>
    <m/>
    <m/>
    <x v="16"/>
    <d v="2026-04-19T00:00:00"/>
    <m/>
    <n v="0.44"/>
    <n v="66"/>
    <d v="2026-05-06T00:00:00"/>
    <n v="39"/>
    <d v="2026-05-15T00:00:00"/>
    <m/>
    <n v="9"/>
    <m/>
    <m/>
    <m/>
    <m/>
  </r>
  <r>
    <m/>
    <s v="W13011"/>
    <s v="FBA19981TS59"/>
    <s v="E-US"/>
    <x v="0"/>
    <s v="ANZ-B"/>
    <n v="800"/>
    <s v="万邦"/>
    <s v="以星海卡"/>
    <s v="GEU3"/>
    <x v="0"/>
    <s v="ANZ-B 便携式扩香仪 黑色"/>
    <x v="0"/>
    <n v="20"/>
    <n v="287.14"/>
    <s v="重量收费"/>
    <n v="4.9000000000000004"/>
    <n v="200"/>
    <n v="142.85714285714286"/>
    <n v="1549.843142857143"/>
    <n v="1.9373039285714286"/>
    <n v="0.28914984008528782"/>
    <m/>
    <m/>
    <m/>
    <x v="16"/>
    <d v="2026-04-12T00:00:00"/>
    <m/>
    <n v="0.36"/>
    <n v="288"/>
    <d v="2026-05-03T00:00:00"/>
    <n v="36"/>
    <m/>
    <m/>
    <n v="-46145"/>
    <m/>
    <m/>
    <m/>
    <m/>
  </r>
  <r>
    <m/>
    <s v="W13011"/>
    <s v="FBA19982BL68"/>
    <s v="E-US"/>
    <x v="0"/>
    <s v="ANZKIT-B_4X10K04_TZ"/>
    <n v="240"/>
    <s v="万邦"/>
    <s v="以星海卡"/>
    <s v="GEU3"/>
    <x v="38"/>
    <s v="ANZKIT-B_4X10K04_TZ ANZ黑色机器+4x10mL酒店（天竺）香氛油 机油套装"/>
    <x v="0"/>
    <n v="8"/>
    <n v="114.86"/>
    <s v="重量收费"/>
    <n v="4.9000000000000004"/>
    <n v="200"/>
    <n v="57.142857142857146"/>
    <n v="619.95685714285719"/>
    <n v="2.5831535714285718"/>
    <n v="0.38554530916844354"/>
    <m/>
    <m/>
    <m/>
    <x v="16"/>
    <d v="2026-04-12T00:00:00"/>
    <m/>
    <n v="0.44"/>
    <n v="105.6"/>
    <d v="2026-05-03T00:00:00"/>
    <n v="36"/>
    <m/>
    <m/>
    <n v="-46145"/>
    <m/>
    <m/>
    <m/>
    <m/>
  </r>
  <r>
    <m/>
    <s v="W13009"/>
    <s v="FBA1997ZZGG7"/>
    <s v="E-US"/>
    <x v="0"/>
    <s v="ANZKIT-B_4X10K04_TZ"/>
    <n v="360"/>
    <s v="嘀嗒嘀"/>
    <s v="盐田海卡"/>
    <s v="GEU3"/>
    <x v="38"/>
    <s v="ANZKIT-B_4X10K04_TZ ANZ黑色机器+4x10mL酒店（天竺）香氛油 机油套装"/>
    <x v="0"/>
    <n v="12"/>
    <n v="192.54545454545456"/>
    <s v="重量收费"/>
    <n v="4.3"/>
    <n v="200"/>
    <n v="17.391304347826086"/>
    <n v="845.33675889328072"/>
    <n v="2.3481576635924464"/>
    <n v="0.35047129307349945"/>
    <m/>
    <m/>
    <m/>
    <x v="16"/>
    <d v="2026-04-19T00:00:00"/>
    <m/>
    <n v="0.43999999999999995"/>
    <n v="158.39999999999998"/>
    <d v="2026-05-03T00:00:00"/>
    <n v="36"/>
    <m/>
    <m/>
    <n v="-46145"/>
    <m/>
    <m/>
    <m/>
    <m/>
  </r>
  <r>
    <m/>
    <s v="W13009"/>
    <s v="FBA1997ZZGG7"/>
    <s v="E-US"/>
    <x v="0"/>
    <s v="ANZKIT-W_4X10K04_TZ"/>
    <n v="300"/>
    <s v="嘀嗒嘀"/>
    <s v="盐田海卡"/>
    <s v="GEU3"/>
    <x v="109"/>
    <s v="ANZKIT-W_4X10K04_TZ ANZ白色机器+4x10mL酒店（天竺）香氛油 机油套装"/>
    <x v="0"/>
    <n v="10"/>
    <n v="160.45454545454547"/>
    <s v="重量收费"/>
    <n v="4.3"/>
    <n v="200"/>
    <n v="14.492753623188406"/>
    <n v="704.44729907773387"/>
    <n v="2.3481576635924464"/>
    <n v="0.35047129307349945"/>
    <m/>
    <m/>
    <m/>
    <x v="16"/>
    <d v="2026-04-19T00:00:00"/>
    <m/>
    <n v="0.43999999999999995"/>
    <n v="131.99999999999997"/>
    <d v="2026-05-03T00:00:00"/>
    <n v="36"/>
    <m/>
    <m/>
    <n v="-46145"/>
    <m/>
    <m/>
    <m/>
    <m/>
  </r>
  <r>
    <m/>
    <s v="W13005"/>
    <s v="FBA19981L65S"/>
    <s v="E-US"/>
    <x v="0"/>
    <s v="001000045"/>
    <n v="180"/>
    <s v="国润通"/>
    <s v="盐田海卡"/>
    <s v="GEU3"/>
    <x v="1"/>
    <s v="ANX-B 便携式扩香仪 黑色"/>
    <x v="1"/>
    <n v="6"/>
    <n v="76.89473684210526"/>
    <s v="重量收费"/>
    <n v="4"/>
    <n v="200"/>
    <n v="12"/>
    <n v="319.57894736842104"/>
    <n v="1.775438596491228"/>
    <n v="0.26499083529719819"/>
    <m/>
    <m/>
    <m/>
    <x v="16"/>
    <d v="2026-04-18T00:00:00"/>
    <m/>
    <n v="0.38244604316546765"/>
    <n v="68.840287769784183"/>
    <d v="2026-04-25T00:00:00"/>
    <n v="28"/>
    <m/>
    <m/>
    <n v="-46137"/>
    <m/>
    <m/>
    <m/>
    <m/>
  </r>
  <r>
    <m/>
    <s v="W13005"/>
    <s v="FBA19981L65S"/>
    <s v="E-US"/>
    <x v="0"/>
    <s v="001000052"/>
    <n v="210"/>
    <s v="国润通"/>
    <s v="盐田海卡"/>
    <s v="GEU3"/>
    <x v="37"/>
    <s v="ANX-DT 便携式扩香仪 沙漠钛色"/>
    <x v="1"/>
    <n v="7"/>
    <n v="89.71052631578948"/>
    <s v="重量收费"/>
    <n v="4"/>
    <n v="200"/>
    <n v="14"/>
    <n v="372.84210526315792"/>
    <n v="1.7754385964912283"/>
    <n v="0.26499083529719825"/>
    <m/>
    <m/>
    <m/>
    <x v="16"/>
    <d v="2026-04-18T00:00:00"/>
    <m/>
    <n v="0.38244604316546765"/>
    <n v="80.313669064748211"/>
    <d v="2026-04-25T00:00:00"/>
    <n v="28"/>
    <m/>
    <m/>
    <n v="-46137"/>
    <m/>
    <m/>
    <m/>
    <m/>
  </r>
  <r>
    <m/>
    <s v="W13005"/>
    <s v="FBA19981L65S"/>
    <s v="E-US"/>
    <x v="0"/>
    <s v="ANZ-B"/>
    <n v="600"/>
    <s v="国润通"/>
    <s v="盐田海卡"/>
    <s v="GEU3"/>
    <x v="0"/>
    <s v="ANZ-B 便携式扩香仪 黑色"/>
    <x v="0"/>
    <n v="15"/>
    <n v="192.23684210526315"/>
    <s v="重量收费"/>
    <n v="4"/>
    <m/>
    <n v="30"/>
    <n v="798.9473684210526"/>
    <n v="1.331578947368421"/>
    <n v="0.19874312647289866"/>
    <m/>
    <m/>
    <m/>
    <x v="16"/>
    <d v="2026-04-18T00:00:00"/>
    <m/>
    <n v="0.38244604316546765"/>
    <n v="229.46762589928059"/>
    <d v="2026-04-25T00:00:00"/>
    <n v="28"/>
    <m/>
    <m/>
    <n v="-46137"/>
    <m/>
    <m/>
    <m/>
    <m/>
  </r>
  <r>
    <m/>
    <s v="W13005"/>
    <s v="FBA19981L65S"/>
    <s v="E-US"/>
    <x v="0"/>
    <s v="ANZ-WH"/>
    <n v="400"/>
    <s v="国润通"/>
    <s v="盐田海卡"/>
    <s v="GEU3"/>
    <x v="53"/>
    <s v="ANZ-WH 便携式扩香仪 白色"/>
    <x v="0"/>
    <n v="10"/>
    <n v="128.15789473684211"/>
    <s v="重量收费"/>
    <n v="4"/>
    <m/>
    <n v="20"/>
    <n v="532.63157894736844"/>
    <n v="1.3315789473684212"/>
    <n v="0.19874312647289868"/>
    <m/>
    <m/>
    <m/>
    <x v="16"/>
    <d v="2026-04-18T00:00:00"/>
    <m/>
    <n v="0.38244604316546765"/>
    <n v="152.97841726618705"/>
    <d v="2026-04-25T00:00:00"/>
    <n v="28"/>
    <m/>
    <m/>
    <n v="-46137"/>
    <m/>
    <m/>
    <m/>
    <m/>
  </r>
  <r>
    <m/>
    <s v="W13006"/>
    <s v="FBA15LKVV9JS"/>
    <s v="E-UK"/>
    <x v="2"/>
    <s v="AN6-G"/>
    <n v="80"/>
    <s v="嘀嗒嘀"/>
    <s v="英国海卡"/>
    <s v="BHX4"/>
    <x v="118"/>
    <s v="AN6-G 便携式扩香仪 灰色"/>
    <x v="3"/>
    <n v="2"/>
    <n v="24.5"/>
    <s v="重量收费"/>
    <n v="4.5999999999999996"/>
    <n v="550"/>
    <n v="68.75"/>
    <n v="181.45"/>
    <n v="2.2681249999999999"/>
    <n v="0.33852611940298505"/>
    <m/>
    <m/>
    <m/>
    <x v="16"/>
    <d v="2026-05-11T00:00:00"/>
    <m/>
    <n v="0"/>
    <n v="0"/>
    <d v="2026-05-18T00:00:00"/>
    <n v="51"/>
    <m/>
    <m/>
    <n v="-46160"/>
    <m/>
    <m/>
    <m/>
    <m/>
  </r>
  <r>
    <m/>
    <s v="W13006"/>
    <s v="FBA15LKVV9JS"/>
    <s v="E-UK"/>
    <x v="2"/>
    <s v="001000045"/>
    <n v="210"/>
    <s v="嘀嗒嘀"/>
    <s v="英国海卡"/>
    <s v="BHX4"/>
    <x v="1"/>
    <s v="ANX-B 便携式扩香仪 黑色"/>
    <x v="1"/>
    <n v="7"/>
    <n v="85.75"/>
    <s v="重量收费"/>
    <n v="4.5999999999999996"/>
    <n v="550"/>
    <n v="240.625"/>
    <n v="635.07500000000005"/>
    <n v="3.0241666666666669"/>
    <n v="0.4513681592039801"/>
    <m/>
    <m/>
    <m/>
    <x v="16"/>
    <d v="2026-05-11T00:00:00"/>
    <m/>
    <n v="0"/>
    <n v="0"/>
    <d v="2026-05-18T00:00:00"/>
    <n v="51"/>
    <m/>
    <m/>
    <n v="-46160"/>
    <m/>
    <m/>
    <m/>
    <m/>
  </r>
  <r>
    <m/>
    <s v="W13006"/>
    <s v="FBA15LKVV9JS"/>
    <s v="E-UK"/>
    <x v="2"/>
    <s v="001000052"/>
    <n v="90"/>
    <s v="嘀嗒嘀"/>
    <s v="英国海卡"/>
    <s v="BHX4"/>
    <x v="37"/>
    <s v="ANX-DT 便携式扩香仪 沙漠钛色"/>
    <x v="1"/>
    <n v="3"/>
    <n v="36.75"/>
    <s v="重量收费"/>
    <n v="4.5999999999999996"/>
    <m/>
    <n v="103.125"/>
    <n v="272.17499999999995"/>
    <n v="3.024166666666666"/>
    <n v="0.45136815920397999"/>
    <m/>
    <m/>
    <m/>
    <x v="16"/>
    <d v="2026-05-11T00:00:00"/>
    <m/>
    <n v="0"/>
    <n v="0"/>
    <d v="2026-05-18T00:00:00"/>
    <n v="51"/>
    <m/>
    <m/>
    <n v="-46160"/>
    <m/>
    <m/>
    <m/>
    <m/>
  </r>
  <r>
    <m/>
    <s v="W13006"/>
    <s v="FBA15LKVV9JS"/>
    <s v="E-UK"/>
    <x v="2"/>
    <s v="001000051"/>
    <n v="60"/>
    <s v="嘀嗒嘀"/>
    <s v="英国海卡"/>
    <s v="BHX4"/>
    <x v="4"/>
    <s v="ANX-SG 便携式扩香仪 太空灰色"/>
    <x v="1"/>
    <n v="2"/>
    <n v="24.5"/>
    <s v="重量收费"/>
    <n v="4.5999999999999996"/>
    <m/>
    <n v="68.75"/>
    <n v="181.45"/>
    <n v="3.0241666666666664"/>
    <n v="0.45136815920398005"/>
    <m/>
    <m/>
    <m/>
    <x v="16"/>
    <d v="2026-05-11T00:00:00"/>
    <m/>
    <n v="0"/>
    <n v="0"/>
    <d v="2026-05-18T00:00:00"/>
    <n v="51"/>
    <m/>
    <m/>
    <n v="-46160"/>
    <m/>
    <m/>
    <m/>
    <m/>
  </r>
  <r>
    <m/>
    <s v="W13006"/>
    <s v="FBA15LKVV9JS"/>
    <s v="E-UK"/>
    <x v="2"/>
    <s v="001000046"/>
    <n v="60"/>
    <s v="嘀嗒嘀"/>
    <s v="英国海卡"/>
    <s v="BHX4"/>
    <x v="92"/>
    <s v="ANX-SILV 便携式扩香仪 银色"/>
    <x v="1"/>
    <n v="2"/>
    <n v="24.5"/>
    <s v="重量收费"/>
    <n v="4.5999999999999996"/>
    <m/>
    <n v="68.75"/>
    <n v="181.45"/>
    <n v="3.0241666666666664"/>
    <n v="0.45136815920398005"/>
    <m/>
    <m/>
    <m/>
    <x v="16"/>
    <d v="2026-05-11T00:00:00"/>
    <m/>
    <n v="0"/>
    <n v="0"/>
    <d v="2026-05-18T00:00:00"/>
    <n v="51"/>
    <m/>
    <m/>
    <n v="-46160"/>
    <m/>
    <m/>
    <m/>
    <m/>
  </r>
  <r>
    <m/>
    <s v="W13007"/>
    <s v="FBA15LKZVHYC"/>
    <s v="W-DE"/>
    <x v="1"/>
    <s v="AN8KIT-B_4X10K05_TZ"/>
    <n v="150"/>
    <s v="万邦"/>
    <s v="欧洲海卡"/>
    <s v="BER8"/>
    <x v="117"/>
    <s v="AN8KIT-B_4X10K05_TZ AN8黑色机器+4x10mL（天竺）酒店香氛油 机油套装"/>
    <x v="4"/>
    <n v="5"/>
    <n v="79.5"/>
    <s v="重量收费"/>
    <n v="9.6"/>
    <n v="250"/>
    <n v="125"/>
    <n v="888.19999999999993"/>
    <n v="5.9213333333333331"/>
    <n v="0.88378109452736309"/>
    <m/>
    <m/>
    <m/>
    <x v="17"/>
    <d v="2026-05-09T00:00:00"/>
    <m/>
    <n v="0"/>
    <n v="0"/>
    <m/>
    <n v="-46107"/>
    <m/>
    <m/>
    <n v="0"/>
    <m/>
    <m/>
    <m/>
    <m/>
  </r>
  <r>
    <m/>
    <s v="W13007"/>
    <s v="FBA15LKZVHYC"/>
    <s v="W-DE"/>
    <x v="1"/>
    <s v="AN8KIT-WH_4X10K05_TZ"/>
    <n v="90"/>
    <s v="万邦"/>
    <s v="欧洲海卡"/>
    <s v="BER8"/>
    <x v="111"/>
    <s v="AN8KIT-WH_4X10K05_TZ AN8白色机器+4x10mL（天竺）酒店香氛油 机油套装"/>
    <x v="4"/>
    <n v="3"/>
    <n v="47.7"/>
    <s v="重量收费"/>
    <n v="9.6"/>
    <n v="250"/>
    <n v="75"/>
    <n v="532.92000000000007"/>
    <n v="5.921333333333334"/>
    <n v="0.88378109452736331"/>
    <m/>
    <m/>
    <m/>
    <x v="17"/>
    <d v="2026-05-09T00:00:00"/>
    <m/>
    <n v="0"/>
    <n v="0"/>
    <m/>
    <n v="-46107"/>
    <m/>
    <m/>
    <n v="0"/>
    <m/>
    <m/>
    <m/>
    <m/>
  </r>
  <r>
    <m/>
    <s v="W13009"/>
    <s v="FBA1990KKRQ3"/>
    <s v="A-US"/>
    <x v="0"/>
    <s v="ANZKIT-B_B"/>
    <n v="160"/>
    <s v="嘀嗒嘀"/>
    <s v="盐田海卡"/>
    <s v="TCY2"/>
    <x v="119"/>
    <s v="ANZKIT-B_B 便携式扩香仪 黑色 两个装"/>
    <x v="0"/>
    <n v="8"/>
    <n v="104"/>
    <s v="重量收费"/>
    <n v="4.0999999999999996"/>
    <n v="200"/>
    <n v="11.594202898550725"/>
    <n v="437.99420289855072"/>
    <n v="2.7374637681159419"/>
    <n v="0.40857668180834955"/>
    <m/>
    <m/>
    <m/>
    <x v="16"/>
    <d v="2026-04-19T00:00:00"/>
    <m/>
    <n v="0.44000000000000006"/>
    <n v="70.400000000000006"/>
    <d v="2026-05-02T00:00:00"/>
    <n v="35"/>
    <d v="2026-05-26T00:00:00"/>
    <m/>
    <n v="24"/>
    <m/>
    <m/>
    <m/>
    <m/>
  </r>
  <r>
    <m/>
    <s v="W13002"/>
    <s v="FBA1998CWPX7"/>
    <s v="W-US"/>
    <x v="0"/>
    <s v="002000027"/>
    <n v="192"/>
    <s v="国润通"/>
    <s v="盐田海卡"/>
    <s v="MIT2"/>
    <x v="79"/>
    <s v="M1-B 电子球形把手锁 黑色"/>
    <x v="18"/>
    <n v="12"/>
    <n v="175.99924528301887"/>
    <s v="重量收费"/>
    <n v="3.9"/>
    <n v="200"/>
    <n v="38.095238095238095"/>
    <n v="724.49229469901161"/>
    <n v="3.7733973682240189"/>
    <n v="0.56319363704836101"/>
    <m/>
    <m/>
    <m/>
    <x v="18"/>
    <d v="2026-04-13T00:00:00"/>
    <m/>
    <n v="0.55999999999999994"/>
    <n v="107.51999999999998"/>
    <d v="2026-04-26T00:00:00"/>
    <n v="30"/>
    <d v="2026-05-26T00:00:00"/>
    <m/>
    <n v="30"/>
    <m/>
    <m/>
    <m/>
    <m/>
  </r>
  <r>
    <m/>
    <s v="W13002"/>
    <s v="FBA1998CWPX7"/>
    <s v="W-US"/>
    <x v="0"/>
    <s v="002000028"/>
    <n v="64"/>
    <s v="国润通"/>
    <s v="盐田海卡"/>
    <s v="MIT2"/>
    <x v="80"/>
    <s v="M1-T 电子球形把手锁 钛灰色"/>
    <x v="18"/>
    <n v="4"/>
    <n v="58.666415094339627"/>
    <s v="重量收费"/>
    <n v="3.9"/>
    <n v="200"/>
    <n v="12.698412698412698"/>
    <n v="241.49743156633724"/>
    <n v="3.7733973682240194"/>
    <n v="0.56319363704836112"/>
    <m/>
    <m/>
    <m/>
    <x v="18"/>
    <d v="2026-04-13T00:00:00"/>
    <m/>
    <n v="0.55999999999999994"/>
    <n v="35.839999999999996"/>
    <d v="2026-04-26T00:00:00"/>
    <n v="30"/>
    <d v="2026-05-26T00:00:00"/>
    <m/>
    <n v="30"/>
    <m/>
    <m/>
    <m/>
    <m/>
  </r>
  <r>
    <m/>
    <s v="W13002"/>
    <s v="FBA1998CWPX7"/>
    <s v="W-US"/>
    <x v="0"/>
    <s v="002000029"/>
    <n v="528"/>
    <s v="国润通"/>
    <s v="盐田海卡"/>
    <s v="MIT2"/>
    <x v="81"/>
    <s v="MD1-B 电子球形把手锁 指纹 黑色"/>
    <x v="19"/>
    <n v="33"/>
    <n v="483.99792452830189"/>
    <s v="重量收费"/>
    <n v="3.9"/>
    <m/>
    <n v="104.76190476190476"/>
    <n v="1992.3538104222821"/>
    <n v="3.7733973682240189"/>
    <n v="0.56319363704836101"/>
    <m/>
    <m/>
    <m/>
    <x v="18"/>
    <d v="2026-04-13T00:00:00"/>
    <m/>
    <n v="0.55999999999999994"/>
    <n v="295.67999999999995"/>
    <d v="2026-04-26T00:00:00"/>
    <n v="30"/>
    <d v="2026-05-26T00:00:00"/>
    <m/>
    <n v="30"/>
    <m/>
    <m/>
    <m/>
    <m/>
  </r>
  <r>
    <m/>
    <s v="W13002"/>
    <s v="FBA1998CWPX7"/>
    <s v="W-US"/>
    <x v="0"/>
    <s v="002000030"/>
    <n v="16"/>
    <s v="国润通"/>
    <s v="盐田海卡"/>
    <s v="MIT2"/>
    <x v="83"/>
    <s v="MD1-T 电子球形把手锁 指纹 钛灰色"/>
    <x v="19"/>
    <n v="1"/>
    <n v="14.666603773584907"/>
    <s v="重量收费"/>
    <n v="3.9"/>
    <m/>
    <n v="3.1746031746031744"/>
    <n v="60.37435789158431"/>
    <n v="3.7733973682240194"/>
    <n v="0.56319363704836112"/>
    <m/>
    <m/>
    <m/>
    <x v="18"/>
    <d v="2026-04-13T00:00:00"/>
    <m/>
    <n v="0.55999999999999994"/>
    <n v="8.9599999999999991"/>
    <d v="2026-04-26T00:00:00"/>
    <n v="30"/>
    <d v="2026-05-26T00:00:00"/>
    <m/>
    <n v="30"/>
    <m/>
    <m/>
    <m/>
    <m/>
  </r>
  <r>
    <m/>
    <s v="W13002"/>
    <s v="FBA1998CWPX7"/>
    <s v="W-US"/>
    <x v="0"/>
    <s v="002000031"/>
    <n v="32"/>
    <s v="国润通"/>
    <s v="盐田海卡"/>
    <s v="MIT2"/>
    <x v="84"/>
    <s v="MK1-B 智能球形把手锁 黑色"/>
    <x v="20"/>
    <n v="2"/>
    <n v="29.333207547169813"/>
    <s v="重量收费"/>
    <n v="3.9"/>
    <m/>
    <n v="6.3492063492063489"/>
    <n v="120.74871578316862"/>
    <n v="3.7733973682240194"/>
    <n v="0.56319363704836112"/>
    <m/>
    <m/>
    <m/>
    <x v="18"/>
    <d v="2026-04-13T00:00:00"/>
    <m/>
    <n v="0.55999999999999994"/>
    <n v="17.919999999999998"/>
    <d v="2026-04-26T00:00:00"/>
    <n v="30"/>
    <d v="2026-05-26T00:00:00"/>
    <m/>
    <n v="30"/>
    <m/>
    <m/>
    <m/>
    <m/>
  </r>
  <r>
    <m/>
    <s v="W13002"/>
    <s v="FBA1998CWPX7"/>
    <s v="W-US"/>
    <x v="0"/>
    <s v="002000032"/>
    <n v="16"/>
    <s v="国润通"/>
    <s v="盐田海卡"/>
    <s v="MIT2"/>
    <x v="86"/>
    <s v="MK1-T 智能球形把手锁 钛色"/>
    <x v="20"/>
    <n v="1"/>
    <n v="14.666603773584907"/>
    <s v="重量收费"/>
    <n v="3.9"/>
    <m/>
    <n v="3.1746031746031744"/>
    <n v="60.37435789158431"/>
    <n v="3.7733973682240194"/>
    <n v="0.56319363704836112"/>
    <m/>
    <m/>
    <m/>
    <x v="18"/>
    <d v="2026-04-13T00:00:00"/>
    <m/>
    <n v="0.55999999999999994"/>
    <n v="8.9599999999999991"/>
    <d v="2026-04-26T00:00:00"/>
    <n v="30"/>
    <d v="2026-05-26T00:00:00"/>
    <m/>
    <n v="30"/>
    <m/>
    <m/>
    <m/>
    <m/>
  </r>
  <r>
    <m/>
    <s v="W13004"/>
    <s v="FBA1998BJR8W"/>
    <s v="W-US"/>
    <x v="0"/>
    <s v="002000027"/>
    <n v="176"/>
    <s v="国润通"/>
    <s v="以星海卡"/>
    <s v="POC3"/>
    <x v="79"/>
    <s v="M1-B 电子球形把手锁 黑色"/>
    <x v="18"/>
    <n v="11"/>
    <n v="159"/>
    <s v="重量收费"/>
    <n v="4.3"/>
    <n v="200"/>
    <n v="200"/>
    <n v="883.69999999999993"/>
    <n v="5.0210227272727268"/>
    <n v="0.74940637720488457"/>
    <m/>
    <m/>
    <m/>
    <x v="18"/>
    <d v="2026-04-14T00:00:00"/>
    <m/>
    <n v="0.56000000000000005"/>
    <n v="98.56"/>
    <d v="2026-04-26T00:00:00"/>
    <n v="30"/>
    <m/>
    <m/>
    <n v="-46138"/>
    <m/>
    <m/>
    <m/>
    <m/>
  </r>
  <r>
    <m/>
    <s v="W13002"/>
    <s v="FBA1998CHTC2"/>
    <s v="W-US"/>
    <x v="0"/>
    <s v="G1-B"/>
    <n v="160"/>
    <s v="国润通"/>
    <s v="盐田海卡"/>
    <s v="MIT2"/>
    <x v="63"/>
    <s v="G1-B 电子球形把手锁 黑色"/>
    <x v="12"/>
    <n v="10"/>
    <n v="146.66999999999999"/>
    <s v="重量收费"/>
    <n v="3.9"/>
    <n v="200"/>
    <n v="31.746031746031747"/>
    <n v="603.75903174603172"/>
    <n v="3.7734939484126984"/>
    <n v="0.56320805200189528"/>
    <m/>
    <m/>
    <m/>
    <x v="18"/>
    <d v="2026-04-13T00:00:00"/>
    <m/>
    <n v="0.55999999999999994"/>
    <n v="89.6"/>
    <d v="2026-04-26T00:00:00"/>
    <n v="30"/>
    <d v="2026-05-17T00:00:00"/>
    <m/>
    <n v="21"/>
    <m/>
    <m/>
    <m/>
    <m/>
  </r>
  <r>
    <m/>
    <s v="W13003"/>
    <s v="FBA1998BTZST"/>
    <s v="W-CA"/>
    <x v="3"/>
    <s v="002000027"/>
    <n v="32"/>
    <s v="国润通"/>
    <s v="加拿大海卡"/>
    <s v="YYZ4"/>
    <x v="79"/>
    <s v="M1-B 电子球形把手锁 黑色"/>
    <x v="18"/>
    <n v="2"/>
    <n v="29.666666666666668"/>
    <s v="重量收费"/>
    <n v="5"/>
    <n v="350"/>
    <n v="116.66666666666667"/>
    <n v="265"/>
    <n v="8.28125"/>
    <n v="1.2360074626865671"/>
    <m/>
    <m/>
    <m/>
    <x v="18"/>
    <d v="2026-04-20T00:00:00"/>
    <m/>
    <n v="0"/>
    <n v="0"/>
    <d v="2026-05-09T00:00:00"/>
    <n v="43"/>
    <m/>
    <m/>
    <n v="-46151"/>
    <m/>
    <m/>
    <m/>
    <m/>
  </r>
  <r>
    <m/>
    <s v="W13003"/>
    <s v="FBA1998BTZST"/>
    <s v="W-CA"/>
    <x v="3"/>
    <s v="002000029"/>
    <n v="48"/>
    <s v="国润通"/>
    <s v="加拿大海卡"/>
    <s v="YYZ4"/>
    <x v="81"/>
    <s v="MD1-B 电子球形把手锁 指纹 黑色"/>
    <x v="19"/>
    <n v="3"/>
    <n v="44.5"/>
    <s v="重量收费"/>
    <n v="5"/>
    <n v="200"/>
    <n v="175"/>
    <n v="397.5"/>
    <n v="8.28125"/>
    <n v="1.2360074626865671"/>
    <m/>
    <m/>
    <m/>
    <x v="18"/>
    <d v="2026-04-20T00:00:00"/>
    <m/>
    <n v="0"/>
    <n v="0"/>
    <d v="2026-05-09T00:00:00"/>
    <n v="43"/>
    <m/>
    <m/>
    <n v="-46151"/>
    <m/>
    <m/>
    <m/>
    <m/>
  </r>
  <r>
    <m/>
    <s v="W13003"/>
    <s v="FBA1998BTZST"/>
    <s v="W-CA"/>
    <x v="3"/>
    <s v="002000031"/>
    <n v="16"/>
    <s v="国润通"/>
    <s v="加拿大海卡"/>
    <s v="YYZ4"/>
    <x v="84"/>
    <s v="MK1-B 智能球形把手锁 黑色"/>
    <x v="20"/>
    <n v="1"/>
    <n v="14.833333333333334"/>
    <s v="重量收费"/>
    <n v="5"/>
    <m/>
    <n v="58.333333333333336"/>
    <n v="132.5"/>
    <n v="8.28125"/>
    <n v="1.2360074626865671"/>
    <m/>
    <m/>
    <m/>
    <x v="18"/>
    <d v="2026-04-20T00:00:00"/>
    <m/>
    <n v="0"/>
    <n v="0"/>
    <d v="2026-05-09T00:00:00"/>
    <n v="43"/>
    <m/>
    <m/>
    <n v="-46151"/>
    <m/>
    <m/>
    <m/>
    <m/>
  </r>
  <r>
    <m/>
    <s v="W13008"/>
    <s v="FBA19968P4N3"/>
    <s v="V-US"/>
    <x v="0"/>
    <s v="ANWKIT-B_US_2X100K03"/>
    <n v="360"/>
    <s v="万邦"/>
    <s v="盐田海卡"/>
    <s v="MIT2"/>
    <x v="120"/>
    <s v="ANWKIT-B_US_2X100K03 ANW黑色机器+2X100mL酒店香氛油（天竺） 机油套装"/>
    <x v="10"/>
    <n v="30"/>
    <n v="522.45283018867917"/>
    <s v="重量收费"/>
    <n v="4.2"/>
    <n v="200"/>
    <n v="41.095890410958901"/>
    <n v="2235.3977772034114"/>
    <n v="6.2094382700094757"/>
    <n v="0.92678183134469783"/>
    <m/>
    <m/>
    <m/>
    <x v="16"/>
    <d v="2026-04-17T00:00:00"/>
    <m/>
    <n v="0.56000000000000005"/>
    <n v="201.60000000000002"/>
    <d v="2026-05-05T00:00:00"/>
    <n v="38"/>
    <m/>
    <m/>
    <n v="-46147"/>
    <m/>
    <m/>
    <m/>
    <m/>
  </r>
  <r>
    <m/>
    <s v="W13008"/>
    <s v="FBA19968P4N3"/>
    <s v="V-US"/>
    <x v="0"/>
    <s v="ANWKIT-WH_US_2X100K03"/>
    <n v="276"/>
    <s v="万邦"/>
    <s v="盐田海卡"/>
    <s v="MIT2"/>
    <x v="44"/>
    <s v="ANWKIT-WH_US_2X100K03 ANW白色机器+2X100mL酒店香氛油（天竺） 机油套装"/>
    <x v="10"/>
    <n v="23"/>
    <n v="400.54716981132071"/>
    <s v="重量收费"/>
    <n v="4.2"/>
    <m/>
    <n v="31.506849315068493"/>
    <n v="1713.8049625226154"/>
    <n v="6.2094382700094757"/>
    <n v="0.92678183134469783"/>
    <m/>
    <m/>
    <m/>
    <x v="16"/>
    <d v="2026-04-17T00:00:00"/>
    <m/>
    <n v="0.56000000000000005"/>
    <n v="154.56"/>
    <d v="2026-05-05T00:00:00"/>
    <n v="38"/>
    <m/>
    <m/>
    <n v="-46147"/>
    <m/>
    <m/>
    <m/>
    <m/>
  </r>
  <r>
    <m/>
    <s v="W13012"/>
    <s v="FBA198XY9VBP"/>
    <s v="K-US"/>
    <x v="0"/>
    <s v="ANPKIT-B_US_3X20K01_TZ"/>
    <n v="192"/>
    <s v="万邦"/>
    <s v="盐田海卡"/>
    <s v="HLI2"/>
    <x v="121"/>
    <s v="ANPKIT-B_US_3X20K01_TZ ANP黑色机器+3X20mL酒店香氛油（天竺） 机油套装"/>
    <x v="26"/>
    <n v="6"/>
    <n v="120.89999999999999"/>
    <s v="重量收费"/>
    <n v="4.2"/>
    <n v="200"/>
    <n v="60"/>
    <n v="567.78"/>
    <n v="2.9571874999999999"/>
    <n v="0.44137126865671639"/>
    <m/>
    <m/>
    <m/>
    <x v="16"/>
    <d v="2026-04-17T00:00:00"/>
    <m/>
    <n v="0.42870056497175141"/>
    <n v="82.310508474576267"/>
    <d v="2026-04-29T00:00:00"/>
    <n v="32"/>
    <d v="2026-05-28T00:00:00"/>
    <m/>
    <n v="29"/>
    <m/>
    <m/>
    <m/>
    <m/>
  </r>
  <r>
    <m/>
    <s v="W13012"/>
    <s v="FBA198XY9VBP"/>
    <s v="K-US"/>
    <x v="0"/>
    <s v="ANPKIT-WH_US_3X20K01_TZ"/>
    <n v="416"/>
    <s v="万邦"/>
    <s v="盐田海卡"/>
    <s v="HLI2"/>
    <x v="122"/>
    <s v="ANPKIT-WH_US_3X20K01_TZ ANP白色机器+3X20mL酒店香氛油（天竺） 机油套装"/>
    <x v="26"/>
    <n v="13"/>
    <n v="261.95"/>
    <s v="重量收费"/>
    <n v="4.2"/>
    <n v="200"/>
    <n v="130"/>
    <n v="1230.19"/>
    <n v="2.9571875000000003"/>
    <n v="0.44137126865671644"/>
    <m/>
    <m/>
    <m/>
    <x v="16"/>
    <d v="2026-04-17T00:00:00"/>
    <m/>
    <n v="0.42870056497175141"/>
    <n v="178.33943502824857"/>
    <d v="2026-04-29T00:00:00"/>
    <n v="32"/>
    <d v="2026-05-28T00:00:00"/>
    <m/>
    <n v="29"/>
    <m/>
    <m/>
    <m/>
    <m/>
  </r>
  <r>
    <m/>
    <s v="W13012"/>
    <s v="FBA198XY9VBP"/>
    <s v="K-US"/>
    <x v="0"/>
    <s v="ANPPJ-BOT"/>
    <n v="100"/>
    <s v="万邦"/>
    <s v="盐田海卡"/>
    <s v="HLI2"/>
    <x v="123"/>
    <s v="ANPPJ-BOT 墙插式智能扩香仪160mL带盖替换瓶"/>
    <x v="27"/>
    <n v="1"/>
    <n v="20.149999999999999"/>
    <s v="重量收费"/>
    <n v="4.2"/>
    <m/>
    <n v="10"/>
    <n v="94.63"/>
    <n v="0.94629999999999992"/>
    <n v="0.14123880597014923"/>
    <m/>
    <m/>
    <m/>
    <x v="16"/>
    <d v="2026-04-17T00:00:00"/>
    <m/>
    <n v="0.42870056497175141"/>
    <n v="42.870056497175142"/>
    <d v="2026-04-29T00:00:00"/>
    <n v="32"/>
    <d v="2026-05-28T00:00:00"/>
    <m/>
    <n v="29"/>
    <m/>
    <m/>
    <m/>
    <m/>
  </r>
  <r>
    <m/>
    <s v="W13005"/>
    <s v="FBA199664Z1H"/>
    <s v="V-US"/>
    <x v="0"/>
    <s v="001000032"/>
    <n v="180"/>
    <s v="国润通"/>
    <s v="盐田海卡"/>
    <s v="TCY1"/>
    <x v="40"/>
    <s v="ANW-B 智能扩香仪 黑色"/>
    <x v="10"/>
    <n v="15"/>
    <n v="213.62903225806451"/>
    <s v="重量收费"/>
    <n v="4"/>
    <n v="200"/>
    <n v="30"/>
    <n v="884.51612903225805"/>
    <n v="4.913978494623656"/>
    <n v="0.73342962606323225"/>
    <m/>
    <m/>
    <m/>
    <x v="18"/>
    <d v="2026-04-18T00:00:00"/>
    <m/>
    <n v="0.50218809980806134"/>
    <n v="90.393857965451048"/>
    <d v="2026-04-30T00:00:00"/>
    <n v="34"/>
    <m/>
    <m/>
    <n v="-46142"/>
    <m/>
    <m/>
    <m/>
    <m/>
  </r>
  <r>
    <m/>
    <s v="W13005"/>
    <s v="FBA199664Z1H"/>
    <s v="V-US"/>
    <x v="0"/>
    <s v="001000033"/>
    <n v="420"/>
    <s v="国润通"/>
    <s v="盐田海卡"/>
    <s v="TCY1"/>
    <x v="41"/>
    <s v="ANW-W 智能扩香仪 白色"/>
    <x v="10"/>
    <n v="35"/>
    <n v="498.4677419354839"/>
    <s v="重量收费"/>
    <n v="4"/>
    <n v="200"/>
    <n v="70"/>
    <n v="2063.8709677419356"/>
    <n v="4.913978494623656"/>
    <n v="0.73342962606323225"/>
    <m/>
    <m/>
    <m/>
    <x v="18"/>
    <d v="2026-04-18T00:00:00"/>
    <m/>
    <n v="0.50218809980806134"/>
    <n v="210.91900191938575"/>
    <d v="2026-04-30T00:00:00"/>
    <n v="34"/>
    <m/>
    <m/>
    <n v="-46142"/>
    <m/>
    <m/>
    <m/>
    <m/>
  </r>
  <r>
    <m/>
    <s v="W13005"/>
    <s v="FBA199664Z1H"/>
    <s v="V-US"/>
    <x v="0"/>
    <s v="ANP-W_US"/>
    <n v="352"/>
    <s v="国润通"/>
    <s v="盐田海卡"/>
    <s v="TCY1"/>
    <x v="115"/>
    <s v="ANP-W_US 墙插式智能扩香仪 白色"/>
    <x v="26"/>
    <n v="11"/>
    <n v="156.66129032258064"/>
    <s v="重量收费"/>
    <n v="4"/>
    <m/>
    <n v="22"/>
    <n v="648.64516129032256"/>
    <n v="1.842741935483871"/>
    <n v="0.27503610977371207"/>
    <m/>
    <m/>
    <m/>
    <x v="18"/>
    <d v="2026-04-18T00:00:00"/>
    <m/>
    <n v="0.50218809980806134"/>
    <n v="176.77021113243759"/>
    <d v="2026-04-30T00:00:00"/>
    <n v="34"/>
    <m/>
    <m/>
    <n v="-46142"/>
    <m/>
    <m/>
    <m/>
    <m/>
  </r>
  <r>
    <m/>
    <s v="W13005"/>
    <s v="FBA199664Z1H"/>
    <s v="V-US"/>
    <x v="0"/>
    <s v="001000056"/>
    <n v="90"/>
    <s v="国润通"/>
    <s v="盐田海卡"/>
    <s v="TCY1"/>
    <x v="124"/>
    <s v="ANW-Wbot ANW带盖瓶子 白喷头"/>
    <x v="28"/>
    <n v="1"/>
    <n v="14.241935483870968"/>
    <s v="重量收费"/>
    <n v="4"/>
    <m/>
    <n v="2"/>
    <n v="58.967741935483872"/>
    <n v="0.65519713261648749"/>
    <n v="9.7790616808430972E-2"/>
    <m/>
    <m/>
    <m/>
    <x v="18"/>
    <d v="2026-04-18T00:00:00"/>
    <m/>
    <n v="0.50218809980806134"/>
    <n v="45.196928982725524"/>
    <d v="2026-04-30T00:00:00"/>
    <n v="34"/>
    <m/>
    <m/>
    <n v="-46142"/>
    <m/>
    <m/>
    <m/>
    <m/>
  </r>
  <r>
    <m/>
    <s v="W13001"/>
    <s v="FBA19987CYJC"/>
    <s v="V-US"/>
    <x v="0"/>
    <s v="006000024"/>
    <n v="1350"/>
    <s v="天盛"/>
    <s v="盐田海卡"/>
    <s v="TCY2"/>
    <x v="46"/>
    <s v="A-Ritz Carlton Hotel 3-100 丽思卡尔顿酒店3香氛油100mL"/>
    <x v="11"/>
    <n v="15"/>
    <n v="1"/>
    <s v="CBM收费"/>
    <n v="1180"/>
    <n v="180"/>
    <n v="72.972972972972968"/>
    <n v="1252.9729729729729"/>
    <n v="0.92812812812812806"/>
    <n v="0.13852658628778031"/>
    <m/>
    <m/>
    <m/>
    <x v="18"/>
    <d v="2026-04-18T00:00:00"/>
    <m/>
    <n v="0.36"/>
    <n v="486"/>
    <d v="2026-04-27T00:00:00"/>
    <n v="31"/>
    <d v="2026-05-25T00:00:00"/>
    <m/>
    <n v="28"/>
    <m/>
    <m/>
    <m/>
    <m/>
  </r>
  <r>
    <s v="备注跟FBA19987CYJC合并报关"/>
    <s v="W13001"/>
    <s v="FBA199632TX8"/>
    <s v="E-US"/>
    <x v="0"/>
    <s v="HOTEL6KIT1-6X10K01"/>
    <n v="760"/>
    <s v="天盛"/>
    <s v="盐田海卡"/>
    <s v="POC3"/>
    <x v="45"/>
    <s v="HOTEL6KIT1-6X10K01 酒店香氛油6款10mL套装"/>
    <x v="11"/>
    <n v="10"/>
    <n v="0.49"/>
    <s v="CBM收费"/>
    <n v="1030"/>
    <n v="180"/>
    <n v="48.648648648648646"/>
    <n v="553.34864864864858"/>
    <n v="0.72809032716927446"/>
    <n v="0.10867019808496634"/>
    <m/>
    <m/>
    <m/>
    <x v="18"/>
    <d v="2026-04-18T00:00:00"/>
    <m/>
    <n v="0.36000000000000004"/>
    <n v="273.60000000000002"/>
    <d v="2026-05-02T00:00:00"/>
    <n v="36"/>
    <m/>
    <m/>
    <n v="-46144"/>
    <m/>
    <m/>
    <m/>
    <m/>
  </r>
  <r>
    <s v="送货到天盛广州仓安排跟会七里的货合并计费，备注跟FBA19987CYJC合并报关"/>
    <s v="W13001"/>
    <s v="FBA1996418F0"/>
    <s v="E-US"/>
    <x v="0"/>
    <s v="SJ1-100ML_TZ"/>
    <n v="256"/>
    <s v="天盛"/>
    <s v="盐田海卡"/>
    <s v="POC3"/>
    <x v="23"/>
    <s v="SJ1-100ML_TZ 四季酒店100mL香氛油（天竺） 销售包装"/>
    <x v="6"/>
    <n v="4"/>
    <n v="0.19666666666666666"/>
    <s v="CBM收费"/>
    <n v="1030"/>
    <m/>
    <n v="19.45945945945946"/>
    <n v="222.02612612612612"/>
    <n v="0.86728955518018014"/>
    <n v="0.12944620226569853"/>
    <m/>
    <m/>
    <m/>
    <x v="18"/>
    <d v="2026-04-18T00:00:00"/>
    <m/>
    <n v="0.36000000000000004"/>
    <n v="92.160000000000011"/>
    <d v="2026-05-02T00:00:00"/>
    <n v="36"/>
    <m/>
    <m/>
    <n v="-46144"/>
    <m/>
    <m/>
    <m/>
    <m/>
  </r>
  <r>
    <m/>
    <s v="W13001"/>
    <s v="FBA1996418F0"/>
    <s v="E-US"/>
    <x v="0"/>
    <s v="WST1-100ML_TZ"/>
    <n v="128"/>
    <s v="天盛"/>
    <s v="盐田海卡"/>
    <s v="POC3"/>
    <x v="90"/>
    <s v="WST1-100ML_TZ 威斯汀酒店白茶100mL香氛油（天竺） 销售包装"/>
    <x v="6"/>
    <n v="2"/>
    <n v="9.8333333333333328E-2"/>
    <s v="CBM收费"/>
    <n v="1030"/>
    <m/>
    <n v="9.7297297297297298"/>
    <n v="111.01306306306306"/>
    <n v="0.86728955518018014"/>
    <n v="0.12944620226569853"/>
    <m/>
    <m/>
    <m/>
    <x v="18"/>
    <d v="2026-04-18T00:00:00"/>
    <m/>
    <n v="0.36000000000000004"/>
    <n v="46.080000000000005"/>
    <d v="2026-05-02T00:00:00"/>
    <n v="36"/>
    <m/>
    <m/>
    <n v="-46144"/>
    <m/>
    <m/>
    <m/>
    <m/>
  </r>
  <r>
    <m/>
    <s v="W13001"/>
    <s v="FBA1996418F0"/>
    <s v="E-US"/>
    <x v="0"/>
    <s v="HILTON1-100ML_TZ"/>
    <n v="384"/>
    <s v="天盛"/>
    <s v="盐田海卡"/>
    <s v="POC3"/>
    <x v="61"/>
    <s v="HILTON1-100ML_TZ 希尔顿酒店100mL香氛油（天竺） 销售包装"/>
    <x v="6"/>
    <n v="6"/>
    <n v="0.29499999999999998"/>
    <s v="CBM收费"/>
    <n v="1030"/>
    <m/>
    <n v="29.189189189189189"/>
    <n v="333.03918918918913"/>
    <n v="0.86728955518018003"/>
    <n v="0.1294462022656985"/>
    <m/>
    <m/>
    <m/>
    <x v="18"/>
    <d v="2026-04-18T00:00:00"/>
    <m/>
    <n v="0.36000000000000004"/>
    <n v="138.24"/>
    <d v="2026-05-02T00:00:00"/>
    <n v="36"/>
    <m/>
    <m/>
    <n v="-46144"/>
    <m/>
    <m/>
    <m/>
    <m/>
  </r>
  <r>
    <m/>
    <s v="W13007"/>
    <s v="FBA15LKFVN1C"/>
    <s v="W-DE"/>
    <x v="1"/>
    <s v="003000007"/>
    <n v="72"/>
    <s v="万邦"/>
    <s v="欧洲海卡"/>
    <s v="BER8"/>
    <x v="72"/>
    <s v="AP2F-H14 空气净化器滤网2-H14"/>
    <x v="15"/>
    <n v="2"/>
    <n v="31.8"/>
    <s v="重量收费"/>
    <n v="9.6"/>
    <n v="250"/>
    <n v="50"/>
    <n v="355.28"/>
    <n v="4.934444444444444"/>
    <n v="0.73648424543946922"/>
    <m/>
    <m/>
    <m/>
    <x v="17"/>
    <d v="2026-05-09T00:00:00"/>
    <m/>
    <n v="0"/>
    <n v="0"/>
    <m/>
    <n v="-46107"/>
    <m/>
    <m/>
    <n v="0"/>
    <m/>
    <m/>
    <m/>
    <m/>
  </r>
  <r>
    <m/>
    <s v="W14006"/>
    <s v="FBA199KPSFXM"/>
    <s v="E-US"/>
    <x v="0"/>
    <s v="ANZKIT-B_4X10K04_TZ"/>
    <n v="810"/>
    <s v="嘀嗒嘀"/>
    <s v="盐田海卡"/>
    <s v="GEU2"/>
    <x v="38"/>
    <s v="ANZKIT-B_4X10K04_TZ ANZ黑色机器+4x10mL酒店（天竺）香氛油 机油套装"/>
    <x v="0"/>
    <n v="27"/>
    <n v="431.49648648648645"/>
    <s v="重量收费"/>
    <n v="3.7"/>
    <n v="200"/>
    <n v="24.107142857142858"/>
    <n v="1620.6441428571429"/>
    <n v="2.0007952380952383"/>
    <n v="0.29862615493958777"/>
    <m/>
    <m/>
    <m/>
    <x v="19"/>
    <d v="2026-04-27T00:00:00"/>
    <m/>
    <n v="0.44"/>
    <n v="356.4"/>
    <d v="2026-05-09T00:00:00"/>
    <n v="35"/>
    <m/>
    <m/>
    <m/>
    <m/>
    <m/>
    <m/>
    <m/>
  </r>
  <r>
    <m/>
    <s v="W14006"/>
    <s v="FBA199KPSFXM"/>
    <s v="E-US"/>
    <x v="0"/>
    <s v="ANZKIT-W_4X10K04_TZ"/>
    <n v="300"/>
    <s v="嘀嗒嘀"/>
    <s v="盐田海卡"/>
    <s v="GEU2"/>
    <x v="109"/>
    <s v="ANZKIT-W_4X10K04_TZ ANZ白色机器+4x10mL酒店（天竺）香氛油 机油套装"/>
    <x v="0"/>
    <n v="10"/>
    <n v="159.8135135135135"/>
    <s v="重量收费"/>
    <n v="3.7"/>
    <n v="200"/>
    <n v="8.9285714285714288"/>
    <n v="600.23857142857139"/>
    <n v="2.0007952380952378"/>
    <n v="0.29862615493958772"/>
    <m/>
    <m/>
    <m/>
    <x v="19"/>
    <d v="2026-04-27T00:00:00"/>
    <m/>
    <n v="0.44"/>
    <n v="132"/>
    <d v="2026-05-09T00:00:00"/>
    <n v="35"/>
    <m/>
    <m/>
    <m/>
    <m/>
    <m/>
    <m/>
    <m/>
  </r>
  <r>
    <m/>
    <s v="W14007"/>
    <s v="FBA199KNT8RY"/>
    <s v="E-US"/>
    <x v="0"/>
    <s v="001000045"/>
    <n v="450"/>
    <s v="万邦"/>
    <s v="盐田海卡"/>
    <s v="GEU2"/>
    <x v="1"/>
    <s v="ANX-B 便携式扩香仪 黑色"/>
    <x v="1"/>
    <n v="15"/>
    <n v="202.02073170731708"/>
    <s v="重量收费"/>
    <n v="3.6"/>
    <n v="200"/>
    <n v="21.276595744680851"/>
    <n v="748.55122989102244"/>
    <n v="1.6634471775356054"/>
    <n v="0.24827569813964259"/>
    <m/>
    <m/>
    <m/>
    <x v="19"/>
    <d v="2026-04-25T00:00:00"/>
    <m/>
    <n v="0.37558441558441558"/>
    <n v="169.012987012987"/>
    <d v="2026-05-02T00:00:00"/>
    <n v="28"/>
    <m/>
    <m/>
    <m/>
    <m/>
    <m/>
    <m/>
    <m/>
  </r>
  <r>
    <m/>
    <s v="W14007"/>
    <s v="FBA199KNT8RY"/>
    <s v="E-US"/>
    <x v="0"/>
    <s v="001000051"/>
    <n v="150"/>
    <s v="万邦"/>
    <s v="盐田海卡"/>
    <s v="GEU2"/>
    <x v="4"/>
    <s v="ANX-SG 便携式扩香仪 太空灰色"/>
    <x v="1"/>
    <n v="5"/>
    <n v="67.340243902439028"/>
    <s v="重量收费"/>
    <n v="3.6"/>
    <n v="200"/>
    <n v="7.0921985815602833"/>
    <n v="249.5170766303408"/>
    <n v="1.6634471775356052"/>
    <n v="0.24827569813964256"/>
    <m/>
    <m/>
    <m/>
    <x v="19"/>
    <d v="2026-04-25T00:00:00"/>
    <m/>
    <n v="0.37558441558441558"/>
    <n v="56.337662337662337"/>
    <d v="2026-05-02T00:00:00"/>
    <n v="28"/>
    <m/>
    <m/>
    <m/>
    <m/>
    <m/>
    <m/>
    <m/>
  </r>
  <r>
    <m/>
    <s v="W14007"/>
    <s v="FBA199KNT8RY"/>
    <s v="E-US"/>
    <x v="0"/>
    <s v="ANZ-B"/>
    <n v="2000"/>
    <s v="万邦"/>
    <s v="盐田海卡"/>
    <s v="GEU2"/>
    <x v="0"/>
    <s v="ANZ-B 便携式扩香仪 黑色"/>
    <x v="0"/>
    <n v="50"/>
    <n v="673.40243902439033"/>
    <s v="重量收费"/>
    <n v="3.6"/>
    <m/>
    <n v="70.921985815602838"/>
    <n v="2495.1707663034081"/>
    <n v="1.2475853831517041"/>
    <n v="0.18620677360473195"/>
    <m/>
    <m/>
    <m/>
    <x v="19"/>
    <d v="2026-04-25T00:00:00"/>
    <m/>
    <n v="0.37558441558441558"/>
    <n v="751.16883116883116"/>
    <d v="2026-05-02T00:00:00"/>
    <n v="28"/>
    <m/>
    <m/>
    <m/>
    <m/>
    <m/>
    <m/>
    <m/>
  </r>
  <r>
    <m/>
    <s v="W14007"/>
    <s v="FBA199KNT8RY"/>
    <s v="E-US"/>
    <x v="0"/>
    <s v="ANZ-WH"/>
    <n v="480"/>
    <s v="万邦"/>
    <s v="盐田海卡"/>
    <s v="GEU2"/>
    <x v="53"/>
    <s v="ANZ-WH 便携式扩香仪 白色"/>
    <x v="0"/>
    <n v="12"/>
    <n v="161.61658536585367"/>
    <s v="重量收费"/>
    <n v="3.6"/>
    <m/>
    <n v="17.021276595744681"/>
    <n v="598.84098391281793"/>
    <n v="1.2475853831517041"/>
    <n v="0.18620677360473195"/>
    <m/>
    <m/>
    <m/>
    <x v="19"/>
    <d v="2026-04-25T00:00:00"/>
    <m/>
    <n v="0.37558441558441558"/>
    <n v="180.28051948051947"/>
    <d v="2026-05-02T00:00:00"/>
    <n v="28"/>
    <m/>
    <m/>
    <m/>
    <m/>
    <m/>
    <m/>
    <m/>
  </r>
  <r>
    <m/>
    <s v="W14007"/>
    <s v="FBA199JBH82C"/>
    <s v="A-US"/>
    <x v="0"/>
    <s v="ANZKIT-B_B"/>
    <n v="100"/>
    <s v="万邦"/>
    <s v="盐田海卡"/>
    <s v="GEU2"/>
    <x v="119"/>
    <s v="ANZKIT-B_B 便携式扩香仪 黑色 两个装"/>
    <x v="0"/>
    <n v="5"/>
    <n v="67.34"/>
    <s v="重量收费"/>
    <n v="3.6"/>
    <m/>
    <n v="7.0921985815602833"/>
    <n v="249.5161985815603"/>
    <n v="2.4951619858156029"/>
    <n v="0.37241223668889595"/>
    <m/>
    <m/>
    <m/>
    <x v="19"/>
    <d v="2026-04-25T00:00:00"/>
    <m/>
    <n v="0.44"/>
    <n v="44"/>
    <d v="2026-05-02T00:00:00"/>
    <n v="28"/>
    <m/>
    <m/>
    <m/>
    <m/>
    <m/>
    <m/>
    <m/>
  </r>
  <r>
    <m/>
    <s v="W14006"/>
    <s v="FBA199J9RQ5K"/>
    <s v="V-US"/>
    <x v="0"/>
    <s v="AN6KIT-B_4X10K04_TZ"/>
    <n v="420"/>
    <s v="嘀嗒嘀"/>
    <s v="盐田海卡"/>
    <s v="GEU2"/>
    <x v="74"/>
    <s v="AN6KIT-B_4X10K04_TZ AN6黑色机器+4x10mL酒店（天竺）香氛油 机油套装"/>
    <x v="3"/>
    <n v="14"/>
    <n v="223.73919354838711"/>
    <s v="重量收费"/>
    <n v="3.7"/>
    <n v="200"/>
    <n v="12.5"/>
    <n v="840.33501612903228"/>
    <n v="2.000797657450077"/>
    <n v="0.29862651603732493"/>
    <m/>
    <m/>
    <m/>
    <x v="19"/>
    <d v="2026-04-27T00:00:00"/>
    <m/>
    <n v="0.44"/>
    <n v="184.8"/>
    <d v="2026-05-09T00:00:00"/>
    <n v="35"/>
    <m/>
    <m/>
    <m/>
    <m/>
    <m/>
    <m/>
    <m/>
  </r>
  <r>
    <m/>
    <s v="W14006"/>
    <s v="FBA199J9RQ5K"/>
    <s v="V-US"/>
    <x v="0"/>
    <s v="AN8KIT-B_4X10K05_TZ"/>
    <n v="3300"/>
    <s v="嘀嗒嘀"/>
    <s v="盐田海卡"/>
    <s v="GEU2"/>
    <x v="117"/>
    <s v="AN8KIT-B_4X10K05_TZ AN8黑色机器+4x10mL（天竺）酒店香氛油 机油套装"/>
    <x v="4"/>
    <n v="110"/>
    <n v="1757.9508064516131"/>
    <s v="重量收费"/>
    <n v="3.7"/>
    <n v="200"/>
    <n v="98.214285714285708"/>
    <n v="6602.6322695852541"/>
    <n v="2.000797657450077"/>
    <n v="0.29862651603732493"/>
    <m/>
    <m/>
    <m/>
    <x v="19"/>
    <d v="2026-04-27T00:00:00"/>
    <m/>
    <n v="0.44"/>
    <n v="1452"/>
    <d v="2026-05-09T00:00:00"/>
    <n v="35"/>
    <m/>
    <m/>
    <m/>
    <m/>
    <m/>
    <m/>
    <m/>
  </r>
  <r>
    <m/>
    <s v="W14007"/>
    <s v="FBA199JCMDW7"/>
    <s v="V-US"/>
    <x v="0"/>
    <s v="001000019"/>
    <n v="1000"/>
    <s v="万邦"/>
    <s v="盐田海卡"/>
    <s v="GEU2"/>
    <x v="17"/>
    <s v="AN6-B 便携式扩香仪 黑色"/>
    <x v="3"/>
    <n v="25"/>
    <n v="336.7037037037037"/>
    <s v="重量收费"/>
    <n v="3.6"/>
    <n v="200"/>
    <n v="35.460992907801419"/>
    <n v="1247.5943262411349"/>
    <n v="1.2475943262411349"/>
    <n v="0.18620810839419924"/>
    <m/>
    <m/>
    <m/>
    <x v="19"/>
    <d v="2026-04-25T00:00:00"/>
    <m/>
    <n v="0.36672897196261678"/>
    <n v="366.72897196261675"/>
    <d v="2026-05-02T00:00:00"/>
    <n v="28"/>
    <m/>
    <m/>
    <m/>
    <m/>
    <m/>
    <m/>
    <m/>
  </r>
  <r>
    <m/>
    <s v="W14007"/>
    <s v="FBA199JCMDW7"/>
    <s v="V-US"/>
    <x v="0"/>
    <s v="001000039"/>
    <n v="240"/>
    <s v="万邦"/>
    <s v="盐田海卡"/>
    <s v="GEU2"/>
    <x v="35"/>
    <s v="AN6-GL 便携式扩香仪 翠百合色"/>
    <x v="3"/>
    <n v="6"/>
    <n v="80.808888888888887"/>
    <s v="重量收费"/>
    <n v="3.6"/>
    <n v="200"/>
    <n v="8.5106382978723403"/>
    <n v="299.42263829787231"/>
    <n v="1.2475943262411346"/>
    <n v="0.18620810839419918"/>
    <m/>
    <m/>
    <m/>
    <x v="19"/>
    <d v="2026-04-25T00:00:00"/>
    <m/>
    <n v="0.36672897196261678"/>
    <n v="88.01495327102802"/>
    <d v="2026-05-02T00:00:00"/>
    <n v="28"/>
    <m/>
    <m/>
    <m/>
    <m/>
    <m/>
    <m/>
    <m/>
  </r>
  <r>
    <m/>
    <s v="W14007"/>
    <s v="FBA199JCMDW7"/>
    <s v="V-US"/>
    <x v="0"/>
    <s v="AN8-B"/>
    <n v="320"/>
    <s v="万邦"/>
    <s v="盐田海卡"/>
    <s v="GEU2"/>
    <x v="31"/>
    <s v="AN8-B 便携式扩香仪 黑色"/>
    <x v="4"/>
    <n v="8"/>
    <n v="107.74518518518518"/>
    <s v="重量收费"/>
    <n v="3.6"/>
    <m/>
    <n v="11.347517730496454"/>
    <n v="399.2301843971631"/>
    <n v="1.2475943262411346"/>
    <n v="0.18620810839419918"/>
    <m/>
    <m/>
    <m/>
    <x v="19"/>
    <d v="2026-04-25T00:00:00"/>
    <m/>
    <n v="0.36672897196261678"/>
    <n v="117.35327102803737"/>
    <d v="2026-05-02T00:00:00"/>
    <n v="28"/>
    <m/>
    <m/>
    <m/>
    <m/>
    <m/>
    <m/>
    <m/>
  </r>
  <r>
    <m/>
    <s v="W14007"/>
    <s v="FBA199JCMDW7"/>
    <s v="V-US"/>
    <x v="0"/>
    <s v="AN8KIT-B_B"/>
    <n v="180"/>
    <s v="万邦"/>
    <s v="盐田海卡"/>
    <s v="GEU2"/>
    <x v="32"/>
    <s v="AN8KIT-B_B 便携式扩香仪套装 黑+黑"/>
    <x v="4"/>
    <n v="9"/>
    <n v="121.21333333333332"/>
    <s v="重量收费"/>
    <n v="3.6"/>
    <m/>
    <n v="12.76595744680851"/>
    <n v="449.13395744680849"/>
    <n v="2.4951886524822693"/>
    <n v="0.37241621678839837"/>
    <m/>
    <m/>
    <m/>
    <x v="19"/>
    <d v="2026-04-25T00:00:00"/>
    <m/>
    <n v="0.36672897196261678"/>
    <n v="66.011214953271022"/>
    <d v="2026-05-02T00:00:00"/>
    <n v="28"/>
    <m/>
    <m/>
    <m/>
    <m/>
    <m/>
    <m/>
    <m/>
  </r>
  <r>
    <m/>
    <s v="W14007"/>
    <s v="FBA199JCMDW7"/>
    <s v="V-US"/>
    <x v="0"/>
    <s v="AN8-WH"/>
    <n v="200"/>
    <s v="万邦"/>
    <s v="盐田海卡"/>
    <s v="GEU2"/>
    <x v="33"/>
    <s v="AN8-WH 便携式扩香仪 白色"/>
    <x v="4"/>
    <n v="5"/>
    <n v="67.340740740740742"/>
    <s v="重量收费"/>
    <n v="3.6"/>
    <m/>
    <n v="7.0921985815602833"/>
    <n v="249.51886524822697"/>
    <n v="1.2475943262411349"/>
    <n v="0.18620810839419924"/>
    <m/>
    <m/>
    <m/>
    <x v="19"/>
    <d v="2026-04-25T00:00:00"/>
    <m/>
    <n v="0.36672897196261678"/>
    <n v="73.345794392523359"/>
    <d v="2026-05-02T00:00:00"/>
    <n v="28"/>
    <m/>
    <m/>
    <m/>
    <m/>
    <m/>
    <m/>
    <m/>
  </r>
  <r>
    <m/>
    <s v="W14007"/>
    <s v="FBA199JCMDW7"/>
    <s v="V-US"/>
    <x v="0"/>
    <s v="AN8NZ-B"/>
    <n v="200"/>
    <s v="万邦"/>
    <s v="盐田海卡"/>
    <s v="GEU2"/>
    <x v="34"/>
    <s v="AN8NZ-B AN8(Z)喷嘴配件套装 黑色"/>
    <x v="8"/>
    <n v="1"/>
    <n v="13.468148148148147"/>
    <s v="重量收费"/>
    <n v="3.6"/>
    <m/>
    <n v="1.4184397163120568"/>
    <n v="49.903773049645388"/>
    <n v="0.24951886524822695"/>
    <n v="3.7241621678839841E-2"/>
    <m/>
    <m/>
    <m/>
    <x v="19"/>
    <d v="2026-04-25T00:00:00"/>
    <m/>
    <n v="0.36672897196261678"/>
    <n v="73.345794392523359"/>
    <d v="2026-05-02T00:00:00"/>
    <n v="28"/>
    <m/>
    <m/>
    <m/>
    <m/>
    <m/>
    <m/>
    <m/>
  </r>
  <r>
    <m/>
    <s v="W14002"/>
    <s v="FBA199ND5Y2G"/>
    <s v="K-US"/>
    <x v="0"/>
    <s v="RDX-B_US"/>
    <n v="90"/>
    <s v="嘀嗒嘀"/>
    <s v="盐田海卡"/>
    <s v="TCY1"/>
    <x v="125"/>
    <s v="RDX-B_US 智能扩香仪 黑色"/>
    <x v="25"/>
    <n v="10"/>
    <n v="151.80000000000001"/>
    <s v="重量收费"/>
    <n v="4.8"/>
    <n v="200"/>
    <n v="36.363636363636367"/>
    <n v="765.00363636363636"/>
    <n v="8.5000404040404032"/>
    <n v="1.268662746871702"/>
    <m/>
    <m/>
    <m/>
    <x v="19"/>
    <d v="2026-04-27T00:00:00"/>
    <m/>
    <n v="0.7"/>
    <n v="62.999999999999993"/>
    <d v="2026-05-09T00:00:00"/>
    <n v="35"/>
    <m/>
    <m/>
    <m/>
    <m/>
    <m/>
    <m/>
    <m/>
  </r>
  <r>
    <m/>
    <s v="W14002"/>
    <s v="FBA199ND5Y2G"/>
    <s v="K-US"/>
    <x v="0"/>
    <s v="RDXKIT-B_US_2X100K04"/>
    <n v="360"/>
    <s v="嘀嗒嘀"/>
    <s v="盐田海卡"/>
    <s v="TCY1"/>
    <x v="112"/>
    <s v="RDXKIT-B_US_2X100K04 RDX黑色机器+2X100mL酒店香氛油（天竺） 机油套装"/>
    <x v="25"/>
    <n v="40"/>
    <n v="607.20000000000005"/>
    <s v="重量收费"/>
    <n v="4.8"/>
    <n v="200"/>
    <n v="145.45454545454547"/>
    <n v="3060.0145454545454"/>
    <n v="8.5000404040404032"/>
    <n v="1.268662746871702"/>
    <m/>
    <m/>
    <m/>
    <x v="19"/>
    <d v="2026-04-27T00:00:00"/>
    <m/>
    <n v="0.7"/>
    <n v="251.99999999999997"/>
    <d v="2026-05-09T00:00:00"/>
    <n v="35"/>
    <m/>
    <m/>
    <m/>
    <m/>
    <m/>
    <m/>
    <m/>
  </r>
  <r>
    <m/>
    <s v="W14001"/>
    <s v="FBA199JC2QFL"/>
    <s v="W-US"/>
    <x v="0"/>
    <s v="G1-B"/>
    <n v="592"/>
    <s v="天盛"/>
    <s v="美森海卡"/>
    <s v="POC1"/>
    <x v="63"/>
    <s v="G1-B 电子球形把手锁 黑色"/>
    <x v="12"/>
    <n v="37"/>
    <n v="1.6217021276595744"/>
    <s v="CBM收费"/>
    <n v="1890"/>
    <n v="180"/>
    <n v="141.70212765957447"/>
    <n v="3206.7191489361703"/>
    <n v="5.4167553191489359"/>
    <n v="0.80847094315655754"/>
    <m/>
    <m/>
    <m/>
    <x v="20"/>
    <d v="2026-04-19T00:00:00"/>
    <m/>
    <n v="0.56000000000000005"/>
    <n v="331.52000000000004"/>
    <d v="2026-04-24T00:00:00"/>
    <n v="21"/>
    <d v="2026-05-28T00:00:00"/>
    <m/>
    <m/>
    <m/>
    <m/>
    <m/>
    <m/>
  </r>
  <r>
    <m/>
    <s v="W14001"/>
    <s v="FBA199JC2QFL"/>
    <s v="W-US"/>
    <x v="0"/>
    <s v="G1-SILV"/>
    <n v="160"/>
    <s v="天盛"/>
    <s v="美森海卡"/>
    <s v="POC1"/>
    <x v="65"/>
    <s v="G1-SILV 电子球形把手锁 银色"/>
    <x v="12"/>
    <n v="10"/>
    <n v="0.4382978723404255"/>
    <s v="CBM收费"/>
    <n v="1890"/>
    <n v="180"/>
    <n v="38.297872340425535"/>
    <n v="866.68085106382978"/>
    <n v="5.4167553191489359"/>
    <n v="0.80847094315655754"/>
    <m/>
    <m/>
    <m/>
    <x v="20"/>
    <d v="2026-04-19T00:00:00"/>
    <m/>
    <n v="0.56000000000000005"/>
    <n v="89.600000000000009"/>
    <d v="2026-04-24T00:00:00"/>
    <n v="21"/>
    <d v="2026-05-28T00:00:00"/>
    <m/>
    <m/>
    <m/>
    <m/>
    <m/>
    <m/>
  </r>
  <r>
    <m/>
    <s v="W14005"/>
    <s v="FBA199J9FWBW"/>
    <s v="W-US"/>
    <x v="0"/>
    <s v="G1-B"/>
    <n v="304"/>
    <s v="国润通"/>
    <s v="盐田海卡"/>
    <s v="POC1"/>
    <x v="63"/>
    <s v="G1-B 电子球形把手锁 黑色"/>
    <x v="12"/>
    <n v="19"/>
    <n v="256"/>
    <s v="重量收费"/>
    <n v="3.2"/>
    <n v="200"/>
    <n v="200"/>
    <n v="1019.2"/>
    <n v="3.3526315789473684"/>
    <n v="0.50039277297721918"/>
    <m/>
    <m/>
    <m/>
    <x v="20"/>
    <d v="2026-04-25T00:00:00"/>
    <m/>
    <n v="0.56000000000000005"/>
    <n v="170.24"/>
    <d v="2026-05-11T00:00:00"/>
    <n v="38"/>
    <m/>
    <m/>
    <m/>
    <m/>
    <m/>
    <m/>
    <m/>
  </r>
  <r>
    <m/>
    <s v="W14006"/>
    <s v="FBA199JBK252"/>
    <s v="V-US"/>
    <x v="0"/>
    <s v="001000032"/>
    <n v="240"/>
    <s v="嘀嗒嘀"/>
    <s v="盐田海卡"/>
    <s v="GEU2"/>
    <x v="40"/>
    <s v="ANW-B 智能扩香仪 黑色"/>
    <x v="10"/>
    <n v="20"/>
    <n v="286.34827586206893"/>
    <s v="重量收费"/>
    <n v="4.5"/>
    <n v="200"/>
    <n v="17.857142857142858"/>
    <n v="1306.4243842364531"/>
    <n v="5.4434349343185549"/>
    <n v="0.81245297527142613"/>
    <m/>
    <m/>
    <m/>
    <x v="20"/>
    <d v="2026-04-27T00:00:00"/>
    <m/>
    <n v="0.55999999999999994"/>
    <n v="134.39999999999998"/>
    <d v="2026-05-14T00:00:00"/>
    <n v="41"/>
    <m/>
    <m/>
    <m/>
    <m/>
    <m/>
    <m/>
    <m/>
  </r>
  <r>
    <m/>
    <s v="W14006"/>
    <s v="FBA199JBK252"/>
    <s v="V-US"/>
    <x v="0"/>
    <s v="001000033"/>
    <n v="456"/>
    <s v="嘀嗒嘀"/>
    <s v="盐田海卡"/>
    <s v="GEU2"/>
    <x v="41"/>
    <s v="ANW-W 智能扩香仪 白色"/>
    <x v="10"/>
    <n v="38"/>
    <n v="544.06172413793104"/>
    <s v="重量收费"/>
    <n v="4.5"/>
    <n v="200"/>
    <n v="33.928571428571431"/>
    <n v="2482.2063300492614"/>
    <n v="5.4434349343185557"/>
    <n v="0.81245297527142624"/>
    <m/>
    <m/>
    <m/>
    <x v="20"/>
    <d v="2026-04-27T00:00:00"/>
    <m/>
    <n v="0.55999999999999994"/>
    <n v="255.35999999999999"/>
    <d v="2026-05-14T00:00:00"/>
    <n v="41"/>
    <m/>
    <m/>
    <m/>
    <m/>
    <m/>
    <m/>
    <m/>
  </r>
  <r>
    <m/>
    <s v="W14002"/>
    <s v="FBA199KWXBZZ"/>
    <s v="K-US"/>
    <x v="0"/>
    <s v="ANPKIT-WH_US_3X20K01_TZ"/>
    <n v="160"/>
    <s v="嘀嗒嘀"/>
    <s v="盐田海卡"/>
    <s v="GEU2"/>
    <x v="122"/>
    <s v="ANPKIT-WH_US_3X20K01_TZ ANP白色机器+3X20mL酒店香氛油（天竺） 机油套装"/>
    <x v="26"/>
    <n v="5"/>
    <n v="84"/>
    <s v="重量收费"/>
    <n v="4.5"/>
    <n v="200"/>
    <n v="18.181818181818183"/>
    <n v="396.18181818181819"/>
    <n v="2.4761363636363636"/>
    <n v="0.36957259158751693"/>
    <m/>
    <m/>
    <m/>
    <x v="20"/>
    <d v="2026-04-27T00:00:00"/>
    <m/>
    <n v="0.44000000000000006"/>
    <n v="70.400000000000006"/>
    <d v="2026-05-05T00:00:00"/>
    <n v="32"/>
    <m/>
    <m/>
    <m/>
    <m/>
    <m/>
    <m/>
    <m/>
  </r>
  <r>
    <m/>
    <s v="W14006"/>
    <s v="FBA199J8WL2C"/>
    <s v="V-US"/>
    <x v="0"/>
    <s v="ANP-W_US"/>
    <n v="160"/>
    <s v="嘀嗒嘀"/>
    <s v="盐田海卡"/>
    <s v="GEU2"/>
    <x v="115"/>
    <s v="ANP-W_US 墙插式智能扩香仪 白色"/>
    <x v="26"/>
    <n v="5"/>
    <n v="71.59"/>
    <s v="重量收费"/>
    <n v="4.5"/>
    <n v="200"/>
    <n v="4.4642857142857144"/>
    <n v="326.61928571428575"/>
    <n v="2.0413705357142859"/>
    <n v="0.30468216950959492"/>
    <m/>
    <m/>
    <m/>
    <x v="20"/>
    <d v="2026-04-27T00:00:00"/>
    <m/>
    <n v="0.44000000000000006"/>
    <n v="70.400000000000006"/>
    <d v="2026-05-16T00:00:00"/>
    <n v="43"/>
    <m/>
    <m/>
    <m/>
    <m/>
    <m/>
    <m/>
    <m/>
  </r>
  <r>
    <m/>
    <s v="W14004"/>
    <s v="FBA199J7KYFZ"/>
    <s v="E-US"/>
    <x v="0"/>
    <s v="BLG1-100ML"/>
    <n v="180"/>
    <s v="天盛"/>
    <s v="盐田海卡"/>
    <s v="POC3"/>
    <x v="48"/>
    <s v="BLG1-100ML 百乐宫酒店香氛油100mL"/>
    <x v="11"/>
    <n v="2"/>
    <n v="9.3333333333333338E-2"/>
    <s v="CBM收费"/>
    <n v="1030"/>
    <n v="180"/>
    <n v="12.857142857142858"/>
    <n v="108.9904761904762"/>
    <n v="0.60550264550264554"/>
    <n v="9.0373529179499326E-2"/>
    <m/>
    <m/>
    <m/>
    <x v="21"/>
    <d v="2026-04-25T00:00:00"/>
    <m/>
    <n v="0.36"/>
    <n v="64.8"/>
    <d v="2026-05-14T00:00:00"/>
    <n v="42"/>
    <m/>
    <m/>
    <m/>
    <m/>
    <m/>
    <m/>
    <m/>
  </r>
  <r>
    <m/>
    <s v="W14004"/>
    <s v="FBA199J7KYFZ"/>
    <s v="E-US"/>
    <x v="0"/>
    <s v="MWAY1-100ML"/>
    <n v="90"/>
    <s v="天盛"/>
    <s v="盐田海卡"/>
    <s v="POC3"/>
    <x v="50"/>
    <s v="A-MWAY Deluxe-100 特定香型香氛油100mL"/>
    <x v="11"/>
    <n v="1"/>
    <n v="4.6666666666666669E-2"/>
    <s v="CBM收费"/>
    <n v="1030"/>
    <n v="180"/>
    <n v="6.4285714285714288"/>
    <n v="54.495238095238101"/>
    <n v="0.60550264550264554"/>
    <n v="9.0373529179499326E-2"/>
    <m/>
    <m/>
    <m/>
    <x v="21"/>
    <d v="2026-04-25T00:00:00"/>
    <m/>
    <n v="0.36"/>
    <n v="32.4"/>
    <d v="2026-05-14T00:00:00"/>
    <n v="42"/>
    <m/>
    <m/>
    <m/>
    <m/>
    <m/>
    <m/>
    <m/>
  </r>
  <r>
    <m/>
    <s v="W14004"/>
    <s v="FBA199J7KYFZ"/>
    <s v="E-US"/>
    <x v="0"/>
    <s v="006000026"/>
    <n v="270"/>
    <s v="天盛"/>
    <s v="盐田海卡"/>
    <s v="POC3"/>
    <x v="87"/>
    <s v="A-Marriott Hotel 1-100 万豪酒店1香氛油100mL"/>
    <x v="11"/>
    <n v="3"/>
    <n v="0.14000000000000001"/>
    <s v="CBM收费"/>
    <n v="1030"/>
    <m/>
    <n v="19.285714285714285"/>
    <n v="163.48571428571429"/>
    <n v="0.60550264550264554"/>
    <n v="9.0373529179499326E-2"/>
    <m/>
    <m/>
    <m/>
    <x v="21"/>
    <d v="2026-04-25T00:00:00"/>
    <m/>
    <n v="0.36"/>
    <n v="97.2"/>
    <d v="2026-05-14T00:00:00"/>
    <n v="42"/>
    <m/>
    <m/>
    <m/>
    <m/>
    <m/>
    <m/>
    <m/>
  </r>
  <r>
    <m/>
    <s v="W14004"/>
    <s v="FBA199JB9GX5"/>
    <s v="V-US"/>
    <x v="0"/>
    <s v="006000024"/>
    <n v="630"/>
    <s v="天盛"/>
    <s v="盐田海卡"/>
    <s v="POC3"/>
    <x v="46"/>
    <s v="A-Ritz Carlton Hotel 3-100 丽思卡尔顿酒店3香氛油100mL"/>
    <x v="11"/>
    <n v="7"/>
    <n v="0.32200000000000001"/>
    <s v="CBM收费"/>
    <n v="1030"/>
    <m/>
    <n v="45"/>
    <n v="376.66"/>
    <n v="0.59787301587301589"/>
    <n v="8.9234778488509831E-2"/>
    <m/>
    <m/>
    <m/>
    <x v="21"/>
    <d v="2026-04-25T00:00:00"/>
    <m/>
    <n v="0.3669565217391304"/>
    <n v="231.18260869565216"/>
    <d v="2026-05-14T00:00:00"/>
    <n v="42"/>
    <m/>
    <m/>
    <m/>
    <m/>
    <m/>
    <m/>
    <m/>
  </r>
  <r>
    <m/>
    <s v="W14004"/>
    <s v="FBA199JB9GX5"/>
    <s v="V-US"/>
    <x v="0"/>
    <s v="RZ-500ML"/>
    <n v="60"/>
    <s v="天盛"/>
    <s v="盐田海卡"/>
    <s v="POC3"/>
    <x v="60"/>
    <s v="RZ-500ML 丽思卡尔顿酒店3香氛油500mL"/>
    <x v="11"/>
    <n v="3"/>
    <n v="0.13800000000000001"/>
    <s v="CBM收费"/>
    <n v="1030"/>
    <m/>
    <n v="19.285714285714285"/>
    <n v="161.42571428571429"/>
    <n v="2.6904285714285714"/>
    <n v="0.40155650319829422"/>
    <m/>
    <m/>
    <m/>
    <x v="21"/>
    <d v="2026-04-25T00:00:00"/>
    <m/>
    <n v="0.3669565217391304"/>
    <n v="22.017391304347825"/>
    <d v="2026-05-14T00:00:00"/>
    <n v="42"/>
    <m/>
    <m/>
    <m/>
    <m/>
    <m/>
    <m/>
    <m/>
  </r>
  <r>
    <s v="跟上周一样，拉到广州仓库去合并下单，报关"/>
    <s v="W14004"/>
    <s v="FBA199J506NT"/>
    <s v="E-US"/>
    <x v="0"/>
    <s v="BCRT1-100ML_TZ"/>
    <n v="192"/>
    <s v="天盛"/>
    <s v="盐田海卡"/>
    <s v="POC3"/>
    <x v="62"/>
    <s v="BCRT1-100ML_TZ 巴卡拉酒店100mL香氛油（天竺） 销售包装"/>
    <x v="6"/>
    <n v="3"/>
    <n v="0.13750000000000001"/>
    <s v="CBM收费"/>
    <n v="1030"/>
    <m/>
    <n v="19.285714285714285"/>
    <n v="160.91071428571428"/>
    <n v="0.83807663690476186"/>
    <n v="0.12508606520966595"/>
    <m/>
    <m/>
    <m/>
    <x v="20"/>
    <d v="2026-04-25T00:00:00"/>
    <m/>
    <n v="0.36000000000000004"/>
    <n v="69.12"/>
    <d v="2026-05-09T00:00:00"/>
    <n v="36"/>
    <m/>
    <m/>
    <m/>
    <m/>
    <m/>
    <m/>
    <m/>
  </r>
  <r>
    <m/>
    <s v="W14004"/>
    <s v="FBA199J506NT"/>
    <s v="E-US"/>
    <x v="0"/>
    <s v="W1-100ML_TZ"/>
    <n v="128"/>
    <s v="天盛"/>
    <s v="盐田海卡"/>
    <s v="POC3"/>
    <x v="24"/>
    <s v="W1-100ML_TZ W酒店100mL香氛油（天竺） 销售包装"/>
    <x v="6"/>
    <n v="2"/>
    <n v="9.1666666666666674E-2"/>
    <s v="CBM收费"/>
    <n v="1030"/>
    <m/>
    <n v="12.857142857142858"/>
    <n v="107.27380952380953"/>
    <n v="0.83807663690476197"/>
    <n v="0.12508606520966598"/>
    <m/>
    <m/>
    <m/>
    <x v="20"/>
    <d v="2026-04-25T00:00:00"/>
    <m/>
    <n v="0.36000000000000004"/>
    <n v="46.080000000000005"/>
    <d v="2026-05-09T00:00:00"/>
    <n v="36"/>
    <m/>
    <m/>
    <m/>
    <m/>
    <m/>
    <m/>
    <m/>
  </r>
  <r>
    <m/>
    <s v="W14004"/>
    <s v="FBA199J506NT"/>
    <s v="E-US"/>
    <x v="0"/>
    <s v="HILTON1-100ML_TZ"/>
    <n v="448"/>
    <s v="天盛"/>
    <s v="盐田海卡"/>
    <s v="POC3"/>
    <x v="61"/>
    <s v="HILTON1-100ML_TZ 希尔顿酒店100mL香氛油（天竺） 销售包装"/>
    <x v="6"/>
    <n v="7"/>
    <n v="0.32083333333333336"/>
    <s v="CBM收费"/>
    <n v="1030"/>
    <m/>
    <n v="45"/>
    <n v="375.45833333333337"/>
    <n v="0.83807663690476197"/>
    <n v="0.12508606520966598"/>
    <m/>
    <m/>
    <m/>
    <x v="20"/>
    <d v="2026-04-25T00:00:00"/>
    <m/>
    <n v="0.36000000000000004"/>
    <n v="161.28000000000003"/>
    <d v="2026-05-09T00:00:00"/>
    <n v="36"/>
    <m/>
    <m/>
    <m/>
    <m/>
    <m/>
    <m/>
    <m/>
  </r>
  <r>
    <m/>
    <s v="W14003"/>
    <s v="FBA199JBCYRR"/>
    <s v="A-CA"/>
    <x v="3"/>
    <s v="002000022"/>
    <n v="24"/>
    <s v="国润通"/>
    <s v="加拿大海卡"/>
    <s v="YYZ7"/>
    <x v="126"/>
    <s v="H2-G 电子指纹球形把手锁-灰色"/>
    <x v="13"/>
    <n v="2"/>
    <n v="27.111111111111111"/>
    <s v="重量收费"/>
    <n v="5"/>
    <n v="350"/>
    <n v="15.555555555555555"/>
    <n v="151.11111111111109"/>
    <n v="6.2962962962962949"/>
    <n v="0.93974571586511857"/>
    <m/>
    <m/>
    <m/>
    <x v="20"/>
    <d v="2026-04-28T00:00:00"/>
    <m/>
    <n v="0"/>
    <n v="0"/>
    <d v="2026-05-12T00:00:00"/>
    <n v="39"/>
    <m/>
    <m/>
    <m/>
    <m/>
    <m/>
    <m/>
    <m/>
  </r>
  <r>
    <m/>
    <s v="W14003"/>
    <s v="FBA199JBCYRR"/>
    <s v="A-CA"/>
    <x v="3"/>
    <s v="002000001"/>
    <n v="168"/>
    <s v="国润通"/>
    <s v="加拿大海卡"/>
    <s v="YYZ7"/>
    <x v="106"/>
    <s v="K1-B 电子球形把手锁-黑色"/>
    <x v="24"/>
    <n v="14"/>
    <n v="189.77777777777777"/>
    <s v="重量收费"/>
    <n v="5"/>
    <n v="350"/>
    <n v="108.88888888888889"/>
    <n v="1057.7777777777778"/>
    <n v="6.2962962962962967"/>
    <n v="0.9397457158651189"/>
    <m/>
    <m/>
    <m/>
    <x v="20"/>
    <d v="2026-04-28T00:00:00"/>
    <m/>
    <n v="0"/>
    <n v="0"/>
    <d v="2026-05-12T00:00:00"/>
    <n v="39"/>
    <m/>
    <m/>
    <m/>
    <m/>
    <m/>
    <m/>
    <m/>
  </r>
  <r>
    <m/>
    <s v="W14003"/>
    <s v="FBA199JBCYRR"/>
    <s v="A-CA"/>
    <x v="3"/>
    <s v="002000007"/>
    <n v="348"/>
    <s v="国润通"/>
    <s v="加拿大海卡"/>
    <s v="YYZ7"/>
    <x v="107"/>
    <s v="K1-S+S 电子球形把手锁-镍镍"/>
    <x v="24"/>
    <n v="29"/>
    <n v="393.11111111111109"/>
    <s v="重量收费"/>
    <n v="5"/>
    <m/>
    <n v="225.55555555555554"/>
    <n v="2191.1111111111109"/>
    <n v="6.2962962962962958"/>
    <n v="0.93974571586511879"/>
    <m/>
    <m/>
    <m/>
    <x v="20"/>
    <d v="2026-04-28T00:00:00"/>
    <m/>
    <n v="0"/>
    <n v="0"/>
    <d v="2026-05-12T00:00:00"/>
    <n v="39"/>
    <m/>
    <m/>
    <m/>
    <m/>
    <m/>
    <m/>
    <m/>
  </r>
  <r>
    <m/>
    <s v="W15007"/>
    <s v="FBA199V9G06K"/>
    <s v="V-US"/>
    <x v="0"/>
    <s v="001000028"/>
    <n v="300"/>
    <s v="万邦"/>
    <s v="盐田海卡"/>
    <s v="GEU2"/>
    <x v="16"/>
    <s v="AN6-2PC-BB 便携式扩香仪套装 黑+黑"/>
    <x v="3"/>
    <n v="15"/>
    <n v="203.60847457627119"/>
    <s v="重量收费"/>
    <n v="4"/>
    <n v="200"/>
    <n v="26.086956521739129"/>
    <n v="840.52085482682389"/>
    <n v="2.8017361827560796"/>
    <n v="0.41816957951583278"/>
    <m/>
    <m/>
    <m/>
    <x v="22"/>
    <d v="2026-05-05T00:00:00"/>
    <m/>
    <n v="0.37165048543689322"/>
    <n v="111.49514563106797"/>
    <d v="2026-05-12T00:00:00"/>
    <n v="31"/>
    <m/>
    <m/>
    <m/>
    <m/>
    <m/>
    <m/>
    <m/>
  </r>
  <r>
    <m/>
    <s v="W15007"/>
    <s v="FBA199V9G06K"/>
    <s v="V-US"/>
    <x v="0"/>
    <s v="001000019"/>
    <n v="1200"/>
    <s v="万邦"/>
    <s v="盐田海卡"/>
    <s v="GEU2"/>
    <x v="17"/>
    <s v="AN6-B 便携式扩香仪 黑色"/>
    <x v="3"/>
    <n v="30"/>
    <n v="407.21694915254238"/>
    <s v="重量收费"/>
    <n v="4"/>
    <n v="200"/>
    <n v="52.173913043478258"/>
    <n v="1681.0417096536478"/>
    <n v="1.4008680913780398"/>
    <n v="0.20908478975791639"/>
    <m/>
    <m/>
    <m/>
    <x v="22"/>
    <d v="2026-05-05T00:00:00"/>
    <m/>
    <n v="0.37165048543689322"/>
    <n v="445.98058252427188"/>
    <d v="2026-05-12T00:00:00"/>
    <n v="31"/>
    <m/>
    <m/>
    <m/>
    <m/>
    <m/>
    <m/>
    <m/>
  </r>
  <r>
    <m/>
    <s v="W15007"/>
    <s v="FBA199V9G06K"/>
    <s v="V-US"/>
    <x v="0"/>
    <s v="001000020"/>
    <n v="240"/>
    <s v="万邦"/>
    <s v="盐田海卡"/>
    <s v="GEU2"/>
    <x v="18"/>
    <s v="AN6-W 便携式扩香仪 白色"/>
    <x v="3"/>
    <n v="6"/>
    <n v="81.44338983050848"/>
    <s v="重量收费"/>
    <n v="4"/>
    <m/>
    <n v="10.434782608695652"/>
    <n v="336.20834193072955"/>
    <n v="1.4008680913780398"/>
    <n v="0.20908478975791639"/>
    <m/>
    <m/>
    <m/>
    <x v="22"/>
    <d v="2026-05-05T00:00:00"/>
    <m/>
    <n v="0.37165048543689322"/>
    <n v="89.196116504854373"/>
    <d v="2026-05-12T00:00:00"/>
    <n v="31"/>
    <m/>
    <m/>
    <m/>
    <m/>
    <m/>
    <m/>
    <m/>
  </r>
  <r>
    <m/>
    <s v="W15007"/>
    <s v="FBA199V9G06K"/>
    <s v="V-US"/>
    <x v="0"/>
    <s v="AN8-B"/>
    <n v="320"/>
    <s v="万邦"/>
    <s v="盐田海卡"/>
    <s v="GEU2"/>
    <x v="31"/>
    <s v="AN8-B 便携式扩香仪 黑色"/>
    <x v="4"/>
    <n v="8"/>
    <n v="108.59118644067797"/>
    <s v="重量收费"/>
    <n v="4"/>
    <m/>
    <n v="13.913043478260869"/>
    <n v="448.27778924097277"/>
    <n v="1.4008680913780398"/>
    <n v="0.20908478975791639"/>
    <m/>
    <m/>
    <m/>
    <x v="22"/>
    <d v="2026-05-05T00:00:00"/>
    <m/>
    <n v="0.37165048543689322"/>
    <n v="118.92815533980583"/>
    <d v="2026-05-12T00:00:00"/>
    <n v="31"/>
    <m/>
    <m/>
    <m/>
    <m/>
    <m/>
    <m/>
    <m/>
  </r>
  <r>
    <m/>
    <s v="W15001"/>
    <s v="FBA19B7DZGDV"/>
    <s v="K-US"/>
    <x v="0"/>
    <s v="RDXKIT-B_US_2X100K04"/>
    <n v="288"/>
    <s v="万邦"/>
    <s v="盐田海卡"/>
    <s v="GEU3"/>
    <x v="112"/>
    <s v="RDXKIT-B_US_2X100K04 RDX黑色机器+2X100mL酒店香氛油（天竺） 机油套装"/>
    <x v="25"/>
    <n v="32"/>
    <n v="468"/>
    <s v="重量收费"/>
    <n v="4.8"/>
    <n v="200"/>
    <n v="130.61224489795919"/>
    <n v="2377.0122448979591"/>
    <n v="8.2535147392290256"/>
    <n v="1.2318678715267202"/>
    <m/>
    <m/>
    <m/>
    <x v="22"/>
    <d v="2026-05-05T00:00:00"/>
    <m/>
    <n v="0.7"/>
    <n v="201.6"/>
    <d v="2026-05-16T00:00:00"/>
    <n v="35"/>
    <m/>
    <m/>
    <m/>
    <m/>
    <m/>
    <m/>
    <m/>
  </r>
  <r>
    <m/>
    <s v="W15003"/>
    <s v="FBA199V98MJG"/>
    <s v="V-US"/>
    <x v="0"/>
    <s v="AN8KIT-B_4X10K05_TZ"/>
    <n v="3300"/>
    <s v="嘀嗒嘀"/>
    <s v="盐田海卡"/>
    <s v="TCY2"/>
    <x v="117"/>
    <s v="AN8KIT-B_4X10K05_TZ AN8黑色机器+4x10mL（天竺）酒店香氛油 机油套装"/>
    <x v="4"/>
    <n v="110"/>
    <n v="1741.219512195122"/>
    <s v="重量收费"/>
    <n v="4.0999999999999996"/>
    <n v="200"/>
    <n v="77.738515901060069"/>
    <n v="7216.7385159010591"/>
    <n v="2.1868904593639571"/>
    <n v="0.32640156109909807"/>
    <m/>
    <m/>
    <m/>
    <x v="23"/>
    <d v="2026-05-03T00:00:00"/>
    <m/>
    <n v="0.44"/>
    <n v="1452"/>
    <d v="2026-05-17T00:00:00"/>
    <n v="37"/>
    <m/>
    <m/>
    <m/>
    <m/>
    <m/>
    <m/>
    <m/>
  </r>
  <r>
    <m/>
    <s v="W15003"/>
    <s v="FBA199V98MJG"/>
    <s v="V-US"/>
    <x v="0"/>
    <s v="AN8KIT-WH_4X10K05_TZ"/>
    <n v="300"/>
    <s v="嘀嗒嘀"/>
    <s v="盐田海卡"/>
    <s v="TCY2"/>
    <x v="111"/>
    <s v="AN8KIT-WH_4X10K05_TZ AN8白色机器+4x10mL（天竺）酒店香氛油 机油套装"/>
    <x v="4"/>
    <n v="10"/>
    <n v="158.29268292682929"/>
    <s v="重量收费"/>
    <n v="4.0999999999999996"/>
    <n v="200"/>
    <n v="7.0671378091872787"/>
    <n v="656.06713780918733"/>
    <n v="2.186890459363958"/>
    <n v="0.32640156109909818"/>
    <m/>
    <m/>
    <m/>
    <x v="23"/>
    <d v="2026-05-03T00:00:00"/>
    <m/>
    <n v="0.44"/>
    <n v="132"/>
    <d v="2026-05-17T00:00:00"/>
    <n v="37"/>
    <m/>
    <m/>
    <m/>
    <m/>
    <m/>
    <m/>
    <m/>
  </r>
  <r>
    <m/>
    <s v="W15003"/>
    <s v="FBA199V98MJG"/>
    <s v="V-US"/>
    <x v="0"/>
    <s v="ANXKIT-GD_RZ30ml"/>
    <n v="90"/>
    <s v="嘀嗒嘀"/>
    <s v="盐田海卡"/>
    <s v="TCY2"/>
    <x v="127"/>
    <s v="ANXKIT-GD_RZ30ml ANX金色机器+30mL丽思香氛油 机油套装"/>
    <x v="1"/>
    <n v="3"/>
    <n v="47.487804878048784"/>
    <s v="重量收费"/>
    <n v="4.0999999999999996"/>
    <m/>
    <n v="2.1201413427561837"/>
    <n v="196.82014134275616"/>
    <n v="2.1868904593639575"/>
    <n v="0.32640156109909813"/>
    <m/>
    <m/>
    <m/>
    <x v="23"/>
    <d v="2026-05-03T00:00:00"/>
    <m/>
    <n v="0.44"/>
    <n v="39.6"/>
    <d v="2026-05-17T00:00:00"/>
    <n v="37"/>
    <m/>
    <m/>
    <m/>
    <m/>
    <m/>
    <m/>
    <m/>
  </r>
  <r>
    <m/>
    <s v="W15006"/>
    <s v="FBA199WVYDVD"/>
    <s v="E-US"/>
    <x v="0"/>
    <s v="001000046"/>
    <n v="180"/>
    <s v="万邦"/>
    <s v="以星海卡"/>
    <s v="GEU2"/>
    <x v="92"/>
    <s v="ANX-SILV 便携式扩香仪 银色"/>
    <x v="1"/>
    <n v="6"/>
    <n v="75"/>
    <s v="重量收费"/>
    <n v="5.2"/>
    <n v="200"/>
    <n v="200"/>
    <n v="590"/>
    <n v="3.2777777777777777"/>
    <n v="0.48922056384742951"/>
    <m/>
    <m/>
    <m/>
    <x v="22"/>
    <d v="2026-04-28T00:00:00"/>
    <m/>
    <n v="0.44"/>
    <n v="79.2"/>
    <d v="2026-05-09T00:00:00"/>
    <n v="28"/>
    <m/>
    <m/>
    <m/>
    <m/>
    <m/>
    <m/>
    <m/>
  </r>
  <r>
    <m/>
    <s v="W15007"/>
    <s v="FBA199WX2PW7"/>
    <s v="E-US"/>
    <x v="0"/>
    <s v="001000045"/>
    <n v="180"/>
    <s v="万邦"/>
    <s v="盐田海卡"/>
    <s v="GEU2"/>
    <x v="1"/>
    <s v="ANX-B 便携式扩香仪 黑色"/>
    <x v="1"/>
    <n v="6"/>
    <n v="81.443571428571431"/>
    <s v="重量收费"/>
    <n v="4"/>
    <n v="200"/>
    <n v="10.434782608695652"/>
    <n v="336.20906832298135"/>
    <n v="1.8678281573498965"/>
    <n v="0.27878032199252184"/>
    <m/>
    <m/>
    <m/>
    <x v="22"/>
    <d v="2026-05-05T00:00:00"/>
    <m/>
    <n v="0.36660550458715596"/>
    <n v="65.988990825688077"/>
    <d v="2026-05-13T00:00:00"/>
    <n v="32"/>
    <m/>
    <m/>
    <m/>
    <m/>
    <m/>
    <m/>
    <m/>
  </r>
  <r>
    <m/>
    <s v="W15007"/>
    <s v="FBA199WX2PW7"/>
    <s v="E-US"/>
    <x v="0"/>
    <s v="ANZ-B"/>
    <n v="1400"/>
    <s v="万邦"/>
    <s v="盐田海卡"/>
    <s v="GEU2"/>
    <x v="0"/>
    <s v="ANZ-B 便携式扩香仪 黑色"/>
    <x v="0"/>
    <n v="35"/>
    <n v="475.08749999999998"/>
    <s v="重量收费"/>
    <n v="4"/>
    <n v="200"/>
    <n v="60.869565217391305"/>
    <n v="1961.2195652173912"/>
    <n v="1.4008711180124223"/>
    <n v="0.20908524149439137"/>
    <m/>
    <m/>
    <m/>
    <x v="22"/>
    <d v="2026-05-05T00:00:00"/>
    <m/>
    <n v="0.36660550458715596"/>
    <n v="513.24770642201838"/>
    <d v="2026-05-13T00:00:00"/>
    <n v="32"/>
    <m/>
    <m/>
    <m/>
    <m/>
    <m/>
    <m/>
    <m/>
  </r>
  <r>
    <m/>
    <s v="W15007"/>
    <s v="FBA199WX2PW7"/>
    <s v="E-US"/>
    <x v="0"/>
    <s v="ANZ-WH"/>
    <n v="600"/>
    <s v="万邦"/>
    <s v="盐田海卡"/>
    <s v="GEU2"/>
    <x v="53"/>
    <s v="ANZ-WH 便携式扩香仪 白色"/>
    <x v="0"/>
    <n v="15"/>
    <n v="203.60892857142855"/>
    <s v="重量收费"/>
    <n v="4"/>
    <n v="200"/>
    <n v="26.086956521739129"/>
    <n v="840.52267080745332"/>
    <n v="1.4008711180124223"/>
    <n v="0.20908524149439137"/>
    <m/>
    <m/>
    <m/>
    <x v="22"/>
    <d v="2026-05-05T00:00:00"/>
    <m/>
    <n v="0.36660550458715596"/>
    <n v="219.96330275229357"/>
    <d v="2026-05-13T00:00:00"/>
    <n v="32"/>
    <m/>
    <m/>
    <m/>
    <m/>
    <m/>
    <m/>
    <m/>
  </r>
  <r>
    <m/>
    <s v="W15003"/>
    <s v="FBA199WV8JXK"/>
    <s v="E-US"/>
    <x v="0"/>
    <s v="ANZKIT-B_4X10K04_TZ"/>
    <n v="420"/>
    <s v="嘀嗒嘀"/>
    <s v="盐田海卡"/>
    <s v="TCY1"/>
    <x v="38"/>
    <s v="ANZKIT-B_4X10K04_TZ ANZ黑色机器+4x10mL酒店（天竺）香氛油 机油套装"/>
    <x v="0"/>
    <n v="14"/>
    <n v="223"/>
    <s v="重量收费"/>
    <n v="4.0999999999999996"/>
    <n v="200"/>
    <n v="9.8939929328621901"/>
    <n v="924.1939929328621"/>
    <n v="2.2004618879353859"/>
    <n v="0.32842714745304263"/>
    <m/>
    <m/>
    <m/>
    <x v="23"/>
    <d v="2026-05-03T00:00:00"/>
    <m/>
    <n v="0.44"/>
    <n v="184.8"/>
    <d v="2026-05-20T00:00:00"/>
    <n v="40"/>
    <m/>
    <m/>
    <m/>
    <m/>
    <m/>
    <m/>
    <m/>
  </r>
  <r>
    <m/>
    <s v="W15003"/>
    <s v="FBA199X2YQJT"/>
    <s v="W-US"/>
    <x v="0"/>
    <s v="G1-B"/>
    <n v="576"/>
    <s v="嘀嗒嘀"/>
    <s v="盐田海卡"/>
    <s v="MIT2"/>
    <x v="63"/>
    <s v="G1-B 电子球形把手锁 黑色"/>
    <x v="12"/>
    <n v="36"/>
    <n v="501.27272727272725"/>
    <s v="重量收费"/>
    <n v="3.6"/>
    <n v="200"/>
    <n v="25.441696113074205"/>
    <n v="1830.0235142948923"/>
    <n v="3.1771241567619657"/>
    <n v="0.47419763533760678"/>
    <m/>
    <m/>
    <m/>
    <x v="23"/>
    <d v="2026-05-03T00:00:00"/>
    <m/>
    <n v="0.56000000000000005"/>
    <n v="322.56000000000006"/>
    <d v="2026-05-20T00:00:00"/>
    <n v="40"/>
    <m/>
    <m/>
    <m/>
    <m/>
    <m/>
    <m/>
    <m/>
  </r>
  <r>
    <m/>
    <s v="W15003"/>
    <s v="FBA199X2YQJT"/>
    <s v="W-US"/>
    <x v="0"/>
    <s v="G1-SILV"/>
    <n v="112"/>
    <s v="嘀嗒嘀"/>
    <s v="盐田海卡"/>
    <s v="MIT2"/>
    <x v="65"/>
    <s v="G1-SILV 电子球形把手锁 银色"/>
    <x v="12"/>
    <n v="7"/>
    <n v="97.469696969696969"/>
    <s v="重量收费"/>
    <n v="3.6"/>
    <m/>
    <n v="4.946996466431095"/>
    <n v="355.83790555734015"/>
    <n v="3.1771241567619657"/>
    <n v="0.47419763533760678"/>
    <m/>
    <m/>
    <m/>
    <x v="23"/>
    <d v="2026-05-03T00:00:00"/>
    <m/>
    <n v="0.56000000000000005"/>
    <n v="62.720000000000006"/>
    <d v="2026-05-20T00:00:00"/>
    <n v="40"/>
    <m/>
    <m/>
    <m/>
    <m/>
    <m/>
    <m/>
    <m/>
  </r>
  <r>
    <m/>
    <s v="W15003"/>
    <s v="FBA199X2YQJT"/>
    <s v="W-US"/>
    <x v="0"/>
    <s v="002000029"/>
    <n v="160"/>
    <s v="嘀嗒嘀"/>
    <s v="盐田海卡"/>
    <s v="MIT2"/>
    <x v="81"/>
    <s v="MD1-B 电子球形把手锁 指纹 黑色"/>
    <x v="19"/>
    <n v="10"/>
    <n v="139.24242424242425"/>
    <s v="重量收费"/>
    <n v="3.6"/>
    <m/>
    <n v="7.0671378091872787"/>
    <n v="508.33986508191458"/>
    <n v="3.1771241567619661"/>
    <n v="0.47419763533760689"/>
    <m/>
    <m/>
    <m/>
    <x v="23"/>
    <d v="2026-05-03T00:00:00"/>
    <m/>
    <n v="0.56000000000000005"/>
    <n v="89.600000000000009"/>
    <d v="2026-05-20T00:00:00"/>
    <n v="40"/>
    <m/>
    <m/>
    <m/>
    <m/>
    <m/>
    <m/>
    <m/>
  </r>
  <r>
    <m/>
    <s v="W15003"/>
    <s v="FBA199X2YQJT"/>
    <s v="W-US"/>
    <x v="0"/>
    <s v="002000038"/>
    <n v="80"/>
    <s v="嘀嗒嘀"/>
    <s v="盐田海卡"/>
    <s v="MIT2"/>
    <x v="82"/>
    <s v="MD1-SILV 电子球形把手锁 指纹 银色"/>
    <x v="19"/>
    <n v="5"/>
    <n v="69.621212121212125"/>
    <s v="重量收费"/>
    <n v="3.6"/>
    <m/>
    <n v="3.5335689045936394"/>
    <n v="254.16993254095729"/>
    <n v="3.1771241567619661"/>
    <n v="0.47419763533760689"/>
    <m/>
    <m/>
    <m/>
    <x v="23"/>
    <d v="2026-05-03T00:00:00"/>
    <m/>
    <n v="0.56000000000000005"/>
    <n v="44.800000000000004"/>
    <d v="2026-05-20T00:00:00"/>
    <n v="40"/>
    <m/>
    <m/>
    <m/>
    <m/>
    <m/>
    <m/>
    <m/>
  </r>
  <r>
    <m/>
    <s v="W15003"/>
    <s v="FBA199X2YQJT"/>
    <s v="W-US"/>
    <x v="0"/>
    <s v="002000030"/>
    <n v="48"/>
    <s v="嘀嗒嘀"/>
    <s v="盐田海卡"/>
    <s v="MIT2"/>
    <x v="83"/>
    <s v="MD1-T 电子球形把手锁 指纹 钛灰色"/>
    <x v="19"/>
    <n v="3"/>
    <n v="41.772727272727273"/>
    <s v="重量收费"/>
    <n v="3.6"/>
    <m/>
    <n v="2.1201413427561837"/>
    <n v="152.50195952457435"/>
    <n v="3.1771241567619657"/>
    <n v="0.47419763533760678"/>
    <m/>
    <m/>
    <m/>
    <x v="23"/>
    <d v="2026-05-03T00:00:00"/>
    <m/>
    <n v="0.56000000000000005"/>
    <n v="26.880000000000003"/>
    <d v="2026-05-20T00:00:00"/>
    <n v="40"/>
    <m/>
    <m/>
    <m/>
    <m/>
    <m/>
    <m/>
    <m/>
  </r>
  <r>
    <m/>
    <s v="W15003"/>
    <s v="FBA199X2YQJT"/>
    <s v="W-US"/>
    <x v="0"/>
    <s v="002000031"/>
    <n v="80"/>
    <s v="嘀嗒嘀"/>
    <s v="盐田海卡"/>
    <s v="MIT2"/>
    <x v="84"/>
    <s v="MK1-B 智能球形把手锁 黑色"/>
    <x v="20"/>
    <n v="5"/>
    <n v="69.621212121212125"/>
    <s v="重量收费"/>
    <n v="3.6"/>
    <m/>
    <n v="3.5335689045936394"/>
    <n v="254.16993254095729"/>
    <n v="3.1771241567619661"/>
    <n v="0.47419763533760689"/>
    <m/>
    <m/>
    <m/>
    <x v="23"/>
    <d v="2026-05-03T00:00:00"/>
    <m/>
    <n v="0.56000000000000005"/>
    <n v="44.800000000000004"/>
    <d v="2026-05-20T00:00:00"/>
    <n v="40"/>
    <m/>
    <m/>
    <m/>
    <m/>
    <m/>
    <m/>
    <m/>
  </r>
  <r>
    <m/>
    <s v="W15003"/>
    <s v="FBA199V40XDQ"/>
    <s v="V-US"/>
    <x v="0"/>
    <s v="ANAKIT-WH_US_2X100K03"/>
    <n v="396"/>
    <s v="嘀嗒嘀"/>
    <s v="盐田海卡"/>
    <s v="TCY2"/>
    <x v="43"/>
    <s v="ANAKIT-WH_US_2X100K03 ANA白色机器+2X100mL酒店香氛油（天竺） 机油套装"/>
    <x v="9"/>
    <n v="33"/>
    <n v="568.5625"/>
    <s v="重量收费"/>
    <n v="4.0999999999999996"/>
    <m/>
    <n v="23.32155477031802"/>
    <n v="2354.4278047703178"/>
    <n v="5.945524759521005"/>
    <n v="0.88739175515238877"/>
    <m/>
    <m/>
    <m/>
    <x v="23"/>
    <d v="2026-05-03T00:00:00"/>
    <m/>
    <n v="0.56000000000000005"/>
    <n v="221.76000000000002"/>
    <d v="2026-05-17T00:00:00"/>
    <n v="37"/>
    <m/>
    <m/>
    <m/>
    <m/>
    <m/>
    <m/>
    <m/>
  </r>
  <r>
    <m/>
    <s v="W15003"/>
    <s v="FBA199V40XDQ"/>
    <s v="V-US"/>
    <x v="0"/>
    <s v="ANWKIT-B_US_2X100K03"/>
    <n v="180"/>
    <s v="嘀嗒嘀"/>
    <s v="盐田海卡"/>
    <s v="TCY2"/>
    <x v="120"/>
    <s v="ANWKIT-B_US_2X100K03 ANW黑色机器+2X100mL酒店香氛油（天竺） 机油套装"/>
    <x v="10"/>
    <n v="15"/>
    <n v="258.4375"/>
    <s v="重量收费"/>
    <n v="4.0999999999999996"/>
    <m/>
    <n v="10.600706713780919"/>
    <n v="1070.1944567137809"/>
    <n v="5.945524759521005"/>
    <n v="0.88739175515238877"/>
    <m/>
    <m/>
    <m/>
    <x v="23"/>
    <d v="2026-05-03T00:00:00"/>
    <m/>
    <n v="0.56000000000000005"/>
    <n v="100.80000000000001"/>
    <d v="2026-05-17T00:00:00"/>
    <n v="37"/>
    <m/>
    <m/>
    <m/>
    <m/>
    <m/>
    <m/>
    <m/>
  </r>
  <r>
    <m/>
    <s v="W15003"/>
    <s v="FBA199V5RZPW"/>
    <s v="V-US"/>
    <x v="0"/>
    <s v="001000032"/>
    <n v="240"/>
    <s v="嘀嗒嘀"/>
    <s v="盐田海卡"/>
    <s v="GEU2"/>
    <x v="40"/>
    <s v="ANW-B 智能扩香仪 黑色"/>
    <x v="10"/>
    <n v="20"/>
    <n v="283.125"/>
    <s v="重量收费"/>
    <n v="4.8"/>
    <m/>
    <n v="14.134275618374557"/>
    <n v="1373.1342756183747"/>
    <n v="5.7213928150765607"/>
    <n v="0.85393922613082995"/>
    <m/>
    <m/>
    <m/>
    <x v="23"/>
    <d v="2026-05-03T00:00:00"/>
    <m/>
    <n v="0.47167155425219942"/>
    <n v="113.20117302052786"/>
    <d v="2026-05-22T00:00:00"/>
    <n v="42"/>
    <m/>
    <m/>
    <m/>
    <m/>
    <m/>
    <m/>
    <m/>
  </r>
  <r>
    <m/>
    <s v="W15003"/>
    <s v="FBA199V5RZPW"/>
    <s v="V-US"/>
    <x v="0"/>
    <s v="ANP-W_US"/>
    <n v="352"/>
    <s v="嘀嗒嘀"/>
    <s v="盐田海卡"/>
    <s v="GEU2"/>
    <x v="115"/>
    <s v="ANP-W_US 墙插式智能扩香仪 白色"/>
    <x v="26"/>
    <n v="11"/>
    <n v="155.71875"/>
    <s v="重量收费"/>
    <n v="4.8"/>
    <m/>
    <n v="7.7738515901060072"/>
    <n v="755.22385159010594"/>
    <n v="2.14552230565371"/>
    <n v="0.32022720979906122"/>
    <m/>
    <m/>
    <m/>
    <x v="23"/>
    <d v="2026-05-03T00:00:00"/>
    <m/>
    <n v="0.47167155425219942"/>
    <n v="166.0283870967742"/>
    <d v="2026-05-22T00:00:00"/>
    <n v="42"/>
    <m/>
    <m/>
    <m/>
    <m/>
    <m/>
    <m/>
    <m/>
  </r>
  <r>
    <m/>
    <s v="W15003"/>
    <s v="FBA199V5RZPW"/>
    <s v="V-US"/>
    <x v="0"/>
    <s v="001000057"/>
    <n v="90"/>
    <s v="嘀嗒嘀"/>
    <s v="盐田海卡"/>
    <s v="GEU2"/>
    <x v="128"/>
    <s v="ANW-Bbot ANW带盖瓶子 黑喷头"/>
    <x v="28"/>
    <n v="1"/>
    <n v="14.15625"/>
    <s v="重量收费"/>
    <n v="4.8"/>
    <m/>
    <n v="0.70671378091872794"/>
    <n v="68.656713780918736"/>
    <n v="0.76285237534354156"/>
    <n v="0.11385856348411068"/>
    <m/>
    <m/>
    <m/>
    <x v="23"/>
    <d v="2026-05-03T00:00:00"/>
    <m/>
    <n v="0.47167155425219942"/>
    <n v="42.45043988269795"/>
    <d v="2026-05-22T00:00:00"/>
    <n v="42"/>
    <m/>
    <m/>
    <m/>
    <m/>
    <m/>
    <m/>
    <m/>
  </r>
  <r>
    <m/>
    <s v="W15002"/>
    <s v="FBA15LMGRQ7F"/>
    <s v="W-DE"/>
    <x v="1"/>
    <s v="ANA-WH_EU"/>
    <n v="144"/>
    <s v="万邦"/>
    <s v="欧洲海卡"/>
    <s v="BER8"/>
    <x v="39"/>
    <s v="ANA-WH_EU 智能扩香仪 欧规 白色"/>
    <x v="9"/>
    <n v="12"/>
    <n v="178"/>
    <s v="重量收费"/>
    <n v="7.4"/>
    <n v="250"/>
    <n v="250"/>
    <n v="1567.2"/>
    <n v="10.883333333333333"/>
    <n v="1.6243781094527363"/>
    <m/>
    <m/>
    <m/>
    <x v="23"/>
    <d v="2026-05-21T00:00:00"/>
    <m/>
    <n v="0"/>
    <n v="0"/>
    <m/>
    <n v="-46122"/>
    <m/>
    <m/>
    <m/>
    <m/>
    <m/>
    <m/>
    <m/>
  </r>
  <r>
    <m/>
    <s v="W15004"/>
    <s v="FBA199WG4JL3"/>
    <s v="V-US"/>
    <x v="0"/>
    <s v="006000024"/>
    <n v="450"/>
    <s v="天盛"/>
    <s v="盐田海卡"/>
    <s v="GEU2"/>
    <x v="46"/>
    <s v="A-Ritz Carlton Hotel 3-100 丽思卡尔顿酒店3香氛油100mL"/>
    <x v="11"/>
    <n v="5"/>
    <n v="101.67"/>
    <s v="重量收费"/>
    <n v="6.2"/>
    <n v="180"/>
    <n v="100"/>
    <n v="730.35400000000004"/>
    <n v="1.6230088888888889"/>
    <n v="0.24224013266998343"/>
    <m/>
    <m/>
    <m/>
    <x v="23"/>
    <d v="2026-05-02T00:00:00"/>
    <m/>
    <n v="0.36"/>
    <n v="162"/>
    <d v="2026-05-09T00:00:00"/>
    <n v="29"/>
    <m/>
    <m/>
    <m/>
    <m/>
    <m/>
    <m/>
    <m/>
  </r>
  <r>
    <m/>
    <s v="W15004"/>
    <s v="FBA199TT251G"/>
    <s v="E-US"/>
    <x v="0"/>
    <s v="HOTEL6KIT1-6X10K01"/>
    <n v="228"/>
    <s v="天盛"/>
    <s v="盐田海卡"/>
    <s v="GEU2"/>
    <x v="45"/>
    <s v="HOTEL6KIT1-6X10K01 酒店香氛油6款10mL套装"/>
    <x v="11"/>
    <n v="3"/>
    <n v="60.997500000000002"/>
    <s v="重量收费"/>
    <n v="6.2"/>
    <n v="180"/>
    <n v="60"/>
    <n v="438.18450000000001"/>
    <n v="1.9218618421052631"/>
    <n v="0.28684505106048702"/>
    <m/>
    <m/>
    <m/>
    <x v="23"/>
    <d v="2026-05-02T00:00:00"/>
    <m/>
    <n v="0.36"/>
    <n v="82.08"/>
    <d v="2026-05-09T00:00:00"/>
    <n v="29"/>
    <m/>
    <m/>
    <m/>
    <m/>
    <m/>
    <m/>
    <m/>
  </r>
  <r>
    <m/>
    <s v="W15004"/>
    <s v="FBA199TT251G"/>
    <s v="E-US"/>
    <x v="0"/>
    <s v="JY-100ML"/>
    <n v="90"/>
    <s v="天盛"/>
    <s v="盐田海卡"/>
    <s v="GEU2"/>
    <x v="49"/>
    <s v="A-Grand Hyatt Hotel-100 君悦酒店香氛油100mL"/>
    <x v="11"/>
    <n v="1"/>
    <n v="20.3325"/>
    <s v="重量收费"/>
    <n v="6.2"/>
    <m/>
    <n v="20"/>
    <n v="146.0615"/>
    <n v="1.6229055555555556"/>
    <n v="0.24222470978441127"/>
    <m/>
    <m/>
    <m/>
    <x v="23"/>
    <d v="2026-05-02T00:00:00"/>
    <m/>
    <n v="0.36"/>
    <n v="32.4"/>
    <d v="2026-05-09T00:00:00"/>
    <n v="29"/>
    <m/>
    <m/>
    <m/>
    <m/>
    <m/>
    <m/>
    <m/>
  </r>
  <r>
    <m/>
    <s v="W15005"/>
    <s v="FBA199WTFJB1"/>
    <s v="E-US"/>
    <x v="0"/>
    <s v="BCRT1-100ML_TZ"/>
    <n v="256"/>
    <s v="天盛"/>
    <s v="盐田海卡"/>
    <s v="TCY1"/>
    <x v="62"/>
    <s v="BCRT1-100ML_TZ 巴卡拉酒店100mL香氛油（天竺） 销售包装"/>
    <x v="6"/>
    <n v="4"/>
    <n v="59.272727272727273"/>
    <s v="重量收费"/>
    <n v="6.3"/>
    <n v="180"/>
    <n v="65.454545454545453"/>
    <n v="438.87272727272727"/>
    <n v="1.7143465909090909"/>
    <n v="0.25587262550881951"/>
    <m/>
    <m/>
    <m/>
    <x v="23"/>
    <d v="2026-05-05T00:00:00"/>
    <m/>
    <n v="0.36"/>
    <n v="92.16"/>
    <d v="2026-05-17T00:00:00"/>
    <n v="37"/>
    <m/>
    <m/>
    <m/>
    <m/>
    <m/>
    <m/>
    <m/>
  </r>
  <r>
    <m/>
    <s v="W15005"/>
    <s v="FBA199WTFJB1"/>
    <s v="E-US"/>
    <x v="0"/>
    <s v="W1-100ML_TZ"/>
    <n v="256"/>
    <s v="天盛"/>
    <s v="盐田海卡"/>
    <s v="TCY1"/>
    <x v="24"/>
    <s v="W1-100ML_TZ W酒店100mL香氛油（天竺） 销售包装"/>
    <x v="6"/>
    <n v="4"/>
    <n v="59.272727272727273"/>
    <s v="重量收费"/>
    <n v="6.3"/>
    <n v="180"/>
    <n v="65.454545454545453"/>
    <n v="438.87272727272727"/>
    <n v="1.7143465909090909"/>
    <n v="0.25587262550881951"/>
    <m/>
    <m/>
    <m/>
    <x v="23"/>
    <d v="2026-05-05T00:00:00"/>
    <m/>
    <n v="0.36"/>
    <n v="92.16"/>
    <d v="2026-05-17T00:00:00"/>
    <n v="37"/>
    <m/>
    <m/>
    <m/>
    <m/>
    <m/>
    <m/>
    <m/>
  </r>
  <r>
    <m/>
    <s v="W15005"/>
    <s v="FBA199WTFJB1"/>
    <s v="E-US"/>
    <x v="0"/>
    <s v="HILTON1-100ML_TZ"/>
    <n v="128"/>
    <s v="天盛"/>
    <s v="盐田海卡"/>
    <s v="TCY1"/>
    <x v="61"/>
    <s v="HILTON1-100ML_TZ 希尔顿酒店100mL香氛油（天竺） 销售包装"/>
    <x v="6"/>
    <n v="2"/>
    <n v="29.636363636363637"/>
    <s v="重量收费"/>
    <n v="6.3"/>
    <m/>
    <n v="32.727272727272727"/>
    <n v="219.43636363636364"/>
    <n v="1.7143465909090909"/>
    <n v="0.25587262550881951"/>
    <m/>
    <m/>
    <m/>
    <x v="23"/>
    <d v="2026-05-05T00:00:00"/>
    <m/>
    <n v="0.36"/>
    <n v="46.08"/>
    <d v="2026-05-17T00:00:00"/>
    <n v="37"/>
    <m/>
    <m/>
    <m/>
    <m/>
    <m/>
    <m/>
    <m/>
  </r>
  <r>
    <m/>
    <s v="W15005"/>
    <s v="FBA199WTFJB1"/>
    <s v="E-US"/>
    <x v="0"/>
    <s v="YH1-100ML_TZ"/>
    <n v="64"/>
    <s v="天盛"/>
    <s v="盐田海卡"/>
    <s v="TCY1"/>
    <x v="89"/>
    <s v="YH1-100ML_TZ 樱花100mL香氛油（天竺）销售包装"/>
    <x v="6"/>
    <n v="1"/>
    <n v="14.818181818181818"/>
    <s v="重量收费"/>
    <n v="6.3"/>
    <m/>
    <n v="16.363636363636363"/>
    <n v="109.71818181818182"/>
    <n v="1.7143465909090909"/>
    <n v="0.25587262550881951"/>
    <m/>
    <m/>
    <m/>
    <x v="23"/>
    <d v="2026-05-05T00:00:00"/>
    <m/>
    <n v="0.36"/>
    <n v="23.04"/>
    <d v="2026-05-17T00:00:00"/>
    <n v="37"/>
    <m/>
    <m/>
    <m/>
    <m/>
    <m/>
    <m/>
    <m/>
  </r>
  <r>
    <m/>
    <s v="W15008"/>
    <s v="FBA199V32GNW"/>
    <s v="E-US"/>
    <x v="0"/>
    <s v="008000002"/>
    <n v="70"/>
    <s v="国润通"/>
    <s v="盐田海卡"/>
    <s v="TCY2"/>
    <x v="129"/>
    <s v="ES1-B 电动泡沫喷机 黑色"/>
    <x v="29"/>
    <n v="1"/>
    <n v="13.25"/>
    <s v="重量收费"/>
    <n v="4.3"/>
    <n v="200"/>
    <n v="10"/>
    <n v="66.974999999999994"/>
    <n v="0.95678571428571424"/>
    <n v="0.14280383795309168"/>
    <m/>
    <m/>
    <m/>
    <x v="22"/>
    <d v="2026-05-02T00:00:00"/>
    <m/>
    <n v="0.40799999999999997"/>
    <n v="28.56"/>
    <d v="2026-05-09T00:00:00"/>
    <n v="28"/>
    <m/>
    <m/>
    <m/>
    <m/>
    <m/>
    <m/>
    <m/>
  </r>
  <r>
    <m/>
    <s v="W15008"/>
    <s v="FBA199V32GNW"/>
    <s v="E-US"/>
    <x v="0"/>
    <s v="008000005"/>
    <n v="288"/>
    <s v="国润通"/>
    <s v="盐田海卡"/>
    <s v="TCY2"/>
    <x v="130"/>
    <s v="ES1-Bkit 电动泡沫喷机黑色 托架 硅胶刷 套装"/>
    <x v="29"/>
    <n v="12"/>
    <n v="159"/>
    <s v="重量收费"/>
    <n v="4.3"/>
    <n v="200"/>
    <n v="120"/>
    <n v="803.69999999999993"/>
    <n v="2.7906249999999999"/>
    <n v="0.41651119402985071"/>
    <m/>
    <m/>
    <m/>
    <x v="22"/>
    <d v="2026-05-02T00:00:00"/>
    <m/>
    <n v="0.40799999999999997"/>
    <n v="117.50399999999999"/>
    <d v="2026-05-09T00:00:00"/>
    <n v="28"/>
    <m/>
    <m/>
    <m/>
    <m/>
    <m/>
    <m/>
    <m/>
  </r>
  <r>
    <m/>
    <s v="W15008"/>
    <s v="FBA199V32GNW"/>
    <s v="E-US"/>
    <x v="0"/>
    <s v="ES1KIT-W_W"/>
    <n v="120"/>
    <s v="国润通"/>
    <s v="盐田海卡"/>
    <s v="TCY2"/>
    <x v="131"/>
    <s v="ES1KIT-W_W 电动泡沫喷机 白色 两个装"/>
    <x v="29"/>
    <n v="5"/>
    <n v="66.25"/>
    <s v="重量收费"/>
    <n v="4.3"/>
    <m/>
    <n v="50"/>
    <n v="334.875"/>
    <n v="2.7906249999999999"/>
    <n v="0.41651119402985071"/>
    <m/>
    <m/>
    <m/>
    <x v="22"/>
    <d v="2026-05-02T00:00:00"/>
    <m/>
    <n v="0.40799999999999997"/>
    <n v="48.959999999999994"/>
    <d v="2026-05-09T00:00:00"/>
    <n v="28"/>
    <m/>
    <m/>
    <m/>
    <m/>
    <m/>
    <m/>
    <m/>
  </r>
  <r>
    <m/>
    <s v="W15008"/>
    <s v="FBA199V32GNW"/>
    <s v="E-US"/>
    <x v="0"/>
    <s v="008000002"/>
    <n v="29"/>
    <s v="国润通"/>
    <s v="盐田海卡"/>
    <s v="TCY2"/>
    <x v="129"/>
    <s v="ES1-B 电动泡沫喷机 黑色"/>
    <x v="29"/>
    <n v="0.5"/>
    <n v="6.625"/>
    <s v="重量收费"/>
    <n v="4.3"/>
    <m/>
    <n v="5"/>
    <n v="33.487499999999997"/>
    <n v="1.1547413793103447"/>
    <n v="0.17234945959855891"/>
    <m/>
    <m/>
    <m/>
    <x v="22"/>
    <d v="2026-05-02T00:00:00"/>
    <m/>
    <n v="0.40799999999999997"/>
    <n v="11.831999999999999"/>
    <d v="2026-05-09T00:00:00"/>
    <n v="28"/>
    <m/>
    <m/>
    <m/>
    <m/>
    <m/>
    <m/>
    <m/>
  </r>
  <r>
    <m/>
    <s v="W15008"/>
    <s v="FBA199V32GNW"/>
    <s v="E-US"/>
    <x v="0"/>
    <s v="ES1-W"/>
    <n v="33"/>
    <s v="国润通"/>
    <s v="盐田海卡"/>
    <s v="TCY2"/>
    <x v="132"/>
    <s v="ES1-W 电动泡沫喷机（202602新） 白色"/>
    <x v="29"/>
    <n v="0.5"/>
    <n v="6.625"/>
    <s v="重量收费"/>
    <n v="4.3"/>
    <m/>
    <n v="5"/>
    <n v="33.487499999999997"/>
    <n v="1.0147727272727272"/>
    <n v="0.15145861601085481"/>
    <m/>
    <m/>
    <m/>
    <x v="22"/>
    <d v="2026-05-02T00:00:00"/>
    <m/>
    <n v="0.40799999999999997"/>
    <n v="13.463999999999999"/>
    <d v="2026-05-09T00:00:00"/>
    <n v="28"/>
    <m/>
    <m/>
    <m/>
    <m/>
    <m/>
    <m/>
    <m/>
  </r>
  <r>
    <m/>
    <s v="W15001"/>
    <s v="FBA199WGX66P"/>
    <s v="K-US"/>
    <x v="0"/>
    <s v="ES1KIT-W_W"/>
    <n v="408"/>
    <s v="万邦"/>
    <s v="盐田海卡"/>
    <s v="GEU2"/>
    <x v="131"/>
    <s v="ES1KIT-W_W 电动泡沫喷机 白色 两个装"/>
    <x v="29"/>
    <n v="17"/>
    <n v="201"/>
    <s v="重量收费"/>
    <n v="5"/>
    <n v="200"/>
    <n v="69.387755102040813"/>
    <n v="1074.3877551020407"/>
    <n v="2.6333033213285311"/>
    <n v="0.3930303464669449"/>
    <m/>
    <m/>
    <m/>
    <x v="22"/>
    <d v="2026-05-05T00:00:00"/>
    <m/>
    <n v="0.36"/>
    <n v="146.88"/>
    <d v="2026-05-12T00:00:00"/>
    <n v="31"/>
    <m/>
    <m/>
    <m/>
    <m/>
    <m/>
    <m/>
    <m/>
  </r>
  <r>
    <m/>
    <s v="W15008"/>
    <s v="FBA199TTG21T"/>
    <s v="W-US"/>
    <x v="0"/>
    <s v="ES1-W"/>
    <n v="70"/>
    <s v="国润通"/>
    <s v="盐田海卡"/>
    <s v="TCY2"/>
    <x v="132"/>
    <s v="ES1-W 电动泡沫喷机（202602新） 白色"/>
    <x v="29"/>
    <n v="1"/>
    <n v="13.25"/>
    <s v="重量收费"/>
    <n v="4.3"/>
    <n v="200"/>
    <n v="10"/>
    <n v="66.974999999999994"/>
    <n v="0.95678571428571424"/>
    <n v="0.14280383795309168"/>
    <m/>
    <m/>
    <m/>
    <x v="22"/>
    <d v="2026-05-02T00:00:00"/>
    <m/>
    <n v="0.36"/>
    <n v="25.2"/>
    <d v="2026-05-09T00:00:00"/>
    <n v="28"/>
    <m/>
    <m/>
    <m/>
    <m/>
    <m/>
    <m/>
    <m/>
  </r>
  <r>
    <m/>
    <s v="W16006"/>
    <s v="FBA19B9KJ2QH"/>
    <s v="E-US"/>
    <x v="0"/>
    <s v="001000045"/>
    <n v="390"/>
    <s v="嘀嗒嘀"/>
    <s v="盐田海卡"/>
    <s v="TCY2"/>
    <x v="1"/>
    <s v="ANX-B 便携式扩香仪 黑色"/>
    <x v="1"/>
    <n v="13"/>
    <n v="161.65217391304347"/>
    <s v="重量收费"/>
    <n v="4.2"/>
    <n v="200"/>
    <n v="96.296296296296291"/>
    <n v="775.23542673107886"/>
    <n v="1.9877831454643047"/>
    <n v="0.29668405156183653"/>
    <m/>
    <m/>
    <m/>
    <x v="24"/>
    <d v="2026-05-10T00:00:00"/>
    <m/>
    <n v="0.41837837837837843"/>
    <n v="163.1675675675676"/>
    <d v="2026-05-22T00:00:00"/>
    <n v="35"/>
    <m/>
    <m/>
    <m/>
    <m/>
    <m/>
    <m/>
    <m/>
  </r>
  <r>
    <m/>
    <s v="W16006"/>
    <s v="FBA19B9KJ2QH"/>
    <s v="E-US"/>
    <x v="0"/>
    <s v="001000052"/>
    <n v="150"/>
    <s v="嘀嗒嘀"/>
    <s v="盐田海卡"/>
    <s v="TCY2"/>
    <x v="37"/>
    <s v="ANX-DT 便携式扩香仪 沙漠钛色"/>
    <x v="1"/>
    <n v="5"/>
    <n v="62.173913043478265"/>
    <s v="重量收费"/>
    <n v="4.2"/>
    <n v="200"/>
    <n v="37.037037037037038"/>
    <n v="298.16747181964581"/>
    <n v="1.9877831454643053"/>
    <n v="0.29668405156183664"/>
    <m/>
    <m/>
    <m/>
    <x v="24"/>
    <d v="2026-05-10T00:00:00"/>
    <m/>
    <n v="0.41837837837837843"/>
    <n v="62.756756756756765"/>
    <d v="2026-05-22T00:00:00"/>
    <n v="35"/>
    <m/>
    <m/>
    <m/>
    <m/>
    <m/>
    <m/>
    <m/>
  </r>
  <r>
    <m/>
    <s v="W16006"/>
    <s v="FBA19B9KJ2QH"/>
    <s v="E-US"/>
    <x v="0"/>
    <s v="ANZ-B"/>
    <n v="200"/>
    <s v="嘀嗒嘀"/>
    <s v="盐田海卡"/>
    <s v="TCY2"/>
    <x v="0"/>
    <s v="ANZ-B 便携式扩香仪 黑色"/>
    <x v="0"/>
    <n v="5"/>
    <n v="62.173913043478265"/>
    <s v="重量收费"/>
    <n v="4.2"/>
    <m/>
    <n v="37.037037037037038"/>
    <n v="298.16747181964581"/>
    <n v="1.4908373590982291"/>
    <n v="0.22251303867137748"/>
    <m/>
    <m/>
    <m/>
    <x v="24"/>
    <d v="2026-05-10T00:00:00"/>
    <m/>
    <n v="0.41837837837837843"/>
    <n v="83.675675675675691"/>
    <d v="2026-05-22T00:00:00"/>
    <n v="35"/>
    <m/>
    <m/>
    <m/>
    <m/>
    <m/>
    <m/>
    <m/>
  </r>
  <r>
    <m/>
    <s v="W16007"/>
    <s v="FBA19B9LM3JV"/>
    <s v="E-US"/>
    <x v="0"/>
    <s v="ANZKIT-B_4X10K04_TZ"/>
    <n v="480"/>
    <s v="嘀嗒嘀"/>
    <s v="美森海卡"/>
    <s v="TCY2"/>
    <x v="38"/>
    <s v="ANZKIT-B_4X10K04_TZ ANZ黑色机器+4x10mL酒店（天竺）香氛油 机油套装"/>
    <x v="0"/>
    <n v="16"/>
    <n v="253"/>
    <s v="重量收费"/>
    <n v="8.9"/>
    <n v="200"/>
    <n v="88.888888888888886"/>
    <n v="2340.588888888889"/>
    <n v="4.8762268518518521"/>
    <n v="0.72779505251520182"/>
    <m/>
    <m/>
    <m/>
    <x v="24"/>
    <d v="2026-05-03T00:00:00"/>
    <m/>
    <n v="0.44"/>
    <n v="211.2"/>
    <d v="2026-05-10T00:00:00"/>
    <n v="23"/>
    <m/>
    <m/>
    <m/>
    <m/>
    <m/>
    <m/>
    <m/>
  </r>
  <r>
    <m/>
    <s v="W16003"/>
    <s v="FBA15LN44JQQ"/>
    <s v="E-UK"/>
    <x v="2"/>
    <s v="001000019"/>
    <n v="280"/>
    <s v="嘀嗒嘀"/>
    <s v="英国海卡"/>
    <s v="LBA4"/>
    <x v="17"/>
    <s v="AN6-B 便携式扩香仪 黑色"/>
    <x v="3"/>
    <n v="7"/>
    <n v="93.545454545454547"/>
    <s v="重量收费"/>
    <n v="4.4000000000000004"/>
    <n v="550"/>
    <n v="320.83333333333331"/>
    <n v="732.43333333333339"/>
    <n v="2.6158333333333337"/>
    <n v="0.39042288557213933"/>
    <m/>
    <m/>
    <m/>
    <x v="25"/>
    <d v="2026-05-26T00:00:00"/>
    <m/>
    <n v="0"/>
    <n v="0"/>
    <m/>
    <n v="-46128"/>
    <m/>
    <m/>
    <m/>
    <m/>
    <m/>
    <m/>
    <m/>
  </r>
  <r>
    <m/>
    <s v="W16003"/>
    <s v="FBA15LN44JQQ"/>
    <s v="E-UK"/>
    <x v="2"/>
    <s v="AN6-G"/>
    <n v="80"/>
    <s v="嘀嗒嘀"/>
    <s v="英国海卡"/>
    <s v="LBA4"/>
    <x v="118"/>
    <s v="AN6-G 便携式扩香仪 灰色"/>
    <x v="3"/>
    <n v="2"/>
    <n v="26.727272727272727"/>
    <s v="重量收费"/>
    <n v="4.4000000000000004"/>
    <n v="550"/>
    <n v="91.666666666666671"/>
    <n v="209.26666666666668"/>
    <n v="2.6158333333333337"/>
    <n v="0.39042288557213933"/>
    <m/>
    <m/>
    <m/>
    <x v="25"/>
    <d v="2026-05-26T00:00:00"/>
    <m/>
    <n v="0"/>
    <n v="0"/>
    <m/>
    <n v="-46128"/>
    <m/>
    <m/>
    <m/>
    <m/>
    <m/>
    <m/>
    <m/>
  </r>
  <r>
    <m/>
    <s v="W16003"/>
    <s v="FBA15LN44JQQ"/>
    <s v="E-UK"/>
    <x v="2"/>
    <s v="001000040"/>
    <n v="80"/>
    <s v="嘀嗒嘀"/>
    <s v="英国海卡"/>
    <s v="LBA4"/>
    <x v="100"/>
    <s v="AN6-LB 便携式扩香仪 浅钢蓝色"/>
    <x v="3"/>
    <n v="2"/>
    <n v="26.727272727272727"/>
    <s v="重量收费"/>
    <n v="4.4000000000000004"/>
    <m/>
    <n v="91.666666666666671"/>
    <n v="209.26666666666668"/>
    <n v="2.6158333333333337"/>
    <n v="0.39042288557213933"/>
    <m/>
    <m/>
    <m/>
    <x v="25"/>
    <d v="2026-05-26T00:00:00"/>
    <m/>
    <n v="0"/>
    <n v="0"/>
    <m/>
    <n v="-46128"/>
    <m/>
    <m/>
    <m/>
    <m/>
    <m/>
    <m/>
    <m/>
  </r>
  <r>
    <s v="100KG起收费"/>
    <s v="W16001"/>
    <s v="FBA15G8D1ZB2"/>
    <s v="E-AU"/>
    <x v="4"/>
    <s v="001000045"/>
    <n v="240"/>
    <s v="澳鹰"/>
    <s v="澳洲海卡"/>
    <s v="BWU2"/>
    <x v="1"/>
    <s v="ANX-B 便携式扩香仪 黑色"/>
    <x v="1"/>
    <n v="8"/>
    <n v="100"/>
    <s v="重量收费"/>
    <n v="8"/>
    <n v="350"/>
    <n v="350"/>
    <n v="1150"/>
    <n v="4.791666666666667"/>
    <n v="0.71517412935323388"/>
    <m/>
    <m/>
    <m/>
    <x v="25"/>
    <d v="2026-05-19T00:00:00"/>
    <m/>
    <n v="0"/>
    <n v="0"/>
    <m/>
    <n v="-46128"/>
    <m/>
    <m/>
    <m/>
    <m/>
    <m/>
    <m/>
    <m/>
  </r>
  <r>
    <m/>
    <s v="W16014"/>
    <s v="FBA19BBRVKSC"/>
    <s v="V-US"/>
    <x v="0"/>
    <s v="ADXKIT-B_4X10K04_TZ"/>
    <n v="990"/>
    <s v="万邦"/>
    <s v="盐田海卡"/>
    <s v="GEU2"/>
    <x v="54"/>
    <s v="ADXKIT-B_4X10K04_TZ ADX黑色机器+4x10mL酒店（天竺）香氛油 机油套装"/>
    <x v="2"/>
    <n v="33"/>
    <n v="559.69306930693074"/>
    <s v="重量收费"/>
    <n v="4.2"/>
    <n v="200"/>
    <n v="49.624060150375939"/>
    <n v="2400.3349512394852"/>
    <n v="2.424580758827763"/>
    <n v="0.36187772519817357"/>
    <m/>
    <m/>
    <m/>
    <x v="24"/>
    <d v="2026-05-09T00:00:00"/>
    <m/>
    <n v="0.44644067796610171"/>
    <n v="441.97627118644067"/>
    <d v="2026-05-18T00:00:00"/>
    <n v="31"/>
    <m/>
    <m/>
    <m/>
    <m/>
    <m/>
    <m/>
    <m/>
  </r>
  <r>
    <m/>
    <s v="W16014"/>
    <s v="FBA19BBRVKSC"/>
    <s v="V-US"/>
    <x v="0"/>
    <s v="ADXKIT-DT_4X10K04_TZ"/>
    <n v="300"/>
    <s v="万邦"/>
    <s v="盐田海卡"/>
    <s v="GEU2"/>
    <x v="55"/>
    <s v="ADXKIT-DT_4X10K04_TZ AD钛色机器+4x10mL酒店（天竺）香氛油 机油套装"/>
    <x v="2"/>
    <n v="10"/>
    <n v="169.60396039603961"/>
    <s v="重量收费"/>
    <n v="4.2"/>
    <n v="200"/>
    <n v="15.037593984962406"/>
    <n v="727.37422764832877"/>
    <n v="2.4245807588277626"/>
    <n v="0.36187772519817352"/>
    <m/>
    <m/>
    <m/>
    <x v="24"/>
    <d v="2026-05-09T00:00:00"/>
    <m/>
    <n v="0.44644067796610171"/>
    <n v="133.93220338983051"/>
    <d v="2026-05-18T00:00:00"/>
    <n v="31"/>
    <m/>
    <m/>
    <m/>
    <m/>
    <m/>
    <m/>
    <m/>
  </r>
  <r>
    <m/>
    <s v="W16014"/>
    <s v="FBA19BBRVKSC"/>
    <s v="V-US"/>
    <x v="0"/>
    <s v="AN8KIT-B_B_2X30K02"/>
    <n v="160"/>
    <s v="万邦"/>
    <s v="盐田海卡"/>
    <s v="GEU2"/>
    <x v="94"/>
    <s v="AN8KIT-B_B_2X30K02 AN8黑色机器两个装+2X30mL香氛油（天竺） 机油套装"/>
    <x v="4"/>
    <n v="8"/>
    <n v="135.68316831683168"/>
    <s v="重量收费"/>
    <n v="4.2"/>
    <m/>
    <n v="12.030075187969924"/>
    <n v="581.89938211866308"/>
    <n v="3.6368711382416441"/>
    <n v="0.54281658779726027"/>
    <m/>
    <m/>
    <m/>
    <x v="24"/>
    <d v="2026-05-09T00:00:00"/>
    <m/>
    <n v="0.44644067796610171"/>
    <n v="71.430508474576271"/>
    <d v="2026-05-18T00:00:00"/>
    <n v="31"/>
    <m/>
    <m/>
    <m/>
    <m/>
    <m/>
    <m/>
    <m/>
  </r>
  <r>
    <m/>
    <s v="W16014"/>
    <s v="FBA19BBRVKSC"/>
    <s v="V-US"/>
    <x v="0"/>
    <s v="AN8KIT-B_4X10K05_TZ"/>
    <n v="1200"/>
    <s v="万邦"/>
    <s v="盐田海卡"/>
    <s v="GEU2"/>
    <x v="117"/>
    <s v="AN8KIT-B_4X10K05_TZ AN8黑色机器+4x10mL（天竺）酒店香氛油 机油套装"/>
    <x v="4"/>
    <n v="40"/>
    <n v="678.41584158415844"/>
    <s v="重量收费"/>
    <n v="4.2"/>
    <m/>
    <n v="60.150375939849624"/>
    <n v="2909.4969105933151"/>
    <n v="2.4245807588277626"/>
    <n v="0.36187772519817352"/>
    <m/>
    <m/>
    <m/>
    <x v="24"/>
    <d v="2026-05-09T00:00:00"/>
    <m/>
    <n v="0.44644067796610171"/>
    <n v="535.72881355932202"/>
    <d v="2026-05-18T00:00:00"/>
    <n v="31"/>
    <m/>
    <m/>
    <m/>
    <m/>
    <m/>
    <m/>
    <m/>
  </r>
  <r>
    <m/>
    <s v="W16014"/>
    <s v="FBA19BBRVKSC"/>
    <s v="V-US"/>
    <x v="0"/>
    <s v="AN8KIT-B_4X10K02"/>
    <n v="300"/>
    <s v="万邦"/>
    <s v="盐田海卡"/>
    <s v="GEU2"/>
    <x v="11"/>
    <s v="AN8KIT-B_4X10K02 AN8黑色机器+4x10mL（天竺）香氛油 机油套装"/>
    <x v="4"/>
    <n v="10"/>
    <n v="169.60396039603961"/>
    <s v="重量收费"/>
    <n v="4.2"/>
    <m/>
    <n v="15.037593984962406"/>
    <n v="727.37422764832877"/>
    <n v="2.4245807588277626"/>
    <n v="0.36187772519817352"/>
    <m/>
    <m/>
    <m/>
    <x v="24"/>
    <d v="2026-05-09T00:00:00"/>
    <m/>
    <n v="0.44644067796610171"/>
    <n v="133.93220338983051"/>
    <d v="2026-05-18T00:00:00"/>
    <n v="31"/>
    <m/>
    <m/>
    <m/>
    <m/>
    <m/>
    <m/>
    <m/>
  </r>
  <r>
    <m/>
    <s v="W16005"/>
    <s v="FBA19B9C8RDL"/>
    <s v="V-US"/>
    <x v="0"/>
    <s v="ADXKIT-B_DT"/>
    <n v="32"/>
    <s v="国润通"/>
    <s v="盐田海卡"/>
    <s v="MIT2"/>
    <x v="133"/>
    <s v="ADXKIT-B_DT ADX便携式扩香仪两个装套装 黑+沙漠钛"/>
    <x v="2"/>
    <n v="2"/>
    <n v="27.754716981132077"/>
    <s v="重量收费"/>
    <n v="3.8"/>
    <n v="200"/>
    <n v="3.225806451612903"/>
    <n v="108.69373097991479"/>
    <n v="3.3966790931223372"/>
    <n v="0.50696702882422939"/>
    <m/>
    <m/>
    <m/>
    <x v="24"/>
    <d v="2026-05-08T00:00:00"/>
    <m/>
    <n v="0.37947719118400819"/>
    <n v="12.143270117888262"/>
    <d v="2026-05-24T00:00:00"/>
    <n v="37"/>
    <m/>
    <m/>
    <m/>
    <m/>
    <m/>
    <m/>
    <m/>
  </r>
  <r>
    <m/>
    <s v="W16005"/>
    <s v="FBA19B9C8RDL"/>
    <s v="V-US"/>
    <x v="0"/>
    <s v="001000019"/>
    <n v="2000"/>
    <s v="国润通"/>
    <s v="盐田海卡"/>
    <s v="MIT2"/>
    <x v="17"/>
    <s v="AN6-B 便携式扩香仪 黑色"/>
    <x v="3"/>
    <n v="50"/>
    <n v="693.86792452830196"/>
    <s v="重量收费"/>
    <n v="3.8"/>
    <n v="200"/>
    <n v="80.645161290322577"/>
    <n v="2717.34327449787"/>
    <n v="1.3586716372489349"/>
    <n v="0.20278681152969177"/>
    <m/>
    <m/>
    <m/>
    <x v="24"/>
    <d v="2026-05-08T00:00:00"/>
    <m/>
    <n v="0.37947719118400819"/>
    <n v="758.95438236801635"/>
    <d v="2026-05-24T00:00:00"/>
    <n v="37"/>
    <m/>
    <m/>
    <m/>
    <m/>
    <m/>
    <m/>
    <m/>
  </r>
  <r>
    <m/>
    <s v="W16005"/>
    <s v="FBA19B9C8RDL"/>
    <s v="V-US"/>
    <x v="0"/>
    <s v="001000039"/>
    <n v="320"/>
    <s v="国润通"/>
    <s v="盐田海卡"/>
    <s v="MIT2"/>
    <x v="35"/>
    <s v="AN6-GL 便携式扩香仪 翠百合色"/>
    <x v="3"/>
    <n v="8"/>
    <n v="111.01886792452831"/>
    <s v="重量收费"/>
    <n v="3.8"/>
    <m/>
    <n v="12.903225806451612"/>
    <n v="434.77492391965916"/>
    <n v="1.3586716372489349"/>
    <n v="0.20278681152969177"/>
    <m/>
    <m/>
    <m/>
    <x v="24"/>
    <d v="2026-05-08T00:00:00"/>
    <m/>
    <n v="0.37947719118400819"/>
    <n v="121.43270117888262"/>
    <d v="2026-05-24T00:00:00"/>
    <n v="37"/>
    <m/>
    <m/>
    <m/>
    <m/>
    <m/>
    <m/>
    <m/>
  </r>
  <r>
    <m/>
    <s v="W16005"/>
    <s v="FBA19B9C8RDL"/>
    <s v="V-US"/>
    <x v="0"/>
    <s v="001000020"/>
    <n v="680"/>
    <s v="国润通"/>
    <s v="盐田海卡"/>
    <s v="MIT2"/>
    <x v="18"/>
    <s v="AN6-W 便携式扩香仪 白色"/>
    <x v="3"/>
    <n v="17"/>
    <n v="235.91509433962267"/>
    <s v="重量收费"/>
    <n v="3.8"/>
    <m/>
    <n v="27.419354838709676"/>
    <n v="923.89671332927571"/>
    <n v="1.3586716372489349"/>
    <n v="0.20278681152969177"/>
    <m/>
    <m/>
    <m/>
    <x v="24"/>
    <d v="2026-05-08T00:00:00"/>
    <m/>
    <n v="0.37947719118400819"/>
    <n v="258.04449000512557"/>
    <d v="2026-05-24T00:00:00"/>
    <n v="37"/>
    <m/>
    <m/>
    <m/>
    <m/>
    <m/>
    <m/>
    <m/>
  </r>
  <r>
    <m/>
    <s v="W16005"/>
    <s v="FBA19B9C8RDL"/>
    <s v="V-US"/>
    <x v="0"/>
    <s v="RD1-B"/>
    <n v="660"/>
    <s v="国润通"/>
    <s v="盐田海卡"/>
    <s v="MIT2"/>
    <x v="101"/>
    <s v="RD1-B 便携式扩香仪 黑色"/>
    <x v="23"/>
    <n v="22"/>
    <n v="305.30188679245282"/>
    <s v="重量收费"/>
    <n v="3.8"/>
    <m/>
    <n v="35.483870967741936"/>
    <n v="1195.6310407790627"/>
    <n v="1.8115621829985797"/>
    <n v="0.27038241537292235"/>
    <m/>
    <m/>
    <m/>
    <x v="24"/>
    <d v="2026-05-08T00:00:00"/>
    <m/>
    <n v="0.37947719118400819"/>
    <n v="250.45494618144539"/>
    <d v="2026-05-24T00:00:00"/>
    <n v="37"/>
    <m/>
    <m/>
    <m/>
    <m/>
    <m/>
    <m/>
    <m/>
  </r>
  <r>
    <m/>
    <s v="W16005"/>
    <s v="FBA19B9C8RDL"/>
    <s v="V-US"/>
    <x v="0"/>
    <s v="RD1-DT"/>
    <n v="210"/>
    <s v="国润通"/>
    <s v="盐田海卡"/>
    <s v="MIT2"/>
    <x v="110"/>
    <s v="RD1-DT 便携式扩香仪 沙漠钛色"/>
    <x v="23"/>
    <n v="7"/>
    <n v="97.14150943396227"/>
    <s v="重量收费"/>
    <n v="3.8"/>
    <m/>
    <n v="11.290322580645162"/>
    <n v="380.42805842970176"/>
    <n v="1.8115621829985797"/>
    <n v="0.27038241537292235"/>
    <m/>
    <m/>
    <m/>
    <x v="24"/>
    <d v="2026-05-08T00:00:00"/>
    <m/>
    <n v="0.37947719118400819"/>
    <n v="79.690210148641725"/>
    <d v="2026-05-24T00:00:00"/>
    <n v="37"/>
    <m/>
    <m/>
    <m/>
    <m/>
    <m/>
    <m/>
    <m/>
  </r>
  <r>
    <m/>
    <s v="W16006"/>
    <s v="FBA19BC498R6"/>
    <s v="A-US"/>
    <x v="0"/>
    <s v="ANZKIT-B_B"/>
    <n v="80"/>
    <s v="嘀嗒嘀"/>
    <s v="盐田海卡"/>
    <s v="TCY1"/>
    <x v="119"/>
    <s v="ANZKIT-B_B 便携式扩香仪 黑色 两个装"/>
    <x v="0"/>
    <n v="4"/>
    <n v="52"/>
    <s v="重量收费"/>
    <n v="4.0999999999999996"/>
    <n v="200"/>
    <n v="29.62962962962963"/>
    <n v="242.82962962962961"/>
    <n v="3.0353703703703703"/>
    <n v="0.45304035378662244"/>
    <m/>
    <m/>
    <m/>
    <x v="24"/>
    <d v="2026-05-10T00:00:00"/>
    <m/>
    <n v="0.44000000000000006"/>
    <n v="35.200000000000003"/>
    <d v="2026-05-22T00:00:00"/>
    <n v="35"/>
    <m/>
    <m/>
    <m/>
    <m/>
    <m/>
    <m/>
    <m/>
  </r>
  <r>
    <m/>
    <s v="W16002"/>
    <s v="FBA19BC2TT08"/>
    <s v="K-US"/>
    <x v="0"/>
    <s v="RD2KIT-B_2X30K06_TZ"/>
    <n v="780"/>
    <s v="嘀嗒嘀"/>
    <s v="盐田海卡"/>
    <s v="TCY1"/>
    <x v="134"/>
    <s v="RD2KIT-B_2X30K06_TZ RD2黑色机器+2X30mL酒店香氛油（天竺）  机油套装"/>
    <x v="30"/>
    <n v="39"/>
    <n v="538.57000000000005"/>
    <s v="重量收费"/>
    <n v="4.0999999999999996"/>
    <n v="200"/>
    <n v="123.80952380952381"/>
    <n v="2331.946523809524"/>
    <n v="2.9896750305250306"/>
    <n v="0.44622015380970603"/>
    <m/>
    <m/>
    <m/>
    <x v="24"/>
    <d v="2026-05-10T00:00:00"/>
    <m/>
    <n v="0.70358974358974358"/>
    <n v="548.79999999999995"/>
    <d v="2026-05-19T00:00:00"/>
    <n v="32"/>
    <m/>
    <m/>
    <m/>
    <m/>
    <m/>
    <m/>
    <m/>
  </r>
  <r>
    <m/>
    <s v="W16007"/>
    <s v="FBA19B9HK18P"/>
    <s v="V-US"/>
    <x v="0"/>
    <s v="ADXKIT-DT_4X10K04_TZ"/>
    <n v="300"/>
    <s v="嘀嗒嘀"/>
    <s v="美森海卡"/>
    <s v="MIT2"/>
    <x v="55"/>
    <s v="ADXKIT-DT_4X10K04_TZ AD钛色机器+4x10mL酒店（天竺）香氛油 机油套装"/>
    <x v="2"/>
    <n v="10"/>
    <n v="164.5"/>
    <s v="重量收费"/>
    <n v="7.9"/>
    <n v="200"/>
    <n v="55.555555555555557"/>
    <n v="1355.1055555555556"/>
    <n v="4.517018518518519"/>
    <n v="0.6741818684355998"/>
    <m/>
    <m/>
    <m/>
    <x v="24"/>
    <d v="2026-05-03T00:00:00"/>
    <m/>
    <n v="0.44"/>
    <n v="132"/>
    <d v="2026-05-14T00:00:00"/>
    <n v="27"/>
    <m/>
    <m/>
    <m/>
    <m/>
    <m/>
    <m/>
    <m/>
  </r>
  <r>
    <m/>
    <s v="W16007"/>
    <s v="FBA19B9HK18P"/>
    <s v="V-US"/>
    <x v="0"/>
    <s v="RD1-DT"/>
    <n v="300"/>
    <s v="嘀嗒嘀"/>
    <s v="美森海卡"/>
    <s v="MIT2"/>
    <x v="110"/>
    <s v="RD1-DT 便携式扩香仪 沙漠钛色"/>
    <x v="23"/>
    <n v="10"/>
    <n v="164.5"/>
    <s v="重量收费"/>
    <n v="7.9"/>
    <n v="200"/>
    <n v="55.555555555555557"/>
    <n v="1355.1055555555556"/>
    <n v="4.517018518518519"/>
    <n v="0.6741818684355998"/>
    <m/>
    <m/>
    <m/>
    <x v="24"/>
    <d v="2026-05-03T00:00:00"/>
    <m/>
    <n v="0.44"/>
    <n v="132"/>
    <d v="2026-05-14T00:00:00"/>
    <n v="27"/>
    <m/>
    <m/>
    <m/>
    <m/>
    <m/>
    <m/>
    <m/>
  </r>
  <r>
    <m/>
    <s v="W16002"/>
    <s v="FBA19BK8QFSK"/>
    <s v="K-US"/>
    <x v="0"/>
    <s v="RDXKIT-B_US_2X100K04"/>
    <n v="216"/>
    <s v="嘀嗒嘀"/>
    <s v="盐田海卡"/>
    <s v="TCY1"/>
    <x v="112"/>
    <s v="RDXKIT-B_US_2X100K04 RDX黑色机器+2X100mL酒店香氛油（天竺） 机油套装"/>
    <x v="25"/>
    <n v="24"/>
    <n v="331.43"/>
    <s v="重量收费"/>
    <n v="4.0999999999999996"/>
    <n v="200"/>
    <n v="76.19047619047619"/>
    <n v="1435.053476190476"/>
    <n v="6.6437660934744258"/>
    <n v="0.99160687962304861"/>
    <m/>
    <m/>
    <m/>
    <x v="24"/>
    <d v="2026-05-10T00:00:00"/>
    <m/>
    <n v="0.7"/>
    <n v="151.19999999999999"/>
    <d v="2026-05-19T00:00:00"/>
    <n v="32"/>
    <m/>
    <m/>
    <m/>
    <m/>
    <m/>
    <m/>
    <m/>
  </r>
  <r>
    <m/>
    <s v="W16010"/>
    <s v="FBA19BCDLF7B"/>
    <s v="W-US"/>
    <x v="0"/>
    <s v="G1-B"/>
    <n v="480"/>
    <s v="天盛"/>
    <s v="盐田海卡"/>
    <s v="GEU3"/>
    <x v="63"/>
    <s v="G1-B 电子球形把手锁 黑色"/>
    <x v="12"/>
    <n v="30"/>
    <n v="1.6445783132530121"/>
    <s v="CBM收费"/>
    <n v="1020"/>
    <n v="180"/>
    <n v="50.943396226415096"/>
    <n v="1728.4132757444875"/>
    <n v="3.6008609911343488"/>
    <n v="0.53744193897527592"/>
    <m/>
    <m/>
    <m/>
    <x v="24"/>
    <d v="2026-05-09T00:00:00"/>
    <m/>
    <n v="0.55999999999999994"/>
    <n v="268.79999999999995"/>
    <d v="2026-05-21T00:00:00"/>
    <n v="34"/>
    <m/>
    <m/>
    <m/>
    <m/>
    <m/>
    <m/>
    <m/>
  </r>
  <r>
    <m/>
    <s v="W16010"/>
    <s v="FBA19BCDLF7B"/>
    <s v="W-US"/>
    <x v="0"/>
    <s v="G1-SILV"/>
    <n v="240"/>
    <s v="天盛"/>
    <s v="盐田海卡"/>
    <s v="GEU3"/>
    <x v="65"/>
    <s v="G1-SILV 电子球形把手锁 银色"/>
    <x v="12"/>
    <n v="15"/>
    <n v="0.82228915662650603"/>
    <s v="CBM收费"/>
    <n v="1020"/>
    <n v="180"/>
    <n v="25.471698113207548"/>
    <n v="864.20663787224373"/>
    <n v="3.6008609911343488"/>
    <n v="0.53744193897527592"/>
    <m/>
    <m/>
    <m/>
    <x v="24"/>
    <d v="2026-05-09T00:00:00"/>
    <m/>
    <n v="0.55999999999999994"/>
    <n v="134.39999999999998"/>
    <d v="2026-05-21T00:00:00"/>
    <n v="34"/>
    <m/>
    <m/>
    <m/>
    <m/>
    <m/>
    <m/>
    <m/>
  </r>
  <r>
    <m/>
    <s v="W16010"/>
    <s v="FBA19BCDLF7B"/>
    <s v="W-US"/>
    <x v="0"/>
    <s v="002000029"/>
    <n v="400"/>
    <s v="天盛"/>
    <s v="盐田海卡"/>
    <s v="GEU3"/>
    <x v="81"/>
    <s v="MD1-B 电子球形把手锁 指纹 黑色"/>
    <x v="19"/>
    <n v="25"/>
    <n v="1.3704819277108433"/>
    <s v="CBM收费"/>
    <n v="1020"/>
    <m/>
    <n v="42.452830188679243"/>
    <n v="1440.3443964537394"/>
    <n v="3.6008609911343483"/>
    <n v="0.53744193897527581"/>
    <m/>
    <m/>
    <m/>
    <x v="24"/>
    <d v="2026-05-09T00:00:00"/>
    <m/>
    <n v="0.55999999999999994"/>
    <n v="223.99999999999997"/>
    <d v="2026-05-21T00:00:00"/>
    <n v="34"/>
    <m/>
    <m/>
    <m/>
    <m/>
    <m/>
    <m/>
    <m/>
  </r>
  <r>
    <m/>
    <s v="W16010"/>
    <s v="FBA19BCDLF7B"/>
    <s v="W-US"/>
    <x v="0"/>
    <s v="002000038"/>
    <n v="208"/>
    <s v="天盛"/>
    <s v="盐田海卡"/>
    <s v="GEU3"/>
    <x v="82"/>
    <s v="MD1-SILV 电子球形把手锁 指纹 银色"/>
    <x v="19"/>
    <n v="13"/>
    <n v="0.71265060240963851"/>
    <s v="CBM收费"/>
    <n v="1020"/>
    <m/>
    <n v="22.075471698113208"/>
    <n v="748.97908615594451"/>
    <n v="3.6008609911343488"/>
    <n v="0.53744193897527592"/>
    <m/>
    <m/>
    <m/>
    <x v="24"/>
    <d v="2026-05-09T00:00:00"/>
    <m/>
    <n v="0.55999999999999994"/>
    <n v="116.47999999999999"/>
    <d v="2026-05-21T00:00:00"/>
    <n v="34"/>
    <m/>
    <m/>
    <m/>
    <m/>
    <m/>
    <m/>
    <m/>
  </r>
  <r>
    <m/>
    <s v="W16014"/>
    <s v="FBA19BCGVYN1"/>
    <s v="V-US"/>
    <x v="0"/>
    <s v="ANWKIT-B_US_2X100K03"/>
    <n v="180"/>
    <s v="万邦"/>
    <s v="盐田海卡"/>
    <s v="GEU2"/>
    <x v="120"/>
    <s v="ANWKIT-B_US_2X100K03 ANW黑色机器+2X100mL酒店香氛油（天竺） 机油套装"/>
    <x v="10"/>
    <n v="15"/>
    <n v="261.09375"/>
    <s v="重量收费"/>
    <n v="4.8"/>
    <n v="200"/>
    <n v="22.556390977443609"/>
    <n v="1275.8063909774437"/>
    <n v="7.0878132832080203"/>
    <n v="1.0578825795832867"/>
    <m/>
    <m/>
    <m/>
    <x v="24"/>
    <d v="2026-05-09T00:00:00"/>
    <m/>
    <n v="0.55999999999999994"/>
    <n v="100.79999999999998"/>
    <d v="2026-05-18T00:00:00"/>
    <n v="31"/>
    <m/>
    <m/>
    <m/>
    <m/>
    <m/>
    <m/>
    <m/>
  </r>
  <r>
    <m/>
    <s v="W16014"/>
    <s v="FBA19BCGVYN1"/>
    <s v="V-US"/>
    <x v="0"/>
    <s v="ANWKIT-WH_US_2X100K03"/>
    <n v="204"/>
    <s v="万邦"/>
    <s v="盐田海卡"/>
    <s v="GEU2"/>
    <x v="44"/>
    <s v="ANWKIT-WH_US_2X100K03 ANW白色机器+2X100mL酒店香氛油（天竺） 机油套装"/>
    <x v="10"/>
    <n v="17"/>
    <n v="295.90625"/>
    <s v="重量收费"/>
    <n v="4.8"/>
    <n v="200"/>
    <n v="25.563909774436091"/>
    <n v="1445.913909774436"/>
    <n v="7.0878132832080194"/>
    <n v="1.0578825795832865"/>
    <m/>
    <m/>
    <m/>
    <x v="24"/>
    <d v="2026-05-09T00:00:00"/>
    <m/>
    <n v="0.55999999999999994"/>
    <n v="114.24"/>
    <d v="2026-05-18T00:00:00"/>
    <n v="31"/>
    <m/>
    <m/>
    <m/>
    <m/>
    <m/>
    <m/>
    <m/>
  </r>
  <r>
    <m/>
    <s v="W16012"/>
    <s v="FBA19BCK42Y8"/>
    <s v="V-US"/>
    <x v="0"/>
    <s v="001000032"/>
    <n v="480"/>
    <s v="国润通"/>
    <s v="盐田海卡"/>
    <s v="GEU2"/>
    <x v="40"/>
    <s v="ANW-B 智能扩香仪 黑色"/>
    <x v="10"/>
    <n v="40"/>
    <n v="574.13793103448279"/>
    <s v="重量收费"/>
    <n v="4.0999999999999996"/>
    <n v="200"/>
    <n v="68.965517241379317"/>
    <n v="2422.9310344827586"/>
    <n v="5.0477729885057467"/>
    <n v="0.75339895350832042"/>
    <m/>
    <m/>
    <m/>
    <x v="24"/>
    <d v="2026-05-08T00:00:00"/>
    <m/>
    <n v="0.52978208232445523"/>
    <n v="254.2953995157385"/>
    <d v="2026-05-21T00:00:00"/>
    <n v="34"/>
    <m/>
    <m/>
    <m/>
    <m/>
    <m/>
    <m/>
    <m/>
  </r>
  <r>
    <m/>
    <s v="W16012"/>
    <s v="FBA19BCK42Y8"/>
    <s v="V-US"/>
    <x v="0"/>
    <s v="001000033"/>
    <n v="756"/>
    <s v="国润通"/>
    <s v="盐田海卡"/>
    <s v="GEU2"/>
    <x v="41"/>
    <s v="ANW-W 智能扩香仪 白色"/>
    <x v="10"/>
    <n v="63"/>
    <n v="904.26724137931035"/>
    <s v="重量收费"/>
    <n v="4.0999999999999996"/>
    <n v="200"/>
    <n v="108.62068965517241"/>
    <n v="3816.1163793103447"/>
    <n v="5.0477729885057467"/>
    <n v="0.75339895350832042"/>
    <m/>
    <m/>
    <m/>
    <x v="24"/>
    <d v="2026-05-08T00:00:00"/>
    <m/>
    <n v="0.52978208232445523"/>
    <n v="400.51525423728816"/>
    <d v="2026-05-21T00:00:00"/>
    <n v="34"/>
    <m/>
    <m/>
    <m/>
    <m/>
    <m/>
    <m/>
    <m/>
  </r>
  <r>
    <m/>
    <s v="W16012"/>
    <s v="FBA19BCK42Y8"/>
    <s v="V-US"/>
    <x v="0"/>
    <s v="ANP-B_US"/>
    <n v="416"/>
    <s v="国润通"/>
    <s v="盐田海卡"/>
    <s v="GEU2"/>
    <x v="135"/>
    <s v="ANP-B_US 墙插式智能扩香仪 黑色"/>
    <x v="26"/>
    <n v="13"/>
    <n v="186.59482758620689"/>
    <s v="重量收费"/>
    <n v="4.0999999999999996"/>
    <m/>
    <n v="22.413793103448278"/>
    <n v="787.4525862068964"/>
    <n v="1.8929148706896548"/>
    <n v="0.28252460756562009"/>
    <m/>
    <m/>
    <m/>
    <x v="24"/>
    <d v="2026-05-08T00:00:00"/>
    <m/>
    <n v="0.52978208232445523"/>
    <n v="220.38934624697339"/>
    <d v="2026-05-21T00:00:00"/>
    <n v="34"/>
    <m/>
    <m/>
    <m/>
    <m/>
    <m/>
    <m/>
    <m/>
  </r>
  <r>
    <m/>
    <s v="W16004"/>
    <s v="FBA19B9NXYNH"/>
    <s v="V-CA"/>
    <x v="3"/>
    <s v="001000032"/>
    <n v="48"/>
    <s v="万邦"/>
    <s v="加拿大海卡"/>
    <s v="YYZ7"/>
    <x v="40"/>
    <s v="ANW-B 智能扩香仪 黑色"/>
    <x v="10"/>
    <n v="4"/>
    <n v="57.714285714285715"/>
    <s v="重量收费"/>
    <n v="5.4"/>
    <n v="200"/>
    <n v="20.512820512820515"/>
    <n v="332.1699633699634"/>
    <n v="6.9202075702075705"/>
    <n v="1.0328668015235181"/>
    <m/>
    <m/>
    <m/>
    <x v="24"/>
    <d v="2026-05-26T00:00:00"/>
    <m/>
    <n v="0"/>
    <n v="0"/>
    <m/>
    <n v="-46129"/>
    <m/>
    <m/>
    <m/>
    <m/>
    <m/>
    <m/>
    <m/>
  </r>
  <r>
    <m/>
    <s v="W16004"/>
    <s v="FBA19B9NXYNH"/>
    <s v="V-CA"/>
    <x v="3"/>
    <s v="001000033"/>
    <n v="36"/>
    <s v="万邦"/>
    <s v="加拿大海卡"/>
    <s v="YYZ7"/>
    <x v="41"/>
    <s v="ANW-W 智能扩香仪 白色"/>
    <x v="10"/>
    <n v="3"/>
    <n v="43.285714285714285"/>
    <s v="重量收费"/>
    <n v="5.4"/>
    <n v="200"/>
    <n v="15.384615384615385"/>
    <n v="249.12747252747255"/>
    <n v="6.9202075702075705"/>
    <n v="1.0328668015235181"/>
    <m/>
    <m/>
    <m/>
    <x v="24"/>
    <d v="2026-05-26T00:00:00"/>
    <m/>
    <n v="0"/>
    <n v="0"/>
    <m/>
    <n v="-46129"/>
    <m/>
    <m/>
    <m/>
    <m/>
    <m/>
    <m/>
    <m/>
  </r>
  <r>
    <s v="跟FBA19BCDLF7B合并报关，需要同一天提货"/>
    <s v="W16010"/>
    <s v="FBA19B7B1PZ2"/>
    <s v="V-US"/>
    <x v="0"/>
    <s v="006000024"/>
    <n v="1170"/>
    <s v="天盛"/>
    <s v="盐田海卡"/>
    <s v="GEU3"/>
    <x v="46"/>
    <s v="A-Ritz Carlton Hotel 3-100 丽思卡尔顿酒店3香氛油100mL"/>
    <x v="11"/>
    <n v="13"/>
    <n v="0.72"/>
    <s v="CBM收费"/>
    <n v="1220"/>
    <n v="180"/>
    <n v="22.075471698113208"/>
    <n v="900.47547169811321"/>
    <n v="0.76963715529753263"/>
    <n v="0.11487121720858695"/>
    <m/>
    <m/>
    <m/>
    <x v="24"/>
    <d v="2026-05-09T00:00:00"/>
    <m/>
    <n v="0.36"/>
    <n v="421.2"/>
    <d v="2026-05-21T00:00:00"/>
    <n v="34"/>
    <m/>
    <m/>
    <m/>
    <m/>
    <m/>
    <m/>
    <m/>
  </r>
  <r>
    <m/>
    <s v="W16010"/>
    <s v="FBA19B79W7D9"/>
    <s v="E-US"/>
    <x v="0"/>
    <s v="HOTEL6KIT1-6X10K01"/>
    <n v="304"/>
    <s v="天盛"/>
    <s v="盐田海卡"/>
    <s v="GEU3"/>
    <x v="45"/>
    <s v="HOTEL6KIT1-6X10K01 酒店香氛油6款10mL套装"/>
    <x v="11"/>
    <n v="4"/>
    <n v="0.22000000000000003"/>
    <s v="CBM收费"/>
    <n v="1220"/>
    <n v="180"/>
    <n v="6.7924528301886795"/>
    <n v="275.1924528301887"/>
    <n v="0.90523833167825229"/>
    <n v="0.13511019875794811"/>
    <m/>
    <m/>
    <m/>
    <x v="24"/>
    <d v="2026-05-09T00:00:00"/>
    <m/>
    <n v="0.36"/>
    <n v="109.44"/>
    <d v="2026-05-21T00:00:00"/>
    <n v="34"/>
    <m/>
    <m/>
    <m/>
    <m/>
    <m/>
    <m/>
    <m/>
  </r>
  <r>
    <m/>
    <s v="W16010"/>
    <s v="FBA19B79W7D9"/>
    <s v="E-US"/>
    <x v="0"/>
    <s v="JY-100ML"/>
    <n v="180"/>
    <s v="天盛"/>
    <s v="盐田海卡"/>
    <s v="GEU3"/>
    <x v="49"/>
    <s v="A-Grand Hyatt Hotel-100 君悦酒店香氛油100mL"/>
    <x v="11"/>
    <n v="2"/>
    <n v="0.11000000000000001"/>
    <s v="CBM收费"/>
    <n v="1220"/>
    <m/>
    <n v="3.3962264150943398"/>
    <n v="137.59622641509435"/>
    <n v="0.76442348008385752"/>
    <n v="0.11409305672893395"/>
    <m/>
    <m/>
    <m/>
    <x v="24"/>
    <d v="2026-05-09T00:00:00"/>
    <m/>
    <n v="0.36"/>
    <n v="64.8"/>
    <d v="2026-05-21T00:00:00"/>
    <n v="34"/>
    <m/>
    <m/>
    <m/>
    <m/>
    <m/>
    <m/>
    <m/>
  </r>
  <r>
    <m/>
    <s v="W16010"/>
    <s v="FBA19B79W7D9"/>
    <s v="E-US"/>
    <x v="0"/>
    <s v="MWAY1-100ML"/>
    <n v="180"/>
    <s v="天盛"/>
    <s v="盐田海卡"/>
    <s v="GEU3"/>
    <x v="50"/>
    <s v="A-MWAY Deluxe-100 特定香型香氛油100mL"/>
    <x v="11"/>
    <n v="2"/>
    <n v="0.11000000000000001"/>
    <s v="CBM收费"/>
    <n v="1220"/>
    <m/>
    <n v="3.3962264150943398"/>
    <n v="137.59622641509435"/>
    <n v="0.76442348008385752"/>
    <n v="0.11409305672893395"/>
    <m/>
    <m/>
    <m/>
    <x v="24"/>
    <d v="2026-05-09T00:00:00"/>
    <m/>
    <n v="0.36"/>
    <n v="64.8"/>
    <d v="2026-05-21T00:00:00"/>
    <n v="34"/>
    <m/>
    <m/>
    <m/>
    <m/>
    <m/>
    <m/>
    <m/>
  </r>
  <r>
    <m/>
    <s v="W16010"/>
    <s v="FBA19B79W7D9"/>
    <s v="E-US"/>
    <x v="0"/>
    <s v="006000026"/>
    <n v="180"/>
    <s v="天盛"/>
    <s v="盐田海卡"/>
    <s v="GEU3"/>
    <x v="87"/>
    <s v="A-Marriott Hotel 1-100 万豪酒店1香氛油100mL"/>
    <x v="11"/>
    <n v="2"/>
    <n v="0.11000000000000001"/>
    <s v="CBM收费"/>
    <n v="1220"/>
    <m/>
    <n v="3.3962264150943398"/>
    <n v="137.59622641509435"/>
    <n v="0.76442348008385752"/>
    <n v="0.11409305672893395"/>
    <m/>
    <m/>
    <m/>
    <x v="24"/>
    <d v="2026-05-09T00:00:00"/>
    <m/>
    <n v="0.36"/>
    <n v="64.8"/>
    <d v="2026-05-21T00:00:00"/>
    <n v="34"/>
    <m/>
    <m/>
    <m/>
    <m/>
    <m/>
    <m/>
    <m/>
  </r>
  <r>
    <m/>
    <s v="W16011"/>
    <s v="FBA19B7N189J"/>
    <s v="E-US"/>
    <x v="0"/>
    <s v="SJ1-100ML_TZ"/>
    <n v="512"/>
    <s v="天盛"/>
    <s v="盐田海卡"/>
    <s v="GEU3"/>
    <x v="23"/>
    <s v="SJ1-100ML_TZ 四季酒店100mL香氛油（天竺） 销售包装"/>
    <x v="6"/>
    <n v="8"/>
    <n v="0.31384615384615383"/>
    <s v="CBM收费"/>
    <n v="1220"/>
    <n v="180"/>
    <n v="46.451612903225808"/>
    <n v="429.34392059553346"/>
    <n v="0.83856234491315129"/>
    <n v="0.12515855894226138"/>
    <m/>
    <m/>
    <m/>
    <x v="24"/>
    <d v="2026-05-09T00:00:00"/>
    <m/>
    <n v="0.36"/>
    <n v="184.32"/>
    <d v="2026-05-21T00:00:00"/>
    <n v="34"/>
    <m/>
    <m/>
    <m/>
    <m/>
    <m/>
    <m/>
    <m/>
  </r>
  <r>
    <m/>
    <s v="W16011"/>
    <s v="FBA19B7N189J"/>
    <s v="E-US"/>
    <x v="0"/>
    <s v="TX331_100ML"/>
    <n v="128"/>
    <s v="天盛"/>
    <s v="盐田海卡"/>
    <s v="GEU3"/>
    <x v="102"/>
    <s v="TX331_100ML 檀香33号100mL香氛油（天竺） 销售包装"/>
    <x v="6"/>
    <n v="2"/>
    <n v="7.8461538461538458E-2"/>
    <s v="CBM收费"/>
    <n v="1220"/>
    <n v="180"/>
    <n v="11.612903225806452"/>
    <n v="107.33598014888337"/>
    <n v="0.83856234491315129"/>
    <n v="0.12515855894226138"/>
    <m/>
    <m/>
    <m/>
    <x v="24"/>
    <d v="2026-05-09T00:00:00"/>
    <m/>
    <n v="0.36"/>
    <n v="46.08"/>
    <d v="2026-05-21T00:00:00"/>
    <n v="34"/>
    <m/>
    <m/>
    <m/>
    <m/>
    <m/>
    <m/>
    <m/>
  </r>
  <r>
    <m/>
    <s v="W16011"/>
    <s v="FBA19B7N189J"/>
    <s v="E-US"/>
    <x v="0"/>
    <s v="W1-100ML_TZ"/>
    <n v="256"/>
    <s v="天盛"/>
    <s v="盐田海卡"/>
    <s v="GEU3"/>
    <x v="24"/>
    <s v="W1-100ML_TZ W酒店100mL香氛油（天竺） 销售包装"/>
    <x v="6"/>
    <n v="4"/>
    <n v="0.15692307692307692"/>
    <s v="CBM收费"/>
    <n v="1220"/>
    <m/>
    <n v="23.225806451612904"/>
    <n v="214.67196029776673"/>
    <n v="0.83856234491315129"/>
    <n v="0.12515855894226138"/>
    <m/>
    <m/>
    <m/>
    <x v="24"/>
    <d v="2026-05-09T00:00:00"/>
    <m/>
    <n v="0.36"/>
    <n v="92.16"/>
    <d v="2026-05-21T00:00:00"/>
    <n v="34"/>
    <m/>
    <m/>
    <m/>
    <m/>
    <m/>
    <m/>
    <m/>
  </r>
  <r>
    <m/>
    <s v="W16011"/>
    <s v="FBA19B7N189J"/>
    <s v="E-US"/>
    <x v="0"/>
    <s v="HILTON1-100ML_TZ"/>
    <n v="512"/>
    <s v="天盛"/>
    <s v="盐田海卡"/>
    <s v="GEU3"/>
    <x v="61"/>
    <s v="HILTON1-100ML_TZ 希尔顿酒店100mL香氛油（天竺） 销售包装"/>
    <x v="6"/>
    <n v="8"/>
    <n v="0.31384615384615383"/>
    <s v="CBM收费"/>
    <n v="1220"/>
    <m/>
    <n v="46.451612903225808"/>
    <n v="429.34392059553346"/>
    <n v="0.83856234491315129"/>
    <n v="0.12515855894226138"/>
    <m/>
    <m/>
    <m/>
    <x v="24"/>
    <d v="2026-05-09T00:00:00"/>
    <m/>
    <n v="0.36"/>
    <n v="184.32"/>
    <d v="2026-05-21T00:00:00"/>
    <n v="34"/>
    <m/>
    <m/>
    <m/>
    <m/>
    <m/>
    <m/>
    <m/>
  </r>
  <r>
    <m/>
    <s v="W16011"/>
    <s v="FBA19B7N189J"/>
    <s v="E-US"/>
    <x v="0"/>
    <s v="YH1-100ML_TZ"/>
    <n v="128"/>
    <s v="天盛"/>
    <s v="盐田海卡"/>
    <s v="GEU3"/>
    <x v="89"/>
    <s v="YH1-100ML_TZ 樱花100mL香氛油（天竺）销售包装"/>
    <x v="6"/>
    <n v="2"/>
    <n v="7.8461538461538458E-2"/>
    <s v="CBM收费"/>
    <n v="1220"/>
    <m/>
    <n v="11.612903225806452"/>
    <n v="107.33598014888337"/>
    <n v="0.83856234491315129"/>
    <n v="0.12515855894226138"/>
    <m/>
    <m/>
    <m/>
    <x v="24"/>
    <d v="2026-05-09T00:00:00"/>
    <m/>
    <n v="0.36"/>
    <n v="46.08"/>
    <d v="2026-05-21T00:00:00"/>
    <n v="34"/>
    <m/>
    <m/>
    <m/>
    <m/>
    <m/>
    <m/>
    <m/>
  </r>
  <r>
    <m/>
    <s v="W16011"/>
    <s v="FBA19B7N189J"/>
    <s v="E-US"/>
    <x v="0"/>
    <s v="YZTT1_100ML"/>
    <n v="64"/>
    <s v="天盛"/>
    <s v="盐田海卡"/>
    <s v="GEU3"/>
    <x v="103"/>
    <s v="YZTT1_100ML 柚子天堂100mL香氛油（天竺） 销售包装"/>
    <x v="6"/>
    <n v="1"/>
    <n v="3.9230769230769229E-2"/>
    <s v="CBM收费"/>
    <n v="1220"/>
    <m/>
    <n v="5.806451612903226"/>
    <n v="53.667990074441683"/>
    <n v="0.83856234491315129"/>
    <n v="0.12515855894226138"/>
    <m/>
    <m/>
    <m/>
    <x v="24"/>
    <d v="2026-05-09T00:00:00"/>
    <m/>
    <n v="0.36"/>
    <n v="23.04"/>
    <d v="2026-05-21T00:00:00"/>
    <n v="34"/>
    <m/>
    <m/>
    <m/>
    <m/>
    <m/>
    <m/>
    <m/>
  </r>
  <r>
    <m/>
    <s v="W16011"/>
    <s v="FBA19B7N189J"/>
    <s v="E-US"/>
    <x v="0"/>
    <s v="TXY1_100ML"/>
    <n v="64"/>
    <s v="天盛"/>
    <s v="盐田海卡"/>
    <s v="GEU3"/>
    <x v="104"/>
    <s v="TXY1_100ML 桃星云100mL香氛油（天竺） 销售包装"/>
    <x v="6"/>
    <n v="1"/>
    <n v="3.9230769230769229E-2"/>
    <s v="CBM收费"/>
    <n v="1220"/>
    <m/>
    <n v="5.806451612903226"/>
    <n v="53.667990074441683"/>
    <n v="0.83856234491315129"/>
    <n v="0.12515855894226138"/>
    <m/>
    <m/>
    <m/>
    <x v="24"/>
    <d v="2026-05-09T00:00:00"/>
    <m/>
    <n v="0.36"/>
    <n v="23.04"/>
    <d v="2026-05-21T00:00:00"/>
    <n v="34"/>
    <m/>
    <m/>
    <m/>
    <m/>
    <m/>
    <m/>
    <m/>
  </r>
  <r>
    <m/>
    <s v="W16011"/>
    <s v="FBA19B7J1BX9"/>
    <s v="V-US"/>
    <x v="0"/>
    <s v="RZ1-500ML_TZ"/>
    <n v="100"/>
    <s v="天盛"/>
    <s v="盐田海卡"/>
    <s v="GEU3"/>
    <x v="136"/>
    <s v="RZ1-500ML_TZ 丽思卡尔顿酒店500mL香氛油（天竺） 销售包装"/>
    <x v="6"/>
    <n v="5"/>
    <n v="0.2"/>
    <s v="CBM收费"/>
    <n v="1220"/>
    <m/>
    <n v="29.032258064516128"/>
    <n v="273.0322580645161"/>
    <n v="2.730322580645161"/>
    <n v="0.40751083293211354"/>
    <m/>
    <m/>
    <m/>
    <x v="24"/>
    <d v="2026-05-09T00:00:00"/>
    <m/>
    <n v="0.44"/>
    <n v="44"/>
    <d v="2026-05-21T00:00:00"/>
    <n v="34"/>
    <m/>
    <m/>
    <m/>
    <m/>
    <m/>
    <m/>
    <m/>
  </r>
  <r>
    <m/>
    <s v="W16004"/>
    <s v="FBA19B9HSTHR"/>
    <s v="A-CA"/>
    <x v="3"/>
    <s v="002000020"/>
    <n v="84"/>
    <s v="万邦"/>
    <s v="加拿大海卡"/>
    <s v="YYZ7"/>
    <x v="66"/>
    <s v="H2-B 电子指纹球形把手锁-黑色"/>
    <x v="13"/>
    <n v="7"/>
    <n v="96.25"/>
    <s v="重量收费"/>
    <n v="5.4"/>
    <n v="200"/>
    <n v="35.897435897435898"/>
    <n v="555.64743589743591"/>
    <n v="6.6148504273504276"/>
    <n v="0.98729110855976532"/>
    <m/>
    <m/>
    <m/>
    <x v="24"/>
    <d v="2026-05-26T00:00:00"/>
    <m/>
    <n v="0"/>
    <n v="0"/>
    <d v="2026-05-29T00:00:00"/>
    <n v="42"/>
    <m/>
    <m/>
    <m/>
    <m/>
    <m/>
    <m/>
    <m/>
  </r>
  <r>
    <m/>
    <s v="W16004"/>
    <s v="FBA19B9HSTHR"/>
    <s v="A-CA"/>
    <x v="3"/>
    <s v="002000023"/>
    <n v="60"/>
    <s v="万邦"/>
    <s v="加拿大海卡"/>
    <s v="YYZ7"/>
    <x v="67"/>
    <s v="H2-SILV 电子指纹球形把手锁-银色"/>
    <x v="13"/>
    <n v="5"/>
    <n v="68.75"/>
    <s v="重量收费"/>
    <n v="5.4"/>
    <n v="200"/>
    <n v="25.641025641025642"/>
    <n v="396.89102564102564"/>
    <n v="6.6148504273504276"/>
    <n v="0.98729110855976532"/>
    <m/>
    <m/>
    <m/>
    <x v="24"/>
    <d v="2026-05-26T00:00:00"/>
    <m/>
    <n v="0"/>
    <n v="0"/>
    <d v="2026-05-29T00:00:00"/>
    <n v="42"/>
    <m/>
    <m/>
    <m/>
    <m/>
    <m/>
    <m/>
    <m/>
  </r>
  <r>
    <m/>
    <s v="W16004"/>
    <s v="FBA19B9HSTHR"/>
    <s v="A-CA"/>
    <x v="3"/>
    <s v="002000001"/>
    <n v="240"/>
    <s v="万邦"/>
    <s v="加拿大海卡"/>
    <s v="YYZ7"/>
    <x v="106"/>
    <s v="K1-B 电子球形把手锁-黑色"/>
    <x v="24"/>
    <n v="20"/>
    <n v="275"/>
    <s v="重量收费"/>
    <n v="5.4"/>
    <m/>
    <n v="102.56410256410257"/>
    <n v="1587.5641025641025"/>
    <n v="6.6148504273504276"/>
    <n v="0.98729110855976532"/>
    <m/>
    <m/>
    <m/>
    <x v="24"/>
    <d v="2026-05-26T00:00:00"/>
    <m/>
    <n v="0"/>
    <n v="0"/>
    <d v="2026-05-29T00:00:00"/>
    <n v="42"/>
    <m/>
    <m/>
    <m/>
    <m/>
    <m/>
    <m/>
    <m/>
  </r>
  <r>
    <m/>
    <s v="W16013"/>
    <s v="FBA19B9DG84G"/>
    <s v="E-US"/>
    <x v="0"/>
    <s v="003000014"/>
    <n v="72"/>
    <s v="嘀嗒嘀"/>
    <s v="美中海卡"/>
    <s v="FTW5"/>
    <x v="96"/>
    <s v="AP2US-H14 内置H14滤网桌面式空气净化器2-美规"/>
    <x v="21"/>
    <n v="18"/>
    <n v="425"/>
    <s v="重量收费"/>
    <n v="5.7"/>
    <n v="200"/>
    <n v="200"/>
    <n v="2622.5"/>
    <n v="36.423611111111114"/>
    <n v="5.4363598673300171"/>
    <m/>
    <m/>
    <m/>
    <x v="24"/>
    <d v="2026-05-22T00:00:00"/>
    <m/>
    <n v="0"/>
    <n v="0"/>
    <m/>
    <n v="-46129"/>
    <m/>
    <m/>
    <m/>
    <m/>
    <m/>
    <m/>
    <m/>
  </r>
  <r>
    <m/>
    <s v="W16008"/>
    <s v="FBA19B9DKZG9"/>
    <s v="E-US"/>
    <x v="0"/>
    <s v="003000014"/>
    <n v="72"/>
    <s v="国润通"/>
    <s v="盐田海卡"/>
    <s v="TPA2"/>
    <x v="96"/>
    <s v="AP2US-H14 内置H14滤网桌面式空气净化器2-美规"/>
    <x v="21"/>
    <n v="18"/>
    <n v="438"/>
    <s v="重量收费"/>
    <n v="5.2"/>
    <n v="200"/>
    <n v="100"/>
    <n v="2377.6"/>
    <n v="33.022222222222219"/>
    <n v="4.9286898839137638"/>
    <m/>
    <m/>
    <m/>
    <x v="24"/>
    <d v="2026-05-29T00:00:00"/>
    <m/>
    <n v="0"/>
    <n v="0"/>
    <m/>
    <n v="-46129"/>
    <m/>
    <m/>
    <m/>
    <m/>
    <m/>
    <m/>
    <m/>
  </r>
  <r>
    <m/>
    <s v="W16008"/>
    <s v="FBA19B9HCN3R"/>
    <s v="E-US"/>
    <x v="0"/>
    <s v="003000014"/>
    <n v="72"/>
    <s v="国润通"/>
    <s v="盐田海卡"/>
    <s v="MGE3"/>
    <x v="96"/>
    <s v="AP2US-H14 内置H14滤网桌面式空气净化器2-美规"/>
    <x v="21"/>
    <n v="18"/>
    <n v="438"/>
    <s v="重量收费"/>
    <n v="5"/>
    <n v="200"/>
    <n v="100"/>
    <n v="2290"/>
    <n v="31.805555555555557"/>
    <n v="4.74709784411277"/>
    <m/>
    <m/>
    <m/>
    <x v="24"/>
    <d v="2026-05-29T00:00:00"/>
    <m/>
    <n v="0"/>
    <n v="0"/>
    <m/>
    <n v="-46129"/>
    <m/>
    <m/>
    <m/>
    <m/>
    <m/>
    <m/>
    <m/>
  </r>
  <r>
    <m/>
    <s v="W16009"/>
    <s v="FBA19B9HCF21"/>
    <s v="E-US"/>
    <x v="0"/>
    <s v="003000014"/>
    <n v="72"/>
    <s v="国润通"/>
    <s v="盐田海卡"/>
    <s v="TEB6"/>
    <x v="96"/>
    <s v="AP2US-H14 内置H14滤网桌面式空气净化器2-美规"/>
    <x v="21"/>
    <n v="18"/>
    <n v="437"/>
    <s v="重量收费"/>
    <n v="4.7"/>
    <n v="200"/>
    <n v="200"/>
    <n v="2253.9"/>
    <n v="31.304166666666667"/>
    <n v="4.6722636815920398"/>
    <m/>
    <m/>
    <m/>
    <x v="24"/>
    <d v="2026-05-27T00:00:00"/>
    <m/>
    <n v="0"/>
    <n v="0"/>
    <m/>
    <n v="-46129"/>
    <m/>
    <m/>
    <m/>
    <m/>
    <m/>
    <m/>
    <m/>
  </r>
  <r>
    <m/>
    <s v="W16005"/>
    <s v="FBA19B9DLDTH"/>
    <s v="E-US"/>
    <x v="0"/>
    <s v="003000014"/>
    <n v="72"/>
    <s v="国润通"/>
    <s v="盐田海卡"/>
    <s v="DEN8"/>
    <x v="96"/>
    <s v="AP2US-H14 内置H14滤网桌面式空气净化器2-美规"/>
    <x v="21"/>
    <n v="18"/>
    <n v="437"/>
    <s v="重量收费"/>
    <n v="5.8"/>
    <n v="200"/>
    <n v="29.032258064516128"/>
    <n v="2563.632258064516"/>
    <n v="35.606003584229391"/>
    <n v="5.3143288931685655"/>
    <m/>
    <m/>
    <m/>
    <x v="24"/>
    <d v="2026-05-08T00:00:00"/>
    <m/>
    <n v="0"/>
    <n v="0"/>
    <m/>
    <n v="-46129"/>
    <m/>
    <m/>
    <m/>
    <m/>
    <m/>
    <m/>
    <m/>
  </r>
  <r>
    <m/>
    <s v="W16003"/>
    <s v="FBA15LN4716N"/>
    <s v="E-UK"/>
    <x v="2"/>
    <s v="003000007"/>
    <n v="36"/>
    <s v="嘀嗒嘀"/>
    <s v="英国海卡"/>
    <s v="LBA4"/>
    <x v="72"/>
    <s v="AP2F-H14 空气净化器滤网2-H14"/>
    <x v="15"/>
    <n v="1"/>
    <n v="22"/>
    <s v="重量收费"/>
    <n v="4.4000000000000004"/>
    <n v="550"/>
    <n v="45.833333333333336"/>
    <n v="142.63333333333335"/>
    <n v="3.9620370370370375"/>
    <n v="0.59134881149806529"/>
    <m/>
    <m/>
    <m/>
    <x v="24"/>
    <d v="2026-05-26T00:00:00"/>
    <m/>
    <n v="0"/>
    <n v="0"/>
    <m/>
    <n v="-46129"/>
    <m/>
    <m/>
    <m/>
    <m/>
    <m/>
    <m/>
    <m/>
  </r>
  <r>
    <m/>
    <s v="W17002"/>
    <s v="FBA15LP65LXZ"/>
    <s v="W-DE"/>
    <x v="1"/>
    <s v="001000019"/>
    <n v="280"/>
    <s v="万邦"/>
    <s v="欧洲海卡"/>
    <s v="BER8"/>
    <x v="17"/>
    <s v="AN6-B 便携式扩香仪 黑色"/>
    <x v="3"/>
    <n v="7"/>
    <n v="101.0625"/>
    <s v="重量收费"/>
    <n v="7.2"/>
    <n v="250"/>
    <n v="109.375"/>
    <n v="837.02499999999998"/>
    <n v="2.9893749999999999"/>
    <n v="0.44617537313432831"/>
    <m/>
    <m/>
    <m/>
    <x v="26"/>
    <d v="2026-06-03T00:00:00"/>
    <m/>
    <n v="0"/>
    <n v="0"/>
    <m/>
    <m/>
    <m/>
    <m/>
    <m/>
    <m/>
    <m/>
    <m/>
    <m/>
  </r>
  <r>
    <m/>
    <s v="W17002"/>
    <s v="FBA15LP65LXZ"/>
    <s v="W-DE"/>
    <x v="1"/>
    <s v="001000040"/>
    <n v="80"/>
    <s v="万邦"/>
    <s v="欧洲海卡"/>
    <s v="BER8"/>
    <x v="100"/>
    <s v="AN6-LB 便携式扩香仪 浅钢蓝色"/>
    <x v="3"/>
    <n v="2"/>
    <n v="28.875"/>
    <s v="重量收费"/>
    <n v="7.2"/>
    <n v="250"/>
    <n v="31.25"/>
    <n v="239.15"/>
    <n v="2.9893749999999999"/>
    <n v="0.44617537313432831"/>
    <m/>
    <m/>
    <m/>
    <x v="26"/>
    <d v="2026-06-03T00:00:00"/>
    <m/>
    <n v="0"/>
    <n v="0"/>
    <m/>
    <m/>
    <m/>
    <m/>
    <m/>
    <m/>
    <m/>
    <m/>
    <m/>
  </r>
  <r>
    <m/>
    <s v="W17002"/>
    <s v="FBA15LP65LXZ"/>
    <s v="W-DE"/>
    <x v="1"/>
    <s v="RD1-B"/>
    <n v="120"/>
    <s v="万邦"/>
    <s v="欧洲海卡"/>
    <s v="BER8"/>
    <x v="101"/>
    <s v="RD1-B 便携式扩香仪 黑色"/>
    <x v="23"/>
    <n v="4"/>
    <n v="57.75"/>
    <s v="重量收费"/>
    <n v="7.2"/>
    <m/>
    <n v="62.5"/>
    <n v="478.3"/>
    <n v="3.9858333333333333"/>
    <n v="0.59490049751243779"/>
    <m/>
    <m/>
    <m/>
    <x v="26"/>
    <d v="2026-06-03T00:00:00"/>
    <m/>
    <n v="0"/>
    <n v="0"/>
    <m/>
    <m/>
    <m/>
    <m/>
    <m/>
    <m/>
    <m/>
    <m/>
    <m/>
  </r>
  <r>
    <m/>
    <s v="W17002"/>
    <s v="FBA15LP65LXZ"/>
    <s v="W-DE"/>
    <x v="1"/>
    <s v="RD1-DT"/>
    <n v="90"/>
    <s v="万邦"/>
    <s v="欧洲海卡"/>
    <s v="BER8"/>
    <x v="110"/>
    <s v="RD1-DT 便携式扩香仪 沙漠钛色"/>
    <x v="23"/>
    <n v="3"/>
    <n v="43.3125"/>
    <s v="重量收费"/>
    <n v="7.2"/>
    <m/>
    <n v="46.875"/>
    <n v="358.72500000000002"/>
    <n v="3.9858333333333338"/>
    <n v="0.5949004975124379"/>
    <m/>
    <m/>
    <m/>
    <x v="26"/>
    <d v="2026-06-03T00:00:00"/>
    <m/>
    <n v="0"/>
    <n v="0"/>
    <m/>
    <m/>
    <m/>
    <m/>
    <m/>
    <m/>
    <m/>
    <m/>
    <m/>
  </r>
  <r>
    <m/>
    <s v="W17001"/>
    <s v="FBA15G8QSTZS"/>
    <s v="E-AU"/>
    <x v="4"/>
    <s v="AND-B"/>
    <n v="90"/>
    <s v="澳鹰"/>
    <s v="澳洲海卡"/>
    <s v="BWU2"/>
    <x v="20"/>
    <s v="AND-B 便携式双喷扩香仪 黑色"/>
    <x v="5"/>
    <n v="3"/>
    <n v="44.53846153846154"/>
    <s v="重量收费"/>
    <n v="8"/>
    <n v="350"/>
    <n v="80.769230769230774"/>
    <n v="437.07692307692309"/>
    <n v="4.8564102564102569"/>
    <n v="0.72483735170302344"/>
    <m/>
    <m/>
    <m/>
    <x v="26"/>
    <d v="2026-05-11T00:00:00"/>
    <m/>
    <n v="0"/>
    <n v="0"/>
    <m/>
    <m/>
    <m/>
    <m/>
    <m/>
    <m/>
    <m/>
    <m/>
    <m/>
  </r>
  <r>
    <m/>
    <s v="W17001"/>
    <s v="FBA15G8QSTZS"/>
    <s v="E-AU"/>
    <x v="4"/>
    <s v="AND-G"/>
    <n v="30"/>
    <s v="澳鹰"/>
    <s v="澳洲海卡"/>
    <s v="BWU2"/>
    <x v="137"/>
    <s v="AND-G 便携式双喷扩香仪 灰色"/>
    <x v="5"/>
    <n v="1"/>
    <n v="14.846153846153847"/>
    <s v="重量收费"/>
    <n v="8"/>
    <n v="350"/>
    <n v="26.923076923076923"/>
    <n v="145.69230769230771"/>
    <n v="4.8564102564102569"/>
    <n v="0.72483735170302344"/>
    <m/>
    <m/>
    <m/>
    <x v="26"/>
    <d v="2026-05-11T00:00:00"/>
    <m/>
    <n v="0"/>
    <n v="0"/>
    <m/>
    <m/>
    <m/>
    <m/>
    <m/>
    <m/>
    <m/>
    <m/>
    <m/>
  </r>
  <r>
    <m/>
    <s v="W17001"/>
    <s v="FBA15G8QSTZS"/>
    <s v="E-AU"/>
    <x v="4"/>
    <s v="001000052"/>
    <n v="60"/>
    <s v="澳鹰"/>
    <s v="澳洲海卡"/>
    <s v="BWU2"/>
    <x v="37"/>
    <s v="ANX-DT 便携式扩香仪 沙漠钛色"/>
    <x v="1"/>
    <n v="2"/>
    <n v="29.692307692307693"/>
    <s v="重量收费"/>
    <n v="8"/>
    <m/>
    <n v="53.846153846153847"/>
    <n v="291.38461538461542"/>
    <n v="4.8564102564102569"/>
    <n v="0.72483735170302344"/>
    <m/>
    <m/>
    <m/>
    <x v="26"/>
    <d v="2026-05-11T00:00:00"/>
    <m/>
    <n v="0"/>
    <n v="0"/>
    <m/>
    <m/>
    <m/>
    <m/>
    <m/>
    <m/>
    <m/>
    <m/>
    <m/>
  </r>
  <r>
    <m/>
    <s v="W17001"/>
    <s v="FBA15G8QSTZS"/>
    <s v="E-AU"/>
    <x v="4"/>
    <s v="RD1-B"/>
    <n v="120"/>
    <s v="澳鹰"/>
    <s v="澳洲海卡"/>
    <s v="BWU2"/>
    <x v="101"/>
    <s v="RD1-B 便携式扩香仪 黑色"/>
    <x v="23"/>
    <n v="4"/>
    <n v="59.384615384615387"/>
    <s v="重量收费"/>
    <n v="8"/>
    <m/>
    <n v="107.69230769230769"/>
    <n v="582.76923076923083"/>
    <n v="4.8564102564102569"/>
    <n v="0.72483735170302344"/>
    <m/>
    <m/>
    <m/>
    <x v="26"/>
    <d v="2026-05-11T00:00:00"/>
    <m/>
    <n v="0"/>
    <n v="0"/>
    <m/>
    <m/>
    <m/>
    <m/>
    <m/>
    <m/>
    <m/>
    <m/>
    <m/>
  </r>
  <r>
    <m/>
    <s v="W17001"/>
    <s v="FBA15G8QSTZS"/>
    <s v="E-AU"/>
    <x v="4"/>
    <s v="RD1-DT"/>
    <n v="90"/>
    <s v="澳鹰"/>
    <s v="澳洲海卡"/>
    <s v="BWU2"/>
    <x v="110"/>
    <s v="RD1-DT 便携式扩香仪 沙漠钛色"/>
    <x v="23"/>
    <n v="3"/>
    <n v="44.53846153846154"/>
    <s v="重量收费"/>
    <n v="8"/>
    <m/>
    <n v="80.769230769230774"/>
    <n v="437.07692307692309"/>
    <n v="4.8564102564102569"/>
    <n v="0.72483735170302344"/>
    <m/>
    <m/>
    <m/>
    <x v="26"/>
    <d v="2026-05-11T00:00:00"/>
    <m/>
    <n v="0"/>
    <n v="0"/>
    <m/>
    <m/>
    <m/>
    <m/>
    <m/>
    <m/>
    <m/>
    <m/>
    <m/>
  </r>
  <r>
    <m/>
    <s v="W17006"/>
    <s v="FBA19BY3VMYT"/>
    <s v="E-US"/>
    <x v="0"/>
    <s v="ANZ-B"/>
    <n v="1200"/>
    <s v="国润通"/>
    <s v="盐田海卡"/>
    <s v="GEU2"/>
    <x v="0"/>
    <s v="ANZ-B 便携式扩香仪 黑色"/>
    <x v="0"/>
    <n v="30"/>
    <n v="402.85714285714289"/>
    <s v="重量收费"/>
    <n v="3.8"/>
    <n v="200"/>
    <n v="34.482758620689658"/>
    <n v="1565.3399014778327"/>
    <n v="1.3044499178981939"/>
    <n v="0.19469401759674534"/>
    <m/>
    <m/>
    <m/>
    <x v="27"/>
    <d v="2026-05-15T00:00:00"/>
    <m/>
    <n v="0.36"/>
    <n v="432"/>
    <m/>
    <m/>
    <m/>
    <m/>
    <m/>
    <m/>
    <m/>
    <m/>
    <m/>
  </r>
  <r>
    <m/>
    <s v="W17006"/>
    <s v="FBA19BY3VMYT"/>
    <s v="E-US"/>
    <x v="0"/>
    <s v="ANZ-WH"/>
    <n v="200"/>
    <s v="国润通"/>
    <s v="盐田海卡"/>
    <s v="GEU2"/>
    <x v="53"/>
    <s v="ANZ-WH 便携式扩香仪 白色"/>
    <x v="0"/>
    <n v="5"/>
    <n v="67.142857142857139"/>
    <s v="重量收费"/>
    <n v="3.8"/>
    <n v="200"/>
    <n v="5.7471264367816088"/>
    <n v="260.88998357963874"/>
    <n v="1.3044499178981936"/>
    <n v="0.19469401759674532"/>
    <m/>
    <m/>
    <m/>
    <x v="27"/>
    <d v="2026-05-15T00:00:00"/>
    <m/>
    <n v="0.36"/>
    <n v="72"/>
    <m/>
    <m/>
    <m/>
    <m/>
    <m/>
    <m/>
    <m/>
    <m/>
    <m/>
  </r>
  <r>
    <m/>
    <s v="W17009"/>
    <s v="FBA19BY83NF8"/>
    <s v="E-US"/>
    <x v="0"/>
    <s v="ANZ-WH"/>
    <n v="400"/>
    <s v="嘀嗒嘀"/>
    <s v="美森海卡"/>
    <s v="TCY2"/>
    <x v="53"/>
    <s v="ANZ-WH 便携式扩香仪 白色"/>
    <x v="0"/>
    <n v="10"/>
    <n v="133"/>
    <s v="重量收费"/>
    <n v="8.5"/>
    <n v="200"/>
    <n v="105.26315789473684"/>
    <n v="1235.7631578947369"/>
    <n v="3.0894078947368424"/>
    <n v="0.46110565593087199"/>
    <m/>
    <m/>
    <m/>
    <x v="28"/>
    <d v="2026-05-17T00:00:00"/>
    <m/>
    <n v="0.36"/>
    <n v="144"/>
    <d v="2026-05-25T00:00:00"/>
    <m/>
    <m/>
    <m/>
    <m/>
    <m/>
    <m/>
    <m/>
    <m/>
  </r>
  <r>
    <m/>
    <s v="W17003"/>
    <s v="FBA19BS18QGQ"/>
    <s v="E-US"/>
    <x v="0"/>
    <s v="001000045"/>
    <n v="210"/>
    <s v="万邦"/>
    <s v="盐田海卡"/>
    <s v="HLI2"/>
    <x v="1"/>
    <s v="ANX-B 便携式扩香仪 黑色"/>
    <x v="1"/>
    <n v="7"/>
    <n v="87.333333333333329"/>
    <s v="重量收费"/>
    <n v="4.4000000000000004"/>
    <n v="200"/>
    <n v="8.536585365853659"/>
    <n v="392.80325203252033"/>
    <n v="1.870491676345335"/>
    <n v="0.27917786214109475"/>
    <m/>
    <m/>
    <m/>
    <x v="28"/>
    <d v="2026-05-28T00:00:00"/>
    <m/>
    <n v="0.44"/>
    <n v="92.4"/>
    <m/>
    <m/>
    <m/>
    <m/>
    <m/>
    <m/>
    <m/>
    <m/>
    <m/>
  </r>
  <r>
    <m/>
    <s v="W17003"/>
    <s v="FBA19BS18QGQ"/>
    <s v="E-US"/>
    <x v="0"/>
    <s v="001000049"/>
    <n v="90"/>
    <s v="万邦"/>
    <s v="盐田海卡"/>
    <s v="HLI2"/>
    <x v="36"/>
    <s v="ANX-IB 便携式扩香仪 冰蓝色"/>
    <x v="1"/>
    <n v="3"/>
    <n v="37.428571428571431"/>
    <s v="重量收费"/>
    <n v="4.4000000000000004"/>
    <n v="200"/>
    <n v="3.6585365853658538"/>
    <n v="168.34425087108016"/>
    <n v="1.8704916763453352"/>
    <n v="0.2791778621410948"/>
    <m/>
    <m/>
    <m/>
    <x v="28"/>
    <d v="2026-05-28T00:00:00"/>
    <m/>
    <n v="0.44"/>
    <n v="39.6"/>
    <m/>
    <m/>
    <m/>
    <m/>
    <m/>
    <m/>
    <m/>
    <m/>
    <m/>
  </r>
  <r>
    <m/>
    <s v="W17003"/>
    <s v="FBA19BS18QGQ"/>
    <s v="E-US"/>
    <x v="0"/>
    <s v="001000051"/>
    <n v="150"/>
    <s v="万邦"/>
    <s v="盐田海卡"/>
    <s v="HLI2"/>
    <x v="4"/>
    <s v="ANX-SG 便携式扩香仪 太空灰色"/>
    <x v="1"/>
    <n v="5"/>
    <n v="62.38095238095238"/>
    <s v="重量收费"/>
    <n v="4.4000000000000004"/>
    <m/>
    <n v="6.0975609756097562"/>
    <n v="280.57375145180026"/>
    <n v="1.870491676345335"/>
    <n v="0.27917786214109475"/>
    <m/>
    <m/>
    <m/>
    <x v="28"/>
    <d v="2026-05-28T00:00:00"/>
    <m/>
    <n v="0.44"/>
    <n v="66"/>
    <m/>
    <m/>
    <m/>
    <m/>
    <m/>
    <m/>
    <m/>
    <m/>
    <m/>
  </r>
  <r>
    <m/>
    <s v="W17003"/>
    <s v="FBA19BS18QGQ"/>
    <s v="E-US"/>
    <x v="0"/>
    <s v="001000052"/>
    <n v="180"/>
    <s v="万邦"/>
    <s v="盐田海卡"/>
    <s v="HLI2"/>
    <x v="37"/>
    <s v="ANX-DT 便携式扩香仪 沙漠钛色"/>
    <x v="1"/>
    <n v="6"/>
    <n v="74.857142857142861"/>
    <s v="重量收费"/>
    <n v="4.4000000000000004"/>
    <m/>
    <n v="7.3170731707317076"/>
    <n v="336.68850174216033"/>
    <n v="1.8704916763453352"/>
    <n v="0.2791778621410948"/>
    <m/>
    <m/>
    <m/>
    <x v="28"/>
    <d v="2026-05-28T00:00:00"/>
    <m/>
    <n v="0.44"/>
    <n v="79.2"/>
    <m/>
    <m/>
    <m/>
    <m/>
    <m/>
    <m/>
    <m/>
    <m/>
    <m/>
  </r>
  <r>
    <m/>
    <s v="W17006"/>
    <s v="FBA19BS5LVP7"/>
    <s v="V-US"/>
    <x v="0"/>
    <s v="001000030"/>
    <n v="288"/>
    <s v="国润通"/>
    <s v="盐田海卡"/>
    <s v="GEU2"/>
    <x v="138"/>
    <s v="AN6B-NZB 便携式扩香仪套装 黑机器+黑喷嘴"/>
    <x v="3"/>
    <n v="9"/>
    <n v="120.85714285714286"/>
    <s v="重量收费"/>
    <n v="3.8"/>
    <n v="200"/>
    <n v="10.344827586206897"/>
    <n v="469.60197044334979"/>
    <n v="1.6305623973727423"/>
    <n v="0.24336752199593167"/>
    <m/>
    <m/>
    <m/>
    <x v="27"/>
    <d v="2026-05-15T00:00:00"/>
    <m/>
    <n v="0.38274661508704061"/>
    <n v="110.23102514506769"/>
    <m/>
    <m/>
    <m/>
    <m/>
    <m/>
    <m/>
    <m/>
    <m/>
    <m/>
  </r>
  <r>
    <m/>
    <s v="W17006"/>
    <s v="FBA19BS5LVP7"/>
    <s v="V-US"/>
    <x v="0"/>
    <s v="001000019"/>
    <n v="1400"/>
    <s v="国润通"/>
    <s v="盐田海卡"/>
    <s v="GEU2"/>
    <x v="17"/>
    <s v="AN6-B 便携式扩香仪 黑色"/>
    <x v="3"/>
    <n v="35"/>
    <n v="470"/>
    <s v="重量收费"/>
    <n v="3.8"/>
    <n v="200"/>
    <n v="40.229885057471265"/>
    <n v="1826.2298850574712"/>
    <n v="1.3044499178981936"/>
    <n v="0.19469401759674532"/>
    <m/>
    <m/>
    <m/>
    <x v="27"/>
    <d v="2026-05-15T00:00:00"/>
    <m/>
    <n v="0.38274661508704061"/>
    <n v="535.84526112185688"/>
    <m/>
    <m/>
    <m/>
    <m/>
    <m/>
    <m/>
    <m/>
    <m/>
    <m/>
  </r>
  <r>
    <m/>
    <s v="W17006"/>
    <s v="FBA19BS5LVP7"/>
    <s v="V-US"/>
    <x v="0"/>
    <s v="AN6-YG"/>
    <n v="80"/>
    <s v="国润通"/>
    <s v="盐田海卡"/>
    <s v="GEU2"/>
    <x v="19"/>
    <s v="AN6-YG 便携式扩香仪 乳酪色"/>
    <x v="3"/>
    <n v="2"/>
    <n v="26.857142857142858"/>
    <s v="重量收费"/>
    <n v="3.8"/>
    <m/>
    <n v="2.2988505747126435"/>
    <n v="104.3559934318555"/>
    <n v="1.3044499178981936"/>
    <n v="0.19469401759674532"/>
    <m/>
    <m/>
    <m/>
    <x v="27"/>
    <d v="2026-05-15T00:00:00"/>
    <m/>
    <n v="0.38274661508704061"/>
    <n v="30.61972920696325"/>
    <m/>
    <m/>
    <m/>
    <m/>
    <m/>
    <m/>
    <m/>
    <m/>
    <m/>
  </r>
  <r>
    <m/>
    <s v="W17006"/>
    <s v="FBA19BS5LVP7"/>
    <s v="V-US"/>
    <x v="0"/>
    <s v="RD1-DT"/>
    <n v="300"/>
    <s v="国润通"/>
    <s v="盐田海卡"/>
    <s v="GEU2"/>
    <x v="110"/>
    <s v="RD1-DT 便携式扩香仪 沙漠钛色"/>
    <x v="23"/>
    <n v="10"/>
    <n v="134.28571428571428"/>
    <s v="重量收费"/>
    <n v="3.8"/>
    <m/>
    <n v="11.494252873563218"/>
    <n v="521.77996715927748"/>
    <n v="1.7392665571975916"/>
    <n v="0.25959202346232707"/>
    <m/>
    <m/>
    <m/>
    <x v="27"/>
    <d v="2026-05-15T00:00:00"/>
    <m/>
    <n v="0.38274661508704061"/>
    <n v="114.82398452611218"/>
    <m/>
    <m/>
    <m/>
    <m/>
    <m/>
    <m/>
    <m/>
    <m/>
    <m/>
  </r>
  <r>
    <m/>
    <s v="W17003"/>
    <s v="FBA19BRTCW8K"/>
    <s v="V-US"/>
    <x v="0"/>
    <s v="AN6KIT-WH_4X10K04_TZ"/>
    <n v="150"/>
    <s v="万邦"/>
    <s v="盐田海卡"/>
    <s v="TCY1"/>
    <x v="75"/>
    <s v="AN6KIT-WH_4X10K04_TZ AN6白色机器+4x10mL酒店（天竺）香氛油 机油套装"/>
    <x v="3"/>
    <n v="5"/>
    <n v="84.73684210526315"/>
    <s v="重量收费"/>
    <n v="4.2"/>
    <n v="200"/>
    <n v="6.0975609756097562"/>
    <n v="361.99229781771504"/>
    <n v="2.4132819854514338"/>
    <n v="0.36019134111215428"/>
    <m/>
    <m/>
    <m/>
    <x v="28"/>
    <d v="2026-05-28T00:00:00"/>
    <m/>
    <n v="0.518139534883721"/>
    <n v="77.720930232558146"/>
    <m/>
    <m/>
    <m/>
    <m/>
    <m/>
    <m/>
    <m/>
    <m/>
    <m/>
  </r>
  <r>
    <m/>
    <s v="W17003"/>
    <s v="FBA19BRTCW8K"/>
    <s v="V-US"/>
    <x v="0"/>
    <s v="AN8KIT-B_B_2X30K02"/>
    <n v="280"/>
    <s v="万邦"/>
    <s v="盐田海卡"/>
    <s v="TCY1"/>
    <x v="94"/>
    <s v="AN8KIT-B_B_2X30K02 AN8黑色机器两个装+2X30mL香氛油（天竺） 机油套装"/>
    <x v="4"/>
    <n v="14"/>
    <n v="237.26315789473682"/>
    <s v="重量收费"/>
    <n v="4.2"/>
    <n v="200"/>
    <n v="17.073170731707318"/>
    <n v="1013.578433889602"/>
    <n v="3.6199229781771503"/>
    <n v="0.54028701166823134"/>
    <m/>
    <m/>
    <m/>
    <x v="28"/>
    <d v="2026-05-28T00:00:00"/>
    <m/>
    <n v="0.518139534883721"/>
    <n v="145.07906976744187"/>
    <m/>
    <m/>
    <m/>
    <m/>
    <m/>
    <m/>
    <m/>
    <m/>
    <m/>
  </r>
  <r>
    <m/>
    <s v="W17009"/>
    <s v="FBA19BY2DDBJ"/>
    <s v="V-US"/>
    <x v="0"/>
    <s v="ADXKIT-B_4X10K04_TZ"/>
    <n v="270"/>
    <s v="嘀嗒嘀"/>
    <s v="美森海卡"/>
    <s v="GEU2"/>
    <x v="54"/>
    <s v="ADXKIT-B_4X10K04_TZ ADX黑色机器+4x10mL酒店（天竺）香氛油 机油套装"/>
    <x v="2"/>
    <n v="9"/>
    <n v="155"/>
    <s v="重量收费"/>
    <n v="9"/>
    <m/>
    <n v="94.736842105263165"/>
    <n v="1489.7368421052631"/>
    <n v="5.5175438596491224"/>
    <n v="0.82351400890285409"/>
    <m/>
    <m/>
    <m/>
    <x v="28"/>
    <d v="2026-05-17T00:00:00"/>
    <m/>
    <n v="0.44"/>
    <n v="118.8"/>
    <d v="2026-05-22T00:00:00"/>
    <m/>
    <m/>
    <m/>
    <m/>
    <m/>
    <m/>
    <m/>
    <m/>
  </r>
  <r>
    <m/>
    <s v="W17008"/>
    <s v="FBA19BRD7JZ3"/>
    <s v="K-US"/>
    <x v="0"/>
    <s v="RDX-B_US"/>
    <n v="270"/>
    <s v="国润通"/>
    <s v="盐田海卡"/>
    <s v="GEU2"/>
    <x v="125"/>
    <s v="RDX-B_US 智能扩香仪 黑色"/>
    <x v="25"/>
    <n v="30"/>
    <n v="464.40000000000003"/>
    <s v="重量收费"/>
    <n v="3.8"/>
    <n v="200"/>
    <n v="120"/>
    <n v="1884.72"/>
    <n v="6.9804444444444442"/>
    <n v="1.0418573797678274"/>
    <m/>
    <m/>
    <m/>
    <x v="27"/>
    <d v="2026-05-19T00:00:00"/>
    <m/>
    <n v="0.7"/>
    <n v="189"/>
    <d v="2026-05-28T00:00:00"/>
    <m/>
    <m/>
    <m/>
    <m/>
    <m/>
    <m/>
    <m/>
    <m/>
  </r>
  <r>
    <m/>
    <s v="W17008"/>
    <s v="FBA19BRD7JZ3"/>
    <s v="K-US"/>
    <x v="0"/>
    <s v="RDX-SILV_US"/>
    <n v="180"/>
    <s v="国润通"/>
    <s v="盐田海卡"/>
    <s v="GEU2"/>
    <x v="139"/>
    <s v="RDX-SILV_US 智能扩香仪 银色"/>
    <x v="25"/>
    <n v="20"/>
    <n v="309.60000000000002"/>
    <s v="重量收费"/>
    <n v="3.8"/>
    <n v="200"/>
    <n v="80"/>
    <n v="1256.48"/>
    <n v="6.9804444444444442"/>
    <n v="1.0418573797678274"/>
    <m/>
    <m/>
    <m/>
    <x v="27"/>
    <d v="2026-05-19T00:00:00"/>
    <m/>
    <n v="0.7"/>
    <n v="125.99999999999999"/>
    <d v="2026-05-28T00:00:00"/>
    <m/>
    <m/>
    <m/>
    <m/>
    <m/>
    <m/>
    <m/>
    <m/>
  </r>
  <r>
    <m/>
    <s v="W17007"/>
    <s v="FBA19BRN46FT"/>
    <s v="K-US"/>
    <x v="0"/>
    <s v="RDXKIT-B_US_2X100K04"/>
    <n v="234"/>
    <s v="万邦"/>
    <s v="盐田海卡"/>
    <s v="GEU3"/>
    <x v="112"/>
    <s v="RDXKIT-B_US_2X100K04 RDX黑色机器+2X100mL酒店香氛油（天竺） 机油套装"/>
    <x v="25"/>
    <n v="26"/>
    <n v="384.91304347826087"/>
    <s v="重量收费"/>
    <n v="4.9000000000000004"/>
    <n v="200"/>
    <n v="113.04347826086956"/>
    <n v="1999.1173913043478"/>
    <n v="8.5432367149758459"/>
    <n v="1.2751099574590814"/>
    <m/>
    <m/>
    <m/>
    <x v="28"/>
    <d v="2026-05-19T00:00:00"/>
    <m/>
    <n v="0.70000000000000007"/>
    <n v="163.80000000000001"/>
    <d v="2026-05-28T00:00:00"/>
    <m/>
    <m/>
    <m/>
    <m/>
    <m/>
    <m/>
    <m/>
    <m/>
  </r>
  <r>
    <m/>
    <s v="W17007"/>
    <s v="FBA19BRN46FT"/>
    <s v="K-US"/>
    <x v="0"/>
    <s v="RDXKIT-SILV_US_2X100K04"/>
    <n v="180"/>
    <s v="万邦"/>
    <s v="盐田海卡"/>
    <s v="GEU3"/>
    <x v="140"/>
    <s v="RDXKIT-SILV_US_2X100K04 RDX银色机器+2X100mL酒店香氛油（天竺） 机油套装"/>
    <x v="25"/>
    <n v="20"/>
    <n v="296.08695652173913"/>
    <s v="重量收费"/>
    <n v="4.9000000000000004"/>
    <m/>
    <n v="86.956521739130437"/>
    <n v="1537.7826086956522"/>
    <n v="8.5432367149758459"/>
    <n v="1.2751099574590814"/>
    <m/>
    <m/>
    <m/>
    <x v="28"/>
    <d v="2026-05-19T00:00:00"/>
    <m/>
    <n v="0.70000000000000007"/>
    <n v="126.00000000000001"/>
    <d v="2026-05-28T00:00:00"/>
    <m/>
    <m/>
    <m/>
    <m/>
    <m/>
    <m/>
    <m/>
    <m/>
  </r>
  <r>
    <m/>
    <s v="W17005"/>
    <s v="FBA19BS9WBMQ"/>
    <s v="V-CA"/>
    <x v="3"/>
    <s v="001000045"/>
    <n v="120"/>
    <s v="万邦"/>
    <s v="加拿大海卡"/>
    <s v="YXU1"/>
    <x v="1"/>
    <s v="ANX-B 便携式扩香仪 黑色"/>
    <x v="1"/>
    <n v="4"/>
    <n v="50.285714285714285"/>
    <s v="重量收费"/>
    <n v="6"/>
    <n v="200"/>
    <n v="114.28571428571429"/>
    <n v="416"/>
    <n v="3.4666666666666668"/>
    <n v="0.51741293532338306"/>
    <m/>
    <m/>
    <m/>
    <x v="28"/>
    <d v="2026-05-26T00:00:00"/>
    <m/>
    <n v="0"/>
    <n v="0"/>
    <m/>
    <m/>
    <m/>
    <m/>
    <m/>
    <m/>
    <m/>
    <m/>
    <m/>
  </r>
  <r>
    <m/>
    <s v="W17005"/>
    <s v="FBA19BS9WBMQ"/>
    <s v="V-CA"/>
    <x v="3"/>
    <s v="001000052"/>
    <n v="30"/>
    <s v="万邦"/>
    <s v="加拿大海卡"/>
    <s v="YXU1"/>
    <x v="37"/>
    <s v="ANX-DT 便携式扩香仪 沙漠钛色"/>
    <x v="1"/>
    <n v="1"/>
    <n v="12.571428571428571"/>
    <s v="重量收费"/>
    <n v="6"/>
    <n v="200"/>
    <n v="28.571428571428573"/>
    <n v="104"/>
    <n v="3.4666666666666668"/>
    <n v="0.51741293532338306"/>
    <m/>
    <m/>
    <m/>
    <x v="28"/>
    <d v="2026-05-26T00:00:00"/>
    <m/>
    <n v="0"/>
    <n v="0"/>
    <m/>
    <m/>
    <m/>
    <m/>
    <m/>
    <m/>
    <m/>
    <m/>
    <m/>
  </r>
  <r>
    <m/>
    <s v="W17005"/>
    <s v="FBA19BS9WBMQ"/>
    <s v="V-CA"/>
    <x v="3"/>
    <s v="001000051"/>
    <n v="60"/>
    <s v="万邦"/>
    <s v="加拿大海卡"/>
    <s v="YXU1"/>
    <x v="4"/>
    <s v="ANX-SG 便携式扩香仪 太空灰色"/>
    <x v="1"/>
    <n v="2"/>
    <n v="25.142857142857142"/>
    <s v="重量收费"/>
    <n v="6"/>
    <m/>
    <n v="57.142857142857146"/>
    <n v="208"/>
    <n v="3.4666666666666668"/>
    <n v="0.51741293532338306"/>
    <m/>
    <m/>
    <m/>
    <x v="28"/>
    <d v="2026-05-26T00:00:00"/>
    <m/>
    <n v="0"/>
    <n v="0"/>
    <m/>
    <m/>
    <m/>
    <m/>
    <m/>
    <m/>
    <m/>
    <m/>
    <m/>
  </r>
  <r>
    <m/>
    <s v="W17006"/>
    <s v="FBA19BRK5DWK"/>
    <s v="W-US"/>
    <x v="0"/>
    <s v="G1-B"/>
    <n v="160"/>
    <s v="国润通"/>
    <s v="盐田海卡"/>
    <s v="GEU3"/>
    <x v="63"/>
    <s v="G1-B 电子球形把手锁 黑色"/>
    <x v="12"/>
    <n v="10"/>
    <n v="145.66265060240963"/>
    <s v="重量收费"/>
    <n v="3.8"/>
    <n v="200"/>
    <n v="11.494252873563218"/>
    <n v="565.01232516271978"/>
    <n v="3.5313270322669985"/>
    <n v="0.5270637361592535"/>
    <m/>
    <m/>
    <m/>
    <x v="26"/>
    <d v="2026-05-15T00:00:00"/>
    <m/>
    <n v="0.55999999999999994"/>
    <n v="89.6"/>
    <m/>
    <m/>
    <m/>
    <m/>
    <m/>
    <m/>
    <m/>
    <m/>
    <m/>
  </r>
  <r>
    <m/>
    <s v="W17006"/>
    <s v="FBA19BRK5DWK"/>
    <s v="W-US"/>
    <x v="0"/>
    <s v="G1-SILV"/>
    <n v="160"/>
    <s v="国润通"/>
    <s v="盐田海卡"/>
    <s v="GEU3"/>
    <x v="65"/>
    <s v="G1-SILV 电子球形把手锁 银色"/>
    <x v="12"/>
    <n v="10"/>
    <n v="145.66265060240963"/>
    <s v="重量收费"/>
    <n v="3.8"/>
    <n v="200"/>
    <n v="11.494252873563218"/>
    <n v="565.01232516271978"/>
    <n v="3.5313270322669985"/>
    <n v="0.5270637361592535"/>
    <m/>
    <m/>
    <m/>
    <x v="26"/>
    <d v="2026-05-15T00:00:00"/>
    <m/>
    <n v="0.55999999999999994"/>
    <n v="89.6"/>
    <m/>
    <m/>
    <m/>
    <m/>
    <m/>
    <m/>
    <m/>
    <m/>
    <m/>
  </r>
  <r>
    <m/>
    <s v="W17006"/>
    <s v="FBA19BRK5DWK"/>
    <s v="W-US"/>
    <x v="0"/>
    <s v="002000029"/>
    <n v="448"/>
    <s v="国润通"/>
    <s v="盐田海卡"/>
    <s v="GEU3"/>
    <x v="81"/>
    <s v="MD1-B 电子球形把手锁 指纹 黑色"/>
    <x v="19"/>
    <n v="28"/>
    <n v="407.85542168674698"/>
    <s v="重量收费"/>
    <n v="3.8"/>
    <m/>
    <n v="32.183908045977013"/>
    <n v="1582.0345104556154"/>
    <n v="3.5313270322669985"/>
    <n v="0.5270637361592535"/>
    <m/>
    <m/>
    <m/>
    <x v="26"/>
    <d v="2026-05-15T00:00:00"/>
    <m/>
    <n v="0.55999999999999994"/>
    <n v="250.87999999999997"/>
    <m/>
    <m/>
    <m/>
    <m/>
    <m/>
    <m/>
    <m/>
    <m/>
    <m/>
  </r>
  <r>
    <m/>
    <s v="W17006"/>
    <s v="FBA19BRK5DWK"/>
    <s v="W-US"/>
    <x v="0"/>
    <s v="002000038"/>
    <n v="480"/>
    <s v="国润通"/>
    <s v="盐田海卡"/>
    <s v="GEU3"/>
    <x v="82"/>
    <s v="MD1-SILV 电子球形把手锁 指纹 银色"/>
    <x v="19"/>
    <n v="30"/>
    <n v="436.98795180722891"/>
    <s v="重量收费"/>
    <n v="3.8"/>
    <m/>
    <n v="34.482758620689658"/>
    <n v="1695.0369754881594"/>
    <n v="3.531327032266999"/>
    <n v="0.52706373615925362"/>
    <m/>
    <m/>
    <m/>
    <x v="26"/>
    <d v="2026-05-15T00:00:00"/>
    <m/>
    <n v="0.55999999999999994"/>
    <n v="268.79999999999995"/>
    <m/>
    <m/>
    <m/>
    <m/>
    <m/>
    <m/>
    <m/>
    <m/>
    <m/>
  </r>
  <r>
    <m/>
    <s v="W17006"/>
    <s v="FBA19BRK5DWK"/>
    <s v="W-US"/>
    <x v="0"/>
    <s v="002000031"/>
    <n v="80"/>
    <s v="国润通"/>
    <s v="盐田海卡"/>
    <s v="GEU3"/>
    <x v="84"/>
    <s v="MK1-B 智能球形把手锁 黑色"/>
    <x v="20"/>
    <n v="5"/>
    <n v="72.831325301204814"/>
    <s v="重量收费"/>
    <n v="3.8"/>
    <m/>
    <n v="5.7471264367816088"/>
    <n v="282.50616258135989"/>
    <n v="3.5313270322669985"/>
    <n v="0.5270637361592535"/>
    <m/>
    <m/>
    <m/>
    <x v="26"/>
    <d v="2026-05-15T00:00:00"/>
    <m/>
    <n v="0.55999999999999994"/>
    <n v="44.8"/>
    <m/>
    <m/>
    <m/>
    <m/>
    <m/>
    <m/>
    <m/>
    <m/>
    <m/>
  </r>
  <r>
    <m/>
    <s v="W17003"/>
    <s v="FBA19BRWKFV5"/>
    <s v="V-US"/>
    <x v="0"/>
    <s v="ANAKIT-WH_US_2X100K03"/>
    <n v="480"/>
    <s v="万邦"/>
    <s v="盐田海卡"/>
    <s v="TCY1"/>
    <x v="43"/>
    <s v="ANAKIT-WH_US_2X100K03 ANA白色机器+2X100mL酒店香氛油（天竺） 机油套装"/>
    <x v="9"/>
    <n v="40"/>
    <n v="676.12815533980574"/>
    <s v="重量收费"/>
    <n v="4.2"/>
    <n v="200"/>
    <n v="48.780487804878049"/>
    <n v="2888.5187402320626"/>
    <n v="6.0177473754834638"/>
    <n v="0.89817125007215881"/>
    <m/>
    <m/>
    <m/>
    <x v="26"/>
    <d v="2026-05-28T00:00:00"/>
    <m/>
    <n v="0.55999999999999994"/>
    <n v="268.79999999999995"/>
    <m/>
    <m/>
    <m/>
    <m/>
    <m/>
    <m/>
    <m/>
    <m/>
    <m/>
  </r>
  <r>
    <m/>
    <s v="W17003"/>
    <s v="FBA19BRWKFV5"/>
    <s v="V-US"/>
    <x v="0"/>
    <s v="ANWKIT-WH_US_2X100K03"/>
    <n v="756"/>
    <s v="万邦"/>
    <s v="盐田海卡"/>
    <s v="TCY1"/>
    <x v="44"/>
    <s v="ANWKIT-WH_US_2X100K03 ANW白色机器+2X100mL酒店香氛油（天竺） 机油套装"/>
    <x v="10"/>
    <n v="63"/>
    <n v="1064.9018446601942"/>
    <s v="重量收费"/>
    <n v="4.2"/>
    <n v="200"/>
    <n v="76.829268292682926"/>
    <n v="4549.4170158654988"/>
    <n v="6.0177473754834638"/>
    <n v="0.89817125007215881"/>
    <m/>
    <m/>
    <m/>
    <x v="26"/>
    <d v="2026-05-28T00:00:00"/>
    <m/>
    <n v="0.55999999999999994"/>
    <n v="423.35999999999996"/>
    <m/>
    <m/>
    <m/>
    <m/>
    <m/>
    <m/>
    <m/>
    <m/>
    <m/>
  </r>
  <r>
    <m/>
    <s v="W17003"/>
    <s v="FBA19BRVKMS2"/>
    <s v="V-US"/>
    <x v="0"/>
    <s v="001000033"/>
    <n v="252"/>
    <s v="万邦"/>
    <s v="盐田海卡"/>
    <s v="TCY1"/>
    <x v="41"/>
    <s v="ANW-W 智能扩香仪 白色"/>
    <x v="10"/>
    <n v="21"/>
    <n v="354.97"/>
    <s v="重量收费"/>
    <n v="4.2"/>
    <m/>
    <n v="25.609756097560975"/>
    <n v="1516.4837560975611"/>
    <n v="6.0177926829268298"/>
    <n v="0.89817801237713879"/>
    <m/>
    <m/>
    <m/>
    <x v="26"/>
    <d v="2026-05-28T00:00:00"/>
    <m/>
    <n v="0.68857142857142861"/>
    <n v="173.52"/>
    <m/>
    <m/>
    <m/>
    <m/>
    <m/>
    <m/>
    <m/>
    <m/>
    <m/>
  </r>
  <r>
    <m/>
    <s v="W17004"/>
    <s v="FBA19BRVNNYF"/>
    <s v="A-CA"/>
    <x v="3"/>
    <s v="002000020"/>
    <n v="192"/>
    <s v="国润通"/>
    <s v="加拿大海卡"/>
    <s v="YYC4"/>
    <x v="66"/>
    <s v="H2-B 电子指纹球形把手锁-黑色"/>
    <x v="13"/>
    <n v="16"/>
    <n v="221.47368421052633"/>
    <s v="重量收费"/>
    <n v="5.3"/>
    <n v="200"/>
    <n v="84.21052631578948"/>
    <n v="1258.0210526315791"/>
    <n v="6.5521929824561411"/>
    <n v="0.97793925111285684"/>
    <m/>
    <m/>
    <m/>
    <x v="26"/>
    <d v="2026-05-19T00:00:00"/>
    <m/>
    <n v="0"/>
    <n v="0"/>
    <m/>
    <m/>
    <m/>
    <m/>
    <m/>
    <m/>
    <m/>
    <m/>
    <m/>
  </r>
  <r>
    <m/>
    <s v="W17004"/>
    <s v="FBA19BRVNNYF"/>
    <s v="A-CA"/>
    <x v="3"/>
    <s v="002000022"/>
    <n v="84"/>
    <s v="国润通"/>
    <s v="加拿大海卡"/>
    <s v="YYC4"/>
    <x v="126"/>
    <s v="H2-G 电子指纹球形把手锁-灰色"/>
    <x v="13"/>
    <n v="7"/>
    <n v="96.894736842105274"/>
    <s v="重量收费"/>
    <n v="5.3"/>
    <n v="200"/>
    <n v="36.842105263157897"/>
    <n v="550.38421052631588"/>
    <n v="6.5521929824561411"/>
    <n v="0.97793925111285684"/>
    <m/>
    <m/>
    <m/>
    <x v="26"/>
    <d v="2026-05-19T00:00:00"/>
    <m/>
    <n v="0"/>
    <n v="0"/>
    <m/>
    <m/>
    <m/>
    <m/>
    <m/>
    <m/>
    <m/>
    <m/>
    <m/>
  </r>
  <r>
    <m/>
    <s v="W17004"/>
    <s v="FBA19BRVNNYF"/>
    <s v="A-CA"/>
    <x v="3"/>
    <s v="002000001"/>
    <n v="180"/>
    <s v="国润通"/>
    <s v="加拿大海卡"/>
    <s v="YYC4"/>
    <x v="106"/>
    <s v="K1-B 电子球形把手锁-黑色"/>
    <x v="24"/>
    <n v="15"/>
    <n v="207.63157894736844"/>
    <s v="重量收费"/>
    <n v="5.3"/>
    <m/>
    <n v="78.94736842105263"/>
    <n v="1179.3947368421054"/>
    <n v="6.5521929824561411"/>
    <n v="0.97793925111285684"/>
    <m/>
    <m/>
    <m/>
    <x v="26"/>
    <d v="2026-05-19T00:00:00"/>
    <m/>
    <n v="0"/>
    <n v="0"/>
    <m/>
    <m/>
    <m/>
    <m/>
    <m/>
    <m/>
    <m/>
    <m/>
    <m/>
  </r>
  <r>
    <m/>
    <s v="W17010"/>
    <s v="FBA19C2Q5YYR"/>
    <s v="K-US"/>
    <x v="0"/>
    <s v="RD2-B"/>
    <n v="300"/>
    <s v="万邦"/>
    <s v="盐田海卡"/>
    <s v="TCY1"/>
    <x v="141"/>
    <s v="RD2-B 便携式扩香仪 黑色"/>
    <x v="30"/>
    <n v="10"/>
    <n v="157"/>
    <s v="重量收费"/>
    <n v="4.2"/>
    <n v="200"/>
    <n v="200"/>
    <n v="859.4"/>
    <n v="2.8646666666666665"/>
    <n v="0.42756218905472632"/>
    <m/>
    <m/>
    <m/>
    <x v="28"/>
    <d v="2026-05-28T00:00:00"/>
    <m/>
    <n v="0.44"/>
    <n v="132"/>
    <m/>
    <m/>
    <m/>
    <m/>
    <m/>
    <m/>
    <m/>
    <m/>
    <m/>
  </r>
  <r>
    <m/>
    <s v="W18005"/>
    <s v="FBA19C5419DM"/>
    <s v="E-US"/>
    <x v="0"/>
    <s v="ANZKIT-B_B_2X30K01"/>
    <n v="80"/>
    <s v="嘀嗒嘀"/>
    <s v="盐田海卡"/>
    <s v="POC3"/>
    <x v="142"/>
    <s v="ANZKIT-B_B_2X30K01 ANZ黑色机器两个装+2X30毫升香氛油（天竺） 机油套装"/>
    <x v="0"/>
    <n v="4"/>
    <n v="68"/>
    <s v="重量收费"/>
    <n v="3.9"/>
    <n v="200"/>
    <n v="8.6021505376344081"/>
    <n v="273.80215053763442"/>
    <n v="3.4225268817204304"/>
    <n v="0.5108249077194672"/>
    <m/>
    <m/>
    <m/>
    <x v="29"/>
    <d v="2026-05-24T00:00:00"/>
    <m/>
    <n v="0.55999999999999994"/>
    <n v="44.8"/>
    <m/>
    <m/>
    <m/>
    <m/>
    <m/>
    <m/>
    <m/>
    <m/>
    <m/>
  </r>
  <r>
    <m/>
    <s v="W18006"/>
    <s v="FBA19C4KVPDZ"/>
    <s v="E-US"/>
    <x v="0"/>
    <s v="ANZ-WH"/>
    <n v="600"/>
    <s v="嘀嗒嘀"/>
    <s v="美森海卡"/>
    <s v="TCY2"/>
    <x v="53"/>
    <s v="ANZ-WH 便携式扩香仪 白色"/>
    <x v="0"/>
    <n v="15"/>
    <n v="204"/>
    <s v="重量收费"/>
    <n v="8.4"/>
    <n v="200"/>
    <n v="200"/>
    <n v="1913.6000000000001"/>
    <n v="3.1893333333333334"/>
    <n v="0.47601990049751242"/>
    <m/>
    <m/>
    <m/>
    <x v="29"/>
    <d v="2026-05-25T00:00:00"/>
    <m/>
    <n v="0.36"/>
    <n v="216"/>
    <m/>
    <m/>
    <m/>
    <m/>
    <m/>
    <m/>
    <m/>
    <m/>
    <m/>
  </r>
  <r>
    <m/>
    <s v="W18003"/>
    <s v="FBA19C54L6RG"/>
    <s v="V-US"/>
    <x v="0"/>
    <s v="001000019"/>
    <n v="1600"/>
    <s v="国润通"/>
    <s v="盐田海卡"/>
    <s v="TCY2"/>
    <x v="17"/>
    <s v="AN6-B 便携式扩香仪 黑色"/>
    <x v="3"/>
    <n v="40"/>
    <n v="555.00224719101129"/>
    <s v="重量收费"/>
    <n v="3.8"/>
    <n v="200"/>
    <n v="40"/>
    <n v="2149.0085393258428"/>
    <n v="1.3431303370786518"/>
    <n v="0.20046721448935101"/>
    <m/>
    <m/>
    <m/>
    <x v="29"/>
    <d v="2026-05-24T00:00:00"/>
    <m/>
    <n v="0.37890909090909092"/>
    <n v="606.25454545454545"/>
    <m/>
    <m/>
    <m/>
    <m/>
    <m/>
    <m/>
    <m/>
    <m/>
    <m/>
  </r>
  <r>
    <m/>
    <s v="W18003"/>
    <s v="FBA19C54L6RG"/>
    <s v="V-US"/>
    <x v="0"/>
    <s v="001000039"/>
    <n v="200"/>
    <s v="国润通"/>
    <s v="盐田海卡"/>
    <s v="TCY2"/>
    <x v="35"/>
    <s v="AN6-GL 便携式扩香仪 翠百合色"/>
    <x v="3"/>
    <n v="5"/>
    <n v="69.375280898876412"/>
    <s v="重量收费"/>
    <n v="3.8"/>
    <n v="200"/>
    <n v="5"/>
    <n v="268.62606741573035"/>
    <n v="1.3431303370786518"/>
    <n v="0.20046721448935101"/>
    <m/>
    <m/>
    <m/>
    <x v="29"/>
    <d v="2026-05-24T00:00:00"/>
    <m/>
    <n v="0.37890909090909092"/>
    <n v="75.781818181818181"/>
    <m/>
    <m/>
    <m/>
    <m/>
    <m/>
    <m/>
    <m/>
    <m/>
    <m/>
  </r>
  <r>
    <m/>
    <s v="W18003"/>
    <s v="FBA19C54L6RG"/>
    <s v="V-US"/>
    <x v="0"/>
    <s v="AN6-LV"/>
    <n v="200"/>
    <s v="国润通"/>
    <s v="盐田海卡"/>
    <s v="TCY2"/>
    <x v="68"/>
    <s v="AN6-LV 便携式扩香仪 薰衣草"/>
    <x v="3"/>
    <n v="5"/>
    <n v="69.375280898876412"/>
    <s v="重量收费"/>
    <n v="3.8"/>
    <m/>
    <n v="5"/>
    <n v="268.62606741573035"/>
    <n v="1.3431303370786518"/>
    <n v="0.20046721448935101"/>
    <m/>
    <m/>
    <m/>
    <x v="29"/>
    <d v="2026-05-24T00:00:00"/>
    <m/>
    <n v="0.37890909090909092"/>
    <n v="75.781818181818181"/>
    <m/>
    <m/>
    <m/>
    <m/>
    <m/>
    <m/>
    <m/>
    <m/>
    <m/>
  </r>
  <r>
    <m/>
    <s v="W18003"/>
    <s v="FBA19C54L6RG"/>
    <s v="V-US"/>
    <x v="0"/>
    <s v="001000020"/>
    <n v="520"/>
    <s v="国润通"/>
    <s v="盐田海卡"/>
    <s v="TCY2"/>
    <x v="18"/>
    <s v="AN6-W 便携式扩香仪 白色"/>
    <x v="3"/>
    <n v="13"/>
    <n v="180.37573033707866"/>
    <s v="重量收费"/>
    <n v="3.8"/>
    <m/>
    <n v="13"/>
    <n v="698.42777528089891"/>
    <n v="1.3431303370786518"/>
    <n v="0.20046721448935101"/>
    <m/>
    <m/>
    <m/>
    <x v="29"/>
    <d v="2026-05-24T00:00:00"/>
    <m/>
    <n v="0.37890909090909092"/>
    <n v="197.03272727272727"/>
    <m/>
    <m/>
    <m/>
    <m/>
    <m/>
    <m/>
    <m/>
    <m/>
    <m/>
  </r>
  <r>
    <m/>
    <s v="W18003"/>
    <s v="FBA19C54L6RG"/>
    <s v="V-US"/>
    <x v="0"/>
    <s v="RD1-B"/>
    <n v="210"/>
    <s v="国润通"/>
    <s v="盐田海卡"/>
    <s v="TCY2"/>
    <x v="101"/>
    <s v="RD1-B 便携式扩香仪 黑色"/>
    <x v="23"/>
    <n v="7"/>
    <n v="97.125393258426968"/>
    <s v="重量收费"/>
    <n v="3.8"/>
    <m/>
    <n v="7"/>
    <n v="376.07649438202247"/>
    <n v="1.7908404494382022"/>
    <n v="0.26728961931913464"/>
    <m/>
    <m/>
    <m/>
    <x v="29"/>
    <d v="2026-05-24T00:00:00"/>
    <m/>
    <n v="0.37890909090909092"/>
    <n v="79.570909090909097"/>
    <m/>
    <m/>
    <m/>
    <m/>
    <m/>
    <m/>
    <m/>
    <m/>
    <m/>
  </r>
  <r>
    <m/>
    <s v="W18003"/>
    <s v="FBA19C54L6RG"/>
    <s v="V-US"/>
    <x v="0"/>
    <s v="RD1-DT"/>
    <n v="210"/>
    <s v="国润通"/>
    <s v="盐田海卡"/>
    <s v="TCY2"/>
    <x v="110"/>
    <s v="RD1-DT 便携式扩香仪 沙漠钛色"/>
    <x v="23"/>
    <n v="7"/>
    <n v="97.125393258426968"/>
    <s v="重量收费"/>
    <n v="3.8"/>
    <m/>
    <n v="7"/>
    <n v="376.07649438202247"/>
    <n v="1.7908404494382022"/>
    <n v="0.26728961931913464"/>
    <m/>
    <m/>
    <m/>
    <x v="29"/>
    <d v="2026-05-24T00:00:00"/>
    <m/>
    <n v="0.37890909090909092"/>
    <n v="79.570909090909097"/>
    <m/>
    <m/>
    <m/>
    <m/>
    <m/>
    <m/>
    <m/>
    <m/>
    <m/>
  </r>
  <r>
    <m/>
    <s v="W18003"/>
    <s v="FBA19C54L6RG"/>
    <s v="V-US"/>
    <x v="0"/>
    <s v="RD1-G"/>
    <n v="300"/>
    <s v="国润通"/>
    <s v="盐田海卡"/>
    <s v="TCY2"/>
    <x v="143"/>
    <s v="RD1-G 便携式扩香仪 灰色"/>
    <x v="23"/>
    <n v="10"/>
    <n v="138.75056179775282"/>
    <s v="重量收费"/>
    <n v="3.8"/>
    <m/>
    <n v="10"/>
    <n v="537.25213483146069"/>
    <n v="1.7908404494382024"/>
    <n v="0.2672896193191347"/>
    <m/>
    <m/>
    <m/>
    <x v="29"/>
    <d v="2026-05-24T00:00:00"/>
    <m/>
    <n v="0.37890909090909092"/>
    <n v="113.67272727272727"/>
    <m/>
    <m/>
    <m/>
    <m/>
    <m/>
    <m/>
    <m/>
    <m/>
    <m/>
  </r>
  <r>
    <m/>
    <s v="W18003"/>
    <s v="FBA19C54L6RG"/>
    <s v="V-US"/>
    <x v="0"/>
    <s v="AND-B"/>
    <n v="60"/>
    <s v="国润通"/>
    <s v="盐田海卡"/>
    <s v="TCY2"/>
    <x v="20"/>
    <s v="AND-B 便携式双喷扩香仪 黑色"/>
    <x v="5"/>
    <n v="2"/>
    <n v="27.750112359550563"/>
    <s v="重量收费"/>
    <n v="3.8"/>
    <m/>
    <n v="2"/>
    <n v="107.45042696629214"/>
    <n v="1.7908404494382024"/>
    <n v="0.2672896193191347"/>
    <m/>
    <m/>
    <m/>
    <x v="29"/>
    <d v="2026-05-24T00:00:00"/>
    <m/>
    <n v="0.37890909090909092"/>
    <n v="22.734545454545454"/>
    <m/>
    <m/>
    <m/>
    <m/>
    <m/>
    <m/>
    <m/>
    <m/>
    <m/>
  </r>
  <r>
    <m/>
    <s v="W18005"/>
    <s v="FBA19C53QL9F"/>
    <s v="V-US"/>
    <x v="0"/>
    <s v="AN6KIT-B_RZ30ml"/>
    <n v="330"/>
    <s v="嘀嗒嘀"/>
    <s v="盐田海卡"/>
    <s v="TCY2"/>
    <x v="8"/>
    <s v="AN6KIT-B_RZ30ml AN6黑色机器+30mL丽思香氛油 机油套装"/>
    <x v="3"/>
    <n v="11"/>
    <n v="171.08055555555555"/>
    <s v="重量收费"/>
    <n v="4"/>
    <n v="200"/>
    <n v="23.655913978494624"/>
    <n v="707.97813620071679"/>
    <n v="2.1453882915173237"/>
    <n v="0.32020720768915278"/>
    <m/>
    <m/>
    <m/>
    <x v="29"/>
    <d v="2026-05-24T00:00:00"/>
    <m/>
    <n v="0.44"/>
    <n v="145.19999999999999"/>
    <m/>
    <m/>
    <m/>
    <m/>
    <m/>
    <m/>
    <m/>
    <m/>
    <m/>
  </r>
  <r>
    <m/>
    <s v="W18005"/>
    <s v="FBA19C53QL9F"/>
    <s v="V-US"/>
    <x v="0"/>
    <s v="AN8KIT-B_4X10K02"/>
    <n v="210"/>
    <s v="嘀嗒嘀"/>
    <s v="盐田海卡"/>
    <s v="TCY2"/>
    <x v="11"/>
    <s v="AN8KIT-B_4X10K02 AN8黑色机器+4x10mL（天竺）香氛油 机油套装"/>
    <x v="4"/>
    <n v="7"/>
    <n v="108.86944444444444"/>
    <s v="重量收费"/>
    <n v="4"/>
    <n v="200"/>
    <n v="15.053763440860216"/>
    <n v="450.53154121863798"/>
    <n v="2.1453882915173237"/>
    <n v="0.32020720768915278"/>
    <m/>
    <m/>
    <m/>
    <x v="29"/>
    <d v="2026-05-24T00:00:00"/>
    <m/>
    <n v="0.44"/>
    <n v="92.4"/>
    <m/>
    <m/>
    <m/>
    <m/>
    <m/>
    <m/>
    <m/>
    <m/>
    <m/>
  </r>
  <r>
    <m/>
    <s v="W18004"/>
    <s v="FBA19C5HZZP9"/>
    <s v="K-US"/>
    <x v="0"/>
    <s v="RD2KIT-SILV_2X30K07_TZ"/>
    <n v="200"/>
    <s v="嘀嗒嘀"/>
    <s v="盐田海卡"/>
    <s v="TCY2"/>
    <x v="144"/>
    <s v="RD2KIT-SILV_2X30K07_TZ RD2银色机器+2X30mL酒店香氛油（天竺）  机油套装"/>
    <x v="30"/>
    <n v="10"/>
    <n v="142.13999999999999"/>
    <s v="重量收费"/>
    <n v="4"/>
    <n v="200"/>
    <n v="36.363636363636367"/>
    <n v="604.92363636363632"/>
    <n v="3.0246181818181817"/>
    <n v="0.45143554952510173"/>
    <m/>
    <m/>
    <m/>
    <x v="29"/>
    <d v="2026-05-24T00:00:00"/>
    <m/>
    <n v="0.56000000000000005"/>
    <n v="112.00000000000001"/>
    <m/>
    <m/>
    <m/>
    <m/>
    <m/>
    <m/>
    <m/>
    <m/>
    <m/>
  </r>
  <r>
    <m/>
    <s v="W18004"/>
    <s v="FBA19C5PCDN1"/>
    <s v="K-US"/>
    <x v="0"/>
    <s v="RD2-SILV"/>
    <n v="120"/>
    <s v="嘀嗒嘀"/>
    <s v="盐田海卡"/>
    <s v="TCY2"/>
    <x v="145"/>
    <s v="RD2-SILV 便携式扩香仪 银色"/>
    <x v="30"/>
    <n v="4"/>
    <n v="56.86"/>
    <s v="重量收费"/>
    <n v="4"/>
    <n v="200"/>
    <n v="14.545454545454545"/>
    <n v="241.98545454545453"/>
    <n v="2.0165454545454544"/>
    <n v="0.30097693351424692"/>
    <m/>
    <m/>
    <m/>
    <x v="29"/>
    <d v="2026-05-24T00:00:00"/>
    <m/>
    <n v="0.44"/>
    <n v="52.8"/>
    <m/>
    <m/>
    <m/>
    <m/>
    <m/>
    <m/>
    <m/>
    <m/>
    <m/>
  </r>
  <r>
    <m/>
    <s v="W18004"/>
    <s v="FBA19C5PLM9L"/>
    <s v="K-US"/>
    <x v="0"/>
    <s v="AN6-G"/>
    <n v="40"/>
    <s v="嘀嗒嘀"/>
    <s v="盐田海卡"/>
    <s v="MIT2"/>
    <x v="118"/>
    <s v="AN6-G 便携式扩香仪 灰色"/>
    <x v="3"/>
    <n v="1"/>
    <n v="13.5"/>
    <s v="重量收费"/>
    <n v="3.6"/>
    <m/>
    <n v="3.6363636363636362"/>
    <n v="52.236363636363635"/>
    <n v="1.3059090909090909"/>
    <n v="0.19491180461329716"/>
    <m/>
    <m/>
    <m/>
    <x v="29"/>
    <d v="2026-05-24T00:00:00"/>
    <m/>
    <n v="0.36"/>
    <n v="14.399999999999999"/>
    <m/>
    <m/>
    <m/>
    <m/>
    <m/>
    <m/>
    <m/>
    <m/>
    <m/>
  </r>
  <r>
    <m/>
    <s v="W18004"/>
    <s v="FBA19C5PLM9L"/>
    <s v="K-US"/>
    <x v="0"/>
    <s v="AN6-YG"/>
    <n v="40"/>
    <s v="嘀嗒嘀"/>
    <s v="盐田海卡"/>
    <s v="MIT2"/>
    <x v="19"/>
    <s v="AN6-YG 便携式扩香仪 乳酪色"/>
    <x v="3"/>
    <n v="1"/>
    <n v="13.5"/>
    <s v="重量收费"/>
    <n v="3.6"/>
    <m/>
    <n v="3.6363636363636362"/>
    <n v="52.236363636363635"/>
    <n v="1.3059090909090909"/>
    <n v="0.19491180461329716"/>
    <m/>
    <m/>
    <m/>
    <x v="29"/>
    <d v="2026-05-24T00:00:00"/>
    <m/>
    <n v="0.36"/>
    <n v="14.399999999999999"/>
    <m/>
    <m/>
    <m/>
    <m/>
    <m/>
    <m/>
    <m/>
    <m/>
    <m/>
  </r>
  <r>
    <m/>
    <s v="W18004"/>
    <s v="FBA19CFN1JVG"/>
    <s v="K-US"/>
    <x v="0"/>
    <s v="RD2KIT-B_2X30K06_TZ"/>
    <n v="100"/>
    <s v="嘀嗒嘀"/>
    <s v="盐田海卡"/>
    <s v="GEU3"/>
    <x v="134"/>
    <s v="RD2KIT-B_2X30K06_TZ RD2黑色机器+2X30mL酒店香氛油（天竺）  机油套装"/>
    <x v="30"/>
    <n v="5"/>
    <n v="67"/>
    <s v="重量收费"/>
    <n v="3.6"/>
    <m/>
    <n v="18.181818181818183"/>
    <n v="259.38181818181818"/>
    <n v="2.5938181818181816"/>
    <n v="0.38713704206241517"/>
    <m/>
    <m/>
    <m/>
    <x v="29"/>
    <d v="2026-05-24T00:00:00"/>
    <m/>
    <n v="0.56000000000000005"/>
    <n v="56.000000000000007"/>
    <m/>
    <m/>
    <m/>
    <m/>
    <m/>
    <m/>
    <m/>
    <m/>
    <m/>
  </r>
  <r>
    <m/>
    <s v="W18005"/>
    <s v="FBA19CCGJKBD"/>
    <s v="E-US"/>
    <x v="0"/>
    <s v="001000045"/>
    <n v="150"/>
    <s v="嘀嗒嘀"/>
    <s v="盐田海卡"/>
    <s v="GEU3"/>
    <x v="1"/>
    <s v="ANX-B 便携式扩香仪 黑色"/>
    <x v="1"/>
    <n v="5"/>
    <n v="66.219512195121951"/>
    <s v="重量收费"/>
    <n v="3.6"/>
    <n v="200"/>
    <n v="10.75268817204301"/>
    <n v="249.14293207448205"/>
    <n v="1.660952880496547"/>
    <n v="0.24790341499948462"/>
    <m/>
    <m/>
    <m/>
    <x v="29"/>
    <d v="2026-05-24T00:00:00"/>
    <m/>
    <n v="0.37157232704402515"/>
    <n v="55.735849056603776"/>
    <m/>
    <m/>
    <m/>
    <m/>
    <m/>
    <m/>
    <m/>
    <m/>
    <m/>
  </r>
  <r>
    <m/>
    <s v="W18005"/>
    <s v="FBA19CCGJKBD"/>
    <s v="E-US"/>
    <x v="0"/>
    <s v="ANZ-B"/>
    <n v="1360"/>
    <s v="嘀嗒嘀"/>
    <s v="盐田海卡"/>
    <s v="GEU3"/>
    <x v="0"/>
    <s v="ANZ-B 便携式扩香仪 黑色"/>
    <x v="0"/>
    <n v="34"/>
    <n v="450.29268292682929"/>
    <s v="重量收费"/>
    <n v="3.6"/>
    <n v="200"/>
    <n v="73.118279569892479"/>
    <n v="1694.1719381064781"/>
    <n v="1.2457146603724103"/>
    <n v="0.18592756124961346"/>
    <m/>
    <m/>
    <m/>
    <x v="29"/>
    <d v="2026-05-24T00:00:00"/>
    <m/>
    <n v="0.37157232704402515"/>
    <n v="505.33836477987421"/>
    <m/>
    <m/>
    <m/>
    <m/>
    <m/>
    <m/>
    <m/>
    <m/>
    <m/>
  </r>
  <r>
    <m/>
    <s v="W18005"/>
    <s v="FBA19CCGJKBD"/>
    <s v="E-US"/>
    <x v="0"/>
    <s v="ANZ-B"/>
    <n v="40"/>
    <s v="嘀嗒嘀"/>
    <s v="盐田海卡"/>
    <s v="GEU3"/>
    <x v="0"/>
    <s v="ANZ-B 便携式扩香仪 黑色"/>
    <x v="0"/>
    <n v="1"/>
    <n v="13.24390243902439"/>
    <s v="重量收费"/>
    <n v="3.6"/>
    <m/>
    <n v="2.150537634408602"/>
    <n v="49.828586414896407"/>
    <n v="1.2457146603724101"/>
    <n v="0.18592756124961343"/>
    <m/>
    <m/>
    <m/>
    <x v="29"/>
    <d v="2026-05-24T00:00:00"/>
    <m/>
    <n v="0.37157232704402515"/>
    <n v="14.862893081761007"/>
    <m/>
    <m/>
    <m/>
    <m/>
    <m/>
    <m/>
    <m/>
    <m/>
    <m/>
  </r>
  <r>
    <m/>
    <s v="W18005"/>
    <s v="FBA19CCGJKBD"/>
    <s v="E-US"/>
    <x v="0"/>
    <s v="ANZ-WH"/>
    <n v="40"/>
    <s v="嘀嗒嘀"/>
    <s v="盐田海卡"/>
    <s v="GEU3"/>
    <x v="53"/>
    <s v="ANZ-WH 便携式扩香仪 白色"/>
    <x v="0"/>
    <n v="1"/>
    <n v="13.24390243902439"/>
    <s v="重量收费"/>
    <n v="3.6"/>
    <m/>
    <n v="2.150537634408602"/>
    <n v="49.828586414896407"/>
    <n v="1.2457146603724101"/>
    <n v="0.18592756124961343"/>
    <m/>
    <m/>
    <m/>
    <x v="29"/>
    <d v="2026-05-24T00:00:00"/>
    <m/>
    <n v="0.37157232704402515"/>
    <n v="14.862893081761007"/>
    <m/>
    <m/>
    <m/>
    <m/>
    <m/>
    <m/>
    <m/>
    <m/>
    <m/>
  </r>
  <r>
    <m/>
    <s v="W18003"/>
    <s v="FBA19CCPRKWP"/>
    <s v="V-US"/>
    <x v="0"/>
    <s v="001000019"/>
    <n v="600"/>
    <s v="国润通"/>
    <s v="盐田海卡"/>
    <s v="TCY2"/>
    <x v="17"/>
    <s v="AN6-B 便携式扩香仪 黑色"/>
    <x v="3"/>
    <n v="15"/>
    <n v="208.12"/>
    <s v="重量收费"/>
    <n v="3.8"/>
    <n v="200"/>
    <n v="15"/>
    <n v="805.85599999999999"/>
    <n v="1.3430933333333333"/>
    <n v="0.20046169154228854"/>
    <m/>
    <m/>
    <m/>
    <x v="29"/>
    <d v="2026-05-24T00:00:00"/>
    <m/>
    <n v="0.36"/>
    <n v="216"/>
    <m/>
    <m/>
    <m/>
    <m/>
    <m/>
    <m/>
    <m/>
    <m/>
    <m/>
  </r>
  <r>
    <m/>
    <s v="W18005"/>
    <s v="FBA19CCTKGCQ"/>
    <s v="V-US"/>
    <x v="0"/>
    <s v="ADXKIT-B_4X10K04_TZ"/>
    <n v="300"/>
    <s v="嘀嗒嘀"/>
    <s v="盐田海卡"/>
    <s v="TCY2"/>
    <x v="54"/>
    <s v="ADXKIT-B_4X10K04_TZ ADX黑色机器+4x10mL酒店（天竺）香氛油 机油套装"/>
    <x v="2"/>
    <n v="10"/>
    <n v="155.52500000000001"/>
    <s v="重量收费"/>
    <n v="4"/>
    <n v="200"/>
    <n v="21.50537634408602"/>
    <n v="643.60537634408604"/>
    <n v="2.1453512544802869"/>
    <n v="0.32020167977317715"/>
    <m/>
    <m/>
    <m/>
    <x v="29"/>
    <d v="2026-05-24T00:00:00"/>
    <m/>
    <n v="0.44"/>
    <n v="132"/>
    <m/>
    <m/>
    <m/>
    <m/>
    <m/>
    <m/>
    <m/>
    <m/>
    <m/>
  </r>
  <r>
    <m/>
    <s v="W18005"/>
    <s v="FBA19CCTKGCQ"/>
    <s v="V-US"/>
    <x v="0"/>
    <s v="AN8KIT-WH_4X10K05_TZ"/>
    <n v="300"/>
    <s v="嘀嗒嘀"/>
    <s v="盐田海卡"/>
    <s v="TCY2"/>
    <x v="111"/>
    <s v="AN8KIT-WH_4X10K05_TZ AN8白色机器+4x10mL（天竺）酒店香氛油 机油套装"/>
    <x v="4"/>
    <n v="10"/>
    <n v="155.52500000000001"/>
    <s v="重量收费"/>
    <n v="4"/>
    <n v="200"/>
    <n v="21.50537634408602"/>
    <n v="643.60537634408604"/>
    <n v="2.1453512544802869"/>
    <n v="0.32020167977317715"/>
    <m/>
    <m/>
    <m/>
    <x v="29"/>
    <d v="2026-05-24T00:00:00"/>
    <m/>
    <n v="0.44"/>
    <n v="132"/>
    <m/>
    <m/>
    <m/>
    <m/>
    <m/>
    <m/>
    <m/>
    <m/>
    <m/>
  </r>
  <r>
    <m/>
    <s v="W18003"/>
    <s v="FBA19C5F8QF9"/>
    <s v="V-US"/>
    <x v="0"/>
    <s v="001000032"/>
    <n v="480"/>
    <s v="国润通"/>
    <s v="盐田海卡"/>
    <s v="TCY2"/>
    <x v="40"/>
    <s v="ANW-B 智能扩香仪 黑色"/>
    <x v="10"/>
    <n v="40"/>
    <n v="572.08333333333337"/>
    <s v="重量收费"/>
    <n v="3.8"/>
    <n v="200"/>
    <n v="40"/>
    <n v="2213.9166666666665"/>
    <n v="4.6123263888888886"/>
    <n v="0.68840692371475942"/>
    <m/>
    <m/>
    <m/>
    <x v="29"/>
    <d v="2026-05-24T00:00:00"/>
    <m/>
    <n v="0.53203007518796996"/>
    <n v="255.37443609022557"/>
    <m/>
    <m/>
    <m/>
    <m/>
    <m/>
    <m/>
    <m/>
    <m/>
    <m/>
  </r>
  <r>
    <m/>
    <s v="W18003"/>
    <s v="FBA19C5F8QF9"/>
    <s v="V-US"/>
    <x v="0"/>
    <s v="001000033"/>
    <n v="600"/>
    <s v="国润通"/>
    <s v="盐田海卡"/>
    <s v="TCY2"/>
    <x v="41"/>
    <s v="ANW-W 智能扩香仪 白色"/>
    <x v="10"/>
    <n v="50"/>
    <n v="715.10416666666674"/>
    <s v="重量收费"/>
    <n v="3.8"/>
    <n v="200"/>
    <n v="50"/>
    <n v="2767.3958333333335"/>
    <n v="4.6123263888888895"/>
    <n v="0.68840692371475964"/>
    <m/>
    <m/>
    <m/>
    <x v="29"/>
    <d v="2026-05-24T00:00:00"/>
    <m/>
    <n v="0.53203007518796996"/>
    <n v="319.21804511278197"/>
    <m/>
    <m/>
    <m/>
    <m/>
    <m/>
    <m/>
    <m/>
    <m/>
    <m/>
  </r>
  <r>
    <m/>
    <s v="W18003"/>
    <s v="FBA19C5F8QF9"/>
    <s v="V-US"/>
    <x v="0"/>
    <s v="ANP-W_US"/>
    <n v="160"/>
    <s v="国润通"/>
    <s v="盐田海卡"/>
    <s v="TCY2"/>
    <x v="115"/>
    <s v="ANP-W_US 墙插式智能扩香仪 白色"/>
    <x v="26"/>
    <n v="5"/>
    <n v="71.510416666666671"/>
    <s v="重量收费"/>
    <n v="3.8"/>
    <m/>
    <n v="5"/>
    <n v="276.73958333333331"/>
    <n v="1.7296223958333332"/>
    <n v="0.25815259639303478"/>
    <m/>
    <m/>
    <m/>
    <x v="29"/>
    <d v="2026-05-24T00:00:00"/>
    <m/>
    <n v="0.53203007518796996"/>
    <n v="85.124812030075191"/>
    <m/>
    <m/>
    <m/>
    <m/>
    <m/>
    <m/>
    <m/>
    <m/>
    <m/>
  </r>
  <r>
    <m/>
    <s v="W18003"/>
    <s v="FBA19C5F8QF9"/>
    <s v="V-US"/>
    <x v="0"/>
    <s v="001000056"/>
    <n v="90"/>
    <s v="国润通"/>
    <s v="盐田海卡"/>
    <s v="TCY2"/>
    <x v="124"/>
    <s v="ANW-Wbot ANW带盖瓶子 白喷头"/>
    <x v="28"/>
    <n v="1"/>
    <n v="14.302083333333334"/>
    <s v="重量收费"/>
    <n v="3.8"/>
    <m/>
    <n v="1"/>
    <n v="55.347916666666663"/>
    <n v="0.6149768518518518"/>
    <n v="9.1787589828634594E-2"/>
    <m/>
    <m/>
    <m/>
    <x v="29"/>
    <d v="2026-05-24T00:00:00"/>
    <m/>
    <n v="0.53203007518796996"/>
    <n v="47.882706766917295"/>
    <m/>
    <m/>
    <m/>
    <m/>
    <m/>
    <m/>
    <m/>
    <m/>
    <m/>
  </r>
  <r>
    <m/>
    <s v="W18005"/>
    <s v="FBA19C589LLD"/>
    <s v="V-US"/>
    <x v="0"/>
    <s v="ANWKIT-B_US_2X100K03"/>
    <n v="120"/>
    <s v="嘀嗒嘀"/>
    <s v="盐田海卡"/>
    <s v="TCY2"/>
    <x v="120"/>
    <s v="ANWKIT-B_US_2X100K03 ANW黑色机器+2X100mL酒店香氛油（天竺） 机油套装"/>
    <x v="10"/>
    <n v="10"/>
    <n v="171"/>
    <s v="重量收费"/>
    <n v="5"/>
    <n v="200"/>
    <n v="21.50537634408602"/>
    <n v="876.50537634408602"/>
    <n v="7.3042114695340503"/>
    <n v="1.0901808163483657"/>
    <m/>
    <m/>
    <m/>
    <x v="29"/>
    <d v="2026-05-24T00:00:00"/>
    <m/>
    <n v="0.56000000000000005"/>
    <n v="67.2"/>
    <m/>
    <m/>
    <m/>
    <m/>
    <m/>
    <m/>
    <m/>
    <m/>
    <m/>
  </r>
  <r>
    <m/>
    <s v="W18004"/>
    <s v="FBA19CK1JT4K"/>
    <s v="K-US"/>
    <x v="0"/>
    <s v="U1KIT-B_US_2X50K01_TZ"/>
    <n v="153"/>
    <s v="嘀嗒嘀"/>
    <s v="盐田海卡"/>
    <s v="TCY1"/>
    <x v="146"/>
    <s v="U1KIT-B_US_2X50K01_TZ U1黑色机器+2X50mL酒店香氛油（天竺） 机油套装"/>
    <x v="31"/>
    <n v="17"/>
    <n v="281"/>
    <s v="重量收费"/>
    <n v="5.0999999999999996"/>
    <n v="200"/>
    <n v="61.81818181818182"/>
    <n v="1494.9181818181817"/>
    <n v="9.7707070707070702"/>
    <n v="1.4583144881652343"/>
    <m/>
    <m/>
    <m/>
    <x v="29"/>
    <d v="2026-05-24T00:00:00"/>
    <m/>
    <n v="0.56000000000000005"/>
    <n v="85.68"/>
    <m/>
    <m/>
    <m/>
    <m/>
    <m/>
    <m/>
    <m/>
    <m/>
    <m/>
  </r>
  <r>
    <m/>
    <s v="W18004"/>
    <s v="FBA19CJY2VB7"/>
    <s v="K-US"/>
    <x v="0"/>
    <s v="U1-B_US"/>
    <n v="153"/>
    <s v="嘀嗒嘀"/>
    <s v="盐田海卡"/>
    <s v="GEU2"/>
    <x v="147"/>
    <s v="U1-B_US 智能扩香仪 黑色"/>
    <x v="31"/>
    <n v="17"/>
    <n v="280"/>
    <s v="重量收费"/>
    <n v="5.0999999999999996"/>
    <n v="200"/>
    <n v="61.81818181818182"/>
    <n v="1489.8181818181818"/>
    <n v="9.737373737373737"/>
    <n v="1.4533393637871248"/>
    <m/>
    <m/>
    <m/>
    <x v="29"/>
    <d v="2026-05-24T00:00:00"/>
    <m/>
    <n v="0.35"/>
    <n v="53.55"/>
    <m/>
    <m/>
    <m/>
    <m/>
    <m/>
    <m/>
    <m/>
    <m/>
    <m/>
  </r>
  <r>
    <m/>
    <s v="W18001"/>
    <s v="FBA19C12J46C"/>
    <s v="E-US"/>
    <x v="0"/>
    <s v="BLG1-100ML"/>
    <n v="180"/>
    <s v="积米"/>
    <s v="盐田海卡"/>
    <s v="GEU3"/>
    <x v="48"/>
    <s v="BLG1-100ML 百乐宫酒店香氛油100mL"/>
    <x v="11"/>
    <n v="2"/>
    <n v="40.285714285714285"/>
    <s v="重量收费"/>
    <n v="5.4"/>
    <n v="200"/>
    <n v="57.142857142857146"/>
    <n v="274.68571428571431"/>
    <n v="1.5260317460317461"/>
    <n v="0.22776593224354419"/>
    <m/>
    <m/>
    <m/>
    <x v="29"/>
    <d v="2026-05-22T00:00:00"/>
    <m/>
    <n v="0.22575000000000001"/>
    <n v="40.634999999999998"/>
    <m/>
    <m/>
    <m/>
    <m/>
    <m/>
    <m/>
    <m/>
    <m/>
    <m/>
  </r>
  <r>
    <m/>
    <s v="W18001"/>
    <s v="FBA19C12J46C"/>
    <s v="E-US"/>
    <x v="0"/>
    <s v="HOTEL6KIT1-6X10K01"/>
    <n v="152"/>
    <s v="积米"/>
    <s v="盐田海卡"/>
    <s v="GEU3"/>
    <x v="45"/>
    <s v="HOTEL6KIT1-6X10K01 酒店香氛油6款10mL套装"/>
    <x v="11"/>
    <n v="2"/>
    <n v="40.285714285714285"/>
    <s v="重量收费"/>
    <n v="5.4"/>
    <n v="200"/>
    <n v="57.142857142857146"/>
    <n v="274.68571428571431"/>
    <n v="1.8071428571428574"/>
    <n v="0.26972281449893393"/>
    <m/>
    <m/>
    <m/>
    <x v="29"/>
    <d v="2026-05-22T00:00:00"/>
    <m/>
    <n v="0.22575000000000001"/>
    <n v="34.314"/>
    <m/>
    <m/>
    <m/>
    <m/>
    <m/>
    <m/>
    <m/>
    <m/>
    <m/>
  </r>
  <r>
    <m/>
    <s v="W18001"/>
    <s v="FBA19C12J46C"/>
    <s v="E-US"/>
    <x v="0"/>
    <s v="JY-100ML"/>
    <n v="90"/>
    <s v="积米"/>
    <s v="盐田海卡"/>
    <s v="GEU3"/>
    <x v="49"/>
    <s v="A-Grand Hyatt Hotel-100 君悦酒店香氛油100mL"/>
    <x v="11"/>
    <n v="1"/>
    <n v="20.142857142857142"/>
    <s v="重量收费"/>
    <n v="5.4"/>
    <m/>
    <n v="28.571428571428573"/>
    <n v="137.34285714285716"/>
    <n v="1.5260317460317461"/>
    <n v="0.22776593224354419"/>
    <m/>
    <m/>
    <m/>
    <x v="29"/>
    <d v="2026-05-22T00:00:00"/>
    <m/>
    <n v="0.22575000000000001"/>
    <n v="20.317499999999999"/>
    <m/>
    <m/>
    <m/>
    <m/>
    <m/>
    <m/>
    <m/>
    <m/>
    <m/>
  </r>
  <r>
    <m/>
    <s v="W18001"/>
    <s v="FBA19C12J46C"/>
    <s v="E-US"/>
    <x v="0"/>
    <s v="006000026"/>
    <n v="180"/>
    <s v="积米"/>
    <s v="盐田海卡"/>
    <s v="GEU3"/>
    <x v="87"/>
    <s v="A-Marriott Hotel 1-100 万豪酒店1香氛油100mL"/>
    <x v="11"/>
    <n v="2"/>
    <n v="40.285714285714285"/>
    <s v="重量收费"/>
    <n v="5.4"/>
    <m/>
    <n v="57.142857142857146"/>
    <n v="274.68571428571431"/>
    <n v="1.5260317460317461"/>
    <n v="0.22776593224354419"/>
    <m/>
    <m/>
    <m/>
    <x v="29"/>
    <d v="2026-05-22T00:00:00"/>
    <m/>
    <n v="0.22575000000000001"/>
    <n v="40.634999999999998"/>
    <m/>
    <m/>
    <m/>
    <m/>
    <m/>
    <m/>
    <m/>
    <m/>
    <m/>
  </r>
  <r>
    <s v="跟FBA19C12XM4V 合并报关"/>
    <s v="W18002"/>
    <s v="FBA19C53HQWX"/>
    <s v="V-US"/>
    <x v="0"/>
    <s v="RZ1-100ML_TZ"/>
    <n v="1280"/>
    <s v="天盛"/>
    <s v="盐田海卡"/>
    <s v="HLI2"/>
    <x v="148"/>
    <s v="RZ1-100ML_TZ 丽思卡尔顿酒店100mL香氛油（天竺） 销售包装"/>
    <x v="6"/>
    <n v="20"/>
    <n v="0.8"/>
    <s v="CBM收费"/>
    <n v="1240"/>
    <n v="180"/>
    <n v="90"/>
    <n v="1082"/>
    <n v="0.84531250000000002"/>
    <n v="0.1261660447761194"/>
    <m/>
    <m/>
    <m/>
    <x v="30"/>
    <d v="2026-05-23T00:00:00"/>
    <m/>
    <n v="0.36579710144927535"/>
    <n v="468.22028985507245"/>
    <m/>
    <m/>
    <m/>
    <m/>
    <m/>
    <m/>
    <m/>
    <m/>
    <m/>
  </r>
  <r>
    <m/>
    <s v="W18002"/>
    <s v="FBA19C53HQWX"/>
    <s v="V-US"/>
    <x v="0"/>
    <s v="RZ1-500ML_TZ"/>
    <n v="100"/>
    <s v="天盛"/>
    <s v="盐田海卡"/>
    <s v="HLI2"/>
    <x v="136"/>
    <s v="RZ1-500ML_TZ 丽思卡尔顿酒店500mL香氛油（天竺） 销售包装"/>
    <x v="6"/>
    <n v="5"/>
    <n v="0.2"/>
    <s v="CBM收费"/>
    <n v="1240"/>
    <n v="180"/>
    <n v="22.5"/>
    <n v="270.5"/>
    <n v="2.7050000000000001"/>
    <n v="0.40373134328358207"/>
    <m/>
    <m/>
    <m/>
    <x v="30"/>
    <d v="2026-05-23T00:00:00"/>
    <m/>
    <n v="0.36579710144927535"/>
    <n v="36.579710144927532"/>
    <m/>
    <m/>
    <m/>
    <m/>
    <m/>
    <m/>
    <m/>
    <m/>
    <m/>
  </r>
  <r>
    <m/>
    <s v="W18002"/>
    <s v="FBA19C12XM4V"/>
    <s v="E-US"/>
    <x v="0"/>
    <s v="BCRT1-100ML_TZ"/>
    <n v="256"/>
    <s v="天盛"/>
    <s v="盐田海卡"/>
    <s v="TCY1"/>
    <x v="62"/>
    <s v="BCRT1-100ML_TZ 巴卡拉酒店100mL香氛油（天竺） 销售包装"/>
    <x v="6"/>
    <n v="4"/>
    <n v="0.26666666666666666"/>
    <s v="CBM收费"/>
    <n v="1240"/>
    <m/>
    <n v="18"/>
    <n v="348.66666666666669"/>
    <n v="1.3619791666666667"/>
    <n v="0.20328047263681592"/>
    <m/>
    <m/>
    <m/>
    <x v="30"/>
    <d v="2026-05-23T00:00:00"/>
    <m/>
    <n v="0.57408637873754154"/>
    <n v="146.96611295681063"/>
    <d v="2026-05-28T00:00:00"/>
    <m/>
    <m/>
    <m/>
    <m/>
    <m/>
    <m/>
    <m/>
    <m/>
  </r>
  <r>
    <m/>
    <s v="W18002"/>
    <s v="FBA19C12XM4V"/>
    <s v="E-US"/>
    <x v="0"/>
    <s v="SJ1-100ML_TZ"/>
    <n v="192"/>
    <s v="天盛"/>
    <s v="盐田海卡"/>
    <s v="TCY1"/>
    <x v="23"/>
    <s v="SJ1-100ML_TZ 四季酒店100mL香氛油（天竺） 销售包装"/>
    <x v="6"/>
    <n v="3"/>
    <n v="0.2"/>
    <s v="CBM收费"/>
    <n v="1240"/>
    <m/>
    <n v="13.5"/>
    <n v="261.5"/>
    <n v="1.3619791666666667"/>
    <n v="0.20328047263681592"/>
    <m/>
    <m/>
    <m/>
    <x v="30"/>
    <d v="2026-05-23T00:00:00"/>
    <m/>
    <n v="0.57408637873754154"/>
    <n v="110.22458471760797"/>
    <d v="2026-05-28T00:00:00"/>
    <m/>
    <m/>
    <m/>
    <m/>
    <m/>
    <m/>
    <m/>
    <m/>
  </r>
  <r>
    <m/>
    <s v="W18002"/>
    <s v="FBA19C12XM4V"/>
    <s v="E-US"/>
    <x v="0"/>
    <s v="W1-100ML_TZ"/>
    <n v="320"/>
    <s v="天盛"/>
    <s v="盐田海卡"/>
    <s v="TCY1"/>
    <x v="24"/>
    <s v="W1-100ML_TZ W酒店100mL香氛油（天竺） 销售包装"/>
    <x v="6"/>
    <n v="5"/>
    <n v="0.33333333333333331"/>
    <s v="CBM收费"/>
    <n v="1240"/>
    <m/>
    <n v="22.5"/>
    <n v="435.83333333333331"/>
    <n v="1.3619791666666665"/>
    <n v="0.2032804726368159"/>
    <m/>
    <m/>
    <m/>
    <x v="30"/>
    <d v="2026-05-23T00:00:00"/>
    <m/>
    <n v="0.57408637873754154"/>
    <n v="183.7076411960133"/>
    <d v="2026-05-28T00:00:00"/>
    <m/>
    <m/>
    <m/>
    <m/>
    <m/>
    <m/>
    <m/>
    <m/>
  </r>
  <r>
    <m/>
    <s v="W18002"/>
    <s v="FBA19C12XM4V"/>
    <s v="E-US"/>
    <x v="0"/>
    <s v="HILTON1-100ML_TZ"/>
    <n v="192"/>
    <s v="天盛"/>
    <s v="盐田海卡"/>
    <s v="TCY1"/>
    <x v="61"/>
    <s v="HILTON1-100ML_TZ 希尔顿酒店100mL香氛油（天竺） 销售包装"/>
    <x v="6"/>
    <n v="3"/>
    <n v="0.2"/>
    <s v="CBM收费"/>
    <n v="1240"/>
    <m/>
    <n v="13.5"/>
    <n v="261.5"/>
    <n v="1.3619791666666667"/>
    <n v="0.20328047263681592"/>
    <m/>
    <m/>
    <m/>
    <x v="30"/>
    <d v="2026-05-23T00:00:00"/>
    <m/>
    <n v="0.57408637873754154"/>
    <n v="110.22458471760797"/>
    <d v="2026-05-28T00:00:00"/>
    <m/>
    <m/>
    <m/>
    <m/>
    <m/>
    <m/>
    <m/>
    <m/>
  </r>
  <r>
    <m/>
    <s v="W19010"/>
    <s v="FBA19CVVZN2V"/>
    <s v="V-US"/>
    <x v="0"/>
    <s v="ADXKIT-B_4X10K04_TZ"/>
    <n v="300"/>
    <s v="万邦"/>
    <s v="美森海卡"/>
    <s v="TCY1"/>
    <x v="54"/>
    <s v="ADXKIT-B_4X10K04_TZ ADX黑色机器+4x10mL酒店（天竺）香氛油 机油套装"/>
    <x v="2"/>
    <n v="10"/>
    <n v="178"/>
    <s v="重量收费"/>
    <n v="9.4"/>
    <n v="200"/>
    <n v="200"/>
    <n v="1873.2"/>
    <n v="6.2439999999999998"/>
    <n v="0.93194029850746263"/>
    <m/>
    <m/>
    <m/>
    <x v="31"/>
    <d v="2026-06-01T00:00:00"/>
    <m/>
    <n v="0.44"/>
    <n v="132"/>
    <m/>
    <m/>
    <m/>
    <m/>
    <m/>
    <m/>
    <m/>
    <m/>
    <m/>
  </r>
  <r>
    <m/>
    <s v="W19005"/>
    <s v="FBA19CVTGBRQ"/>
    <s v="V-US"/>
    <x v="0"/>
    <s v="ADXKIT-DT_4X10K04_TZ"/>
    <n v="300"/>
    <s v="万邦"/>
    <s v="盐田海卡"/>
    <s v="TCY1"/>
    <x v="55"/>
    <s v="ADXKIT-DT_4X10K04_TZ AD钛色机器+4x10mL酒店（天竺）香氛油 机油套装"/>
    <x v="2"/>
    <n v="10"/>
    <n v="178"/>
    <s v="重量收费"/>
    <n v="4.0999999999999996"/>
    <n v="200"/>
    <n v="23.529411764705884"/>
    <n v="753.32941176470581"/>
    <n v="2.5110980392156859"/>
    <n v="0.37479075212174418"/>
    <m/>
    <m/>
    <m/>
    <x v="31"/>
    <d v="2026-05-29T00:00:00"/>
    <m/>
    <n v="0.44"/>
    <n v="132"/>
    <m/>
    <m/>
    <m/>
    <m/>
    <m/>
    <m/>
    <m/>
    <m/>
    <m/>
  </r>
  <r>
    <m/>
    <s v="W19005"/>
    <s v="FBA19CVTVQS7"/>
    <s v="V-US"/>
    <x v="0"/>
    <s v="001000019"/>
    <n v="1200"/>
    <s v="万邦"/>
    <s v="盐田海卡"/>
    <s v="HLI2"/>
    <x v="17"/>
    <s v="AN6-B 便携式扩香仪 黑色"/>
    <x v="3"/>
    <n v="30"/>
    <n v="417.85714285714289"/>
    <s v="重量收费"/>
    <n v="3.6"/>
    <n v="200"/>
    <n v="70.588235294117652"/>
    <n v="1574.873949579832"/>
    <n v="1.3123949579831933"/>
    <n v="0.19587984447510348"/>
    <m/>
    <m/>
    <m/>
    <x v="31"/>
    <d v="2026-05-29T00:00:00"/>
    <m/>
    <n v="0.36888888888888888"/>
    <n v="442.66666666666663"/>
    <m/>
    <m/>
    <m/>
    <m/>
    <m/>
    <m/>
    <m/>
    <m/>
    <m/>
  </r>
  <r>
    <m/>
    <s v="W19005"/>
    <s v="FBA19CVTVQS7"/>
    <s v="V-US"/>
    <x v="0"/>
    <s v="001000039"/>
    <n v="120"/>
    <s v="万邦"/>
    <s v="盐田海卡"/>
    <s v="HLI2"/>
    <x v="35"/>
    <s v="AN6-GL 便携式扩香仪 翠百合色"/>
    <x v="3"/>
    <n v="3"/>
    <n v="41.785714285714285"/>
    <s v="重量收费"/>
    <n v="3.6"/>
    <m/>
    <n v="7.0588235294117645"/>
    <n v="157.48739495798318"/>
    <n v="1.3123949579831933"/>
    <n v="0.19587984447510348"/>
    <m/>
    <m/>
    <m/>
    <x v="31"/>
    <d v="2026-05-29T00:00:00"/>
    <m/>
    <n v="0.36888888888888888"/>
    <n v="44.266666666666666"/>
    <m/>
    <m/>
    <m/>
    <m/>
    <m/>
    <m/>
    <m/>
    <m/>
    <m/>
  </r>
  <r>
    <m/>
    <s v="W19005"/>
    <s v="FBA19CVTVQS7"/>
    <s v="V-US"/>
    <x v="0"/>
    <s v="001000020"/>
    <n v="1000"/>
    <s v="万邦"/>
    <s v="盐田海卡"/>
    <s v="HLI2"/>
    <x v="18"/>
    <s v="AN6-W 便携式扩香仪 白色"/>
    <x v="3"/>
    <n v="25"/>
    <n v="348.21428571428572"/>
    <s v="重量收费"/>
    <n v="3.6"/>
    <m/>
    <n v="58.823529411764703"/>
    <n v="1312.3949579831933"/>
    <n v="1.3123949579831933"/>
    <n v="0.19587984447510348"/>
    <m/>
    <m/>
    <m/>
    <x v="31"/>
    <d v="2026-05-29T00:00:00"/>
    <m/>
    <n v="0.36888888888888888"/>
    <n v="368.88888888888886"/>
    <m/>
    <m/>
    <m/>
    <m/>
    <m/>
    <m/>
    <m/>
    <m/>
    <m/>
  </r>
  <r>
    <m/>
    <s v="W19005"/>
    <s v="FBA19CVTVQS7"/>
    <s v="V-US"/>
    <x v="0"/>
    <s v="AN6-YG"/>
    <n v="80"/>
    <s v="万邦"/>
    <s v="盐田海卡"/>
    <s v="HLI2"/>
    <x v="19"/>
    <s v="AN6-YG 便携式扩香仪 乳酪色"/>
    <x v="3"/>
    <n v="2"/>
    <n v="27.857142857142858"/>
    <s v="重量收费"/>
    <n v="3.6"/>
    <m/>
    <n v="4.7058823529411766"/>
    <n v="104.99159663865547"/>
    <n v="1.3123949579831933"/>
    <n v="0.19587984447510348"/>
    <m/>
    <m/>
    <m/>
    <x v="31"/>
    <d v="2026-05-29T00:00:00"/>
    <m/>
    <n v="0.36888888888888888"/>
    <n v="29.511111111111109"/>
    <m/>
    <m/>
    <m/>
    <m/>
    <m/>
    <m/>
    <m/>
    <m/>
    <m/>
  </r>
  <r>
    <m/>
    <s v="W19005"/>
    <s v="FBA19CVTVQS7"/>
    <s v="V-US"/>
    <x v="0"/>
    <s v="RD1-B"/>
    <n v="300"/>
    <s v="万邦"/>
    <s v="盐田海卡"/>
    <s v="HLI2"/>
    <x v="101"/>
    <s v="RD1-B 便携式扩香仪 黑色"/>
    <x v="23"/>
    <n v="10"/>
    <n v="139.28571428571428"/>
    <s v="重量收费"/>
    <n v="3.6"/>
    <m/>
    <n v="23.529411764705884"/>
    <n v="524.9579831932773"/>
    <n v="1.749859943977591"/>
    <n v="0.26117312596680464"/>
    <m/>
    <m/>
    <m/>
    <x v="31"/>
    <d v="2026-05-29T00:00:00"/>
    <m/>
    <n v="0.36888888888888888"/>
    <n v="110.66666666666666"/>
    <m/>
    <m/>
    <m/>
    <m/>
    <m/>
    <m/>
    <m/>
    <m/>
    <m/>
  </r>
  <r>
    <m/>
    <s v="W19006"/>
    <s v="FBA19CVZRY66"/>
    <s v="E-US"/>
    <x v="0"/>
    <s v="001000052"/>
    <n v="90"/>
    <s v="万邦"/>
    <s v="盐田海卡"/>
    <s v="GEU2"/>
    <x v="37"/>
    <s v="ANX-DT 便携式扩香仪 沙漠钛色"/>
    <x v="1"/>
    <n v="3"/>
    <n v="38"/>
    <s v="重量收费"/>
    <n v="4.4000000000000004"/>
    <n v="200"/>
    <n v="13.043478260869565"/>
    <n v="180.24347826086958"/>
    <n v="2.002705314009662"/>
    <n v="0.29891124089696447"/>
    <m/>
    <m/>
    <m/>
    <x v="31"/>
    <d v="2026-05-29T00:00:00"/>
    <m/>
    <n v="0.44"/>
    <n v="39.6"/>
    <m/>
    <m/>
    <m/>
    <m/>
    <m/>
    <m/>
    <m/>
    <m/>
    <m/>
  </r>
  <r>
    <m/>
    <s v="W19006"/>
    <s v="FBA19CKXTVFC"/>
    <s v="A-US"/>
    <x v="0"/>
    <s v="ANZKIT-B_BGR30ML_TZ"/>
    <n v="600"/>
    <s v="万邦"/>
    <s v="盐田海卡"/>
    <s v="QXY8"/>
    <x v="149"/>
    <s v="ANZKIT-B_BGR30ML_TZ ANZ黑色机器+30mL宝格丽酒店香氛油（天竺） 机油套装"/>
    <x v="0"/>
    <n v="20"/>
    <n v="275.2"/>
    <s v="重量收费"/>
    <n v="4.5999999999999996"/>
    <n v="200"/>
    <n v="86.956521739130437"/>
    <n v="1352.8765217391303"/>
    <n v="2.2547942028985504"/>
    <n v="0.33653644819381345"/>
    <m/>
    <m/>
    <m/>
    <x v="31"/>
    <d v="2026-05-29T00:00:00"/>
    <m/>
    <n v="0.44"/>
    <n v="264"/>
    <m/>
    <m/>
    <m/>
    <m/>
    <m/>
    <m/>
    <m/>
    <m/>
    <m/>
  </r>
  <r>
    <m/>
    <s v="W19006"/>
    <s v="FBA19CKXTVFC"/>
    <s v="A-US"/>
    <x v="0"/>
    <s v="ANZKIT-W_BGR30ML_TZ"/>
    <n v="150"/>
    <s v="万邦"/>
    <s v="盐田海卡"/>
    <s v="QXY8"/>
    <x v="150"/>
    <s v="ANZKIT-W_BGR30ML_TZ ANZ白色机器+30mL宝格丽酒店香氛油（天竺） 机油套装"/>
    <x v="0"/>
    <n v="5"/>
    <n v="68.8"/>
    <s v="重量收费"/>
    <n v="4.5999999999999996"/>
    <m/>
    <n v="21.739130434782609"/>
    <n v="338.21913043478258"/>
    <n v="2.2547942028985504"/>
    <n v="0.33653644819381345"/>
    <m/>
    <m/>
    <m/>
    <x v="31"/>
    <d v="2026-05-29T00:00:00"/>
    <m/>
    <n v="0.44"/>
    <n v="66"/>
    <m/>
    <m/>
    <m/>
    <m/>
    <m/>
    <m/>
    <m/>
    <m/>
    <m/>
  </r>
  <r>
    <m/>
    <s v="W19006"/>
    <s v="FBA19CJWGL14"/>
    <s v="V-US"/>
    <x v="0"/>
    <s v="ANAKIT-WH_US_2X100K03"/>
    <n v="120"/>
    <s v="万邦"/>
    <s v="盐田海卡"/>
    <s v="GEU2"/>
    <x v="43"/>
    <s v="ANAKIT-WH_US_2X100K03 ANA白色机器+2X100mL酒店香氛油（天竺） 机油套装"/>
    <x v="9"/>
    <n v="10"/>
    <n v="158.33000000000001"/>
    <s v="重量收费"/>
    <n v="4.5"/>
    <m/>
    <n v="43.478260869565219"/>
    <n v="755.96326086956526"/>
    <n v="6.2996938405797103"/>
    <n v="0.94025281202682243"/>
    <m/>
    <m/>
    <m/>
    <x v="31"/>
    <d v="2026-05-29T00:00:00"/>
    <m/>
    <n v="0.56000000000000005"/>
    <n v="67.2"/>
    <m/>
    <m/>
    <m/>
    <m/>
    <m/>
    <m/>
    <m/>
    <m/>
    <m/>
  </r>
  <r>
    <m/>
    <s v="W19001"/>
    <s v="FBA15LQTG88C"/>
    <s v="W-DE"/>
    <x v="1"/>
    <s v="ANA-WH_EU"/>
    <n v="216"/>
    <s v="京弈达"/>
    <s v="欧洲海卡"/>
    <s v="BER8"/>
    <x v="39"/>
    <s v="ANA-WH_EU 智能扩香仪 欧规 白色"/>
    <x v="9"/>
    <n v="18"/>
    <n v="267"/>
    <s v="重量收费"/>
    <n v="6.5"/>
    <n v="200"/>
    <n v="200"/>
    <n v="1935.5"/>
    <n v="8.9606481481481488"/>
    <n v="1.3374101713653954"/>
    <m/>
    <m/>
    <m/>
    <x v="32"/>
    <d v="2025-06-10T00:00:00"/>
    <m/>
    <n v="0"/>
    <n v="0"/>
    <m/>
    <m/>
    <m/>
    <m/>
    <m/>
    <m/>
    <m/>
    <m/>
    <m/>
  </r>
  <r>
    <m/>
    <s v="W19006"/>
    <s v="FBA19CSDPQT6"/>
    <s v="V-US"/>
    <x v="0"/>
    <s v="ANP-W_US"/>
    <n v="256"/>
    <s v="万邦"/>
    <s v="盐田海卡"/>
    <s v="GEU2"/>
    <x v="115"/>
    <s v="ANP-W_US 墙插式智能扩香仪 白色"/>
    <x v="26"/>
    <n v="8"/>
    <n v="126.67"/>
    <s v="重量收费"/>
    <n v="4.5"/>
    <n v="200"/>
    <n v="34.782608695652172"/>
    <n v="604.79760869565212"/>
    <n v="2.3624906589673911"/>
    <n v="0.35261054611453596"/>
    <m/>
    <m/>
    <m/>
    <x v="31"/>
    <d v="2026-05-29T00:00:00"/>
    <m/>
    <n v="0.44"/>
    <n v="112.64"/>
    <m/>
    <m/>
    <m/>
    <m/>
    <m/>
    <m/>
    <m/>
    <m/>
    <m/>
  </r>
  <r>
    <m/>
    <s v="W19007"/>
    <s v="FBA19CSKJ9TY"/>
    <s v="K-US"/>
    <x v="0"/>
    <s v="U1KIT-B_US_2X50K01_TZ"/>
    <n v="1152"/>
    <s v="万邦"/>
    <s v="盐田海卡"/>
    <s v="GEU3"/>
    <x v="146"/>
    <s v="U1KIT-B_US_2X50K01_TZ U1黑色机器+2X50mL酒店香氛油（天竺） 机油套装"/>
    <x v="31"/>
    <n v="128"/>
    <n v="2202"/>
    <s v="重量收费"/>
    <n v="4.9000000000000004"/>
    <n v="200"/>
    <n v="200"/>
    <n v="10989.800000000001"/>
    <n v="9.539756944444445"/>
    <n v="1.4238443200663351"/>
    <m/>
    <m/>
    <m/>
    <x v="31"/>
    <d v="2026-05-29T00:00:00"/>
    <m/>
    <n v="0.56000000000000005"/>
    <n v="645.12000000000012"/>
    <m/>
    <m/>
    <m/>
    <m/>
    <m/>
    <m/>
    <m/>
    <m/>
    <m/>
  </r>
  <r>
    <m/>
    <s v="W19008"/>
    <s v="FBA19CSMTF0M"/>
    <s v="K-US"/>
    <x v="0"/>
    <s v="U1-B_US"/>
    <n v="513"/>
    <s v="国润通"/>
    <s v="盐田海卡"/>
    <s v="GEU3"/>
    <x v="147"/>
    <s v="U1-B_US 智能扩香仪 黑色"/>
    <x v="31"/>
    <n v="57"/>
    <n v="973.99999999999989"/>
    <s v="重量收费"/>
    <n v="4.4000000000000004"/>
    <n v="200"/>
    <n v="200"/>
    <n v="4485.5999999999995"/>
    <n v="8.7438596491228058"/>
    <n v="1.3050536789735532"/>
    <m/>
    <m/>
    <m/>
    <x v="31"/>
    <d v="2026-05-30T00:00:00"/>
    <m/>
    <n v="0.55999999999999994"/>
    <n v="287.27999999999997"/>
    <m/>
    <m/>
    <m/>
    <m/>
    <m/>
    <m/>
    <m/>
    <m/>
    <m/>
  </r>
  <r>
    <m/>
    <s v="W19009"/>
    <s v="FBA19CTYDDLS"/>
    <s v="V-US"/>
    <x v="0"/>
    <s v="001000032"/>
    <n v="36"/>
    <s v="国润通"/>
    <s v="盐田海卡"/>
    <s v="TCY2"/>
    <x v="40"/>
    <s v="ANW-B 智能扩香仪 黑色"/>
    <x v="10"/>
    <n v="3"/>
    <n v="43.018867924528301"/>
    <s v="重量收费"/>
    <n v="4"/>
    <n v="200"/>
    <n v="11.320754716981131"/>
    <n v="183.39622641509433"/>
    <n v="5.0943396226415096"/>
    <n v="0.7603491974091805"/>
    <m/>
    <m/>
    <m/>
    <x v="31"/>
    <d v="2026-06-08T00:00:00"/>
    <m/>
    <n v="0.56000000000000005"/>
    <n v="20.160000000000004"/>
    <m/>
    <m/>
    <m/>
    <m/>
    <m/>
    <m/>
    <m/>
    <m/>
    <m/>
  </r>
  <r>
    <m/>
    <s v="W19009"/>
    <s v="FBA19CTYDDLS"/>
    <s v="V-US"/>
    <x v="0"/>
    <s v="001000033"/>
    <n v="600"/>
    <s v="国润通"/>
    <s v="盐田海卡"/>
    <s v="TCY2"/>
    <x v="41"/>
    <s v="ANW-W 智能扩香仪 白色"/>
    <x v="10"/>
    <n v="50"/>
    <n v="716.98113207547169"/>
    <s v="重量收费"/>
    <n v="4"/>
    <n v="200"/>
    <n v="188.67924528301887"/>
    <n v="3056.6037735849059"/>
    <n v="5.0943396226415096"/>
    <n v="0.7603491974091805"/>
    <m/>
    <m/>
    <m/>
    <x v="31"/>
    <d v="2026-06-08T00:00:00"/>
    <m/>
    <n v="0.56000000000000005"/>
    <n v="336.00000000000006"/>
    <m/>
    <m/>
    <m/>
    <m/>
    <m/>
    <m/>
    <m/>
    <m/>
    <m/>
  </r>
  <r>
    <m/>
    <s v="W19005"/>
    <s v="FBA19CKRNYM2"/>
    <s v="E-US"/>
    <x v="0"/>
    <s v="003000007"/>
    <n v="180"/>
    <s v="万邦"/>
    <s v="盐田海卡"/>
    <s v="HLI2"/>
    <x v="72"/>
    <s v="AP2F-H14 空气净化器滤网2-H14"/>
    <x v="15"/>
    <n v="5"/>
    <n v="113"/>
    <s v="重量收费"/>
    <n v="4.8"/>
    <n v="200"/>
    <n v="11.764705882352942"/>
    <n v="554.16470588235291"/>
    <n v="3.078692810457516"/>
    <n v="0.45950638962052476"/>
    <m/>
    <m/>
    <m/>
    <x v="31"/>
    <d v="2026-05-29T00:00:00"/>
    <m/>
    <n v="0.55999999999999994"/>
    <n v="100.79999999999998"/>
    <m/>
    <m/>
    <m/>
    <m/>
    <m/>
    <m/>
    <m/>
    <m/>
    <m/>
  </r>
  <r>
    <m/>
    <s v="W19004"/>
    <s v="FBA19CS2J6FM"/>
    <s v="V-CA"/>
    <x v="3"/>
    <s v="003000014"/>
    <n v="60"/>
    <s v="万邦"/>
    <s v="加拿大海卡"/>
    <s v="YOW1"/>
    <x v="96"/>
    <s v="AP2US-H14 内置H14滤网桌面式空气净化器2-美规"/>
    <x v="21"/>
    <n v="15"/>
    <n v="358"/>
    <s v="重量收费"/>
    <n v="6.6"/>
    <n v="250"/>
    <n v="250"/>
    <n v="2612.7999999999997"/>
    <n v="43.54666666666666"/>
    <n v="6.4995024875621876"/>
    <m/>
    <m/>
    <m/>
    <x v="31"/>
    <d v="2026-05-30T00:00:00"/>
    <m/>
    <n v="0"/>
    <n v="0"/>
    <m/>
    <m/>
    <m/>
    <m/>
    <m/>
    <m/>
    <m/>
    <m/>
    <m/>
  </r>
  <r>
    <s v="不上门提货，需要自行安排车送货到货代仓库，100.83为自行安排车送货的运费"/>
    <s v="W20003"/>
    <s v="FBA15LQTBB8F"/>
    <s v="E-AE"/>
    <x v="5"/>
    <s v="001000019"/>
    <n v="240"/>
    <s v="合联中东"/>
    <s v="阿联酋海卡"/>
    <s v="DXB5"/>
    <x v="17"/>
    <s v="AN6-B 便携式扩香仪 黑色"/>
    <x v="3"/>
    <n v="6"/>
    <n v="0.5"/>
    <s v="CBM收费"/>
    <n v="1400"/>
    <s v="400+100.83"/>
    <n v="250.41499999999999"/>
    <n v="950.41499999999996"/>
    <n v="3.9600624999999998"/>
    <n v="0.59105410447761186"/>
    <m/>
    <m/>
    <m/>
    <x v="33"/>
    <d v="2026-06-24T00:00:00"/>
    <m/>
    <n v="0"/>
    <n v="0"/>
    <m/>
    <m/>
    <m/>
    <m/>
    <m/>
    <m/>
    <m/>
    <m/>
    <m/>
  </r>
  <r>
    <m/>
    <s v="W20003"/>
    <s v="FBA15LQTBB8F"/>
    <s v="E-AE"/>
    <x v="5"/>
    <s v="001000020"/>
    <n v="80"/>
    <s v="合联中东"/>
    <s v="阿联酋海卡"/>
    <s v="DXB5"/>
    <x v="18"/>
    <s v="AN6-W 便携式扩香仪 白色"/>
    <x v="3"/>
    <n v="2"/>
    <n v="0.16666666666666666"/>
    <s v="CBM收费"/>
    <n v="1400"/>
    <n v="500.83"/>
    <n v="83.471666666666664"/>
    <n v="316.80499999999995"/>
    <n v="3.9600624999999994"/>
    <n v="0.59105410447761186"/>
    <m/>
    <m/>
    <m/>
    <x v="33"/>
    <d v="2026-06-24T00:00:00"/>
    <m/>
    <n v="0"/>
    <n v="0"/>
    <m/>
    <m/>
    <m/>
    <m/>
    <m/>
    <m/>
    <m/>
    <m/>
    <m/>
  </r>
  <r>
    <m/>
    <s v="W20003"/>
    <s v="FBA15LQTBB8F"/>
    <s v="E-AE"/>
    <x v="5"/>
    <s v="001000045"/>
    <n v="60"/>
    <s v="合联中东"/>
    <s v="阿联酋海卡"/>
    <s v="DXB5"/>
    <x v="1"/>
    <s v="ANX-B 便携式扩香仪 黑色"/>
    <x v="1"/>
    <n v="2"/>
    <n v="0.16666666666666666"/>
    <s v="CBM收费"/>
    <n v="1400"/>
    <m/>
    <n v="83.471666666666664"/>
    <n v="316.80499999999995"/>
    <n v="5.2800833333333328"/>
    <n v="0.78807213930348252"/>
    <m/>
    <m/>
    <m/>
    <x v="33"/>
    <d v="2026-06-24T00:00:00"/>
    <m/>
    <n v="0"/>
    <n v="0"/>
    <m/>
    <m/>
    <m/>
    <m/>
    <m/>
    <m/>
    <m/>
    <m/>
    <m/>
  </r>
  <r>
    <m/>
    <s v="W20003"/>
    <s v="FBA15LQTBB8F"/>
    <s v="E-AE"/>
    <x v="5"/>
    <s v="RD1-DT"/>
    <n v="60"/>
    <s v="合联中东"/>
    <s v="阿联酋海卡"/>
    <s v="DXB5"/>
    <x v="110"/>
    <s v="RD1-DT 便携式扩香仪 沙漠钛色"/>
    <x v="23"/>
    <n v="2"/>
    <n v="0.16666666666666666"/>
    <s v="CBM收费"/>
    <n v="1400"/>
    <m/>
    <n v="83.471666666666664"/>
    <n v="316.80499999999995"/>
    <n v="5.2800833333333328"/>
    <n v="0.78807213930348252"/>
    <m/>
    <m/>
    <m/>
    <x v="33"/>
    <d v="2026-06-24T00:00:00"/>
    <m/>
    <n v="0"/>
    <n v="0"/>
    <m/>
    <m/>
    <m/>
    <m/>
    <m/>
    <m/>
    <m/>
    <m/>
    <m/>
  </r>
  <r>
    <m/>
    <s v="W20004"/>
    <s v="FBA15LQT5NPH"/>
    <s v="E-UK"/>
    <x v="2"/>
    <s v="001000019"/>
    <n v="320"/>
    <s v="万邦"/>
    <s v="英国海卡"/>
    <s v="LBA4"/>
    <x v="17"/>
    <s v="AN6-B 便携式扩香仪 黑色"/>
    <x v="3"/>
    <n v="8"/>
    <n v="0.39636363636363642"/>
    <s v="CBM收费"/>
    <n v="780"/>
    <n v="450"/>
    <n v="163.63636363636363"/>
    <n v="472.8"/>
    <n v="1.4775"/>
    <n v="0.22052238805970148"/>
    <m/>
    <m/>
    <m/>
    <x v="33"/>
    <d v="2026-06-21T00:00:00"/>
    <m/>
    <n v="0"/>
    <n v="0"/>
    <m/>
    <m/>
    <m/>
    <m/>
    <m/>
    <m/>
    <m/>
    <m/>
    <m/>
  </r>
  <r>
    <m/>
    <s v="W20004"/>
    <s v="FBA15LQT5NPH"/>
    <s v="E-UK"/>
    <x v="2"/>
    <s v="001000039"/>
    <n v="120"/>
    <s v="万邦"/>
    <s v="英国海卡"/>
    <s v="LBA4"/>
    <x v="35"/>
    <s v="AN6-GL 便携式扩香仪 翠百合色"/>
    <x v="3"/>
    <n v="3"/>
    <n v="0.14863636363636365"/>
    <s v="CBM收费"/>
    <n v="780"/>
    <n v="450"/>
    <n v="61.363636363636367"/>
    <n v="177.3"/>
    <n v="1.4775"/>
    <n v="0.22052238805970148"/>
    <m/>
    <m/>
    <m/>
    <x v="33"/>
    <d v="2026-06-21T00:00:00"/>
    <m/>
    <n v="0"/>
    <n v="0"/>
    <m/>
    <m/>
    <m/>
    <m/>
    <m/>
    <m/>
    <m/>
    <m/>
    <m/>
  </r>
  <r>
    <m/>
    <s v="W20004"/>
    <s v="FBA15LQT5NPH"/>
    <s v="E-UK"/>
    <x v="2"/>
    <s v="001000020"/>
    <n v="200"/>
    <s v="万邦"/>
    <s v="英国海卡"/>
    <s v="LBA4"/>
    <x v="18"/>
    <s v="AN6-W 便携式扩香仪 白色"/>
    <x v="3"/>
    <n v="5"/>
    <n v="0.24772727272727277"/>
    <s v="CBM收费"/>
    <n v="780"/>
    <m/>
    <n v="102.27272727272727"/>
    <n v="295.5"/>
    <n v="1.4775"/>
    <n v="0.22052238805970148"/>
    <m/>
    <m/>
    <m/>
    <x v="33"/>
    <d v="2026-06-21T00:00:00"/>
    <m/>
    <n v="0"/>
    <n v="0"/>
    <m/>
    <m/>
    <m/>
    <m/>
    <m/>
    <m/>
    <m/>
    <m/>
    <m/>
  </r>
  <r>
    <m/>
    <s v="W20004"/>
    <s v="FBA15LQT5NPH"/>
    <s v="E-UK"/>
    <x v="2"/>
    <s v="001000045"/>
    <n v="120"/>
    <s v="万邦"/>
    <s v="英国海卡"/>
    <s v="LBA4"/>
    <x v="1"/>
    <s v="ANX-B 便携式扩香仪 黑色"/>
    <x v="1"/>
    <n v="4"/>
    <n v="0.19818181818181821"/>
    <s v="CBM收费"/>
    <n v="780"/>
    <m/>
    <n v="81.818181818181813"/>
    <n v="236.4"/>
    <n v="1.97"/>
    <n v="0.29402985074626864"/>
    <m/>
    <m/>
    <m/>
    <x v="33"/>
    <d v="2026-06-21T00:00:00"/>
    <m/>
    <n v="0"/>
    <n v="0"/>
    <m/>
    <m/>
    <m/>
    <m/>
    <m/>
    <m/>
    <m/>
    <m/>
    <m/>
  </r>
  <r>
    <m/>
    <s v="W20004"/>
    <s v="FBA15LQT5NPH"/>
    <s v="E-UK"/>
    <x v="2"/>
    <s v="001000052"/>
    <n v="60"/>
    <s v="万邦"/>
    <s v="英国海卡"/>
    <s v="LBA4"/>
    <x v="37"/>
    <s v="ANX-DT 便携式扩香仪 沙漠钛色"/>
    <x v="1"/>
    <n v="2"/>
    <n v="9.9090909090909104E-2"/>
    <s v="CBM收费"/>
    <n v="780"/>
    <m/>
    <n v="40.909090909090907"/>
    <n v="118.2"/>
    <n v="1.97"/>
    <n v="0.29402985074626864"/>
    <m/>
    <m/>
    <m/>
    <x v="33"/>
    <d v="2026-06-21T00:00:00"/>
    <m/>
    <n v="0"/>
    <n v="0"/>
    <m/>
    <m/>
    <m/>
    <m/>
    <m/>
    <m/>
    <m/>
    <m/>
    <m/>
  </r>
  <r>
    <m/>
    <s v="W20007"/>
    <s v="FBA19CY3S27T"/>
    <s v="V-US"/>
    <x v="0"/>
    <s v="001000030"/>
    <n v="192"/>
    <s v="万邦"/>
    <s v="盐田海卡"/>
    <s v="MIT2"/>
    <x v="138"/>
    <s v="AN6B-NZB 便携式扩香仪套装 黑机器+黑喷嘴"/>
    <x v="3"/>
    <n v="6"/>
    <n v="86.711351351351368"/>
    <s v="重量收费"/>
    <n v="4.25"/>
    <n v="200"/>
    <n v="11.538461538461538"/>
    <n v="380.06170478170486"/>
    <n v="1.9794880457380462"/>
    <n v="0.29544597697582775"/>
    <m/>
    <m/>
    <m/>
    <x v="34"/>
    <d v="2026-06-06T00:00:00"/>
    <m/>
    <n v="0.3785952208544533"/>
    <n v="72.69028240405504"/>
    <m/>
    <m/>
    <m/>
    <m/>
    <m/>
    <m/>
    <m/>
    <m/>
    <m/>
  </r>
  <r>
    <m/>
    <s v="W20007"/>
    <s v="FBA19CY3S27T"/>
    <s v="V-US"/>
    <x v="0"/>
    <s v="001000019"/>
    <n v="1200"/>
    <s v="万邦"/>
    <s v="盐田海卡"/>
    <s v="MIT2"/>
    <x v="17"/>
    <s v="AN6-B 便携式扩香仪 黑色"/>
    <x v="3"/>
    <n v="30"/>
    <n v="433.55675675675678"/>
    <s v="重量收费"/>
    <n v="4.25"/>
    <n v="200"/>
    <n v="57.692307692307693"/>
    <n v="1900.308523908524"/>
    <n v="1.5835904365904367"/>
    <n v="0.2363567815806622"/>
    <m/>
    <m/>
    <m/>
    <x v="34"/>
    <d v="2026-06-06T00:00:00"/>
    <m/>
    <n v="0.3785952208544533"/>
    <n v="454.31426502534396"/>
    <m/>
    <m/>
    <m/>
    <m/>
    <m/>
    <m/>
    <m/>
    <m/>
    <m/>
  </r>
  <r>
    <m/>
    <s v="W20007"/>
    <s v="FBA19CY3S27T"/>
    <s v="V-US"/>
    <x v="0"/>
    <s v="001000039"/>
    <n v="320"/>
    <s v="万邦"/>
    <s v="盐田海卡"/>
    <s v="MIT2"/>
    <x v="35"/>
    <s v="AN6-GL 便携式扩香仪 翠百合色"/>
    <x v="3"/>
    <n v="8"/>
    <n v="115.61513513513515"/>
    <s v="重量收费"/>
    <n v="4.25"/>
    <m/>
    <n v="15.384615384615385"/>
    <n v="506.74893970893976"/>
    <n v="1.5835904365904367"/>
    <n v="0.2363567815806622"/>
    <m/>
    <m/>
    <m/>
    <x v="34"/>
    <d v="2026-06-06T00:00:00"/>
    <m/>
    <n v="0.3785952208544533"/>
    <n v="121.15047067342505"/>
    <m/>
    <m/>
    <m/>
    <m/>
    <m/>
    <m/>
    <m/>
    <m/>
    <m/>
  </r>
  <r>
    <m/>
    <s v="W20007"/>
    <s v="FBA19CY3S27T"/>
    <s v="V-US"/>
    <x v="0"/>
    <s v="AN6-LV"/>
    <n v="200"/>
    <s v="万邦"/>
    <s v="盐田海卡"/>
    <s v="MIT2"/>
    <x v="68"/>
    <s v="AN6-LV 便携式扩香仪 薰衣草"/>
    <x v="3"/>
    <n v="5"/>
    <n v="72.259459459459464"/>
    <s v="重量收费"/>
    <n v="4.25"/>
    <m/>
    <n v="9.615384615384615"/>
    <n v="316.71808731808738"/>
    <n v="1.583590436590437"/>
    <n v="0.23635678158066223"/>
    <m/>
    <m/>
    <m/>
    <x v="34"/>
    <d v="2026-06-06T00:00:00"/>
    <m/>
    <n v="0.3785952208544533"/>
    <n v="75.719044170890655"/>
    <m/>
    <m/>
    <m/>
    <m/>
    <m/>
    <m/>
    <m/>
    <m/>
    <m/>
  </r>
  <r>
    <m/>
    <s v="W20007"/>
    <s v="FBA19CY3S27T"/>
    <s v="V-US"/>
    <x v="0"/>
    <s v="001000020"/>
    <n v="400"/>
    <s v="万邦"/>
    <s v="盐田海卡"/>
    <s v="MIT2"/>
    <x v="18"/>
    <s v="AN6-W 便携式扩香仪 白色"/>
    <x v="3"/>
    <n v="10"/>
    <n v="144.51891891891893"/>
    <s v="重量收费"/>
    <n v="4.25"/>
    <m/>
    <n v="19.23076923076923"/>
    <n v="633.43617463617477"/>
    <n v="1.583590436590437"/>
    <n v="0.23635678158066223"/>
    <m/>
    <m/>
    <m/>
    <x v="34"/>
    <d v="2026-06-06T00:00:00"/>
    <m/>
    <n v="0.3785952208544533"/>
    <n v="151.43808834178131"/>
    <m/>
    <m/>
    <m/>
    <m/>
    <m/>
    <m/>
    <m/>
    <m/>
    <m/>
  </r>
  <r>
    <m/>
    <s v="W20007"/>
    <s v="FBA19CY3S27T"/>
    <s v="V-US"/>
    <x v="0"/>
    <s v="RD1-B"/>
    <n v="300"/>
    <s v="万邦"/>
    <s v="盐田海卡"/>
    <s v="MIT2"/>
    <x v="101"/>
    <s v="RD1-B 便携式扩香仪 黑色"/>
    <x v="23"/>
    <n v="10"/>
    <n v="144.51891891891893"/>
    <s v="重量收费"/>
    <n v="4.25"/>
    <m/>
    <n v="19.23076923076923"/>
    <n v="633.43617463617477"/>
    <n v="2.1114539154539158"/>
    <n v="0.31514237544088297"/>
    <m/>
    <m/>
    <m/>
    <x v="34"/>
    <d v="2026-06-06T00:00:00"/>
    <m/>
    <n v="0.3785952208544533"/>
    <n v="113.57856625633599"/>
    <m/>
    <m/>
    <m/>
    <m/>
    <m/>
    <m/>
    <m/>
    <m/>
    <m/>
  </r>
  <r>
    <m/>
    <s v="W20007"/>
    <s v="FBA19CY3S27T"/>
    <s v="V-US"/>
    <x v="0"/>
    <s v="AND-B"/>
    <n v="150"/>
    <s v="万邦"/>
    <s v="盐田海卡"/>
    <s v="MIT2"/>
    <x v="20"/>
    <s v="AND-B 便携式双喷扩香仪 黑色"/>
    <x v="5"/>
    <n v="5"/>
    <n v="72.259459459459464"/>
    <s v="重量收费"/>
    <n v="4.25"/>
    <m/>
    <n v="9.615384615384615"/>
    <n v="316.71808731808738"/>
    <n v="2.1114539154539158"/>
    <n v="0.31514237544088297"/>
    <m/>
    <m/>
    <m/>
    <x v="34"/>
    <d v="2026-06-06T00:00:00"/>
    <m/>
    <n v="0.3785952208544533"/>
    <n v="56.789283128167995"/>
    <m/>
    <m/>
    <m/>
    <m/>
    <m/>
    <m/>
    <m/>
    <m/>
    <m/>
  </r>
  <r>
    <m/>
    <s v="W20007"/>
    <s v="FBA19CY3DWCX"/>
    <s v="V-US"/>
    <x v="0"/>
    <s v="ADXKIT-B_4X10K04_TZ"/>
    <n v="450"/>
    <s v="万邦"/>
    <s v="盐田海卡"/>
    <s v="MIT2"/>
    <x v="54"/>
    <s v="ADXKIT-B_4X10K04_TZ ADX黑色机器+4x10mL酒店（天竺）香氛油 机油套装"/>
    <x v="2"/>
    <n v="15"/>
    <n v="216.78"/>
    <s v="重量收费"/>
    <n v="4.25"/>
    <m/>
    <n v="28.846153846153847"/>
    <n v="950.16115384615387"/>
    <n v="2.1114692307692309"/>
    <n v="0.31514466130884045"/>
    <m/>
    <m/>
    <m/>
    <x v="34"/>
    <d v="2026-06-06T00:00:00"/>
    <m/>
    <n v="0.44"/>
    <n v="198"/>
    <m/>
    <m/>
    <m/>
    <m/>
    <m/>
    <m/>
    <m/>
    <m/>
    <m/>
  </r>
  <r>
    <m/>
    <s v="W20005"/>
    <s v="FBA19CYBYB8S"/>
    <s v="E-US"/>
    <x v="0"/>
    <s v="001000053"/>
    <n v="192"/>
    <s v="万邦"/>
    <s v="盐田海卡"/>
    <s v="TCY2"/>
    <x v="52"/>
    <s v="ANX-2PC-BB 便携式扩香仪套装 黑+黑"/>
    <x v="1"/>
    <n v="12"/>
    <n v="158.64461538461538"/>
    <s v="重量收费"/>
    <n v="4.3499999999999996"/>
    <n v="200"/>
    <n v="40.677966101694913"/>
    <n v="730.78204302477172"/>
    <n v="3.8061564740873526"/>
    <n v="0.56808305583393326"/>
    <m/>
    <m/>
    <m/>
    <x v="34"/>
    <d v="2026-06-15T00:00:00"/>
    <m/>
    <n v="0.47764705882352942"/>
    <n v="91.708235294117657"/>
    <m/>
    <m/>
    <m/>
    <m/>
    <m/>
    <m/>
    <m/>
    <m/>
    <m/>
  </r>
  <r>
    <m/>
    <s v="W20005"/>
    <s v="FBA19CYBYB8S"/>
    <s v="E-US"/>
    <x v="0"/>
    <s v="001000045"/>
    <n v="360"/>
    <s v="万邦"/>
    <s v="盐田海卡"/>
    <s v="TCY2"/>
    <x v="1"/>
    <s v="ANX-B 便携式扩香仪 黑色"/>
    <x v="1"/>
    <n v="12"/>
    <n v="158.64461538461538"/>
    <s v="重量收费"/>
    <n v="4.3499999999999996"/>
    <n v="200"/>
    <n v="40.677966101694913"/>
    <n v="730.78204302477172"/>
    <n v="2.0299501195132548"/>
    <n v="0.30297762977809772"/>
    <m/>
    <m/>
    <m/>
    <x v="34"/>
    <d v="2026-06-15T00:00:00"/>
    <m/>
    <n v="0.47764705882352942"/>
    <n v="171.9529411764706"/>
    <m/>
    <m/>
    <m/>
    <m/>
    <m/>
    <m/>
    <m/>
    <m/>
    <m/>
  </r>
  <r>
    <m/>
    <s v="W20005"/>
    <s v="FBA19CYBYB8S"/>
    <s v="E-US"/>
    <x v="0"/>
    <s v="001000050"/>
    <n v="60"/>
    <s v="万邦"/>
    <s v="盐田海卡"/>
    <s v="TCY2"/>
    <x v="3"/>
    <s v="ANX-RP 便携式扩香仪 红粉色"/>
    <x v="1"/>
    <n v="2"/>
    <n v="26.440769230769231"/>
    <s v="重量收费"/>
    <n v="4.3499999999999996"/>
    <m/>
    <n v="6.7796610169491522"/>
    <n v="121.7970071707953"/>
    <n v="2.0299501195132548"/>
    <n v="0.30297762977809772"/>
    <m/>
    <m/>
    <m/>
    <x v="34"/>
    <d v="2026-06-15T00:00:00"/>
    <m/>
    <n v="0.47764705882352942"/>
    <n v="28.658823529411766"/>
    <m/>
    <m/>
    <m/>
    <m/>
    <m/>
    <m/>
    <m/>
    <m/>
    <m/>
  </r>
  <r>
    <m/>
    <s v="W20005"/>
    <s v="FBA19D0YVFRX"/>
    <s v="V-US"/>
    <x v="0"/>
    <s v="AND-MT"/>
    <n v="90"/>
    <s v="万邦"/>
    <s v="盐田海卡"/>
    <s v="TCY2"/>
    <x v="59"/>
    <s v="AND-MT 便携式双喷扩香仪 薄荷绿色"/>
    <x v="5"/>
    <n v="3"/>
    <n v="39.659999999999997"/>
    <s v="重量收费"/>
    <n v="4.3499999999999996"/>
    <m/>
    <n v="10.169491525423728"/>
    <n v="182.69049152542368"/>
    <n v="2.0298943502824853"/>
    <n v="0.30296930601231126"/>
    <m/>
    <m/>
    <m/>
    <x v="34"/>
    <d v="2026-06-15T00:00:00"/>
    <m/>
    <n v="0.44"/>
    <n v="39.6"/>
    <m/>
    <m/>
    <m/>
    <m/>
    <m/>
    <m/>
    <m/>
    <m/>
    <m/>
  </r>
  <r>
    <m/>
    <s v="W20007"/>
    <s v="FBA19D384MDF"/>
    <s v="A-US"/>
    <x v="0"/>
    <s v="ANZKIT-B_RZ30ML_TZ"/>
    <n v="300"/>
    <s v="万邦"/>
    <s v="盐田海卡"/>
    <s v="MIT2"/>
    <x v="151"/>
    <s v="ANZKIT-B_RZ30ML_TZ ANZ黑色机器+30mL丽思卡尔顿酒店（天竺）香氛油 机油套装"/>
    <x v="0"/>
    <n v="10"/>
    <n v="144.52000000000001"/>
    <s v="重量收费"/>
    <n v="4.25"/>
    <n v="200"/>
    <n v="19.23076923076923"/>
    <n v="633.44076923076932"/>
    <n v="2.1114692307692309"/>
    <n v="0.31514466130884045"/>
    <m/>
    <m/>
    <m/>
    <x v="34"/>
    <d v="2026-06-06T00:00:00"/>
    <m/>
    <n v="0.44"/>
    <n v="132"/>
    <m/>
    <m/>
    <m/>
    <m/>
    <m/>
    <m/>
    <m/>
    <m/>
    <m/>
  </r>
  <r>
    <m/>
    <s v="W20007"/>
    <s v="FBA19D384MDF"/>
    <s v="A-US"/>
    <x v="0"/>
    <s v="ANZKIT-W_RZ30ML_TZ"/>
    <n v="150"/>
    <s v="万邦"/>
    <s v="盐田海卡"/>
    <s v="MIT2"/>
    <x v="152"/>
    <s v="ANZKIT-W_RZ30ML_TZ ANZ白色机器+30mL丽思卡尔顿酒店（天竺）香氛油 机油套装"/>
    <x v="0"/>
    <n v="5"/>
    <n v="72.260000000000005"/>
    <s v="重量收费"/>
    <n v="4.25"/>
    <n v="200"/>
    <n v="9.615384615384615"/>
    <n v="316.72038461538466"/>
    <n v="2.1114692307692309"/>
    <n v="0.31514466130884045"/>
    <m/>
    <m/>
    <m/>
    <x v="34"/>
    <d v="2026-06-06T00:00:00"/>
    <m/>
    <n v="0.44"/>
    <n v="66"/>
    <m/>
    <m/>
    <m/>
    <m/>
    <m/>
    <m/>
    <m/>
    <m/>
    <m/>
  </r>
  <r>
    <m/>
    <s v="W20005"/>
    <s v="FBA19D4HMDZM"/>
    <s v="V-US"/>
    <x v="0"/>
    <s v="AN6KIT-B_RZ30ml"/>
    <n v="600"/>
    <s v="万邦"/>
    <s v="盐田海卡"/>
    <s v="TCY2"/>
    <x v="8"/>
    <s v="AN6KIT-B_RZ30ml AN6黑色机器+30mL丽思香氛油 机油套装"/>
    <x v="3"/>
    <n v="20"/>
    <n v="264.40666666666669"/>
    <s v="重量收费"/>
    <n v="4.3499999999999996"/>
    <n v="200"/>
    <n v="67.79661016949153"/>
    <n v="1217.9656101694916"/>
    <n v="2.0299426836158192"/>
    <n v="0.30297651994265956"/>
    <m/>
    <m/>
    <m/>
    <x v="34"/>
    <d v="2026-06-15T00:00:00"/>
    <m/>
    <n v="0.44"/>
    <n v="264"/>
    <m/>
    <m/>
    <m/>
    <m/>
    <m/>
    <m/>
    <m/>
    <m/>
    <m/>
  </r>
  <r>
    <m/>
    <s v="W20005"/>
    <s v="FBA19D4HMDZM"/>
    <s v="V-US"/>
    <x v="0"/>
    <s v="AN6KIT-WH_SJ30ML_TZ"/>
    <n v="300"/>
    <s v="万邦"/>
    <s v="盐田海卡"/>
    <s v="TCY2"/>
    <x v="56"/>
    <s v="AN6KIT-WH_SJ30ML_TZ AN6白色机器+30mL四季酒店香氛油（天竺） 机油套装"/>
    <x v="3"/>
    <n v="10"/>
    <n v="132.20333333333335"/>
    <s v="重量收费"/>
    <n v="4.3499999999999996"/>
    <n v="200"/>
    <n v="33.898305084745765"/>
    <n v="608.98280508474579"/>
    <n v="2.0299426836158192"/>
    <n v="0.30297651994265956"/>
    <m/>
    <m/>
    <m/>
    <x v="34"/>
    <d v="2026-06-15T00:00:00"/>
    <m/>
    <n v="0.44"/>
    <n v="132"/>
    <m/>
    <m/>
    <m/>
    <m/>
    <m/>
    <m/>
    <m/>
    <m/>
    <m/>
  </r>
  <r>
    <m/>
    <s v="W20008"/>
    <s v="FBA19CXM6Z07"/>
    <s v="K-US"/>
    <x v="0"/>
    <s v="U1KIT-BG_US_2X50K01_TZ"/>
    <n v="630"/>
    <s v="万邦"/>
    <s v="盐田海卡"/>
    <s v="GEU2"/>
    <x v="153"/>
    <s v="U1KIT-BG_US_2X50K01_TZ U1米灰色机器+2X50mL酒店香氛油（天竺） 机油套装"/>
    <x v="31"/>
    <n v="70"/>
    <n v="1158.82"/>
    <s v="重量收费"/>
    <n v="4.95"/>
    <n v="200"/>
    <n v="127.27272727272727"/>
    <n v="5863.4317272727267"/>
    <n v="9.3070344877344873"/>
    <n v="1.3891096250349981"/>
    <m/>
    <m/>
    <m/>
    <x v="33"/>
    <d v="2026-06-03T00:00:00"/>
    <m/>
    <n v="0.56000000000000005"/>
    <n v="352.8"/>
    <m/>
    <m/>
    <m/>
    <m/>
    <m/>
    <m/>
    <m/>
    <m/>
    <m/>
  </r>
  <r>
    <m/>
    <s v="W20008"/>
    <s v="FBA19CXL7FRP"/>
    <s v="K-US"/>
    <x v="0"/>
    <s v="U1-BG_US"/>
    <n v="360"/>
    <s v="万邦"/>
    <s v="盐田海卡"/>
    <s v="GEU2"/>
    <x v="154"/>
    <s v="U1-BG_US 智能扩香仪 米灰色"/>
    <x v="31"/>
    <n v="40"/>
    <n v="662.17999999999984"/>
    <s v="重量收费"/>
    <n v="4.95"/>
    <n v="200"/>
    <n v="72.727272727272734"/>
    <n v="3350.5182727272718"/>
    <n v="9.3069952020202003"/>
    <n v="1.3891037614955521"/>
    <m/>
    <m/>
    <m/>
    <x v="33"/>
    <d v="2026-06-03T00:00:00"/>
    <m/>
    <n v="0.55999999999999994"/>
    <n v="201.59999999999997"/>
    <m/>
    <m/>
    <m/>
    <m/>
    <m/>
    <m/>
    <m/>
    <m/>
    <m/>
  </r>
  <r>
    <m/>
    <s v="W20006"/>
    <s v="FBA19D2J6WFH"/>
    <s v="V-US"/>
    <x v="0"/>
    <s v="ANA-B_US"/>
    <n v="240"/>
    <s v="国润通"/>
    <s v="盐田海卡"/>
    <s v="TCY1"/>
    <x v="155"/>
    <s v="ANA-B_US 智能扩香仪 黑色"/>
    <x v="9"/>
    <n v="20"/>
    <n v="286.26865671641792"/>
    <s v="重量收费"/>
    <n v="4"/>
    <n v="200"/>
    <n v="59.701492537313435"/>
    <n v="1204.7761194029852"/>
    <n v="5.0199004975124382"/>
    <n v="0.74923888022573704"/>
    <m/>
    <m/>
    <m/>
    <x v="34"/>
    <m/>
    <m/>
    <n v="0.50293706293706297"/>
    <n v="120.70489510489512"/>
    <m/>
    <m/>
    <m/>
    <m/>
    <m/>
    <m/>
    <m/>
    <m/>
    <m/>
  </r>
  <r>
    <m/>
    <s v="W20006"/>
    <s v="FBA19D2J6WFH"/>
    <s v="V-US"/>
    <x v="0"/>
    <s v="001000033"/>
    <n v="360"/>
    <s v="国润通"/>
    <s v="盐田海卡"/>
    <s v="TCY1"/>
    <x v="41"/>
    <s v="ANW-W 智能扩香仪 白色"/>
    <x v="10"/>
    <n v="30"/>
    <n v="429.40298507462688"/>
    <s v="重量收费"/>
    <n v="4"/>
    <n v="200"/>
    <n v="89.552238805970148"/>
    <n v="1807.1641791044776"/>
    <n v="5.0199004975124382"/>
    <n v="0.74923888022573704"/>
    <m/>
    <m/>
    <m/>
    <x v="34"/>
    <m/>
    <m/>
    <n v="0.50293706293706297"/>
    <n v="181.05734265734267"/>
    <m/>
    <m/>
    <m/>
    <m/>
    <m/>
    <m/>
    <m/>
    <m/>
    <m/>
  </r>
  <r>
    <m/>
    <s v="W20006"/>
    <s v="FBA19D2J6WFH"/>
    <s v="V-US"/>
    <x v="0"/>
    <s v="ANP-B_US"/>
    <n v="256"/>
    <s v="国润通"/>
    <s v="盐田海卡"/>
    <s v="TCY1"/>
    <x v="135"/>
    <s v="ANP-B_US 墙插式智能扩香仪 黑色"/>
    <x v="26"/>
    <n v="8"/>
    <n v="114.50746268656717"/>
    <s v="重量收费"/>
    <n v="4"/>
    <m/>
    <n v="23.880597014925375"/>
    <n v="481.91044776119406"/>
    <n v="1.8824626865671643"/>
    <n v="0.28096458008465136"/>
    <m/>
    <m/>
    <m/>
    <x v="34"/>
    <m/>
    <m/>
    <n v="0.50293706293706297"/>
    <n v="128.75188811188812"/>
    <m/>
    <m/>
    <m/>
    <m/>
    <m/>
    <m/>
    <m/>
    <m/>
    <m/>
  </r>
  <r>
    <m/>
    <s v="W20006"/>
    <s v="FBA19D2J6WFH"/>
    <s v="V-US"/>
    <x v="0"/>
    <s v="ANP-W_US"/>
    <n v="288"/>
    <s v="国润通"/>
    <s v="盐田海卡"/>
    <s v="TCY1"/>
    <x v="115"/>
    <s v="ANP-W_US 墙插式智能扩香仪 白色"/>
    <x v="26"/>
    <n v="9"/>
    <n v="128.82089552238807"/>
    <s v="重量收费"/>
    <n v="4"/>
    <m/>
    <n v="26.865671641791046"/>
    <n v="542.14925373134338"/>
    <n v="1.8824626865671645"/>
    <n v="0.28096458008465142"/>
    <m/>
    <m/>
    <m/>
    <x v="34"/>
    <m/>
    <m/>
    <n v="0.50293706293706297"/>
    <n v="144.84587412587413"/>
    <m/>
    <m/>
    <m/>
    <m/>
    <m/>
    <m/>
    <m/>
    <m/>
    <m/>
  </r>
  <r>
    <m/>
    <s v="W20002"/>
    <s v="FBA19D0H6V9R"/>
    <s v="E-US"/>
    <x v="0"/>
    <s v="HOTEL6KIT1-6X10K03_TZ"/>
    <n v="720"/>
    <s v="天盛"/>
    <s v="盐田海卡"/>
    <s v="POC1"/>
    <x v="156"/>
    <s v="HOTEL6KIT1-6X10K03_TZ 酒店香氛油（天竺）6款10mL套装"/>
    <x v="6"/>
    <n v="12"/>
    <n v="0.51600000000000001"/>
    <s v="CBM收费"/>
    <n v="1130"/>
    <n v="180"/>
    <n v="43.2"/>
    <n v="626.28000000000009"/>
    <n v="0.86983333333333346"/>
    <n v="0.12982587064676618"/>
    <m/>
    <m/>
    <m/>
    <x v="34"/>
    <d v="2026-06-06T00:00:00"/>
    <m/>
    <n v="0.36"/>
    <n v="259.2"/>
    <m/>
    <m/>
    <m/>
    <m/>
    <m/>
    <m/>
    <m/>
    <m/>
    <m/>
  </r>
  <r>
    <m/>
    <s v="W20002"/>
    <s v="FBA19D0H6V9R"/>
    <s v="E-US"/>
    <x v="0"/>
    <s v="W1-100ML_TZ"/>
    <n v="576"/>
    <s v="天盛"/>
    <s v="盐田海卡"/>
    <s v="POC1"/>
    <x v="24"/>
    <s v="W1-100ML_TZ W酒店100mL香氛油（天竺） 销售包装"/>
    <x v="6"/>
    <n v="9"/>
    <n v="0.38700000000000001"/>
    <s v="CBM收费"/>
    <n v="1130"/>
    <n v="180"/>
    <n v="32.4"/>
    <n v="469.71"/>
    <n v="0.81546874999999996"/>
    <n v="0.12171175373134327"/>
    <m/>
    <m/>
    <m/>
    <x v="34"/>
    <d v="2026-06-06T00:00:00"/>
    <m/>
    <n v="0.36"/>
    <n v="207.35999999999999"/>
    <m/>
    <m/>
    <m/>
    <m/>
    <m/>
    <m/>
    <m/>
    <m/>
    <m/>
  </r>
  <r>
    <m/>
    <s v="W20002"/>
    <s v="FBA19D0H6V9R"/>
    <s v="E-US"/>
    <x v="0"/>
    <s v="HILTON1-100ML_TZ"/>
    <n v="576"/>
    <s v="天盛"/>
    <s v="盐田海卡"/>
    <s v="POC1"/>
    <x v="61"/>
    <s v="HILTON1-100ML_TZ 希尔顿酒店100mL香氛油（天竺） 销售包装"/>
    <x v="6"/>
    <n v="9"/>
    <n v="0.38700000000000001"/>
    <s v="CBM收费"/>
    <n v="1130"/>
    <m/>
    <n v="32.4"/>
    <n v="469.71"/>
    <n v="0.81546874999999996"/>
    <n v="0.12171175373134327"/>
    <m/>
    <m/>
    <m/>
    <x v="34"/>
    <d v="2026-06-06T00:00:00"/>
    <m/>
    <n v="0.36"/>
    <n v="207.35999999999999"/>
    <m/>
    <m/>
    <m/>
    <m/>
    <m/>
    <m/>
    <m/>
    <m/>
    <m/>
  </r>
  <r>
    <s v="跟FBA19D0H6V9R合并报关"/>
    <s v="W20002"/>
    <s v="FBA19D0HJ1ZW"/>
    <s v="V-US"/>
    <x v="0"/>
    <s v="RZ1-100ML_TZ"/>
    <n v="960"/>
    <s v="天盛"/>
    <s v="盐田海卡"/>
    <s v="POC3"/>
    <x v="148"/>
    <s v="RZ1-100ML_TZ 丽思卡尔顿酒店100mL香氛油（天竺） 销售包装"/>
    <x v="6"/>
    <n v="15"/>
    <n v="0.75"/>
    <s v="CBM收费"/>
    <n v="1130"/>
    <m/>
    <n v="54"/>
    <n v="901.5"/>
    <n v="0.93906250000000002"/>
    <n v="0.14015858208955223"/>
    <m/>
    <m/>
    <m/>
    <x v="34"/>
    <d v="2026-06-06T00:00:00"/>
    <m/>
    <n v="0.3675471698113208"/>
    <n v="352.84528301886797"/>
    <m/>
    <m/>
    <m/>
    <m/>
    <m/>
    <m/>
    <m/>
    <m/>
    <m/>
  </r>
  <r>
    <m/>
    <s v="W20002"/>
    <s v="FBA19D0HJ1ZW"/>
    <s v="V-US"/>
    <x v="0"/>
    <s v="RZ1-500ML_TZ"/>
    <n v="100"/>
    <s v="天盛"/>
    <s v="盐田海卡"/>
    <s v="POC3"/>
    <x v="136"/>
    <s v="RZ1-500ML_TZ 丽思卡尔顿酒店500mL香氛油（天竺） 销售包装"/>
    <x v="6"/>
    <n v="5"/>
    <n v="0.25"/>
    <s v="CBM收费"/>
    <n v="1130"/>
    <m/>
    <n v="18"/>
    <n v="300.5"/>
    <n v="3.0049999999999999"/>
    <n v="0.44850746268656716"/>
    <m/>
    <m/>
    <m/>
    <x v="34"/>
    <d v="2026-06-06T00:00:00"/>
    <m/>
    <n v="0.3675471698113208"/>
    <n v="36.754716981132077"/>
    <m/>
    <m/>
    <m/>
    <m/>
    <m/>
    <m/>
    <m/>
    <m/>
    <m/>
  </r>
  <r>
    <m/>
    <s v="W20001"/>
    <s v="FBA19D4B6M9C"/>
    <s v="K-US"/>
    <x v="0"/>
    <s v="BGR1_100ML_TZ"/>
    <n v="192"/>
    <s v="积米"/>
    <s v="盐田海卡"/>
    <s v="PSC2"/>
    <x v="116"/>
    <s v="BGR1_100ML_TZ 宝格丽酒店100mL香氛油（天竺） 销售包装"/>
    <x v="6"/>
    <n v="3"/>
    <n v="41.53846153846154"/>
    <s v="重量收费"/>
    <n v="7.1"/>
    <n v="200"/>
    <n v="46.153846153846153"/>
    <n v="341.07692307692304"/>
    <n v="1.7764423076923075"/>
    <n v="0.26514064293915035"/>
    <m/>
    <m/>
    <m/>
    <x v="34"/>
    <d v="2026-06-06T00:00:00"/>
    <m/>
    <n v="0.40081632653061228"/>
    <n v="76.956734693877564"/>
    <m/>
    <m/>
    <m/>
    <m/>
    <m/>
    <m/>
    <m/>
    <m/>
    <m/>
  </r>
  <r>
    <m/>
    <s v="W20001"/>
    <s v="FBA19D4B6M9C"/>
    <s v="K-US"/>
    <x v="0"/>
    <s v="SJ1-500ML_TZ"/>
    <n v="100"/>
    <s v="积米"/>
    <s v="盐田海卡"/>
    <s v="PSC2"/>
    <x v="157"/>
    <s v="SJ1-500ML_TZ 四季酒店500mL香氛油（天竺） 销售包装"/>
    <x v="6"/>
    <n v="5"/>
    <n v="69.230769230769226"/>
    <s v="重量收费"/>
    <n v="7.1"/>
    <n v="200"/>
    <n v="76.92307692307692"/>
    <n v="568.46153846153845"/>
    <n v="5.6846153846153848"/>
    <n v="0.84845005740528134"/>
    <m/>
    <m/>
    <m/>
    <x v="34"/>
    <d v="2026-06-06T00:00:00"/>
    <m/>
    <n v="0.40081632653061228"/>
    <n v="40.081632653061227"/>
    <m/>
    <m/>
    <m/>
    <m/>
    <m/>
    <m/>
    <m/>
    <m/>
    <m/>
  </r>
  <r>
    <m/>
    <s v="W20001"/>
    <s v="FBA19D4B6M9C"/>
    <s v="K-US"/>
    <x v="0"/>
    <s v="HILTON1-500ML_TZ"/>
    <n v="100"/>
    <s v="积米"/>
    <s v="盐田海卡"/>
    <s v="PSC2"/>
    <x v="158"/>
    <s v="HILTON1-500ML_TZ 希尔顿酒店500mL香氛油（天竺） 销售包装"/>
    <x v="6"/>
    <n v="5"/>
    <n v="69.230769230769226"/>
    <s v="重量收费"/>
    <n v="7.1"/>
    <m/>
    <n v="76.92307692307692"/>
    <n v="568.46153846153845"/>
    <n v="5.6846153846153848"/>
    <n v="0.84845005740528134"/>
    <m/>
    <m/>
    <m/>
    <x v="34"/>
    <d v="2026-06-06T00:00:00"/>
    <m/>
    <n v="0.40081632653061228"/>
    <n v="40.081632653061227"/>
    <m/>
    <m/>
    <m/>
    <m/>
    <m/>
    <m/>
    <m/>
    <m/>
    <m/>
  </r>
  <r>
    <m/>
    <s v="W20009"/>
    <s v="FBA19D93KMHJ"/>
    <s v="K-US"/>
    <x v="0"/>
    <s v="RDX-SILV_US"/>
    <n v="180"/>
    <s v="万邦"/>
    <s v="盐田海卡"/>
    <s v="POC2"/>
    <x v="139"/>
    <s v="RDX-SILV_US 智能扩香仪 银色"/>
    <x v="25"/>
    <n v="20"/>
    <n v="298.64"/>
    <s v="重量收费"/>
    <n v="4.2"/>
    <n v="200"/>
    <n v="90.909090909090907"/>
    <n v="1345.197090909091"/>
    <n v="7.4733171717171718"/>
    <n v="1.1154204733906226"/>
    <m/>
    <m/>
    <m/>
    <x v="34"/>
    <d v="2026-06-06T00:00:00"/>
    <m/>
    <n v="0.7"/>
    <n v="125.99999999999999"/>
    <m/>
    <m/>
    <m/>
    <m/>
    <m/>
    <m/>
    <m/>
    <m/>
    <m/>
  </r>
  <r>
    <m/>
    <s v="W20009"/>
    <s v="FBA19D94S4L0"/>
    <s v="K-US"/>
    <x v="0"/>
    <s v="RDXKIT-B_US_2X100K04"/>
    <n v="216"/>
    <s v="万邦"/>
    <s v="盐田海卡"/>
    <s v="POC2"/>
    <x v="112"/>
    <s v="RDXKIT-B_US_2X100K04 RDX黑色机器+2X100mL酒店香氛油（天竺） 机油套装"/>
    <x v="25"/>
    <n v="24"/>
    <n v="358.36"/>
    <s v="重量收费"/>
    <n v="4.2"/>
    <n v="200"/>
    <n v="109.09090909090909"/>
    <n v="1614.2029090909091"/>
    <n v="7.4731616161616161"/>
    <n v="1.1153972561435248"/>
    <m/>
    <m/>
    <m/>
    <x v="34"/>
    <d v="2026-06-06T00:00:00"/>
    <m/>
    <n v="0.7"/>
    <n v="151.19999999999999"/>
    <m/>
    <m/>
    <m/>
    <m/>
    <m/>
    <m/>
    <m/>
    <m/>
    <m/>
  </r>
  <r>
    <m/>
    <s v="W20010"/>
    <s v="FBA19DCNSFXR"/>
    <s v="K-US"/>
    <x v="0"/>
    <s v="AH1B-WH_US"/>
    <n v="60"/>
    <s v="万邦"/>
    <s v="美中海卡"/>
    <s v="JVL1"/>
    <x v="159"/>
    <s v="AH1B-WH_US 智能加湿器 白色 美规"/>
    <x v="32"/>
    <n v="10"/>
    <n v="158"/>
    <s v="重量收费"/>
    <n v="6.6"/>
    <n v="200"/>
    <n v="200"/>
    <n v="1242.8"/>
    <n v="20.713333333333331"/>
    <n v="3.0915422885572137"/>
    <m/>
    <m/>
    <m/>
    <x v="35"/>
    <d v="2026-06-09T00:00:00"/>
    <m/>
    <n v="0"/>
    <n v="0"/>
    <m/>
    <m/>
    <m/>
    <m/>
    <m/>
    <m/>
    <m/>
    <m/>
    <m/>
  </r>
  <r>
    <m/>
    <s v="W20011"/>
    <s v="FBA19DCQDFHJ"/>
    <s v="K-US"/>
    <x v="0"/>
    <s v="AH1B-WH_US"/>
    <n v="60"/>
    <s v="万邦"/>
    <s v="美中海卡"/>
    <s v="SAT4"/>
    <x v="159"/>
    <s v="AH1B-WH_US 智能加湿器 白色 美规"/>
    <x v="32"/>
    <n v="10"/>
    <n v="158"/>
    <s v="重量收费"/>
    <n v="5.9"/>
    <n v="200"/>
    <n v="200"/>
    <n v="1132.2"/>
    <n v="18.87"/>
    <n v="2.8164179104477611"/>
    <m/>
    <m/>
    <m/>
    <x v="35"/>
    <d v="2026-06-19T00:00:00"/>
    <m/>
    <n v="0"/>
    <n v="0"/>
    <m/>
    <m/>
    <m/>
    <m/>
    <m/>
    <m/>
    <m/>
    <m/>
    <m/>
  </r>
  <r>
    <m/>
    <s v="W20012"/>
    <s v="FBA19DCSC490"/>
    <s v="K-US"/>
    <x v="0"/>
    <s v="AH1B-WH_US"/>
    <n v="60"/>
    <s v="万邦"/>
    <s v="盐田海卡"/>
    <s v="FAT2"/>
    <x v="159"/>
    <s v="AH1B-WH_US 智能加湿器 白色 美规"/>
    <x v="32"/>
    <n v="10"/>
    <n v="158"/>
    <s v="重量收费"/>
    <n v="5.0999999999999996"/>
    <n v="200"/>
    <n v="200"/>
    <n v="1005.8"/>
    <n v="16.763333333333332"/>
    <n v="2.5019900497512433"/>
    <m/>
    <m/>
    <m/>
    <x v="35"/>
    <d v="2026-06-06T00:00:00"/>
    <m/>
    <n v="0"/>
    <n v="0"/>
    <m/>
    <m/>
    <m/>
    <m/>
    <m/>
    <m/>
    <m/>
    <m/>
    <m/>
  </r>
  <r>
    <m/>
    <s v="W20013"/>
    <s v="FBA19DCRKGGZ"/>
    <s v="K-US"/>
    <x v="0"/>
    <s v="AH1B-WH_US"/>
    <n v="60"/>
    <s v="万邦"/>
    <s v="美东海卡"/>
    <s v="TEB6"/>
    <x v="159"/>
    <s v="AH1B-WH_US 智能加湿器 白色 美规"/>
    <x v="32"/>
    <n v="10"/>
    <n v="158"/>
    <s v="重量收费"/>
    <n v="5.4"/>
    <n v="200"/>
    <n v="200"/>
    <n v="1053.2"/>
    <n v="17.553333333333335"/>
    <n v="2.6199004975124378"/>
    <m/>
    <m/>
    <m/>
    <x v="35"/>
    <d v="2026-06-23T00:00:00"/>
    <m/>
    <n v="0"/>
    <n v="0"/>
    <m/>
    <m/>
    <m/>
    <m/>
    <m/>
    <m/>
    <m/>
    <m/>
    <m/>
  </r>
  <r>
    <m/>
    <s v="W20014"/>
    <s v="FBA19DCSKYDJ"/>
    <s v="K-US"/>
    <x v="0"/>
    <s v="AH1B-WH_US"/>
    <n v="60"/>
    <s v="万邦"/>
    <s v="美东海卡"/>
    <s v="HSV1"/>
    <x v="159"/>
    <s v="AH1B-WH_US 智能加湿器 白色 美规"/>
    <x v="32"/>
    <n v="10"/>
    <n v="158"/>
    <s v="重量收费"/>
    <n v="6.3"/>
    <n v="200"/>
    <n v="200"/>
    <n v="1195.4000000000001"/>
    <n v="19.923333333333336"/>
    <n v="2.9736318407960201"/>
    <m/>
    <m/>
    <m/>
    <x v="35"/>
    <d v="2026-06-22T00:00:00"/>
    <m/>
    <n v="0"/>
    <n v="0"/>
    <m/>
    <m/>
    <m/>
    <m/>
    <m/>
    <m/>
    <m/>
    <m/>
    <m/>
  </r>
  <r>
    <m/>
    <s v="W21006"/>
    <s v="FBA19DCDFPP1"/>
    <s v="E-US"/>
    <x v="0"/>
    <s v="001000053"/>
    <n v="96"/>
    <s v="嘀嗒嘀"/>
    <s v="盐田海卡"/>
    <s v="HLI2"/>
    <x v="52"/>
    <s v="ANX-2PC-BB 便携式扩香仪套装 黑+黑"/>
    <x v="1"/>
    <n v="6"/>
    <n v="75.75"/>
    <s v="重量收费"/>
    <n v="5.3"/>
    <n v="200"/>
    <n v="16"/>
    <n v="417.47499999999997"/>
    <n v="4.3486979166666666"/>
    <n v="0.64905939054726369"/>
    <m/>
    <m/>
    <m/>
    <x v="36"/>
    <d v="2026-06-13T00:00:00"/>
    <m/>
    <n v="0.56000000000000005"/>
    <n v="53.760000000000005"/>
    <m/>
    <m/>
    <m/>
    <m/>
    <m/>
    <m/>
    <m/>
    <m/>
    <m/>
  </r>
  <r>
    <m/>
    <s v="W21006"/>
    <s v="FBA19DCDFPP1"/>
    <s v="E-US"/>
    <x v="0"/>
    <s v="001000059"/>
    <n v="32"/>
    <s v="嘀嗒嘀"/>
    <s v="盐田海卡"/>
    <s v="HLI2"/>
    <x v="160"/>
    <s v="ANX-2PC-BGD 便携式扩香仪套装 黑+金"/>
    <x v="1"/>
    <n v="2"/>
    <n v="25.25"/>
    <s v="重量收费"/>
    <n v="5.3"/>
    <m/>
    <n v="5.333333333333333"/>
    <n v="139.15833333333333"/>
    <n v="4.3486979166666666"/>
    <n v="0.64905939054726369"/>
    <m/>
    <m/>
    <m/>
    <x v="36"/>
    <d v="2026-06-13T00:00:00"/>
    <m/>
    <n v="0.56000000000000005"/>
    <n v="17.920000000000002"/>
    <m/>
    <m/>
    <m/>
    <m/>
    <m/>
    <m/>
    <m/>
    <m/>
    <m/>
  </r>
  <r>
    <m/>
    <s v="W21007"/>
    <s v="FBA19CYJ3DZ0"/>
    <s v="K-US"/>
    <x v="0"/>
    <s v="RD2KIT-B_2X30K06_TZ"/>
    <n v="200"/>
    <s v="万邦"/>
    <s v="盐田海卡"/>
    <s v="TCY1"/>
    <x v="134"/>
    <s v="RD2KIT-B_2X30K06_TZ RD2黑色机器+2X30mL酒店香氛油（天竺）  机油套装"/>
    <x v="30"/>
    <n v="10"/>
    <n v="139"/>
    <s v="重量收费"/>
    <n v="4.5"/>
    <n v="200"/>
    <n v="100"/>
    <n v="725.5"/>
    <n v="3.6274999999999999"/>
    <n v="0.54141791044776122"/>
    <m/>
    <m/>
    <m/>
    <x v="36"/>
    <d v="2026-06-12T00:00:00"/>
    <m/>
    <n v="0.56000000000000005"/>
    <n v="112.00000000000001"/>
    <m/>
    <m/>
    <m/>
    <m/>
    <m/>
    <m/>
    <m/>
    <m/>
    <m/>
  </r>
  <r>
    <m/>
    <s v="W21005"/>
    <s v="FBA19DBKJ7ZY"/>
    <s v="V-CA"/>
    <x v="3"/>
    <s v="001000020"/>
    <n v="160"/>
    <s v="嘀嗒嘀"/>
    <s v="加拿大海卡"/>
    <s v="YXU1"/>
    <x v="18"/>
    <s v="AN6-W 便携式扩香仪 白色"/>
    <x v="3"/>
    <n v="4"/>
    <n v="60"/>
    <s v="重量收费"/>
    <n v="6"/>
    <n v="200"/>
    <n v="66.666666666666671"/>
    <n v="426.66666666666669"/>
    <n v="2.666666666666667"/>
    <n v="0.39800995024875624"/>
    <m/>
    <m/>
    <m/>
    <x v="36"/>
    <m/>
    <m/>
    <n v="0"/>
    <n v="0"/>
    <m/>
    <m/>
    <m/>
    <m/>
    <m/>
    <m/>
    <m/>
    <m/>
    <m/>
  </r>
  <r>
    <m/>
    <s v="W21005"/>
    <s v="FBA19DBKJ7ZY"/>
    <s v="V-CA"/>
    <x v="3"/>
    <s v="RD1-B"/>
    <n v="150"/>
    <s v="嘀嗒嘀"/>
    <s v="加拿大海卡"/>
    <s v="YXU1"/>
    <x v="101"/>
    <s v="RD1-B 便携式扩香仪 黑色"/>
    <x v="23"/>
    <n v="5"/>
    <n v="75"/>
    <s v="重量收费"/>
    <n v="6"/>
    <n v="200"/>
    <n v="83.333333333333329"/>
    <n v="533.33333333333337"/>
    <n v="3.5555555555555558"/>
    <n v="0.53067993366500832"/>
    <m/>
    <m/>
    <m/>
    <x v="36"/>
    <m/>
    <m/>
    <n v="0"/>
    <n v="0"/>
    <m/>
    <m/>
    <m/>
    <m/>
    <m/>
    <m/>
    <m/>
    <m/>
    <m/>
  </r>
  <r>
    <m/>
    <s v="W21005"/>
    <s v="FBA19DBKJ7ZY"/>
    <s v="V-CA"/>
    <x v="3"/>
    <s v="RD1-DT"/>
    <n v="90"/>
    <s v="嘀嗒嘀"/>
    <s v="加拿大海卡"/>
    <s v="YXU1"/>
    <x v="110"/>
    <s v="RD1-DT 便携式扩香仪 沙漠钛色"/>
    <x v="23"/>
    <n v="3"/>
    <n v="45"/>
    <s v="重量收费"/>
    <n v="6"/>
    <m/>
    <n v="50"/>
    <n v="320"/>
    <n v="3.5555555555555554"/>
    <n v="0.53067993366500821"/>
    <m/>
    <m/>
    <m/>
    <x v="36"/>
    <m/>
    <m/>
    <n v="0"/>
    <n v="0"/>
    <m/>
    <m/>
    <m/>
    <m/>
    <m/>
    <m/>
    <m/>
    <m/>
    <m/>
  </r>
  <r>
    <m/>
    <s v="W21008"/>
    <s v="FBA19DCLY68K"/>
    <s v="V-US"/>
    <x v="0"/>
    <s v="001000019"/>
    <n v="800"/>
    <s v="万邦"/>
    <s v="盐田海卡"/>
    <s v="MIT2"/>
    <x v="17"/>
    <s v="AN6-B 便携式扩香仪 黑色"/>
    <x v="3"/>
    <n v="20"/>
    <n v="278.26086956521738"/>
    <s v="重量收费"/>
    <n v="4"/>
    <n v="200"/>
    <n v="43.956043956043956"/>
    <n v="1156.9995222169134"/>
    <n v="1.4462494027711417"/>
    <n v="0.21585811981658831"/>
    <m/>
    <m/>
    <m/>
    <x v="36"/>
    <d v="2026-06-12T00:00:00"/>
    <m/>
    <n v="0.36685714285714283"/>
    <n v="293.48571428571427"/>
    <m/>
    <m/>
    <m/>
    <m/>
    <m/>
    <m/>
    <m/>
    <m/>
    <m/>
  </r>
  <r>
    <m/>
    <s v="W21008"/>
    <s v="FBA19DCLY68K"/>
    <s v="V-US"/>
    <x v="0"/>
    <s v="001000020"/>
    <n v="600"/>
    <s v="万邦"/>
    <s v="盐田海卡"/>
    <s v="MIT2"/>
    <x v="18"/>
    <s v="AN6-W 便携式扩香仪 白色"/>
    <x v="3"/>
    <n v="15"/>
    <n v="208.69565217391303"/>
    <s v="重量收费"/>
    <n v="4"/>
    <n v="200"/>
    <n v="32.967032967032964"/>
    <n v="867.74964166268512"/>
    <n v="1.4462494027711419"/>
    <n v="0.21585811981658834"/>
    <m/>
    <m/>
    <m/>
    <x v="36"/>
    <d v="2026-06-12T00:00:00"/>
    <m/>
    <n v="0.36685714285714283"/>
    <n v="220.1142857142857"/>
    <m/>
    <m/>
    <m/>
    <m/>
    <m/>
    <m/>
    <m/>
    <m/>
    <m/>
  </r>
  <r>
    <m/>
    <s v="W21008"/>
    <s v="FBA19DCLY68K"/>
    <s v="V-US"/>
    <x v="0"/>
    <s v="AN6-YG"/>
    <n v="120"/>
    <s v="万邦"/>
    <s v="盐田海卡"/>
    <s v="MIT2"/>
    <x v="19"/>
    <s v="AN6-YG 便携式扩香仪 乳酪色"/>
    <x v="3"/>
    <n v="3"/>
    <n v="41.739130434782609"/>
    <s v="重量收费"/>
    <n v="4"/>
    <m/>
    <n v="6.5934065934065931"/>
    <n v="173.54992833253704"/>
    <n v="1.4462494027711419"/>
    <n v="0.21585811981658834"/>
    <m/>
    <m/>
    <m/>
    <x v="36"/>
    <d v="2026-06-12T00:00:00"/>
    <m/>
    <n v="0.36685714285714283"/>
    <n v="44.022857142857141"/>
    <m/>
    <m/>
    <m/>
    <m/>
    <m/>
    <m/>
    <m/>
    <m/>
    <m/>
  </r>
  <r>
    <m/>
    <s v="W21008"/>
    <s v="FBA19DCLY68K"/>
    <s v="V-US"/>
    <x v="0"/>
    <s v="RD1-B"/>
    <n v="180"/>
    <s v="万邦"/>
    <s v="盐田海卡"/>
    <s v="MIT2"/>
    <x v="101"/>
    <s v="RD1-B 便携式扩香仪 黑色"/>
    <x v="23"/>
    <n v="6"/>
    <n v="83.478260869565219"/>
    <s v="重量收费"/>
    <n v="4"/>
    <m/>
    <n v="13.186813186813186"/>
    <n v="347.09985666507407"/>
    <n v="1.9283325370281892"/>
    <n v="0.2878108264221178"/>
    <m/>
    <m/>
    <m/>
    <x v="36"/>
    <d v="2026-06-12T00:00:00"/>
    <m/>
    <n v="0.36685714285714283"/>
    <n v="66.034285714285716"/>
    <m/>
    <m/>
    <m/>
    <m/>
    <m/>
    <m/>
    <m/>
    <m/>
    <m/>
  </r>
  <r>
    <m/>
    <s v="W21008"/>
    <s v="FBA19DCLY68K"/>
    <s v="V-US"/>
    <x v="0"/>
    <s v="001000021"/>
    <n v="200"/>
    <s v="万邦"/>
    <s v="盐田海卡"/>
    <s v="MIT2"/>
    <x v="69"/>
    <s v="AN6NZ-B AN6喷嘴配件套装 黑色"/>
    <x v="14"/>
    <n v="1"/>
    <n v="13.913043478260869"/>
    <s v="重量收费"/>
    <n v="4"/>
    <m/>
    <n v="2.197802197802198"/>
    <n v="57.849976110845674"/>
    <n v="0.28924988055422834"/>
    <n v="4.3171623963317661E-2"/>
    <m/>
    <m/>
    <m/>
    <x v="36"/>
    <d v="2026-06-12T00:00:00"/>
    <m/>
    <n v="0.36685714285714283"/>
    <n v="73.371428571428567"/>
    <m/>
    <m/>
    <m/>
    <m/>
    <m/>
    <m/>
    <m/>
    <m/>
    <m/>
  </r>
  <r>
    <m/>
    <s v="W21008"/>
    <s v="FBA19DCLY68K"/>
    <s v="V-US"/>
    <x v="0"/>
    <s v="AN8NZ-B"/>
    <n v="200"/>
    <s v="万邦"/>
    <s v="盐田海卡"/>
    <s v="MIT2"/>
    <x v="34"/>
    <s v="AN8NZ-B AN8(Z)喷嘴配件套装 黑色"/>
    <x v="8"/>
    <n v="1"/>
    <n v="13.913043478260869"/>
    <s v="重量收费"/>
    <n v="4"/>
    <m/>
    <n v="2.197802197802198"/>
    <n v="57.849976110845674"/>
    <n v="0.28924988055422834"/>
    <n v="4.3171623963317661E-2"/>
    <m/>
    <m/>
    <m/>
    <x v="36"/>
    <d v="2026-06-12T00:00:00"/>
    <m/>
    <n v="0.36685714285714283"/>
    <n v="73.371428571428567"/>
    <m/>
    <m/>
    <m/>
    <m/>
    <m/>
    <m/>
    <m/>
    <m/>
    <m/>
  </r>
  <r>
    <m/>
    <s v="W21006"/>
    <s v="FBA19DCNNMVR"/>
    <s v="V-US"/>
    <x v="0"/>
    <s v="ADXKIT-B_4X10K04_TZ"/>
    <n v="390"/>
    <s v="嘀嗒嘀"/>
    <s v="盐田海卡"/>
    <s v="GEU2"/>
    <x v="54"/>
    <s v="ADXKIT-B_4X10K04_TZ ADX黑色机器+4x10mL酒店（天竺）香氛油 机油套装"/>
    <x v="2"/>
    <n v="13"/>
    <n v="204.88"/>
    <s v="重量收费"/>
    <n v="4.4000000000000004"/>
    <m/>
    <n v="34.666666666666664"/>
    <n v="936.13866666666672"/>
    <n v="2.4003555555555556"/>
    <n v="0.35826202321724709"/>
    <m/>
    <m/>
    <m/>
    <x v="36"/>
    <d v="2026-06-13T00:00:00"/>
    <m/>
    <n v="0.44"/>
    <n v="171.6"/>
    <m/>
    <m/>
    <m/>
    <m/>
    <m/>
    <m/>
    <m/>
    <m/>
    <m/>
  </r>
  <r>
    <m/>
    <s v="W21006"/>
    <s v="FBA19DCNNMVR"/>
    <s v="V-US"/>
    <x v="0"/>
    <s v="ADXKIT-DT_4X10K04_TZ"/>
    <n v="150"/>
    <s v="嘀嗒嘀"/>
    <s v="盐田海卡"/>
    <s v="GEU2"/>
    <x v="55"/>
    <s v="ADXKIT-DT_4X10K04_TZ AD钛色机器+4x10mL酒店（天竺）香氛油 机油套装"/>
    <x v="2"/>
    <n v="5"/>
    <n v="78.8"/>
    <s v="重量收费"/>
    <n v="4.4000000000000004"/>
    <m/>
    <n v="13.333333333333334"/>
    <n v="360.05333333333334"/>
    <n v="2.4003555555555556"/>
    <n v="0.35826202321724709"/>
    <m/>
    <m/>
    <m/>
    <x v="36"/>
    <d v="2026-06-13T00:00:00"/>
    <m/>
    <n v="0.44"/>
    <n v="66"/>
    <m/>
    <m/>
    <m/>
    <m/>
    <m/>
    <m/>
    <m/>
    <m/>
    <m/>
  </r>
  <r>
    <m/>
    <s v="W21006"/>
    <s v="FBA19DCNNMVR"/>
    <s v="V-US"/>
    <x v="0"/>
    <s v="AN8KIT-B_4X10K05_TZ"/>
    <n v="600"/>
    <s v="嘀嗒嘀"/>
    <s v="盐田海卡"/>
    <s v="GEU2"/>
    <x v="117"/>
    <s v="AN8KIT-B_4X10K05_TZ AN8黑色机器+4x10mL（天竺）酒店香氛油 机油套装"/>
    <x v="4"/>
    <n v="20"/>
    <n v="315.2"/>
    <s v="重量收费"/>
    <n v="4.4000000000000004"/>
    <m/>
    <n v="53.333333333333336"/>
    <n v="1440.2133333333334"/>
    <n v="2.4003555555555556"/>
    <n v="0.35826202321724709"/>
    <m/>
    <m/>
    <m/>
    <x v="36"/>
    <d v="2026-06-13T00:00:00"/>
    <m/>
    <n v="0.44"/>
    <n v="264"/>
    <m/>
    <m/>
    <m/>
    <m/>
    <m/>
    <m/>
    <m/>
    <m/>
    <m/>
  </r>
  <r>
    <m/>
    <s v="W21006"/>
    <s v="FBA19DHFYLGN"/>
    <s v="A-US"/>
    <x v="0"/>
    <s v="ANZKIT-B_B"/>
    <n v="340"/>
    <s v="嘀嗒嘀"/>
    <s v="盐田海卡"/>
    <s v="TCY2"/>
    <x v="119"/>
    <s v="ANZKIT-B_B 便携式扩香仪 黑色 两个装"/>
    <x v="0"/>
    <n v="17"/>
    <n v="219"/>
    <s v="重量收费"/>
    <n v="4.4000000000000004"/>
    <m/>
    <n v="45.333333333333336"/>
    <n v="1008.9333333333334"/>
    <n v="2.9674509803921572"/>
    <n v="0.44290313140181448"/>
    <m/>
    <m/>
    <m/>
    <x v="36"/>
    <d v="2026-06-13T00:00:00"/>
    <m/>
    <n v="0.44"/>
    <n v="149.6"/>
    <m/>
    <m/>
    <m/>
    <m/>
    <m/>
    <m/>
    <m/>
    <m/>
    <m/>
  </r>
  <r>
    <m/>
    <s v="W21006"/>
    <s v="FBA19DHCQZSK"/>
    <s v="E-US"/>
    <x v="0"/>
    <s v="ANZ-B"/>
    <n v="480"/>
    <s v="嘀嗒嘀"/>
    <s v="盐田海卡"/>
    <s v="GEU2"/>
    <x v="0"/>
    <s v="ANZ-B 便携式扩香仪 黑色"/>
    <x v="0"/>
    <n v="12"/>
    <n v="189.12"/>
    <s v="重量收费"/>
    <n v="4.4000000000000004"/>
    <m/>
    <n v="32"/>
    <n v="864.12800000000004"/>
    <n v="1.8002666666666667"/>
    <n v="0.26869651741293532"/>
    <m/>
    <m/>
    <m/>
    <x v="36"/>
    <d v="2026-06-13T00:00:00"/>
    <m/>
    <n v="0.36000000000000004"/>
    <n v="172.8"/>
    <m/>
    <m/>
    <m/>
    <m/>
    <m/>
    <m/>
    <m/>
    <m/>
    <m/>
  </r>
  <r>
    <m/>
    <s v="W21002"/>
    <s v="FBA19DC9Y40J"/>
    <s v="W-US"/>
    <x v="0"/>
    <s v="002000029"/>
    <n v="32"/>
    <s v="天盛"/>
    <s v="盐田海卡"/>
    <s v="MIT2"/>
    <x v="81"/>
    <s v="MD1-B 电子球形把手锁 指纹 黑色"/>
    <x v="19"/>
    <n v="2"/>
    <n v="0.12774193548387097"/>
    <s v="CBM收费"/>
    <n v="1080"/>
    <n v="180"/>
    <n v="11.612903225806452"/>
    <n v="149.57419354838711"/>
    <n v="4.6741935483870973"/>
    <n v="0.69764082811747719"/>
    <m/>
    <m/>
    <m/>
    <x v="36"/>
    <m/>
    <m/>
    <n v="0.55999999999999994"/>
    <n v="17.919999999999998"/>
    <m/>
    <m/>
    <m/>
    <m/>
    <m/>
    <m/>
    <m/>
    <m/>
    <m/>
  </r>
  <r>
    <m/>
    <s v="W21002"/>
    <s v="FBA19DC9Y40J"/>
    <s v="W-US"/>
    <x v="0"/>
    <s v="002000038"/>
    <n v="96"/>
    <s v="天盛"/>
    <s v="盐田海卡"/>
    <s v="MIT2"/>
    <x v="82"/>
    <s v="MD1-SILV 电子球形把手锁 指纹 银色"/>
    <x v="19"/>
    <n v="6"/>
    <n v="0.38322580645161292"/>
    <s v="CBM收费"/>
    <n v="1080"/>
    <n v="180"/>
    <n v="34.838709677419352"/>
    <n v="448.72258064516126"/>
    <n v="4.6741935483870964"/>
    <n v="0.69764082811747707"/>
    <m/>
    <m/>
    <m/>
    <x v="36"/>
    <m/>
    <m/>
    <n v="0.55999999999999994"/>
    <n v="53.759999999999991"/>
    <m/>
    <m/>
    <m/>
    <m/>
    <m/>
    <m/>
    <m/>
    <m/>
    <m/>
  </r>
  <r>
    <m/>
    <s v="W21002"/>
    <s v="FBA19DC9Y40J"/>
    <s v="W-US"/>
    <x v="0"/>
    <s v="002000030"/>
    <n v="144"/>
    <s v="天盛"/>
    <s v="盐田海卡"/>
    <s v="MIT2"/>
    <x v="83"/>
    <s v="MD1-T 电子球形把手锁 指纹 钛灰色"/>
    <x v="19"/>
    <n v="9"/>
    <n v="0.57483870967741935"/>
    <s v="CBM收费"/>
    <n v="1080"/>
    <m/>
    <n v="52.258064516129032"/>
    <n v="673.08387096774197"/>
    <n v="4.6741935483870973"/>
    <n v="0.69764082811747719"/>
    <m/>
    <m/>
    <m/>
    <x v="36"/>
    <m/>
    <m/>
    <n v="0.55999999999999994"/>
    <n v="80.639999999999986"/>
    <m/>
    <m/>
    <m/>
    <m/>
    <m/>
    <m/>
    <m/>
    <m/>
    <m/>
  </r>
  <r>
    <m/>
    <s v="W21002"/>
    <s v="FBA19DC9Y40J"/>
    <s v="W-US"/>
    <x v="0"/>
    <s v="002000031"/>
    <n v="80"/>
    <s v="天盛"/>
    <s v="盐田海卡"/>
    <s v="MIT2"/>
    <x v="84"/>
    <s v="MK1-B 智能球形把手锁 黑色"/>
    <x v="20"/>
    <n v="5"/>
    <n v="0.3193548387096774"/>
    <s v="CBM收费"/>
    <n v="1080"/>
    <m/>
    <n v="29.032258064516128"/>
    <n v="373.93548387096769"/>
    <n v="4.6741935483870964"/>
    <n v="0.69764082811747707"/>
    <m/>
    <m/>
    <m/>
    <x v="36"/>
    <m/>
    <m/>
    <n v="0.55999999999999994"/>
    <n v="44.8"/>
    <m/>
    <m/>
    <m/>
    <m/>
    <m/>
    <m/>
    <m/>
    <m/>
    <m/>
  </r>
  <r>
    <m/>
    <s v="W21002"/>
    <s v="FBA19DC9Y40J"/>
    <s v="W-US"/>
    <x v="0"/>
    <s v="002000033"/>
    <n v="48"/>
    <s v="天盛"/>
    <s v="盐田海卡"/>
    <s v="MIT2"/>
    <x v="85"/>
    <s v="MK1-SILV 智能球形把手锁 银色"/>
    <x v="20"/>
    <n v="3"/>
    <n v="0.19161290322580646"/>
    <s v="CBM收费"/>
    <n v="1080"/>
    <m/>
    <n v="17.419354838709676"/>
    <n v="224.36129032258063"/>
    <n v="4.6741935483870964"/>
    <n v="0.69764082811747707"/>
    <m/>
    <m/>
    <m/>
    <x v="36"/>
    <m/>
    <m/>
    <n v="0.55999999999999994"/>
    <n v="26.879999999999995"/>
    <m/>
    <m/>
    <m/>
    <m/>
    <m/>
    <m/>
    <m/>
    <m/>
    <m/>
  </r>
  <r>
    <m/>
    <s v="W21002"/>
    <s v="FBA19DC9Y40J"/>
    <s v="W-US"/>
    <x v="0"/>
    <s v="002000032"/>
    <n v="96"/>
    <s v="天盛"/>
    <s v="盐田海卡"/>
    <s v="MIT2"/>
    <x v="86"/>
    <s v="MK1-T 智能球形把手锁 钛色"/>
    <x v="20"/>
    <n v="6"/>
    <n v="0.38322580645161292"/>
    <s v="CBM收费"/>
    <n v="1080"/>
    <m/>
    <n v="34.838709677419352"/>
    <n v="448.72258064516126"/>
    <n v="4.6741935483870964"/>
    <n v="0.69764082811747707"/>
    <m/>
    <m/>
    <m/>
    <x v="36"/>
    <m/>
    <m/>
    <n v="0.55999999999999994"/>
    <n v="53.759999999999991"/>
    <m/>
    <m/>
    <m/>
    <m/>
    <m/>
    <m/>
    <m/>
    <m/>
    <m/>
  </r>
  <r>
    <m/>
    <s v="W21003"/>
    <s v="FBA19DHFYR3J"/>
    <s v="K-US"/>
    <x v="0"/>
    <s v="GK1-B"/>
    <n v="480"/>
    <s v="天盛"/>
    <s v="盐田海卡"/>
    <s v="GEU3"/>
    <x v="161"/>
    <s v="GK1-B 智能球形把手锁 黑色"/>
    <x v="33"/>
    <n v="30"/>
    <n v="1.33"/>
    <s v="CBM收费"/>
    <n v="1060"/>
    <n v="180"/>
    <n v="180"/>
    <n v="1589.8000000000002"/>
    <n v="3.3120833333333337"/>
    <n v="0.49434079601990055"/>
    <m/>
    <m/>
    <m/>
    <x v="36"/>
    <m/>
    <m/>
    <n v="0.56000000000000005"/>
    <n v="268.8"/>
    <m/>
    <m/>
    <m/>
    <m/>
    <m/>
    <m/>
    <m/>
    <m/>
    <m/>
  </r>
  <r>
    <m/>
    <s v="W21004"/>
    <s v="FBA15LRDVZJC"/>
    <s v="W-DE"/>
    <x v="1"/>
    <s v="ANAKIT-B_EU_2X100K03"/>
    <n v="72"/>
    <s v="京弈达"/>
    <s v="欧洲海卡"/>
    <s v="BER8"/>
    <x v="162"/>
    <s v="ANAKIT-B_EU_2X100K03 ANA欧规黑色机器+2X100mL酒店香氛油（天竺） 机油套装"/>
    <x v="9"/>
    <n v="6"/>
    <n v="103.33333333333333"/>
    <s v="重量收费"/>
    <n v="8"/>
    <n v="200"/>
    <n v="14.634146341463415"/>
    <n v="841.30081300813004"/>
    <n v="11.684733514001806"/>
    <n v="1.7439900767166874"/>
    <m/>
    <m/>
    <m/>
    <x v="37"/>
    <m/>
    <m/>
    <n v="0"/>
    <n v="0"/>
    <m/>
    <m/>
    <m/>
    <m/>
    <m/>
    <m/>
    <m/>
    <m/>
    <m/>
  </r>
  <r>
    <m/>
    <s v="W21004"/>
    <s v="FBA15LRDVZJC"/>
    <s v="W-DE"/>
    <x v="1"/>
    <s v="ANAKIT-WH_EU_2X100K03"/>
    <n v="144"/>
    <s v="京弈达"/>
    <s v="欧洲海卡"/>
    <s v="BER8"/>
    <x v="163"/>
    <s v="ANAKIT-WH_EU_2X100K03 ANA欧规白色机器+2X100mL酒店香氛油（天竺） 机油套装"/>
    <x v="9"/>
    <n v="12"/>
    <n v="206.66666666666666"/>
    <s v="重量收费"/>
    <n v="8"/>
    <n v="200"/>
    <n v="29.26829268292683"/>
    <n v="1682.6016260162601"/>
    <n v="11.684733514001806"/>
    <n v="1.7439900767166874"/>
    <m/>
    <m/>
    <m/>
    <x v="37"/>
    <m/>
    <m/>
    <n v="0"/>
    <n v="0"/>
    <m/>
    <m/>
    <m/>
    <m/>
    <m/>
    <m/>
    <m/>
    <m/>
    <m/>
  </r>
  <r>
    <m/>
    <s v="W21008"/>
    <s v="FBA19DBRV3ML"/>
    <s v="V-US"/>
    <x v="0"/>
    <s v="001000033"/>
    <n v="396"/>
    <s v="万邦"/>
    <s v="盐田海卡"/>
    <s v="MIT2"/>
    <x v="41"/>
    <s v="ANW-W 智能扩香仪 白色"/>
    <x v="10"/>
    <n v="33"/>
    <n v="498.66771428571428"/>
    <s v="重量收费"/>
    <n v="5.2"/>
    <n v="200"/>
    <n v="72.527472527472526"/>
    <n v="2665.5995868131868"/>
    <n v="6.7313120879120873"/>
    <n v="1.0046734459570279"/>
    <m/>
    <m/>
    <m/>
    <x v="37"/>
    <d v="2026-06-12T00:00:00"/>
    <m/>
    <n v="0.4975"/>
    <n v="197.01"/>
    <m/>
    <m/>
    <m/>
    <m/>
    <m/>
    <m/>
    <m/>
    <m/>
    <m/>
  </r>
  <r>
    <m/>
    <s v="W21008"/>
    <s v="FBA19DBRV3ML"/>
    <s v="V-US"/>
    <x v="0"/>
    <s v="ANANZ-B"/>
    <n v="90"/>
    <s v="万邦"/>
    <s v="盐田海卡"/>
    <s v="MIT2"/>
    <x v="164"/>
    <s v="ANANZ-B ANA替换瓶+黑喷头"/>
    <x v="34"/>
    <n v="1"/>
    <n v="15.111142857142857"/>
    <s v="重量收费"/>
    <n v="5.2"/>
    <n v="200"/>
    <n v="2.197802197802198"/>
    <n v="80.775745054945062"/>
    <n v="0.89750827838827851"/>
    <n v="0.13395645946093709"/>
    <m/>
    <m/>
    <m/>
    <x v="37"/>
    <d v="2026-06-12T00:00:00"/>
    <m/>
    <n v="0.4975"/>
    <n v="44.774999999999999"/>
    <m/>
    <m/>
    <m/>
    <m/>
    <m/>
    <m/>
    <m/>
    <m/>
    <m/>
  </r>
  <r>
    <m/>
    <s v="W21008"/>
    <s v="FBA19DBRV3ML"/>
    <s v="V-US"/>
    <x v="0"/>
    <s v="ANANZ-WH"/>
    <n v="90"/>
    <s v="万邦"/>
    <s v="盐田海卡"/>
    <s v="MIT2"/>
    <x v="165"/>
    <s v="ANANZ-WH ANA替换瓶+白喷头"/>
    <x v="34"/>
    <n v="1"/>
    <n v="15.111142857142857"/>
    <s v="重量收费"/>
    <n v="5.2"/>
    <m/>
    <n v="2.197802197802198"/>
    <n v="80.775745054945062"/>
    <n v="0.89750827838827851"/>
    <n v="0.13395645946093709"/>
    <m/>
    <m/>
    <m/>
    <x v="37"/>
    <d v="2026-06-12T00:00:00"/>
    <m/>
    <n v="0.4975"/>
    <n v="44.774999999999999"/>
    <m/>
    <m/>
    <m/>
    <m/>
    <m/>
    <m/>
    <m/>
    <m/>
    <m/>
  </r>
  <r>
    <m/>
    <s v="W21008"/>
    <s v="FBA19DBWHMS4"/>
    <s v="V-US"/>
    <x v="0"/>
    <s v="ANWKIT-WH_US_2X100K03"/>
    <n v="120"/>
    <s v="万邦"/>
    <s v="盐田海卡"/>
    <s v="MIT2"/>
    <x v="44"/>
    <s v="ANWKIT-WH_US_2X100K03 ANW白色机器+2X100mL酒店香氛油（天竺） 机油套装"/>
    <x v="10"/>
    <n v="10"/>
    <n v="151.11000000000001"/>
    <s v="重量收费"/>
    <n v="5.2"/>
    <m/>
    <n v="21.978021978021978"/>
    <n v="807.750021978022"/>
    <n v="6.7312501831501832"/>
    <n v="1.0046642064403257"/>
    <m/>
    <m/>
    <m/>
    <x v="37"/>
    <d v="2026-06-12T00:00:00"/>
    <m/>
    <n v="0.7"/>
    <n v="84"/>
    <m/>
    <m/>
    <m/>
    <m/>
    <m/>
    <m/>
    <m/>
    <m/>
    <m/>
  </r>
  <r>
    <m/>
    <s v="W21007"/>
    <s v="FBA19DCGXCHB"/>
    <s v="K-US"/>
    <x v="0"/>
    <s v="ANPKIT-WH_US_3X20K01_TZ"/>
    <n v="320"/>
    <s v="万邦"/>
    <s v="盐田海卡"/>
    <s v="TCY2"/>
    <x v="122"/>
    <s v="ANPKIT-WH_US_3X20K01_TZ ANP白色机器+3X20mL酒店香氛油（天竺） 机油套装"/>
    <x v="26"/>
    <n v="10"/>
    <n v="208"/>
    <s v="重量收费"/>
    <n v="4.7"/>
    <n v="200"/>
    <n v="100"/>
    <n v="1077.5999999999999"/>
    <n v="3.3674999999999997"/>
    <n v="0.50261194029850742"/>
    <m/>
    <m/>
    <m/>
    <x v="37"/>
    <d v="2026-06-12T00:00:00"/>
    <m/>
    <n v="0.44000000000000006"/>
    <n v="140.80000000000001"/>
    <m/>
    <m/>
    <m/>
    <m/>
    <m/>
    <m/>
    <m/>
    <m/>
    <m/>
  </r>
  <r>
    <m/>
    <s v="W21001"/>
    <s v="FBA19D747B01"/>
    <s v="E-US"/>
    <x v="0"/>
    <s v="BLG1-100ML"/>
    <n v="90"/>
    <s v="积米"/>
    <s v="盐田海卡"/>
    <s v="MIT2"/>
    <x v="48"/>
    <s v="BLG1-100ML 百乐宫酒店香氛油100mL"/>
    <x v="11"/>
    <n v="1"/>
    <n v="20.2"/>
    <s v="重量收费"/>
    <n v="5.9"/>
    <n v="200"/>
    <n v="20"/>
    <n v="139.18"/>
    <n v="1.5464444444444445"/>
    <n v="0.23081260364842454"/>
    <m/>
    <m/>
    <m/>
    <x v="36"/>
    <m/>
    <m/>
    <n v="0.36"/>
    <n v="32.4"/>
    <m/>
    <m/>
    <m/>
    <m/>
    <m/>
    <m/>
    <m/>
    <m/>
    <m/>
  </r>
  <r>
    <m/>
    <s v="W21001"/>
    <s v="FBA19D747B01"/>
    <s v="E-US"/>
    <x v="0"/>
    <s v="HOTEL6KIT1-6X10K01"/>
    <n v="304"/>
    <s v="积米"/>
    <s v="盐田海卡"/>
    <s v="MIT2"/>
    <x v="45"/>
    <s v="HOTEL6KIT1-6X10K01 酒店香氛油6款10mL套装"/>
    <x v="11"/>
    <n v="4"/>
    <n v="80.8"/>
    <s v="重量收费"/>
    <n v="5.9"/>
    <n v="200"/>
    <n v="80"/>
    <n v="556.72"/>
    <n v="1.8313157894736842"/>
    <n v="0.27333071484681853"/>
    <m/>
    <m/>
    <m/>
    <x v="36"/>
    <m/>
    <m/>
    <n v="0.36"/>
    <n v="109.44"/>
    <m/>
    <m/>
    <m/>
    <m/>
    <m/>
    <m/>
    <m/>
    <m/>
    <m/>
  </r>
  <r>
    <m/>
    <s v="W21001"/>
    <s v="FBA19D747B01"/>
    <s v="E-US"/>
    <x v="0"/>
    <s v="JY-100ML"/>
    <n v="180"/>
    <s v="积米"/>
    <s v="盐田海卡"/>
    <s v="MIT2"/>
    <x v="49"/>
    <s v="A-Grand Hyatt Hotel-100 君悦酒店香氛油100mL"/>
    <x v="11"/>
    <n v="2"/>
    <n v="40.4"/>
    <s v="重量收费"/>
    <n v="5.9"/>
    <m/>
    <n v="40"/>
    <n v="278.36"/>
    <n v="1.5464444444444445"/>
    <n v="0.23081260364842454"/>
    <m/>
    <m/>
    <m/>
    <x v="36"/>
    <m/>
    <m/>
    <n v="0.36"/>
    <n v="64.8"/>
    <m/>
    <m/>
    <m/>
    <m/>
    <m/>
    <m/>
    <m/>
    <m/>
    <m/>
  </r>
  <r>
    <m/>
    <s v="W21001"/>
    <s v="FBA19D747B01"/>
    <s v="E-US"/>
    <x v="0"/>
    <s v="006000024"/>
    <n v="70"/>
    <s v="积米"/>
    <s v="盐田海卡"/>
    <s v="MIT2"/>
    <x v="46"/>
    <s v="A-Ritz Carlton Hotel 3-100 丽思卡尔顿酒店3香氛油100mL"/>
    <x v="11"/>
    <n v="1"/>
    <n v="20.2"/>
    <s v="重量收费"/>
    <n v="5.9"/>
    <m/>
    <n v="20"/>
    <n v="139.18"/>
    <n v="1.9882857142857144"/>
    <n v="0.29675906183368872"/>
    <m/>
    <m/>
    <m/>
    <x v="36"/>
    <m/>
    <m/>
    <n v="0.36"/>
    <n v="25.2"/>
    <m/>
    <m/>
    <m/>
    <m/>
    <m/>
    <m/>
    <m/>
    <m/>
    <m/>
  </r>
  <r>
    <m/>
    <s v="W21001"/>
    <s v="FBA19D747B01"/>
    <s v="E-US"/>
    <x v="0"/>
    <s v="MWAY1-100ML"/>
    <n v="180"/>
    <s v="积米"/>
    <s v="盐田海卡"/>
    <s v="MIT2"/>
    <x v="50"/>
    <s v="A-MWAY Deluxe-100 特定香型香氛油100mL"/>
    <x v="11"/>
    <n v="2"/>
    <n v="40.4"/>
    <s v="重量收费"/>
    <n v="5.9"/>
    <m/>
    <n v="40"/>
    <n v="278.36"/>
    <n v="1.5464444444444445"/>
    <n v="0.23081260364842454"/>
    <m/>
    <m/>
    <m/>
    <x v="36"/>
    <m/>
    <m/>
    <n v="0.36"/>
    <n v="64.8"/>
    <m/>
    <m/>
    <m/>
    <m/>
    <m/>
    <m/>
    <m/>
    <m/>
    <m/>
  </r>
  <r>
    <m/>
    <s v="W21004"/>
    <s v="FBA15LSK9KTJ"/>
    <s v="W-DE"/>
    <x v="1"/>
    <s v="003000015"/>
    <n v="180"/>
    <s v="京弈达"/>
    <s v="欧洲海卡"/>
    <s v="BER8"/>
    <x v="166"/>
    <s v="AP2EU-H14 内置H14滤网桌面式空气净化器2-欧规"/>
    <x v="21"/>
    <n v="45"/>
    <n v="1095.3191489361702"/>
    <s v="重量收费"/>
    <n v="6.8"/>
    <n v="200"/>
    <n v="109.7560975609756"/>
    <n v="7557.9263103269332"/>
    <n v="41.988479501816293"/>
    <n v="6.2669372390770581"/>
    <m/>
    <m/>
    <m/>
    <x v="36"/>
    <m/>
    <m/>
    <n v="0"/>
    <n v="0"/>
    <m/>
    <m/>
    <m/>
    <m/>
    <m/>
    <m/>
    <m/>
    <m/>
    <m/>
  </r>
  <r>
    <m/>
    <s v="W21004"/>
    <s v="FBA15LSK9KTJ"/>
    <s v="W-DE"/>
    <x v="1"/>
    <s v="003000007"/>
    <n v="72"/>
    <s v="京弈达"/>
    <s v="欧洲海卡"/>
    <s v="BER8"/>
    <x v="72"/>
    <s v="AP2F-H14 空气净化器滤网2-H14"/>
    <x v="15"/>
    <n v="2"/>
    <n v="48.680851063829785"/>
    <s v="重量收费"/>
    <n v="6.8"/>
    <n v="200"/>
    <n v="4.8780487804878048"/>
    <n v="335.90783601453035"/>
    <n v="4.6653866113129219"/>
    <n v="0.69632635989745095"/>
    <m/>
    <m/>
    <m/>
    <x v="36"/>
    <m/>
    <m/>
    <n v="0"/>
    <n v="0"/>
    <m/>
    <m/>
    <m/>
    <m/>
    <m/>
    <m/>
    <m/>
    <m/>
    <m/>
  </r>
  <r>
    <m/>
    <s v="W21004"/>
    <s v="FBA15LTKZKLC"/>
    <s v="W-DE"/>
    <x v="1"/>
    <s v="AH1B-WH_EU"/>
    <n v="102"/>
    <s v="京弈达"/>
    <s v="欧洲海卡"/>
    <s v="DTM1"/>
    <x v="167"/>
    <s v="AH1B-WH_EU 智能加湿器 白色 欧规"/>
    <x v="32"/>
    <n v="17"/>
    <n v="273"/>
    <s v="重量收费"/>
    <n v="7.5"/>
    <m/>
    <n v="41.463414634146339"/>
    <n v="2088.9634146341464"/>
    <n v="20.480033476805357"/>
    <n v="3.0567214144485608"/>
    <m/>
    <m/>
    <m/>
    <x v="36"/>
    <m/>
    <m/>
    <n v="0"/>
    <n v="0"/>
    <m/>
    <m/>
    <m/>
    <m/>
    <m/>
    <m/>
    <m/>
    <m/>
    <m/>
  </r>
  <r>
    <m/>
    <m/>
    <m/>
    <m/>
    <x v="6"/>
    <m/>
    <m/>
    <m/>
    <m/>
    <m/>
    <x v="168"/>
    <m/>
    <x v="35"/>
    <m/>
    <m/>
    <m/>
    <m/>
    <m/>
    <m/>
    <m/>
    <m/>
    <m/>
    <m/>
    <m/>
    <m/>
    <x v="38"/>
    <m/>
    <m/>
    <m/>
    <m/>
    <m/>
    <m/>
    <m/>
    <m/>
    <m/>
    <m/>
    <m/>
    <m/>
    <m/>
  </r>
  <r>
    <m/>
    <m/>
    <m/>
    <m/>
    <x v="6"/>
    <m/>
    <m/>
    <m/>
    <m/>
    <m/>
    <x v="168"/>
    <m/>
    <x v="35"/>
    <m/>
    <m/>
    <m/>
    <m/>
    <m/>
    <m/>
    <m/>
    <m/>
    <m/>
    <m/>
    <m/>
    <m/>
    <x v="38"/>
    <m/>
    <m/>
    <m/>
    <m/>
    <m/>
    <m/>
    <m/>
    <m/>
    <m/>
    <m/>
    <m/>
    <m/>
    <m/>
  </r>
  <r>
    <m/>
    <m/>
    <m/>
    <m/>
    <x v="6"/>
    <m/>
    <m/>
    <m/>
    <m/>
    <m/>
    <x v="168"/>
    <m/>
    <x v="35"/>
    <m/>
    <m/>
    <m/>
    <m/>
    <m/>
    <m/>
    <m/>
    <m/>
    <m/>
    <m/>
    <m/>
    <m/>
    <x v="38"/>
    <m/>
    <m/>
    <m/>
    <m/>
    <m/>
    <m/>
    <m/>
    <m/>
    <m/>
    <m/>
    <m/>
    <m/>
    <m/>
  </r>
  <r>
    <m/>
    <m/>
    <m/>
    <m/>
    <x v="6"/>
    <m/>
    <m/>
    <m/>
    <m/>
    <m/>
    <x v="168"/>
    <m/>
    <x v="35"/>
    <m/>
    <m/>
    <m/>
    <m/>
    <m/>
    <m/>
    <m/>
    <m/>
    <m/>
    <m/>
    <m/>
    <m/>
    <x v="38"/>
    <m/>
    <m/>
    <m/>
    <m/>
    <m/>
    <m/>
    <m/>
    <m/>
    <m/>
    <m/>
    <m/>
    <m/>
    <m/>
  </r>
  <r>
    <m/>
    <m/>
    <m/>
    <m/>
    <x v="6"/>
    <m/>
    <m/>
    <m/>
    <m/>
    <m/>
    <x v="168"/>
    <m/>
    <x v="35"/>
    <m/>
    <m/>
    <m/>
    <m/>
    <m/>
    <m/>
    <m/>
    <m/>
    <m/>
    <m/>
    <m/>
    <m/>
    <x v="38"/>
    <m/>
    <m/>
    <m/>
    <m/>
    <m/>
    <m/>
    <m/>
    <m/>
    <m/>
    <m/>
    <m/>
    <m/>
    <m/>
  </r>
  <r>
    <m/>
    <m/>
    <m/>
    <m/>
    <x v="6"/>
    <m/>
    <m/>
    <m/>
    <m/>
    <m/>
    <x v="168"/>
    <m/>
    <x v="35"/>
    <m/>
    <m/>
    <m/>
    <m/>
    <m/>
    <m/>
    <m/>
    <m/>
    <m/>
    <m/>
    <m/>
    <m/>
    <x v="38"/>
    <m/>
    <m/>
    <m/>
    <m/>
    <m/>
    <m/>
    <m/>
    <m/>
    <m/>
    <m/>
    <m/>
    <m/>
    <m/>
  </r>
  <r>
    <m/>
    <m/>
    <m/>
    <m/>
    <x v="6"/>
    <m/>
    <m/>
    <m/>
    <m/>
    <m/>
    <x v="168"/>
    <m/>
    <x v="35"/>
    <m/>
    <m/>
    <m/>
    <m/>
    <m/>
    <m/>
    <m/>
    <m/>
    <m/>
    <m/>
    <m/>
    <m/>
    <x v="38"/>
    <m/>
    <m/>
    <m/>
    <m/>
    <m/>
    <m/>
    <m/>
    <m/>
    <m/>
    <m/>
    <m/>
    <m/>
    <m/>
  </r>
  <r>
    <m/>
    <m/>
    <m/>
    <m/>
    <x v="6"/>
    <m/>
    <m/>
    <m/>
    <m/>
    <m/>
    <x v="168"/>
    <m/>
    <x v="35"/>
    <m/>
    <m/>
    <m/>
    <m/>
    <m/>
    <m/>
    <m/>
    <m/>
    <m/>
    <m/>
    <m/>
    <m/>
    <x v="38"/>
    <m/>
    <m/>
    <m/>
    <m/>
    <m/>
    <m/>
    <m/>
    <m/>
    <m/>
    <m/>
    <m/>
    <m/>
    <m/>
  </r>
  <r>
    <m/>
    <m/>
    <m/>
    <m/>
    <x v="6"/>
    <m/>
    <m/>
    <m/>
    <m/>
    <m/>
    <x v="168"/>
    <m/>
    <x v="35"/>
    <m/>
    <m/>
    <m/>
    <m/>
    <m/>
    <m/>
    <m/>
    <m/>
    <m/>
    <m/>
    <m/>
    <m/>
    <x v="38"/>
    <m/>
    <m/>
    <m/>
    <m/>
    <m/>
    <m/>
    <m/>
    <m/>
    <m/>
    <m/>
    <m/>
    <m/>
    <m/>
  </r>
  <r>
    <m/>
    <m/>
    <m/>
    <m/>
    <x v="6"/>
    <m/>
    <m/>
    <m/>
    <m/>
    <m/>
    <x v="168"/>
    <m/>
    <x v="35"/>
    <m/>
    <m/>
    <m/>
    <m/>
    <m/>
    <m/>
    <m/>
    <m/>
    <m/>
    <m/>
    <m/>
    <m/>
    <x v="38"/>
    <m/>
    <m/>
    <m/>
    <m/>
    <m/>
    <m/>
    <m/>
    <m/>
    <m/>
    <m/>
    <m/>
    <m/>
    <m/>
  </r>
  <r>
    <m/>
    <m/>
    <m/>
    <m/>
    <x v="6"/>
    <m/>
    <m/>
    <m/>
    <m/>
    <m/>
    <x v="168"/>
    <m/>
    <x v="35"/>
    <m/>
    <m/>
    <m/>
    <m/>
    <m/>
    <m/>
    <m/>
    <m/>
    <m/>
    <m/>
    <m/>
    <m/>
    <x v="38"/>
    <m/>
    <m/>
    <m/>
    <m/>
    <m/>
    <m/>
    <m/>
    <m/>
    <m/>
    <m/>
    <m/>
    <m/>
    <m/>
  </r>
  <r>
    <m/>
    <m/>
    <m/>
    <m/>
    <x v="6"/>
    <m/>
    <m/>
    <m/>
    <m/>
    <m/>
    <x v="168"/>
    <m/>
    <x v="35"/>
    <m/>
    <m/>
    <m/>
    <m/>
    <m/>
    <m/>
    <m/>
    <m/>
    <m/>
    <m/>
    <m/>
    <m/>
    <x v="38"/>
    <m/>
    <m/>
    <m/>
    <m/>
    <m/>
    <m/>
    <m/>
    <m/>
    <m/>
    <m/>
    <m/>
    <m/>
    <m/>
  </r>
  <r>
    <m/>
    <m/>
    <m/>
    <m/>
    <x v="6"/>
    <m/>
    <m/>
    <m/>
    <m/>
    <m/>
    <x v="168"/>
    <m/>
    <x v="35"/>
    <m/>
    <m/>
    <m/>
    <m/>
    <m/>
    <m/>
    <m/>
    <m/>
    <m/>
    <m/>
    <m/>
    <m/>
    <x v="38"/>
    <m/>
    <m/>
    <m/>
    <m/>
    <m/>
    <m/>
    <m/>
    <m/>
    <m/>
    <m/>
    <m/>
    <m/>
    <m/>
  </r>
  <r>
    <m/>
    <m/>
    <m/>
    <m/>
    <x v="6"/>
    <m/>
    <m/>
    <m/>
    <m/>
    <m/>
    <x v="168"/>
    <m/>
    <x v="35"/>
    <m/>
    <m/>
    <m/>
    <m/>
    <m/>
    <m/>
    <m/>
    <m/>
    <m/>
    <m/>
    <m/>
    <m/>
    <x v="38"/>
    <m/>
    <m/>
    <m/>
    <m/>
    <m/>
    <m/>
    <m/>
    <m/>
    <m/>
    <m/>
    <m/>
    <m/>
    <m/>
  </r>
  <r>
    <m/>
    <m/>
    <m/>
    <m/>
    <x v="6"/>
    <m/>
    <m/>
    <m/>
    <m/>
    <m/>
    <x v="168"/>
    <m/>
    <x v="35"/>
    <m/>
    <m/>
    <m/>
    <m/>
    <m/>
    <m/>
    <m/>
    <m/>
    <m/>
    <m/>
    <m/>
    <m/>
    <x v="38"/>
    <m/>
    <m/>
    <m/>
    <m/>
    <m/>
    <m/>
    <m/>
    <m/>
    <m/>
    <m/>
    <m/>
    <m/>
    <m/>
  </r>
  <r>
    <m/>
    <m/>
    <m/>
    <m/>
    <x v="6"/>
    <m/>
    <m/>
    <m/>
    <m/>
    <m/>
    <x v="168"/>
    <m/>
    <x v="35"/>
    <m/>
    <m/>
    <m/>
    <m/>
    <m/>
    <m/>
    <m/>
    <m/>
    <m/>
    <m/>
    <m/>
    <m/>
    <x v="38"/>
    <m/>
    <m/>
    <m/>
    <m/>
    <m/>
    <m/>
    <m/>
    <m/>
    <m/>
    <m/>
    <m/>
    <m/>
    <m/>
  </r>
  <r>
    <m/>
    <m/>
    <m/>
    <m/>
    <x v="6"/>
    <m/>
    <m/>
    <m/>
    <m/>
    <m/>
    <x v="168"/>
    <m/>
    <x v="35"/>
    <m/>
    <m/>
    <m/>
    <m/>
    <m/>
    <m/>
    <m/>
    <m/>
    <m/>
    <m/>
    <m/>
    <m/>
    <x v="38"/>
    <m/>
    <m/>
    <m/>
    <m/>
    <m/>
    <m/>
    <m/>
    <m/>
    <m/>
    <m/>
    <m/>
    <m/>
    <m/>
  </r>
  <r>
    <m/>
    <m/>
    <m/>
    <m/>
    <x v="6"/>
    <m/>
    <m/>
    <m/>
    <m/>
    <m/>
    <x v="168"/>
    <m/>
    <x v="35"/>
    <m/>
    <m/>
    <m/>
    <m/>
    <m/>
    <m/>
    <m/>
    <m/>
    <m/>
    <m/>
    <m/>
    <m/>
    <x v="38"/>
    <m/>
    <m/>
    <m/>
    <m/>
    <m/>
    <m/>
    <m/>
    <m/>
    <m/>
    <m/>
    <m/>
    <m/>
    <m/>
  </r>
  <r>
    <m/>
    <m/>
    <m/>
    <m/>
    <x v="6"/>
    <m/>
    <m/>
    <m/>
    <m/>
    <m/>
    <x v="168"/>
    <m/>
    <x v="35"/>
    <m/>
    <m/>
    <m/>
    <m/>
    <m/>
    <m/>
    <m/>
    <m/>
    <m/>
    <m/>
    <m/>
    <m/>
    <x v="38"/>
    <m/>
    <m/>
    <m/>
    <m/>
    <m/>
    <m/>
    <m/>
    <m/>
    <m/>
    <m/>
    <m/>
    <m/>
    <m/>
  </r>
  <r>
    <m/>
    <m/>
    <m/>
    <m/>
    <x v="6"/>
    <m/>
    <m/>
    <m/>
    <m/>
    <m/>
    <x v="168"/>
    <m/>
    <x v="35"/>
    <m/>
    <m/>
    <m/>
    <m/>
    <m/>
    <m/>
    <m/>
    <m/>
    <m/>
    <m/>
    <m/>
    <m/>
    <x v="38"/>
    <m/>
    <m/>
    <m/>
    <m/>
    <m/>
    <m/>
    <m/>
    <m/>
    <m/>
    <m/>
    <m/>
    <m/>
    <m/>
  </r>
  <r>
    <m/>
    <m/>
    <m/>
    <m/>
    <x v="6"/>
    <m/>
    <m/>
    <m/>
    <m/>
    <m/>
    <x v="168"/>
    <m/>
    <x v="35"/>
    <m/>
    <m/>
    <m/>
    <m/>
    <m/>
    <m/>
    <m/>
    <m/>
    <m/>
    <m/>
    <m/>
    <m/>
    <x v="38"/>
    <m/>
    <m/>
    <m/>
    <m/>
    <m/>
    <m/>
    <m/>
    <m/>
    <m/>
    <m/>
    <m/>
    <m/>
    <m/>
  </r>
  <r>
    <m/>
    <m/>
    <m/>
    <m/>
    <x v="6"/>
    <m/>
    <m/>
    <m/>
    <m/>
    <m/>
    <x v="168"/>
    <m/>
    <x v="35"/>
    <m/>
    <m/>
    <m/>
    <m/>
    <m/>
    <m/>
    <m/>
    <m/>
    <m/>
    <m/>
    <m/>
    <m/>
    <x v="38"/>
    <m/>
    <m/>
    <m/>
    <m/>
    <m/>
    <m/>
    <m/>
    <m/>
    <m/>
    <m/>
    <m/>
    <m/>
    <m/>
  </r>
  <r>
    <m/>
    <m/>
    <m/>
    <m/>
    <x v="6"/>
    <m/>
    <m/>
    <m/>
    <m/>
    <m/>
    <x v="168"/>
    <m/>
    <x v="35"/>
    <m/>
    <m/>
    <m/>
    <m/>
    <m/>
    <m/>
    <m/>
    <m/>
    <m/>
    <m/>
    <m/>
    <m/>
    <x v="38"/>
    <m/>
    <m/>
    <m/>
    <m/>
    <m/>
    <m/>
    <m/>
    <m/>
    <m/>
    <m/>
    <m/>
    <m/>
    <m/>
  </r>
  <r>
    <m/>
    <m/>
    <m/>
    <m/>
    <x v="6"/>
    <m/>
    <m/>
    <m/>
    <m/>
    <m/>
    <x v="168"/>
    <m/>
    <x v="35"/>
    <m/>
    <m/>
    <m/>
    <m/>
    <m/>
    <m/>
    <m/>
    <m/>
    <m/>
    <m/>
    <m/>
    <m/>
    <x v="38"/>
    <m/>
    <m/>
    <m/>
    <m/>
    <m/>
    <m/>
    <m/>
    <m/>
    <m/>
    <m/>
    <m/>
    <m/>
    <m/>
  </r>
  <r>
    <m/>
    <m/>
    <m/>
    <m/>
    <x v="6"/>
    <m/>
    <m/>
    <m/>
    <m/>
    <m/>
    <x v="168"/>
    <m/>
    <x v="35"/>
    <m/>
    <m/>
    <m/>
    <m/>
    <m/>
    <m/>
    <m/>
    <m/>
    <m/>
    <m/>
    <m/>
    <m/>
    <x v="38"/>
    <m/>
    <m/>
    <m/>
    <m/>
    <m/>
    <m/>
    <m/>
    <m/>
    <m/>
    <m/>
    <m/>
    <m/>
    <m/>
  </r>
  <r>
    <m/>
    <m/>
    <m/>
    <m/>
    <x v="6"/>
    <m/>
    <m/>
    <m/>
    <m/>
    <m/>
    <x v="168"/>
    <m/>
    <x v="35"/>
    <m/>
    <m/>
    <m/>
    <m/>
    <m/>
    <m/>
    <m/>
    <m/>
    <m/>
    <m/>
    <m/>
    <m/>
    <x v="38"/>
    <m/>
    <m/>
    <m/>
    <m/>
    <m/>
    <m/>
    <m/>
    <m/>
    <m/>
    <m/>
    <m/>
    <m/>
    <m/>
  </r>
  <r>
    <m/>
    <m/>
    <m/>
    <m/>
    <x v="6"/>
    <m/>
    <m/>
    <m/>
    <m/>
    <m/>
    <x v="168"/>
    <m/>
    <x v="35"/>
    <m/>
    <m/>
    <m/>
    <m/>
    <m/>
    <m/>
    <m/>
    <m/>
    <m/>
    <m/>
    <m/>
    <m/>
    <x v="38"/>
    <m/>
    <m/>
    <m/>
    <m/>
    <m/>
    <m/>
    <m/>
    <m/>
    <m/>
    <m/>
    <m/>
    <m/>
    <m/>
  </r>
  <r>
    <m/>
    <m/>
    <m/>
    <m/>
    <x v="6"/>
    <m/>
    <m/>
    <m/>
    <m/>
    <m/>
    <x v="168"/>
    <m/>
    <x v="35"/>
    <m/>
    <m/>
    <m/>
    <m/>
    <m/>
    <m/>
    <m/>
    <m/>
    <m/>
    <m/>
    <m/>
    <m/>
    <x v="38"/>
    <m/>
    <m/>
    <m/>
    <m/>
    <m/>
    <m/>
    <m/>
    <m/>
    <m/>
    <m/>
    <m/>
    <m/>
    <m/>
  </r>
  <r>
    <m/>
    <m/>
    <m/>
    <m/>
    <x v="6"/>
    <m/>
    <m/>
    <m/>
    <m/>
    <m/>
    <x v="168"/>
    <m/>
    <x v="35"/>
    <m/>
    <m/>
    <m/>
    <m/>
    <m/>
    <m/>
    <m/>
    <m/>
    <m/>
    <m/>
    <m/>
    <m/>
    <x v="38"/>
    <m/>
    <m/>
    <m/>
    <m/>
    <m/>
    <m/>
    <m/>
    <m/>
    <m/>
    <m/>
    <m/>
    <m/>
    <m/>
  </r>
  <r>
    <m/>
    <m/>
    <m/>
    <m/>
    <x v="6"/>
    <m/>
    <m/>
    <m/>
    <m/>
    <m/>
    <x v="168"/>
    <m/>
    <x v="35"/>
    <m/>
    <m/>
    <m/>
    <m/>
    <m/>
    <m/>
    <m/>
    <m/>
    <m/>
    <m/>
    <m/>
    <m/>
    <x v="38"/>
    <m/>
    <m/>
    <m/>
    <m/>
    <m/>
    <m/>
    <m/>
    <m/>
    <m/>
    <m/>
    <m/>
    <m/>
    <m/>
  </r>
  <r>
    <m/>
    <m/>
    <m/>
    <m/>
    <x v="6"/>
    <m/>
    <m/>
    <m/>
    <m/>
    <m/>
    <x v="168"/>
    <m/>
    <x v="35"/>
    <m/>
    <m/>
    <m/>
    <m/>
    <m/>
    <m/>
    <m/>
    <m/>
    <m/>
    <m/>
    <m/>
    <m/>
    <x v="38"/>
    <m/>
    <m/>
    <m/>
    <m/>
    <m/>
    <m/>
    <m/>
    <m/>
    <m/>
    <m/>
    <m/>
    <m/>
    <m/>
  </r>
  <r>
    <m/>
    <m/>
    <m/>
    <m/>
    <x v="6"/>
    <m/>
    <m/>
    <m/>
    <m/>
    <m/>
    <x v="168"/>
    <m/>
    <x v="35"/>
    <m/>
    <m/>
    <m/>
    <m/>
    <m/>
    <m/>
    <m/>
    <m/>
    <m/>
    <m/>
    <m/>
    <m/>
    <x v="38"/>
    <m/>
    <m/>
    <m/>
    <m/>
    <m/>
    <m/>
    <m/>
    <m/>
    <m/>
    <m/>
    <m/>
    <m/>
    <m/>
  </r>
  <r>
    <m/>
    <m/>
    <m/>
    <m/>
    <x v="6"/>
    <m/>
    <m/>
    <m/>
    <m/>
    <m/>
    <x v="168"/>
    <m/>
    <x v="35"/>
    <m/>
    <m/>
    <m/>
    <m/>
    <m/>
    <m/>
    <m/>
    <m/>
    <m/>
    <m/>
    <m/>
    <m/>
    <x v="38"/>
    <m/>
    <m/>
    <m/>
    <m/>
    <m/>
    <m/>
    <m/>
    <m/>
    <m/>
    <m/>
    <m/>
    <m/>
    <m/>
  </r>
  <r>
    <m/>
    <m/>
    <m/>
    <m/>
    <x v="6"/>
    <m/>
    <m/>
    <m/>
    <m/>
    <m/>
    <x v="168"/>
    <m/>
    <x v="35"/>
    <m/>
    <m/>
    <m/>
    <m/>
    <m/>
    <m/>
    <m/>
    <m/>
    <m/>
    <m/>
    <m/>
    <m/>
    <x v="38"/>
    <m/>
    <m/>
    <m/>
    <m/>
    <m/>
    <m/>
    <m/>
    <m/>
    <m/>
    <m/>
    <m/>
    <m/>
    <m/>
  </r>
  <r>
    <m/>
    <m/>
    <m/>
    <m/>
    <x v="6"/>
    <m/>
    <m/>
    <m/>
    <m/>
    <m/>
    <x v="168"/>
    <m/>
    <x v="35"/>
    <m/>
    <m/>
    <m/>
    <m/>
    <m/>
    <m/>
    <m/>
    <m/>
    <m/>
    <m/>
    <m/>
    <m/>
    <x v="38"/>
    <m/>
    <m/>
    <m/>
    <m/>
    <m/>
    <m/>
    <m/>
    <m/>
    <m/>
    <m/>
    <m/>
    <m/>
    <m/>
  </r>
  <r>
    <m/>
    <m/>
    <m/>
    <m/>
    <x v="6"/>
    <m/>
    <m/>
    <m/>
    <m/>
    <m/>
    <x v="168"/>
    <m/>
    <x v="35"/>
    <m/>
    <m/>
    <m/>
    <m/>
    <m/>
    <m/>
    <m/>
    <m/>
    <m/>
    <m/>
    <m/>
    <m/>
    <x v="38"/>
    <m/>
    <m/>
    <m/>
    <m/>
    <m/>
    <m/>
    <m/>
    <m/>
    <m/>
    <m/>
    <m/>
    <m/>
    <m/>
  </r>
  <r>
    <m/>
    <m/>
    <m/>
    <m/>
    <x v="6"/>
    <m/>
    <m/>
    <m/>
    <m/>
    <m/>
    <x v="168"/>
    <m/>
    <x v="35"/>
    <m/>
    <m/>
    <m/>
    <m/>
    <m/>
    <m/>
    <m/>
    <m/>
    <m/>
    <m/>
    <m/>
    <m/>
    <x v="38"/>
    <m/>
    <m/>
    <m/>
    <m/>
    <m/>
    <m/>
    <m/>
    <m/>
    <m/>
    <m/>
    <m/>
    <m/>
    <m/>
  </r>
  <r>
    <m/>
    <m/>
    <m/>
    <m/>
    <x v="6"/>
    <m/>
    <m/>
    <m/>
    <m/>
    <m/>
    <x v="168"/>
    <m/>
    <x v="35"/>
    <m/>
    <m/>
    <m/>
    <m/>
    <m/>
    <m/>
    <m/>
    <m/>
    <m/>
    <m/>
    <m/>
    <m/>
    <x v="38"/>
    <m/>
    <m/>
    <m/>
    <m/>
    <m/>
    <m/>
    <m/>
    <m/>
    <m/>
    <m/>
    <m/>
    <m/>
    <m/>
  </r>
  <r>
    <m/>
    <m/>
    <m/>
    <m/>
    <x v="6"/>
    <m/>
    <m/>
    <m/>
    <m/>
    <m/>
    <x v="168"/>
    <m/>
    <x v="35"/>
    <m/>
    <m/>
    <m/>
    <m/>
    <m/>
    <m/>
    <m/>
    <m/>
    <m/>
    <m/>
    <m/>
    <m/>
    <x v="38"/>
    <m/>
    <m/>
    <m/>
    <m/>
    <m/>
    <m/>
    <m/>
    <m/>
    <m/>
    <m/>
    <m/>
    <m/>
    <m/>
  </r>
  <r>
    <m/>
    <m/>
    <m/>
    <m/>
    <x v="6"/>
    <m/>
    <m/>
    <m/>
    <m/>
    <m/>
    <x v="168"/>
    <m/>
    <x v="35"/>
    <m/>
    <m/>
    <m/>
    <m/>
    <m/>
    <m/>
    <m/>
    <m/>
    <m/>
    <m/>
    <m/>
    <m/>
    <x v="38"/>
    <m/>
    <m/>
    <m/>
    <m/>
    <m/>
    <m/>
    <m/>
    <m/>
    <m/>
    <m/>
    <m/>
    <m/>
    <m/>
  </r>
  <r>
    <m/>
    <m/>
    <m/>
    <m/>
    <x v="6"/>
    <m/>
    <m/>
    <m/>
    <m/>
    <m/>
    <x v="168"/>
    <m/>
    <x v="35"/>
    <m/>
    <m/>
    <m/>
    <m/>
    <m/>
    <m/>
    <m/>
    <m/>
    <m/>
    <m/>
    <m/>
    <m/>
    <x v="38"/>
    <m/>
    <m/>
    <m/>
    <m/>
    <m/>
    <m/>
    <m/>
    <m/>
    <m/>
    <m/>
    <m/>
    <m/>
    <m/>
  </r>
  <r>
    <m/>
    <m/>
    <m/>
    <m/>
    <x v="6"/>
    <m/>
    <m/>
    <m/>
    <m/>
    <m/>
    <x v="168"/>
    <m/>
    <x v="35"/>
    <m/>
    <m/>
    <m/>
    <m/>
    <m/>
    <m/>
    <m/>
    <m/>
    <m/>
    <m/>
    <m/>
    <m/>
    <x v="38"/>
    <m/>
    <m/>
    <m/>
    <m/>
    <m/>
    <m/>
    <m/>
    <m/>
    <m/>
    <m/>
    <m/>
    <m/>
    <m/>
  </r>
  <r>
    <m/>
    <m/>
    <m/>
    <m/>
    <x v="6"/>
    <m/>
    <m/>
    <m/>
    <m/>
    <m/>
    <x v="168"/>
    <m/>
    <x v="35"/>
    <m/>
    <m/>
    <m/>
    <m/>
    <m/>
    <m/>
    <m/>
    <m/>
    <m/>
    <m/>
    <m/>
    <m/>
    <x v="38"/>
    <m/>
    <m/>
    <m/>
    <m/>
    <m/>
    <m/>
    <m/>
    <m/>
    <m/>
    <m/>
    <m/>
    <m/>
    <m/>
  </r>
  <r>
    <m/>
    <m/>
    <m/>
    <m/>
    <x v="6"/>
    <m/>
    <m/>
    <m/>
    <m/>
    <m/>
    <x v="168"/>
    <m/>
    <x v="35"/>
    <m/>
    <m/>
    <m/>
    <m/>
    <m/>
    <m/>
    <m/>
    <m/>
    <m/>
    <m/>
    <m/>
    <m/>
    <x v="38"/>
    <m/>
    <m/>
    <m/>
    <m/>
    <m/>
    <m/>
    <m/>
    <m/>
    <m/>
    <m/>
    <m/>
    <m/>
    <m/>
  </r>
  <r>
    <m/>
    <m/>
    <m/>
    <m/>
    <x v="6"/>
    <m/>
    <m/>
    <m/>
    <m/>
    <m/>
    <x v="168"/>
    <m/>
    <x v="35"/>
    <m/>
    <m/>
    <m/>
    <m/>
    <m/>
    <m/>
    <m/>
    <m/>
    <m/>
    <m/>
    <m/>
    <m/>
    <x v="38"/>
    <m/>
    <m/>
    <m/>
    <m/>
    <m/>
    <m/>
    <m/>
    <m/>
    <m/>
    <m/>
    <m/>
    <m/>
    <m/>
  </r>
  <r>
    <m/>
    <m/>
    <m/>
    <m/>
    <x v="6"/>
    <m/>
    <m/>
    <m/>
    <m/>
    <m/>
    <x v="168"/>
    <m/>
    <x v="35"/>
    <m/>
    <m/>
    <m/>
    <m/>
    <m/>
    <m/>
    <m/>
    <m/>
    <m/>
    <m/>
    <m/>
    <m/>
    <x v="38"/>
    <m/>
    <m/>
    <m/>
    <m/>
    <m/>
    <m/>
    <m/>
    <m/>
    <m/>
    <m/>
    <m/>
    <m/>
    <m/>
  </r>
  <r>
    <m/>
    <m/>
    <m/>
    <m/>
    <x v="6"/>
    <m/>
    <m/>
    <m/>
    <m/>
    <m/>
    <x v="168"/>
    <m/>
    <x v="35"/>
    <m/>
    <m/>
    <m/>
    <m/>
    <m/>
    <m/>
    <m/>
    <m/>
    <m/>
    <m/>
    <m/>
    <m/>
    <x v="38"/>
    <m/>
    <m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11">
  <r>
    <n v="1"/>
    <m/>
    <s v="W020005"/>
    <x v="0"/>
    <s v="E-US"/>
    <s v="美国"/>
    <s v="ANZ-B"/>
    <n v="1000"/>
    <x v="0"/>
    <s v="盐田海卡"/>
    <s v="TCY2"/>
    <s v="ANZ-B"/>
    <s v="ANZ-B 便携式扩香仪 黑色"/>
    <s v="ANZ"/>
    <n v="25"/>
    <x v="0"/>
  </r>
  <r>
    <n v="2"/>
    <m/>
    <s v="W020005"/>
    <x v="1"/>
    <s v="E-US"/>
    <s v="美国"/>
    <s v="001000045"/>
    <n v="210"/>
    <x v="0"/>
    <s v="盐田海卡"/>
    <s v="TCY2"/>
    <s v="ANX-B"/>
    <s v="ANX-B 便携式扩香仪 黑色"/>
    <s v="ANX"/>
    <n v="7"/>
    <x v="1"/>
  </r>
  <r>
    <n v="3"/>
    <m/>
    <s v="W020005"/>
    <x v="1"/>
    <s v="E-US"/>
    <s v="美国"/>
    <s v="001000058"/>
    <n v="208"/>
    <x v="0"/>
    <s v="盐田海卡"/>
    <s v="TCY2"/>
    <s v="ANX-2PC-BS"/>
    <s v="ANX-2PC-BS 便携式扩香仪套装 黑+银"/>
    <s v="ANX"/>
    <n v="13"/>
    <x v="2"/>
  </r>
  <r>
    <n v="4"/>
    <m/>
    <s v="W020005"/>
    <x v="1"/>
    <s v="E-US"/>
    <s v="美国"/>
    <s v="001000050"/>
    <n v="90"/>
    <x v="0"/>
    <s v="盐田海卡"/>
    <s v="TCY2"/>
    <s v="ANX-RP"/>
    <s v="ANX-RP 便携式扩香仪 红粉色"/>
    <s v="ANX"/>
    <n v="3"/>
    <x v="3"/>
  </r>
  <r>
    <n v="5"/>
    <m/>
    <s v="W020005"/>
    <x v="1"/>
    <s v="E-US"/>
    <s v="美国"/>
    <s v="001000051"/>
    <n v="90"/>
    <x v="0"/>
    <s v="盐田海卡"/>
    <s v="TCY2"/>
    <s v="ANX-SG"/>
    <s v="ANX-SG 便携式扩香仪 太空灰色"/>
    <s v="ANX"/>
    <n v="3"/>
    <x v="3"/>
  </r>
  <r>
    <n v="6"/>
    <m/>
    <s v="W020004"/>
    <x v="2"/>
    <s v="V-US"/>
    <s v="美国"/>
    <s v="ADXKIT_B_TX33_30ML"/>
    <n v="990"/>
    <x v="0"/>
    <s v="盐田海卡"/>
    <s v="TCY1"/>
    <s v="ADXKIT_B_TX33_30ML"/>
    <s v="ADXKIT_B_TX33_30ML ADX黑色机器+30mL檀香33香氛油（天竺） 机油套装"/>
    <s v="ADX"/>
    <n v="33"/>
    <x v="4"/>
  </r>
  <r>
    <n v="7"/>
    <m/>
    <s v="W020004"/>
    <x v="2"/>
    <s v="V-US"/>
    <s v="美国"/>
    <s v="AN6KIT-B_2X20K01"/>
    <n v="1200"/>
    <x v="0"/>
    <s v="盐田海卡"/>
    <s v="TCY1"/>
    <s v="AN6KIT-B_2X20K01"/>
    <s v="AN6KIT-B_2X20K01 AN6黑色机器+2X20mL酒店香氛油 机油套装"/>
    <s v="AN6"/>
    <n v="40"/>
    <x v="5"/>
  </r>
  <r>
    <n v="8"/>
    <m/>
    <s v="W020004"/>
    <x v="2"/>
    <s v="V-US"/>
    <s v="美国"/>
    <s v="AN6KIT-B_4X10ML"/>
    <n v="600"/>
    <x v="0"/>
    <s v="盐田海卡"/>
    <s v="TCY1"/>
    <s v="AN6KIT-B_4X10ML"/>
    <s v="AN6KIT-B_4X10ML AN6黑色机器+4x10mL香氛油（天竺） 机油套装"/>
    <s v="AN6"/>
    <n v="20"/>
    <x v="6"/>
  </r>
  <r>
    <n v="9"/>
    <m/>
    <s v="W020004"/>
    <x v="2"/>
    <s v="V-US"/>
    <s v="美国"/>
    <s v="AN6KIT-B_RZ30ml"/>
    <n v="1800"/>
    <x v="0"/>
    <s v="盐田海卡"/>
    <s v="TCY1"/>
    <s v="AN6KIT-B_RZ30ml"/>
    <s v="AN6KIT-B_RZ30ml AN6黑色机器+30mL丽思香氛油 机油套装"/>
    <s v="AN6"/>
    <n v="60"/>
    <x v="7"/>
  </r>
  <r>
    <n v="10"/>
    <m/>
    <s v="W020004"/>
    <x v="2"/>
    <s v="V-US"/>
    <s v="美国"/>
    <s v="AN6KIT-WH_SJ30ML"/>
    <n v="450"/>
    <x v="0"/>
    <s v="盐田海卡"/>
    <s v="TCY1"/>
    <s v="AN6KIT-WH_SJ30ML"/>
    <s v="AN6KIT-WH_SJ30ML AN6白色机器+30mL四季酒店香氛油 机油套装"/>
    <s v="AN6"/>
    <n v="15"/>
    <x v="8"/>
  </r>
  <r>
    <n v="11"/>
    <m/>
    <s v="W020004"/>
    <x v="2"/>
    <s v="V-US"/>
    <s v="美国"/>
    <s v="AN8KIT-B_4X10K01"/>
    <n v="3000"/>
    <x v="0"/>
    <s v="盐田海卡"/>
    <s v="TCY1"/>
    <s v="AN8KIT-B_4X10K01"/>
    <s v="AN8KIT-B_4X10K01 AN8黑色机器+4x10mL酒店香氛油 机油套装"/>
    <s v="AN8"/>
    <n v="100"/>
    <x v="9"/>
  </r>
  <r>
    <n v="12"/>
    <m/>
    <s v="W020004"/>
    <x v="2"/>
    <s v="V-US"/>
    <s v="美国"/>
    <s v="AN8KIT-B_4X10K02"/>
    <n v="210"/>
    <x v="0"/>
    <s v="盐田海卡"/>
    <s v="TCY1"/>
    <s v="AN8KIT-B_4X10K02"/>
    <s v="AN8KIT-B_4X10K02 AN8黑色机器+4x10mL（天竺）香氛油 机油套装"/>
    <s v="AN8"/>
    <n v="7"/>
    <x v="10"/>
  </r>
  <r>
    <n v="13"/>
    <m/>
    <s v="W020004"/>
    <x v="2"/>
    <s v="V-US"/>
    <s v="美国"/>
    <s v="AN8KIT-WH_4X10K01"/>
    <n v="240"/>
    <x v="0"/>
    <s v="盐田海卡"/>
    <s v="TCY1"/>
    <s v="AN8KIT-WH_4X10K01"/>
    <s v="AN8KIT-WH_4X10K01 AN8白色机器+4x10mL酒店香氛油 机油套装"/>
    <s v="AN8"/>
    <n v="8"/>
    <x v="11"/>
  </r>
  <r>
    <n v="14"/>
    <m/>
    <s v="W020004"/>
    <x v="2"/>
    <s v="V-US"/>
    <s v="美国"/>
    <s v="ANXKIT-B_RZ30ml"/>
    <n v="300"/>
    <x v="0"/>
    <s v="盐田海卡"/>
    <s v="TCY1"/>
    <s v="ANXKIT-B_RZ30ml"/>
    <s v="ANXKIT-B_RZ30ml ANX黑色机器+30mL丽思香氛油 机油套装"/>
    <s v="ANX"/>
    <n v="10"/>
    <x v="12"/>
  </r>
  <r>
    <n v="15"/>
    <m/>
    <s v="W020004"/>
    <x v="2"/>
    <s v="V-US"/>
    <s v="美国"/>
    <s v="AN8KIT-B_2X20K01"/>
    <n v="10"/>
    <x v="0"/>
    <s v="盐田海卡"/>
    <s v="TCY1"/>
    <s v="AN8KIT-B_2X20K01"/>
    <s v="AN8KIT-B_2X20K01 AN8黑色机器+2X20mL酒店香氛油 机油套装"/>
    <s v="AN8"/>
    <n v="0.33333333333333298"/>
    <x v="13"/>
  </r>
  <r>
    <n v="16"/>
    <m/>
    <s v="W020004"/>
    <x v="2"/>
    <s v="V-US"/>
    <s v="美国"/>
    <s v="AN8KIT-WH_2X20K01"/>
    <n v="20"/>
    <x v="0"/>
    <s v="盐田海卡"/>
    <s v="TCY1"/>
    <s v="AN8KIT-WH_2X20K01"/>
    <s v="AN8KIT-WH_2X20K01 AN8白色机器+2X20mL酒店香氛油 机油套装"/>
    <s v="AN8"/>
    <n v="0.66666666666666696"/>
    <x v="14"/>
  </r>
  <r>
    <n v="17"/>
    <m/>
    <s v="W020004"/>
    <x v="3"/>
    <s v="V-US"/>
    <s v="美国"/>
    <s v="001000028"/>
    <n v="100"/>
    <x v="0"/>
    <s v="盐田海卡"/>
    <s v="TCY1"/>
    <s v="AN6-2PC-BB"/>
    <s v="AN6-2PC-BB 便携式扩香仪套装 黑+黑"/>
    <s v="AN6"/>
    <n v="5"/>
    <x v="15"/>
  </r>
  <r>
    <n v="18"/>
    <m/>
    <s v="W020004"/>
    <x v="3"/>
    <s v="V-US"/>
    <s v="美国"/>
    <s v="001000019"/>
    <n v="1200"/>
    <x v="0"/>
    <s v="盐田海卡"/>
    <s v="TCY1"/>
    <s v="AN6-B"/>
    <s v="AN6-B 便携式扩香仪 黑色"/>
    <s v="AN6"/>
    <n v="30"/>
    <x v="16"/>
  </r>
  <r>
    <n v="19"/>
    <m/>
    <s v="W020004"/>
    <x v="3"/>
    <s v="V-US"/>
    <s v="美国"/>
    <s v="001000020"/>
    <n v="480"/>
    <x v="0"/>
    <s v="盐田海卡"/>
    <s v="TCY1"/>
    <s v="AN6-W"/>
    <s v="AN6-W 便携式扩香仪 白色"/>
    <s v="AN6"/>
    <n v="12"/>
    <x v="17"/>
  </r>
  <r>
    <n v="20"/>
    <m/>
    <s v="W020004"/>
    <x v="3"/>
    <s v="V-US"/>
    <s v="美国"/>
    <s v="AN6-YG"/>
    <n v="120"/>
    <x v="0"/>
    <s v="盐田海卡"/>
    <s v="TCY1"/>
    <s v="AN6-YG"/>
    <s v="AN6-YG 便携式扩香仪 乳酪色"/>
    <s v="AN6"/>
    <n v="3"/>
    <x v="18"/>
  </r>
  <r>
    <n v="21"/>
    <m/>
    <s v="W020004"/>
    <x v="3"/>
    <s v="V-US"/>
    <s v="美国"/>
    <s v="AND-B"/>
    <n v="60"/>
    <x v="0"/>
    <s v="盐田海卡"/>
    <s v="TCY1"/>
    <s v="AND-B"/>
    <s v="AND-B 便携式双喷扩香仪 黑色"/>
    <s v="AND"/>
    <n v="2"/>
    <x v="19"/>
  </r>
  <r>
    <n v="22"/>
    <m/>
    <s v="W020004"/>
    <x v="3"/>
    <s v="V-US"/>
    <s v="美国"/>
    <s v="AND-DT"/>
    <n v="150"/>
    <x v="0"/>
    <s v="盐田海卡"/>
    <s v="TCY1"/>
    <s v="AND-DT"/>
    <s v="AND-DT 便携式双喷扩香仪 沙漠钛色"/>
    <s v="AND"/>
    <n v="5"/>
    <x v="15"/>
  </r>
  <r>
    <n v="23"/>
    <m/>
    <s v="W020004"/>
    <x v="4"/>
    <s v="A-US"/>
    <s v="美国"/>
    <s v="ANZKIT-B_HILTON30ML"/>
    <n v="390"/>
    <x v="0"/>
    <s v="盐田海卡"/>
    <s v="TCY1"/>
    <s v="ANZKIT-B_HILTON30ML"/>
    <s v="ANZKIT-B_HILTON30ML ANZ黑色机器+30mL希尔顿酒店香氛油（天竺） 机油套装"/>
    <s v="ANZ"/>
    <n v="13"/>
    <x v="20"/>
  </r>
  <r>
    <n v="24"/>
    <m/>
    <s v="W020003"/>
    <x v="5"/>
    <s v="E-US"/>
    <s v="美国"/>
    <s v="SJ1-100ML_TZ"/>
    <n v="320"/>
    <x v="1"/>
    <s v="盐田海卡"/>
    <s v="TCY1"/>
    <s v="SJ1-100ML_TZ"/>
    <s v="SJ1-100ML_TZ 四季酒店100mL香氛油（天竺） 销售包装"/>
    <s v="Oil-TZ"/>
    <n v="5"/>
    <x v="21"/>
  </r>
  <r>
    <n v="25"/>
    <m/>
    <s v="W020003"/>
    <x v="6"/>
    <s v="V-US"/>
    <s v="美国"/>
    <s v="W1-100ML_TZ"/>
    <n v="192"/>
    <x v="1"/>
    <s v="盐田海卡"/>
    <s v="TCY1"/>
    <s v="W1-100ML_TZ"/>
    <s v="W1-100ML_TZ W酒店100mL香氛油（天竺） 销售包装"/>
    <s v="Oil-TZ"/>
    <n v="3"/>
    <x v="22"/>
  </r>
  <r>
    <n v="26"/>
    <m/>
    <s v="W020001"/>
    <x v="7"/>
    <s v="E-US"/>
    <s v="美国"/>
    <s v="AC1-WH_US"/>
    <n v="360"/>
    <x v="0"/>
    <s v="美国空派"/>
    <s v="PSC2"/>
    <s v="AC1-WH_US"/>
    <s v="AC1-WH_US 智能控制器 美规 白色 一个装"/>
    <s v="AC1"/>
    <n v="3"/>
    <x v="23"/>
  </r>
  <r>
    <n v="27"/>
    <m/>
    <s v="W020001"/>
    <x v="7"/>
    <s v="E-US"/>
    <s v="美国"/>
    <s v="AC1KIT_WH_WH_US"/>
    <n v="360"/>
    <x v="0"/>
    <s v="美国空派"/>
    <s v="PSC2"/>
    <s v="AC1KIT_WH_WH_US"/>
    <s v="AC1KIT_WH_WH_US 智能控制器 美规 白色 两个装"/>
    <s v="AC1"/>
    <n v="3"/>
    <x v="23"/>
  </r>
  <r>
    <n v="28"/>
    <m/>
    <s v="W020002"/>
    <x v="8"/>
    <s v="W-DE"/>
    <s v="德国"/>
    <s v="AC1-WH_EU"/>
    <n v="120"/>
    <x v="0"/>
    <s v="欧洲空派"/>
    <s v="DTM1"/>
    <s v="AC1-WH_EU"/>
    <s v="AC1-WH_EU 智能控制器 欧规 白色 一个装"/>
    <s v="AC1"/>
    <n v="1"/>
    <x v="24"/>
  </r>
  <r>
    <n v="29"/>
    <m/>
    <s v="W020002"/>
    <x v="8"/>
    <s v="W-DE"/>
    <s v="德国"/>
    <s v="AC1KIT-WH_WH_EU"/>
    <n v="120"/>
    <x v="0"/>
    <s v="欧洲空派"/>
    <s v="DTM1"/>
    <s v="AC1KIT-WH_WH_EU"/>
    <s v="AC1KIT-WH_WH_EU 智能控制器 欧规 白色 两个装"/>
    <s v="AC1"/>
    <n v="1"/>
    <x v="24"/>
  </r>
  <r>
    <n v="30"/>
    <m/>
    <s v="W03005"/>
    <x v="9"/>
    <s v="V-US"/>
    <s v="美国"/>
    <s v="AN6KIT-B_RZ30ml"/>
    <n v="1800"/>
    <x v="0"/>
    <s v="盐田海卡"/>
    <s v="GEU2"/>
    <s v="AN6KIT-B_RZ30ml"/>
    <s v="AN6KIT-B_RZ30ml AN6黑色机器+30mL丽思香氛油 机油套装"/>
    <s v="AN6"/>
    <n v="60"/>
    <x v="25"/>
  </r>
  <r>
    <n v="31"/>
    <m/>
    <s v="W03005"/>
    <x v="9"/>
    <s v="V-US"/>
    <s v="美国"/>
    <s v="AN6KIT-WH_4X10ML"/>
    <n v="390"/>
    <x v="0"/>
    <s v="盐田海卡"/>
    <s v="GEU2"/>
    <s v="AN6KIT-WH_4X10ML"/>
    <s v="AN6KIT-WH_4X10ML AN6白色机器+4x10mL香氛油（天竺） 机油套装"/>
    <s v="AN6"/>
    <n v="13"/>
    <x v="26"/>
  </r>
  <r>
    <n v="32"/>
    <m/>
    <s v="W03005"/>
    <x v="9"/>
    <s v="V-US"/>
    <s v="美国"/>
    <s v="AN8KIT-B_4X10K01"/>
    <n v="990"/>
    <x v="0"/>
    <s v="盐田海卡"/>
    <s v="GEU2"/>
    <s v="AN8KIT-B_4X10K01"/>
    <s v="AN8KIT-B_4X10K01 AN8黑色机器+4x10mL酒店香氛油 机油套装"/>
    <s v="AN8"/>
    <n v="33"/>
    <x v="27"/>
  </r>
  <r>
    <n v="33"/>
    <m/>
    <s v="W03005"/>
    <x v="9"/>
    <s v="V-US"/>
    <s v="美国"/>
    <s v="ANXKIT-T_4X10ML"/>
    <n v="120"/>
    <x v="0"/>
    <s v="盐田海卡"/>
    <s v="GEU2"/>
    <s v="ANXKIT-T_4X10ML"/>
    <s v="ANXKIT-T_4X10ML ANX钛色机器+4x10mL香氛油（天竺） 机油套装"/>
    <s v="ANX"/>
    <n v="4"/>
    <x v="28"/>
  </r>
  <r>
    <n v="34"/>
    <m/>
    <s v="W03007"/>
    <x v="10"/>
    <s v="V-US"/>
    <s v="美国"/>
    <s v="001000019"/>
    <n v="2000"/>
    <x v="2"/>
    <s v="盐田海卡"/>
    <s v="GEU3"/>
    <s v="AN6-B"/>
    <s v="AN6-B 便携式扩香仪 黑色"/>
    <s v="AN6"/>
    <n v="50"/>
    <x v="29"/>
  </r>
  <r>
    <n v="35"/>
    <m/>
    <s v="W03007"/>
    <x v="10"/>
    <s v="V-US"/>
    <s v="美国"/>
    <s v="AN8-B"/>
    <n v="320"/>
    <x v="2"/>
    <s v="盐田海卡"/>
    <s v="GEU3"/>
    <s v="AN8-B"/>
    <s v="AN8-B 便携式扩香仪 黑色"/>
    <s v="AN8"/>
    <n v="8"/>
    <x v="30"/>
  </r>
  <r>
    <n v="36"/>
    <m/>
    <s v="W03007"/>
    <x v="10"/>
    <s v="V-US"/>
    <s v="美国"/>
    <s v="AN8KIT-B_B"/>
    <n v="200"/>
    <x v="2"/>
    <s v="盐田海卡"/>
    <s v="GEU3"/>
    <s v="AN8KIT-B_B"/>
    <s v="AN8KIT-B_B 便携式扩香仪套装 黑+黑"/>
    <s v="AN8"/>
    <n v="10"/>
    <x v="31"/>
  </r>
  <r>
    <n v="37"/>
    <m/>
    <s v="W03007"/>
    <x v="10"/>
    <s v="V-US"/>
    <s v="美国"/>
    <s v="AN8-WH"/>
    <n v="120"/>
    <x v="2"/>
    <s v="盐田海卡"/>
    <s v="GEU3"/>
    <s v="AN8-WH"/>
    <s v="AN8-WH 便携式扩香仪 白色"/>
    <s v="AN8"/>
    <n v="3"/>
    <x v="32"/>
  </r>
  <r>
    <n v="38"/>
    <m/>
    <s v="W03007"/>
    <x v="10"/>
    <s v="V-US"/>
    <s v="美国"/>
    <s v="AN8NZ-B"/>
    <n v="200"/>
    <x v="2"/>
    <s v="盐田海卡"/>
    <s v="GEU3"/>
    <s v="AN8NZ-B"/>
    <s v="AN8NZ-B AN8(Z)喷嘴配件套装 黑色"/>
    <s v="AN8-AC"/>
    <n v="1"/>
    <x v="33"/>
  </r>
  <r>
    <n v="39"/>
    <m/>
    <s v="W03006"/>
    <x v="11"/>
    <s v="E-UK"/>
    <s v="英国"/>
    <s v="001000019"/>
    <n v="240"/>
    <x v="0"/>
    <s v="英国海卡"/>
    <s v="LBA4"/>
    <s v="AN6-B"/>
    <s v="AN6-B 便携式扩香仪 黑色"/>
    <s v="AN6"/>
    <n v="6"/>
    <x v="34"/>
  </r>
  <r>
    <n v="40"/>
    <m/>
    <s v="W03006"/>
    <x v="11"/>
    <s v="E-UK"/>
    <s v="英国"/>
    <s v="001000039"/>
    <n v="40"/>
    <x v="0"/>
    <s v="英国海卡"/>
    <s v="LBA4"/>
    <s v="AN6-GL"/>
    <s v="AN6-GL 便携式扩香仪 翠百合色"/>
    <s v="AN6"/>
    <n v="1"/>
    <x v="35"/>
  </r>
  <r>
    <n v="41"/>
    <m/>
    <s v="W03006"/>
    <x v="11"/>
    <s v="E-UK"/>
    <s v="英国"/>
    <s v="001000020"/>
    <n v="120"/>
    <x v="0"/>
    <s v="英国海卡"/>
    <s v="LBA4"/>
    <s v="AN6-W"/>
    <s v="AN6-W 便携式扩香仪 白色"/>
    <s v="AN6"/>
    <n v="3"/>
    <x v="36"/>
  </r>
  <r>
    <n v="42"/>
    <m/>
    <s v="W03007"/>
    <x v="12"/>
    <s v="E-US"/>
    <s v="美国"/>
    <s v="001000049"/>
    <n v="90"/>
    <x v="2"/>
    <s v="盐田海卡"/>
    <s v="HLI2"/>
    <s v="ANX-IB"/>
    <s v="ANX-IB 便携式扩香仪 冰蓝色"/>
    <s v="ANX"/>
    <n v="3"/>
    <x v="37"/>
  </r>
  <r>
    <n v="43"/>
    <m/>
    <s v="W03007"/>
    <x v="12"/>
    <s v="E-US"/>
    <s v="美国"/>
    <s v="001000052"/>
    <n v="210"/>
    <x v="2"/>
    <s v="盐田海卡"/>
    <s v="HLI2"/>
    <s v="ANX-DT"/>
    <s v="ANX-DT 便携式扩香仪 沙漠钛色"/>
    <s v="ANX"/>
    <n v="7"/>
    <x v="38"/>
  </r>
  <r>
    <n v="44"/>
    <m/>
    <s v="W03007"/>
    <x v="12"/>
    <s v="E-US"/>
    <s v="美国"/>
    <s v="ANZ-B"/>
    <n v="1200"/>
    <x v="2"/>
    <s v="盐田海卡"/>
    <s v="HLI2"/>
    <s v="ANZ-B"/>
    <s v="ANZ-B 便携式扩香仪 黑色"/>
    <s v="ANZ"/>
    <n v="30"/>
    <x v="39"/>
  </r>
  <r>
    <n v="45"/>
    <m/>
    <s v="W03005"/>
    <x v="13"/>
    <s v="E-US"/>
    <s v="美国"/>
    <s v="ANZKIT-B_4X10K04_TZ"/>
    <n v="390"/>
    <x v="0"/>
    <s v="盐田海卡"/>
    <s v="GEU2"/>
    <s v="ANZKIT-B_4X10K04_TZ"/>
    <s v="ANZKIT-B_4X10K04_TZ ANZ黑色机器+4x10mL酒店（天竺）香氛油 机油套装"/>
    <s v="ANZ"/>
    <n v="13"/>
    <x v="40"/>
  </r>
  <r>
    <n v="46"/>
    <m/>
    <s v="W03003"/>
    <x v="14"/>
    <s v="W-DE"/>
    <s v="德国"/>
    <s v="ANA-WH_EU"/>
    <n v="144"/>
    <x v="0"/>
    <s v="欧洲海卡"/>
    <s v="HAJ1"/>
    <s v="ANA-WH_EU"/>
    <s v="ANA-WH_EU 智能扩香仪 欧规 白色"/>
    <s v="ANA"/>
    <n v="12"/>
    <x v="41"/>
  </r>
  <r>
    <n v="47"/>
    <m/>
    <s v="W03004"/>
    <x v="15"/>
    <s v="V-CA"/>
    <s v="加拿大"/>
    <s v="001000032"/>
    <n v="72"/>
    <x v="0"/>
    <s v="加拿大海卡"/>
    <s v="YHM1"/>
    <s v="ANW-B"/>
    <s v="ANW-B 智能扩香仪 黑色"/>
    <s v="ANW"/>
    <n v="6"/>
    <x v="42"/>
  </r>
  <r>
    <n v="48"/>
    <m/>
    <s v="W03004"/>
    <x v="15"/>
    <s v="V-CA"/>
    <s v="加拿大"/>
    <s v="001000033"/>
    <n v="48"/>
    <x v="0"/>
    <s v="加拿大海卡"/>
    <s v="YHM1"/>
    <s v="ANW-W"/>
    <s v="ANW-W 智能扩香仪 白色"/>
    <s v="ANW"/>
    <n v="4"/>
    <x v="43"/>
  </r>
  <r>
    <n v="49"/>
    <m/>
    <s v="W03005"/>
    <x v="16"/>
    <s v="V-US"/>
    <s v="美国"/>
    <s v="ANAKIT-B_US_2X100K03"/>
    <n v="660"/>
    <x v="0"/>
    <s v="盐田海卡"/>
    <s v="GEU3"/>
    <s v="ANAKIT-B_US_2X100K03"/>
    <s v="ANAKIT-B_US_2X100K03 ANA黑色机器+2X100mL酒店香氛油（天竺） 机油套装"/>
    <s v="ANA"/>
    <n v="55"/>
    <x v="44"/>
  </r>
  <r>
    <n v="50"/>
    <m/>
    <s v="W03005"/>
    <x v="16"/>
    <s v="V-US"/>
    <s v="美国"/>
    <s v="ANAKIT-WH_US_2X100K03"/>
    <n v="660"/>
    <x v="0"/>
    <s v="盐田海卡"/>
    <s v="GEU3"/>
    <s v="ANAKIT-WH_US_2X100K03"/>
    <s v="ANAKIT-WH_US_2X100K03 ANA白色机器+2X100mL酒店香氛油（天竺） 机油套装"/>
    <s v="ANA"/>
    <n v="55"/>
    <x v="44"/>
  </r>
  <r>
    <n v="51"/>
    <m/>
    <s v="W03005"/>
    <x v="16"/>
    <s v="V-US"/>
    <s v="美国"/>
    <s v="ANWKIT-WH_US_2X100K03"/>
    <n v="456"/>
    <x v="0"/>
    <s v="盐田海卡"/>
    <s v="GEU3"/>
    <s v="ANWKIT-WH_US_2X100K03"/>
    <s v="ANWKIT-WH_US_2X100K03 ANW白色机器+2X100mL酒店香氛油（天竺） 机油套装"/>
    <s v="ANW"/>
    <n v="38"/>
    <x v="45"/>
  </r>
  <r>
    <n v="52"/>
    <m/>
    <s v="W03001"/>
    <x v="17"/>
    <s v="E-US"/>
    <s v="美国"/>
    <s v="HOTEL6KIT1-6X10K01"/>
    <n v="532"/>
    <x v="1"/>
    <s v="以星海卡"/>
    <s v="GEU5"/>
    <s v="HOTEL6KIT1-6X10K01"/>
    <s v="HOTEL6KIT1-6X10K01 酒店香氛油6款10mL套装"/>
    <s v="Oil-HQ"/>
    <n v="7"/>
    <x v="46"/>
  </r>
  <r>
    <n v="53"/>
    <m/>
    <s v="买单报关"/>
    <x v="18"/>
    <s v="V-US"/>
    <s v="美国"/>
    <s v="006000024"/>
    <n v="1260"/>
    <x v="1"/>
    <s v="盐田海卡"/>
    <s v="QXY8"/>
    <s v="A-RZ3-100"/>
    <s v="A-Ritz Carlton Hotel 3-100 丽思卡尔顿酒店3香氛油100mL"/>
    <s v="Oil-HQ"/>
    <n v="14"/>
    <x v="47"/>
  </r>
  <r>
    <n v="54"/>
    <m/>
    <s v="买单报关"/>
    <x v="19"/>
    <s v="E-US"/>
    <s v="美国"/>
    <s v="BCRT1-100ML"/>
    <n v="90"/>
    <x v="1"/>
    <s v="盐田海卡"/>
    <s v="QXY8"/>
    <s v="BCRT1-100ML"/>
    <s v="BCRT1-100ML 巴卡拉酒店香氛油100mL"/>
    <s v="Oil-HQ"/>
    <n v="1"/>
    <x v="48"/>
  </r>
  <r>
    <n v="55"/>
    <m/>
    <s v="买单报关"/>
    <x v="19"/>
    <s v="E-US"/>
    <s v="美国"/>
    <s v="BLG1-100ML"/>
    <n v="90"/>
    <x v="1"/>
    <s v="盐田海卡"/>
    <s v="QXY8"/>
    <s v="BLG1-100ML"/>
    <s v="BLG1-100ML 百乐宫酒店香氛油100mL"/>
    <s v="Oil-HQ"/>
    <n v="1"/>
    <x v="48"/>
  </r>
  <r>
    <n v="56"/>
    <s v="备注第3至第16箱，单独报关"/>
    <s v="W03002"/>
    <x v="19"/>
    <s v="E-US"/>
    <s v="美国"/>
    <s v="HOTEL6KIT1-6X10K01"/>
    <n v="1064"/>
    <x v="1"/>
    <s v="盐田海卡"/>
    <s v="QXY8"/>
    <s v="HOTEL6KIT1-6X10K01"/>
    <s v="HOTEL6KIT1-6X10K01 酒店香氛油6款10mL套装"/>
    <s v="Oil-HQ"/>
    <n v="14"/>
    <x v="49"/>
  </r>
  <r>
    <n v="57"/>
    <m/>
    <s v="买单报关"/>
    <x v="19"/>
    <s v="E-US"/>
    <s v="美国"/>
    <s v="JY-100ML"/>
    <n v="90"/>
    <x v="1"/>
    <s v="盐田海卡"/>
    <s v="QXY8"/>
    <s v="A-JY-100"/>
    <s v="A-Grand Hyatt Hotel-100 君悦酒店香氛油100mL"/>
    <s v="Oil-HQ"/>
    <n v="1"/>
    <x v="48"/>
  </r>
  <r>
    <n v="58"/>
    <m/>
    <s v="买单报关"/>
    <x v="19"/>
    <s v="E-US"/>
    <s v="美国"/>
    <s v="MWAY1-100ML"/>
    <n v="180"/>
    <x v="1"/>
    <s v="盐田海卡"/>
    <s v="QXY8"/>
    <s v="A-MWAY-100"/>
    <s v="A-MWAY Deluxe-100 特定香型香氛油100mL"/>
    <s v="Oil-HQ"/>
    <n v="2"/>
    <x v="50"/>
  </r>
  <r>
    <n v="59"/>
    <m/>
    <s v="买单报关"/>
    <x v="19"/>
    <s v="E-US"/>
    <s v="美国"/>
    <s v="WST1-100ML"/>
    <n v="90"/>
    <x v="1"/>
    <s v="盐田海卡"/>
    <s v="QXY8"/>
    <s v="WST1-100ML"/>
    <s v="WST1-100ML 威斯汀2酒店香氛油100mL"/>
    <s v="Oil-HQ"/>
    <n v="1"/>
    <x v="48"/>
  </r>
  <r>
    <n v="60"/>
    <m/>
    <s v="W04003"/>
    <x v="20"/>
    <s v="E-US"/>
    <s v="美国"/>
    <s v="001000053"/>
    <n v="128"/>
    <x v="2"/>
    <s v="盐田海卡"/>
    <s v="QXY8"/>
    <s v="ANX-2PC-BB"/>
    <s v="ANX-2PC-BB 便携式扩香仪套装 黑+黑"/>
    <s v="ANX"/>
    <n v="8"/>
    <x v="51"/>
  </r>
  <r>
    <n v="61"/>
    <m/>
    <s v="W04003"/>
    <x v="20"/>
    <s v="E-US"/>
    <s v="美国"/>
    <s v="001000045"/>
    <n v="300"/>
    <x v="2"/>
    <s v="盐田海卡"/>
    <s v="QXY8"/>
    <s v="ANX-B"/>
    <s v="ANX-B 便携式扩香仪 黑色"/>
    <s v="ANX"/>
    <n v="10"/>
    <x v="52"/>
  </r>
  <r>
    <n v="62"/>
    <m/>
    <s v="W04003"/>
    <x v="20"/>
    <s v="E-US"/>
    <s v="美国"/>
    <s v="ANZ-B"/>
    <n v="1200"/>
    <x v="2"/>
    <s v="盐田海卡"/>
    <s v="QXY8"/>
    <s v="ANZ-B"/>
    <s v="ANZ-B 便携式扩香仪 黑色"/>
    <s v="ANZ"/>
    <n v="30"/>
    <x v="53"/>
  </r>
  <r>
    <n v="63"/>
    <m/>
    <s v="W04003"/>
    <x v="20"/>
    <s v="E-US"/>
    <s v="美国"/>
    <s v="ANZ-WH"/>
    <n v="440"/>
    <x v="2"/>
    <s v="盐田海卡"/>
    <s v="QXY8"/>
    <s v="ANZ-WH"/>
    <s v="ANZ-WH 便携式扩香仪 白色"/>
    <s v="ANZ"/>
    <n v="11"/>
    <x v="54"/>
  </r>
  <r>
    <n v="64"/>
    <m/>
    <s v="W04005"/>
    <x v="21"/>
    <s v="E-US"/>
    <s v="美国"/>
    <s v="ANZKIT-B_4X10K04_TZ"/>
    <n v="600"/>
    <x v="0"/>
    <s v="盐田海卡"/>
    <s v="TCY1"/>
    <s v="ANZKIT-B_4X10K04_TZ"/>
    <s v="ANZKIT-B_4X10K04_TZ ANZ黑色机器+4x10mL酒店（天竺）香氛油 机油套装"/>
    <s v="ANZ"/>
    <n v="20"/>
    <x v="55"/>
  </r>
  <r>
    <n v="65"/>
    <m/>
    <s v="W04005"/>
    <x v="22"/>
    <s v="V-US"/>
    <s v="美国"/>
    <s v="ADXKIT-B_4X10K04_TZ"/>
    <n v="600"/>
    <x v="0"/>
    <s v="盐田海卡"/>
    <s v="TCY1"/>
    <s v="ADXKIT-B_4X10K04_TZ"/>
    <s v="ADXKIT-B_4X10K04_TZ ADX黑色机器+4x10mL酒店（天竺）香氛油 机油套装"/>
    <s v="ADX"/>
    <n v="20"/>
    <x v="56"/>
  </r>
  <r>
    <n v="66"/>
    <m/>
    <s v="W04005"/>
    <x v="22"/>
    <s v="V-US"/>
    <s v="美国"/>
    <s v="ADXKIT-DT_4X10K04_TZ"/>
    <n v="180"/>
    <x v="0"/>
    <s v="盐田海卡"/>
    <s v="TCY1"/>
    <s v="ADXKIT-DT_4X10K04_TZ"/>
    <s v="ADXKIT-DT_4X10K04_TZ AD钛色机器+4x10mL酒店（天竺）香氛油 机油套装"/>
    <s v="ADX"/>
    <n v="6"/>
    <x v="57"/>
  </r>
  <r>
    <n v="67"/>
    <m/>
    <s v="W04005"/>
    <x v="22"/>
    <s v="V-US"/>
    <s v="美国"/>
    <s v="AN6KIT-WH_SJ30ML_TZ"/>
    <n v="150"/>
    <x v="0"/>
    <s v="盐田海卡"/>
    <s v="TCY1"/>
    <s v="AN6KIT-WH_SJ30ML_TZ"/>
    <s v="AN6KIT-WH_SJ30ML_TZ AN6白色机器+30mL四季酒店香氛油（天竺） 机油套装"/>
    <s v="AN6"/>
    <n v="5"/>
    <x v="58"/>
  </r>
  <r>
    <n v="68"/>
    <m/>
    <s v="W04005"/>
    <x v="22"/>
    <s v="V-US"/>
    <s v="美国"/>
    <s v="AN8KIT-B_2X20K03"/>
    <n v="600"/>
    <x v="0"/>
    <s v="盐田海卡"/>
    <s v="TCY1"/>
    <s v="AN8KIT-B_2X20K03"/>
    <s v="AN8KIT-B_2X20K03 AN8黑色机器+2X20mL（天竺）酒店香氛油 机油套装"/>
    <s v="AN8"/>
    <n v="20"/>
    <x v="56"/>
  </r>
  <r>
    <n v="69"/>
    <m/>
    <s v="W04005"/>
    <x v="22"/>
    <s v="V-US"/>
    <s v="美国"/>
    <s v="AN8KIT-B_4X10K01"/>
    <n v="300"/>
    <x v="0"/>
    <s v="盐田海卡"/>
    <s v="TCY1"/>
    <s v="AN8KIT-B_4X10K01"/>
    <s v="AN8KIT-B_4X10K01 AN8黑色机器+4x10mL酒店香氛油 机油套装"/>
    <s v="AN8"/>
    <n v="10"/>
    <x v="59"/>
  </r>
  <r>
    <n v="70"/>
    <m/>
    <s v="W04005"/>
    <x v="22"/>
    <s v="V-US"/>
    <s v="美国"/>
    <s v="AN8KIT-B_4X10K02"/>
    <n v="300"/>
    <x v="0"/>
    <s v="盐田海卡"/>
    <s v="TCY1"/>
    <s v="AN8KIT-B_4X10K02"/>
    <s v="AN8KIT-B_4X10K02 AN8黑色机器+4x10mL（天竺）香氛油 机油套装"/>
    <s v="AN8"/>
    <n v="10"/>
    <x v="59"/>
  </r>
  <r>
    <n v="71"/>
    <m/>
    <s v="W04005"/>
    <x v="23"/>
    <s v="V-US"/>
    <s v="美国"/>
    <s v="001000039"/>
    <n v="400"/>
    <x v="0"/>
    <s v="盐田海卡"/>
    <s v="TCY1"/>
    <s v="AN6-GL"/>
    <s v="AN6-GL 便携式扩香仪 翠百合色"/>
    <s v="AN6"/>
    <n v="10"/>
    <x v="60"/>
  </r>
  <r>
    <n v="72"/>
    <m/>
    <s v="W04005"/>
    <x v="23"/>
    <s v="V-US"/>
    <s v="美国"/>
    <s v="AND-LV"/>
    <n v="60"/>
    <x v="0"/>
    <s v="盐田海卡"/>
    <s v="TCY1"/>
    <s v="AND-LV"/>
    <s v="AND-LV 便携式双喷扩香仪 薰衣草色"/>
    <s v="AND"/>
    <n v="2"/>
    <x v="61"/>
  </r>
  <r>
    <n v="73"/>
    <m/>
    <s v="W04005"/>
    <x v="23"/>
    <s v="V-US"/>
    <s v="美国"/>
    <s v="AND-MT"/>
    <n v="60"/>
    <x v="0"/>
    <s v="盐田海卡"/>
    <s v="TCY1"/>
    <s v="AND-MT"/>
    <s v="AND-MT 便携式双喷扩香仪 薄荷绿色"/>
    <s v="AND"/>
    <n v="2"/>
    <x v="61"/>
  </r>
  <r>
    <n v="74"/>
    <m/>
    <s v="W04005"/>
    <x v="24"/>
    <s v="A-US"/>
    <s v="美国"/>
    <s v="ANZKIT-B_HILTON30ML"/>
    <n v="120"/>
    <x v="0"/>
    <s v="盐田海卡"/>
    <s v="TCY2"/>
    <s v="ANZKIT-B_HILTON30ML"/>
    <s v="ANZKIT-B_HILTON30ML ANZ黑色机器+30mL希尔顿酒店香氛油（天竺） 机油套装"/>
    <s v="ANZ"/>
    <n v="4"/>
    <x v="62"/>
  </r>
  <r>
    <n v="75"/>
    <m/>
    <s v="W04004"/>
    <x v="25"/>
    <s v="V-CA"/>
    <s v="加拿大"/>
    <s v="001000019"/>
    <n v="240"/>
    <x v="2"/>
    <s v="加拿大海卡"/>
    <s v="YOW3"/>
    <s v="AN6-B"/>
    <s v="AN6-B 便携式扩香仪 黑色"/>
    <s v="AN6"/>
    <n v="6"/>
    <x v="63"/>
  </r>
  <r>
    <n v="76"/>
    <m/>
    <s v="买单报关"/>
    <x v="26"/>
    <s v="V-US"/>
    <s v="美国"/>
    <s v="006000024"/>
    <n v="720"/>
    <x v="1"/>
    <s v="盐田海卡"/>
    <s v="TCY1"/>
    <s v="A-RZ3-100"/>
    <s v="A-Ritz Carlton Hotel 3-100 丽思卡尔顿酒店3香氛油100mL"/>
    <s v="Oil-HQ"/>
    <n v="8"/>
    <x v="64"/>
  </r>
  <r>
    <n v="77"/>
    <m/>
    <s v="W04002"/>
    <x v="27"/>
    <s v="V-US"/>
    <s v="美国"/>
    <s v="006000024"/>
    <n v="1890"/>
    <x v="3"/>
    <s v="盐田海卡"/>
    <s v="GEU3"/>
    <s v="A-RZ3-100"/>
    <s v="A-Ritz Carlton Hotel 3-100 丽思卡尔顿酒店3香氛油100mL"/>
    <s v="Oil-HQ"/>
    <n v="21"/>
    <x v="65"/>
  </r>
  <r>
    <n v="78"/>
    <m/>
    <s v="W04002"/>
    <x v="27"/>
    <s v="V-US"/>
    <s v="美国"/>
    <s v="RZ-500ML"/>
    <n v="100"/>
    <x v="3"/>
    <s v="盐田海卡"/>
    <s v="GEU3"/>
    <s v="RZ-500ML"/>
    <s v="RZ-500ML 丽思卡尔顿酒店3香氛油500mL"/>
    <s v="Oil-HQ"/>
    <n v="5"/>
    <x v="66"/>
  </r>
  <r>
    <n v="79"/>
    <m/>
    <s v="W04002"/>
    <x v="28"/>
    <s v="E-US"/>
    <s v="美国"/>
    <s v="HOTEL6KIT1-6X10K01"/>
    <n v="304"/>
    <x v="3"/>
    <s v="盐田海卡"/>
    <s v="GEU3"/>
    <s v="HOTEL6KIT1-6X10K01"/>
    <s v="HOTEL6KIT1-6X10K01 酒店香氛油6款10mL套装"/>
    <s v="Oil-HQ"/>
    <n v="4"/>
    <x v="67"/>
  </r>
  <r>
    <n v="80"/>
    <m/>
    <s v="W04002"/>
    <x v="28"/>
    <s v="E-US"/>
    <s v="美国"/>
    <s v="JY-100ML"/>
    <n v="180"/>
    <x v="3"/>
    <s v="盐田海卡"/>
    <s v="GEU3"/>
    <s v="A-JY-100"/>
    <s v="A-Grand Hyatt Hotel-100 君悦酒店香氛油100mL"/>
    <s v="Oil-HQ"/>
    <n v="2"/>
    <x v="68"/>
  </r>
  <r>
    <n v="81"/>
    <m/>
    <s v="买单报关"/>
    <x v="29"/>
    <s v="V-US"/>
    <s v="美国"/>
    <s v="HILTON1-100ML_TZ"/>
    <n v="576"/>
    <x v="1"/>
    <s v="盐田海卡"/>
    <s v="GEU3"/>
    <s v="HILTON1-100ML_TZ"/>
    <s v="HILTON1-100ML_TZ 希尔顿酒店100mL香氛油（天竺） 销售包装"/>
    <s v="Oil-TZ"/>
    <n v="9"/>
    <x v="69"/>
  </r>
  <r>
    <n v="82"/>
    <m/>
    <s v="W04001"/>
    <x v="30"/>
    <s v="E-US"/>
    <s v="美国"/>
    <s v="BCRT1-100ML_TZ"/>
    <n v="384"/>
    <x v="1"/>
    <s v="盐田海卡"/>
    <s v="TCY1"/>
    <s v="BCRT1-100ML_TZ"/>
    <s v="BCRT1-100ML_TZ 巴卡拉酒店100mL香氛油（天竺） 销售包装"/>
    <s v="Oil-TZ"/>
    <n v="6"/>
    <x v="70"/>
  </r>
  <r>
    <n v="83"/>
    <m/>
    <s v="W04001"/>
    <x v="30"/>
    <s v="E-US"/>
    <s v="美国"/>
    <s v="SJ1-100ML_TZ"/>
    <n v="576"/>
    <x v="1"/>
    <s v="盐田海卡"/>
    <s v="TCY1"/>
    <s v="SJ1-100ML_TZ"/>
    <s v="SJ1-100ML_TZ 四季酒店100mL香氛油（天竺） 销售包装"/>
    <s v="Oil-TZ"/>
    <n v="9"/>
    <x v="71"/>
  </r>
  <r>
    <n v="84"/>
    <m/>
    <s v="W04001"/>
    <x v="30"/>
    <s v="E-US"/>
    <s v="美国"/>
    <s v="W1-100ML_TZ"/>
    <n v="256"/>
    <x v="1"/>
    <s v="盐田海卡"/>
    <s v="TCY1"/>
    <s v="W1-100ML_TZ"/>
    <s v="W1-100ML_TZ W酒店100mL香氛油（天竺） 销售包装"/>
    <s v="Oil-TZ"/>
    <n v="4"/>
    <x v="72"/>
  </r>
  <r>
    <n v="85"/>
    <m/>
    <s v="W04003"/>
    <x v="31"/>
    <s v="W-US"/>
    <s v="美国"/>
    <s v="G1-B"/>
    <n v="1088"/>
    <x v="2"/>
    <s v="盐田海卡"/>
    <s v="TCY1"/>
    <s v="G1-B"/>
    <s v="G1-B 电子球形把手锁 黑色"/>
    <s v="G1"/>
    <n v="68"/>
    <x v="73"/>
  </r>
  <r>
    <n v="86"/>
    <m/>
    <s v="W04003"/>
    <x v="31"/>
    <s v="W-US"/>
    <s v="美国"/>
    <s v="G1-DT"/>
    <n v="160"/>
    <x v="2"/>
    <s v="盐田海卡"/>
    <s v="TCY1"/>
    <s v="G1-DT"/>
    <s v="G1-DT 电子球形把手锁 沙漠钛色"/>
    <s v="G1"/>
    <n v="10"/>
    <x v="74"/>
  </r>
  <r>
    <n v="87"/>
    <m/>
    <s v="W04003"/>
    <x v="31"/>
    <s v="W-US"/>
    <s v="美国"/>
    <s v="G1-SILV"/>
    <n v="160"/>
    <x v="2"/>
    <s v="盐田海卡"/>
    <s v="TCY1"/>
    <s v="G1-SILV"/>
    <s v="G1-SILV 电子球形把手锁 银色"/>
    <s v="G1"/>
    <n v="10"/>
    <x v="74"/>
  </r>
  <r>
    <n v="88"/>
    <m/>
    <s v="W04004"/>
    <x v="32"/>
    <s v="A-CA"/>
    <s v="加拿大"/>
    <s v="002000020"/>
    <n v="228"/>
    <x v="2"/>
    <s v="加拿大海卡"/>
    <s v="YHM1"/>
    <s v="H2-B"/>
    <s v="H2-B 电子指纹球形把手锁-黑色"/>
    <s v="H2"/>
    <n v="19"/>
    <x v="75"/>
  </r>
  <r>
    <n v="89"/>
    <m/>
    <s v="W04004"/>
    <x v="32"/>
    <s v="A-CA"/>
    <s v="加拿大"/>
    <s v="002000023"/>
    <n v="120"/>
    <x v="2"/>
    <s v="加拿大海卡"/>
    <s v="YHM1"/>
    <s v="H2-SILV"/>
    <s v="H2-SILV 电子指纹球形把手锁-银色"/>
    <s v="H2"/>
    <n v="10"/>
    <x v="76"/>
  </r>
  <r>
    <n v="90"/>
    <m/>
    <s v="W05002"/>
    <x v="33"/>
    <s v="E-UK"/>
    <s v="英国"/>
    <s v="001000019"/>
    <n v="440"/>
    <x v="2"/>
    <s v="英国海卡"/>
    <s v="BHX4"/>
    <s v="AN6-B"/>
    <s v="AN6-B 便携式扩香仪 黑色"/>
    <s v="AN6"/>
    <n v="11"/>
    <x v="77"/>
  </r>
  <r>
    <n v="91"/>
    <m/>
    <s v="W05002"/>
    <x v="33"/>
    <s v="E-UK"/>
    <s v="英国"/>
    <s v="001000039"/>
    <n v="120"/>
    <x v="2"/>
    <s v="英国海卡"/>
    <s v="BHX4"/>
    <s v="AN6-GL"/>
    <s v="AN6-GL 便携式扩香仪 翠百合色"/>
    <s v="AN6"/>
    <n v="3"/>
    <x v="78"/>
  </r>
  <r>
    <n v="92"/>
    <m/>
    <s v="W05002"/>
    <x v="33"/>
    <s v="E-UK"/>
    <s v="英国"/>
    <s v="001000020"/>
    <n v="320"/>
    <x v="2"/>
    <s v="英国海卡"/>
    <s v="BHX4"/>
    <s v="AN6-W"/>
    <s v="AN6-W 便携式扩香仪 白色"/>
    <s v="AN6"/>
    <n v="8"/>
    <x v="79"/>
  </r>
  <r>
    <n v="93"/>
    <m/>
    <s v="W05002"/>
    <x v="33"/>
    <s v="E-UK"/>
    <s v="英国"/>
    <s v="001000045"/>
    <n v="180"/>
    <x v="2"/>
    <s v="英国海卡"/>
    <s v="BHX4"/>
    <s v="ANX-B"/>
    <s v="ANX-B 便携式扩香仪 黑色"/>
    <s v="ANX"/>
    <n v="6"/>
    <x v="80"/>
  </r>
  <r>
    <n v="94"/>
    <m/>
    <s v="W05002"/>
    <x v="33"/>
    <s v="E-UK"/>
    <s v="英国"/>
    <s v="001000052"/>
    <n v="60"/>
    <x v="2"/>
    <s v="英国海卡"/>
    <s v="BHX4"/>
    <s v="ANX-DT"/>
    <s v="ANX-DT 便携式扩香仪 沙漠钛色"/>
    <s v="ANX"/>
    <n v="2"/>
    <x v="81"/>
  </r>
  <r>
    <n v="95"/>
    <m/>
    <s v="W05012"/>
    <x v="34"/>
    <s v="V-US"/>
    <s v="美国"/>
    <s v="ADXKIT-B_4X10K04_TZ"/>
    <n v="390"/>
    <x v="2"/>
    <s v="盐田海卡"/>
    <s v="TCY2"/>
    <s v="ADXKIT-B_4X10K04_TZ"/>
    <s v="ADXKIT-B_4X10K04_TZ ADX黑色机器+4x10mL酒店（天竺）香氛油 机油套装"/>
    <s v="ADX"/>
    <n v="13"/>
    <x v="82"/>
  </r>
  <r>
    <n v="96"/>
    <m/>
    <s v="W05012"/>
    <x v="35"/>
    <s v="V-US"/>
    <s v="美国"/>
    <s v="001000019"/>
    <n v="1000"/>
    <x v="2"/>
    <s v="盐田海卡"/>
    <s v="TCY2"/>
    <s v="AN6-B"/>
    <s v="AN6-B 便携式扩香仪 黑色"/>
    <s v="AN6"/>
    <n v="25"/>
    <x v="83"/>
  </r>
  <r>
    <n v="97"/>
    <m/>
    <s v="W05012"/>
    <x v="35"/>
    <s v="V-US"/>
    <s v="美国"/>
    <s v="AN6-LV"/>
    <n v="120"/>
    <x v="2"/>
    <s v="盐田海卡"/>
    <s v="TCY2"/>
    <s v="AN6-LV"/>
    <s v="AN6-LV 便携式扩香仪 薰衣草"/>
    <s v="AN6"/>
    <n v="3"/>
    <x v="84"/>
  </r>
  <r>
    <n v="98"/>
    <m/>
    <s v="W05012"/>
    <x v="35"/>
    <s v="V-US"/>
    <s v="美国"/>
    <s v="001000021"/>
    <n v="200"/>
    <x v="2"/>
    <s v="盐田海卡"/>
    <s v="TCY2"/>
    <s v="AN6NZ-B"/>
    <s v="AN6NZ-B AN6喷嘴配件套装 黑色"/>
    <s v="AN6-AC"/>
    <n v="1"/>
    <x v="85"/>
  </r>
  <r>
    <n v="99"/>
    <m/>
    <s v="W05012"/>
    <x v="36"/>
    <s v="E-US"/>
    <s v="美国"/>
    <s v="ANXKIT-B_4X10K04_TZ"/>
    <n v="300"/>
    <x v="2"/>
    <s v="盐田海卡"/>
    <s v="TCY1"/>
    <s v="ANXKIT-B_4X10K04_TZ"/>
    <s v="ANXKIT-B_4X10K04_TZ ANX黑色机器+4x10mL酒店（天竺）香氛油 机油套装"/>
    <s v="ANX"/>
    <n v="10"/>
    <x v="86"/>
  </r>
  <r>
    <n v="100"/>
    <m/>
    <s v="W05012"/>
    <x v="36"/>
    <s v="E-US"/>
    <s v="美国"/>
    <s v="ANXKIT-T_4X10K04_TZ"/>
    <n v="180"/>
    <x v="2"/>
    <s v="盐田海卡"/>
    <s v="TCY1"/>
    <s v="ANXKIT-T_4X10K04_TZ"/>
    <s v="ANXKIT-T_4X10K04_TZ ANX钛色机器+4x10mL酒店（天竺）香氛油 机油套装"/>
    <s v="ANX"/>
    <n v="6"/>
    <x v="87"/>
  </r>
  <r>
    <n v="101"/>
    <m/>
    <s v="W05012"/>
    <x v="36"/>
    <s v="E-US"/>
    <s v="美国"/>
    <s v="ANZKIT-B_4X10K04_TZ"/>
    <n v="600"/>
    <x v="2"/>
    <s v="盐田海卡"/>
    <s v="TCY1"/>
    <s v="ANZKIT-B_4X10K04_TZ"/>
    <s v="ANZKIT-B_4X10K04_TZ ANZ黑色机器+4x10mL酒店（天竺）香氛油 机油套装"/>
    <s v="ANZ"/>
    <n v="20"/>
    <x v="88"/>
  </r>
  <r>
    <n v="102"/>
    <m/>
    <s v="W05012"/>
    <x v="37"/>
    <s v="E-US"/>
    <s v="美国"/>
    <s v="001000045"/>
    <n v="510"/>
    <x v="2"/>
    <s v="盐田海卡"/>
    <s v="TCY1"/>
    <s v="ANX-B"/>
    <s v="ANX-B 便携式扩香仪 黑色"/>
    <s v="ANX"/>
    <n v="17"/>
    <x v="89"/>
  </r>
  <r>
    <n v="103"/>
    <m/>
    <s v="W05012"/>
    <x v="37"/>
    <s v="E-US"/>
    <s v="美国"/>
    <s v="001000050"/>
    <n v="90"/>
    <x v="2"/>
    <s v="盐田海卡"/>
    <s v="TCY1"/>
    <s v="ANX-RP"/>
    <s v="ANX-RP 便携式扩香仪 红粉色"/>
    <s v="ANX"/>
    <n v="3"/>
    <x v="90"/>
  </r>
  <r>
    <n v="104"/>
    <m/>
    <s v="W05012"/>
    <x v="37"/>
    <s v="E-US"/>
    <s v="美国"/>
    <s v="ANZ-B"/>
    <n v="1000"/>
    <x v="2"/>
    <s v="盐田海卡"/>
    <s v="TCY1"/>
    <s v="ANZ-B"/>
    <s v="ANZ-B 便携式扩香仪 黑色"/>
    <s v="ANZ"/>
    <n v="25"/>
    <x v="91"/>
  </r>
  <r>
    <n v="105"/>
    <m/>
    <s v="W05012"/>
    <x v="37"/>
    <s v="E-US"/>
    <s v="美国"/>
    <s v="ANZ-WH"/>
    <n v="400"/>
    <x v="2"/>
    <s v="盐田海卡"/>
    <s v="TCY1"/>
    <s v="ANZ-WH"/>
    <s v="ANZ-WH 便携式扩香仪 白色"/>
    <s v="ANZ"/>
    <n v="10"/>
    <x v="92"/>
  </r>
  <r>
    <n v="106"/>
    <m/>
    <s v="W05004"/>
    <x v="38"/>
    <s v="E-AU"/>
    <s v="澳洲"/>
    <s v="AND-B"/>
    <n v="30"/>
    <x v="4"/>
    <s v="澳洲海卡"/>
    <s v="BWU2"/>
    <s v="AND-B"/>
    <s v="AND-B 便携式双喷扩香仪 黑色"/>
    <s v="AND"/>
    <n v="1"/>
    <x v="93"/>
  </r>
  <r>
    <n v="107"/>
    <m/>
    <s v="W05004"/>
    <x v="38"/>
    <s v="E-AU"/>
    <s v="澳洲"/>
    <s v="001000045"/>
    <n v="120"/>
    <x v="4"/>
    <s v="澳洲海卡"/>
    <s v="BWU2"/>
    <s v="ANX-B"/>
    <s v="ANX-B 便携式扩香仪 黑色"/>
    <s v="ANX"/>
    <n v="4"/>
    <x v="94"/>
  </r>
  <r>
    <n v="108"/>
    <m/>
    <s v="W05004"/>
    <x v="38"/>
    <s v="E-AU"/>
    <s v="澳洲"/>
    <s v="001000052"/>
    <n v="60"/>
    <x v="4"/>
    <s v="澳洲海卡"/>
    <s v="BWU2"/>
    <s v="ANX-DT"/>
    <s v="ANX-DT 便携式扩香仪 沙漠钛色"/>
    <s v="ANX"/>
    <n v="2"/>
    <x v="95"/>
  </r>
  <r>
    <n v="109"/>
    <m/>
    <s v="W05004"/>
    <x v="38"/>
    <s v="E-AU"/>
    <s v="澳洲"/>
    <s v="001000049"/>
    <n v="60"/>
    <x v="4"/>
    <s v="澳洲海卡"/>
    <s v="BWU2"/>
    <s v="ANX-IB"/>
    <s v="ANX-IB 便携式扩香仪 冰蓝色"/>
    <s v="ANX"/>
    <n v="2"/>
    <x v="95"/>
  </r>
  <r>
    <n v="110"/>
    <m/>
    <s v="W05004"/>
    <x v="38"/>
    <s v="E-AU"/>
    <s v="澳洲"/>
    <s v="001000050"/>
    <n v="60"/>
    <x v="4"/>
    <s v="澳洲海卡"/>
    <s v="BWU2"/>
    <s v="ANX-RP"/>
    <s v="ANX-RP 便携式扩香仪 红粉色"/>
    <s v="ANX"/>
    <n v="2"/>
    <x v="95"/>
  </r>
  <r>
    <n v="111"/>
    <m/>
    <s v="W05012"/>
    <x v="37"/>
    <s v="E-US"/>
    <s v="美国"/>
    <s v="003000007"/>
    <n v="180"/>
    <x v="2"/>
    <s v="盐田海卡"/>
    <s v="TCY1"/>
    <s v="AP2F-H14"/>
    <s v="AP2F-H14 空气净化器滤网2-H14"/>
    <s v="AP2F"/>
    <n v="5"/>
    <x v="96"/>
  </r>
  <r>
    <n v="112"/>
    <m/>
    <s v="W05012"/>
    <x v="37"/>
    <s v="E-US"/>
    <s v="美国"/>
    <s v="003000007"/>
    <n v="72"/>
    <x v="2"/>
    <s v="盐田海卡"/>
    <s v="TCY1"/>
    <s v="AP2F-H14"/>
    <s v="AP2F-H14 空气净化器滤网2-H14"/>
    <s v="AP2F"/>
    <n v="2"/>
    <x v="97"/>
  </r>
  <r>
    <n v="113"/>
    <m/>
    <s v="W05012"/>
    <x v="37"/>
    <s v="E-US"/>
    <s v="美国"/>
    <s v="003000005"/>
    <n v="252"/>
    <x v="2"/>
    <s v="盐田海卡"/>
    <s v="TCY1"/>
    <s v="AP2F-H13"/>
    <s v="AP2F-H13 空气净化器滤网2-H13"/>
    <s v="AP2F"/>
    <n v="7"/>
    <x v="98"/>
  </r>
  <r>
    <n v="114"/>
    <m/>
    <s v="W05013"/>
    <x v="39"/>
    <s v="V-US"/>
    <s v="美国"/>
    <s v="AN6KIT-B_4X10K04_TZ"/>
    <n v="840"/>
    <x v="0"/>
    <s v="盐田海卡"/>
    <s v="MIT2"/>
    <s v="AN6KIT-B_4X10K04_TZ"/>
    <s v="AN6KIT-B_4X10K04_TZ AN6黑色机器+4x10mL酒店（天竺）香氛油 机油套装"/>
    <s v="AN6"/>
    <n v="28"/>
    <x v="99"/>
  </r>
  <r>
    <n v="115"/>
    <m/>
    <s v="W05013"/>
    <x v="39"/>
    <s v="V-US"/>
    <s v="美国"/>
    <s v="AN6KIT-WH_4X10K04_TZ"/>
    <n v="480"/>
    <x v="0"/>
    <s v="盐田海卡"/>
    <s v="MIT2"/>
    <s v="AN6KIT-WH_4X10K04_TZ"/>
    <s v="AN6KIT-WH_4X10K04_TZ AN6白色机器+4x10mL酒店（天竺）香氛油 机油套装"/>
    <s v="AN6"/>
    <n v="16"/>
    <x v="100"/>
  </r>
  <r>
    <n v="116"/>
    <m/>
    <s v="W05013"/>
    <x v="40"/>
    <s v="V-US"/>
    <s v="美国"/>
    <s v="001000033"/>
    <n v="1344"/>
    <x v="0"/>
    <s v="盐田海卡"/>
    <s v="TCY2"/>
    <s v="ANW-W"/>
    <s v="ANW-W 智能扩香仪 白色"/>
    <s v="ANW"/>
    <n v="112"/>
    <x v="101"/>
  </r>
  <r>
    <n v="117"/>
    <m/>
    <s v="W05013"/>
    <x v="41"/>
    <s v="V-US"/>
    <s v="美国"/>
    <s v="ANAKIT-B_US_2X100K03"/>
    <n v="240"/>
    <x v="0"/>
    <s v="盐田海卡"/>
    <s v="TCY2"/>
    <s v="ANAKIT-B_US_2X100K03"/>
    <s v="ANAKIT-B_US_2X100K03 ANA黑色机器+2X100mL酒店香氛油（天竺） 机油套装"/>
    <s v="ANA"/>
    <n v="20"/>
    <x v="102"/>
  </r>
  <r>
    <n v="118"/>
    <m/>
    <s v="W05013"/>
    <x v="41"/>
    <s v="V-US"/>
    <s v="美国"/>
    <s v="ANAKIT-WH_US_2X100K03"/>
    <n v="168"/>
    <x v="0"/>
    <s v="盐田海卡"/>
    <s v="TCY2"/>
    <s v="ANAKIT-WH_US_2X100K03"/>
    <s v="ANAKIT-WH_US_2X100K03 ANA白色机器+2X100mL酒店香氛油（天竺） 机油套装"/>
    <s v="ANA"/>
    <n v="14"/>
    <x v="103"/>
  </r>
  <r>
    <n v="119"/>
    <m/>
    <s v="W05003"/>
    <x v="42"/>
    <s v="W-CA"/>
    <s v="加拿大"/>
    <s v="007000001"/>
    <n v="64"/>
    <x v="2"/>
    <s v="加拿大海卡"/>
    <s v="YHM1"/>
    <s v="X1-B"/>
    <s v="X1-B 智能入户门锁 黑色"/>
    <s v="X1"/>
    <n v="4"/>
    <x v="104"/>
  </r>
  <r>
    <n v="120"/>
    <m/>
    <s v="W05012"/>
    <x v="43"/>
    <s v="W-US"/>
    <s v="美国"/>
    <s v="007000001"/>
    <n v="816"/>
    <x v="2"/>
    <s v="盐田海卡"/>
    <s v="TCY2"/>
    <s v="X1-B"/>
    <s v="X1-B 智能入户门锁 黑色"/>
    <s v="X1"/>
    <n v="51"/>
    <x v="105"/>
  </r>
  <r>
    <n v="121"/>
    <m/>
    <s v="W05012"/>
    <x v="43"/>
    <s v="W-US"/>
    <s v="美国"/>
    <s v="007000002"/>
    <n v="384"/>
    <x v="2"/>
    <s v="盐田海卡"/>
    <s v="TCY2"/>
    <s v="X1-SG"/>
    <s v="X1-SG 智能入户门锁 太空灰色"/>
    <s v="X1"/>
    <n v="24"/>
    <x v="106"/>
  </r>
  <r>
    <n v="122"/>
    <m/>
    <s v="W05012"/>
    <x v="43"/>
    <s v="W-US"/>
    <s v="美国"/>
    <s v="X3-B"/>
    <n v="96"/>
    <x v="2"/>
    <s v="盐田海卡"/>
    <s v="TCY2"/>
    <s v="X3-B"/>
    <s v="X3-B 智能入户门锁 黑色"/>
    <s v="X3"/>
    <n v="6"/>
    <x v="107"/>
  </r>
  <r>
    <n v="123"/>
    <m/>
    <s v="W05013"/>
    <x v="44"/>
    <s v="W-US"/>
    <s v="美国"/>
    <s v="002000027"/>
    <n v="80"/>
    <x v="0"/>
    <s v="盐田海卡"/>
    <s v="TCY2"/>
    <s v="M1-B"/>
    <s v="M1-B 电子球形把手锁 黑色"/>
    <s v="M1"/>
    <n v="5"/>
    <x v="108"/>
  </r>
  <r>
    <n v="124"/>
    <m/>
    <s v="W05013"/>
    <x v="44"/>
    <s v="W-US"/>
    <s v="美国"/>
    <s v="002000028"/>
    <n v="672"/>
    <x v="0"/>
    <s v="盐田海卡"/>
    <s v="TCY2"/>
    <s v="M1-T"/>
    <s v="M1-T 电子球形把手锁 钛灰色"/>
    <s v="M1"/>
    <n v="42"/>
    <x v="109"/>
  </r>
  <r>
    <n v="125"/>
    <m/>
    <s v="W05013"/>
    <x v="44"/>
    <s v="W-US"/>
    <s v="美国"/>
    <s v="002000029"/>
    <n v="592"/>
    <x v="0"/>
    <s v="盐田海卡"/>
    <s v="TCY2"/>
    <s v="MD1-B"/>
    <s v="MD1-B 电子球形把手锁 指纹 黑色"/>
    <s v="MD1"/>
    <n v="37"/>
    <x v="110"/>
  </r>
  <r>
    <n v="126"/>
    <m/>
    <s v="W05013"/>
    <x v="44"/>
    <s v="W-US"/>
    <s v="美国"/>
    <s v="002000038"/>
    <n v="240"/>
    <x v="0"/>
    <s v="盐田海卡"/>
    <s v="TCY2"/>
    <s v="MD1-SILV"/>
    <s v="MD1-SILV 电子球形把手锁 指纹 银色"/>
    <s v="MD1"/>
    <n v="15"/>
    <x v="111"/>
  </r>
  <r>
    <n v="127"/>
    <m/>
    <s v="W05013"/>
    <x v="44"/>
    <s v="W-US"/>
    <s v="美国"/>
    <s v="002000030"/>
    <n v="272"/>
    <x v="0"/>
    <s v="盐田海卡"/>
    <s v="TCY2"/>
    <s v="MD1-T"/>
    <s v="MD1-T 电子球形把手锁 指纹 钛灰色"/>
    <s v="MD1"/>
    <n v="17"/>
    <x v="112"/>
  </r>
  <r>
    <n v="128"/>
    <m/>
    <s v="W05013"/>
    <x v="44"/>
    <s v="W-US"/>
    <s v="美国"/>
    <s v="002000031"/>
    <n v="16"/>
    <x v="0"/>
    <s v="盐田海卡"/>
    <s v="TCY2"/>
    <s v="MK1-B"/>
    <s v="MK1-B 智能球形把手锁 黑色"/>
    <s v="MK1"/>
    <n v="1"/>
    <x v="113"/>
  </r>
  <r>
    <n v="129"/>
    <m/>
    <s v="W05013"/>
    <x v="44"/>
    <s v="W-US"/>
    <s v="美国"/>
    <s v="002000033"/>
    <n v="80"/>
    <x v="0"/>
    <s v="盐田海卡"/>
    <s v="TCY2"/>
    <s v="MK1-SILV"/>
    <s v="MK1-SILV 智能球形把手锁 银色"/>
    <s v="MK1"/>
    <n v="5"/>
    <x v="108"/>
  </r>
  <r>
    <n v="130"/>
    <m/>
    <s v="W05013"/>
    <x v="44"/>
    <s v="W-US"/>
    <s v="美国"/>
    <s v="002000032"/>
    <n v="64"/>
    <x v="0"/>
    <s v="盐田海卡"/>
    <s v="TCY2"/>
    <s v="MK1-T"/>
    <s v="MK1-T 智能球形把手锁 钛色"/>
    <s v="MK1"/>
    <n v="4"/>
    <x v="114"/>
  </r>
  <r>
    <n v="131"/>
    <m/>
    <s v="W05005"/>
    <x v="45"/>
    <s v="V-US"/>
    <s v="美国"/>
    <s v="006000024"/>
    <n v="450"/>
    <x v="1"/>
    <s v="盐田海卡"/>
    <s v="TCY2"/>
    <s v="A-RZ3-100"/>
    <s v="A-Ritz Carlton Hotel 3-100 丽思卡尔顿酒店3香氛油100mL"/>
    <s v="Oil-HQ"/>
    <n v="5"/>
    <x v="115"/>
  </r>
  <r>
    <n v="132"/>
    <m/>
    <s v="W05005"/>
    <x v="45"/>
    <s v="V-US"/>
    <s v="美国"/>
    <s v="RZ-500ML"/>
    <n v="120"/>
    <x v="1"/>
    <s v="盐田海卡"/>
    <s v="TCY2"/>
    <s v="RZ-500ML"/>
    <s v="RZ-500ML 丽思卡尔顿酒店3香氛油500mL"/>
    <s v="Oil-HQ"/>
    <n v="6"/>
    <x v="116"/>
  </r>
  <r>
    <n v="133"/>
    <m/>
    <s v="W05006"/>
    <x v="46"/>
    <s v="E-US"/>
    <s v="美国"/>
    <s v="BLG1-100ML"/>
    <n v="360"/>
    <x v="3"/>
    <s v="盐田海卡"/>
    <s v="GEU5"/>
    <s v="BLG1-100ML"/>
    <s v="BLG1-100ML 百乐宫酒店香氛油100mL"/>
    <s v="Oil-HQ"/>
    <n v="4"/>
    <x v="117"/>
  </r>
  <r>
    <n v="134"/>
    <m/>
    <s v="W05006"/>
    <x v="46"/>
    <s v="E-US"/>
    <s v="美国"/>
    <s v="HOTEL6KIT1-6X10K01"/>
    <n v="608"/>
    <x v="3"/>
    <s v="盐田海卡"/>
    <s v="GEU5"/>
    <s v="HOTEL6KIT1-6X10K01"/>
    <s v="HOTEL6KIT1-6X10K01 酒店香氛油6款10mL套装"/>
    <s v="Oil-HQ"/>
    <n v="8"/>
    <x v="118"/>
  </r>
  <r>
    <n v="135"/>
    <m/>
    <s v="买单报关"/>
    <x v="47"/>
    <s v="E-US"/>
    <s v="美国"/>
    <s v="006000026"/>
    <n v="270"/>
    <x v="3"/>
    <s v="盐田海卡"/>
    <s v="GEU5"/>
    <s v="A-MT-100"/>
    <s v="A-Marriott Hotel 1-100 万豪酒店1香氛油100mL"/>
    <s v="Oil-HQ"/>
    <n v="3"/>
    <x v="119"/>
  </r>
  <r>
    <n v="136"/>
    <m/>
    <s v="买单报关"/>
    <x v="47"/>
    <s v="E-US"/>
    <s v="美国"/>
    <s v="W-100ML"/>
    <n v="90"/>
    <x v="3"/>
    <s v="盐田海卡"/>
    <s v="GEU5"/>
    <s v="A-WHOTEL-100"/>
    <s v="A-W Hotel-100 W酒店香氛油100mL"/>
    <s v="Oil-HQ"/>
    <n v="1"/>
    <x v="120"/>
  </r>
  <r>
    <n v="137"/>
    <m/>
    <s v="买单报关"/>
    <x v="47"/>
    <s v="E-US"/>
    <s v="美国"/>
    <s v="WST1-100ML"/>
    <n v="180"/>
    <x v="3"/>
    <s v="盐田海卡"/>
    <s v="GEU5"/>
    <s v="WST1-100ML"/>
    <s v="WST1-100ML 威斯汀2酒店香氛油100mL"/>
    <s v="Oil-HQ"/>
    <n v="2"/>
    <x v="121"/>
  </r>
  <r>
    <n v="138"/>
    <m/>
    <s v="W05011"/>
    <x v="48"/>
    <s v="E-US"/>
    <s v="美国"/>
    <s v="W1-100ML_TZ"/>
    <n v="192"/>
    <x v="1"/>
    <s v="盐田海卡"/>
    <s v="TCY1"/>
    <s v="W1-100ML_TZ"/>
    <s v="W1-100ML_TZ W酒店100mL香氛油（天竺） 销售包装"/>
    <s v="Oil-TZ"/>
    <n v="3"/>
    <x v="122"/>
  </r>
  <r>
    <n v="139"/>
    <m/>
    <s v="W05011"/>
    <x v="48"/>
    <s v="E-US"/>
    <s v="美国"/>
    <s v="YH1-100ML_TZ"/>
    <n v="256"/>
    <x v="1"/>
    <s v="盐田海卡"/>
    <s v="TCY1"/>
    <s v="YH1-100ML_TZ"/>
    <s v="YH1-100ML_TZ 樱花100mL香氛油（天竺）销售包装"/>
    <s v="Oil-TZ"/>
    <n v="4"/>
    <x v="123"/>
  </r>
  <r>
    <n v="140"/>
    <m/>
    <s v="W05011"/>
    <x v="49"/>
    <s v="E-US"/>
    <s v="美国"/>
    <s v="SJ1-100ML_TZ"/>
    <n v="192"/>
    <x v="1"/>
    <s v="盐田海卡"/>
    <s v="TCY1"/>
    <s v="SJ1-100ML_TZ"/>
    <s v="SJ1-100ML_TZ 四季酒店100mL香氛油（天竺） 销售包装"/>
    <s v="Oil-TZ"/>
    <n v="3"/>
    <x v="124"/>
  </r>
  <r>
    <n v="141"/>
    <m/>
    <s v="W05011"/>
    <x v="49"/>
    <s v="E-US"/>
    <s v="美国"/>
    <s v="WST1-100ML_TZ"/>
    <n v="128"/>
    <x v="1"/>
    <s v="盐田海卡"/>
    <s v="TCY1"/>
    <s v="WST1-100ML_TZ"/>
    <s v="WST1-100ML_TZ 威斯汀酒店白茶100mL香氛油（天竺） 销售包装"/>
    <s v="Oil-TZ"/>
    <n v="2"/>
    <x v="125"/>
  </r>
  <r>
    <n v="142"/>
    <m/>
    <s v="W05007"/>
    <x v="50"/>
    <s v="E-US"/>
    <s v="美国"/>
    <s v="003000009"/>
    <n v="52"/>
    <x v="2"/>
    <s v="盐田海卡"/>
    <s v="OAK3"/>
    <s v="AP2US-H13"/>
    <s v="AP2US-H13 内置H13滤网桌面式空气净化器2-美规"/>
    <s v="AP2"/>
    <n v="13"/>
    <x v="126"/>
  </r>
  <r>
    <n v="143"/>
    <m/>
    <s v="W05008"/>
    <x v="51"/>
    <s v="E-US"/>
    <s v="美国"/>
    <s v="003000009"/>
    <n v="48"/>
    <x v="2"/>
    <s v="美东海卡"/>
    <s v="ACY2"/>
    <s v="AP2US-H13"/>
    <s v="AP2US-H13 内置H13滤网桌面式空气净化器2-美规"/>
    <s v="AP2"/>
    <n v="12"/>
    <x v="127"/>
  </r>
  <r>
    <n v="144"/>
    <m/>
    <s v="W05009"/>
    <x v="52"/>
    <s v="E-US"/>
    <s v="美国"/>
    <s v="003000009"/>
    <n v="52"/>
    <x v="2"/>
    <s v="美东海卡"/>
    <s v="HSV1"/>
    <s v="AP2US-H13"/>
    <s v="AP2US-H13 内置H13滤网桌面式空气净化器2-美规"/>
    <s v="AP2"/>
    <n v="13"/>
    <x v="128"/>
  </r>
  <r>
    <n v="145"/>
    <m/>
    <s v="W05008"/>
    <x v="53"/>
    <s v="E-US"/>
    <s v="美国"/>
    <s v="003000009"/>
    <n v="52"/>
    <x v="2"/>
    <s v="美东海卡"/>
    <s v="MDT1"/>
    <s v="AP2US-H13"/>
    <s v="AP2US-H13 内置H13滤网桌面式空气净化器2-美规"/>
    <s v="AP2"/>
    <n v="13"/>
    <x v="128"/>
  </r>
  <r>
    <n v="146"/>
    <m/>
    <s v="W05010"/>
    <x v="54"/>
    <s v="E-US"/>
    <s v="美国"/>
    <s v="003000009"/>
    <n v="52"/>
    <x v="2"/>
    <s v="美中海卡"/>
    <s v="FOE1"/>
    <s v="AP2US-H13"/>
    <s v="AP2US-H13 内置H13滤网桌面式空气净化器2-美规"/>
    <s v="AP2"/>
    <n v="13"/>
    <x v="126"/>
  </r>
  <r>
    <n v="147"/>
    <m/>
    <s v="W06002"/>
    <x v="55"/>
    <s v="E-US"/>
    <s v="美国"/>
    <s v="001000045"/>
    <n v="600"/>
    <x v="2"/>
    <s v="盐田海卡"/>
    <s v="TCY1"/>
    <s v="ANX-B"/>
    <s v="ANX-B 便携式扩香仪 黑色"/>
    <s v="ANX"/>
    <n v="20"/>
    <x v="129"/>
  </r>
  <r>
    <n v="148"/>
    <m/>
    <s v="W06002"/>
    <x v="55"/>
    <s v="E-US"/>
    <s v="美国"/>
    <s v="001000049"/>
    <n v="180"/>
    <x v="2"/>
    <s v="盐田海卡"/>
    <s v="TCY1"/>
    <s v="ANX-IB"/>
    <s v="ANX-IB 便携式扩香仪 冰蓝色"/>
    <s v="ANX"/>
    <n v="6"/>
    <x v="130"/>
  </r>
  <r>
    <n v="149"/>
    <m/>
    <s v="W06002"/>
    <x v="55"/>
    <s v="E-US"/>
    <s v="美国"/>
    <s v="001000046"/>
    <n v="90"/>
    <x v="2"/>
    <s v="盐田海卡"/>
    <s v="TCY1"/>
    <s v="ANX-SILV"/>
    <s v="ANX-SILV 便携式扩香仪 银色"/>
    <s v="ANX"/>
    <n v="3"/>
    <x v="131"/>
  </r>
  <r>
    <n v="150"/>
    <m/>
    <s v="W06002"/>
    <x v="55"/>
    <s v="E-US"/>
    <s v="美国"/>
    <s v="001000052"/>
    <n v="330"/>
    <x v="2"/>
    <s v="盐田海卡"/>
    <s v="TCY1"/>
    <s v="ANX-DT"/>
    <s v="ANX-DT 便携式扩香仪 沙漠钛色"/>
    <s v="ANX"/>
    <n v="11"/>
    <x v="132"/>
  </r>
  <r>
    <n v="151"/>
    <m/>
    <s v="W06002"/>
    <x v="55"/>
    <s v="E-US"/>
    <s v="美国"/>
    <s v="ANZ-WH"/>
    <n v="680"/>
    <x v="2"/>
    <s v="盐田海卡"/>
    <s v="TCY1"/>
    <s v="ANZ-WH"/>
    <s v="ANZ-WH 便携式扩香仪 白色"/>
    <s v="ANZ"/>
    <n v="17"/>
    <x v="133"/>
  </r>
  <r>
    <n v="152"/>
    <m/>
    <s v="W06002"/>
    <x v="56"/>
    <s v="E-US"/>
    <s v="美国"/>
    <s v="ANXKIT-B_4X10ML"/>
    <n v="90"/>
    <x v="2"/>
    <s v="盐田海卡"/>
    <s v="HLI2"/>
    <s v="ANXKIT-B_4X10ML"/>
    <s v="ANXKIT-B_4X10ML ANX黑色机器+4x10mL香氛油（天竺） 机油套装"/>
    <s v="ANX"/>
    <n v="3"/>
    <x v="134"/>
  </r>
  <r>
    <n v="153"/>
    <m/>
    <s v="W06002"/>
    <x v="56"/>
    <s v="E-US"/>
    <s v="美国"/>
    <s v="ANZKIT-B_4X10K04_TZ"/>
    <n v="210"/>
    <x v="2"/>
    <s v="盐田海卡"/>
    <s v="HLI2"/>
    <s v="ANZKIT-B_4X10K04_TZ"/>
    <s v="ANZKIT-B_4X10K04_TZ ANZ黑色机器+4x10mL酒店（天竺）香氛油 机油套装"/>
    <s v="ANZ"/>
    <n v="7"/>
    <x v="135"/>
  </r>
  <r>
    <n v="154"/>
    <m/>
    <s v="W06003"/>
    <x v="57"/>
    <s v="W-DE"/>
    <s v="德国"/>
    <s v="001000019"/>
    <n v="120"/>
    <x v="2"/>
    <s v="欧洲海卡"/>
    <s v="DTM9"/>
    <s v="AN6-B"/>
    <s v="AN6-B 便携式扩香仪 黑色"/>
    <s v="AN6"/>
    <n v="3"/>
    <x v="136"/>
  </r>
  <r>
    <n v="155"/>
    <m/>
    <s v="W06003"/>
    <x v="57"/>
    <s v="W-DE"/>
    <s v="德国"/>
    <s v="001000039"/>
    <n v="200"/>
    <x v="2"/>
    <s v="欧洲海卡"/>
    <s v="DTM9"/>
    <s v="AN6-GL"/>
    <s v="AN6-GL 便携式扩香仪 翠百合色"/>
    <s v="AN6"/>
    <n v="5"/>
    <x v="137"/>
  </r>
  <r>
    <n v="156"/>
    <m/>
    <s v="W06003"/>
    <x v="57"/>
    <s v="W-DE"/>
    <s v="德国"/>
    <s v="001000020"/>
    <n v="200"/>
    <x v="2"/>
    <s v="欧洲海卡"/>
    <s v="DTM9"/>
    <s v="AN6-W"/>
    <s v="AN6-W 便携式扩香仪 白色"/>
    <s v="AN6"/>
    <n v="5"/>
    <x v="137"/>
  </r>
  <r>
    <n v="157"/>
    <s v="不包提货（报关费400+战争附加费120+头程费516.08）"/>
    <s v="W06001"/>
    <x v="58"/>
    <s v="E-AE"/>
    <s v="阿联酋"/>
    <s v="001000019"/>
    <n v="280"/>
    <x v="5"/>
    <s v="阿联酋海派"/>
    <s v="DXB5"/>
    <s v="AN6-B"/>
    <s v="AN6-B 便携式扩香仪 黑色"/>
    <s v="AN6"/>
    <n v="7"/>
    <x v="138"/>
  </r>
  <r>
    <n v="158"/>
    <s v="不包提货（报关费400+战争附加费120+头程费516.08）"/>
    <s v="W06001"/>
    <x v="58"/>
    <s v="E-AE"/>
    <s v="阿联酋"/>
    <s v="001000020"/>
    <n v="40"/>
    <x v="5"/>
    <s v="阿联酋海派"/>
    <s v="DXB5"/>
    <s v="AN6-W"/>
    <s v="AN6-W 便携式扩香仪 白色"/>
    <s v="AN6"/>
    <n v="1"/>
    <x v="139"/>
  </r>
  <r>
    <n v="159"/>
    <s v="不包提货（报关费400+战争附加费120+头程费516.08）"/>
    <s v="W06001"/>
    <x v="58"/>
    <s v="E-AE"/>
    <s v="阿联酋"/>
    <s v="001000045"/>
    <n v="90"/>
    <x v="5"/>
    <s v="阿联酋海派"/>
    <s v="DXB5"/>
    <s v="ANX-B"/>
    <s v="ANX-B 便携式扩香仪 黑色"/>
    <s v="ANX"/>
    <n v="3"/>
    <x v="140"/>
  </r>
  <r>
    <n v="160"/>
    <m/>
    <s v="W06002"/>
    <x v="59"/>
    <s v="V-US"/>
    <s v="美国"/>
    <s v="AN8KIT-B_B_2X30K02"/>
    <n v="60"/>
    <x v="2"/>
    <s v="盐田海卡"/>
    <s v="TCY1"/>
    <s v="AN8KIT-B_B_2X30K02"/>
    <s v="AN8KIT-B_B_2X30K02 AN8黑色机器两个装+2X30mL香氛油（天竺） 机油套装"/>
    <s v="AN8"/>
    <n v="3"/>
    <x v="141"/>
  </r>
  <r>
    <n v="161"/>
    <m/>
    <s v="W06002"/>
    <x v="59"/>
    <s v="V-US"/>
    <s v="美国"/>
    <s v="AN8KIT-B_4X10K01"/>
    <n v="300"/>
    <x v="2"/>
    <s v="盐田海卡"/>
    <s v="TCY1"/>
    <s v="AN8KIT-B_4X10K01"/>
    <s v="AN8KIT-B_4X10K01 AN8黑色机器+4x10mL酒店香氛油 机油套装"/>
    <s v="AN8"/>
    <n v="10"/>
    <x v="142"/>
  </r>
  <r>
    <n v="162"/>
    <m/>
    <s v="W06002"/>
    <x v="60"/>
    <s v="V-US"/>
    <s v="美国"/>
    <s v="AN8KIT-B_B"/>
    <n v="120"/>
    <x v="2"/>
    <s v="盐田海卡"/>
    <s v="TCY1"/>
    <s v="AN8KIT-B_B"/>
    <s v="AN8KIT-B_B 便携式扩香仪套装 黑+黑"/>
    <s v="AN8"/>
    <n v="6"/>
    <x v="143"/>
  </r>
  <r>
    <n v="163"/>
    <m/>
    <s v="W06002"/>
    <x v="60"/>
    <s v="V-US"/>
    <s v="美国"/>
    <s v="AN8-WH"/>
    <n v="240"/>
    <x v="2"/>
    <s v="盐田海卡"/>
    <s v="TCY1"/>
    <s v="AN8-WH"/>
    <s v="AN8-WH 便携式扩香仪 白色"/>
    <s v="AN8"/>
    <n v="6"/>
    <x v="143"/>
  </r>
  <r>
    <n v="164"/>
    <m/>
    <s v="W06011"/>
    <x v="61"/>
    <s v="W-US"/>
    <s v="美国"/>
    <s v="002000027"/>
    <n v="240"/>
    <x v="0"/>
    <s v="盐田海卡"/>
    <s v="POC2"/>
    <s v="M1-B"/>
    <s v="M1-B 电子球形把手锁 黑色"/>
    <s v="M1"/>
    <n v="15"/>
    <x v="144"/>
  </r>
  <r>
    <n v="165"/>
    <m/>
    <s v="W06011"/>
    <x v="61"/>
    <s v="W-US"/>
    <s v="美国"/>
    <s v="002000037"/>
    <n v="176"/>
    <x v="0"/>
    <s v="盐田海卡"/>
    <s v="POC2"/>
    <s v="M1-SILV"/>
    <s v="M1-SILV 电子球形把手锁 银色"/>
    <s v="M1"/>
    <n v="11"/>
    <x v="145"/>
  </r>
  <r>
    <n v="166"/>
    <m/>
    <s v="W06011"/>
    <x v="61"/>
    <s v="W-US"/>
    <s v="美国"/>
    <s v="002000029"/>
    <n v="304"/>
    <x v="0"/>
    <s v="盐田海卡"/>
    <s v="POC2"/>
    <s v="MD1-B"/>
    <s v="MD1-B 电子球形把手锁 指纹 黑色"/>
    <s v="MD1"/>
    <n v="19"/>
    <x v="146"/>
  </r>
  <r>
    <n v="167"/>
    <m/>
    <s v="W06011"/>
    <x v="61"/>
    <s v="W-US"/>
    <s v="美国"/>
    <s v="002000038"/>
    <n v="256"/>
    <x v="0"/>
    <s v="盐田海卡"/>
    <s v="POC2"/>
    <s v="MD1-SILV"/>
    <s v="MD1-SILV 电子球形把手锁 指纹 银色"/>
    <s v="MD1"/>
    <n v="16"/>
    <x v="147"/>
  </r>
  <r>
    <n v="168"/>
    <m/>
    <s v="W06011"/>
    <x v="61"/>
    <s v="W-US"/>
    <s v="美国"/>
    <s v="002000031"/>
    <n v="208"/>
    <x v="0"/>
    <s v="盐田海卡"/>
    <s v="POC2"/>
    <s v="MK1-B"/>
    <s v="MK1-B 智能球形把手锁 黑色"/>
    <s v="MK1"/>
    <n v="13"/>
    <x v="148"/>
  </r>
  <r>
    <n v="169"/>
    <m/>
    <s v="W06011"/>
    <x v="61"/>
    <s v="W-US"/>
    <s v="美国"/>
    <s v="002000033"/>
    <n v="32"/>
    <x v="0"/>
    <s v="盐田海卡"/>
    <s v="POC2"/>
    <s v="MK1-SILV"/>
    <s v="MK1-SILV 智能球形把手锁 银色"/>
    <s v="MK1"/>
    <n v="2"/>
    <x v="149"/>
  </r>
  <r>
    <n v="170"/>
    <m/>
    <s v="W06011"/>
    <x v="61"/>
    <s v="W-US"/>
    <s v="美国"/>
    <s v="002000032"/>
    <n v="16"/>
    <x v="0"/>
    <s v="盐田海卡"/>
    <s v="POC2"/>
    <s v="MK1-T"/>
    <s v="MK1-T 智能球形把手锁 钛色"/>
    <s v="MK1"/>
    <n v="1"/>
    <x v="150"/>
  </r>
  <r>
    <n v="171"/>
    <m/>
    <s v="W06010"/>
    <x v="62"/>
    <s v="W-US"/>
    <s v="美国"/>
    <s v="G1-DT"/>
    <n v="144"/>
    <x v="0"/>
    <s v="盐田海卡"/>
    <s v="GEU3"/>
    <s v="G1-DT"/>
    <s v="G1-DT 电子球形把手锁 沙漠钛色"/>
    <s v="G1"/>
    <n v="9"/>
    <x v="151"/>
  </r>
  <r>
    <n v="172"/>
    <m/>
    <s v="W06010"/>
    <x v="62"/>
    <s v="W-US"/>
    <s v="美国"/>
    <s v="G1-SILV"/>
    <n v="144"/>
    <x v="0"/>
    <s v="盐田海卡"/>
    <s v="GEU3"/>
    <s v="G1-SILV"/>
    <s v="G1-SILV 电子球形把手锁 银色"/>
    <s v="G1"/>
    <n v="9"/>
    <x v="151"/>
  </r>
  <r>
    <n v="173"/>
    <m/>
    <s v="W06004"/>
    <x v="63"/>
    <s v="E-US"/>
    <s v="美国"/>
    <s v="003000014"/>
    <n v="80"/>
    <x v="0"/>
    <s v="美东海卡"/>
    <s v="MGE3"/>
    <s v="AP2US-H14"/>
    <s v="AP2US-H14 内置H14滤网桌面式空气净化器2-美规"/>
    <s v="AP2"/>
    <n v="20"/>
    <x v="152"/>
  </r>
  <r>
    <n v="174"/>
    <m/>
    <s v="W06005"/>
    <x v="64"/>
    <s v="E-US"/>
    <s v="美国"/>
    <s v="003000014"/>
    <n v="80"/>
    <x v="0"/>
    <s v="盐田海卡"/>
    <s v="SWF1"/>
    <s v="AP2US-H14"/>
    <s v="AP2US-H14 内置H14滤网桌面式空气净化器2-美规"/>
    <s v="AP2"/>
    <n v="20"/>
    <x v="153"/>
  </r>
  <r>
    <n v="175"/>
    <m/>
    <s v="W06006"/>
    <x v="65"/>
    <s v="E-US"/>
    <s v="美国"/>
    <s v="003000014"/>
    <n v="80"/>
    <x v="0"/>
    <s v="美东海卡"/>
    <s v="FAT2"/>
    <s v="AP2US-H14"/>
    <s v="AP2US-H14 内置H14滤网桌面式空气净化器2-美规"/>
    <s v="AP2"/>
    <n v="20"/>
    <x v="154"/>
  </r>
  <r>
    <n v="176"/>
    <m/>
    <s v="W06007"/>
    <x v="66"/>
    <s v="E-US"/>
    <s v="美国"/>
    <s v="003000014"/>
    <n v="80"/>
    <x v="2"/>
    <s v="美中海卡"/>
    <s v="AKR1"/>
    <s v="AP2US-H14"/>
    <s v="AP2US-H14 内置H14滤网桌面式空气净化器2-美规"/>
    <s v="AP2"/>
    <n v="20"/>
    <x v="153"/>
  </r>
  <r>
    <n v="177"/>
    <m/>
    <s v="W06008"/>
    <x v="67"/>
    <s v="E-US"/>
    <s v="美国"/>
    <s v="003000014"/>
    <n v="80"/>
    <x v="0"/>
    <s v="美森海卡"/>
    <s v="LFT1"/>
    <s v="AP2US-H14"/>
    <s v="AP2US-H14 内置H14滤网桌面式空气净化器2-美规"/>
    <s v="AP2"/>
    <n v="20"/>
    <x v="153"/>
  </r>
  <r>
    <n v="178"/>
    <m/>
    <s v="W06009"/>
    <x v="68"/>
    <s v="W-US"/>
    <s v="美国"/>
    <s v="002000031"/>
    <n v="160"/>
    <x v="0"/>
    <s v="美森海卡"/>
    <s v="POC2"/>
    <s v="MK1-B"/>
    <s v="MK1-B 智能球形把手锁 黑色"/>
    <s v="MK1"/>
    <n v="10"/>
    <x v="155"/>
  </r>
  <r>
    <n v="179"/>
    <m/>
    <s v="W10001"/>
    <x v="69"/>
    <s v="E-US"/>
    <s v="美国"/>
    <s v="ANZ-B"/>
    <n v="200"/>
    <x v="2"/>
    <s v="盐田海卡"/>
    <s v="TCY1"/>
    <s v="ANZ-B"/>
    <s v="ANZ-B 便携式扩香仪 黑色"/>
    <s v="ANZ"/>
    <n v="5"/>
    <x v="156"/>
  </r>
  <r>
    <n v="180"/>
    <m/>
    <s v="W10003"/>
    <x v="70"/>
    <s v="E-US"/>
    <s v="美国"/>
    <s v="ANZ-B"/>
    <n v="600"/>
    <x v="2"/>
    <s v="以星海卡"/>
    <s v="TCY1"/>
    <s v="ANZ-B"/>
    <s v="ANZ-B 便携式扩香仪 黑色"/>
    <s v="ANZ"/>
    <n v="15"/>
    <x v="157"/>
  </r>
  <r>
    <n v="181"/>
    <m/>
    <s v="W10001"/>
    <x v="71"/>
    <s v="V-US"/>
    <s v="美国"/>
    <s v="001000019"/>
    <n v="800"/>
    <x v="2"/>
    <s v="盐田海卡"/>
    <s v="TCY1"/>
    <s v="AN6-B"/>
    <s v="AN6-B 便携式扩香仪 黑色"/>
    <s v="AN6"/>
    <n v="20"/>
    <x v="158"/>
  </r>
  <r>
    <n v="182"/>
    <m/>
    <s v="W10001"/>
    <x v="71"/>
    <s v="V-US"/>
    <s v="美国"/>
    <s v="001000020"/>
    <n v="480"/>
    <x v="2"/>
    <s v="盐田海卡"/>
    <s v="TCY1"/>
    <s v="AN6-W"/>
    <s v="AN6-W 便携式扩香仪 白色"/>
    <s v="AN6"/>
    <n v="12"/>
    <x v="159"/>
  </r>
  <r>
    <n v="183"/>
    <m/>
    <s v="W10001"/>
    <x v="71"/>
    <s v="V-US"/>
    <s v="美国"/>
    <s v="AN8KIT-B_B"/>
    <n v="240"/>
    <x v="2"/>
    <s v="盐田海卡"/>
    <s v="TCY1"/>
    <s v="AN8KIT-B_B"/>
    <s v="AN8KIT-B_B 便携式扩香仪套装 黑+黑"/>
    <s v="AN8"/>
    <n v="12"/>
    <x v="159"/>
  </r>
  <r>
    <n v="184"/>
    <m/>
    <s v="W10001"/>
    <x v="71"/>
    <s v="V-US"/>
    <s v="美国"/>
    <s v="RD1PJ-BOT"/>
    <n v="60"/>
    <x v="2"/>
    <s v="盐田海卡"/>
    <s v="TCY1"/>
    <s v="RD1PJ-BOT"/>
    <s v="RD1PJ-BOT 便携式扩香仪100mL带盖替换玻璃瓶"/>
    <s v="RD1-AC"/>
    <n v="1"/>
    <x v="160"/>
  </r>
  <r>
    <n v="185"/>
    <m/>
    <s v="W10001"/>
    <x v="72"/>
    <s v="V-US"/>
    <s v="美国"/>
    <s v="AN6KIT-B_4X10ML"/>
    <n v="300"/>
    <x v="2"/>
    <s v="盐田海卡"/>
    <s v="TCY1"/>
    <s v="AN6KIT-B_4X10ML"/>
    <s v="AN6KIT-B_4X10ML AN6黑色机器+4x10mL香氛油（天竺） 机油套装"/>
    <s v="AN6"/>
    <n v="10"/>
    <x v="161"/>
  </r>
  <r>
    <n v="186"/>
    <m/>
    <s v="W10001"/>
    <x v="72"/>
    <s v="V-US"/>
    <s v="美国"/>
    <s v="AN8KIT-B_4X10K01"/>
    <n v="1200"/>
    <x v="2"/>
    <s v="盐田海卡"/>
    <s v="TCY1"/>
    <s v="AN8KIT-B_4X10K01"/>
    <s v="AN8KIT-B_4X10K01 AN8黑色机器+4x10mL酒店香氛油 机油套装"/>
    <s v="AN8"/>
    <n v="40"/>
    <x v="162"/>
  </r>
  <r>
    <n v="187"/>
    <m/>
    <s v="W10001"/>
    <x v="72"/>
    <s v="V-US"/>
    <s v="美国"/>
    <s v="AN8KIT-WH_4X10K01"/>
    <n v="450"/>
    <x v="2"/>
    <s v="盐田海卡"/>
    <s v="TCY1"/>
    <s v="AN8KIT-WH_4X10K01"/>
    <s v="AN8KIT-WH_4X10K01 AN8白色机器+4x10mL酒店香氛油 机油套装"/>
    <s v="AN8"/>
    <n v="15"/>
    <x v="163"/>
  </r>
  <r>
    <n v="188"/>
    <m/>
    <s v="W10001"/>
    <x v="72"/>
    <s v="V-US"/>
    <s v="美国"/>
    <s v="RD1KIT-T_2X30K04"/>
    <n v="320"/>
    <x v="2"/>
    <s v="盐田海卡"/>
    <s v="TCY1"/>
    <s v="RD1KIT-T_2X30K04"/>
    <s v="RD1KIT-T_2X30K04 RD1沙漠钛色机器+2X30mL酒店香氛油 机油套装"/>
    <s v="RD1"/>
    <n v="16"/>
    <x v="164"/>
  </r>
  <r>
    <n v="189"/>
    <m/>
    <s v="W10002"/>
    <x v="73"/>
    <s v="V-CA"/>
    <s v="加拿大"/>
    <s v="001000019"/>
    <n v="160"/>
    <x v="2"/>
    <s v="加拿大海卡"/>
    <s v="YVR4"/>
    <s v="AN6-B"/>
    <s v="AN6-B 便携式扩香仪 黑色"/>
    <s v="AN6"/>
    <n v="4"/>
    <x v="165"/>
  </r>
  <r>
    <n v="190"/>
    <m/>
    <s v="W10002"/>
    <x v="73"/>
    <s v="V-CA"/>
    <s v="加拿大"/>
    <s v="001000020"/>
    <n v="200"/>
    <x v="2"/>
    <s v="加拿大海卡"/>
    <s v="YVR4"/>
    <s v="AN6-W"/>
    <s v="AN6-W 便携式扩香仪 白色"/>
    <s v="AN6"/>
    <n v="5"/>
    <x v="166"/>
  </r>
  <r>
    <n v="191"/>
    <m/>
    <s v="W10002"/>
    <x v="73"/>
    <s v="V-CA"/>
    <s v="加拿大"/>
    <s v="001000021"/>
    <n v="150"/>
    <x v="2"/>
    <s v="加拿大海卡"/>
    <s v="YVR4"/>
    <s v="AN6NZ-B"/>
    <s v="AN6NZ-B AN6喷嘴配件套装 黑色"/>
    <s v="AN6-AC"/>
    <n v="0.75"/>
    <x v="167"/>
  </r>
  <r>
    <n v="192"/>
    <m/>
    <s v="W10002"/>
    <x v="73"/>
    <s v="V-CA"/>
    <s v="加拿大"/>
    <s v="001000022"/>
    <n v="50"/>
    <x v="2"/>
    <s v="加拿大海卡"/>
    <s v="YVR4"/>
    <s v="AN6NZ-W"/>
    <s v="AN6NZ-W AN6喷嘴配件套装 白色"/>
    <s v="AN6-AC"/>
    <n v="0.25"/>
    <x v="168"/>
  </r>
  <r>
    <n v="193"/>
    <m/>
    <s v="W10001"/>
    <x v="74"/>
    <s v="V-US"/>
    <s v="美国"/>
    <s v="001000019"/>
    <n v="200"/>
    <x v="2"/>
    <s v="盐田海卡"/>
    <s v="TCY1"/>
    <s v="AN6-B"/>
    <s v="AN6-B 便携式扩香仪 黑色"/>
    <s v="AN6"/>
    <n v="5"/>
    <x v="156"/>
  </r>
  <r>
    <n v="194"/>
    <m/>
    <s v="W10001"/>
    <x v="74"/>
    <s v="V-US"/>
    <s v="美国"/>
    <s v="AN6-LV"/>
    <n v="120"/>
    <x v="2"/>
    <s v="盐田海卡"/>
    <s v="TCY1"/>
    <s v="AN6-LV"/>
    <s v="AN6-LV 便携式扩香仪 薰衣草"/>
    <s v="AN6"/>
    <n v="3"/>
    <x v="169"/>
  </r>
  <r>
    <n v="195"/>
    <m/>
    <s v="W11003"/>
    <x v="75"/>
    <s v="E-US"/>
    <s v="美国"/>
    <s v="ANZ-B"/>
    <n v="400"/>
    <x v="2"/>
    <s v="美森海卡"/>
    <s v="POC2"/>
    <s v="ANZ-B"/>
    <s v="ANZ-B 便携式扩香仪 黑色"/>
    <s v="ANZ"/>
    <n v="10"/>
    <x v="170"/>
  </r>
  <r>
    <n v="196"/>
    <m/>
    <s v="W11010"/>
    <x v="76"/>
    <s v="E-US"/>
    <s v="美国"/>
    <s v="001000051"/>
    <n v="120"/>
    <x v="2"/>
    <s v="盐田海卡"/>
    <s v="POC2"/>
    <s v="ANX-SG"/>
    <s v="ANX-SG 便携式扩香仪 太空灰色"/>
    <s v="ANX"/>
    <n v="4"/>
    <x v="171"/>
  </r>
  <r>
    <n v="197"/>
    <m/>
    <s v="W11010"/>
    <x v="76"/>
    <s v="E-US"/>
    <s v="美国"/>
    <s v="ANZ-B"/>
    <n v="480"/>
    <x v="2"/>
    <s v="盐田海卡"/>
    <s v="POC2"/>
    <s v="ANZ-B"/>
    <s v="ANZ-B 便携式扩香仪 黑色"/>
    <s v="ANZ"/>
    <n v="12"/>
    <x v="172"/>
  </r>
  <r>
    <n v="198"/>
    <m/>
    <s v="W11005"/>
    <x v="77"/>
    <s v="E-UK"/>
    <s v="英国"/>
    <s v="001000039"/>
    <n v="240"/>
    <x v="2"/>
    <s v="英国海卡"/>
    <s v="BHX4"/>
    <s v="AN6-GL"/>
    <s v="AN6-GL 便携式扩香仪 翠百合色"/>
    <s v="AN6"/>
    <n v="6"/>
    <x v="173"/>
  </r>
  <r>
    <n v="199"/>
    <m/>
    <s v="W11005"/>
    <x v="77"/>
    <s v="E-UK"/>
    <s v="英国"/>
    <s v="001000040"/>
    <n v="80"/>
    <x v="2"/>
    <s v="英国海卡"/>
    <s v="BHX4"/>
    <s v="AN6-LB"/>
    <s v="AN6-LB 便携式扩香仪 浅钢蓝色"/>
    <s v="AN6"/>
    <n v="2"/>
    <x v="174"/>
  </r>
  <r>
    <n v="200"/>
    <m/>
    <s v="W11005"/>
    <x v="77"/>
    <s v="E-UK"/>
    <s v="英国"/>
    <s v="001000051"/>
    <n v="60"/>
    <x v="2"/>
    <s v="英国海卡"/>
    <s v="BHX4"/>
    <s v="ANX-SG"/>
    <s v="ANX-SG 便携式扩香仪 太空灰色"/>
    <s v="ANX"/>
    <n v="2"/>
    <x v="174"/>
  </r>
  <r>
    <n v="201"/>
    <m/>
    <s v="W11006"/>
    <x v="78"/>
    <s v="W-DE"/>
    <s v="德国"/>
    <s v="001000039"/>
    <n v="240"/>
    <x v="0"/>
    <s v="欧洲海卡"/>
    <s v="BER8"/>
    <s v="AN6-GL"/>
    <s v="AN6-GL 便携式扩香仪 翠百合色"/>
    <s v="AN6"/>
    <n v="6"/>
    <x v="175"/>
  </r>
  <r>
    <n v="202"/>
    <m/>
    <s v="W11006"/>
    <x v="78"/>
    <s v="W-DE"/>
    <s v="德国"/>
    <s v="001000020"/>
    <n v="160"/>
    <x v="0"/>
    <s v="欧洲海卡"/>
    <s v="BER8"/>
    <s v="AN6-W"/>
    <s v="AN6-W 便携式扩香仪 白色"/>
    <s v="AN6"/>
    <n v="4"/>
    <x v="176"/>
  </r>
  <r>
    <n v="203"/>
    <m/>
    <s v="W11011"/>
    <x v="79"/>
    <s v="V-US"/>
    <s v="美国"/>
    <s v="AN8KIT-B_4X10K01"/>
    <n v="510"/>
    <x v="6"/>
    <s v="盐田海卡"/>
    <s v="POC3"/>
    <s v="AN8KIT-B_4X10K01"/>
    <s v="AN8KIT-B_4X10K01 AN8黑色机器+4x10mL酒店香氛油 机油套装"/>
    <s v="AN8"/>
    <n v="17"/>
    <x v="177"/>
  </r>
  <r>
    <n v="204"/>
    <m/>
    <s v="W11004"/>
    <x v="80"/>
    <s v="V-US"/>
    <s v="美国"/>
    <s v="AN8KIT-B_4X10K01"/>
    <n v="1800"/>
    <x v="0"/>
    <s v="以星海卡"/>
    <s v="POC3"/>
    <s v="AN8KIT-B_4X10K01"/>
    <s v="AN8KIT-B_4X10K01 AN8黑色机器+4x10mL酒店香氛油 机油套装"/>
    <s v="AN8"/>
    <n v="60"/>
    <x v="178"/>
  </r>
  <r>
    <n v="205"/>
    <m/>
    <s v="W11012"/>
    <x v="81"/>
    <s v="V-US"/>
    <s v="美国"/>
    <s v="001000019"/>
    <n v="1400"/>
    <x v="0"/>
    <s v="盐田海卡"/>
    <s v="HLI2"/>
    <s v="AN6-B"/>
    <s v="AN6-B 便携式扩香仪 黑色"/>
    <s v="AN6"/>
    <n v="35"/>
    <x v="179"/>
  </r>
  <r>
    <n v="206"/>
    <m/>
    <s v="W11012"/>
    <x v="81"/>
    <s v="V-US"/>
    <s v="美国"/>
    <s v="AN6-LV"/>
    <n v="120"/>
    <x v="0"/>
    <s v="盐田海卡"/>
    <s v="HLI2"/>
    <s v="AN6-LV"/>
    <s v="AN6-LV 便携式扩香仪 薰衣草"/>
    <s v="AN6"/>
    <n v="3"/>
    <x v="180"/>
  </r>
  <r>
    <n v="207"/>
    <m/>
    <s v="W11012"/>
    <x v="81"/>
    <s v="V-US"/>
    <s v="美国"/>
    <s v="001000020"/>
    <n v="600"/>
    <x v="0"/>
    <s v="盐田海卡"/>
    <s v="HLI2"/>
    <s v="AN6-W"/>
    <s v="AN6-W 便携式扩香仪 白色"/>
    <s v="AN6"/>
    <n v="15"/>
    <x v="181"/>
  </r>
  <r>
    <n v="208"/>
    <m/>
    <s v="W11012"/>
    <x v="81"/>
    <s v="V-US"/>
    <s v="美国"/>
    <s v="AN6-YG"/>
    <n v="200"/>
    <x v="0"/>
    <s v="盐田海卡"/>
    <s v="HLI2"/>
    <s v="AN6-YG"/>
    <s v="AN6-YG 便携式扩香仪 乳酪色"/>
    <s v="AN6"/>
    <n v="5"/>
    <x v="182"/>
  </r>
  <r>
    <n v="209"/>
    <m/>
    <s v="W11012"/>
    <x v="81"/>
    <s v="V-US"/>
    <s v="美国"/>
    <s v="RD1-B"/>
    <n v="180"/>
    <x v="0"/>
    <s v="盐田海卡"/>
    <s v="HLI2"/>
    <s v="RD1-B"/>
    <s v="RD1-B 便携式扩香仪 黑色"/>
    <s v="RD1"/>
    <n v="6"/>
    <x v="183"/>
  </r>
  <r>
    <n v="210"/>
    <m/>
    <s v="W11012"/>
    <x v="81"/>
    <s v="V-US"/>
    <s v="美国"/>
    <s v="001000021"/>
    <n v="200"/>
    <x v="0"/>
    <s v="盐田海卡"/>
    <s v="HLI2"/>
    <s v="AN6NZ-B"/>
    <s v="AN6NZ-B AN6喷嘴配件套装 黑色"/>
    <s v="AN6-AC"/>
    <n v="1"/>
    <x v="184"/>
  </r>
  <r>
    <n v="211"/>
    <m/>
    <s v="W11012"/>
    <x v="82"/>
    <s v="V-US"/>
    <s v="美国"/>
    <s v="AN6KIT-B_4X10ML"/>
    <n v="390"/>
    <x v="0"/>
    <s v="盐田海卡"/>
    <s v="HLI2"/>
    <s v="AN6KIT-B_4X10ML"/>
    <s v="AN6KIT-B_4X10ML AN6黑色机器+4x10mL香氛油（天竺） 机油套装"/>
    <s v="AN6"/>
    <n v="13"/>
    <x v="185"/>
  </r>
  <r>
    <n v="212"/>
    <m/>
    <s v="W11012"/>
    <x v="82"/>
    <s v="V-US"/>
    <s v="美国"/>
    <s v="AN6KIT-WH_4X10K04_TZ"/>
    <n v="120"/>
    <x v="0"/>
    <s v="盐田海卡"/>
    <s v="HLI2"/>
    <s v="AN6KIT-WH_4X10K04_TZ"/>
    <s v="AN6KIT-WH_4X10K04_TZ AN6白色机器+4x10mL酒店（天竺）香氛油 机油套装"/>
    <s v="AN6"/>
    <n v="4"/>
    <x v="186"/>
  </r>
  <r>
    <n v="213"/>
    <m/>
    <s v="W11012"/>
    <x v="82"/>
    <s v="V-US"/>
    <s v="美国"/>
    <s v="AN8KIT-B_4X10K01"/>
    <n v="2100"/>
    <x v="0"/>
    <s v="盐田海卡"/>
    <s v="HLI2"/>
    <s v="AN8KIT-B_4X10K01"/>
    <s v="AN8KIT-B_4X10K01 AN8黑色机器+4x10mL酒店香氛油 机油套装"/>
    <s v="AN8"/>
    <n v="70"/>
    <x v="187"/>
  </r>
  <r>
    <n v="214"/>
    <m/>
    <s v="W11012"/>
    <x v="82"/>
    <s v="V-US"/>
    <s v="美国"/>
    <s v="AN8KIT-WH_4X10K01"/>
    <n v="510"/>
    <x v="0"/>
    <s v="盐田海卡"/>
    <s v="HLI2"/>
    <s v="AN8KIT-WH_4X10K01"/>
    <s v="AN8KIT-WH_4X10K01 AN8白色机器+4x10mL酒店香氛油 机油套装"/>
    <s v="AN8"/>
    <n v="17"/>
    <x v="188"/>
  </r>
  <r>
    <n v="215"/>
    <m/>
    <s v="W11003"/>
    <x v="83"/>
    <s v="V-US"/>
    <s v="美国"/>
    <s v="001000019"/>
    <n v="400"/>
    <x v="2"/>
    <s v="美森海卡"/>
    <s v="TCY2"/>
    <s v="AN6-B"/>
    <s v="AN6-B 便携式扩香仪 黑色"/>
    <s v="AN6"/>
    <n v="10"/>
    <x v="189"/>
  </r>
  <r>
    <n v="216"/>
    <m/>
    <s v="W11003"/>
    <x v="83"/>
    <s v="V-US"/>
    <s v="美国"/>
    <s v="AN8KIT-B_4X10K01"/>
    <n v="900"/>
    <x v="2"/>
    <s v="美森海卡"/>
    <s v="TCY2"/>
    <s v="AN8KIT-B_4X10K01"/>
    <s v="AN8KIT-B_4X10K01 AN8黑色机器+4x10mL酒店香氛油 机油套装"/>
    <s v="AN8"/>
    <n v="30"/>
    <x v="190"/>
  </r>
  <r>
    <n v="217"/>
    <m/>
    <s v="W11008"/>
    <x v="84"/>
    <s v="V-CA"/>
    <s v="加拿大"/>
    <s v="001000033"/>
    <n v="72"/>
    <x v="7"/>
    <s v="加拿大海卡"/>
    <s v="YVR4"/>
    <s v="ANW-W"/>
    <s v="ANW-W 智能扩香仪 白色"/>
    <s v="ANW"/>
    <n v="6"/>
    <x v="191"/>
  </r>
  <r>
    <n v="218"/>
    <m/>
    <s v="W11007"/>
    <x v="85"/>
    <s v="V-US"/>
    <s v="美国"/>
    <s v="001000033"/>
    <n v="480"/>
    <x v="7"/>
    <s v="盐田海卡"/>
    <s v="POC1"/>
    <s v="ANW-W"/>
    <s v="ANW-W 智能扩香仪 白色"/>
    <s v="ANW"/>
    <n v="40"/>
    <x v="192"/>
  </r>
  <r>
    <n v="219"/>
    <m/>
    <s v="W11001"/>
    <x v="86"/>
    <s v="E-US"/>
    <s v="美国"/>
    <s v="HOTEL6KIT1-6X10K01"/>
    <n v="684"/>
    <x v="3"/>
    <s v="盐田海卡"/>
    <s v="QXY8"/>
    <s v="HOTEL6KIT1-6X10K01"/>
    <s v="HOTEL6KIT1-6X10K01 酒店香氛油6款10mL套装"/>
    <s v="Oil-HQ"/>
    <n v="9"/>
    <x v="193"/>
  </r>
  <r>
    <n v="220"/>
    <m/>
    <s v="W11001"/>
    <x v="86"/>
    <s v="E-US"/>
    <s v="美国"/>
    <s v="MWAY1-100ML"/>
    <n v="90"/>
    <x v="3"/>
    <s v="盐田海卡"/>
    <s v="QXY8"/>
    <s v="A-MWAY-100"/>
    <s v="A-MWAY Deluxe-100 特定香型香氛油100mL"/>
    <s v="Oil-HQ"/>
    <n v="1"/>
    <x v="194"/>
  </r>
  <r>
    <n v="221"/>
    <m/>
    <s v="W11001"/>
    <x v="87"/>
    <s v="V-US"/>
    <s v="美国"/>
    <s v="006000024"/>
    <n v="540"/>
    <x v="3"/>
    <s v="盐田海卡"/>
    <s v="QXY8"/>
    <s v="A-RZ3-100"/>
    <s v="A-Ritz Carlton Hotel 3-100 丽思卡尔顿酒店3香氛油100mL"/>
    <s v="Oil-HQ"/>
    <n v="6"/>
    <x v="195"/>
  </r>
  <r>
    <n v="222"/>
    <m/>
    <s v="W11001"/>
    <x v="87"/>
    <s v="V-US"/>
    <s v="美国"/>
    <s v="RZ-500ML"/>
    <n v="100"/>
    <x v="3"/>
    <s v="盐田海卡"/>
    <s v="QXY8"/>
    <s v="RZ-500ML"/>
    <s v="RZ-500ML 丽思卡尔顿酒店3香氛油500mL"/>
    <s v="Oil-HQ"/>
    <n v="5"/>
    <x v="196"/>
  </r>
  <r>
    <n v="223"/>
    <m/>
    <s v="W11002"/>
    <x v="88"/>
    <s v="E-US"/>
    <s v="美国"/>
    <s v="SJ1-100ML_TZ"/>
    <n v="192"/>
    <x v="3"/>
    <s v="盐田海卡"/>
    <s v="QXY8"/>
    <s v="SJ1-100ML_TZ"/>
    <s v="SJ1-100ML_TZ 四季酒店100mL香氛油（天竺） 销售包装"/>
    <s v="Oil-TZ"/>
    <n v="3"/>
    <x v="197"/>
  </r>
  <r>
    <n v="224"/>
    <m/>
    <s v="W11002"/>
    <x v="88"/>
    <s v="E-US"/>
    <s v="美国"/>
    <s v="TX331_100ML"/>
    <n v="128"/>
    <x v="3"/>
    <s v="盐田海卡"/>
    <s v="QXY8"/>
    <s v="TX331_100ML"/>
    <s v="TX331_100ML 檀香33号100mL香氛油（天竺） 销售包装"/>
    <s v="Oil-TZ"/>
    <n v="2"/>
    <x v="198"/>
  </r>
  <r>
    <n v="225"/>
    <m/>
    <s v="W11002"/>
    <x v="88"/>
    <s v="E-US"/>
    <s v="美国"/>
    <s v="W1-100ML_TZ"/>
    <n v="384"/>
    <x v="3"/>
    <s v="盐田海卡"/>
    <s v="QXY8"/>
    <s v="W1-100ML_TZ"/>
    <s v="W1-100ML_TZ W酒店100mL香氛油（天竺） 销售包装"/>
    <s v="Oil-TZ"/>
    <n v="6"/>
    <x v="199"/>
  </r>
  <r>
    <n v="226"/>
    <m/>
    <s v="W11002"/>
    <x v="88"/>
    <s v="E-US"/>
    <s v="美国"/>
    <s v="WST1-100ML_TZ"/>
    <n v="256"/>
    <x v="3"/>
    <s v="盐田海卡"/>
    <s v="QXY8"/>
    <s v="WST1-100ML_TZ"/>
    <s v="WST1-100ML_TZ 威斯汀酒店白茶100mL香氛油（天竺） 销售包装"/>
    <s v="Oil-TZ"/>
    <n v="4"/>
    <x v="200"/>
  </r>
  <r>
    <n v="227"/>
    <m/>
    <s v="W11002"/>
    <x v="88"/>
    <s v="E-US"/>
    <s v="美国"/>
    <s v="HILTON1-100ML_TZ"/>
    <n v="384"/>
    <x v="3"/>
    <s v="盐田海卡"/>
    <s v="QXY8"/>
    <s v="HILTON1-100ML_TZ"/>
    <s v="HILTON1-100ML_TZ 希尔顿酒店100mL香氛油（天竺） 销售包装"/>
    <s v="Oil-TZ"/>
    <n v="6"/>
    <x v="199"/>
  </r>
  <r>
    <n v="228"/>
    <m/>
    <s v="W11002"/>
    <x v="88"/>
    <s v="E-US"/>
    <s v="美国"/>
    <s v="YZTT1_100ML"/>
    <n v="128"/>
    <x v="3"/>
    <s v="盐田海卡"/>
    <s v="QXY8"/>
    <s v="YZTT1_100ML"/>
    <s v="YZTT1_100ML 柚子天堂100mL香氛油（天竺） 销售包装"/>
    <s v="Oil-TZ"/>
    <n v="2"/>
    <x v="198"/>
  </r>
  <r>
    <n v="229"/>
    <m/>
    <s v="W11002"/>
    <x v="88"/>
    <s v="E-US"/>
    <s v="美国"/>
    <s v="TXY1_100ML"/>
    <n v="64"/>
    <x v="3"/>
    <s v="盐田海卡"/>
    <s v="QXY8"/>
    <s v="TXY1_100ML"/>
    <s v="TXY1_100ML 桃星云100mL香氛油（天竺） 销售包装"/>
    <s v="Oil-TZ"/>
    <n v="1"/>
    <x v="201"/>
  </r>
  <r>
    <n v="230"/>
    <s v="托书上要备注跟FBA198LK2T65 合并报关"/>
    <s v="W11002"/>
    <x v="89"/>
    <s v="K-US"/>
    <s v="美国"/>
    <s v="ATS1_100ML_TZ"/>
    <n v="128"/>
    <x v="3"/>
    <s v="盐田海卡"/>
    <s v="GEU3"/>
    <s v="ATS1_100ML_TZ"/>
    <s v="ATS1_100ML_TZ 亚特兰蒂斯酒店100mL香氛油（天竺） 销售包装"/>
    <s v="Oil-TZ"/>
    <n v="2"/>
    <x v="202"/>
  </r>
  <r>
    <n v="231"/>
    <m/>
    <s v="W11009"/>
    <x v="90"/>
    <s v="A-CA"/>
    <s v="加拿大"/>
    <s v="002000001"/>
    <n v="600"/>
    <x v="0"/>
    <s v="加拿大海卡"/>
    <s v="YOW3"/>
    <s v="K1-B"/>
    <s v="K1-B 电子球形把手锁-黑色"/>
    <s v="K1"/>
    <n v="50"/>
    <x v="203"/>
  </r>
  <r>
    <n v="232"/>
    <m/>
    <s v="W11009"/>
    <x v="90"/>
    <s v="A-CA"/>
    <s v="加拿大"/>
    <s v="002000007"/>
    <n v="72"/>
    <x v="0"/>
    <s v="加拿大海卡"/>
    <s v="YOW3"/>
    <s v="K1-S+S"/>
    <s v="K1-S+S 电子球形把手锁-镍镍"/>
    <s v="K1"/>
    <n v="6"/>
    <x v="204"/>
  </r>
  <r>
    <n v="233"/>
    <m/>
    <s v="W11009"/>
    <x v="90"/>
    <s v="A-CA"/>
    <s v="加拿大"/>
    <s v="002000008"/>
    <n v="204"/>
    <x v="0"/>
    <s v="加拿大海卡"/>
    <s v="YOW3"/>
    <s v="K1-SILV"/>
    <s v="K1-SILV 电子球形把手锁-银镍"/>
    <s v="K1"/>
    <n v="17"/>
    <x v="205"/>
  </r>
  <r>
    <n v="234"/>
    <m/>
    <s v="W12005"/>
    <x v="91"/>
    <s v="E-US"/>
    <s v="美国"/>
    <s v="ANZ-B"/>
    <n v="600"/>
    <x v="3"/>
    <s v="美森海卡"/>
    <s v="POC2"/>
    <s v="ANZ-B"/>
    <s v="ANZ-B 便携式扩香仪 黑色"/>
    <s v="ANZ"/>
    <n v="15"/>
    <x v="206"/>
  </r>
  <r>
    <n v="235"/>
    <m/>
    <s v="W12009"/>
    <x v="92"/>
    <s v="E-US"/>
    <s v="美国"/>
    <s v="ANZKIT-B_4X10K04_TZ"/>
    <n v="300"/>
    <x v="0"/>
    <s v="盐田海卡"/>
    <s v="GEU3"/>
    <s v="ANZKIT-B_4X10K04_TZ"/>
    <s v="ANZKIT-B_4X10K04_TZ ANZ黑色机器+4x10mL酒店（天竺）香氛油 机油套装"/>
    <s v="ANZ"/>
    <n v="10"/>
    <x v="207"/>
  </r>
  <r>
    <n v="236"/>
    <m/>
    <s v="W12009"/>
    <x v="92"/>
    <s v="E-US"/>
    <s v="美国"/>
    <s v="ANZKIT-W_4X10K04_TZ"/>
    <n v="300"/>
    <x v="0"/>
    <s v="盐田海卡"/>
    <s v="GEU3"/>
    <s v="ANZKIT-W_4X10K04_TZ"/>
    <s v="ANZKIT-W_4X10K04_TZ ANZ白色机器+4x10mL酒店（天竺）香氛油 机油套装"/>
    <s v="ANZ"/>
    <n v="10"/>
    <x v="207"/>
  </r>
  <r>
    <n v="237"/>
    <m/>
    <s v="W12004"/>
    <x v="93"/>
    <s v="E-US"/>
    <s v="美国"/>
    <s v="001000053"/>
    <n v="128"/>
    <x v="7"/>
    <s v="盐田海卡"/>
    <s v="POC3"/>
    <s v="ANX-2PC-BB"/>
    <s v="ANX-2PC-BB 便携式扩香仪套装 黑+黑"/>
    <s v="ANX"/>
    <n v="8"/>
    <x v="208"/>
  </r>
  <r>
    <n v="238"/>
    <m/>
    <s v="W12004"/>
    <x v="93"/>
    <s v="E-US"/>
    <s v="美国"/>
    <s v="ANZ-B"/>
    <n v="1000"/>
    <x v="7"/>
    <s v="盐田海卡"/>
    <s v="POC3"/>
    <s v="ANZ-B"/>
    <s v="ANZ-B 便携式扩香仪 黑色"/>
    <s v="ANZ"/>
    <n v="25"/>
    <x v="209"/>
  </r>
  <r>
    <n v="239"/>
    <m/>
    <s v="W12005"/>
    <x v="94"/>
    <s v="V-US"/>
    <s v="美国"/>
    <s v="RD1-B"/>
    <n v="600"/>
    <x v="3"/>
    <s v="美森海卡"/>
    <s v="POC2"/>
    <s v="RD1-B"/>
    <s v="RD1-B 便携式扩香仪 黑色"/>
    <s v="RD1"/>
    <n v="20"/>
    <x v="210"/>
  </r>
  <r>
    <n v="240"/>
    <m/>
    <s v="W12005"/>
    <x v="94"/>
    <s v="V-US"/>
    <s v="美国"/>
    <s v="RD1-DT"/>
    <n v="120"/>
    <x v="3"/>
    <s v="美森海卡"/>
    <s v="POC2"/>
    <s v="RD1-DT"/>
    <s v="RD1-DT 便携式扩香仪 沙漠钛色"/>
    <s v="RD1"/>
    <n v="4"/>
    <x v="211"/>
  </r>
  <r>
    <n v="241"/>
    <m/>
    <s v="W12009"/>
    <x v="95"/>
    <s v="V-US"/>
    <s v="美国"/>
    <s v="AN6KIT-B_4X10K04_TZ"/>
    <n v="240"/>
    <x v="0"/>
    <s v="盐田海卡"/>
    <s v="QXY8"/>
    <s v="AN6KIT-B_4X10K04_TZ"/>
    <s v="AN6KIT-B_4X10K04_TZ AN6黑色机器+4x10mL酒店（天竺）香氛油 机油套装"/>
    <s v="AN6"/>
    <n v="8"/>
    <x v="212"/>
  </r>
  <r>
    <n v="242"/>
    <m/>
    <s v="W12009"/>
    <x v="95"/>
    <s v="V-US"/>
    <s v="美国"/>
    <s v="AN6KIT-B_4X10ML"/>
    <n v="300"/>
    <x v="0"/>
    <s v="盐田海卡"/>
    <s v="QXY8"/>
    <s v="AN6KIT-B_4X10ML"/>
    <s v="AN6KIT-B_4X10ML AN6黑色机器+4x10mL香氛油（天竺） 机油套装"/>
    <s v="AN6"/>
    <n v="10"/>
    <x v="213"/>
  </r>
  <r>
    <n v="243"/>
    <m/>
    <s v="W12009"/>
    <x v="95"/>
    <s v="V-US"/>
    <s v="美国"/>
    <s v="AN6KIT-WH_4X10ML"/>
    <n v="90"/>
    <x v="0"/>
    <s v="盐田海卡"/>
    <s v="QXY8"/>
    <s v="AN6KIT-WH_4X10ML"/>
    <s v="AN6KIT-WH_4X10ML AN6白色机器+4x10mL香氛油（天竺） 机油套装"/>
    <s v="AN6"/>
    <n v="3"/>
    <x v="214"/>
  </r>
  <r>
    <n v="244"/>
    <m/>
    <s v="W12009"/>
    <x v="95"/>
    <s v="V-US"/>
    <s v="美国"/>
    <s v="AN8KIT-B_4X10K01"/>
    <n v="2100"/>
    <x v="0"/>
    <s v="盐田海卡"/>
    <s v="QXY8"/>
    <s v="AN8KIT-B_4X10K01"/>
    <s v="AN8KIT-B_4X10K01 AN8黑色机器+4x10mL酒店香氛油 机油套装"/>
    <s v="AN8"/>
    <n v="70"/>
    <x v="215"/>
  </r>
  <r>
    <n v="245"/>
    <m/>
    <s v="W12009"/>
    <x v="95"/>
    <s v="V-US"/>
    <s v="美国"/>
    <s v="AN8KIT-WH_4X10K01"/>
    <n v="30"/>
    <x v="0"/>
    <s v="盐田海卡"/>
    <s v="QXY8"/>
    <s v="AN8KIT-WH_4X10K01"/>
    <s v="AN8KIT-WH_4X10K01 AN8白色机器+4x10mL酒店香氛油 机油套装"/>
    <s v="AN8"/>
    <n v="1"/>
    <x v="216"/>
  </r>
  <r>
    <n v="246"/>
    <m/>
    <s v="W12009"/>
    <x v="95"/>
    <s v="V-US"/>
    <s v="美国"/>
    <s v="AN8KIT-WH_4X10K05_TZ"/>
    <n v="780"/>
    <x v="0"/>
    <s v="盐田海卡"/>
    <s v="QXY8"/>
    <s v="AN8KIT-WH_4X10K05_TZ"/>
    <s v="AN8KIT-WH_4X10K05_TZ AN8白色机器+4x10mL（天竺）酒店香氛油 机油套装"/>
    <s v="AN8"/>
    <n v="26"/>
    <x v="217"/>
  </r>
  <r>
    <n v="247"/>
    <m/>
    <s v="W12006"/>
    <x v="96"/>
    <s v="V-US"/>
    <s v="美国"/>
    <s v="001000019"/>
    <n v="1200"/>
    <x v="7"/>
    <s v="盐田海卡"/>
    <s v="TCY2"/>
    <s v="AN6-B"/>
    <s v="AN6-B 便携式扩香仪 黑色"/>
    <s v="AN6"/>
    <n v="30"/>
    <x v="218"/>
  </r>
  <r>
    <n v="248"/>
    <m/>
    <s v="W12006"/>
    <x v="96"/>
    <s v="V-US"/>
    <s v="美国"/>
    <s v="AN6-LV"/>
    <n v="120"/>
    <x v="7"/>
    <s v="盐田海卡"/>
    <s v="TCY2"/>
    <s v="AN6-LV"/>
    <s v="AN6-LV 便携式扩香仪 薰衣草"/>
    <s v="AN6"/>
    <n v="3"/>
    <x v="219"/>
  </r>
  <r>
    <n v="249"/>
    <m/>
    <s v="W12006"/>
    <x v="96"/>
    <s v="V-US"/>
    <s v="美国"/>
    <s v="001000020"/>
    <n v="400"/>
    <x v="7"/>
    <s v="盐田海卡"/>
    <s v="TCY2"/>
    <s v="AN6-W"/>
    <s v="AN6-W 便携式扩香仪 白色"/>
    <s v="AN6"/>
    <n v="10"/>
    <x v="220"/>
  </r>
  <r>
    <n v="250"/>
    <m/>
    <s v="W12006"/>
    <x v="96"/>
    <s v="V-US"/>
    <s v="美国"/>
    <s v="AN8-B"/>
    <n v="160"/>
    <x v="7"/>
    <s v="盐田海卡"/>
    <s v="TCY2"/>
    <s v="AN8-B"/>
    <s v="AN8-B 便携式扩香仪 黑色"/>
    <s v="AN8"/>
    <n v="4"/>
    <x v="62"/>
  </r>
  <r>
    <n v="251"/>
    <m/>
    <s v="W12006"/>
    <x v="96"/>
    <s v="V-US"/>
    <s v="美国"/>
    <s v="AN8KIT-B_B"/>
    <n v="100"/>
    <x v="7"/>
    <s v="盐田海卡"/>
    <s v="TCY2"/>
    <s v="AN8KIT-B_B"/>
    <s v="AN8KIT-B_B 便携式扩香仪套装 黑+黑"/>
    <s v="AN8"/>
    <n v="5"/>
    <x v="221"/>
  </r>
  <r>
    <n v="252"/>
    <m/>
    <s v="W12006"/>
    <x v="96"/>
    <s v="V-US"/>
    <s v="美国"/>
    <s v="RD1-B"/>
    <n v="390"/>
    <x v="7"/>
    <s v="盐田海卡"/>
    <s v="TCY2"/>
    <s v="RD1-B"/>
    <s v="RD1-B 便携式扩香仪 黑色"/>
    <s v="RD1"/>
    <n v="13"/>
    <x v="222"/>
  </r>
  <r>
    <n v="253"/>
    <m/>
    <s v="W12006"/>
    <x v="96"/>
    <s v="V-US"/>
    <s v="美国"/>
    <s v="RD1PJ-BOT"/>
    <n v="60"/>
    <x v="7"/>
    <s v="盐田海卡"/>
    <s v="TCY2"/>
    <s v="RD1PJ-BOT"/>
    <s v="RD1PJ-BOT 便携式扩香仪100mL带盖替换玻璃瓶"/>
    <s v="RD1-AC"/>
    <n v="1"/>
    <x v="223"/>
  </r>
  <r>
    <n v="254"/>
    <m/>
    <s v="W12006"/>
    <x v="96"/>
    <s v="V-US"/>
    <s v="美国"/>
    <s v="RD1-DT"/>
    <n v="90"/>
    <x v="7"/>
    <s v="盐田海卡"/>
    <s v="TCY2"/>
    <s v="RD1-DT"/>
    <s v="RD1-DT 便携式扩香仪 沙漠钛色"/>
    <s v="RD1"/>
    <n v="3"/>
    <x v="219"/>
  </r>
  <r>
    <n v="255"/>
    <m/>
    <s v="W12010"/>
    <x v="97"/>
    <s v="K-US"/>
    <s v="美国"/>
    <s v="RDXKIT-B_US_2X100K04"/>
    <n v="90"/>
    <x v="7"/>
    <s v="以星海卡"/>
    <s v="GEU2"/>
    <s v="RDXKIT-B_US_2X100K04"/>
    <s v="RDXKIT-B_US_2X100K04 RDX黑色机器+2X100mL酒店香氛油（天竺） 机油套装"/>
    <s v="RDX"/>
    <n v="10"/>
    <x v="224"/>
  </r>
  <r>
    <n v="256"/>
    <m/>
    <s v="W12004"/>
    <x v="98"/>
    <s v="K-US"/>
    <s v="美国"/>
    <s v="RDXKIT-B_US_2X100K04"/>
    <n v="360"/>
    <x v="7"/>
    <s v="盐田海卡"/>
    <s v="GEU2"/>
    <s v="RDXKIT-B_US_2X100K04"/>
    <s v="RDXKIT-B_US_2X100K04 RDX黑色机器+2X100mL酒店香氛油（天竺） 机油套装"/>
    <s v="RDX"/>
    <n v="40"/>
    <x v="225"/>
  </r>
  <r>
    <n v="257"/>
    <m/>
    <s v="W12002"/>
    <x v="99"/>
    <s v="E-AU"/>
    <s v="澳洲"/>
    <s v="AND-IB"/>
    <n v="30"/>
    <x v="4"/>
    <s v="澳洲海卡"/>
    <s v="BWU2"/>
    <s v="AND-IB"/>
    <s v="AND-IB 便携式双喷扩香仪 冰蓝色"/>
    <s v="AND"/>
    <n v="1"/>
    <x v="226"/>
  </r>
  <r>
    <n v="258"/>
    <m/>
    <s v="W12002"/>
    <x v="99"/>
    <s v="E-AU"/>
    <s v="澳洲"/>
    <s v="AND-B"/>
    <n v="120"/>
    <x v="4"/>
    <s v="澳洲海卡"/>
    <s v="BWU2"/>
    <s v="AND-B"/>
    <s v="AND-B 便携式双喷扩香仪 黑色"/>
    <s v="AND"/>
    <n v="4"/>
    <x v="227"/>
  </r>
  <r>
    <n v="259"/>
    <m/>
    <s v="W12002"/>
    <x v="99"/>
    <s v="E-AU"/>
    <s v="澳洲"/>
    <s v="AND-DT"/>
    <n v="90"/>
    <x v="4"/>
    <s v="澳洲海卡"/>
    <s v="BWU2"/>
    <s v="AND-DT"/>
    <s v="AND-DT 便携式双喷扩香仪 沙漠钛色"/>
    <s v="AND"/>
    <n v="3"/>
    <x v="228"/>
  </r>
  <r>
    <n v="260"/>
    <m/>
    <s v="W12002"/>
    <x v="99"/>
    <s v="E-AU"/>
    <s v="澳洲"/>
    <s v="001000045"/>
    <n v="210"/>
    <x v="4"/>
    <s v="澳洲海卡"/>
    <s v="BWU2"/>
    <s v="ANX-B"/>
    <s v="ANX-B 便携式扩香仪 黑色"/>
    <s v="ANX"/>
    <n v="7"/>
    <x v="229"/>
  </r>
  <r>
    <n v="261"/>
    <m/>
    <s v="W12002"/>
    <x v="99"/>
    <s v="E-AU"/>
    <s v="澳洲"/>
    <s v="001000051"/>
    <n v="60"/>
    <x v="4"/>
    <s v="澳洲海卡"/>
    <s v="BWU2"/>
    <s v="ANX-SG"/>
    <s v="ANX-SG 便携式扩香仪 太空灰色"/>
    <s v="ANX"/>
    <n v="2"/>
    <x v="230"/>
  </r>
  <r>
    <n v="262"/>
    <m/>
    <s v="W12002"/>
    <x v="99"/>
    <s v="E-AU"/>
    <s v="澳洲"/>
    <s v="001000046"/>
    <n v="60"/>
    <x v="4"/>
    <s v="澳洲海卡"/>
    <s v="BWU2"/>
    <s v="ANX-SILV"/>
    <s v="ANX-SILV 便携式扩香仪 银色"/>
    <s v="ANX"/>
    <n v="2"/>
    <x v="230"/>
  </r>
  <r>
    <n v="263"/>
    <m/>
    <s v="W12002"/>
    <x v="99"/>
    <s v="E-AU"/>
    <s v="澳洲"/>
    <s v="RD1-B"/>
    <n v="90"/>
    <x v="4"/>
    <s v="澳洲海卡"/>
    <s v="BWU2"/>
    <s v="RD1-B"/>
    <s v="RD1-B 便携式扩香仪 黑色"/>
    <s v="RD1"/>
    <n v="3"/>
    <x v="228"/>
  </r>
  <r>
    <n v="264"/>
    <m/>
    <s v="W12004"/>
    <x v="100"/>
    <s v="A-US"/>
    <s v="美国"/>
    <s v="ANZKIT-W_SJ30ML"/>
    <n v="150"/>
    <x v="7"/>
    <s v="盐田海卡"/>
    <s v="POC3"/>
    <s v="ANZKIT-W_SJ30ML"/>
    <s v="ANZKIT-W_SJ30ML ANZ白色机器+30mL四季酒店香氛油（天竺） 机油套装"/>
    <s v="ANZ"/>
    <n v="5"/>
    <x v="231"/>
  </r>
  <r>
    <n v="265"/>
    <m/>
    <s v="W12004"/>
    <x v="101"/>
    <s v="W-US"/>
    <s v="美国"/>
    <s v="002000037"/>
    <n v="32"/>
    <x v="7"/>
    <s v="盐田海卡"/>
    <s v="POC2"/>
    <s v="M1-SILV"/>
    <s v="M1-SILV 电子球形把手锁 银色"/>
    <s v="M1"/>
    <n v="2"/>
    <x v="232"/>
  </r>
  <r>
    <n v="266"/>
    <m/>
    <s v="W12004"/>
    <x v="101"/>
    <s v="W-US"/>
    <s v="美国"/>
    <s v="002000029"/>
    <n v="176"/>
    <x v="7"/>
    <s v="盐田海卡"/>
    <s v="POC2"/>
    <s v="MD1-B"/>
    <s v="MD1-B 电子球形把手锁 指纹 黑色"/>
    <s v="MD1"/>
    <n v="11"/>
    <x v="233"/>
  </r>
  <r>
    <n v="267"/>
    <m/>
    <s v="W12007"/>
    <x v="102"/>
    <s v="W-US"/>
    <s v="美国"/>
    <s v="002000037"/>
    <n v="80"/>
    <x v="3"/>
    <s v="美森海卡"/>
    <s v="POC2"/>
    <s v="M1-SILV"/>
    <s v="M1-SILV 电子球形把手锁 银色"/>
    <s v="M1"/>
    <n v="5"/>
    <x v="234"/>
  </r>
  <r>
    <n v="268"/>
    <m/>
    <s v="W12007"/>
    <x v="102"/>
    <s v="W-US"/>
    <s v="美国"/>
    <s v="002000029"/>
    <n v="320"/>
    <x v="3"/>
    <s v="美森海卡"/>
    <s v="POC2"/>
    <s v="MD1-B"/>
    <s v="MD1-B 电子球形把手锁 指纹 黑色"/>
    <s v="MD1"/>
    <n v="20"/>
    <x v="235"/>
  </r>
  <r>
    <n v="269"/>
    <m/>
    <s v="W12006"/>
    <x v="103"/>
    <s v="V-US"/>
    <s v="美国"/>
    <s v="ANWKIT-WH_US_2X100K03"/>
    <n v="180"/>
    <x v="7"/>
    <s v="盐田海卡"/>
    <s v="TCY2"/>
    <s v="ANWKIT-WH_US_2X100K03"/>
    <s v="ANWKIT-WH_US_2X100K03 ANW白色机器+2X100mL酒店香氛油（天竺） 机油套装"/>
    <s v="ANW"/>
    <n v="15"/>
    <x v="236"/>
  </r>
  <r>
    <n v="270"/>
    <m/>
    <s v="W12008"/>
    <x v="104"/>
    <s v="V-US"/>
    <s v="美国"/>
    <s v="ANP-W_US"/>
    <n v="288"/>
    <x v="7"/>
    <s v="美森海卡"/>
    <s v="POC2"/>
    <s v="ANP-W_US"/>
    <s v="ANP-W_US 墙插式智能扩香仪 白色"/>
    <s v="ANP"/>
    <n v="9"/>
    <x v="237"/>
  </r>
  <r>
    <n v="271"/>
    <m/>
    <s v="W12004"/>
    <x v="105"/>
    <s v="V-US"/>
    <s v="美国"/>
    <s v="001000032"/>
    <n v="180"/>
    <x v="7"/>
    <s v="盐田海卡"/>
    <s v="GEU3"/>
    <s v="ANW-B"/>
    <s v="ANW-B 智能扩香仪 黑色"/>
    <s v="ANW"/>
    <n v="15"/>
    <x v="238"/>
  </r>
  <r>
    <n v="272"/>
    <m/>
    <s v="W12004"/>
    <x v="105"/>
    <s v="V-US"/>
    <s v="美国"/>
    <s v="001000033"/>
    <n v="960"/>
    <x v="7"/>
    <s v="盐田海卡"/>
    <s v="GEU3"/>
    <s v="ANW-W"/>
    <s v="ANW-W 智能扩香仪 白色"/>
    <s v="ANW"/>
    <n v="80"/>
    <x v="239"/>
  </r>
  <r>
    <n v="273"/>
    <m/>
    <s v="W12004"/>
    <x v="105"/>
    <s v="V-US"/>
    <s v="美国"/>
    <s v="ANP-W_US"/>
    <n v="128"/>
    <x v="7"/>
    <s v="盐田海卡"/>
    <s v="GEU3"/>
    <s v="ANP-W_US"/>
    <s v="ANP-W_US 墙插式智能扩香仪 白色"/>
    <s v="ANP"/>
    <n v="4"/>
    <x v="240"/>
  </r>
  <r>
    <n v="274"/>
    <m/>
    <s v="W12003"/>
    <x v="106"/>
    <s v="E-US"/>
    <s v="美国"/>
    <s v="SJ1-100ML_TZ"/>
    <n v="192"/>
    <x v="3"/>
    <s v="盐田海卡"/>
    <s v="POC3"/>
    <s v="SJ1-100ML_TZ"/>
    <s v="SJ1-100ML_TZ 四季酒店100mL香氛油（天竺） 销售包装"/>
    <s v="Oil-TZ"/>
    <n v="3"/>
    <x v="197"/>
  </r>
  <r>
    <n v="275"/>
    <m/>
    <s v="W12003"/>
    <x v="106"/>
    <s v="E-US"/>
    <s v="美国"/>
    <s v="TX331_100ML"/>
    <n v="640"/>
    <x v="3"/>
    <s v="盐田海卡"/>
    <s v="POC3"/>
    <s v="TX331_100ML"/>
    <s v="TX331_100ML 檀香33号100mL香氛油（天竺） 销售包装"/>
    <s v="Oil-TZ"/>
    <n v="10"/>
    <x v="241"/>
  </r>
  <r>
    <n v="276"/>
    <m/>
    <s v="W12003"/>
    <x v="106"/>
    <s v="E-US"/>
    <s v="美国"/>
    <s v="HILTON1-100ML_TZ"/>
    <n v="192"/>
    <x v="3"/>
    <s v="盐田海卡"/>
    <s v="POC3"/>
    <s v="HILTON1-100ML_TZ"/>
    <s v="HILTON1-100ML_TZ 希尔顿酒店100mL香氛油（天竺） 销售包装"/>
    <s v="Oil-TZ"/>
    <n v="3"/>
    <x v="197"/>
  </r>
  <r>
    <n v="277"/>
    <m/>
    <s v="W12003"/>
    <x v="106"/>
    <s v="E-US"/>
    <s v="美国"/>
    <s v="YH1-100ML_TZ"/>
    <n v="64"/>
    <x v="3"/>
    <s v="盐田海卡"/>
    <s v="POC3"/>
    <s v="YH1-100ML_TZ"/>
    <s v="YH1-100ML_TZ 樱花100mL香氛油（天竺）销售包装"/>
    <s v="Oil-TZ"/>
    <n v="1"/>
    <x v="201"/>
  </r>
  <r>
    <n v="278"/>
    <m/>
    <s v="W12003"/>
    <x v="106"/>
    <s v="E-US"/>
    <s v="美国"/>
    <s v="YZTT1_100ML"/>
    <n v="256"/>
    <x v="3"/>
    <s v="盐田海卡"/>
    <s v="POC3"/>
    <s v="YZTT1_100ML"/>
    <s v="YZTT1_100ML 柚子天堂100mL香氛油（天竺） 销售包装"/>
    <s v="Oil-TZ"/>
    <n v="4"/>
    <x v="200"/>
  </r>
  <r>
    <n v="279"/>
    <m/>
    <s v="W12003"/>
    <x v="106"/>
    <s v="E-US"/>
    <s v="美国"/>
    <s v="TXY1_100ML"/>
    <n v="192"/>
    <x v="3"/>
    <s v="盐田海卡"/>
    <s v="POC3"/>
    <s v="TXY1_100ML"/>
    <s v="TXY1_100ML 桃星云100mL香氛油（天竺） 销售包装"/>
    <s v="Oil-TZ"/>
    <n v="3"/>
    <x v="197"/>
  </r>
  <r>
    <n v="280"/>
    <s v="备注跟FBA198W7ZHBG合并报关"/>
    <s v="W12003"/>
    <x v="107"/>
    <s v="K-US"/>
    <s v="美国"/>
    <s v="BGR1_100ML_TZ"/>
    <n v="128"/>
    <x v="3"/>
    <s v="盐田海卡"/>
    <s v="TCY2"/>
    <s v="BGR1_100ML_TZ"/>
    <s v="BGR1_100ML_TZ 宝格丽酒店100mL香氛油（天竺） 销售包装"/>
    <s v="Oil-TZ"/>
    <n v="2"/>
    <x v="202"/>
  </r>
  <r>
    <n v="281"/>
    <m/>
    <s v="W12004"/>
    <x v="108"/>
    <s v="E-US"/>
    <s v="美国"/>
    <s v="003000007"/>
    <n v="252"/>
    <x v="7"/>
    <s v="盐田海卡"/>
    <s v="POC1"/>
    <s v="AP2F-H14"/>
    <s v="AP2F-H14 空气净化器滤网2-H14"/>
    <s v="AP2F"/>
    <n v="7"/>
    <x v="242"/>
  </r>
  <r>
    <n v="282"/>
    <m/>
    <s v="W13010"/>
    <x v="109"/>
    <s v="V-US"/>
    <s v="美国"/>
    <s v="AN8KIT-B_4X10K05_TZ"/>
    <n v="1200"/>
    <x v="0"/>
    <s v="美森海卡"/>
    <s v="GEU2"/>
    <s v="AN8KIT-B_4X10K05_TZ"/>
    <s v="AN8KIT-B_4X10K05_TZ AN8黑色机器+4x10mL（天竺）酒店香氛油 机油套装"/>
    <s v="AN8"/>
    <n v="40"/>
    <x v="243"/>
  </r>
  <r>
    <n v="283"/>
    <m/>
    <s v="W13008"/>
    <x v="110"/>
    <s v="V-US"/>
    <s v="美国"/>
    <s v="001000019"/>
    <n v="2000"/>
    <x v="0"/>
    <s v="盐田海卡"/>
    <s v="QXY8"/>
    <s v="AN6-B"/>
    <s v="AN6-B 便携式扩香仪 黑色"/>
    <s v="AN6"/>
    <n v="50"/>
    <x v="244"/>
  </r>
  <r>
    <n v="284"/>
    <m/>
    <s v="W13008"/>
    <x v="110"/>
    <s v="V-US"/>
    <s v="美国"/>
    <s v="AN6-LV"/>
    <n v="120"/>
    <x v="0"/>
    <s v="盐田海卡"/>
    <s v="QXY8"/>
    <s v="AN6-LV"/>
    <s v="AN6-LV 便携式扩香仪 薰衣草"/>
    <s v="AN6"/>
    <n v="3"/>
    <x v="245"/>
  </r>
  <r>
    <n v="285"/>
    <m/>
    <s v="W13008"/>
    <x v="110"/>
    <s v="V-US"/>
    <s v="美国"/>
    <s v="001000020"/>
    <n v="600"/>
    <x v="0"/>
    <s v="盐田海卡"/>
    <s v="QXY8"/>
    <s v="AN6-W"/>
    <s v="AN6-W 便携式扩香仪 白色"/>
    <s v="AN6"/>
    <n v="15"/>
    <x v="246"/>
  </r>
  <r>
    <n v="286"/>
    <m/>
    <s v="W13008"/>
    <x v="110"/>
    <s v="V-US"/>
    <s v="美国"/>
    <s v="AN6-YG"/>
    <n v="200"/>
    <x v="0"/>
    <s v="盐田海卡"/>
    <s v="QXY8"/>
    <s v="AN6-YG"/>
    <s v="AN6-YG 便携式扩香仪 乳酪色"/>
    <s v="AN6"/>
    <n v="5"/>
    <x v="247"/>
  </r>
  <r>
    <n v="287"/>
    <m/>
    <s v="W13008"/>
    <x v="110"/>
    <s v="V-US"/>
    <s v="美国"/>
    <s v="AN8-B"/>
    <n v="320"/>
    <x v="0"/>
    <s v="盐田海卡"/>
    <s v="QXY8"/>
    <s v="AN8-B"/>
    <s v="AN8-B 便携式扩香仪 黑色"/>
    <s v="AN8"/>
    <n v="8"/>
    <x v="248"/>
  </r>
  <r>
    <n v="288"/>
    <m/>
    <s v="W13008"/>
    <x v="110"/>
    <s v="V-US"/>
    <s v="美国"/>
    <s v="AN8KIT-B_B"/>
    <n v="200"/>
    <x v="0"/>
    <s v="盐田海卡"/>
    <s v="QXY8"/>
    <s v="AN8KIT-B_B"/>
    <s v="AN8KIT-B_B 便携式扩香仪套装 黑+黑"/>
    <s v="AN8"/>
    <n v="10"/>
    <x v="249"/>
  </r>
  <r>
    <n v="289"/>
    <m/>
    <s v="W13008"/>
    <x v="110"/>
    <s v="V-US"/>
    <s v="美国"/>
    <s v="001000021"/>
    <n v="200"/>
    <x v="0"/>
    <s v="盐田海卡"/>
    <s v="QXY8"/>
    <s v="AN6NZ-B"/>
    <s v="AN6NZ-B AN6喷嘴配件套装 黑色"/>
    <s v="AN6-AC"/>
    <n v="1"/>
    <x v="250"/>
  </r>
  <r>
    <n v="290"/>
    <m/>
    <s v="W13008"/>
    <x v="110"/>
    <s v="V-US"/>
    <s v="美国"/>
    <s v="001000021"/>
    <n v="100"/>
    <x v="0"/>
    <s v="盐田海卡"/>
    <s v="QXY8"/>
    <s v="AN6NZ-B"/>
    <s v="AN6NZ-B AN6喷嘴配件套装 黑色"/>
    <s v="AN6-AC"/>
    <n v="0.5"/>
    <x v="251"/>
  </r>
  <r>
    <n v="291"/>
    <m/>
    <s v="W13008"/>
    <x v="110"/>
    <s v="V-US"/>
    <s v="美国"/>
    <s v="001000022"/>
    <n v="100"/>
    <x v="0"/>
    <s v="盐田海卡"/>
    <s v="QXY8"/>
    <s v="AN6NZ-W"/>
    <s v="AN6NZ-W AN6喷嘴配件套装 白色"/>
    <s v="AN6-AC"/>
    <n v="0.5"/>
    <x v="251"/>
  </r>
  <r>
    <n v="292"/>
    <m/>
    <s v="W13009"/>
    <x v="111"/>
    <s v="V-US"/>
    <s v="美国"/>
    <s v="AN6KIT-B_4X10K04_TZ"/>
    <n v="300"/>
    <x v="2"/>
    <s v="盐田海卡"/>
    <s v="MIT2"/>
    <s v="AN6KIT-B_4X10K04_TZ"/>
    <s v="AN6KIT-B_4X10K04_TZ AN6黑色机器+4x10mL酒店（天竺）香氛油 机油套装"/>
    <s v="AN6"/>
    <n v="10"/>
    <x v="252"/>
  </r>
  <r>
    <n v="293"/>
    <m/>
    <s v="W13009"/>
    <x v="111"/>
    <s v="V-US"/>
    <s v="美国"/>
    <s v="AN8KIT-B_4X10K01"/>
    <n v="570"/>
    <x v="2"/>
    <s v="盐田海卡"/>
    <s v="MIT2"/>
    <s v="AN8KIT-B_4X10K01"/>
    <s v="AN8KIT-B_4X10K01 AN8黑色机器+4x10mL酒店香氛油 机油套装"/>
    <s v="AN8"/>
    <n v="19"/>
    <x v="253"/>
  </r>
  <r>
    <n v="294"/>
    <m/>
    <s v="W13009"/>
    <x v="111"/>
    <s v="V-US"/>
    <s v="美国"/>
    <s v="AN8KIT-B_4X10K05_TZ"/>
    <n v="1500"/>
    <x v="2"/>
    <s v="盐田海卡"/>
    <s v="MIT2"/>
    <s v="AN8KIT-B_4X10K05_TZ"/>
    <s v="AN8KIT-B_4X10K05_TZ AN8黑色机器+4x10mL（天竺）酒店香氛油 机油套装"/>
    <s v="AN8"/>
    <n v="50"/>
    <x v="254"/>
  </r>
  <r>
    <n v="295"/>
    <m/>
    <s v="W13009"/>
    <x v="111"/>
    <s v="V-US"/>
    <s v="美国"/>
    <s v="AN8KIT-WH_4X10K05_TZ"/>
    <n v="720"/>
    <x v="2"/>
    <s v="盐田海卡"/>
    <s v="MIT2"/>
    <s v="AN8KIT-WH_4X10K05_TZ"/>
    <s v="AN8KIT-WH_4X10K05_TZ AN8白色机器+4x10mL（天竺）酒店香氛油 机油套装"/>
    <s v="AN8"/>
    <n v="24"/>
    <x v="255"/>
  </r>
  <r>
    <n v="296"/>
    <m/>
    <s v="W13009"/>
    <x v="112"/>
    <s v="A-US"/>
    <s v="美国"/>
    <s v="ANZKIT-W_SJ30ML"/>
    <n v="150"/>
    <x v="2"/>
    <s v="盐田海卡"/>
    <s v="MIT2"/>
    <s v="ANZKIT-W_SJ30ML"/>
    <s v="ANZKIT-W_SJ30ML ANZ白色机器+30mL四季酒店香氛油（天竺） 机油套装"/>
    <s v="ANZ"/>
    <n v="5"/>
    <x v="256"/>
  </r>
  <r>
    <n v="297"/>
    <m/>
    <s v="W13011"/>
    <x v="113"/>
    <s v="E-US"/>
    <s v="美国"/>
    <s v="ANZ-B"/>
    <n v="800"/>
    <x v="0"/>
    <s v="以星海卡"/>
    <s v="GEU3"/>
    <s v="ANZ-B"/>
    <s v="ANZ-B 便携式扩香仪 黑色"/>
    <s v="ANZ"/>
    <n v="20"/>
    <x v="257"/>
  </r>
  <r>
    <n v="298"/>
    <m/>
    <s v="W13011"/>
    <x v="114"/>
    <s v="E-US"/>
    <s v="美国"/>
    <s v="ANZKIT-B_4X10K04_TZ"/>
    <n v="240"/>
    <x v="0"/>
    <s v="以星海卡"/>
    <s v="GEU3"/>
    <s v="ANZKIT-B_4X10K04_TZ"/>
    <s v="ANZKIT-B_4X10K04_TZ ANZ黑色机器+4x10mL酒店（天竺）香氛油 机油套装"/>
    <s v="ANZ"/>
    <n v="8"/>
    <x v="258"/>
  </r>
  <r>
    <n v="299"/>
    <m/>
    <s v="W13009"/>
    <x v="115"/>
    <s v="E-US"/>
    <s v="美国"/>
    <s v="ANZKIT-B_4X10K04_TZ"/>
    <n v="360"/>
    <x v="2"/>
    <s v="盐田海卡"/>
    <s v="GEU3"/>
    <s v="ANZKIT-B_4X10K04_TZ"/>
    <s v="ANZKIT-B_4X10K04_TZ ANZ黑色机器+4x10mL酒店（天竺）香氛油 机油套装"/>
    <s v="ANZ"/>
    <n v="12"/>
    <x v="259"/>
  </r>
  <r>
    <n v="300"/>
    <m/>
    <s v="W13009"/>
    <x v="115"/>
    <s v="E-US"/>
    <s v="美国"/>
    <s v="ANZKIT-W_4X10K04_TZ"/>
    <n v="300"/>
    <x v="2"/>
    <s v="盐田海卡"/>
    <s v="GEU3"/>
    <s v="ANZKIT-W_4X10K04_TZ"/>
    <s v="ANZKIT-W_4X10K04_TZ ANZ白色机器+4x10mL酒店（天竺）香氛油 机油套装"/>
    <s v="ANZ"/>
    <n v="10"/>
    <x v="260"/>
  </r>
  <r>
    <n v="301"/>
    <m/>
    <s v="W13005"/>
    <x v="116"/>
    <s v="E-US"/>
    <s v="美国"/>
    <s v="001000045"/>
    <n v="180"/>
    <x v="7"/>
    <s v="盐田海卡"/>
    <s v="GEU3"/>
    <s v="ANX-B"/>
    <s v="ANX-B 便携式扩香仪 黑色"/>
    <s v="ANX"/>
    <n v="6"/>
    <x v="261"/>
  </r>
  <r>
    <n v="302"/>
    <m/>
    <s v="W13005"/>
    <x v="116"/>
    <s v="E-US"/>
    <s v="美国"/>
    <s v="001000052"/>
    <n v="210"/>
    <x v="7"/>
    <s v="盐田海卡"/>
    <s v="GEU3"/>
    <s v="ANX-DT"/>
    <s v="ANX-DT 便携式扩香仪 沙漠钛色"/>
    <s v="ANX"/>
    <n v="7"/>
    <x v="262"/>
  </r>
  <r>
    <n v="303"/>
    <m/>
    <s v="W13005"/>
    <x v="116"/>
    <s v="E-US"/>
    <s v="美国"/>
    <s v="ANZ-B"/>
    <n v="600"/>
    <x v="7"/>
    <s v="盐田海卡"/>
    <s v="GEU3"/>
    <s v="ANZ-B"/>
    <s v="ANZ-B 便携式扩香仪 黑色"/>
    <s v="ANZ"/>
    <n v="15"/>
    <x v="263"/>
  </r>
  <r>
    <n v="304"/>
    <m/>
    <s v="W13005"/>
    <x v="116"/>
    <s v="E-US"/>
    <s v="美国"/>
    <s v="ANZ-WH"/>
    <n v="400"/>
    <x v="7"/>
    <s v="盐田海卡"/>
    <s v="GEU3"/>
    <s v="ANZ-WH"/>
    <s v="ANZ-WH 便携式扩香仪 白色"/>
    <s v="ANZ"/>
    <n v="10"/>
    <x v="264"/>
  </r>
  <r>
    <n v="305"/>
    <m/>
    <s v="W13006"/>
    <x v="117"/>
    <s v="E-UK"/>
    <s v="英国"/>
    <s v="AN6-G"/>
    <n v="80"/>
    <x v="2"/>
    <s v="英国海卡"/>
    <s v="BHX4"/>
    <s v="AN6-G"/>
    <s v="AN6-G 便携式扩香仪 灰色"/>
    <s v="AN6"/>
    <n v="2"/>
    <x v="265"/>
  </r>
  <r>
    <n v="306"/>
    <m/>
    <s v="W13006"/>
    <x v="117"/>
    <s v="E-UK"/>
    <s v="英国"/>
    <s v="001000045"/>
    <n v="210"/>
    <x v="2"/>
    <s v="英国海卡"/>
    <s v="BHX4"/>
    <s v="ANX-B"/>
    <s v="ANX-B 便携式扩香仪 黑色"/>
    <s v="ANX"/>
    <n v="7"/>
    <x v="266"/>
  </r>
  <r>
    <n v="307"/>
    <m/>
    <s v="W13006"/>
    <x v="117"/>
    <s v="E-UK"/>
    <s v="英国"/>
    <s v="001000052"/>
    <n v="90"/>
    <x v="2"/>
    <s v="英国海卡"/>
    <s v="BHX4"/>
    <s v="ANX-DT"/>
    <s v="ANX-DT 便携式扩香仪 沙漠钛色"/>
    <s v="ANX"/>
    <n v="3"/>
    <x v="267"/>
  </r>
  <r>
    <n v="308"/>
    <m/>
    <s v="W13006"/>
    <x v="117"/>
    <s v="E-UK"/>
    <s v="英国"/>
    <s v="001000051"/>
    <n v="60"/>
    <x v="2"/>
    <s v="英国海卡"/>
    <s v="BHX4"/>
    <s v="ANX-SG"/>
    <s v="ANX-SG 便携式扩香仪 太空灰色"/>
    <s v="ANX"/>
    <n v="2"/>
    <x v="265"/>
  </r>
  <r>
    <n v="309"/>
    <m/>
    <s v="W13006"/>
    <x v="117"/>
    <s v="E-UK"/>
    <s v="英国"/>
    <s v="001000046"/>
    <n v="60"/>
    <x v="2"/>
    <s v="英国海卡"/>
    <s v="BHX4"/>
    <s v="ANX-SILV"/>
    <s v="ANX-SILV 便携式扩香仪 银色"/>
    <s v="ANX"/>
    <n v="2"/>
    <x v="265"/>
  </r>
  <r>
    <n v="310"/>
    <m/>
    <s v="W13007"/>
    <x v="118"/>
    <s v="W-DE"/>
    <s v="德国"/>
    <s v="AN8KIT-B_4X10K05_TZ"/>
    <n v="150"/>
    <x v="0"/>
    <s v="欧洲海卡"/>
    <s v="BER8"/>
    <s v="AN8KIT-B_4X10K05_TZ"/>
    <s v="AN8KIT-B_4X10K05_TZ AN8黑色机器+4x10mL（天竺）酒店香氛油 机油套装"/>
    <s v="AN8"/>
    <n v="5"/>
    <x v="268"/>
  </r>
  <r>
    <n v="311"/>
    <m/>
    <s v="W13007"/>
    <x v="118"/>
    <s v="W-DE"/>
    <s v="德国"/>
    <s v="AN8KIT-WH_4X10K05_TZ"/>
    <n v="90"/>
    <x v="0"/>
    <s v="欧洲海卡"/>
    <s v="BER8"/>
    <s v="AN8KIT-WH_4X10K05_TZ"/>
    <s v="AN8KIT-WH_4X10K05_TZ AN8白色机器+4x10mL（天竺）酒店香氛油 机油套装"/>
    <s v="AN8"/>
    <n v="3"/>
    <x v="269"/>
  </r>
  <r>
    <n v="312"/>
    <m/>
    <s v="W13009"/>
    <x v="119"/>
    <s v="A-US"/>
    <s v="美国"/>
    <s v="ANZKIT-B_B"/>
    <n v="160"/>
    <x v="2"/>
    <s v="盐田海卡"/>
    <s v="TCY2"/>
    <s v="ANZKIT-B_B"/>
    <s v="ANZKIT-B_B 便携式扩香仪 黑色 两个装"/>
    <s v="ANZ"/>
    <n v="8"/>
    <x v="270"/>
  </r>
  <r>
    <n v="313"/>
    <m/>
    <s v="W13002"/>
    <x v="120"/>
    <s v="W-US"/>
    <s v="美国"/>
    <s v="002000027"/>
    <n v="192"/>
    <x v="7"/>
    <s v="盐田海卡"/>
    <s v="MIT2"/>
    <s v="M1-B"/>
    <s v="M1-B 电子球形把手锁 黑色"/>
    <s v="M1"/>
    <n v="12"/>
    <x v="271"/>
  </r>
  <r>
    <n v="314"/>
    <m/>
    <s v="W13002"/>
    <x v="120"/>
    <s v="W-US"/>
    <s v="美国"/>
    <s v="002000028"/>
    <n v="64"/>
    <x v="7"/>
    <s v="盐田海卡"/>
    <s v="MIT2"/>
    <s v="M1-T"/>
    <s v="M1-T 电子球形把手锁 钛灰色"/>
    <s v="M1"/>
    <n v="4"/>
    <x v="272"/>
  </r>
  <r>
    <n v="315"/>
    <m/>
    <s v="W13002"/>
    <x v="120"/>
    <s v="W-US"/>
    <s v="美国"/>
    <s v="002000029"/>
    <n v="528"/>
    <x v="7"/>
    <s v="盐田海卡"/>
    <s v="MIT2"/>
    <s v="MD1-B"/>
    <s v="MD1-B 电子球形把手锁 指纹 黑色"/>
    <s v="MD1"/>
    <n v="33"/>
    <x v="273"/>
  </r>
  <r>
    <n v="316"/>
    <m/>
    <s v="W13002"/>
    <x v="120"/>
    <s v="W-US"/>
    <s v="美国"/>
    <s v="002000030"/>
    <n v="16"/>
    <x v="7"/>
    <s v="盐田海卡"/>
    <s v="MIT2"/>
    <s v="MD1-T"/>
    <s v="MD1-T 电子球形把手锁 指纹 钛灰色"/>
    <s v="MD1"/>
    <n v="1"/>
    <x v="274"/>
  </r>
  <r>
    <n v="317"/>
    <m/>
    <s v="W13002"/>
    <x v="120"/>
    <s v="W-US"/>
    <s v="美国"/>
    <s v="002000031"/>
    <n v="32"/>
    <x v="7"/>
    <s v="盐田海卡"/>
    <s v="MIT2"/>
    <s v="MK1-B"/>
    <s v="MK1-B 智能球形把手锁 黑色"/>
    <s v="MK1"/>
    <n v="2"/>
    <x v="275"/>
  </r>
  <r>
    <n v="318"/>
    <m/>
    <s v="W13002"/>
    <x v="120"/>
    <s v="W-US"/>
    <s v="美国"/>
    <s v="002000032"/>
    <n v="16"/>
    <x v="7"/>
    <s v="盐田海卡"/>
    <s v="MIT2"/>
    <s v="MK1-T"/>
    <s v="MK1-T 智能球形把手锁 钛色"/>
    <s v="MK1"/>
    <n v="1"/>
    <x v="274"/>
  </r>
  <r>
    <n v="319"/>
    <m/>
    <s v="W13004"/>
    <x v="121"/>
    <s v="W-US"/>
    <s v="美国"/>
    <s v="002000027"/>
    <n v="176"/>
    <x v="7"/>
    <s v="以星海卡"/>
    <s v="POC3"/>
    <s v="M1-B"/>
    <s v="M1-B 电子球形把手锁 黑色"/>
    <s v="M1"/>
    <n v="11"/>
    <x v="172"/>
  </r>
  <r>
    <n v="320"/>
    <m/>
    <s v="W13002"/>
    <x v="122"/>
    <s v="W-US"/>
    <s v="美国"/>
    <s v="G1-B"/>
    <n v="160"/>
    <x v="7"/>
    <s v="盐田海卡"/>
    <s v="MIT2"/>
    <s v="G1-B"/>
    <s v="G1-B 电子球形把手锁 黑色"/>
    <s v="G1"/>
    <n v="10"/>
    <x v="276"/>
  </r>
  <r>
    <n v="321"/>
    <m/>
    <s v="W13003"/>
    <x v="123"/>
    <s v="W-CA"/>
    <s v="加拿大"/>
    <s v="002000027"/>
    <n v="32"/>
    <x v="7"/>
    <s v="加拿大海卡"/>
    <s v="YYZ4"/>
    <s v="M1-B"/>
    <s v="M1-B 电子球形把手锁 黑色"/>
    <s v="M1"/>
    <n v="2"/>
    <x v="277"/>
  </r>
  <r>
    <n v="322"/>
    <m/>
    <s v="W13003"/>
    <x v="123"/>
    <s v="W-CA"/>
    <s v="加拿大"/>
    <s v="002000029"/>
    <n v="48"/>
    <x v="7"/>
    <s v="加拿大海卡"/>
    <s v="YYZ4"/>
    <s v="MD1-B"/>
    <s v="MD1-B 电子球形把手锁 指纹 黑色"/>
    <s v="MD1"/>
    <n v="3"/>
    <x v="278"/>
  </r>
  <r>
    <n v="323"/>
    <m/>
    <s v="W13003"/>
    <x v="123"/>
    <s v="W-CA"/>
    <s v="加拿大"/>
    <s v="002000031"/>
    <n v="16"/>
    <x v="7"/>
    <s v="加拿大海卡"/>
    <s v="YYZ4"/>
    <s v="MK1-B"/>
    <s v="MK1-B 智能球形把手锁 黑色"/>
    <s v="MK1"/>
    <n v="1"/>
    <x v="279"/>
  </r>
  <r>
    <n v="324"/>
    <m/>
    <s v="W13008"/>
    <x v="124"/>
    <s v="V-US"/>
    <s v="美国"/>
    <s v="ANWKIT-B_US_2X100K03"/>
    <n v="360"/>
    <x v="0"/>
    <s v="盐田海卡"/>
    <s v="MIT2"/>
    <s v="ANWKIT-B_US_2X100K03"/>
    <s v="ANWKIT-B_US_2X100K03 ANW黑色机器+2X100mL酒店香氛油（天竺） 机油套装"/>
    <s v="ANW"/>
    <n v="30"/>
    <x v="280"/>
  </r>
  <r>
    <n v="325"/>
    <m/>
    <s v="W13008"/>
    <x v="124"/>
    <s v="V-US"/>
    <s v="美国"/>
    <s v="ANWKIT-WH_US_2X100K03"/>
    <n v="276"/>
    <x v="0"/>
    <s v="盐田海卡"/>
    <s v="MIT2"/>
    <s v="ANWKIT-WH_US_2X100K03"/>
    <s v="ANWKIT-WH_US_2X100K03 ANW白色机器+2X100mL酒店香氛油（天竺） 机油套装"/>
    <s v="ANW"/>
    <n v="23"/>
    <x v="281"/>
  </r>
  <r>
    <n v="326"/>
    <m/>
    <s v="W13012"/>
    <x v="125"/>
    <s v="K-US"/>
    <s v="美国"/>
    <s v="ANPKIT-B_US_3X20K01_TZ"/>
    <n v="192"/>
    <x v="0"/>
    <s v="盐田海卡"/>
    <s v="HLI2"/>
    <s v="ANPKIT-B_US_3X20K01_TZ"/>
    <s v="ANPKIT-B_US_3X20K01_TZ ANP黑色机器+3X20mL酒店香氛油（天竺） 机油套装"/>
    <s v="ANP"/>
    <n v="6"/>
    <x v="282"/>
  </r>
  <r>
    <n v="327"/>
    <m/>
    <s v="W13012"/>
    <x v="125"/>
    <s v="K-US"/>
    <s v="美国"/>
    <s v="ANPKIT-WH_US_3X20K01_TZ"/>
    <n v="416"/>
    <x v="0"/>
    <s v="盐田海卡"/>
    <s v="HLI2"/>
    <s v="ANPKIT-WH_US_3X20K01_TZ"/>
    <s v="ANPKIT-WH_US_3X20K01_TZ ANP白色机器+3X20mL酒店香氛油（天竺） 机油套装"/>
    <s v="ANP"/>
    <n v="13"/>
    <x v="283"/>
  </r>
  <r>
    <n v="328"/>
    <m/>
    <s v="W13012"/>
    <x v="125"/>
    <s v="K-US"/>
    <s v="美国"/>
    <s v="ANPPJ-BOT"/>
    <n v="100"/>
    <x v="0"/>
    <s v="盐田海卡"/>
    <s v="HLI2"/>
    <s v="ANPPJ-BOT"/>
    <s v="ANPPJ-BOT 墙插式智能扩香仪160mL带盖替换瓶"/>
    <s v="ANP-AC"/>
    <n v="1"/>
    <x v="284"/>
  </r>
  <r>
    <n v="329"/>
    <m/>
    <s v="W13005"/>
    <x v="126"/>
    <s v="V-US"/>
    <s v="美国"/>
    <s v="001000032"/>
    <n v="180"/>
    <x v="7"/>
    <s v="盐田海卡"/>
    <s v="TCY1"/>
    <s v="ANW-B"/>
    <s v="ANW-B 智能扩香仪 黑色"/>
    <s v="ANW"/>
    <n v="15"/>
    <x v="285"/>
  </r>
  <r>
    <n v="330"/>
    <m/>
    <s v="W13005"/>
    <x v="126"/>
    <s v="V-US"/>
    <s v="美国"/>
    <s v="001000033"/>
    <n v="420"/>
    <x v="7"/>
    <s v="盐田海卡"/>
    <s v="TCY1"/>
    <s v="ANW-W"/>
    <s v="ANW-W 智能扩香仪 白色"/>
    <s v="ANW"/>
    <n v="35"/>
    <x v="286"/>
  </r>
  <r>
    <n v="331"/>
    <m/>
    <s v="W13005"/>
    <x v="126"/>
    <s v="V-US"/>
    <s v="美国"/>
    <s v="ANP-W_US"/>
    <n v="352"/>
    <x v="7"/>
    <s v="盐田海卡"/>
    <s v="TCY1"/>
    <s v="ANP-W_US"/>
    <s v="ANP-W_US 墙插式智能扩香仪 白色"/>
    <s v="ANP"/>
    <n v="11"/>
    <x v="287"/>
  </r>
  <r>
    <n v="332"/>
    <m/>
    <s v="W13005"/>
    <x v="126"/>
    <s v="V-US"/>
    <s v="美国"/>
    <s v="001000056"/>
    <n v="90"/>
    <x v="7"/>
    <s v="盐田海卡"/>
    <s v="TCY1"/>
    <s v="ANW-Wbot"/>
    <s v="ANW-Wbot ANW带盖瓶子 白喷头"/>
    <s v="ANW-AC"/>
    <n v="1"/>
    <x v="288"/>
  </r>
  <r>
    <n v="333"/>
    <m/>
    <s v="W13001"/>
    <x v="127"/>
    <s v="V-US"/>
    <s v="美国"/>
    <s v="006000024"/>
    <n v="1350"/>
    <x v="3"/>
    <s v="盐田海卡"/>
    <s v="TCY2"/>
    <s v="A-RZ3-100"/>
    <s v="A-Ritz Carlton Hotel 3-100 丽思卡尔顿酒店3香氛油100mL"/>
    <s v="Oil-HQ"/>
    <n v="15"/>
    <x v="289"/>
  </r>
  <r>
    <n v="334"/>
    <s v="备注跟FBA19987CYJC合并报关"/>
    <s v="W13001"/>
    <x v="128"/>
    <s v="E-US"/>
    <s v="美国"/>
    <s v="HOTEL6KIT1-6X10K01"/>
    <n v="760"/>
    <x v="3"/>
    <s v="盐田海卡"/>
    <s v="POC3"/>
    <s v="HOTEL6KIT1-6X10K01"/>
    <s v="HOTEL6KIT1-6X10K01 酒店香氛油6款10mL套装"/>
    <s v="Oil-HQ"/>
    <n v="10"/>
    <x v="290"/>
  </r>
  <r>
    <n v="335"/>
    <s v="送货到天盛广州仓安排跟会七里的货合并计费，备注跟FBA19987CYJC合并报关"/>
    <s v="W13001"/>
    <x v="129"/>
    <s v="E-US"/>
    <s v="美国"/>
    <s v="SJ1-100ML_TZ"/>
    <n v="256"/>
    <x v="3"/>
    <s v="盐田海卡"/>
    <s v="POC3"/>
    <s v="SJ1-100ML_TZ"/>
    <s v="SJ1-100ML_TZ 四季酒店100mL香氛油（天竺） 销售包装"/>
    <s v="Oil-TZ"/>
    <n v="4"/>
    <x v="291"/>
  </r>
  <r>
    <n v="336"/>
    <m/>
    <s v="W13001"/>
    <x v="129"/>
    <s v="E-US"/>
    <s v="美国"/>
    <s v="WST1-100ML_TZ"/>
    <n v="128"/>
    <x v="3"/>
    <s v="盐田海卡"/>
    <s v="POC3"/>
    <s v="WST1-100ML_TZ"/>
    <s v="WST1-100ML_TZ 威斯汀酒店白茶100mL香氛油（天竺） 销售包装"/>
    <s v="Oil-TZ"/>
    <n v="2"/>
    <x v="292"/>
  </r>
  <r>
    <n v="337"/>
    <m/>
    <s v="W13001"/>
    <x v="129"/>
    <s v="E-US"/>
    <s v="美国"/>
    <s v="HILTON1-100ML_TZ"/>
    <n v="384"/>
    <x v="3"/>
    <s v="盐田海卡"/>
    <s v="POC3"/>
    <s v="HILTON1-100ML_TZ"/>
    <s v="HILTON1-100ML_TZ 希尔顿酒店100mL香氛油（天竺） 销售包装"/>
    <s v="Oil-TZ"/>
    <n v="6"/>
    <x v="293"/>
  </r>
  <r>
    <n v="338"/>
    <m/>
    <s v="W13007"/>
    <x v="130"/>
    <s v="W-DE"/>
    <s v="德国"/>
    <s v="003000007"/>
    <n v="72"/>
    <x v="0"/>
    <s v="欧洲海卡"/>
    <s v="BER8"/>
    <s v="AP2F-H14"/>
    <s v="AP2F-H14 空气净化器滤网2-H14"/>
    <s v="AP2F"/>
    <n v="2"/>
    <x v="294"/>
  </r>
  <r>
    <n v="339"/>
    <m/>
    <s v="W14006"/>
    <x v="131"/>
    <s v="E-US"/>
    <s v="美国"/>
    <s v="ANZKIT-B_4X10K04_TZ"/>
    <n v="810"/>
    <x v="2"/>
    <s v="盐田海卡"/>
    <s v="GEU2"/>
    <s v="ANZKIT-B_4X10K04_TZ"/>
    <s v="ANZKIT-B_4X10K04_TZ ANZ黑色机器+4x10mL酒店（天竺）香氛油 机油套装"/>
    <s v="ANZ"/>
    <n v="27"/>
    <x v="295"/>
  </r>
  <r>
    <n v="340"/>
    <m/>
    <s v="W14006"/>
    <x v="131"/>
    <s v="E-US"/>
    <s v="美国"/>
    <s v="ANZKIT-W_4X10K04_TZ"/>
    <n v="300"/>
    <x v="2"/>
    <s v="盐田海卡"/>
    <s v="GEU2"/>
    <s v="ANZKIT-W_4X10K04_TZ"/>
    <s v="ANZKIT-W_4X10K04_TZ ANZ白色机器+4x10mL酒店（天竺）香氛油 机油套装"/>
    <s v="ANZ"/>
    <n v="10"/>
    <x v="296"/>
  </r>
  <r>
    <n v="341"/>
    <s v="续页费50"/>
    <s v="W14007"/>
    <x v="132"/>
    <s v="E-US"/>
    <s v="美国"/>
    <s v="001000045"/>
    <n v="450"/>
    <x v="0"/>
    <s v="盐田海卡"/>
    <s v="GEU2"/>
    <s v="ANX-B"/>
    <s v="ANX-B 便携式扩香仪 黑色"/>
    <s v="ANX"/>
    <n v="15"/>
    <x v="297"/>
  </r>
  <r>
    <n v="342"/>
    <m/>
    <s v="W14007"/>
    <x v="132"/>
    <s v="E-US"/>
    <s v="美国"/>
    <s v="001000051"/>
    <n v="150"/>
    <x v="0"/>
    <s v="盐田海卡"/>
    <s v="GEU2"/>
    <s v="ANX-SG"/>
    <s v="ANX-SG 便携式扩香仪 太空灰色"/>
    <s v="ANX"/>
    <n v="5"/>
    <x v="298"/>
  </r>
  <r>
    <n v="343"/>
    <m/>
    <s v="W14007"/>
    <x v="132"/>
    <s v="E-US"/>
    <s v="美国"/>
    <s v="ANZ-B"/>
    <n v="2000"/>
    <x v="0"/>
    <s v="盐田海卡"/>
    <s v="GEU2"/>
    <s v="ANZ-B"/>
    <s v="ANZ-B 便携式扩香仪 黑色"/>
    <s v="ANZ"/>
    <n v="50"/>
    <x v="299"/>
  </r>
  <r>
    <n v="344"/>
    <m/>
    <s v="W14007"/>
    <x v="132"/>
    <s v="E-US"/>
    <s v="美国"/>
    <s v="ANZ-WH"/>
    <n v="480"/>
    <x v="0"/>
    <s v="盐田海卡"/>
    <s v="GEU2"/>
    <s v="ANZ-WH"/>
    <s v="ANZ-WH 便携式扩香仪 白色"/>
    <s v="ANZ"/>
    <n v="12"/>
    <x v="300"/>
  </r>
  <r>
    <n v="345"/>
    <m/>
    <s v="W14007"/>
    <x v="133"/>
    <s v="A-US"/>
    <s v="美国"/>
    <s v="ANZKIT-B_B"/>
    <n v="100"/>
    <x v="0"/>
    <s v="盐田海卡"/>
    <s v="GEU2"/>
    <s v="ANZKIT-B_B"/>
    <s v="ANZKIT-B_B 便携式扩香仪 黑色 两个装"/>
    <s v="ANZ"/>
    <n v="5"/>
    <x v="301"/>
  </r>
  <r>
    <n v="346"/>
    <m/>
    <s v="W14006"/>
    <x v="134"/>
    <s v="V-US"/>
    <s v="美国"/>
    <s v="AN6KIT-B_4X10K04_TZ"/>
    <n v="420"/>
    <x v="2"/>
    <s v="盐田海卡"/>
    <s v="GEU2"/>
    <s v="AN6KIT-B_4X10K04_TZ"/>
    <s v="AN6KIT-B_4X10K04_TZ AN6黑色机器+4x10mL酒店（天竺）香氛油 机油套装"/>
    <s v="AN6"/>
    <n v="14"/>
    <x v="302"/>
  </r>
  <r>
    <n v="347"/>
    <m/>
    <s v="W14006"/>
    <x v="134"/>
    <s v="V-US"/>
    <s v="美国"/>
    <s v="AN8KIT-B_4X10K05_TZ"/>
    <n v="3300"/>
    <x v="2"/>
    <s v="盐田海卡"/>
    <s v="GEU2"/>
    <s v="AN8KIT-B_4X10K05_TZ"/>
    <s v="AN8KIT-B_4X10K05_TZ AN8黑色机器+4x10mL（天竺）酒店香氛油 机油套装"/>
    <s v="AN8"/>
    <n v="110"/>
    <x v="303"/>
  </r>
  <r>
    <n v="348"/>
    <m/>
    <s v="W14007"/>
    <x v="135"/>
    <s v="V-US"/>
    <s v="美国"/>
    <s v="001000019"/>
    <n v="1000"/>
    <x v="0"/>
    <s v="盐田海卡"/>
    <s v="GEU2"/>
    <s v="AN6-B"/>
    <s v="AN6-B 便携式扩香仪 黑色"/>
    <s v="AN6"/>
    <n v="25"/>
    <x v="304"/>
  </r>
  <r>
    <n v="349"/>
    <m/>
    <s v="W14007"/>
    <x v="135"/>
    <s v="V-US"/>
    <s v="美国"/>
    <s v="001000039"/>
    <n v="240"/>
    <x v="0"/>
    <s v="盐田海卡"/>
    <s v="GEU2"/>
    <s v="AN6-GL"/>
    <s v="AN6-GL 便携式扩香仪 翠百合色"/>
    <s v="AN6"/>
    <n v="6"/>
    <x v="305"/>
  </r>
  <r>
    <n v="350"/>
    <m/>
    <s v="W14007"/>
    <x v="135"/>
    <s v="V-US"/>
    <s v="美国"/>
    <s v="AN8-B"/>
    <n v="320"/>
    <x v="0"/>
    <s v="盐田海卡"/>
    <s v="GEU2"/>
    <s v="AN8-B"/>
    <s v="AN8-B 便携式扩香仪 黑色"/>
    <s v="AN8"/>
    <n v="8"/>
    <x v="306"/>
  </r>
  <r>
    <n v="351"/>
    <m/>
    <s v="W14007"/>
    <x v="135"/>
    <s v="V-US"/>
    <s v="美国"/>
    <s v="AN8KIT-B_B"/>
    <n v="180"/>
    <x v="0"/>
    <s v="盐田海卡"/>
    <s v="GEU2"/>
    <s v="AN8KIT-B_B"/>
    <s v="AN8KIT-B_B 便携式扩香仪套装 黑+黑"/>
    <s v="AN8"/>
    <n v="9"/>
    <x v="307"/>
  </r>
  <r>
    <n v="352"/>
    <m/>
    <s v="W14007"/>
    <x v="135"/>
    <s v="V-US"/>
    <s v="美国"/>
    <s v="AN8-WH"/>
    <n v="200"/>
    <x v="0"/>
    <s v="盐田海卡"/>
    <s v="GEU2"/>
    <s v="AN8-WH"/>
    <s v="AN8-WH 便携式扩香仪 白色"/>
    <s v="AN8"/>
    <n v="5"/>
    <x v="308"/>
  </r>
  <r>
    <n v="353"/>
    <m/>
    <s v="W14007"/>
    <x v="135"/>
    <s v="V-US"/>
    <s v="美国"/>
    <s v="AN8NZ-B"/>
    <n v="200"/>
    <x v="0"/>
    <s v="盐田海卡"/>
    <s v="GEU2"/>
    <s v="AN8NZ-B"/>
    <s v="AN8NZ-B AN8(Z)喷嘴配件套装 黑色"/>
    <s v="AN8-AC"/>
    <n v="1"/>
    <x v="309"/>
  </r>
  <r>
    <n v="354"/>
    <m/>
    <s v="W14002"/>
    <x v="136"/>
    <s v="K-US"/>
    <s v="美国"/>
    <s v="RDX-B_US"/>
    <n v="90"/>
    <x v="2"/>
    <s v="盐田海卡"/>
    <s v="TCY1"/>
    <s v="RDX-B_US"/>
    <s v="RDX-B_US 智能扩香仪 黑色"/>
    <s v="RDX"/>
    <n v="10"/>
    <x v="310"/>
  </r>
  <r>
    <n v="355"/>
    <m/>
    <s v="W14002"/>
    <x v="136"/>
    <s v="K-US"/>
    <s v="美国"/>
    <s v="RDXKIT-B_US_2X100K04"/>
    <n v="360"/>
    <x v="2"/>
    <s v="盐田海卡"/>
    <s v="TCY1"/>
    <s v="RDXKIT-B_US_2X100K04"/>
    <s v="RDXKIT-B_US_2X100K04 RDX黑色机器+2X100mL酒店香氛油（天竺） 机油套装"/>
    <s v="RDX"/>
    <n v="40"/>
    <x v="311"/>
  </r>
  <r>
    <n v="356"/>
    <m/>
    <s v="W14001"/>
    <x v="137"/>
    <s v="W-US"/>
    <s v="美国"/>
    <s v="G1-B"/>
    <n v="592"/>
    <x v="3"/>
    <s v="美森海卡"/>
    <s v="POC1"/>
    <s v="G1-B"/>
    <s v="G1-B 电子球形把手锁 黑色"/>
    <s v="G1"/>
    <n v="37"/>
    <x v="312"/>
  </r>
  <r>
    <n v="357"/>
    <m/>
    <s v="W14001"/>
    <x v="137"/>
    <s v="W-US"/>
    <s v="美国"/>
    <s v="G1-SILV"/>
    <n v="160"/>
    <x v="3"/>
    <s v="美森海卡"/>
    <s v="POC1"/>
    <s v="G1-SILV"/>
    <s v="G1-SILV 电子球形把手锁 银色"/>
    <s v="G1"/>
    <n v="10"/>
    <x v="313"/>
  </r>
  <r>
    <n v="358"/>
    <m/>
    <s v="W14005"/>
    <x v="138"/>
    <s v="W-US"/>
    <s v="美国"/>
    <s v="G1-B"/>
    <n v="304"/>
    <x v="7"/>
    <s v="盐田海卡"/>
    <s v="POC1"/>
    <s v="G1-B"/>
    <s v="G1-B 电子球形把手锁 黑色"/>
    <s v="G1"/>
    <n v="19"/>
    <x v="236"/>
  </r>
  <r>
    <n v="359"/>
    <m/>
    <s v="W14006"/>
    <x v="139"/>
    <s v="V-US"/>
    <s v="美国"/>
    <s v="001000032"/>
    <n v="240"/>
    <x v="2"/>
    <s v="盐田海卡"/>
    <s v="GEU2"/>
    <s v="ANW-B"/>
    <s v="ANW-B 智能扩香仪 黑色"/>
    <s v="ANW"/>
    <n v="20"/>
    <x v="314"/>
  </r>
  <r>
    <n v="360"/>
    <m/>
    <s v="W14006"/>
    <x v="139"/>
    <s v="V-US"/>
    <s v="美国"/>
    <s v="001000033"/>
    <n v="456"/>
    <x v="2"/>
    <s v="盐田海卡"/>
    <s v="GEU2"/>
    <s v="ANW-W"/>
    <s v="ANW-W 智能扩香仪 白色"/>
    <s v="ANW"/>
    <n v="38"/>
    <x v="315"/>
  </r>
  <r>
    <n v="361"/>
    <m/>
    <s v="W14002"/>
    <x v="140"/>
    <s v="K-US"/>
    <s v="美国"/>
    <s v="ANPKIT-WH_US_3X20K01_TZ"/>
    <n v="160"/>
    <x v="2"/>
    <s v="盐田海卡"/>
    <s v="GEU2"/>
    <s v="ANPKIT-WH_US_3X20K01_TZ"/>
    <s v="ANPKIT-WH_US_3X20K01_TZ ANP白色机器+3X20mL酒店香氛油（天竺） 机油套装"/>
    <s v="ANP"/>
    <n v="5"/>
    <x v="316"/>
  </r>
  <r>
    <n v="362"/>
    <m/>
    <s v="W14006"/>
    <x v="141"/>
    <s v="V-US"/>
    <s v="美国"/>
    <s v="ANP-W_US"/>
    <n v="160"/>
    <x v="2"/>
    <s v="盐田海卡"/>
    <s v="GEU2"/>
    <s v="ANP-W_US"/>
    <s v="ANP-W_US 墙插式智能扩香仪 白色"/>
    <s v="ANP"/>
    <n v="5"/>
    <x v="317"/>
  </r>
  <r>
    <n v="363"/>
    <m/>
    <s v="W14004"/>
    <x v="142"/>
    <s v="E-US"/>
    <s v="美国"/>
    <s v="BLG1-100ML"/>
    <n v="180"/>
    <x v="3"/>
    <s v="盐田海卡"/>
    <s v="POC3"/>
    <s v="BLG1-100ML"/>
    <s v="BLG1-100ML 百乐宫酒店香氛油100mL"/>
    <s v="Oil-HQ"/>
    <n v="2"/>
    <x v="318"/>
  </r>
  <r>
    <n v="364"/>
    <m/>
    <s v="W14004"/>
    <x v="142"/>
    <s v="E-US"/>
    <s v="美国"/>
    <s v="MWAY1-100ML"/>
    <n v="90"/>
    <x v="3"/>
    <s v="盐田海卡"/>
    <s v="POC3"/>
    <s v="A-MWAY-100"/>
    <s v="A-MWAY Deluxe-100 特定香型香氛油100mL"/>
    <s v="Oil-HQ"/>
    <n v="1"/>
    <x v="319"/>
  </r>
  <r>
    <n v="365"/>
    <m/>
    <s v="W14004"/>
    <x v="142"/>
    <s v="E-US"/>
    <s v="美国"/>
    <s v="006000026"/>
    <n v="270"/>
    <x v="3"/>
    <s v="盐田海卡"/>
    <s v="POC3"/>
    <s v="A-MT-100"/>
    <s v="A-Marriott Hotel 1-100 万豪酒店1香氛油100mL"/>
    <s v="Oil-HQ"/>
    <n v="3"/>
    <x v="320"/>
  </r>
  <r>
    <n v="366"/>
    <m/>
    <s v="W14004"/>
    <x v="143"/>
    <s v="V-US"/>
    <s v="美国"/>
    <s v="006000024"/>
    <n v="630"/>
    <x v="3"/>
    <s v="盐田海卡"/>
    <s v="POC3"/>
    <s v="A-RZ3-100"/>
    <s v="A-Ritz Carlton Hotel 3-100 丽思卡尔顿酒店3香氛油100mL"/>
    <s v="Oil-HQ"/>
    <n v="7"/>
    <x v="321"/>
  </r>
  <r>
    <n v="367"/>
    <m/>
    <s v="W14004"/>
    <x v="143"/>
    <s v="V-US"/>
    <s v="美国"/>
    <s v="RZ-500ML"/>
    <n v="60"/>
    <x v="3"/>
    <s v="盐田海卡"/>
    <s v="POC3"/>
    <s v="RZ-500ML"/>
    <s v="RZ-500ML 丽思卡尔顿酒店3香氛油500mL"/>
    <s v="Oil-HQ"/>
    <n v="3"/>
    <x v="322"/>
  </r>
  <r>
    <n v="368"/>
    <s v="跟上周一样，拉到广州仓库去合并下单，报关"/>
    <s v="W14004"/>
    <x v="144"/>
    <s v="E-US"/>
    <s v="美国"/>
    <s v="BCRT1-100ML_TZ"/>
    <n v="192"/>
    <x v="3"/>
    <s v="盐田海卡"/>
    <s v="POC3"/>
    <s v="BCRT1-100ML_TZ"/>
    <s v="BCRT1-100ML_TZ 巴卡拉酒店100mL香氛油（天竺） 销售包装"/>
    <s v="Oil-TZ"/>
    <n v="3"/>
    <x v="323"/>
  </r>
  <r>
    <n v="369"/>
    <m/>
    <s v="W14004"/>
    <x v="144"/>
    <s v="E-US"/>
    <s v="美国"/>
    <s v="W1-100ML_TZ"/>
    <n v="128"/>
    <x v="3"/>
    <s v="盐田海卡"/>
    <s v="POC3"/>
    <s v="W1-100ML_TZ"/>
    <s v="W1-100ML_TZ W酒店100mL香氛油（天竺） 销售包装"/>
    <s v="Oil-TZ"/>
    <n v="2"/>
    <x v="324"/>
  </r>
  <r>
    <n v="370"/>
    <m/>
    <s v="W14004"/>
    <x v="144"/>
    <s v="E-US"/>
    <s v="美国"/>
    <s v="HILTON1-100ML_TZ"/>
    <n v="448"/>
    <x v="3"/>
    <s v="盐田海卡"/>
    <s v="POC3"/>
    <s v="HILTON1-100ML_TZ"/>
    <s v="HILTON1-100ML_TZ 希尔顿酒店100mL香氛油（天竺） 销售包装"/>
    <s v="Oil-TZ"/>
    <n v="7"/>
    <x v="325"/>
  </r>
  <r>
    <n v="371"/>
    <m/>
    <s v="W14003"/>
    <x v="145"/>
    <s v="A-CA"/>
    <s v="加拿大"/>
    <s v="002000022"/>
    <n v="24"/>
    <x v="7"/>
    <s v="加拿大海卡"/>
    <s v="YYZ7"/>
    <s v="H2-G"/>
    <s v="H2-G 电子指纹球形把手锁-灰色"/>
    <s v="H2"/>
    <n v="2"/>
    <x v="326"/>
  </r>
  <r>
    <n v="372"/>
    <m/>
    <s v="W14003"/>
    <x v="145"/>
    <s v="A-CA"/>
    <s v="加拿大"/>
    <s v="002000001"/>
    <n v="168"/>
    <x v="7"/>
    <s v="加拿大海卡"/>
    <s v="YYZ7"/>
    <s v="K1-B"/>
    <s v="K1-B 电子球形把手锁-黑色"/>
    <s v="K1"/>
    <n v="14"/>
    <x v="327"/>
  </r>
  <r>
    <n v="373"/>
    <m/>
    <s v="W14003"/>
    <x v="145"/>
    <s v="A-CA"/>
    <s v="加拿大"/>
    <s v="002000007"/>
    <n v="348"/>
    <x v="7"/>
    <s v="加拿大海卡"/>
    <s v="YYZ7"/>
    <s v="K1-S+S"/>
    <s v="K1-S+S 电子球形把手锁-镍镍"/>
    <s v="K1"/>
    <n v="29"/>
    <x v="328"/>
  </r>
  <r>
    <n v="374"/>
    <m/>
    <s v="W15007"/>
    <x v="146"/>
    <s v="V-US"/>
    <s v="美国"/>
    <s v="001000028"/>
    <n v="300"/>
    <x v="0"/>
    <s v="盐田海卡"/>
    <s v="GEU2"/>
    <s v="AN6-2PC-BB"/>
    <s v="AN6-2PC-BB 便携式扩香仪套装 黑+黑"/>
    <s v="AN6"/>
    <n v="15"/>
    <x v="329"/>
  </r>
  <r>
    <n v="375"/>
    <m/>
    <s v="W15007"/>
    <x v="146"/>
    <s v="V-US"/>
    <s v="美国"/>
    <s v="001000019"/>
    <n v="1200"/>
    <x v="0"/>
    <s v="盐田海卡"/>
    <s v="GEU2"/>
    <s v="AN6-B"/>
    <s v="AN6-B 便携式扩香仪 黑色"/>
    <s v="AN6"/>
    <n v="30"/>
    <x v="330"/>
  </r>
  <r>
    <n v="376"/>
    <m/>
    <s v="W15007"/>
    <x v="146"/>
    <s v="V-US"/>
    <s v="美国"/>
    <s v="001000020"/>
    <n v="240"/>
    <x v="0"/>
    <s v="盐田海卡"/>
    <s v="GEU2"/>
    <s v="AN6-W"/>
    <s v="AN6-W 便携式扩香仪 白色"/>
    <s v="AN6"/>
    <n v="6"/>
    <x v="331"/>
  </r>
  <r>
    <n v="377"/>
    <m/>
    <s v="W15007"/>
    <x v="146"/>
    <s v="V-US"/>
    <s v="美国"/>
    <s v="AN8-B"/>
    <n v="320"/>
    <x v="0"/>
    <s v="盐田海卡"/>
    <s v="GEU2"/>
    <s v="AN8-B"/>
    <s v="AN8-B 便携式扩香仪 黑色"/>
    <s v="AN8"/>
    <n v="8"/>
    <x v="332"/>
  </r>
  <r>
    <n v="378"/>
    <m/>
    <s v="W15001"/>
    <x v="147"/>
    <s v="K-US"/>
    <s v="美国"/>
    <s v="RDXKIT-B_US_2X100K04"/>
    <n v="288"/>
    <x v="0"/>
    <s v="盐田海卡"/>
    <s v="GEU3"/>
    <s v="RDXKIT-B_US_2X100K04"/>
    <s v="RDXKIT-B_US_2X100K04 RDX黑色机器+2X100mL酒店香氛油（天竺） 机油套装"/>
    <s v="RDX"/>
    <n v="32"/>
    <x v="333"/>
  </r>
  <r>
    <n v="379"/>
    <m/>
    <s v="W15003"/>
    <x v="148"/>
    <s v="V-US"/>
    <s v="美国"/>
    <s v="AN8KIT-B_4X10K05_TZ"/>
    <n v="3300"/>
    <x v="2"/>
    <s v="盐田海卡"/>
    <s v="TCY2"/>
    <s v="AN8KIT-B_4X10K05_TZ"/>
    <s v="AN8KIT-B_4X10K05_TZ AN8黑色机器+4x10mL（天竺）酒店香氛油 机油套装"/>
    <s v="AN8"/>
    <n v="110"/>
    <x v="334"/>
  </r>
  <r>
    <n v="380"/>
    <m/>
    <s v="W15003"/>
    <x v="148"/>
    <s v="V-US"/>
    <s v="美国"/>
    <s v="AN8KIT-WH_4X10K05_TZ"/>
    <n v="300"/>
    <x v="2"/>
    <s v="盐田海卡"/>
    <s v="TCY2"/>
    <s v="AN8KIT-WH_4X10K05_TZ"/>
    <s v="AN8KIT-WH_4X10K05_TZ AN8白色机器+4x10mL（天竺）酒店香氛油 机油套装"/>
    <s v="AN8"/>
    <n v="10"/>
    <x v="335"/>
  </r>
  <r>
    <n v="381"/>
    <m/>
    <s v="W15003"/>
    <x v="148"/>
    <s v="V-US"/>
    <s v="美国"/>
    <s v="ANXKIT-GD_RZ30ml"/>
    <n v="90"/>
    <x v="2"/>
    <s v="盐田海卡"/>
    <s v="TCY2"/>
    <s v="ANXKIT-GD_RZ30ml"/>
    <s v="ANXKIT-GD_RZ30ml ANX金色机器+30mL丽思香氛油 机油套装"/>
    <s v="ANX"/>
    <n v="3"/>
    <x v="336"/>
  </r>
  <r>
    <n v="382"/>
    <m/>
    <s v="W15006"/>
    <x v="149"/>
    <s v="E-US"/>
    <s v="美国"/>
    <s v="001000046"/>
    <n v="180"/>
    <x v="0"/>
    <s v="以星海卡"/>
    <s v="GEU2"/>
    <s v="ANX-SILV"/>
    <s v="ANX-SILV 便携式扩香仪 银色"/>
    <s v="ANX"/>
    <n v="6"/>
    <x v="337"/>
  </r>
  <r>
    <n v="383"/>
    <m/>
    <s v="W15007"/>
    <x v="150"/>
    <s v="E-US"/>
    <s v="美国"/>
    <s v="001000045"/>
    <n v="180"/>
    <x v="0"/>
    <s v="盐田海卡"/>
    <s v="GEU2"/>
    <s v="ANX-B"/>
    <s v="ANX-B 便携式扩香仪 黑色"/>
    <s v="ANX"/>
    <n v="6"/>
    <x v="338"/>
  </r>
  <r>
    <n v="384"/>
    <m/>
    <s v="W15007"/>
    <x v="150"/>
    <s v="E-US"/>
    <s v="美国"/>
    <s v="ANZ-B"/>
    <n v="1400"/>
    <x v="0"/>
    <s v="盐田海卡"/>
    <s v="GEU2"/>
    <s v="ANZ-B"/>
    <s v="ANZ-B 便携式扩香仪 黑色"/>
    <s v="ANZ"/>
    <n v="35"/>
    <x v="339"/>
  </r>
  <r>
    <n v="385"/>
    <m/>
    <s v="W15007"/>
    <x v="150"/>
    <s v="E-US"/>
    <s v="美国"/>
    <s v="ANZ-WH"/>
    <n v="600"/>
    <x v="0"/>
    <s v="盐田海卡"/>
    <s v="GEU2"/>
    <s v="ANZ-WH"/>
    <s v="ANZ-WH 便携式扩香仪 白色"/>
    <s v="ANZ"/>
    <n v="15"/>
    <x v="340"/>
  </r>
  <r>
    <n v="386"/>
    <m/>
    <s v="W15003"/>
    <x v="151"/>
    <s v="E-US"/>
    <s v="美国"/>
    <s v="ANZKIT-B_4X10K04_TZ"/>
    <n v="420"/>
    <x v="2"/>
    <s v="盐田海卡"/>
    <s v="TCY1"/>
    <s v="ANZKIT-B_4X10K04_TZ"/>
    <s v="ANZKIT-B_4X10K04_TZ ANZ黑色机器+4x10mL酒店（天竺）香氛油 机油套装"/>
    <s v="ANZ"/>
    <n v="14"/>
    <x v="341"/>
  </r>
  <r>
    <n v="387"/>
    <m/>
    <s v="W15003"/>
    <x v="152"/>
    <s v="W-US"/>
    <s v="美国"/>
    <s v="G1-B"/>
    <n v="576"/>
    <x v="2"/>
    <s v="盐田海卡"/>
    <s v="MIT2"/>
    <s v="G1-B"/>
    <s v="G1-B 电子球形把手锁 黑色"/>
    <s v="G1"/>
    <n v="36"/>
    <x v="342"/>
  </r>
  <r>
    <n v="388"/>
    <m/>
    <s v="W15003"/>
    <x v="152"/>
    <s v="W-US"/>
    <s v="美国"/>
    <s v="G1-SILV"/>
    <n v="112"/>
    <x v="2"/>
    <s v="盐田海卡"/>
    <s v="MIT2"/>
    <s v="G1-SILV"/>
    <s v="G1-SILV 电子球形把手锁 银色"/>
    <s v="G1"/>
    <n v="7"/>
    <x v="343"/>
  </r>
  <r>
    <n v="389"/>
    <m/>
    <s v="W15003"/>
    <x v="152"/>
    <s v="W-US"/>
    <s v="美国"/>
    <s v="002000029"/>
    <n v="160"/>
    <x v="2"/>
    <s v="盐田海卡"/>
    <s v="MIT2"/>
    <s v="MD1-B"/>
    <s v="MD1-B 电子球形把手锁 指纹 黑色"/>
    <s v="MD1"/>
    <n v="10"/>
    <x v="344"/>
  </r>
  <r>
    <n v="390"/>
    <m/>
    <s v="W15003"/>
    <x v="152"/>
    <s v="W-US"/>
    <s v="美国"/>
    <s v="002000038"/>
    <n v="80"/>
    <x v="2"/>
    <s v="盐田海卡"/>
    <s v="MIT2"/>
    <s v="MD1-SILV"/>
    <s v="MD1-SILV 电子球形把手锁 指纹 银色"/>
    <s v="MD1"/>
    <n v="5"/>
    <x v="345"/>
  </r>
  <r>
    <n v="391"/>
    <m/>
    <s v="W15003"/>
    <x v="152"/>
    <s v="W-US"/>
    <s v="美国"/>
    <s v="002000030"/>
    <n v="48"/>
    <x v="2"/>
    <s v="盐田海卡"/>
    <s v="MIT2"/>
    <s v="MD1-T"/>
    <s v="MD1-T 电子球形把手锁 指纹 钛灰色"/>
    <s v="MD1"/>
    <n v="3"/>
    <x v="346"/>
  </r>
  <r>
    <n v="392"/>
    <m/>
    <s v="W15003"/>
    <x v="152"/>
    <s v="W-US"/>
    <s v="美国"/>
    <s v="002000031"/>
    <n v="80"/>
    <x v="2"/>
    <s v="盐田海卡"/>
    <s v="MIT2"/>
    <s v="MK1-B"/>
    <s v="MK1-B 智能球形把手锁 黑色"/>
    <s v="MK1"/>
    <n v="5"/>
    <x v="345"/>
  </r>
  <r>
    <n v="393"/>
    <m/>
    <s v="W15003"/>
    <x v="153"/>
    <s v="V-US"/>
    <s v="美国"/>
    <s v="ANAKIT-WH_US_2X100K03"/>
    <n v="396"/>
    <x v="2"/>
    <s v="盐田海卡"/>
    <s v="TCY2"/>
    <s v="ANAKIT-WH_US_2X100K03"/>
    <s v="ANAKIT-WH_US_2X100K03 ANA白色机器+2X100mL酒店香氛油（天竺） 机油套装"/>
    <s v="ANA"/>
    <n v="33"/>
    <x v="347"/>
  </r>
  <r>
    <n v="394"/>
    <m/>
    <s v="W15003"/>
    <x v="153"/>
    <s v="V-US"/>
    <s v="美国"/>
    <s v="ANWKIT-B_US_2X100K03"/>
    <n v="180"/>
    <x v="2"/>
    <s v="盐田海卡"/>
    <s v="TCY2"/>
    <s v="ANWKIT-B_US_2X100K03"/>
    <s v="ANWKIT-B_US_2X100K03 ANW黑色机器+2X100mL酒店香氛油（天竺） 机油套装"/>
    <s v="ANW"/>
    <n v="15"/>
    <x v="348"/>
  </r>
  <r>
    <n v="395"/>
    <m/>
    <s v="W15003"/>
    <x v="154"/>
    <s v="V-US"/>
    <s v="美国"/>
    <s v="001000032"/>
    <n v="240"/>
    <x v="2"/>
    <s v="盐田海卡"/>
    <s v="GEU2"/>
    <s v="ANW-B"/>
    <s v="ANW-B 智能扩香仪 黑色"/>
    <s v="ANW"/>
    <n v="20"/>
    <x v="349"/>
  </r>
  <r>
    <n v="396"/>
    <m/>
    <s v="W15003"/>
    <x v="154"/>
    <s v="V-US"/>
    <s v="美国"/>
    <s v="ANP-W_US"/>
    <n v="352"/>
    <x v="2"/>
    <s v="盐田海卡"/>
    <s v="GEU2"/>
    <s v="ANP-W_US"/>
    <s v="ANP-W_US 墙插式智能扩香仪 白色"/>
    <s v="ANP"/>
    <n v="11"/>
    <x v="350"/>
  </r>
  <r>
    <n v="397"/>
    <m/>
    <s v="W15003"/>
    <x v="154"/>
    <s v="V-US"/>
    <s v="美国"/>
    <s v="001000057"/>
    <n v="90"/>
    <x v="2"/>
    <s v="盐田海卡"/>
    <s v="GEU2"/>
    <s v="ANW-Bbot"/>
    <s v="ANW-Bbot ANW带盖瓶子 黑喷头"/>
    <s v="ANW-AC"/>
    <n v="1"/>
    <x v="351"/>
  </r>
  <r>
    <n v="398"/>
    <m/>
    <s v="W15002"/>
    <x v="155"/>
    <s v="W-DE"/>
    <s v="德国"/>
    <s v="ANA-WH_EU"/>
    <n v="144"/>
    <x v="0"/>
    <s v="欧洲海卡"/>
    <s v="BER8"/>
    <s v="ANA-WH_EU"/>
    <s v="ANA-WH_EU 智能扩香仪 欧规 白色"/>
    <s v="ANA"/>
    <n v="12"/>
    <x v="352"/>
  </r>
  <r>
    <n v="399"/>
    <m/>
    <s v="W15004"/>
    <x v="156"/>
    <s v="V-US"/>
    <s v="美国"/>
    <s v="006000024"/>
    <n v="450"/>
    <x v="3"/>
    <s v="盐田海卡"/>
    <s v="GEU2"/>
    <s v="A-RZ3-100"/>
    <s v="A-Ritz Carlton Hotel 3-100 丽思卡尔顿酒店3香氛油100mL"/>
    <s v="Oil-HQ"/>
    <n v="5"/>
    <x v="353"/>
  </r>
  <r>
    <n v="400"/>
    <m/>
    <s v="W15004"/>
    <x v="157"/>
    <s v="E-US"/>
    <s v="美国"/>
    <s v="HOTEL6KIT1-6X10K01"/>
    <n v="228"/>
    <x v="3"/>
    <s v="盐田海卡"/>
    <s v="GEU2"/>
    <s v="HOTEL6KIT1-6X10K01"/>
    <s v="HOTEL6KIT1-6X10K01 酒店香氛油6款10mL套装"/>
    <s v="Oil-HQ"/>
    <n v="3"/>
    <x v="354"/>
  </r>
  <r>
    <n v="401"/>
    <m/>
    <s v="W15004"/>
    <x v="157"/>
    <s v="E-US"/>
    <s v="美国"/>
    <s v="JY-100ML"/>
    <n v="90"/>
    <x v="3"/>
    <s v="盐田海卡"/>
    <s v="GEU2"/>
    <s v="A-JY-100"/>
    <s v="A-Grand Hyatt Hotel-100 君悦酒店香氛油100mL"/>
    <s v="Oil-HQ"/>
    <n v="1"/>
    <x v="355"/>
  </r>
  <r>
    <n v="402"/>
    <m/>
    <s v="W15005"/>
    <x v="158"/>
    <s v="E-US"/>
    <s v="美国"/>
    <s v="BCRT1-100ML_TZ"/>
    <n v="256"/>
    <x v="3"/>
    <s v="盐田海卡"/>
    <s v="TCY1"/>
    <s v="BCRT1-100ML_TZ"/>
    <s v="BCRT1-100ML_TZ 巴卡拉酒店100mL香氛油（天竺） 销售包装"/>
    <s v="Oil-TZ"/>
    <n v="4"/>
    <x v="356"/>
  </r>
  <r>
    <n v="403"/>
    <m/>
    <s v="W15005"/>
    <x v="158"/>
    <s v="E-US"/>
    <s v="美国"/>
    <s v="W1-100ML_TZ"/>
    <n v="256"/>
    <x v="3"/>
    <s v="盐田海卡"/>
    <s v="TCY1"/>
    <s v="W1-100ML_TZ"/>
    <s v="W1-100ML_TZ W酒店100mL香氛油（天竺） 销售包装"/>
    <s v="Oil-TZ"/>
    <n v="4"/>
    <x v="356"/>
  </r>
  <r>
    <n v="404"/>
    <m/>
    <s v="W15005"/>
    <x v="158"/>
    <s v="E-US"/>
    <s v="美国"/>
    <s v="HILTON1-100ML_TZ"/>
    <n v="128"/>
    <x v="3"/>
    <s v="盐田海卡"/>
    <s v="TCY1"/>
    <s v="HILTON1-100ML_TZ"/>
    <s v="HILTON1-100ML_TZ 希尔顿酒店100mL香氛油（天竺） 销售包装"/>
    <s v="Oil-TZ"/>
    <n v="2"/>
    <x v="357"/>
  </r>
  <r>
    <n v="405"/>
    <m/>
    <s v="W15005"/>
    <x v="158"/>
    <s v="E-US"/>
    <s v="美国"/>
    <s v="YH1-100ML_TZ"/>
    <n v="64"/>
    <x v="3"/>
    <s v="盐田海卡"/>
    <s v="TCY1"/>
    <s v="YH1-100ML_TZ"/>
    <s v="YH1-100ML_TZ 樱花100mL香氛油（天竺）销售包装"/>
    <s v="Oil-TZ"/>
    <n v="1"/>
    <x v="358"/>
  </r>
  <r>
    <n v="406"/>
    <m/>
    <s v="W15008"/>
    <x v="159"/>
    <s v="E-US"/>
    <s v="美国"/>
    <s v="008000002"/>
    <n v="70"/>
    <x v="7"/>
    <s v="盐田海卡"/>
    <s v="TCY2"/>
    <s v="ES1-B"/>
    <s v="ES1-B 电动泡沫喷机 黑色"/>
    <s v="ES1"/>
    <n v="1"/>
    <x v="359"/>
  </r>
  <r>
    <n v="407"/>
    <m/>
    <s v="W15008"/>
    <x v="159"/>
    <s v="E-US"/>
    <s v="美国"/>
    <s v="008000005"/>
    <n v="288"/>
    <x v="7"/>
    <s v="盐田海卡"/>
    <s v="TCY2"/>
    <s v="ES1-Bkit"/>
    <s v="ES1-Bkit 电动泡沫喷机黑色 托架 硅胶刷 套装"/>
    <s v="ES1"/>
    <n v="12"/>
    <x v="172"/>
  </r>
  <r>
    <n v="408"/>
    <m/>
    <s v="W15008"/>
    <x v="159"/>
    <s v="E-US"/>
    <s v="美国"/>
    <s v="ES1KIT-W_W"/>
    <n v="120"/>
    <x v="7"/>
    <s v="盐田海卡"/>
    <s v="TCY2"/>
    <s v="ES1KIT-W_W"/>
    <s v="ES1KIT-W_W 电动泡沫喷机 白色 两个装"/>
    <s v="ES1"/>
    <n v="5"/>
    <x v="360"/>
  </r>
  <r>
    <n v="409"/>
    <m/>
    <s v="W15008"/>
    <x v="159"/>
    <s v="E-US"/>
    <s v="美国"/>
    <s v="008000002"/>
    <n v="29"/>
    <x v="7"/>
    <s v="盐田海卡"/>
    <s v="TCY2"/>
    <s v="ES1-B"/>
    <s v="ES1-B 电动泡沫喷机 黑色"/>
    <s v="ES1"/>
    <n v="0.5"/>
    <x v="361"/>
  </r>
  <r>
    <n v="410"/>
    <m/>
    <s v="W15008"/>
    <x v="159"/>
    <s v="E-US"/>
    <s v="美国"/>
    <s v="ES1-W"/>
    <n v="33"/>
    <x v="7"/>
    <s v="盐田海卡"/>
    <s v="TCY2"/>
    <s v="ES1-W"/>
    <s v="ES1-W 电动泡沫喷机（202602新） 白色"/>
    <s v="ES1"/>
    <n v="0.5"/>
    <x v="361"/>
  </r>
  <r>
    <n v="411"/>
    <m/>
    <s v="W15001"/>
    <x v="160"/>
    <s v="K-US"/>
    <s v="美国"/>
    <s v="ES1KIT-W_W"/>
    <n v="408"/>
    <x v="0"/>
    <s v="盐田海卡"/>
    <s v="GEU2"/>
    <s v="ES1KIT-W_W"/>
    <s v="ES1KIT-W_W 电动泡沫喷机 白色 两个装"/>
    <s v="ES1"/>
    <n v="17"/>
    <x v="362"/>
  </r>
  <r>
    <n v="412"/>
    <m/>
    <s v="W15008"/>
    <x v="161"/>
    <s v="W-US"/>
    <s v="美国"/>
    <s v="ES1-W"/>
    <n v="70"/>
    <x v="7"/>
    <s v="盐田海卡"/>
    <s v="TCY2"/>
    <s v="ES1-W"/>
    <s v="ES1-W 电动泡沫喷机（202602新） 白色"/>
    <s v="ES1"/>
    <n v="1"/>
    <x v="359"/>
  </r>
  <r>
    <n v="413"/>
    <m/>
    <s v="W16006"/>
    <x v="162"/>
    <s v="E-US"/>
    <s v="美国"/>
    <s v="001000045"/>
    <n v="390"/>
    <x v="2"/>
    <s v="盐田海卡"/>
    <s v="TCY2"/>
    <s v="ANX-B"/>
    <s v="ANX-B 便携式扩香仪 黑色"/>
    <s v="ANX"/>
    <n v="13"/>
    <x v="363"/>
  </r>
  <r>
    <n v="414"/>
    <m/>
    <s v="W16006"/>
    <x v="162"/>
    <s v="E-US"/>
    <s v="美国"/>
    <s v="001000052"/>
    <n v="150"/>
    <x v="2"/>
    <s v="盐田海卡"/>
    <s v="TCY2"/>
    <s v="ANX-DT"/>
    <s v="ANX-DT 便携式扩香仪 沙漠钛色"/>
    <s v="ANX"/>
    <n v="5"/>
    <x v="364"/>
  </r>
  <r>
    <n v="415"/>
    <m/>
    <s v="W16006"/>
    <x v="162"/>
    <s v="E-US"/>
    <s v="美国"/>
    <s v="ANZ-B"/>
    <n v="200"/>
    <x v="2"/>
    <s v="盐田海卡"/>
    <s v="TCY2"/>
    <s v="ANZ-B"/>
    <s v="ANZ-B 便携式扩香仪 黑色"/>
    <s v="ANZ"/>
    <n v="5"/>
    <x v="364"/>
  </r>
  <r>
    <n v="416"/>
    <m/>
    <s v="W16007"/>
    <x v="163"/>
    <s v="E-US"/>
    <s v="美国"/>
    <s v="ANZKIT-B_4X10K04_TZ"/>
    <n v="480"/>
    <x v="2"/>
    <s v="美森海卡"/>
    <s v="TCY2"/>
    <s v="ANZKIT-B_4X10K04_TZ"/>
    <s v="ANZKIT-B_4X10K04_TZ ANZ黑色机器+4x10mL酒店（天竺）香氛油 机油套装"/>
    <s v="ANZ"/>
    <n v="16"/>
    <x v="365"/>
  </r>
  <r>
    <n v="417"/>
    <m/>
    <s v="W16003"/>
    <x v="164"/>
    <s v="E-UK"/>
    <s v="英国"/>
    <s v="001000019"/>
    <n v="280"/>
    <x v="2"/>
    <s v="英国海卡"/>
    <s v="LBA4"/>
    <s v="AN6-B"/>
    <s v="AN6-B 便携式扩香仪 黑色"/>
    <s v="AN6"/>
    <n v="7"/>
    <x v="366"/>
  </r>
  <r>
    <n v="418"/>
    <m/>
    <s v="W16003"/>
    <x v="164"/>
    <s v="E-UK"/>
    <s v="英国"/>
    <s v="AN6-G"/>
    <n v="80"/>
    <x v="2"/>
    <s v="英国海卡"/>
    <s v="LBA4"/>
    <s v="AN6-G"/>
    <s v="AN6-G 便携式扩香仪 灰色"/>
    <s v="AN6"/>
    <n v="2"/>
    <x v="367"/>
  </r>
  <r>
    <n v="419"/>
    <m/>
    <s v="W16003"/>
    <x v="164"/>
    <s v="E-UK"/>
    <s v="英国"/>
    <s v="001000040"/>
    <n v="80"/>
    <x v="2"/>
    <s v="英国海卡"/>
    <s v="LBA4"/>
    <s v="AN6-LB"/>
    <s v="AN6-LB 便携式扩香仪 浅钢蓝色"/>
    <s v="AN6"/>
    <n v="2"/>
    <x v="367"/>
  </r>
  <r>
    <n v="420"/>
    <s v="100KG起收费"/>
    <s v="W16001"/>
    <x v="165"/>
    <s v="E-AU"/>
    <s v="澳洲"/>
    <s v="001000045"/>
    <n v="240"/>
    <x v="4"/>
    <s v="澳洲海卡"/>
    <s v="BWU2"/>
    <s v="ANX-B"/>
    <s v="ANX-B 便携式扩香仪 黑色"/>
    <s v="ANX"/>
    <n v="8"/>
    <x v="368"/>
  </r>
  <r>
    <n v="421"/>
    <m/>
    <s v="W16014"/>
    <x v="166"/>
    <s v="V-US"/>
    <s v="美国"/>
    <s v="ADXKIT-B_4X10K04_TZ"/>
    <n v="990"/>
    <x v="0"/>
    <s v="盐田海卡"/>
    <s v="GEU2"/>
    <s v="ADXKIT-B_4X10K04_TZ"/>
    <s v="ADXKIT-B_4X10K04_TZ ADX黑色机器+4x10mL酒店（天竺）香氛油 机油套装"/>
    <s v="ADX"/>
    <n v="33"/>
    <x v="369"/>
  </r>
  <r>
    <n v="422"/>
    <m/>
    <s v="W16014"/>
    <x v="166"/>
    <s v="V-US"/>
    <s v="美国"/>
    <s v="ADXKIT-DT_4X10K04_TZ"/>
    <n v="300"/>
    <x v="0"/>
    <s v="盐田海卡"/>
    <s v="GEU2"/>
    <s v="ADXKIT-DT_4X10K04_TZ"/>
    <s v="ADXKIT-DT_4X10K04_TZ AD钛色机器+4x10mL酒店（天竺）香氛油 机油套装"/>
    <s v="ADX"/>
    <n v="10"/>
    <x v="370"/>
  </r>
  <r>
    <n v="423"/>
    <m/>
    <s v="W16014"/>
    <x v="166"/>
    <s v="V-US"/>
    <s v="美国"/>
    <s v="AN8KIT-B_B_2X30K02"/>
    <n v="160"/>
    <x v="0"/>
    <s v="盐田海卡"/>
    <s v="GEU2"/>
    <s v="AN8KIT-B_B_2X30K02"/>
    <s v="AN8KIT-B_B_2X30K02 AN8黑色机器两个装+2X30mL香氛油（天竺） 机油套装"/>
    <s v="AN8"/>
    <n v="8"/>
    <x v="371"/>
  </r>
  <r>
    <n v="424"/>
    <m/>
    <s v="W16014"/>
    <x v="166"/>
    <s v="V-US"/>
    <s v="美国"/>
    <s v="AN8KIT-B_4X10K05_TZ"/>
    <n v="1200"/>
    <x v="0"/>
    <s v="盐田海卡"/>
    <s v="GEU2"/>
    <s v="AN8KIT-B_4X10K05_TZ"/>
    <s v="AN8KIT-B_4X10K05_TZ AN8黑色机器+4x10mL（天竺）酒店香氛油 机油套装"/>
    <s v="AN8"/>
    <n v="40"/>
    <x v="372"/>
  </r>
  <r>
    <n v="425"/>
    <m/>
    <s v="W16014"/>
    <x v="166"/>
    <s v="V-US"/>
    <s v="美国"/>
    <s v="AN8KIT-B_4X10K02"/>
    <n v="300"/>
    <x v="0"/>
    <s v="盐田海卡"/>
    <s v="GEU2"/>
    <s v="AN8KIT-B_4X10K02"/>
    <s v="AN8KIT-B_4X10K02 AN8黑色机器+4x10mL（天竺）香氛油 机油套装"/>
    <s v="AN8"/>
    <n v="10"/>
    <x v="370"/>
  </r>
  <r>
    <n v="426"/>
    <m/>
    <s v="W16005"/>
    <x v="167"/>
    <s v="V-US"/>
    <s v="美国"/>
    <s v="ADXKIT-B_DT"/>
    <n v="32"/>
    <x v="7"/>
    <s v="盐田海卡"/>
    <s v="MIT2"/>
    <s v="ADXKIT-B_DT"/>
    <s v="ADXKIT-B_DT ADX便携式扩香仪两个装套装 黑+沙漠钛"/>
    <s v="ADX"/>
    <n v="2"/>
    <x v="373"/>
  </r>
  <r>
    <n v="427"/>
    <m/>
    <s v="W16005"/>
    <x v="167"/>
    <s v="V-US"/>
    <s v="美国"/>
    <s v="001000019"/>
    <n v="2000"/>
    <x v="7"/>
    <s v="盐田海卡"/>
    <s v="MIT2"/>
    <s v="AN6-B"/>
    <s v="AN6-B 便携式扩香仪 黑色"/>
    <s v="AN6"/>
    <n v="50"/>
    <x v="374"/>
  </r>
  <r>
    <n v="428"/>
    <m/>
    <s v="W16005"/>
    <x v="167"/>
    <s v="V-US"/>
    <s v="美国"/>
    <s v="001000039"/>
    <n v="320"/>
    <x v="7"/>
    <s v="盐田海卡"/>
    <s v="MIT2"/>
    <s v="AN6-GL"/>
    <s v="AN6-GL 便携式扩香仪 翠百合色"/>
    <s v="AN6"/>
    <n v="8"/>
    <x v="375"/>
  </r>
  <r>
    <n v="429"/>
    <m/>
    <s v="W16005"/>
    <x v="167"/>
    <s v="V-US"/>
    <s v="美国"/>
    <s v="001000020"/>
    <n v="680"/>
    <x v="7"/>
    <s v="盐田海卡"/>
    <s v="MIT2"/>
    <s v="AN6-W"/>
    <s v="AN6-W 便携式扩香仪 白色"/>
    <s v="AN6"/>
    <n v="17"/>
    <x v="376"/>
  </r>
  <r>
    <n v="430"/>
    <m/>
    <s v="W16005"/>
    <x v="167"/>
    <s v="V-US"/>
    <s v="美国"/>
    <s v="RD1-B"/>
    <n v="660"/>
    <x v="7"/>
    <s v="盐田海卡"/>
    <s v="MIT2"/>
    <s v="RD1-B"/>
    <s v="RD1-B 便携式扩香仪 黑色"/>
    <s v="RD1"/>
    <n v="22"/>
    <x v="377"/>
  </r>
  <r>
    <n v="431"/>
    <m/>
    <s v="W16005"/>
    <x v="167"/>
    <s v="V-US"/>
    <s v="美国"/>
    <s v="RD1-DT"/>
    <n v="210"/>
    <x v="7"/>
    <s v="盐田海卡"/>
    <s v="MIT2"/>
    <s v="RD1-DT"/>
    <s v="RD1-DT 便携式扩香仪 沙漠钛色"/>
    <s v="RD1"/>
    <n v="7"/>
    <x v="378"/>
  </r>
  <r>
    <n v="432"/>
    <m/>
    <s v="W16006"/>
    <x v="168"/>
    <s v="A-US"/>
    <s v="美国"/>
    <s v="ANZKIT-B_B"/>
    <n v="80"/>
    <x v="2"/>
    <s v="盐田海卡"/>
    <s v="TCY1"/>
    <s v="ANZKIT-B_B"/>
    <s v="ANZKIT-B_B 便携式扩香仪 黑色 两个装"/>
    <s v="ANZ"/>
    <n v="4"/>
    <x v="379"/>
  </r>
  <r>
    <n v="433"/>
    <m/>
    <s v="W16002"/>
    <x v="169"/>
    <s v="K-US"/>
    <s v="美国"/>
    <s v="RD2KIT-B_2X30K06_TZ"/>
    <n v="780"/>
    <x v="2"/>
    <s v="盐田海卡"/>
    <s v="TCY1"/>
    <s v="RD2KIT-B_2X30K06_TZ"/>
    <s v="RD2KIT-B_2X30K06_TZ RD2黑色机器+2X30mL酒店香氛油（天竺）  机油套装"/>
    <s v="RD2"/>
    <n v="39"/>
    <x v="380"/>
  </r>
  <r>
    <n v="434"/>
    <m/>
    <s v="W16007"/>
    <x v="170"/>
    <s v="V-US"/>
    <s v="美国"/>
    <s v="ADXKIT-DT_4X10K04_TZ"/>
    <n v="300"/>
    <x v="2"/>
    <s v="美森海卡"/>
    <s v="MIT2"/>
    <s v="ADXKIT-DT_4X10K04_TZ"/>
    <s v="ADXKIT-DT_4X10K04_TZ AD钛色机器+4x10mL酒店（天竺）香氛油 机油套装"/>
    <s v="ADX"/>
    <n v="10"/>
    <x v="381"/>
  </r>
  <r>
    <n v="435"/>
    <m/>
    <s v="W16007"/>
    <x v="170"/>
    <s v="V-US"/>
    <s v="美国"/>
    <s v="RD1-DT"/>
    <n v="300"/>
    <x v="2"/>
    <s v="美森海卡"/>
    <s v="MIT2"/>
    <s v="RD1-DT"/>
    <s v="RD1-DT 便携式扩香仪 沙漠钛色"/>
    <s v="RD1"/>
    <n v="10"/>
    <x v="381"/>
  </r>
  <r>
    <n v="436"/>
    <m/>
    <s v="W16002"/>
    <x v="171"/>
    <s v="K-US"/>
    <s v="美国"/>
    <s v="RDXKIT-B_US_2X100K04"/>
    <n v="216"/>
    <x v="2"/>
    <s v="盐田海卡"/>
    <s v="TCY1"/>
    <s v="RDXKIT-B_US_2X100K04"/>
    <s v="RDXKIT-B_US_2X100K04 RDX黑色机器+2X100mL酒店香氛油（天竺） 机油套装"/>
    <s v="RDX"/>
    <n v="24"/>
    <x v="382"/>
  </r>
  <r>
    <n v="437"/>
    <m/>
    <s v="W16010"/>
    <x v="172"/>
    <s v="W-US"/>
    <s v="美国"/>
    <s v="G1-B"/>
    <n v="480"/>
    <x v="3"/>
    <s v="盐田海卡"/>
    <s v="GEU3"/>
    <s v="G1-B"/>
    <s v="G1-B 电子球形把手锁 黑色"/>
    <s v="G1"/>
    <n v="30"/>
    <x v="383"/>
  </r>
  <r>
    <n v="438"/>
    <m/>
    <s v="W16010"/>
    <x v="172"/>
    <s v="W-US"/>
    <s v="美国"/>
    <s v="G1-SILV"/>
    <n v="240"/>
    <x v="3"/>
    <s v="盐田海卡"/>
    <s v="GEU3"/>
    <s v="G1-SILV"/>
    <s v="G1-SILV 电子球形把手锁 银色"/>
    <s v="G1"/>
    <n v="15"/>
    <x v="384"/>
  </r>
  <r>
    <n v="439"/>
    <m/>
    <s v="W16010"/>
    <x v="172"/>
    <s v="W-US"/>
    <s v="美国"/>
    <s v="002000029"/>
    <n v="400"/>
    <x v="3"/>
    <s v="盐田海卡"/>
    <s v="GEU3"/>
    <s v="MD1-B"/>
    <s v="MD1-B 电子球形把手锁 指纹 黑色"/>
    <s v="MD1"/>
    <n v="25"/>
    <x v="385"/>
  </r>
  <r>
    <n v="440"/>
    <m/>
    <s v="W16010"/>
    <x v="172"/>
    <s v="W-US"/>
    <s v="美国"/>
    <s v="002000038"/>
    <n v="208"/>
    <x v="3"/>
    <s v="盐田海卡"/>
    <s v="GEU3"/>
    <s v="MD1-SILV"/>
    <s v="MD1-SILV 电子球形把手锁 指纹 银色"/>
    <s v="MD1"/>
    <n v="13"/>
    <x v="386"/>
  </r>
  <r>
    <n v="441"/>
    <m/>
    <s v="W16014"/>
    <x v="173"/>
    <s v="V-US"/>
    <s v="美国"/>
    <s v="ANWKIT-B_US_2X100K03"/>
    <n v="180"/>
    <x v="0"/>
    <s v="盐田海卡"/>
    <s v="GEU2"/>
    <s v="ANWKIT-B_US_2X100K03"/>
    <s v="ANWKIT-B_US_2X100K03 ANW黑色机器+2X100mL酒店香氛油（天竺） 机油套装"/>
    <s v="ANW"/>
    <n v="15"/>
    <x v="387"/>
  </r>
  <r>
    <n v="442"/>
    <m/>
    <s v="W16014"/>
    <x v="173"/>
    <s v="V-US"/>
    <s v="美国"/>
    <s v="ANWKIT-WH_US_2X100K03"/>
    <n v="204"/>
    <x v="0"/>
    <s v="盐田海卡"/>
    <s v="GEU2"/>
    <s v="ANWKIT-WH_US_2X100K03"/>
    <s v="ANWKIT-WH_US_2X100K03 ANW白色机器+2X100mL酒店香氛油（天竺） 机油套装"/>
    <s v="ANW"/>
    <n v="17"/>
    <x v="388"/>
  </r>
  <r>
    <n v="443"/>
    <m/>
    <s v="W16012"/>
    <x v="174"/>
    <s v="V-US"/>
    <s v="美国"/>
    <s v="001000032"/>
    <n v="480"/>
    <x v="7"/>
    <s v="盐田海卡"/>
    <s v="GEU2"/>
    <s v="ANW-B"/>
    <s v="ANW-B 智能扩香仪 黑色"/>
    <s v="ANW"/>
    <n v="40"/>
    <x v="389"/>
  </r>
  <r>
    <n v="444"/>
    <m/>
    <s v="W16012"/>
    <x v="174"/>
    <s v="V-US"/>
    <s v="美国"/>
    <s v="001000033"/>
    <n v="756"/>
    <x v="7"/>
    <s v="盐田海卡"/>
    <s v="GEU2"/>
    <s v="ANW-W"/>
    <s v="ANW-W 智能扩香仪 白色"/>
    <s v="ANW"/>
    <n v="63"/>
    <x v="390"/>
  </r>
  <r>
    <n v="445"/>
    <m/>
    <s v="W16012"/>
    <x v="174"/>
    <s v="V-US"/>
    <s v="美国"/>
    <s v="ANP-B_US"/>
    <n v="416"/>
    <x v="7"/>
    <s v="盐田海卡"/>
    <s v="GEU2"/>
    <s v="ANP-B_US"/>
    <s v="ANP-B_US 墙插式智能扩香仪 黑色"/>
    <s v="ANP"/>
    <n v="13"/>
    <x v="391"/>
  </r>
  <r>
    <n v="446"/>
    <m/>
    <s v="W16004"/>
    <x v="175"/>
    <s v="V-CA"/>
    <s v="加拿大"/>
    <s v="001000032"/>
    <n v="48"/>
    <x v="0"/>
    <s v="加拿大海卡"/>
    <s v="YYZ7"/>
    <s v="ANW-B"/>
    <s v="ANW-B 智能扩香仪 黑色"/>
    <s v="ANW"/>
    <n v="4"/>
    <x v="392"/>
  </r>
  <r>
    <n v="447"/>
    <m/>
    <s v="W16004"/>
    <x v="175"/>
    <s v="V-CA"/>
    <s v="加拿大"/>
    <s v="001000033"/>
    <n v="36"/>
    <x v="0"/>
    <s v="加拿大海卡"/>
    <s v="YYZ7"/>
    <s v="ANW-W"/>
    <s v="ANW-W 智能扩香仪 白色"/>
    <s v="ANW"/>
    <n v="3"/>
    <x v="393"/>
  </r>
  <r>
    <n v="448"/>
    <s v="跟FBA19BCDLF7B合并报关，需要同一天提货"/>
    <s v="W16010"/>
    <x v="176"/>
    <s v="V-US"/>
    <s v="美国"/>
    <s v="006000024"/>
    <n v="1170"/>
    <x v="3"/>
    <s v="盐田海卡"/>
    <s v="GEU3"/>
    <s v="A-RZ3-100"/>
    <s v="A-Ritz Carlton Hotel 3-100 丽思卡尔顿酒店3香氛油100mL"/>
    <s v="Oil-HQ"/>
    <n v="13"/>
    <x v="394"/>
  </r>
  <r>
    <n v="449"/>
    <m/>
    <s v="W16010"/>
    <x v="177"/>
    <s v="E-US"/>
    <s v="美国"/>
    <s v="HOTEL6KIT1-6X10K01"/>
    <n v="304"/>
    <x v="3"/>
    <s v="盐田海卡"/>
    <s v="GEU3"/>
    <s v="HOTEL6KIT1-6X10K01"/>
    <s v="HOTEL6KIT1-6X10K01 酒店香氛油6款10mL套装"/>
    <s v="Oil-HQ"/>
    <n v="4"/>
    <x v="395"/>
  </r>
  <r>
    <n v="450"/>
    <m/>
    <s v="W16010"/>
    <x v="177"/>
    <s v="E-US"/>
    <s v="美国"/>
    <s v="JY-100ML"/>
    <n v="180"/>
    <x v="3"/>
    <s v="盐田海卡"/>
    <s v="GEU3"/>
    <s v="A-JY-100"/>
    <s v="A-Grand Hyatt Hotel-100 君悦酒店香氛油100mL"/>
    <s v="Oil-HQ"/>
    <n v="2"/>
    <x v="396"/>
  </r>
  <r>
    <n v="451"/>
    <m/>
    <s v="W16010"/>
    <x v="177"/>
    <s v="E-US"/>
    <s v="美国"/>
    <s v="MWAY1-100ML"/>
    <n v="180"/>
    <x v="3"/>
    <s v="盐田海卡"/>
    <s v="GEU3"/>
    <s v="A-MWAY-100"/>
    <s v="A-MWAY Deluxe-100 特定香型香氛油100mL"/>
    <s v="Oil-HQ"/>
    <n v="2"/>
    <x v="396"/>
  </r>
  <r>
    <n v="452"/>
    <m/>
    <s v="W16010"/>
    <x v="177"/>
    <s v="E-US"/>
    <s v="美国"/>
    <s v="006000026"/>
    <n v="180"/>
    <x v="3"/>
    <s v="盐田海卡"/>
    <s v="GEU3"/>
    <s v="A-MT-100"/>
    <s v="A-Marriott Hotel 1-100 万豪酒店1香氛油100mL"/>
    <s v="Oil-HQ"/>
    <n v="2"/>
    <x v="396"/>
  </r>
  <r>
    <n v="453"/>
    <m/>
    <s v="W16011"/>
    <x v="178"/>
    <s v="E-US"/>
    <s v="美国"/>
    <s v="SJ1-100ML_TZ"/>
    <n v="512"/>
    <x v="3"/>
    <s v="盐田海卡"/>
    <s v="GEU3"/>
    <s v="SJ1-100ML_TZ"/>
    <s v="SJ1-100ML_TZ 四季酒店100mL香氛油（天竺） 销售包装"/>
    <s v="Oil-TZ"/>
    <n v="8"/>
    <x v="397"/>
  </r>
  <r>
    <n v="454"/>
    <m/>
    <s v="W16011"/>
    <x v="178"/>
    <s v="E-US"/>
    <s v="美国"/>
    <s v="TX331_100ML"/>
    <n v="128"/>
    <x v="3"/>
    <s v="盐田海卡"/>
    <s v="GEU3"/>
    <s v="TX331_100ML"/>
    <s v="TX331_100ML 檀香33号100mL香氛油（天竺） 销售包装"/>
    <s v="Oil-TZ"/>
    <n v="2"/>
    <x v="398"/>
  </r>
  <r>
    <n v="455"/>
    <m/>
    <s v="W16011"/>
    <x v="178"/>
    <s v="E-US"/>
    <s v="美国"/>
    <s v="W1-100ML_TZ"/>
    <n v="256"/>
    <x v="3"/>
    <s v="盐田海卡"/>
    <s v="GEU3"/>
    <s v="W1-100ML_TZ"/>
    <s v="W1-100ML_TZ W酒店100mL香氛油（天竺） 销售包装"/>
    <s v="Oil-TZ"/>
    <n v="4"/>
    <x v="399"/>
  </r>
  <r>
    <n v="456"/>
    <m/>
    <s v="W16011"/>
    <x v="178"/>
    <s v="E-US"/>
    <s v="美国"/>
    <s v="HILTON1-100ML_TZ"/>
    <n v="512"/>
    <x v="3"/>
    <s v="盐田海卡"/>
    <s v="GEU3"/>
    <s v="HILTON1-100ML_TZ"/>
    <s v="HILTON1-100ML_TZ 希尔顿酒店100mL香氛油（天竺） 销售包装"/>
    <s v="Oil-TZ"/>
    <n v="8"/>
    <x v="397"/>
  </r>
  <r>
    <n v="457"/>
    <m/>
    <s v="W16011"/>
    <x v="178"/>
    <s v="E-US"/>
    <s v="美国"/>
    <s v="YH1-100ML_TZ"/>
    <n v="128"/>
    <x v="3"/>
    <s v="盐田海卡"/>
    <s v="GEU3"/>
    <s v="YH1-100ML_TZ"/>
    <s v="YH1-100ML_TZ 樱花100mL香氛油（天竺）销售包装"/>
    <s v="Oil-TZ"/>
    <n v="2"/>
    <x v="398"/>
  </r>
  <r>
    <n v="458"/>
    <m/>
    <s v="W16011"/>
    <x v="178"/>
    <s v="E-US"/>
    <s v="美国"/>
    <s v="YZTT1_100ML"/>
    <n v="64"/>
    <x v="3"/>
    <s v="盐田海卡"/>
    <s v="GEU3"/>
    <s v="YZTT1_100ML"/>
    <s v="YZTT1_100ML 柚子天堂100mL香氛油（天竺） 销售包装"/>
    <s v="Oil-TZ"/>
    <n v="1"/>
    <x v="400"/>
  </r>
  <r>
    <n v="459"/>
    <m/>
    <s v="W16011"/>
    <x v="178"/>
    <s v="E-US"/>
    <s v="美国"/>
    <s v="TXY1_100ML"/>
    <n v="64"/>
    <x v="3"/>
    <s v="盐田海卡"/>
    <s v="GEU3"/>
    <s v="TXY1_100ML"/>
    <s v="TXY1_100ML 桃星云100mL香氛油（天竺） 销售包装"/>
    <s v="Oil-TZ"/>
    <n v="1"/>
    <x v="400"/>
  </r>
  <r>
    <n v="460"/>
    <m/>
    <s v="W16011"/>
    <x v="179"/>
    <s v="V-US"/>
    <s v="美国"/>
    <s v="RZ1-500ML_TZ"/>
    <n v="100"/>
    <x v="3"/>
    <s v="盐田海卡"/>
    <s v="GEU3"/>
    <s v="RZ1-500ML_TZ"/>
    <s v="RZ1-500ML_TZ 丽思卡尔顿酒店500mL香氛油（天竺） 销售包装"/>
    <s v="Oil-TZ"/>
    <n v="5"/>
    <x v="401"/>
  </r>
  <r>
    <n v="461"/>
    <m/>
    <s v="W16004"/>
    <x v="180"/>
    <s v="A-CA"/>
    <s v="加拿大"/>
    <s v="002000020"/>
    <n v="84"/>
    <x v="0"/>
    <s v="加拿大海卡"/>
    <s v="YYZ7"/>
    <s v="H2-B"/>
    <s v="H2-B 电子指纹球形把手锁-黑色"/>
    <s v="H2"/>
    <n v="7"/>
    <x v="402"/>
  </r>
  <r>
    <n v="462"/>
    <m/>
    <s v="W16004"/>
    <x v="180"/>
    <s v="A-CA"/>
    <s v="加拿大"/>
    <s v="002000023"/>
    <n v="60"/>
    <x v="0"/>
    <s v="加拿大海卡"/>
    <s v="YYZ7"/>
    <s v="H2-SILV"/>
    <s v="H2-SILV 电子指纹球形把手锁-银色"/>
    <s v="H2"/>
    <n v="5"/>
    <x v="403"/>
  </r>
  <r>
    <n v="463"/>
    <m/>
    <s v="W16004"/>
    <x v="180"/>
    <s v="A-CA"/>
    <s v="加拿大"/>
    <s v="002000001"/>
    <n v="240"/>
    <x v="0"/>
    <s v="加拿大海卡"/>
    <s v="YYZ7"/>
    <s v="K1-B"/>
    <s v="K1-B 电子球形把手锁-黑色"/>
    <s v="K1"/>
    <n v="20"/>
    <x v="404"/>
  </r>
  <r>
    <n v="464"/>
    <m/>
    <s v="W16013"/>
    <x v="181"/>
    <s v="E-US"/>
    <s v="美国"/>
    <s v="003000014"/>
    <n v="72"/>
    <x v="2"/>
    <s v="美中海卡"/>
    <s v="FTW5"/>
    <s v="AP2US-H14"/>
    <s v="AP2US-H14 内置H14滤网桌面式空气净化器2-美规"/>
    <s v="AP2"/>
    <n v="18"/>
    <x v="405"/>
  </r>
  <r>
    <n v="465"/>
    <m/>
    <s v="W16008"/>
    <x v="182"/>
    <s v="E-US"/>
    <s v="美国"/>
    <s v="003000014"/>
    <n v="72"/>
    <x v="7"/>
    <s v="盐田海卡"/>
    <s v="TPA2"/>
    <s v="AP2US-H14"/>
    <s v="AP2US-H14 内置H14滤网桌面式空气净化器2-美规"/>
    <s v="AP2"/>
    <n v="18"/>
    <x v="406"/>
  </r>
  <r>
    <n v="466"/>
    <m/>
    <s v="W16008"/>
    <x v="183"/>
    <s v="E-US"/>
    <s v="美国"/>
    <s v="003000014"/>
    <n v="72"/>
    <x v="7"/>
    <s v="盐田海卡"/>
    <s v="MGE3"/>
    <s v="AP2US-H14"/>
    <s v="AP2US-H14 内置H14滤网桌面式空气净化器2-美规"/>
    <s v="AP2"/>
    <n v="18"/>
    <x v="406"/>
  </r>
  <r>
    <n v="467"/>
    <m/>
    <s v="W16009"/>
    <x v="184"/>
    <s v="E-US"/>
    <s v="美国"/>
    <s v="003000014"/>
    <n v="72"/>
    <x v="7"/>
    <s v="盐田海卡"/>
    <s v="TEB6"/>
    <s v="AP2US-H14"/>
    <s v="AP2US-H14 内置H14滤网桌面式空气净化器2-美规"/>
    <s v="AP2"/>
    <n v="18"/>
    <x v="407"/>
  </r>
  <r>
    <n v="468"/>
    <m/>
    <s v="W16005"/>
    <x v="185"/>
    <s v="E-US"/>
    <s v="美国"/>
    <s v="003000014"/>
    <n v="72"/>
    <x v="7"/>
    <s v="盐田海卡"/>
    <s v="DEN8"/>
    <s v="AP2US-H14"/>
    <s v="AP2US-H14 内置H14滤网桌面式空气净化器2-美规"/>
    <s v="AP2"/>
    <n v="18"/>
    <x v="407"/>
  </r>
  <r>
    <n v="469"/>
    <m/>
    <s v="W16003"/>
    <x v="186"/>
    <s v="E-UK"/>
    <s v="英国"/>
    <s v="003000007"/>
    <n v="36"/>
    <x v="2"/>
    <s v="英国海卡"/>
    <s v="LBA4"/>
    <s v="AP2F-H14"/>
    <s v="AP2F-H14 空气净化器滤网2-H14"/>
    <s v="AP2F"/>
    <n v="1"/>
    <x v="408"/>
  </r>
  <r>
    <n v="470"/>
    <m/>
    <s v="W17002"/>
    <x v="187"/>
    <s v="W-DE"/>
    <s v="德国"/>
    <s v="001000019"/>
    <n v="280"/>
    <x v="0"/>
    <s v="欧洲海卡"/>
    <s v="BER8"/>
    <s v="AN6-B"/>
    <s v="AN6-B 便携式扩香仪 黑色"/>
    <s v="AN6"/>
    <n v="7"/>
    <x v="409"/>
  </r>
  <r>
    <n v="471"/>
    <m/>
    <s v="W17002"/>
    <x v="187"/>
    <s v="W-DE"/>
    <s v="德国"/>
    <s v="001000040"/>
    <n v="80"/>
    <x v="0"/>
    <s v="欧洲海卡"/>
    <s v="BER8"/>
    <s v="AN6-LB"/>
    <s v="AN6-LB 便携式扩香仪 浅钢蓝色"/>
    <s v="AN6"/>
    <n v="2"/>
    <x v="410"/>
  </r>
  <r>
    <n v="472"/>
    <m/>
    <s v="W17002"/>
    <x v="187"/>
    <s v="W-DE"/>
    <s v="德国"/>
    <s v="RD1-B"/>
    <n v="120"/>
    <x v="0"/>
    <s v="欧洲海卡"/>
    <s v="BER8"/>
    <s v="RD1-B"/>
    <s v="RD1-B 便携式扩香仪 黑色"/>
    <s v="RD1"/>
    <n v="4"/>
    <x v="411"/>
  </r>
  <r>
    <n v="473"/>
    <m/>
    <s v="W17002"/>
    <x v="187"/>
    <s v="W-DE"/>
    <s v="德国"/>
    <s v="RD1-DT"/>
    <n v="90"/>
    <x v="0"/>
    <s v="欧洲海卡"/>
    <s v="BER8"/>
    <s v="RD1-DT"/>
    <s v="RD1-DT 便携式扩香仪 沙漠钛色"/>
    <s v="RD1"/>
    <n v="3"/>
    <x v="412"/>
  </r>
  <r>
    <n v="474"/>
    <m/>
    <s v="W17001"/>
    <x v="188"/>
    <s v="E-AU"/>
    <s v="澳洲"/>
    <s v="AND-B"/>
    <n v="90"/>
    <x v="4"/>
    <s v="澳洲海卡"/>
    <s v="BWU2"/>
    <s v="AND-B"/>
    <s v="AND-B 便携式双喷扩香仪 黑色"/>
    <s v="AND"/>
    <n v="3"/>
    <x v="413"/>
  </r>
  <r>
    <n v="475"/>
    <m/>
    <s v="W17001"/>
    <x v="188"/>
    <s v="E-AU"/>
    <s v="澳洲"/>
    <s v="AND-G"/>
    <n v="30"/>
    <x v="4"/>
    <s v="澳洲海卡"/>
    <s v="BWU2"/>
    <s v="AND-G"/>
    <s v="AND-G 便携式双喷扩香仪 灰色"/>
    <s v="AND"/>
    <n v="1"/>
    <x v="414"/>
  </r>
  <r>
    <n v="476"/>
    <m/>
    <s v="W17001"/>
    <x v="188"/>
    <s v="E-AU"/>
    <s v="澳洲"/>
    <s v="001000052"/>
    <n v="60"/>
    <x v="4"/>
    <s v="澳洲海卡"/>
    <s v="BWU2"/>
    <s v="ANX-DT"/>
    <s v="ANX-DT 便携式扩香仪 沙漠钛色"/>
    <s v="ANX"/>
    <n v="2"/>
    <x v="415"/>
  </r>
  <r>
    <n v="477"/>
    <m/>
    <s v="W17001"/>
    <x v="188"/>
    <s v="E-AU"/>
    <s v="澳洲"/>
    <s v="RD1-B"/>
    <n v="120"/>
    <x v="4"/>
    <s v="澳洲海卡"/>
    <s v="BWU2"/>
    <s v="RD1-B"/>
    <s v="RD1-B 便携式扩香仪 黑色"/>
    <s v="RD1"/>
    <n v="4"/>
    <x v="416"/>
  </r>
  <r>
    <n v="478"/>
    <m/>
    <s v="W17001"/>
    <x v="188"/>
    <s v="E-AU"/>
    <s v="澳洲"/>
    <s v="RD1-DT"/>
    <n v="90"/>
    <x v="4"/>
    <s v="澳洲海卡"/>
    <s v="BWU2"/>
    <s v="RD1-DT"/>
    <s v="RD1-DT 便携式扩香仪 沙漠钛色"/>
    <s v="RD1"/>
    <n v="3"/>
    <x v="413"/>
  </r>
  <r>
    <n v="479"/>
    <m/>
    <s v="W17006"/>
    <x v="189"/>
    <s v="E-US"/>
    <s v="美国"/>
    <s v="ANZ-B"/>
    <n v="1200"/>
    <x v="7"/>
    <s v="盐田海卡"/>
    <s v="GEU2"/>
    <s v="ANZ-B"/>
    <s v="ANZ-B 便携式扩香仪 黑色"/>
    <s v="ANZ"/>
    <n v="30"/>
    <x v="417"/>
  </r>
  <r>
    <n v="480"/>
    <m/>
    <s v="W17006"/>
    <x v="189"/>
    <s v="E-US"/>
    <s v="美国"/>
    <s v="ANZ-WH"/>
    <n v="200"/>
    <x v="7"/>
    <s v="盐田海卡"/>
    <s v="GEU2"/>
    <s v="ANZ-WH"/>
    <s v="ANZ-WH 便携式扩香仪 白色"/>
    <s v="ANZ"/>
    <n v="5"/>
    <x v="418"/>
  </r>
  <r>
    <n v="481"/>
    <m/>
    <s v="W17009"/>
    <x v="190"/>
    <s v="E-US"/>
    <s v="美国"/>
    <s v="ANZ-WH"/>
    <n v="400"/>
    <x v="2"/>
    <s v="美森海卡"/>
    <s v="TCY2"/>
    <s v="ANZ-WH"/>
    <s v="ANZ-WH 便携式扩香仪 白色"/>
    <s v="ANZ"/>
    <n v="10"/>
    <x v="419"/>
  </r>
  <r>
    <n v="482"/>
    <m/>
    <s v="W17003"/>
    <x v="191"/>
    <s v="E-US"/>
    <s v="美国"/>
    <s v="001000045"/>
    <n v="210"/>
    <x v="0"/>
    <s v="盐田海卡"/>
    <s v="HLI2"/>
    <s v="ANX-B"/>
    <s v="ANX-B 便携式扩香仪 黑色"/>
    <s v="ANX"/>
    <n v="7"/>
    <x v="420"/>
  </r>
  <r>
    <n v="483"/>
    <m/>
    <s v="W17003"/>
    <x v="191"/>
    <s v="E-US"/>
    <s v="美国"/>
    <s v="001000049"/>
    <n v="90"/>
    <x v="0"/>
    <s v="盐田海卡"/>
    <s v="HLI2"/>
    <s v="ANX-IB"/>
    <s v="ANX-IB 便携式扩香仪 冰蓝色"/>
    <s v="ANX"/>
    <n v="3"/>
    <x v="421"/>
  </r>
  <r>
    <n v="484"/>
    <m/>
    <s v="W17003"/>
    <x v="191"/>
    <s v="E-US"/>
    <s v="美国"/>
    <s v="001000051"/>
    <n v="150"/>
    <x v="0"/>
    <s v="盐田海卡"/>
    <s v="HLI2"/>
    <s v="ANX-SG"/>
    <s v="ANX-SG 便携式扩香仪 太空灰色"/>
    <s v="ANX"/>
    <n v="5"/>
    <x v="422"/>
  </r>
  <r>
    <n v="485"/>
    <m/>
    <s v="W17003"/>
    <x v="191"/>
    <s v="E-US"/>
    <s v="美国"/>
    <s v="001000052"/>
    <n v="180"/>
    <x v="0"/>
    <s v="盐田海卡"/>
    <s v="HLI2"/>
    <s v="ANX-DT"/>
    <s v="ANX-DT 便携式扩香仪 沙漠钛色"/>
    <s v="ANX"/>
    <n v="6"/>
    <x v="423"/>
  </r>
  <r>
    <n v="486"/>
    <m/>
    <s v="W17006"/>
    <x v="192"/>
    <s v="V-US"/>
    <s v="美国"/>
    <s v="001000030"/>
    <n v="288"/>
    <x v="7"/>
    <s v="盐田海卡"/>
    <s v="GEU2"/>
    <s v="AN6B-NZB"/>
    <s v="AN6B-NZB 便携式扩香仪套装 黑机器+黑喷嘴"/>
    <s v="AN6"/>
    <n v="9"/>
    <x v="424"/>
  </r>
  <r>
    <n v="487"/>
    <m/>
    <s v="W17006"/>
    <x v="192"/>
    <s v="V-US"/>
    <s v="美国"/>
    <s v="001000019"/>
    <n v="1400"/>
    <x v="7"/>
    <s v="盐田海卡"/>
    <s v="GEU2"/>
    <s v="AN6-B"/>
    <s v="AN6-B 便携式扩香仪 黑色"/>
    <s v="AN6"/>
    <n v="35"/>
    <x v="425"/>
  </r>
  <r>
    <n v="488"/>
    <m/>
    <s v="W17006"/>
    <x v="192"/>
    <s v="V-US"/>
    <s v="美国"/>
    <s v="AN6-YG"/>
    <n v="80"/>
    <x v="7"/>
    <s v="盐田海卡"/>
    <s v="GEU2"/>
    <s v="AN6-YG"/>
    <s v="AN6-YG 便携式扩香仪 乳酪色"/>
    <s v="AN6"/>
    <n v="2"/>
    <x v="426"/>
  </r>
  <r>
    <n v="489"/>
    <m/>
    <s v="W17006"/>
    <x v="192"/>
    <s v="V-US"/>
    <s v="美国"/>
    <s v="RD1-DT"/>
    <n v="300"/>
    <x v="7"/>
    <s v="盐田海卡"/>
    <s v="GEU2"/>
    <s v="RD1-DT"/>
    <s v="RD1-DT 便携式扩香仪 沙漠钛色"/>
    <s v="RD1"/>
    <n v="10"/>
    <x v="427"/>
  </r>
  <r>
    <n v="490"/>
    <m/>
    <s v="W17003"/>
    <x v="193"/>
    <s v="V-US"/>
    <s v="美国"/>
    <s v="AN6KIT-WH_4X10K04_TZ"/>
    <n v="150"/>
    <x v="0"/>
    <s v="盐田海卡"/>
    <s v="TCY1"/>
    <s v="AN6KIT-WH_4X10K04_TZ"/>
    <s v="AN6KIT-WH_4X10K04_TZ AN6白色机器+4x10mL酒店（天竺）香氛油 机油套装"/>
    <s v="AN6"/>
    <n v="5"/>
    <x v="428"/>
  </r>
  <r>
    <n v="491"/>
    <m/>
    <s v="W17003"/>
    <x v="193"/>
    <s v="V-US"/>
    <s v="美国"/>
    <s v="AN8KIT-B_B_2X30K02"/>
    <n v="280"/>
    <x v="0"/>
    <s v="盐田海卡"/>
    <s v="TCY1"/>
    <s v="AN8KIT-B_B_2X30K02"/>
    <s v="AN8KIT-B_B_2X30K02 AN8黑色机器两个装+2X30mL香氛油（天竺） 机油套装"/>
    <s v="AN8"/>
    <n v="14"/>
    <x v="429"/>
  </r>
  <r>
    <n v="492"/>
    <m/>
    <s v="W17009"/>
    <x v="194"/>
    <s v="V-US"/>
    <s v="美国"/>
    <s v="ADXKIT-B_4X10K04_TZ"/>
    <n v="270"/>
    <x v="2"/>
    <s v="美森海卡"/>
    <s v="GEU2"/>
    <s v="ADXKIT-B_4X10K04_TZ"/>
    <s v="ADXKIT-B_4X10K04_TZ ADX黑色机器+4x10mL酒店（天竺）香氛油 机油套装"/>
    <s v="ADX"/>
    <n v="9"/>
    <x v="189"/>
  </r>
  <r>
    <n v="493"/>
    <m/>
    <s v="W17008"/>
    <x v="195"/>
    <s v="K-US"/>
    <s v="美国"/>
    <s v="RDX-B_US"/>
    <n v="270"/>
    <x v="7"/>
    <s v="盐田海卡"/>
    <s v="GEU2"/>
    <s v="RDX-B_US"/>
    <s v="RDX-B_US 智能扩香仪 黑色"/>
    <s v="RDX"/>
    <n v="30"/>
    <x v="430"/>
  </r>
  <r>
    <n v="494"/>
    <m/>
    <s v="W17008"/>
    <x v="195"/>
    <s v="K-US"/>
    <s v="美国"/>
    <s v="RDX-SILV_US"/>
    <n v="180"/>
    <x v="7"/>
    <s v="盐田海卡"/>
    <s v="GEU2"/>
    <s v="RDX-SILV_US"/>
    <s v="RDX-SILV_US 智能扩香仪 银色"/>
    <s v="RDX"/>
    <n v="20"/>
    <x v="431"/>
  </r>
  <r>
    <n v="495"/>
    <m/>
    <s v="W17007"/>
    <x v="196"/>
    <s v="K-US"/>
    <s v="美国"/>
    <s v="RDXKIT-B_US_2X100K04"/>
    <n v="234"/>
    <x v="0"/>
    <s v="盐田海卡"/>
    <s v="GEU3"/>
    <s v="RDXKIT-B_US_2X100K04"/>
    <s v="RDXKIT-B_US_2X100K04 RDX黑色机器+2X100mL酒店香氛油（天竺） 机油套装"/>
    <s v="RDX"/>
    <n v="26"/>
    <x v="432"/>
  </r>
  <r>
    <n v="496"/>
    <m/>
    <s v="W17007"/>
    <x v="196"/>
    <s v="K-US"/>
    <s v="美国"/>
    <s v="RDXKIT-SILV_US_2X100K04"/>
    <n v="180"/>
    <x v="0"/>
    <s v="盐田海卡"/>
    <s v="GEU3"/>
    <s v="RDXKIT-SILV_US_2X100K04"/>
    <s v="RDXKIT-SILV_US_2X100K04 RDX银色机器+2X100mL酒店香氛油（天竺） 机油套装"/>
    <s v="RDX"/>
    <n v="20"/>
    <x v="433"/>
  </r>
  <r>
    <n v="497"/>
    <m/>
    <s v="W17005"/>
    <x v="197"/>
    <s v="V-CA"/>
    <s v="加拿大"/>
    <s v="001000045"/>
    <n v="120"/>
    <x v="0"/>
    <s v="加拿大海卡"/>
    <s v="YXU1"/>
    <s v="ANX-B"/>
    <s v="ANX-B 便携式扩香仪 黑色"/>
    <s v="ANX"/>
    <n v="4"/>
    <x v="434"/>
  </r>
  <r>
    <n v="498"/>
    <m/>
    <s v="W17005"/>
    <x v="197"/>
    <s v="V-CA"/>
    <s v="加拿大"/>
    <s v="001000052"/>
    <n v="30"/>
    <x v="0"/>
    <s v="加拿大海卡"/>
    <s v="YXU1"/>
    <s v="ANX-DT"/>
    <s v="ANX-DT 便携式扩香仪 沙漠钛色"/>
    <s v="ANX"/>
    <n v="1"/>
    <x v="435"/>
  </r>
  <r>
    <n v="499"/>
    <m/>
    <s v="W17005"/>
    <x v="197"/>
    <s v="V-CA"/>
    <s v="加拿大"/>
    <s v="001000051"/>
    <n v="60"/>
    <x v="0"/>
    <s v="加拿大海卡"/>
    <s v="YXU1"/>
    <s v="ANX-SG"/>
    <s v="ANX-SG 便携式扩香仪 太空灰色"/>
    <s v="ANX"/>
    <n v="2"/>
    <x v="436"/>
  </r>
  <r>
    <n v="500"/>
    <m/>
    <s v="W17006"/>
    <x v="198"/>
    <s v="W-US"/>
    <s v="美国"/>
    <s v="G1-B"/>
    <n v="160"/>
    <x v="7"/>
    <s v="盐田海卡"/>
    <s v="GEU3"/>
    <s v="G1-B"/>
    <s v="G1-B 电子球形把手锁 黑色"/>
    <s v="G1"/>
    <n v="10"/>
    <x v="437"/>
  </r>
  <r>
    <n v="501"/>
    <m/>
    <s v="W17006"/>
    <x v="198"/>
    <s v="W-US"/>
    <s v="美国"/>
    <s v="G1-SILV"/>
    <n v="160"/>
    <x v="7"/>
    <s v="盐田海卡"/>
    <s v="GEU3"/>
    <s v="G1-SILV"/>
    <s v="G1-SILV 电子球形把手锁 银色"/>
    <s v="G1"/>
    <n v="10"/>
    <x v="437"/>
  </r>
  <r>
    <n v="502"/>
    <m/>
    <s v="W17006"/>
    <x v="198"/>
    <s v="W-US"/>
    <s v="美国"/>
    <s v="002000029"/>
    <n v="448"/>
    <x v="7"/>
    <s v="盐田海卡"/>
    <s v="GEU3"/>
    <s v="MD1-B"/>
    <s v="MD1-B 电子球形把手锁 指纹 黑色"/>
    <s v="MD1"/>
    <n v="28"/>
    <x v="438"/>
  </r>
  <r>
    <n v="503"/>
    <m/>
    <s v="W17006"/>
    <x v="198"/>
    <s v="W-US"/>
    <s v="美国"/>
    <s v="002000038"/>
    <n v="480"/>
    <x v="7"/>
    <s v="盐田海卡"/>
    <s v="GEU3"/>
    <s v="MD1-SILV"/>
    <s v="MD1-SILV 电子球形把手锁 指纹 银色"/>
    <s v="MD1"/>
    <n v="30"/>
    <x v="439"/>
  </r>
  <r>
    <n v="504"/>
    <m/>
    <s v="W17006"/>
    <x v="198"/>
    <s v="W-US"/>
    <s v="美国"/>
    <s v="002000031"/>
    <n v="80"/>
    <x v="7"/>
    <s v="盐田海卡"/>
    <s v="GEU3"/>
    <s v="MK1-B"/>
    <s v="MK1-B 智能球形把手锁 黑色"/>
    <s v="MK1"/>
    <n v="5"/>
    <x v="440"/>
  </r>
  <r>
    <n v="505"/>
    <m/>
    <s v="W17003"/>
    <x v="199"/>
    <s v="V-US"/>
    <s v="美国"/>
    <s v="ANAKIT-WH_US_2X100K03"/>
    <n v="480"/>
    <x v="0"/>
    <s v="盐田海卡"/>
    <s v="TCY1"/>
    <s v="ANAKIT-WH_US_2X100K03"/>
    <s v="ANAKIT-WH_US_2X100K03 ANA白色机器+2X100mL酒店香氛油（天竺） 机油套装"/>
    <s v="ANA"/>
    <n v="40"/>
    <x v="441"/>
  </r>
  <r>
    <n v="506"/>
    <m/>
    <s v="W17003"/>
    <x v="199"/>
    <s v="V-US"/>
    <s v="美国"/>
    <s v="ANWKIT-WH_US_2X100K03"/>
    <n v="756"/>
    <x v="0"/>
    <s v="盐田海卡"/>
    <s v="TCY1"/>
    <s v="ANWKIT-WH_US_2X100K03"/>
    <s v="ANWKIT-WH_US_2X100K03 ANW白色机器+2X100mL酒店香氛油（天竺） 机油套装"/>
    <s v="ANW"/>
    <n v="63"/>
    <x v="442"/>
  </r>
  <r>
    <n v="507"/>
    <m/>
    <s v="W17003"/>
    <x v="200"/>
    <s v="V-US"/>
    <s v="美国"/>
    <s v="001000033"/>
    <n v="252"/>
    <x v="0"/>
    <s v="盐田海卡"/>
    <s v="TCY1"/>
    <s v="ANW-W"/>
    <s v="ANW-W 智能扩香仪 白色"/>
    <s v="ANW"/>
    <n v="21"/>
    <x v="443"/>
  </r>
  <r>
    <n v="508"/>
    <m/>
    <s v="W17004"/>
    <x v="201"/>
    <s v="A-CA"/>
    <s v="加拿大"/>
    <s v="002000020"/>
    <n v="192"/>
    <x v="7"/>
    <s v="加拿大海卡"/>
    <s v="YYC4"/>
    <s v="H2-B"/>
    <s v="H2-B 电子指纹球形把手锁-黑色"/>
    <s v="H2"/>
    <n v="16"/>
    <x v="444"/>
  </r>
  <r>
    <n v="509"/>
    <m/>
    <s v="W17004"/>
    <x v="201"/>
    <s v="A-CA"/>
    <s v="加拿大"/>
    <s v="002000022"/>
    <n v="84"/>
    <x v="7"/>
    <s v="加拿大海卡"/>
    <s v="YYC4"/>
    <s v="H2-G"/>
    <s v="H2-G 电子指纹球形把手锁-灰色"/>
    <s v="H2"/>
    <n v="7"/>
    <x v="445"/>
  </r>
  <r>
    <n v="510"/>
    <m/>
    <s v="W17004"/>
    <x v="201"/>
    <s v="A-CA"/>
    <s v="加拿大"/>
    <s v="002000001"/>
    <n v="180"/>
    <x v="7"/>
    <s v="加拿大海卡"/>
    <s v="YYC4"/>
    <s v="K1-B"/>
    <s v="K1-B 电子球形把手锁-黑色"/>
    <s v="K1"/>
    <n v="15"/>
    <x v="446"/>
  </r>
  <r>
    <n v="511"/>
    <m/>
    <s v="W17010"/>
    <x v="202"/>
    <s v="K-US"/>
    <s v="美国"/>
    <s v="RD2-B"/>
    <n v="300"/>
    <x v="0"/>
    <s v="盐田海卡"/>
    <s v="TCY1"/>
    <s v="RD2-B"/>
    <s v="RD2-B 便携式扩香仪 黑色"/>
    <s v="RD2"/>
    <n v="10"/>
    <x v="64"/>
  </r>
  <r>
    <n v="512"/>
    <m/>
    <s v="W18005"/>
    <x v="203"/>
    <s v="E-US"/>
    <s v="美国"/>
    <s v="ANZKIT-B_B_2X30K01"/>
    <n v="80"/>
    <x v="2"/>
    <s v="盐田海卡"/>
    <s v="POC3"/>
    <s v="ANZKIT-B_B_2X30K01"/>
    <s v="ANZKIT-B_B_2X30K01 ANZ黑色机器两个装+2X30毫升香氛油（天竺） 机油套装"/>
    <s v="ANZ"/>
    <n v="4"/>
    <x v="447"/>
  </r>
  <r>
    <n v="513"/>
    <m/>
    <s v="W18006"/>
    <x v="204"/>
    <s v="E-US"/>
    <s v="美国"/>
    <s v="ANZ-WH"/>
    <n v="600"/>
    <x v="2"/>
    <s v="美森海卡"/>
    <s v="TCY2"/>
    <s v="ANZ-WH"/>
    <s v="ANZ-WH 便携式扩香仪 白色"/>
    <s v="ANZ"/>
    <n v="15"/>
    <x v="448"/>
  </r>
  <r>
    <n v="514"/>
    <m/>
    <s v="W18003"/>
    <x v="205"/>
    <s v="V-US"/>
    <s v="美国"/>
    <s v="001000019"/>
    <n v="1600"/>
    <x v="7"/>
    <s v="盐田海卡"/>
    <s v="TCY2"/>
    <s v="AN6-B"/>
    <s v="AN6-B 便携式扩香仪 黑色"/>
    <s v="AN6"/>
    <n v="40"/>
    <x v="449"/>
  </r>
  <r>
    <n v="515"/>
    <m/>
    <s v="W18003"/>
    <x v="205"/>
    <s v="V-US"/>
    <s v="美国"/>
    <s v="001000039"/>
    <n v="200"/>
    <x v="7"/>
    <s v="盐田海卡"/>
    <s v="TCY2"/>
    <s v="AN6-GL"/>
    <s v="AN6-GL 便携式扩香仪 翠百合色"/>
    <s v="AN6"/>
    <n v="5"/>
    <x v="450"/>
  </r>
  <r>
    <n v="516"/>
    <m/>
    <s v="W18003"/>
    <x v="205"/>
    <s v="V-US"/>
    <s v="美国"/>
    <s v="AN6-LV"/>
    <n v="200"/>
    <x v="7"/>
    <s v="盐田海卡"/>
    <s v="TCY2"/>
    <s v="AN6-LV"/>
    <s v="AN6-LV 便携式扩香仪 薰衣草"/>
    <s v="AN6"/>
    <n v="5"/>
    <x v="450"/>
  </r>
  <r>
    <n v="517"/>
    <m/>
    <s v="W18003"/>
    <x v="205"/>
    <s v="V-US"/>
    <s v="美国"/>
    <s v="001000020"/>
    <n v="520"/>
    <x v="7"/>
    <s v="盐田海卡"/>
    <s v="TCY2"/>
    <s v="AN6-W"/>
    <s v="AN6-W 便携式扩香仪 白色"/>
    <s v="AN6"/>
    <n v="13"/>
    <x v="451"/>
  </r>
  <r>
    <n v="518"/>
    <m/>
    <s v="W18003"/>
    <x v="205"/>
    <s v="V-US"/>
    <s v="美国"/>
    <s v="RD1-B"/>
    <n v="210"/>
    <x v="7"/>
    <s v="盐田海卡"/>
    <s v="TCY2"/>
    <s v="RD1-B"/>
    <s v="RD1-B 便携式扩香仪 黑色"/>
    <s v="RD1"/>
    <n v="7"/>
    <x v="452"/>
  </r>
  <r>
    <n v="519"/>
    <m/>
    <s v="W18003"/>
    <x v="205"/>
    <s v="V-US"/>
    <s v="美国"/>
    <s v="RD1-DT"/>
    <n v="210"/>
    <x v="7"/>
    <s v="盐田海卡"/>
    <s v="TCY2"/>
    <s v="RD1-DT"/>
    <s v="RD1-DT 便携式扩香仪 沙漠钛色"/>
    <s v="RD1"/>
    <n v="7"/>
    <x v="452"/>
  </r>
  <r>
    <n v="520"/>
    <m/>
    <s v="W18003"/>
    <x v="205"/>
    <s v="V-US"/>
    <s v="美国"/>
    <s v="RD1-G"/>
    <n v="300"/>
    <x v="7"/>
    <s v="盐田海卡"/>
    <s v="TCY2"/>
    <s v="RD1-G"/>
    <s v="RD1-G 便携式扩香仪 灰色"/>
    <s v="RD1"/>
    <n v="10"/>
    <x v="453"/>
  </r>
  <r>
    <n v="521"/>
    <m/>
    <s v="W18003"/>
    <x v="205"/>
    <s v="V-US"/>
    <s v="美国"/>
    <s v="AND-B"/>
    <n v="60"/>
    <x v="7"/>
    <s v="盐田海卡"/>
    <s v="TCY2"/>
    <s v="AND-B"/>
    <s v="AND-B 便携式双喷扩香仪 黑色"/>
    <s v="AND"/>
    <n v="2"/>
    <x v="454"/>
  </r>
  <r>
    <n v="522"/>
    <m/>
    <s v="W18005"/>
    <x v="206"/>
    <s v="V-US"/>
    <s v="美国"/>
    <s v="AN6KIT-B_RZ30ml"/>
    <n v="330"/>
    <x v="2"/>
    <s v="盐田海卡"/>
    <s v="TCY2"/>
    <s v="AN6KIT-B_RZ30ml"/>
    <s v="AN6KIT-B_RZ30ml AN6黑色机器+30mL丽思香氛油 机油套装"/>
    <s v="AN6"/>
    <n v="11"/>
    <x v="455"/>
  </r>
  <r>
    <n v="523"/>
    <m/>
    <s v="W18005"/>
    <x v="206"/>
    <s v="V-US"/>
    <s v="美国"/>
    <s v="AN8KIT-B_4X10K02"/>
    <n v="210"/>
    <x v="2"/>
    <s v="盐田海卡"/>
    <s v="TCY2"/>
    <s v="AN8KIT-B_4X10K02"/>
    <s v="AN8KIT-B_4X10K02 AN8黑色机器+4x10mL（天竺）香氛油 机油套装"/>
    <s v="AN8"/>
    <n v="7"/>
    <x v="456"/>
  </r>
  <r>
    <n v="524"/>
    <m/>
    <s v="W18004"/>
    <x v="207"/>
    <s v="K-US"/>
    <s v="美国"/>
    <s v="RD2KIT-SILV_2X30K07_TZ"/>
    <n v="200"/>
    <x v="2"/>
    <s v="盐田海卡"/>
    <s v="TCY2"/>
    <s v="RD2KIT-SILV_2X30K07_TZ"/>
    <s v="RD2KIT-SILV_2X30K07_TZ RD2银色机器+2X30mL酒店香氛油（天竺）  机油套装"/>
    <s v="RD2"/>
    <n v="10"/>
    <x v="457"/>
  </r>
  <r>
    <n v="525"/>
    <m/>
    <s v="W18004"/>
    <x v="208"/>
    <s v="K-US"/>
    <s v="美国"/>
    <s v="RD2-SILV"/>
    <n v="120"/>
    <x v="2"/>
    <s v="盐田海卡"/>
    <s v="TCY2"/>
    <s v="RD2-SILV"/>
    <s v="RD2-SILV 便携式扩香仪 银色"/>
    <s v="RD2"/>
    <n v="4"/>
    <x v="458"/>
  </r>
  <r>
    <n v="526"/>
    <m/>
    <s v="W18004"/>
    <x v="209"/>
    <s v="K-US"/>
    <s v="美国"/>
    <s v="AN6-G"/>
    <n v="40"/>
    <x v="2"/>
    <s v="盐田海卡"/>
    <s v="MIT2"/>
    <s v="AN6-G"/>
    <s v="AN6-G 便携式扩香仪 灰色"/>
    <s v="AN6"/>
    <n v="1"/>
    <x v="459"/>
  </r>
  <r>
    <n v="527"/>
    <m/>
    <s v="W18004"/>
    <x v="209"/>
    <s v="K-US"/>
    <s v="美国"/>
    <s v="AN6-YG"/>
    <n v="40"/>
    <x v="2"/>
    <s v="盐田海卡"/>
    <s v="MIT2"/>
    <s v="AN6-YG"/>
    <s v="AN6-YG 便携式扩香仪 乳酪色"/>
    <s v="AN6"/>
    <n v="1"/>
    <x v="459"/>
  </r>
  <r>
    <n v="528"/>
    <m/>
    <s v="W18004"/>
    <x v="210"/>
    <s v="K-US"/>
    <s v="美国"/>
    <s v="RD2KIT-B_2X30K06_TZ"/>
    <n v="100"/>
    <x v="2"/>
    <s v="盐田海卡"/>
    <s v="GEU3"/>
    <s v="RD2KIT-B_2X30K06_TZ"/>
    <s v="RD2KIT-B_2X30K06_TZ RD2黑色机器+2X30mL酒店香氛油（天竺）  机油套装"/>
    <s v="RD2"/>
    <n v="5"/>
    <x v="460"/>
  </r>
  <r>
    <n v="529"/>
    <m/>
    <s v="W18005"/>
    <x v="211"/>
    <s v="E-US"/>
    <s v="美国"/>
    <s v="001000045"/>
    <n v="150"/>
    <x v="2"/>
    <s v="盐田海卡"/>
    <s v="GEU3"/>
    <s v="ANX-B"/>
    <s v="ANX-B 便携式扩香仪 黑色"/>
    <s v="ANX"/>
    <n v="5"/>
    <x v="461"/>
  </r>
  <r>
    <n v="530"/>
    <m/>
    <s v="W18005"/>
    <x v="211"/>
    <s v="E-US"/>
    <s v="美国"/>
    <s v="ANZ-B"/>
    <n v="1360"/>
    <x v="2"/>
    <s v="盐田海卡"/>
    <s v="GEU3"/>
    <s v="ANZ-B"/>
    <s v="ANZ-B 便携式扩香仪 黑色"/>
    <s v="ANZ"/>
    <n v="34"/>
    <x v="462"/>
  </r>
  <r>
    <n v="531"/>
    <m/>
    <s v="W18005"/>
    <x v="211"/>
    <s v="E-US"/>
    <s v="美国"/>
    <s v="ANZ-B"/>
    <n v="40"/>
    <x v="2"/>
    <s v="盐田海卡"/>
    <s v="GEU3"/>
    <s v="ANZ-B"/>
    <s v="ANZ-B 便携式扩香仪 黑色"/>
    <s v="ANZ"/>
    <n v="1"/>
    <x v="463"/>
  </r>
  <r>
    <n v="532"/>
    <m/>
    <s v="W18005"/>
    <x v="211"/>
    <s v="E-US"/>
    <s v="美国"/>
    <s v="ANZ-WH"/>
    <n v="40"/>
    <x v="2"/>
    <s v="盐田海卡"/>
    <s v="GEU3"/>
    <s v="ANZ-WH"/>
    <s v="ANZ-WH 便携式扩香仪 白色"/>
    <s v="ANZ"/>
    <n v="1"/>
    <x v="463"/>
  </r>
  <r>
    <n v="533"/>
    <m/>
    <s v="W18003"/>
    <x v="212"/>
    <s v="V-US"/>
    <s v="美国"/>
    <s v="001000019"/>
    <n v="600"/>
    <x v="7"/>
    <s v="盐田海卡"/>
    <s v="TCY2"/>
    <s v="AN6-B"/>
    <s v="AN6-B 便携式扩香仪 黑色"/>
    <s v="AN6"/>
    <n v="15"/>
    <x v="464"/>
  </r>
  <r>
    <n v="534"/>
    <m/>
    <s v="W18005"/>
    <x v="213"/>
    <s v="V-US"/>
    <s v="美国"/>
    <s v="ADXKIT-B_4X10K04_TZ"/>
    <n v="300"/>
    <x v="2"/>
    <s v="盐田海卡"/>
    <s v="TCY2"/>
    <s v="ADXKIT-B_4X10K04_TZ"/>
    <s v="ADXKIT-B_4X10K04_TZ ADX黑色机器+4x10mL酒店（天竺）香氛油 机油套装"/>
    <s v="ADX"/>
    <n v="10"/>
    <x v="465"/>
  </r>
  <r>
    <n v="535"/>
    <m/>
    <s v="W18005"/>
    <x v="213"/>
    <s v="V-US"/>
    <s v="美国"/>
    <s v="AN8KIT-WH_4X10K05_TZ"/>
    <n v="300"/>
    <x v="2"/>
    <s v="盐田海卡"/>
    <s v="TCY2"/>
    <s v="AN8KIT-WH_4X10K05_TZ"/>
    <s v="AN8KIT-WH_4X10K05_TZ AN8白色机器+4x10mL（天竺）酒店香氛油 机油套装"/>
    <s v="AN8"/>
    <n v="10"/>
    <x v="465"/>
  </r>
  <r>
    <n v="536"/>
    <m/>
    <s v="W18003"/>
    <x v="214"/>
    <s v="V-US"/>
    <s v="美国"/>
    <s v="001000032"/>
    <n v="480"/>
    <x v="7"/>
    <s v="盐田海卡"/>
    <s v="TCY2"/>
    <s v="ANW-B"/>
    <s v="ANW-B 智能扩香仪 黑色"/>
    <s v="ANW"/>
    <n v="40"/>
    <x v="466"/>
  </r>
  <r>
    <n v="537"/>
    <m/>
    <s v="W18003"/>
    <x v="214"/>
    <s v="V-US"/>
    <s v="美国"/>
    <s v="001000033"/>
    <n v="600"/>
    <x v="7"/>
    <s v="盐田海卡"/>
    <s v="TCY2"/>
    <s v="ANW-W"/>
    <s v="ANW-W 智能扩香仪 白色"/>
    <s v="ANW"/>
    <n v="50"/>
    <x v="467"/>
  </r>
  <r>
    <n v="538"/>
    <m/>
    <s v="W18003"/>
    <x v="214"/>
    <s v="V-US"/>
    <s v="美国"/>
    <s v="ANP-W_US"/>
    <n v="160"/>
    <x v="7"/>
    <s v="盐田海卡"/>
    <s v="TCY2"/>
    <s v="ANP-W_US"/>
    <s v="ANP-W_US 墙插式智能扩香仪 白色"/>
    <s v="ANP"/>
    <n v="5"/>
    <x v="468"/>
  </r>
  <r>
    <n v="539"/>
    <m/>
    <s v="W18003"/>
    <x v="214"/>
    <s v="V-US"/>
    <s v="美国"/>
    <s v="001000056"/>
    <n v="90"/>
    <x v="7"/>
    <s v="盐田海卡"/>
    <s v="TCY2"/>
    <s v="ANW-Wbot"/>
    <s v="ANW-Wbot ANW带盖瓶子 白喷头"/>
    <s v="ANW-AC"/>
    <n v="1"/>
    <x v="469"/>
  </r>
  <r>
    <n v="540"/>
    <m/>
    <s v="W18005"/>
    <x v="215"/>
    <s v="V-US"/>
    <s v="美国"/>
    <s v="ANWKIT-B_US_2X100K03"/>
    <n v="120"/>
    <x v="2"/>
    <s v="盐田海卡"/>
    <s v="TCY2"/>
    <s v="ANWKIT-B_US_2X100K03"/>
    <s v="ANWKIT-B_US_2X100K03 ANW黑色机器+2X100mL酒店香氛油（天竺） 机油套装"/>
    <s v="ANW"/>
    <n v="10"/>
    <x v="470"/>
  </r>
  <r>
    <n v="541"/>
    <m/>
    <s v="W18004"/>
    <x v="216"/>
    <s v="K-US"/>
    <s v="美国"/>
    <s v="U1KIT-B_US_2X50K01_TZ"/>
    <n v="153"/>
    <x v="2"/>
    <s v="盐田海卡"/>
    <s v="TCY1"/>
    <s v="U1KIT-B_US_2X50K01_TZ"/>
    <s v="U1KIT-B_US_2X50K01_TZ U1黑色机器+2X50mL酒店香氛油（天竺） 机油套装"/>
    <s v="U1"/>
    <n v="17"/>
    <x v="471"/>
  </r>
  <r>
    <n v="542"/>
    <m/>
    <s v="W18004"/>
    <x v="217"/>
    <s v="K-US"/>
    <s v="美国"/>
    <s v="U1-B_US"/>
    <n v="153"/>
    <x v="2"/>
    <s v="盐田海卡"/>
    <s v="GEU2"/>
    <s v="U1-B_US"/>
    <s v="U1-B_US 智能扩香仪 黑色"/>
    <s v="U1"/>
    <n v="17"/>
    <x v="127"/>
  </r>
  <r>
    <n v="543"/>
    <m/>
    <s v="W18001"/>
    <x v="218"/>
    <s v="E-US"/>
    <s v="美国"/>
    <s v="BLG1-100ML"/>
    <n v="180"/>
    <x v="1"/>
    <s v="盐田海卡"/>
    <s v="GEU3"/>
    <s v="BLG1-100ML"/>
    <s v="BLG1-100ML 百乐宫酒店香氛油100mL"/>
    <s v="Oil-HQ"/>
    <n v="2"/>
    <x v="472"/>
  </r>
  <r>
    <n v="544"/>
    <m/>
    <s v="W18001"/>
    <x v="218"/>
    <s v="E-US"/>
    <s v="美国"/>
    <s v="HOTEL6KIT1-6X10K01"/>
    <n v="152"/>
    <x v="1"/>
    <s v="盐田海卡"/>
    <s v="GEU3"/>
    <s v="HOTEL6KIT1-6X10K01"/>
    <s v="HOTEL6KIT1-6X10K01 酒店香氛油6款10mL套装"/>
    <s v="Oil-HQ"/>
    <n v="2"/>
    <x v="472"/>
  </r>
  <r>
    <n v="545"/>
    <m/>
    <s v="W18001"/>
    <x v="218"/>
    <s v="E-US"/>
    <s v="美国"/>
    <s v="JY-100ML"/>
    <n v="90"/>
    <x v="1"/>
    <s v="盐田海卡"/>
    <s v="GEU3"/>
    <s v="A-JY-100"/>
    <s v="A-Grand Hyatt Hotel-100 君悦酒店香氛油100mL"/>
    <s v="Oil-HQ"/>
    <n v="1"/>
    <x v="473"/>
  </r>
  <r>
    <n v="546"/>
    <m/>
    <s v="W18001"/>
    <x v="218"/>
    <s v="E-US"/>
    <s v="美国"/>
    <s v="006000026"/>
    <n v="180"/>
    <x v="1"/>
    <s v="盐田海卡"/>
    <s v="GEU3"/>
    <s v="A-MT-100"/>
    <s v="A-Marriott Hotel 1-100 万豪酒店1香氛油100mL"/>
    <s v="Oil-HQ"/>
    <n v="2"/>
    <x v="472"/>
  </r>
  <r>
    <n v="547"/>
    <s v="跟FBA19C12XM4V 合并报关"/>
    <s v="W18002"/>
    <x v="219"/>
    <s v="V-US"/>
    <s v="美国"/>
    <s v="RZ1-100ML_TZ"/>
    <n v="1280"/>
    <x v="3"/>
    <s v="盐田海卡"/>
    <s v="HLI2"/>
    <s v="RZ1-100ML_TZ"/>
    <s v="RZ1-100ML_TZ 丽思卡尔顿酒店100mL香氛油（天竺） 销售包装"/>
    <s v="Oil-TZ"/>
    <n v="20"/>
    <x v="474"/>
  </r>
  <r>
    <n v="548"/>
    <m/>
    <s v="W18002"/>
    <x v="219"/>
    <s v="V-US"/>
    <s v="美国"/>
    <s v="RZ1-500ML_TZ"/>
    <n v="100"/>
    <x v="3"/>
    <s v="盐田海卡"/>
    <s v="HLI2"/>
    <s v="RZ1-500ML_TZ"/>
    <s v="RZ1-500ML_TZ 丽思卡尔顿酒店500mL香氛油（天竺） 销售包装"/>
    <s v="Oil-TZ"/>
    <n v="5"/>
    <x v="401"/>
  </r>
  <r>
    <n v="549"/>
    <m/>
    <s v="W18002"/>
    <x v="220"/>
    <s v="E-US"/>
    <s v="美国"/>
    <s v="BCRT1-100ML_TZ"/>
    <n v="256"/>
    <x v="3"/>
    <s v="盐田海卡"/>
    <s v="TCY1"/>
    <s v="BCRT1-100ML_TZ"/>
    <s v="BCRT1-100ML_TZ 巴卡拉酒店100mL香氛油（天竺） 销售包装"/>
    <s v="Oil-TZ"/>
    <n v="4"/>
    <x v="475"/>
  </r>
  <r>
    <n v="550"/>
    <m/>
    <s v="W18002"/>
    <x v="220"/>
    <s v="E-US"/>
    <s v="美国"/>
    <s v="SJ1-100ML_TZ"/>
    <n v="192"/>
    <x v="3"/>
    <s v="盐田海卡"/>
    <s v="TCY1"/>
    <s v="SJ1-100ML_TZ"/>
    <s v="SJ1-100ML_TZ 四季酒店100mL香氛油（天竺） 销售包装"/>
    <s v="Oil-TZ"/>
    <n v="3"/>
    <x v="401"/>
  </r>
  <r>
    <n v="551"/>
    <m/>
    <s v="W18002"/>
    <x v="220"/>
    <s v="E-US"/>
    <s v="美国"/>
    <s v="W1-100ML_TZ"/>
    <n v="320"/>
    <x v="3"/>
    <s v="盐田海卡"/>
    <s v="TCY1"/>
    <s v="W1-100ML_TZ"/>
    <s v="W1-100ML_TZ W酒店100mL香氛油（天竺） 销售包装"/>
    <s v="Oil-TZ"/>
    <n v="5"/>
    <x v="117"/>
  </r>
  <r>
    <n v="552"/>
    <m/>
    <s v="W18002"/>
    <x v="220"/>
    <s v="E-US"/>
    <s v="美国"/>
    <s v="HILTON1-100ML_TZ"/>
    <n v="192"/>
    <x v="3"/>
    <s v="盐田海卡"/>
    <s v="TCY1"/>
    <s v="HILTON1-100ML_TZ"/>
    <s v="HILTON1-100ML_TZ 希尔顿酒店100mL香氛油（天竺） 销售包装"/>
    <s v="Oil-TZ"/>
    <n v="3"/>
    <x v="401"/>
  </r>
  <r>
    <n v="553"/>
    <m/>
    <s v="W19010"/>
    <x v="221"/>
    <s v="V-US"/>
    <s v="美国"/>
    <s v="ADXKIT-B_4X10K04_TZ"/>
    <n v="300"/>
    <x v="0"/>
    <s v="美森海卡"/>
    <s v="TCY1"/>
    <s v="ADXKIT-B_4X10K04_TZ"/>
    <s v="ADXKIT-B_4X10K04_TZ ADX黑色机器+4x10mL酒店（天竺）香氛油 机油套装"/>
    <s v="ADX"/>
    <n v="10"/>
    <x v="352"/>
  </r>
  <r>
    <n v="554"/>
    <m/>
    <s v="W19005"/>
    <x v="222"/>
    <s v="V-US"/>
    <s v="美国"/>
    <s v="ADXKIT-DT_4X10K04_TZ"/>
    <n v="300"/>
    <x v="0"/>
    <s v="盐田海卡"/>
    <s v="TCY1"/>
    <s v="ADXKIT-DT_4X10K04_TZ"/>
    <s v="ADXKIT-DT_4X10K04_TZ AD钛色机器+4x10mL酒店（天竺）香氛油 机油套装"/>
    <s v="ADX"/>
    <n v="10"/>
    <x v="352"/>
  </r>
  <r>
    <n v="555"/>
    <m/>
    <s v="W19005"/>
    <x v="223"/>
    <s v="V-US"/>
    <s v="美国"/>
    <s v="001000019"/>
    <n v="1200"/>
    <x v="0"/>
    <s v="盐田海卡"/>
    <s v="HLI2"/>
    <s v="AN6-B"/>
    <s v="AN6-B 便携式扩香仪 黑色"/>
    <s v="AN6"/>
    <n v="30"/>
    <x v="476"/>
  </r>
  <r>
    <n v="556"/>
    <m/>
    <s v="W19005"/>
    <x v="223"/>
    <s v="V-US"/>
    <s v="美国"/>
    <s v="001000039"/>
    <n v="120"/>
    <x v="0"/>
    <s v="盐田海卡"/>
    <s v="HLI2"/>
    <s v="AN6-GL"/>
    <s v="AN6-GL 便携式扩香仪 翠百合色"/>
    <s v="AN6"/>
    <n v="3"/>
    <x v="477"/>
  </r>
  <r>
    <n v="557"/>
    <m/>
    <s v="W19005"/>
    <x v="223"/>
    <s v="V-US"/>
    <s v="美国"/>
    <s v="001000020"/>
    <n v="1000"/>
    <x v="0"/>
    <s v="盐田海卡"/>
    <s v="HLI2"/>
    <s v="AN6-W"/>
    <s v="AN6-W 便携式扩香仪 白色"/>
    <s v="AN6"/>
    <n v="25"/>
    <x v="478"/>
  </r>
  <r>
    <n v="558"/>
    <m/>
    <s v="W19005"/>
    <x v="223"/>
    <s v="V-US"/>
    <s v="美国"/>
    <s v="AN6-YG"/>
    <n v="80"/>
    <x v="0"/>
    <s v="盐田海卡"/>
    <s v="HLI2"/>
    <s v="AN6-YG"/>
    <s v="AN6-YG 便携式扩香仪 乳酪色"/>
    <s v="AN6"/>
    <n v="2"/>
    <x v="479"/>
  </r>
  <r>
    <n v="559"/>
    <m/>
    <s v="W19005"/>
    <x v="223"/>
    <s v="V-US"/>
    <s v="美国"/>
    <s v="RD1-B"/>
    <n v="300"/>
    <x v="0"/>
    <s v="盐田海卡"/>
    <s v="HLI2"/>
    <s v="RD1-B"/>
    <s v="RD1-B 便携式扩香仪 黑色"/>
    <s v="RD1"/>
    <n v="10"/>
    <x v="480"/>
  </r>
  <r>
    <n v="560"/>
    <m/>
    <s v="W19006"/>
    <x v="224"/>
    <s v="E-US"/>
    <s v="美国"/>
    <s v="001000052"/>
    <n v="90"/>
    <x v="0"/>
    <s v="盐田海卡"/>
    <s v="GEU2"/>
    <s v="ANX-DT"/>
    <s v="ANX-DT 便携式扩香仪 沙漠钛色"/>
    <s v="ANX"/>
    <n v="3"/>
    <x v="481"/>
  </r>
  <r>
    <n v="561"/>
    <m/>
    <s v="W19006"/>
    <x v="225"/>
    <s v="A-US"/>
    <s v="美国"/>
    <s v="ANZKIT-B_BGR30ML_TZ"/>
    <n v="600"/>
    <x v="0"/>
    <s v="盐田海卡"/>
    <s v="QXY8"/>
    <s v="ANZKIT-B_BGR30ML_TZ"/>
    <s v="ANZKIT-B_BGR30ML_TZ ANZ黑色机器+30mL宝格丽酒店香氛油（天竺） 机油套装"/>
    <s v="ANZ"/>
    <n v="20"/>
    <x v="482"/>
  </r>
  <r>
    <n v="562"/>
    <m/>
    <s v="W19006"/>
    <x v="225"/>
    <s v="A-US"/>
    <s v="美国"/>
    <s v="ANZKIT-W_BGR30ML_TZ"/>
    <n v="150"/>
    <x v="0"/>
    <s v="盐田海卡"/>
    <s v="QXY8"/>
    <s v="ANZKIT-W_BGR30ML_TZ"/>
    <s v="ANZKIT-W_BGR30ML_TZ ANZ白色机器+30mL宝格丽酒店香氛油（天竺） 机油套装"/>
    <s v="ANZ"/>
    <n v="5"/>
    <x v="483"/>
  </r>
  <r>
    <n v="563"/>
    <m/>
    <s v="W19006"/>
    <x v="226"/>
    <s v="V-US"/>
    <s v="美国"/>
    <s v="ANAKIT-WH_US_2X100K03"/>
    <n v="120"/>
    <x v="0"/>
    <s v="盐田海卡"/>
    <s v="GEU2"/>
    <s v="ANAKIT-WH_US_2X100K03"/>
    <s v="ANAKIT-WH_US_2X100K03 ANA白色机器+2X100mL酒店香氛油（天竺） 机油套装"/>
    <s v="ANA"/>
    <n v="10"/>
    <x v="484"/>
  </r>
  <r>
    <n v="564"/>
    <m/>
    <s v="W19001"/>
    <x v="227"/>
    <s v="W-DE"/>
    <s v="德国"/>
    <s v="ANA-WH_EU"/>
    <n v="216"/>
    <x v="8"/>
    <s v="欧洲海卡"/>
    <s v="BER8"/>
    <s v="ANA-WH_EU"/>
    <s v="ANA-WH_EU 智能扩香仪 欧规 白色"/>
    <s v="ANA"/>
    <n v="18"/>
    <x v="485"/>
  </r>
  <r>
    <n v="565"/>
    <m/>
    <s v="W19006"/>
    <x v="228"/>
    <s v="V-US"/>
    <s v="美国"/>
    <s v="ANP-W_US"/>
    <n v="256"/>
    <x v="0"/>
    <s v="盐田海卡"/>
    <s v="GEU2"/>
    <s v="ANP-W_US"/>
    <s v="ANP-W_US 墙插式智能扩香仪 白色"/>
    <s v="ANP"/>
    <n v="8"/>
    <x v="486"/>
  </r>
  <r>
    <n v="566"/>
    <m/>
    <s v="W19007"/>
    <x v="229"/>
    <s v="K-US"/>
    <s v="美国"/>
    <s v="U1KIT-B_US_2X50K01_TZ"/>
    <n v="1152"/>
    <x v="0"/>
    <s v="盐田海卡"/>
    <s v="GEU3"/>
    <s v="U1KIT-B_US_2X50K01_TZ"/>
    <s v="U1KIT-B_US_2X50K01_TZ U1黑色机器+2X50mL酒店香氛油（天竺） 机油套装"/>
    <s v="U1"/>
    <n v="128"/>
    <x v="487"/>
  </r>
  <r>
    <n v="567"/>
    <m/>
    <s v="W19008"/>
    <x v="230"/>
    <s v="K-US"/>
    <s v="美国"/>
    <s v="U1-B_US"/>
    <n v="513"/>
    <x v="7"/>
    <s v="盐田海卡"/>
    <s v="GEU3"/>
    <s v="U1-B_US"/>
    <s v="U1-B_US 智能扩香仪 黑色"/>
    <s v="U1"/>
    <n v="57"/>
    <x v="488"/>
  </r>
  <r>
    <n v="568"/>
    <m/>
    <s v="W19009"/>
    <x v="231"/>
    <s v="V-US"/>
    <s v="美国"/>
    <s v="001000032"/>
    <n v="36"/>
    <x v="7"/>
    <s v="盐田海卡"/>
    <s v="TCY2"/>
    <s v="ANW-B"/>
    <s v="ANW-B 智能扩香仪 黑色"/>
    <s v="ANW"/>
    <n v="3"/>
    <x v="489"/>
  </r>
  <r>
    <n v="569"/>
    <m/>
    <s v="W19009"/>
    <x v="231"/>
    <s v="V-US"/>
    <s v="美国"/>
    <s v="001000033"/>
    <n v="600"/>
    <x v="7"/>
    <s v="盐田海卡"/>
    <s v="TCY2"/>
    <s v="ANW-W"/>
    <s v="ANW-W 智能扩香仪 白色"/>
    <s v="ANW"/>
    <n v="50"/>
    <x v="490"/>
  </r>
  <r>
    <n v="570"/>
    <m/>
    <s v="W19005"/>
    <x v="232"/>
    <s v="E-US"/>
    <s v="美国"/>
    <s v="003000007"/>
    <n v="180"/>
    <x v="0"/>
    <s v="盐田海卡"/>
    <s v="HLI2"/>
    <s v="AP2F-H14"/>
    <s v="AP2F-H14 空气净化器滤网2-H14"/>
    <s v="AP2F"/>
    <n v="5"/>
    <x v="491"/>
  </r>
  <r>
    <n v="571"/>
    <m/>
    <s v="W19004"/>
    <x v="233"/>
    <s v="V-CA"/>
    <s v="加拿大"/>
    <s v="003000014"/>
    <n v="60"/>
    <x v="0"/>
    <s v="加拿大海卡"/>
    <s v="YOW1"/>
    <s v="AP2US-H14"/>
    <s v="AP2US-H14 内置H14滤网桌面式空气净化器2-美规"/>
    <s v="AP2"/>
    <n v="15"/>
    <x v="492"/>
  </r>
  <r>
    <n v="572"/>
    <s v="不上门提货，需要自行安排车送货到货代仓库，100.83为自行安排车送货的运费"/>
    <s v="W20003"/>
    <x v="234"/>
    <s v="E-AE"/>
    <s v="阿联酋"/>
    <s v="001000019"/>
    <n v="240"/>
    <x v="9"/>
    <s v="阿联酋海卡"/>
    <s v="DXB5"/>
    <s v="AN6-B"/>
    <s v="AN6-B 便携式扩香仪 黑色"/>
    <s v="AN6"/>
    <n v="6"/>
    <x v="493"/>
  </r>
  <r>
    <n v="573"/>
    <m/>
    <s v="W20003"/>
    <x v="234"/>
    <s v="E-AE"/>
    <s v="阿联酋"/>
    <s v="001000020"/>
    <n v="80"/>
    <x v="9"/>
    <s v="阿联酋海卡"/>
    <s v="DXB5"/>
    <s v="AN6-W"/>
    <s v="AN6-W 便携式扩香仪 白色"/>
    <s v="AN6"/>
    <n v="2"/>
    <x v="200"/>
  </r>
  <r>
    <n v="574"/>
    <m/>
    <s v="W20003"/>
    <x v="234"/>
    <s v="E-AE"/>
    <s v="阿联酋"/>
    <s v="001000045"/>
    <n v="60"/>
    <x v="9"/>
    <s v="阿联酋海卡"/>
    <s v="DXB5"/>
    <s v="ANX-B"/>
    <s v="ANX-B 便携式扩香仪 黑色"/>
    <s v="ANX"/>
    <n v="2"/>
    <x v="200"/>
  </r>
  <r>
    <n v="575"/>
    <m/>
    <s v="W20003"/>
    <x v="234"/>
    <s v="E-AE"/>
    <s v="阿联酋"/>
    <s v="RD1-DT"/>
    <n v="60"/>
    <x v="9"/>
    <s v="阿联酋海卡"/>
    <s v="DXB5"/>
    <s v="RD1-DT"/>
    <s v="RD1-DT 便携式扩香仪 沙漠钛色"/>
    <s v="RD1"/>
    <n v="2"/>
    <x v="200"/>
  </r>
  <r>
    <n v="576"/>
    <m/>
    <s v="W20004"/>
    <x v="235"/>
    <s v="E-UK"/>
    <s v="英国"/>
    <s v="001000019"/>
    <n v="320"/>
    <x v="0"/>
    <s v="英国海卡"/>
    <s v="LBA4"/>
    <s v="AN6-B"/>
    <s v="AN6-B 便携式扩香仪 黑色"/>
    <s v="AN6"/>
    <n v="8"/>
    <x v="494"/>
  </r>
  <r>
    <n v="577"/>
    <m/>
    <s v="W20004"/>
    <x v="235"/>
    <s v="E-UK"/>
    <s v="英国"/>
    <s v="001000039"/>
    <n v="120"/>
    <x v="0"/>
    <s v="英国海卡"/>
    <s v="LBA4"/>
    <s v="AN6-GL"/>
    <s v="AN6-GL 便携式扩香仪 翠百合色"/>
    <s v="AN6"/>
    <n v="3"/>
    <x v="495"/>
  </r>
  <r>
    <n v="578"/>
    <m/>
    <s v="W20004"/>
    <x v="235"/>
    <s v="E-UK"/>
    <s v="英国"/>
    <s v="001000020"/>
    <n v="200"/>
    <x v="0"/>
    <s v="英国海卡"/>
    <s v="LBA4"/>
    <s v="AN6-W"/>
    <s v="AN6-W 便携式扩香仪 白色"/>
    <s v="AN6"/>
    <n v="5"/>
    <x v="496"/>
  </r>
  <r>
    <n v="579"/>
    <m/>
    <s v="W20004"/>
    <x v="235"/>
    <s v="E-UK"/>
    <s v="英国"/>
    <s v="001000045"/>
    <n v="120"/>
    <x v="0"/>
    <s v="英国海卡"/>
    <s v="LBA4"/>
    <s v="ANX-B"/>
    <s v="ANX-B 便携式扩香仪 黑色"/>
    <s v="ANX"/>
    <n v="4"/>
    <x v="497"/>
  </r>
  <r>
    <n v="580"/>
    <m/>
    <s v="W20004"/>
    <x v="235"/>
    <s v="E-UK"/>
    <s v="英国"/>
    <s v="001000052"/>
    <n v="60"/>
    <x v="0"/>
    <s v="英国海卡"/>
    <s v="LBA4"/>
    <s v="ANX-DT"/>
    <s v="ANX-DT 便携式扩香仪 沙漠钛色"/>
    <s v="ANX"/>
    <n v="2"/>
    <x v="498"/>
  </r>
  <r>
    <n v="581"/>
    <m/>
    <s v="W20007"/>
    <x v="236"/>
    <s v="V-US"/>
    <s v="美国"/>
    <s v="001000030"/>
    <n v="192"/>
    <x v="0"/>
    <s v="盐田海卡"/>
    <s v="MIT2"/>
    <s v="AN6B-NZB"/>
    <s v="AN6B-NZB 便携式扩香仪套装 黑机器+黑喷嘴"/>
    <s v="AN6"/>
    <n v="6"/>
    <x v="499"/>
  </r>
  <r>
    <n v="582"/>
    <m/>
    <s v="W20007"/>
    <x v="236"/>
    <s v="V-US"/>
    <s v="美国"/>
    <s v="001000019"/>
    <n v="1200"/>
    <x v="0"/>
    <s v="盐田海卡"/>
    <s v="MIT2"/>
    <s v="AN6-B"/>
    <s v="AN6-B 便携式扩香仪 黑色"/>
    <s v="AN6"/>
    <n v="30"/>
    <x v="500"/>
  </r>
  <r>
    <n v="583"/>
    <m/>
    <s v="W20007"/>
    <x v="236"/>
    <s v="V-US"/>
    <s v="美国"/>
    <s v="001000039"/>
    <n v="320"/>
    <x v="0"/>
    <s v="盐田海卡"/>
    <s v="MIT2"/>
    <s v="AN6-GL"/>
    <s v="AN6-GL 便携式扩香仪 翠百合色"/>
    <s v="AN6"/>
    <n v="8"/>
    <x v="501"/>
  </r>
  <r>
    <n v="584"/>
    <m/>
    <s v="W20007"/>
    <x v="236"/>
    <s v="V-US"/>
    <s v="美国"/>
    <s v="AN6-LV"/>
    <n v="200"/>
    <x v="0"/>
    <s v="盐田海卡"/>
    <s v="MIT2"/>
    <s v="AN6-LV"/>
    <s v="AN6-LV 便携式扩香仪 薰衣草"/>
    <s v="AN6"/>
    <n v="5"/>
    <x v="502"/>
  </r>
  <r>
    <n v="585"/>
    <m/>
    <s v="W20007"/>
    <x v="236"/>
    <s v="V-US"/>
    <s v="美国"/>
    <s v="001000020"/>
    <n v="400"/>
    <x v="0"/>
    <s v="盐田海卡"/>
    <s v="MIT2"/>
    <s v="AN6-W"/>
    <s v="AN6-W 便携式扩香仪 白色"/>
    <s v="AN6"/>
    <n v="10"/>
    <x v="503"/>
  </r>
  <r>
    <n v="586"/>
    <m/>
    <s v="W20007"/>
    <x v="236"/>
    <s v="V-US"/>
    <s v="美国"/>
    <s v="RD1-B"/>
    <n v="300"/>
    <x v="0"/>
    <s v="盐田海卡"/>
    <s v="MIT2"/>
    <s v="RD1-B"/>
    <s v="RD1-B 便携式扩香仪 黑色"/>
    <s v="RD1"/>
    <n v="10"/>
    <x v="503"/>
  </r>
  <r>
    <n v="587"/>
    <m/>
    <s v="W20007"/>
    <x v="236"/>
    <s v="V-US"/>
    <s v="美国"/>
    <s v="AND-B"/>
    <n v="150"/>
    <x v="0"/>
    <s v="盐田海卡"/>
    <s v="MIT2"/>
    <s v="AND-B"/>
    <s v="AND-B 便携式双喷扩香仪 黑色"/>
    <s v="AND"/>
    <n v="5"/>
    <x v="502"/>
  </r>
  <r>
    <n v="588"/>
    <m/>
    <s v="W20007"/>
    <x v="237"/>
    <s v="V-US"/>
    <s v="美国"/>
    <s v="ADXKIT-B_4X10K04_TZ"/>
    <n v="450"/>
    <x v="0"/>
    <s v="盐田海卡"/>
    <s v="MIT2"/>
    <s v="ADXKIT-B_4X10K04_TZ"/>
    <s v="ADXKIT-B_4X10K04_TZ ADX黑色机器+4x10mL酒店（天竺）香氛油 机油套装"/>
    <s v="ADX"/>
    <n v="15"/>
    <x v="504"/>
  </r>
  <r>
    <n v="589"/>
    <m/>
    <s v="W20005"/>
    <x v="238"/>
    <s v="E-US"/>
    <s v="美国"/>
    <s v="001000053"/>
    <n v="192"/>
    <x v="0"/>
    <s v="盐田海卡"/>
    <s v="TCY2"/>
    <s v="ANX-2PC-BB"/>
    <s v="ANX-2PC-BB 便携式扩香仪套装 黑+黑"/>
    <s v="ANX"/>
    <n v="12"/>
    <x v="505"/>
  </r>
  <r>
    <n v="590"/>
    <m/>
    <s v="W20005"/>
    <x v="238"/>
    <s v="E-US"/>
    <s v="美国"/>
    <s v="001000045"/>
    <n v="360"/>
    <x v="0"/>
    <s v="盐田海卡"/>
    <s v="TCY2"/>
    <s v="ANX-B"/>
    <s v="ANX-B 便携式扩香仪 黑色"/>
    <s v="ANX"/>
    <n v="12"/>
    <x v="505"/>
  </r>
  <r>
    <n v="591"/>
    <m/>
    <s v="W20005"/>
    <x v="238"/>
    <s v="E-US"/>
    <s v="美国"/>
    <s v="001000050"/>
    <n v="60"/>
    <x v="0"/>
    <s v="盐田海卡"/>
    <s v="TCY2"/>
    <s v="ANX-RP"/>
    <s v="ANX-RP 便携式扩香仪 红粉色"/>
    <s v="ANX"/>
    <n v="2"/>
    <x v="506"/>
  </r>
  <r>
    <n v="592"/>
    <m/>
    <s v="W20005"/>
    <x v="239"/>
    <s v="V-US"/>
    <s v="美国"/>
    <s v="AND-MT"/>
    <n v="90"/>
    <x v="0"/>
    <s v="盐田海卡"/>
    <s v="TCY2"/>
    <s v="AND-MT"/>
    <s v="AND-MT 便携式双喷扩香仪 薄荷绿色"/>
    <s v="AND"/>
    <n v="3"/>
    <x v="507"/>
  </r>
  <r>
    <n v="593"/>
    <m/>
    <s v="W20007"/>
    <x v="240"/>
    <s v="A-US"/>
    <s v="美国"/>
    <s v="ANZKIT-B_RZ30ML_TZ"/>
    <n v="300"/>
    <x v="0"/>
    <s v="盐田海卡"/>
    <s v="MIT2"/>
    <s v="ANZKIT-B_RZ30ML_TZ"/>
    <s v="ANZKIT-B_RZ30ML_TZ ANZ黑色机器+30mL丽思卡尔顿酒店（天竺）香氛油 机油套装"/>
    <s v="ANZ"/>
    <n v="10"/>
    <x v="508"/>
  </r>
  <r>
    <n v="594"/>
    <m/>
    <s v="W20007"/>
    <x v="240"/>
    <s v="A-US"/>
    <s v="美国"/>
    <s v="ANZKIT-W_RZ30ML_TZ"/>
    <n v="150"/>
    <x v="0"/>
    <s v="盐田海卡"/>
    <s v="MIT2"/>
    <s v="ANZKIT-W_RZ30ML_TZ"/>
    <s v="ANZKIT-W_RZ30ML_TZ ANZ白色机器+30mL丽思卡尔顿酒店（天竺）香氛油 机油套装"/>
    <s v="ANZ"/>
    <n v="5"/>
    <x v="509"/>
  </r>
  <r>
    <n v="595"/>
    <m/>
    <s v="W20005"/>
    <x v="241"/>
    <s v="V-US"/>
    <s v="美国"/>
    <s v="AN6KIT-B_RZ30ml"/>
    <n v="600"/>
    <x v="0"/>
    <s v="盐田海卡"/>
    <s v="TCY2"/>
    <s v="AN6KIT-B_RZ30ml"/>
    <s v="AN6KIT-B_RZ30ml AN6黑色机器+30mL丽思香氛油 机油套装"/>
    <s v="AN6"/>
    <n v="20"/>
    <x v="510"/>
  </r>
  <r>
    <n v="596"/>
    <m/>
    <s v="W20005"/>
    <x v="241"/>
    <s v="V-US"/>
    <s v="美国"/>
    <s v="AN6KIT-WH_SJ30ML_TZ"/>
    <n v="300"/>
    <x v="0"/>
    <s v="盐田海卡"/>
    <s v="TCY2"/>
    <s v="AN6KIT-WH_SJ30ML_TZ"/>
    <s v="AN6KIT-WH_SJ30ML_TZ AN6白色机器+30mL四季酒店香氛油（天竺） 机油套装"/>
    <s v="AN6"/>
    <n v="10"/>
    <x v="511"/>
  </r>
  <r>
    <n v="597"/>
    <m/>
    <s v="W20008"/>
    <x v="242"/>
    <s v="K-US"/>
    <s v="美国"/>
    <s v="U1KIT-BG_US_2X50K01_TZ"/>
    <n v="630"/>
    <x v="0"/>
    <s v="盐田海卡"/>
    <s v="GEU2"/>
    <s v="U1KIT-BG_US_2X50K01_TZ"/>
    <s v="U1KIT-BG_US_2X50K01_TZ U1米灰色机器+2X50mL酒店香氛油（天竺） 机油套装"/>
    <s v="U1"/>
    <n v="70"/>
    <x v="512"/>
  </r>
  <r>
    <n v="598"/>
    <m/>
    <s v="W20008"/>
    <x v="243"/>
    <s v="K-US"/>
    <s v="美国"/>
    <s v="U1-BG_US"/>
    <n v="360"/>
    <x v="0"/>
    <s v="盐田海卡"/>
    <s v="GEU2"/>
    <s v="U1-BG_US"/>
    <s v="U1-BG_US 智能扩香仪 米灰色"/>
    <s v="U1"/>
    <n v="40"/>
    <x v="513"/>
  </r>
  <r>
    <n v="599"/>
    <m/>
    <s v="W20006"/>
    <x v="244"/>
    <s v="V-US"/>
    <s v="美国"/>
    <s v="ANA-B_US"/>
    <n v="240"/>
    <x v="7"/>
    <s v="盐田海卡"/>
    <s v="TCY1"/>
    <s v="ANA-B_US"/>
    <s v="ANA-B_US 智能扩香仪 黑色"/>
    <s v="ANA"/>
    <n v="20"/>
    <x v="514"/>
  </r>
  <r>
    <n v="600"/>
    <m/>
    <s v="W20006"/>
    <x v="244"/>
    <s v="V-US"/>
    <s v="美国"/>
    <s v="001000033"/>
    <n v="360"/>
    <x v="7"/>
    <s v="盐田海卡"/>
    <s v="TCY1"/>
    <s v="ANW-W"/>
    <s v="ANW-W 智能扩香仪 白色"/>
    <s v="ANW"/>
    <n v="30"/>
    <x v="515"/>
  </r>
  <r>
    <n v="601"/>
    <m/>
    <s v="W20006"/>
    <x v="244"/>
    <s v="V-US"/>
    <s v="美国"/>
    <s v="ANP-B_US"/>
    <n v="256"/>
    <x v="7"/>
    <s v="盐田海卡"/>
    <s v="TCY1"/>
    <s v="ANP-B_US"/>
    <s v="ANP-B_US 墙插式智能扩香仪 黑色"/>
    <s v="ANP"/>
    <n v="8"/>
    <x v="516"/>
  </r>
  <r>
    <n v="602"/>
    <m/>
    <s v="W20006"/>
    <x v="244"/>
    <s v="V-US"/>
    <s v="美国"/>
    <s v="ANP-W_US"/>
    <n v="288"/>
    <x v="7"/>
    <s v="盐田海卡"/>
    <s v="TCY1"/>
    <s v="ANP-W_US"/>
    <s v="ANP-W_US 墙插式智能扩香仪 白色"/>
    <s v="ANP"/>
    <n v="9"/>
    <x v="517"/>
  </r>
  <r>
    <n v="603"/>
    <m/>
    <s v="W20002"/>
    <x v="245"/>
    <s v="E-US"/>
    <s v="美国"/>
    <s v="HOTEL6KIT1-6X10K03_TZ"/>
    <n v="720"/>
    <x v="3"/>
    <s v="盐田海卡"/>
    <s v="POC1"/>
    <s v="HOTEL6KIT1-6X10K03_TZ"/>
    <s v="HOTEL6KIT1-6X10K03_TZ 酒店香氛油（天竺）6款10mL套装"/>
    <s v="Oil-TZ"/>
    <n v="12"/>
    <x v="518"/>
  </r>
  <r>
    <n v="604"/>
    <m/>
    <s v="W20002"/>
    <x v="245"/>
    <s v="E-US"/>
    <s v="美国"/>
    <s v="W1-100ML_TZ"/>
    <n v="576"/>
    <x v="3"/>
    <s v="盐田海卡"/>
    <s v="POC1"/>
    <s v="W1-100ML_TZ"/>
    <s v="W1-100ML_TZ W酒店100mL香氛油（天竺） 销售包装"/>
    <s v="Oil-TZ"/>
    <n v="9"/>
    <x v="519"/>
  </r>
  <r>
    <n v="605"/>
    <m/>
    <s v="W20002"/>
    <x v="245"/>
    <s v="E-US"/>
    <s v="美国"/>
    <s v="HILTON1-100ML_TZ"/>
    <n v="576"/>
    <x v="3"/>
    <s v="盐田海卡"/>
    <s v="POC1"/>
    <s v="HILTON1-100ML_TZ"/>
    <s v="HILTON1-100ML_TZ 希尔顿酒店100mL香氛油（天竺） 销售包装"/>
    <s v="Oil-TZ"/>
    <n v="9"/>
    <x v="519"/>
  </r>
  <r>
    <n v="606"/>
    <s v="跟FBA19D0H6V9R合并报关"/>
    <s v="W20002"/>
    <x v="246"/>
    <s v="V-US"/>
    <s v="美国"/>
    <s v="RZ1-100ML_TZ"/>
    <n v="960"/>
    <x v="3"/>
    <s v="盐田海卡"/>
    <s v="POC3"/>
    <s v="RZ1-100ML_TZ"/>
    <s v="RZ1-100ML_TZ 丽思卡尔顿酒店100mL香氛油（天竺） 销售包装"/>
    <s v="Oil-TZ"/>
    <n v="15"/>
    <x v="520"/>
  </r>
  <r>
    <n v="607"/>
    <m/>
    <s v="W20002"/>
    <x v="246"/>
    <s v="V-US"/>
    <s v="美国"/>
    <s v="RZ1-500ML_TZ"/>
    <n v="100"/>
    <x v="3"/>
    <s v="盐田海卡"/>
    <s v="POC3"/>
    <s v="RZ1-500ML_TZ"/>
    <s v="RZ1-500ML_TZ 丽思卡尔顿酒店500mL香氛油（天竺） 销售包装"/>
    <s v="Oil-TZ"/>
    <n v="5"/>
    <x v="199"/>
  </r>
  <r>
    <n v="608"/>
    <m/>
    <s v="W20001"/>
    <x v="247"/>
    <s v="K-US"/>
    <s v="美国"/>
    <s v="BGR1_100ML_TZ"/>
    <n v="192"/>
    <x v="1"/>
    <s v="盐田海卡"/>
    <s v="PSC2"/>
    <s v="BGR1_100ML_TZ"/>
    <s v="BGR1_100ML_TZ 宝格丽酒店100mL香氛油（天竺） 销售包装"/>
    <s v="Oil-TZ"/>
    <n v="3"/>
    <x v="521"/>
  </r>
  <r>
    <n v="609"/>
    <m/>
    <s v="W20001"/>
    <x v="247"/>
    <s v="K-US"/>
    <s v="美国"/>
    <s v="SJ1-500ML_TZ"/>
    <n v="100"/>
    <x v="1"/>
    <s v="盐田海卡"/>
    <s v="PSC2"/>
    <s v="SJ1-500ML_TZ"/>
    <s v="SJ1-500ML_TZ 四季酒店500mL香氛油（天竺） 销售包装"/>
    <s v="Oil-TZ"/>
    <n v="5"/>
    <x v="522"/>
  </r>
  <r>
    <n v="610"/>
    <m/>
    <s v="W20001"/>
    <x v="247"/>
    <s v="K-US"/>
    <s v="美国"/>
    <s v="HILTON1-500ML_TZ"/>
    <n v="100"/>
    <x v="1"/>
    <s v="盐田海卡"/>
    <s v="PSC2"/>
    <s v="HILTON1-500ML_TZ"/>
    <s v="HILTON1-500ML_TZ 希尔顿酒店500mL香氛油（天竺） 销售包装"/>
    <s v="Oil-TZ"/>
    <n v="5"/>
    <x v="522"/>
  </r>
  <r>
    <n v="611"/>
    <m/>
    <s v="W20009"/>
    <x v="248"/>
    <s v="K-US"/>
    <s v="美国"/>
    <s v="RDX-SILV_US"/>
    <n v="180"/>
    <x v="0"/>
    <s v="盐田海卡"/>
    <s v="POC2"/>
    <s v="RDX-SILV_US"/>
    <s v="RDX-SILV_US 智能扩香仪 银色"/>
    <s v="RDX"/>
    <n v="20"/>
    <x v="523"/>
  </r>
  <r>
    <n v="612"/>
    <m/>
    <s v="W20009"/>
    <x v="249"/>
    <s v="K-US"/>
    <s v="美国"/>
    <s v="RDXKIT-B_US_2X100K04"/>
    <n v="216"/>
    <x v="0"/>
    <s v="盐田海卡"/>
    <s v="POC2"/>
    <s v="RDXKIT-B_US_2X100K04"/>
    <s v="RDXKIT-B_US_2X100K04 RDX黑色机器+2X100mL酒店香氛油（天竺） 机油套装"/>
    <s v="RDX"/>
    <n v="24"/>
    <x v="524"/>
  </r>
  <r>
    <n v="613"/>
    <m/>
    <s v="W20010"/>
    <x v="250"/>
    <s v="K-US"/>
    <s v="美国"/>
    <s v="AH1B-WH_US"/>
    <n v="60"/>
    <x v="0"/>
    <s v="美中海卡"/>
    <s v="JVL1"/>
    <s v="AH1B-WH_US"/>
    <s v="AH1B-WH_US 智能加湿器 白色 美规"/>
    <s v="AH1B"/>
    <n v="10"/>
    <x v="525"/>
  </r>
  <r>
    <n v="614"/>
    <m/>
    <s v="W20011"/>
    <x v="251"/>
    <s v="K-US"/>
    <s v="美国"/>
    <s v="AH1B-WH_US"/>
    <n v="60"/>
    <x v="0"/>
    <s v="美中海卡"/>
    <s v="SAT4"/>
    <s v="AH1B-WH_US"/>
    <s v="AH1B-WH_US 智能加湿器 白色 美规"/>
    <s v="AH1B"/>
    <n v="10"/>
    <x v="525"/>
  </r>
  <r>
    <n v="615"/>
    <m/>
    <s v="W20012"/>
    <x v="252"/>
    <s v="K-US"/>
    <s v="美国"/>
    <s v="AH1B-WH_US"/>
    <n v="60"/>
    <x v="0"/>
    <s v="盐田海卡"/>
    <s v="FAT2"/>
    <s v="AH1B-WH_US"/>
    <s v="AH1B-WH_US 智能加湿器 白色 美规"/>
    <s v="AH1B"/>
    <n v="10"/>
    <x v="525"/>
  </r>
  <r>
    <n v="616"/>
    <m/>
    <s v="W20013"/>
    <x v="253"/>
    <s v="K-US"/>
    <s v="美国"/>
    <s v="AH1B-WH_US"/>
    <n v="60"/>
    <x v="0"/>
    <s v="美东海卡"/>
    <s v="TEB6"/>
    <s v="AH1B-WH_US"/>
    <s v="AH1B-WH_US 智能加湿器 白色 美规"/>
    <s v="AH1B"/>
    <n v="10"/>
    <x v="525"/>
  </r>
  <r>
    <n v="617"/>
    <m/>
    <s v="W20014"/>
    <x v="254"/>
    <s v="K-US"/>
    <s v="美国"/>
    <s v="AH1B-WH_US"/>
    <n v="60"/>
    <x v="0"/>
    <s v="美东海卡"/>
    <s v="HSV1"/>
    <s v="AH1B-WH_US"/>
    <s v="AH1B-WH_US 智能加湿器 白色 美规"/>
    <s v="AH1B"/>
    <n v="10"/>
    <x v="525"/>
  </r>
  <r>
    <n v="618"/>
    <m/>
    <s v="W21006"/>
    <x v="255"/>
    <s v="E-US"/>
    <s v="美国"/>
    <s v="001000053"/>
    <n v="96"/>
    <x v="2"/>
    <s v="盐田海卡"/>
    <s v="HLI2"/>
    <s v="ANX-2PC-BB"/>
    <s v="ANX-2PC-BB 便携式扩香仪套装 黑+黑"/>
    <s v="ANX"/>
    <n v="6"/>
    <x v="526"/>
  </r>
  <r>
    <n v="619"/>
    <m/>
    <s v="W21006"/>
    <x v="255"/>
    <s v="E-US"/>
    <s v="美国"/>
    <s v="001000059"/>
    <n v="32"/>
    <x v="2"/>
    <s v="盐田海卡"/>
    <s v="HLI2"/>
    <s v="ANX-2PC-BGD"/>
    <s v="ANX-2PC-BGD 便携式扩香仪套装 黑+金"/>
    <s v="ANX"/>
    <n v="2"/>
    <x v="527"/>
  </r>
  <r>
    <n v="620"/>
    <m/>
    <s v="W21007"/>
    <x v="256"/>
    <s v="K-US"/>
    <s v="美国"/>
    <s v="RD2KIT-B_2X30K06_TZ"/>
    <n v="200"/>
    <x v="0"/>
    <s v="盐田海卡"/>
    <s v="TCY1"/>
    <s v="RD2KIT-B_2X30K06_TZ"/>
    <s v="RD2KIT-B_2X30K06_TZ RD2黑色机器+2X30mL酒店香氛油（天竺）  机油套装"/>
    <s v="RD2"/>
    <n v="10"/>
    <x v="528"/>
  </r>
  <r>
    <n v="621"/>
    <m/>
    <s v="W21005"/>
    <x v="257"/>
    <s v="V-CA"/>
    <s v="加拿大"/>
    <s v="001000020"/>
    <n v="160"/>
    <x v="2"/>
    <s v="加拿大海卡"/>
    <s v="YXU1"/>
    <s v="AN6-W"/>
    <s v="AN6-W 便携式扩香仪 白色"/>
    <s v="AN6"/>
    <n v="4"/>
    <x v="529"/>
  </r>
  <r>
    <n v="622"/>
    <m/>
    <s v="W21005"/>
    <x v="257"/>
    <s v="V-CA"/>
    <s v="加拿大"/>
    <s v="RD1-B"/>
    <n v="150"/>
    <x v="2"/>
    <s v="加拿大海卡"/>
    <s v="YXU1"/>
    <s v="RD1-B"/>
    <s v="RD1-B 便携式扩香仪 黑色"/>
    <s v="RD1"/>
    <n v="5"/>
    <x v="337"/>
  </r>
  <r>
    <n v="623"/>
    <m/>
    <s v="W21005"/>
    <x v="257"/>
    <s v="V-CA"/>
    <s v="加拿大"/>
    <s v="RD1-DT"/>
    <n v="90"/>
    <x v="2"/>
    <s v="加拿大海卡"/>
    <s v="YXU1"/>
    <s v="RD1-DT"/>
    <s v="RD1-DT 便携式扩香仪 沙漠钛色"/>
    <s v="RD1"/>
    <n v="3"/>
    <x v="530"/>
  </r>
  <r>
    <n v="624"/>
    <m/>
    <s v="W21008"/>
    <x v="258"/>
    <s v="V-US"/>
    <s v="美国"/>
    <s v="001000019"/>
    <n v="800"/>
    <x v="0"/>
    <s v="盐田海卡"/>
    <s v="MIT2"/>
    <s v="AN6-B"/>
    <s v="AN6-B 便携式扩香仪 黑色"/>
    <s v="AN6"/>
    <n v="20"/>
    <x v="531"/>
  </r>
  <r>
    <n v="625"/>
    <m/>
    <s v="W21008"/>
    <x v="258"/>
    <s v="V-US"/>
    <s v="美国"/>
    <s v="001000020"/>
    <n v="600"/>
    <x v="0"/>
    <s v="盐田海卡"/>
    <s v="MIT2"/>
    <s v="AN6-W"/>
    <s v="AN6-W 便携式扩香仪 白色"/>
    <s v="AN6"/>
    <n v="15"/>
    <x v="532"/>
  </r>
  <r>
    <n v="626"/>
    <m/>
    <s v="W21008"/>
    <x v="258"/>
    <s v="V-US"/>
    <s v="美国"/>
    <s v="AN6-YG"/>
    <n v="120"/>
    <x v="0"/>
    <s v="盐田海卡"/>
    <s v="MIT2"/>
    <s v="AN6-YG"/>
    <s v="AN6-YG 便携式扩香仪 乳酪色"/>
    <s v="AN6"/>
    <n v="3"/>
    <x v="533"/>
  </r>
  <r>
    <n v="627"/>
    <m/>
    <s v="W21008"/>
    <x v="258"/>
    <s v="V-US"/>
    <s v="美国"/>
    <s v="RD1-B"/>
    <n v="180"/>
    <x v="0"/>
    <s v="盐田海卡"/>
    <s v="MIT2"/>
    <s v="RD1-B"/>
    <s v="RD1-B 便携式扩香仪 黑色"/>
    <s v="RD1"/>
    <n v="6"/>
    <x v="534"/>
  </r>
  <r>
    <n v="628"/>
    <m/>
    <s v="W21008"/>
    <x v="258"/>
    <s v="V-US"/>
    <s v="美国"/>
    <s v="001000021"/>
    <n v="200"/>
    <x v="0"/>
    <s v="盐田海卡"/>
    <s v="MIT2"/>
    <s v="AN6NZ-B"/>
    <s v="AN6NZ-B AN6喷嘴配件套装 黑色"/>
    <s v="AN6-AC"/>
    <n v="1"/>
    <x v="535"/>
  </r>
  <r>
    <n v="629"/>
    <m/>
    <s v="W21008"/>
    <x v="258"/>
    <s v="V-US"/>
    <s v="美国"/>
    <s v="AN8NZ-B"/>
    <n v="200"/>
    <x v="0"/>
    <s v="盐田海卡"/>
    <s v="MIT2"/>
    <s v="AN8NZ-B"/>
    <s v="AN8NZ-B AN8(Z)喷嘴配件套装 黑色"/>
    <s v="AN8-AC"/>
    <n v="1"/>
    <x v="535"/>
  </r>
  <r>
    <n v="630"/>
    <m/>
    <s v="W21006"/>
    <x v="259"/>
    <s v="V-US"/>
    <s v="美国"/>
    <s v="ADXKIT-B_4X10K04_TZ"/>
    <n v="390"/>
    <x v="2"/>
    <s v="盐田海卡"/>
    <s v="GEU2"/>
    <s v="ADXKIT-B_4X10K04_TZ"/>
    <s v="ADXKIT-B_4X10K04_TZ ADX黑色机器+4x10mL酒店（天竺）香氛油 机油套装"/>
    <s v="ADX"/>
    <n v="13"/>
    <x v="536"/>
  </r>
  <r>
    <n v="631"/>
    <m/>
    <s v="W21006"/>
    <x v="259"/>
    <s v="V-US"/>
    <s v="美国"/>
    <s v="ADXKIT-DT_4X10K04_TZ"/>
    <n v="150"/>
    <x v="2"/>
    <s v="盐田海卡"/>
    <s v="GEU2"/>
    <s v="ADXKIT-DT_4X10K04_TZ"/>
    <s v="ADXKIT-DT_4X10K04_TZ AD钛色机器+4x10mL酒店（天竺）香氛油 机油套装"/>
    <s v="ADX"/>
    <n v="5"/>
    <x v="537"/>
  </r>
  <r>
    <n v="632"/>
    <m/>
    <s v="W21006"/>
    <x v="259"/>
    <s v="V-US"/>
    <s v="美国"/>
    <s v="AN8KIT-B_4X10K05_TZ"/>
    <n v="600"/>
    <x v="2"/>
    <s v="盐田海卡"/>
    <s v="GEU2"/>
    <s v="AN8KIT-B_4X10K05_TZ"/>
    <s v="AN8KIT-B_4X10K05_TZ AN8黑色机器+4x10mL（天竺）酒店香氛油 机油套装"/>
    <s v="AN8"/>
    <n v="20"/>
    <x v="538"/>
  </r>
  <r>
    <n v="633"/>
    <m/>
    <s v="W21006"/>
    <x v="260"/>
    <s v="A-US"/>
    <s v="美国"/>
    <s v="ANZKIT-B_B"/>
    <n v="340"/>
    <x v="2"/>
    <s v="盐田海卡"/>
    <s v="TCY2"/>
    <s v="ANZKIT-B_B"/>
    <s v="ANZKIT-B_B 便携式扩香仪 黑色 两个装"/>
    <s v="ANZ"/>
    <n v="17"/>
    <x v="539"/>
  </r>
  <r>
    <n v="634"/>
    <m/>
    <s v="W21006"/>
    <x v="261"/>
    <s v="E-US"/>
    <s v="美国"/>
    <s v="ANZ-B"/>
    <n v="480"/>
    <x v="2"/>
    <s v="盐田海卡"/>
    <s v="GEU2"/>
    <s v="ANZ-B"/>
    <s v="ANZ-B 便携式扩香仪 黑色"/>
    <s v="ANZ"/>
    <n v="12"/>
    <x v="540"/>
  </r>
  <r>
    <n v="635"/>
    <m/>
    <s v="W21002"/>
    <x v="262"/>
    <s v="W-US"/>
    <s v="美国"/>
    <s v="002000029"/>
    <n v="32"/>
    <x v="3"/>
    <s v="盐田海卡"/>
    <s v="MIT2"/>
    <s v="MD1-B"/>
    <s v="MD1-B 电子球形把手锁 指纹 黑色"/>
    <s v="MD1"/>
    <n v="2"/>
    <x v="541"/>
  </r>
  <r>
    <n v="636"/>
    <m/>
    <s v="W21002"/>
    <x v="262"/>
    <s v="W-US"/>
    <s v="美国"/>
    <s v="002000038"/>
    <n v="96"/>
    <x v="3"/>
    <s v="盐田海卡"/>
    <s v="MIT2"/>
    <s v="MD1-SILV"/>
    <s v="MD1-SILV 电子球形把手锁 指纹 银色"/>
    <s v="MD1"/>
    <n v="6"/>
    <x v="542"/>
  </r>
  <r>
    <n v="637"/>
    <m/>
    <s v="W21002"/>
    <x v="262"/>
    <s v="W-US"/>
    <s v="美国"/>
    <s v="002000030"/>
    <n v="144"/>
    <x v="3"/>
    <s v="盐田海卡"/>
    <s v="MIT2"/>
    <s v="MD1-T"/>
    <s v="MD1-T 电子球形把手锁 指纹 钛灰色"/>
    <s v="MD1"/>
    <n v="9"/>
    <x v="543"/>
  </r>
  <r>
    <n v="638"/>
    <m/>
    <s v="W21002"/>
    <x v="262"/>
    <s v="W-US"/>
    <s v="美国"/>
    <s v="002000031"/>
    <n v="80"/>
    <x v="3"/>
    <s v="盐田海卡"/>
    <s v="MIT2"/>
    <s v="MK1-B"/>
    <s v="MK1-B 智能球形把手锁 黑色"/>
    <s v="MK1"/>
    <n v="5"/>
    <x v="544"/>
  </r>
  <r>
    <n v="639"/>
    <m/>
    <s v="W21002"/>
    <x v="262"/>
    <s v="W-US"/>
    <s v="美国"/>
    <s v="002000033"/>
    <n v="48"/>
    <x v="3"/>
    <s v="盐田海卡"/>
    <s v="MIT2"/>
    <s v="MK1-SILV"/>
    <s v="MK1-SILV 智能球形把手锁 银色"/>
    <s v="MK1"/>
    <n v="3"/>
    <x v="545"/>
  </r>
  <r>
    <n v="640"/>
    <m/>
    <s v="W21002"/>
    <x v="262"/>
    <s v="W-US"/>
    <s v="美国"/>
    <s v="002000032"/>
    <n v="96"/>
    <x v="3"/>
    <s v="盐田海卡"/>
    <s v="MIT2"/>
    <s v="MK1-T"/>
    <s v="MK1-T 智能球形把手锁 钛色"/>
    <s v="MK1"/>
    <n v="6"/>
    <x v="542"/>
  </r>
  <r>
    <n v="641"/>
    <m/>
    <s v="W21003"/>
    <x v="263"/>
    <s v="K-US"/>
    <s v="美国"/>
    <s v="GK1-B"/>
    <n v="480"/>
    <x v="3"/>
    <s v="盐田海卡"/>
    <s v="GEU3"/>
    <s v="GK1-B"/>
    <s v="GK1-B 智能球形把手锁 黑色"/>
    <s v="GK1"/>
    <n v="30"/>
    <x v="546"/>
  </r>
  <r>
    <n v="642"/>
    <m/>
    <s v="W21004"/>
    <x v="264"/>
    <s v="W-DE"/>
    <s v="德国"/>
    <s v="ANAKIT-B_EU_2X100K03"/>
    <n v="72"/>
    <x v="8"/>
    <s v="欧洲海卡"/>
    <s v="BER8"/>
    <s v="ANAKIT-B_EU_2X100K03"/>
    <s v="ANAKIT-B_EU_2X100K03 ANA欧规黑色机器+2X100mL酒店香氛油（天竺） 机油套装"/>
    <s v="ANA"/>
    <n v="6"/>
    <x v="547"/>
  </r>
  <r>
    <n v="643"/>
    <m/>
    <s v="W21004"/>
    <x v="264"/>
    <s v="W-DE"/>
    <s v="德国"/>
    <s v="ANAKIT-WH_EU_2X100K03"/>
    <n v="144"/>
    <x v="8"/>
    <s v="欧洲海卡"/>
    <s v="BER8"/>
    <s v="ANAKIT-WH_EU_2X100K03"/>
    <s v="ANAKIT-WH_EU_2X100K03 ANA欧规白色机器+2X100mL酒店香氛油（天竺） 机油套装"/>
    <s v="ANA"/>
    <n v="12"/>
    <x v="548"/>
  </r>
  <r>
    <n v="644"/>
    <m/>
    <s v="W21008"/>
    <x v="265"/>
    <s v="V-US"/>
    <s v="美国"/>
    <s v="001000033"/>
    <n v="396"/>
    <x v="0"/>
    <s v="盐田海卡"/>
    <s v="MIT2"/>
    <s v="ANW-W"/>
    <s v="ANW-W 智能扩香仪 白色"/>
    <s v="ANW"/>
    <n v="33"/>
    <x v="549"/>
  </r>
  <r>
    <n v="645"/>
    <m/>
    <s v="W21008"/>
    <x v="265"/>
    <s v="V-US"/>
    <s v="美国"/>
    <s v="ANANZ-B"/>
    <n v="90"/>
    <x v="0"/>
    <s v="盐田海卡"/>
    <s v="MIT2"/>
    <s v="ANANZ-B"/>
    <s v="ANANZ-B ANA替换瓶+黑喷头"/>
    <s v="ANA-AC"/>
    <n v="1"/>
    <x v="550"/>
  </r>
  <r>
    <n v="646"/>
    <m/>
    <s v="W21008"/>
    <x v="265"/>
    <s v="V-US"/>
    <s v="美国"/>
    <s v="ANANZ-WH"/>
    <n v="90"/>
    <x v="0"/>
    <s v="盐田海卡"/>
    <s v="MIT2"/>
    <s v="ANANZ-WH"/>
    <s v="ANANZ-WH ANA替换瓶+白喷头"/>
    <s v="ANA-AC"/>
    <n v="1"/>
    <x v="550"/>
  </r>
  <r>
    <n v="647"/>
    <m/>
    <s v="W21008"/>
    <x v="266"/>
    <s v="V-US"/>
    <s v="美国"/>
    <s v="ANWKIT-WH_US_2X100K03"/>
    <n v="120"/>
    <x v="0"/>
    <s v="盐田海卡"/>
    <s v="MIT2"/>
    <s v="ANWKIT-WH_US_2X100K03"/>
    <s v="ANWKIT-WH_US_2X100K03 ANW白色机器+2X100mL酒店香氛油（天竺） 机油套装"/>
    <s v="ANW"/>
    <n v="10"/>
    <x v="551"/>
  </r>
  <r>
    <n v="648"/>
    <m/>
    <s v="W21007"/>
    <x v="267"/>
    <s v="K-US"/>
    <s v="美国"/>
    <s v="ANPKIT-WH_US_3X20K01_TZ"/>
    <n v="320"/>
    <x v="0"/>
    <s v="盐田海卡"/>
    <s v="TCY2"/>
    <s v="ANPKIT-WH_US_3X20K01_TZ"/>
    <s v="ANPKIT-WH_US_3X20K01_TZ ANP白色机器+3X20mL酒店香氛油（天竺） 机油套装"/>
    <s v="ANP"/>
    <n v="10"/>
    <x v="552"/>
  </r>
  <r>
    <n v="649"/>
    <m/>
    <s v="W21001"/>
    <x v="268"/>
    <s v="E-US"/>
    <s v="美国"/>
    <s v="BLG1-100ML"/>
    <n v="90"/>
    <x v="1"/>
    <s v="盐田海卡"/>
    <s v="MIT2"/>
    <s v="BLG1-100ML"/>
    <s v="BLG1-100ML 百乐宫酒店香氛油100mL"/>
    <s v="Oil-HQ"/>
    <n v="1"/>
    <x v="553"/>
  </r>
  <r>
    <n v="650"/>
    <m/>
    <s v="W21001"/>
    <x v="268"/>
    <s v="E-US"/>
    <s v="美国"/>
    <s v="HOTEL6KIT1-6X10K01"/>
    <n v="304"/>
    <x v="1"/>
    <s v="盐田海卡"/>
    <s v="MIT2"/>
    <s v="HOTEL6KIT1-6X10K01"/>
    <s v="HOTEL6KIT1-6X10K01 酒店香氛油6款10mL套装"/>
    <s v="Oil-HQ"/>
    <n v="4"/>
    <x v="554"/>
  </r>
  <r>
    <n v="651"/>
    <m/>
    <s v="W21001"/>
    <x v="268"/>
    <s v="E-US"/>
    <s v="美国"/>
    <s v="JY-100ML"/>
    <n v="180"/>
    <x v="1"/>
    <s v="盐田海卡"/>
    <s v="MIT2"/>
    <s v="A-JY-100"/>
    <s v="A-Grand Hyatt Hotel-100 君悦酒店香氛油100mL"/>
    <s v="Oil-HQ"/>
    <n v="2"/>
    <x v="555"/>
  </r>
  <r>
    <n v="652"/>
    <m/>
    <s v="W21001"/>
    <x v="268"/>
    <s v="E-US"/>
    <s v="美国"/>
    <s v="006000024"/>
    <n v="70"/>
    <x v="1"/>
    <s v="盐田海卡"/>
    <s v="MIT2"/>
    <s v="A-RZ3-100"/>
    <s v="A-Ritz Carlton Hotel 3-100 丽思卡尔顿酒店3香氛油100mL"/>
    <s v="Oil-HQ"/>
    <n v="1"/>
    <x v="553"/>
  </r>
  <r>
    <n v="653"/>
    <m/>
    <s v="W21001"/>
    <x v="268"/>
    <s v="E-US"/>
    <s v="美国"/>
    <s v="MWAY1-100ML"/>
    <n v="180"/>
    <x v="1"/>
    <s v="盐田海卡"/>
    <s v="MIT2"/>
    <s v="A-MWAY-100"/>
    <s v="A-MWAY Deluxe-100 特定香型香氛油100mL"/>
    <s v="Oil-HQ"/>
    <n v="2"/>
    <x v="555"/>
  </r>
  <r>
    <n v="654"/>
    <m/>
    <s v="W21004"/>
    <x v="269"/>
    <s v="W-DE"/>
    <s v="德国"/>
    <s v="003000015"/>
    <n v="180"/>
    <x v="8"/>
    <s v="欧洲海卡"/>
    <s v="BER8"/>
    <s v="AP2EU-H14"/>
    <s v="AP2EU-H14 内置H14滤网桌面式空气净化器2-欧规"/>
    <s v="AP2"/>
    <n v="45"/>
    <x v="556"/>
  </r>
  <r>
    <n v="655"/>
    <m/>
    <s v="W21004"/>
    <x v="269"/>
    <s v="W-DE"/>
    <s v="德国"/>
    <s v="003000007"/>
    <n v="72"/>
    <x v="8"/>
    <s v="欧洲海卡"/>
    <s v="BER8"/>
    <s v="AP2F-H14"/>
    <s v="AP2F-H14 空气净化器滤网2-H14"/>
    <s v="AP2F"/>
    <n v="2"/>
    <x v="557"/>
  </r>
  <r>
    <n v="656"/>
    <m/>
    <s v="W21004"/>
    <x v="270"/>
    <s v="W-DE"/>
    <s v="德国"/>
    <s v="AH1B-WH_EU"/>
    <n v="102"/>
    <x v="8"/>
    <s v="欧洲海卡"/>
    <s v="DTM1"/>
    <s v="AH1B-WH_EU"/>
    <s v="AH1B-WH_EU 智能加湿器 白色 欧规"/>
    <s v="AH1B"/>
    <n v="17"/>
    <x v="177"/>
  </r>
  <r>
    <n v="657"/>
    <m/>
    <s v="W22005"/>
    <x v="271"/>
    <s v="W-US"/>
    <s v="美国"/>
    <s v="RD1-B"/>
    <n v="300"/>
    <x v="0"/>
    <s v="盐田海卡"/>
    <s v="GEU3"/>
    <s v="RD1-B"/>
    <s v="RD1-B 便携式扩香仪 黑色"/>
    <s v="RD1"/>
    <n v="10"/>
    <x v="558"/>
  </r>
  <r>
    <n v="658"/>
    <m/>
    <s v="W22005"/>
    <x v="271"/>
    <s v="W-US"/>
    <s v="美国"/>
    <s v="RD1-DT"/>
    <n v="120"/>
    <x v="0"/>
    <s v="盐田海卡"/>
    <s v="GEU3"/>
    <s v="RD1-DT"/>
    <s v="RD1-DT 便携式扩香仪 沙漠钛色"/>
    <s v="RD1"/>
    <n v="4"/>
    <x v="559"/>
  </r>
  <r>
    <n v="659"/>
    <m/>
    <s v="W22005"/>
    <x v="271"/>
    <s v="W-US"/>
    <s v="美国"/>
    <s v="RD1KIT-T_2X30K04"/>
    <n v="60"/>
    <x v="0"/>
    <s v="盐田海卡"/>
    <s v="GEU3"/>
    <s v="RD1KIT-T_2X30K04"/>
    <s v="RD1KIT-T_2X30K04 RD1沙漠钛色机器+2X30mL酒店香氛油 机油套装"/>
    <s v="RD1"/>
    <n v="3"/>
    <x v="560"/>
  </r>
  <r>
    <n v="660"/>
    <m/>
    <s v="W22005"/>
    <x v="271"/>
    <s v="W-US"/>
    <s v="美国"/>
    <s v="RD1-G"/>
    <n v="120"/>
    <x v="0"/>
    <s v="盐田海卡"/>
    <s v="GEU3"/>
    <s v="RD1-G"/>
    <s v="RD1-G 便携式扩香仪 灰色"/>
    <s v="RD1"/>
    <n v="4"/>
    <x v="559"/>
  </r>
  <r>
    <n v="661"/>
    <m/>
    <s v="W22005"/>
    <x v="272"/>
    <s v="E-US"/>
    <s v="美国"/>
    <s v="ANZ-B"/>
    <n v="400"/>
    <x v="0"/>
    <s v="盐田海卡"/>
    <s v="TCY2"/>
    <s v="ANZ-B"/>
    <s v="ANZ-B 便携式扩香仪 黑色"/>
    <s v="ANZ"/>
    <n v="10"/>
    <x v="561"/>
  </r>
  <r>
    <n v="662"/>
    <m/>
    <s v="W22005"/>
    <x v="272"/>
    <s v="E-US"/>
    <s v="美国"/>
    <s v="AN6KIT-B_RZ30ml"/>
    <n v="690"/>
    <x v="0"/>
    <s v="盐田海卡"/>
    <s v="TCY2"/>
    <s v="AN6KIT-B_RZ30ml"/>
    <s v="AN6KIT-B_RZ30ml AN6黑色机器+30mL丽思香氛油 机油套装"/>
    <s v="AN6"/>
    <n v="23"/>
    <x v="562"/>
  </r>
  <r>
    <n v="663"/>
    <m/>
    <s v="W22005"/>
    <x v="272"/>
    <s v="E-US"/>
    <s v="美国"/>
    <s v="AN6KIT-WH_SJ30ML_TZ"/>
    <n v="300"/>
    <x v="0"/>
    <s v="盐田海卡"/>
    <s v="TCY2"/>
    <s v="AN6KIT-WH_SJ30ML_TZ"/>
    <s v="AN6KIT-WH_SJ30ML_TZ AN6白色机器+30mL四季酒店香氛油（天竺） 机油套装"/>
    <s v="AN6"/>
    <n v="10"/>
    <x v="561"/>
  </r>
  <r>
    <n v="664"/>
    <m/>
    <s v="W22005"/>
    <x v="272"/>
    <s v="E-US"/>
    <s v="美国"/>
    <s v="ANXKIT-GD_RZ30ml"/>
    <n v="90"/>
    <x v="0"/>
    <s v="盐田海卡"/>
    <s v="TCY2"/>
    <s v="ANXKIT-GD_RZ30ml"/>
    <s v="ANXKIT-GD_RZ30ml ANX金色机器+30mL丽思香氛油 机油套装"/>
    <s v="ANX"/>
    <n v="3"/>
    <x v="563"/>
  </r>
  <r>
    <n v="665"/>
    <m/>
    <s v="W22004"/>
    <x v="273"/>
    <s v="V-US"/>
    <s v="美国"/>
    <s v="001000019"/>
    <n v="600"/>
    <x v="0"/>
    <s v="盐田海卡"/>
    <s v="GEU2"/>
    <s v="AN6-B"/>
    <s v="AN6-B 便携式扩香仪 黑色"/>
    <s v="AN6"/>
    <n v="15"/>
    <x v="564"/>
  </r>
  <r>
    <n v="666"/>
    <m/>
    <s v="W22003"/>
    <x v="274"/>
    <s v="K-US"/>
    <s v="美国"/>
    <s v="AN6KIT-B_2X20K01"/>
    <n v="600"/>
    <x v="0"/>
    <s v="盐田海卡"/>
    <s v="ABQ2"/>
    <s v="AN6KIT-B_2X20K01"/>
    <s v="AN6KIT-B_2X20K01 AN6黑色机器+2X20mL酒店香氛油 机油套装"/>
    <s v="AN6"/>
    <n v="20"/>
    <x v="565"/>
  </r>
  <r>
    <n v="667"/>
    <m/>
    <s v="W22003"/>
    <x v="274"/>
    <s v="K-US"/>
    <s v="美国"/>
    <s v="AN8KIT-B_2X20K03"/>
    <n v="390"/>
    <x v="0"/>
    <s v="盐田海卡"/>
    <s v="ABQ2"/>
    <s v="AN8KIT-B_2X20K03"/>
    <s v="AN8KIT-B_2X20K03 AN8黑色机器+2X20mL（天竺）酒店香氛油 机油套装"/>
    <s v="AN8"/>
    <n v="13"/>
    <x v="566"/>
  </r>
  <r>
    <n v="668"/>
    <m/>
    <s v="W22003"/>
    <x v="274"/>
    <s v="K-US"/>
    <s v="美国"/>
    <s v="AN8KIT-B_4X10K02"/>
    <n v="180"/>
    <x v="0"/>
    <s v="盐田海卡"/>
    <s v="ABQ2"/>
    <s v="AN8KIT-B_4X10K02"/>
    <s v="AN8KIT-B_4X10K02 AN8黑色机器+4x10mL（天竺）香氛油 机油套装"/>
    <s v="AN8"/>
    <n v="6"/>
    <x v="567"/>
  </r>
  <r>
    <n v="669"/>
    <m/>
    <s v="W22003"/>
    <x v="274"/>
    <s v="K-US"/>
    <s v="美国"/>
    <s v="AN8KIT-B_4X10K05_TZ"/>
    <n v="2100"/>
    <x v="0"/>
    <s v="盐田海卡"/>
    <s v="ABQ2"/>
    <s v="AN8KIT-B_4X10K05_TZ"/>
    <s v="AN8KIT-B_4X10K05_TZ AN8黑色机器+4x10mL（天竺）酒店香氛油 机油套装"/>
    <s v="AN8"/>
    <n v="70"/>
    <x v="568"/>
  </r>
  <r>
    <n v="670"/>
    <m/>
    <s v="W22003"/>
    <x v="274"/>
    <s v="K-US"/>
    <s v="美国"/>
    <s v="AN8KIT-WH_2X20K01"/>
    <n v="150"/>
    <x v="0"/>
    <s v="盐田海卡"/>
    <s v="ABQ2"/>
    <s v="AN8KIT-WH_2X20K01"/>
    <s v="AN8KIT-WH_2X20K01 AN8白色机器+2X20mL酒店香氛油 机油套装"/>
    <s v="AN8"/>
    <n v="5"/>
    <x v="569"/>
  </r>
  <r>
    <n v="671"/>
    <m/>
    <s v="W22003"/>
    <x v="274"/>
    <s v="K-US"/>
    <s v="美国"/>
    <s v="AN8KIT-WH_4X10K05_TZ"/>
    <n v="600"/>
    <x v="0"/>
    <s v="盐田海卡"/>
    <s v="ABQ2"/>
    <s v="AN8KIT-WH_4X10K05_TZ"/>
    <s v="AN8KIT-WH_4X10K05_TZ AN8白色机器+4x10mL（天竺）酒店香氛油 机油套装"/>
    <s v="AN8"/>
    <n v="20"/>
    <x v="565"/>
  </r>
  <r>
    <n v="672"/>
    <m/>
    <s v="W22003"/>
    <x v="275"/>
    <s v="K-US"/>
    <s v="美国"/>
    <s v="AN8-B"/>
    <n v="160"/>
    <x v="0"/>
    <s v="盐田海卡"/>
    <s v="GEU2"/>
    <s v="AN8-B"/>
    <s v="AN8-B 便携式扩香仪 黑色"/>
    <s v="AN8"/>
    <n v="4"/>
    <x v="570"/>
  </r>
  <r>
    <n v="673"/>
    <m/>
    <s v="W22003"/>
    <x v="275"/>
    <s v="K-US"/>
    <s v="美国"/>
    <s v="AN8-WH"/>
    <n v="120"/>
    <x v="0"/>
    <s v="盐田海卡"/>
    <s v="GEU2"/>
    <s v="AN8-WH"/>
    <s v="AN8-WH 便携式扩香仪 白色"/>
    <s v="AN8"/>
    <n v="3"/>
    <x v="571"/>
  </r>
  <r>
    <n v="674"/>
    <m/>
    <s v="W22004"/>
    <x v="276"/>
    <s v="W-US"/>
    <s v="美国"/>
    <s v="002000038"/>
    <n v="16"/>
    <x v="0"/>
    <s v="盐田海卡"/>
    <s v="ABQ2"/>
    <s v="MD1-SILV"/>
    <s v="MD1-SILV 电子球形把手锁 指纹 银色"/>
    <s v="MD1"/>
    <n v="1"/>
    <x v="572"/>
  </r>
  <r>
    <n v="675"/>
    <m/>
    <s v="W22004"/>
    <x v="276"/>
    <s v="W-US"/>
    <s v="美国"/>
    <s v="002000031"/>
    <n v="160"/>
    <x v="0"/>
    <s v="盐田海卡"/>
    <s v="ABQ2"/>
    <s v="MK1-B"/>
    <s v="MK1-B 智能球形把手锁 黑色"/>
    <s v="MK1"/>
    <n v="10"/>
    <x v="573"/>
  </r>
  <r>
    <n v="676"/>
    <m/>
    <s v="W22004"/>
    <x v="276"/>
    <s v="W-US"/>
    <s v="美国"/>
    <s v="002000033"/>
    <n v="16"/>
    <x v="0"/>
    <s v="盐田海卡"/>
    <s v="ABQ2"/>
    <s v="MK1-SILV"/>
    <s v="MK1-SILV 智能球形把手锁 银色"/>
    <s v="MK1"/>
    <n v="1"/>
    <x v="572"/>
  </r>
  <r>
    <n v="677"/>
    <m/>
    <s v="W22003"/>
    <x v="277"/>
    <s v="K-US"/>
    <s v="美国"/>
    <s v="G1-B"/>
    <n v="64"/>
    <x v="0"/>
    <s v="盐田海卡"/>
    <s v="ABQ2"/>
    <s v="G1-B"/>
    <s v="G1-B 电子球形把手锁 黑色"/>
    <s v="G1"/>
    <n v="4"/>
    <x v="176"/>
  </r>
  <r>
    <n v="678"/>
    <m/>
    <s v="W22003"/>
    <x v="277"/>
    <s v="K-US"/>
    <s v="美国"/>
    <s v="G1-SILV"/>
    <n v="16"/>
    <x v="0"/>
    <s v="盐田海卡"/>
    <s v="ABQ2"/>
    <s v="G1-SILV"/>
    <s v="G1-SILV 电子球形把手锁 银色"/>
    <s v="G1"/>
    <n v="1"/>
    <x v="574"/>
  </r>
  <r>
    <n v="679"/>
    <m/>
    <s v="W22001"/>
    <x v="278"/>
    <s v="E-US"/>
    <s v="美国"/>
    <s v="BCRT1-100ML_TZ"/>
    <n v="128"/>
    <x v="3"/>
    <s v="盐田海卡"/>
    <s v="MIT2"/>
    <s v="BCRT1-100ML_TZ"/>
    <s v="BCRT1-100ML_TZ 巴卡拉酒店100mL香氛油（天竺） 销售包装"/>
    <s v="Oil-TZ"/>
    <n v="2"/>
    <x v="575"/>
  </r>
  <r>
    <n v="680"/>
    <m/>
    <s v="W22001"/>
    <x v="278"/>
    <s v="E-US"/>
    <s v="美国"/>
    <s v="SJ1-100ML_TZ"/>
    <n v="128"/>
    <x v="3"/>
    <s v="盐田海卡"/>
    <s v="MIT2"/>
    <s v="SJ1-100ML_TZ"/>
    <s v="SJ1-100ML_TZ 四季酒店100mL香氛油（天竺） 销售包装"/>
    <s v="Oil-TZ"/>
    <n v="2"/>
    <x v="575"/>
  </r>
  <r>
    <n v="681"/>
    <m/>
    <s v="W22001"/>
    <x v="278"/>
    <s v="E-US"/>
    <s v="美国"/>
    <s v="W1-100ML_TZ"/>
    <n v="256"/>
    <x v="3"/>
    <s v="盐田海卡"/>
    <s v="MIT2"/>
    <s v="W1-100ML_TZ"/>
    <s v="W1-100ML_TZ W酒店100mL香氛油（天竺） 销售包装"/>
    <s v="Oil-TZ"/>
    <n v="4"/>
    <x v="576"/>
  </r>
  <r>
    <n v="682"/>
    <m/>
    <s v="W22001"/>
    <x v="278"/>
    <s v="E-US"/>
    <s v="美国"/>
    <s v="HILTON1-100ML_TZ"/>
    <n v="1280"/>
    <x v="3"/>
    <s v="盐田海卡"/>
    <s v="MIT2"/>
    <s v="HILTON1-100ML_TZ"/>
    <s v="HILTON1-100ML_TZ 希尔顿酒店100mL香氛油（天竺） 销售包装"/>
    <s v="Oil-TZ"/>
    <n v="20"/>
    <x v="577"/>
  </r>
  <r>
    <n v="683"/>
    <m/>
    <s v="W22001"/>
    <x v="278"/>
    <s v="E-US"/>
    <s v="美国"/>
    <s v="ATS1_100ML_TZ"/>
    <n v="128"/>
    <x v="3"/>
    <s v="盐田海卡"/>
    <s v="MIT2"/>
    <s v="ATS1_100ML_TZ"/>
    <s v="ATS1_100ML_TZ 亚特兰蒂斯酒店100mL香氛油（天竺） 销售包装"/>
    <s v="Oil-TZ"/>
    <n v="2"/>
    <x v="575"/>
  </r>
  <r>
    <n v="684"/>
    <m/>
    <s v="W22002"/>
    <x v="279"/>
    <s v="K-US"/>
    <s v="美国"/>
    <s v="RZ1-500ML_TZ"/>
    <n v="100"/>
    <x v="3"/>
    <s v="盐田海卡"/>
    <s v="ABQ2"/>
    <s v="RZ1-500ML_TZ"/>
    <s v="RZ1-500ML_TZ 丽思卡尔顿酒店500mL香氛油（天竺） 销售包装"/>
    <s v="Oil-TZ"/>
    <n v="5"/>
    <x v="578"/>
  </r>
  <r>
    <n v="685"/>
    <m/>
    <s v="W22002"/>
    <x v="279"/>
    <s v="K-US"/>
    <s v="美国"/>
    <s v="RZ1-100ML_TZ"/>
    <n v="1920"/>
    <x v="3"/>
    <s v="盐田海卡"/>
    <s v="ABQ2"/>
    <s v="RZ1-100ML_TZ"/>
    <s v="RZ1-100ML_TZ 丽思卡尔顿酒店100mL香氛油（天竺） 销售包装"/>
    <s v="Oil-TZ"/>
    <n v="30"/>
    <x v="579"/>
  </r>
  <r>
    <n v="686"/>
    <m/>
    <s v="W22004"/>
    <x v="280"/>
    <s v="E-US"/>
    <s v="美国"/>
    <s v="003000007"/>
    <n v="468"/>
    <x v="0"/>
    <s v="盐田海卡"/>
    <s v="GEU3"/>
    <s v="AP2F-H14"/>
    <s v="AP2F-H14 空气净化器滤网2-H14"/>
    <s v="AP2F"/>
    <n v="13"/>
    <x v="580"/>
  </r>
  <r>
    <n v="687"/>
    <m/>
    <s v="W23011"/>
    <x v="281"/>
    <s v="E-US"/>
    <s v="美国"/>
    <s v="ANZ-B"/>
    <n v="400"/>
    <x v="2"/>
    <s v="盐田海卡"/>
    <s v="GEU2"/>
    <s v="ANZ-B"/>
    <s v="ANZ-B 便携式扩香仪 黑色"/>
    <s v="ANZ"/>
    <n v="10"/>
    <x v="581"/>
  </r>
  <r>
    <n v="688"/>
    <m/>
    <s v="W23011"/>
    <x v="281"/>
    <s v="E-US"/>
    <s v="美国"/>
    <s v="ANZKIT-B_B"/>
    <n v="200"/>
    <x v="2"/>
    <s v="盐田海卡"/>
    <s v="GEU2"/>
    <s v="ANZKIT-B_B"/>
    <s v="ANZKIT-B_B 便携式扩香仪 黑色 两个装"/>
    <s v="ANZ"/>
    <n v="10"/>
    <x v="581"/>
  </r>
  <r>
    <n v="689"/>
    <m/>
    <s v="W23011"/>
    <x v="282"/>
    <s v="E-US"/>
    <s v="美国"/>
    <s v="AN6KIT-B_RZ30ml"/>
    <n v="1800"/>
    <x v="2"/>
    <s v="盐田海卡"/>
    <s v="GEU2"/>
    <s v="AN6KIT-B_RZ30ml"/>
    <s v="AN6KIT-B_RZ30ml AN6黑色机器+30mL丽思香氛油 机油套装"/>
    <s v="AN6"/>
    <n v="60"/>
    <x v="582"/>
  </r>
  <r>
    <n v="690"/>
    <m/>
    <s v="W23002"/>
    <x v="283"/>
    <s v="E-UK"/>
    <s v="英国"/>
    <s v="001000019"/>
    <n v="280"/>
    <x v="0"/>
    <s v="英国海卡"/>
    <s v="BHX4"/>
    <s v="AN6-B"/>
    <s v="AN6-B 便携式扩香仪 黑色"/>
    <s v="AN6"/>
    <n v="7"/>
    <x v="583"/>
  </r>
  <r>
    <n v="691"/>
    <m/>
    <s v="W23002"/>
    <x v="283"/>
    <s v="E-UK"/>
    <s v="英国"/>
    <s v="001000039"/>
    <n v="160"/>
    <x v="0"/>
    <s v="英国海卡"/>
    <s v="BHX4"/>
    <s v="AN6-GL"/>
    <s v="AN6-GL 便携式扩香仪 翠百合色"/>
    <s v="AN6"/>
    <n v="4"/>
    <x v="584"/>
  </r>
  <r>
    <n v="692"/>
    <m/>
    <s v="W23002"/>
    <x v="283"/>
    <s v="E-UK"/>
    <s v="英国"/>
    <s v="001000040"/>
    <n v="80"/>
    <x v="0"/>
    <s v="英国海卡"/>
    <s v="BHX4"/>
    <s v="AN6-LB"/>
    <s v="AN6-LB 便携式扩香仪 浅钢蓝色"/>
    <s v="AN6"/>
    <n v="2"/>
    <x v="585"/>
  </r>
  <r>
    <n v="693"/>
    <m/>
    <s v="W23002"/>
    <x v="283"/>
    <s v="E-UK"/>
    <s v="英国"/>
    <s v="001000020"/>
    <n v="200"/>
    <x v="0"/>
    <s v="英国海卡"/>
    <s v="BHX4"/>
    <s v="AN6-W"/>
    <s v="AN6-W 便携式扩香仪 白色"/>
    <s v="AN6"/>
    <n v="5"/>
    <x v="586"/>
  </r>
  <r>
    <n v="694"/>
    <m/>
    <s v="W23005"/>
    <x v="284"/>
    <s v="K-CA"/>
    <s v="加拿大"/>
    <s v="001000045"/>
    <n v="120"/>
    <x v="0"/>
    <s v="加拿大海卡"/>
    <s v="YYC4"/>
    <s v="ANX-B"/>
    <s v="ANX-B 便携式扩香仪 黑色"/>
    <s v="ANX"/>
    <n v="4"/>
    <x v="587"/>
  </r>
  <r>
    <n v="695"/>
    <m/>
    <s v="W23005"/>
    <x v="284"/>
    <s v="K-CA"/>
    <s v="加拿大"/>
    <s v="001000052"/>
    <n v="90"/>
    <x v="0"/>
    <s v="加拿大海卡"/>
    <s v="YYC4"/>
    <s v="ANX-DT"/>
    <s v="ANX-DT 便携式扩香仪 沙漠钛色"/>
    <s v="ANX"/>
    <n v="3"/>
    <x v="588"/>
  </r>
  <r>
    <n v="696"/>
    <m/>
    <s v="W23005"/>
    <x v="284"/>
    <s v="K-CA"/>
    <s v="加拿大"/>
    <s v="001000051"/>
    <n v="30"/>
    <x v="0"/>
    <s v="加拿大海卡"/>
    <s v="YYC4"/>
    <s v="ANX-SG"/>
    <s v="ANX-SG 便携式扩香仪 太空灰色"/>
    <s v="ANX"/>
    <n v="1"/>
    <x v="589"/>
  </r>
  <r>
    <n v="697"/>
    <m/>
    <s v="W23012"/>
    <x v="285"/>
    <s v="K-US"/>
    <s v="美国"/>
    <s v="ADXKIT-B_4X10K04_TZ"/>
    <n v="390"/>
    <x v="0"/>
    <s v="盐田海卡"/>
    <s v="GEU2"/>
    <s v="ADXKIT-B_4X10K04_TZ"/>
    <s v="ADXKIT-B_4X10K04_TZ ADX黑色机器+4x10mL酒店（天竺）香氛油 机油套装"/>
    <s v="ADX"/>
    <n v="13"/>
    <x v="590"/>
  </r>
  <r>
    <n v="698"/>
    <m/>
    <s v="W23012"/>
    <x v="285"/>
    <s v="K-US"/>
    <s v="美国"/>
    <s v="ADXKIT-DT_4X10K04_TZ"/>
    <n v="150"/>
    <x v="0"/>
    <s v="盐田海卡"/>
    <s v="GEU2"/>
    <s v="ADXKIT-DT_4X10K04_TZ"/>
    <s v="ADXKIT-DT_4X10K04_TZ AD钛色机器+4x10mL酒店（天竺）香氛油 机油套装"/>
    <s v="ADX"/>
    <n v="5"/>
    <x v="591"/>
  </r>
  <r>
    <n v="699"/>
    <m/>
    <s v="W23012"/>
    <x v="285"/>
    <s v="K-US"/>
    <s v="美国"/>
    <s v="AN6KIT-B_2X20K01"/>
    <n v="1200"/>
    <x v="0"/>
    <s v="盐田海卡"/>
    <s v="GEU2"/>
    <s v="AN6KIT-B_2X20K01"/>
    <s v="AN6KIT-B_2X20K01 AN6黑色机器+2X20mL酒店香氛油 机油套装"/>
    <s v="AN6"/>
    <n v="40"/>
    <x v="592"/>
  </r>
  <r>
    <n v="700"/>
    <m/>
    <s v="W23012"/>
    <x v="285"/>
    <s v="K-US"/>
    <s v="美国"/>
    <s v="AN8KIT-B_2X20K03"/>
    <n v="600"/>
    <x v="0"/>
    <s v="盐田海卡"/>
    <s v="GEU2"/>
    <s v="AN8KIT-B_2X20K03"/>
    <s v="AN8KIT-B_2X20K03 AN8黑色机器+2X20mL（天竺）酒店香氛油 机油套装"/>
    <s v="AN8"/>
    <n v="20"/>
    <x v="593"/>
  </r>
  <r>
    <n v="701"/>
    <m/>
    <s v="W23012"/>
    <x v="285"/>
    <s v="K-US"/>
    <s v="美国"/>
    <s v="AN8KIT-B_4X10K05_TZ"/>
    <n v="2100"/>
    <x v="0"/>
    <s v="盐田海卡"/>
    <s v="GEU2"/>
    <s v="AN8KIT-B_4X10K05_TZ"/>
    <s v="AN8KIT-B_4X10K05_TZ AN8黑色机器+4x10mL（天竺）酒店香氛油 机油套装"/>
    <s v="AN8"/>
    <n v="70"/>
    <x v="594"/>
  </r>
  <r>
    <n v="702"/>
    <m/>
    <s v="W23012"/>
    <x v="285"/>
    <s v="K-US"/>
    <s v="美国"/>
    <s v="AN8KIT-WH_4X10K05_TZ"/>
    <n v="690"/>
    <x v="0"/>
    <s v="盐田海卡"/>
    <s v="GEU2"/>
    <s v="AN8KIT-WH_4X10K05_TZ"/>
    <s v="AN8KIT-WH_4X10K05_TZ AN8白色机器+4x10mL（天竺）酒店香氛油 机油套装"/>
    <s v="AN8"/>
    <n v="23"/>
    <x v="595"/>
  </r>
  <r>
    <n v="703"/>
    <m/>
    <s v="W23011"/>
    <x v="286"/>
    <s v="V-US"/>
    <s v="美国"/>
    <s v="001000019"/>
    <n v="600"/>
    <x v="2"/>
    <s v="盐田海卡"/>
    <s v="GEU2"/>
    <s v="AN6-B"/>
    <s v="AN6-B 便携式扩香仪 黑色"/>
    <s v="AN6"/>
    <n v="15"/>
    <x v="596"/>
  </r>
  <r>
    <n v="704"/>
    <m/>
    <s v="W23011"/>
    <x v="286"/>
    <s v="V-US"/>
    <s v="美国"/>
    <s v="001000020"/>
    <n v="400"/>
    <x v="2"/>
    <s v="盐田海卡"/>
    <s v="GEU2"/>
    <s v="AN6-W"/>
    <s v="AN6-W 便携式扩香仪 白色"/>
    <s v="AN6"/>
    <n v="10"/>
    <x v="597"/>
  </r>
  <r>
    <n v="705"/>
    <m/>
    <s v="W23011"/>
    <x v="286"/>
    <s v="V-US"/>
    <s v="美国"/>
    <s v="001000021"/>
    <n v="100"/>
    <x v="2"/>
    <s v="盐田海卡"/>
    <s v="GEU2"/>
    <s v="AN6NZ-B"/>
    <s v="AN6NZ-B AN6喷嘴配件套装 黑色"/>
    <s v="AN6-AC"/>
    <n v="0.5"/>
    <x v="598"/>
  </r>
  <r>
    <n v="706"/>
    <m/>
    <s v="W23011"/>
    <x v="286"/>
    <s v="V-US"/>
    <s v="美国"/>
    <s v="001000022"/>
    <n v="100"/>
    <x v="2"/>
    <s v="盐田海卡"/>
    <s v="GEU2"/>
    <s v="AN6NZ-W"/>
    <s v="AN6NZ-W AN6喷嘴配件套装 白色"/>
    <s v="AN6-AC"/>
    <n v="0.5"/>
    <x v="598"/>
  </r>
  <r>
    <n v="707"/>
    <m/>
    <s v="W23004"/>
    <x v="287"/>
    <s v="W-DE"/>
    <s v="德国"/>
    <s v="001000019"/>
    <n v="280"/>
    <x v="0"/>
    <s v="欧洲海卡"/>
    <s v="HAJ1"/>
    <s v="AN6-B"/>
    <s v="AN6-B 便携式扩香仪 黑色"/>
    <s v="AN6"/>
    <n v="7"/>
    <x v="599"/>
  </r>
  <r>
    <n v="708"/>
    <m/>
    <s v="W23004"/>
    <x v="287"/>
    <s v="W-DE"/>
    <s v="德国"/>
    <s v="001000040"/>
    <n v="40"/>
    <x v="0"/>
    <s v="欧洲海卡"/>
    <s v="HAJ1"/>
    <s v="AN6-LB"/>
    <s v="AN6-LB 便携式扩香仪 浅钢蓝色"/>
    <s v="AN6"/>
    <n v="1"/>
    <x v="600"/>
  </r>
  <r>
    <n v="709"/>
    <m/>
    <s v="W23004"/>
    <x v="287"/>
    <s v="W-DE"/>
    <s v="德国"/>
    <s v="001000020"/>
    <n v="240"/>
    <x v="0"/>
    <s v="欧洲海卡"/>
    <s v="HAJ1"/>
    <s v="AN6-W"/>
    <s v="AN6-W 便携式扩香仪 白色"/>
    <s v="AN6"/>
    <n v="6"/>
    <x v="601"/>
  </r>
  <r>
    <n v="710"/>
    <m/>
    <s v="W23001"/>
    <x v="288"/>
    <s v="E-AU"/>
    <s v="澳洲"/>
    <s v="AND-B"/>
    <n v="150"/>
    <x v="10"/>
    <s v="澳洲海卡"/>
    <s v="XSY2"/>
    <s v="AND-B"/>
    <s v="AND-B 便携式双喷扩香仪 黑色"/>
    <s v="AND"/>
    <n v="5"/>
    <x v="602"/>
  </r>
  <r>
    <n v="711"/>
    <m/>
    <s v="W23001"/>
    <x v="288"/>
    <s v="E-AU"/>
    <s v="澳洲"/>
    <s v="AND-DT"/>
    <n v="90"/>
    <x v="10"/>
    <s v="澳洲海卡"/>
    <s v="XSY2"/>
    <s v="AND-DT"/>
    <s v="AND-DT 便携式双喷扩香仪 沙漠钛色"/>
    <s v="AND"/>
    <n v="3"/>
    <x v="603"/>
  </r>
  <r>
    <n v="712"/>
    <m/>
    <s v="W23001"/>
    <x v="288"/>
    <s v="E-AU"/>
    <s v="澳洲"/>
    <s v="RD1-B"/>
    <n v="120"/>
    <x v="10"/>
    <s v="澳洲海卡"/>
    <s v="XSY2"/>
    <s v="RD1-B"/>
    <s v="RD1-B 便携式扩香仪 黑色"/>
    <s v="RD1"/>
    <n v="4"/>
    <x v="604"/>
  </r>
  <r>
    <n v="713"/>
    <m/>
    <s v="W23001"/>
    <x v="288"/>
    <s v="E-AU"/>
    <s v="澳洲"/>
    <s v="RD1-DT"/>
    <n v="90"/>
    <x v="10"/>
    <s v="澳洲海卡"/>
    <s v="XSY2"/>
    <s v="RD1-DT"/>
    <s v="RD1-DT 便携式扩香仪 沙漠钛色"/>
    <s v="RD1"/>
    <n v="3"/>
    <x v="603"/>
  </r>
  <r>
    <n v="714"/>
    <m/>
    <s v="W23001"/>
    <x v="288"/>
    <s v="E-AU"/>
    <s v="澳洲"/>
    <s v="RD1-B"/>
    <n v="27"/>
    <x v="10"/>
    <s v="澳洲海卡"/>
    <s v="XSY2"/>
    <s v="RD1-B"/>
    <s v="RD1-B 便携式扩香仪 黑色"/>
    <s v="RD1"/>
    <n v="0.5"/>
    <x v="605"/>
  </r>
  <r>
    <n v="715"/>
    <m/>
    <s v="W23001"/>
    <x v="288"/>
    <s v="E-AU"/>
    <s v="澳洲"/>
    <s v="001000021"/>
    <n v="15"/>
    <x v="10"/>
    <s v="澳洲海卡"/>
    <s v="XSY2"/>
    <s v="AN6NZ-B"/>
    <s v="AN6NZ-B AN6喷嘴配件套装 黑色"/>
    <s v="AN6-AC"/>
    <n v="0.5"/>
    <x v="605"/>
  </r>
  <r>
    <n v="716"/>
    <m/>
    <s v="W23011"/>
    <x v="289"/>
    <s v="W-US"/>
    <s v="美国"/>
    <s v="002000030"/>
    <n v="96"/>
    <x v="2"/>
    <s v="盐田海卡"/>
    <s v="TCY1"/>
    <s v="MD1-T"/>
    <s v="MD1-T 电子球形把手锁 指纹 钛灰色"/>
    <s v="MD1"/>
    <n v="6"/>
    <x v="606"/>
  </r>
  <r>
    <n v="717"/>
    <m/>
    <s v="W23006"/>
    <x v="290"/>
    <s v="K-US"/>
    <s v="美国"/>
    <s v="GK1-SILV"/>
    <n v="240"/>
    <x v="2"/>
    <s v="盐田海卡"/>
    <s v="HLI2"/>
    <s v="GK1-SILV"/>
    <s v="GK1-SILV 智能球形把手锁 银色"/>
    <s v="GK1"/>
    <n v="15"/>
    <x v="157"/>
  </r>
  <r>
    <n v="718"/>
    <m/>
    <s v="W23004"/>
    <x v="291"/>
    <s v="W-DE"/>
    <s v="德国"/>
    <s v="ANP-W_EU"/>
    <n v="32"/>
    <x v="0"/>
    <s v="欧洲海卡"/>
    <s v="HAJ1"/>
    <s v="ANP-W_EU"/>
    <s v="ANP-W_EU 欧规墙插式智能扩香仪 白色"/>
    <s v="ANP"/>
    <n v="1"/>
    <x v="607"/>
  </r>
  <r>
    <n v="719"/>
    <m/>
    <s v="W23004"/>
    <x v="291"/>
    <s v="W-DE"/>
    <s v="德国"/>
    <s v="ANPKIT-W_EU_3X20K01_TZ"/>
    <n v="128"/>
    <x v="0"/>
    <s v="欧洲海卡"/>
    <s v="HAJ1"/>
    <s v="ANPKIT-W_EU_3X20K01_TZ"/>
    <s v="ANPKIT-W_EU_3X20K01_TZ ANP欧规白色机器+3X20mL酒店香氛油（天竺） 机油套装"/>
    <s v="ANP"/>
    <n v="4"/>
    <x v="608"/>
  </r>
  <r>
    <n v="720"/>
    <m/>
    <s v="W23002"/>
    <x v="292"/>
    <s v="E-UK"/>
    <s v="英国"/>
    <s v="ANA-WH_UK"/>
    <n v="144"/>
    <x v="0"/>
    <s v="英国海卡"/>
    <s v="LBA8"/>
    <s v="ANA-WH_UK"/>
    <s v="ANA-WH_UK 智能扩香仪 英规 白色"/>
    <s v="ANA"/>
    <n v="12"/>
    <x v="289"/>
  </r>
  <r>
    <n v="721"/>
    <m/>
    <s v="W23008"/>
    <x v="293"/>
    <s v="W-US"/>
    <s v="美国"/>
    <s v="ANA-B_US"/>
    <n v="324"/>
    <x v="7"/>
    <s v="盐田海卡"/>
    <s v="TCY2"/>
    <s v="ANA-B_US"/>
    <s v="ANA-B_US 智能扩香仪 黑色"/>
    <s v="ANA"/>
    <n v="27"/>
    <x v="609"/>
  </r>
  <r>
    <n v="722"/>
    <m/>
    <s v="W23008"/>
    <x v="293"/>
    <s v="W-US"/>
    <s v="美国"/>
    <s v="ANA-W_US"/>
    <n v="324"/>
    <x v="7"/>
    <s v="盐田海卡"/>
    <s v="TCY2"/>
    <s v="ANA-W_US"/>
    <s v="ANA-W_US 智能扩香仪 白色"/>
    <s v="ANA"/>
    <n v="27"/>
    <x v="609"/>
  </r>
  <r>
    <n v="723"/>
    <m/>
    <s v="W23007"/>
    <x v="294"/>
    <s v="W-US"/>
    <s v="美国"/>
    <s v="ANAKIT-B_US_2X100K03"/>
    <n v="120"/>
    <x v="0"/>
    <s v="盐田海卡"/>
    <s v="TCY2"/>
    <s v="ANAKIT-B_US_2X100K03"/>
    <s v="ANAKIT-B_US_2X100K03 ANA黑色机器+2X100mL酒店香氛油（天竺） 机油套装"/>
    <s v="ANA"/>
    <n v="10"/>
    <x v="610"/>
  </r>
  <r>
    <n v="724"/>
    <m/>
    <s v="W23007"/>
    <x v="294"/>
    <s v="W-US"/>
    <s v="美国"/>
    <s v="ANAKIT-WH_US_2X100K03"/>
    <n v="120"/>
    <x v="0"/>
    <s v="盐田海卡"/>
    <s v="TCY2"/>
    <s v="ANAKIT-WH_US_2X100K03"/>
    <s v="ANAKIT-WH_US_2X100K03 ANA白色机器+2X100mL酒店香氛油（天竺） 机油套装"/>
    <s v="ANA"/>
    <n v="10"/>
    <x v="610"/>
  </r>
  <r>
    <n v="725"/>
    <m/>
    <s v="W23005"/>
    <x v="295"/>
    <s v="K-CA"/>
    <s v="加拿大"/>
    <s v="001000033"/>
    <n v="84"/>
    <x v="0"/>
    <s v="加拿大海卡"/>
    <s v="YYC4"/>
    <s v="ANW-W"/>
    <s v="ANW-W 智能扩香仪 白色"/>
    <s v="ANW"/>
    <n v="7"/>
    <x v="611"/>
  </r>
  <r>
    <n v="726"/>
    <m/>
    <s v="W23007"/>
    <x v="296"/>
    <s v="V-US"/>
    <s v="美国"/>
    <s v="ANWKIT-B_US_2X100K03"/>
    <n v="204"/>
    <x v="0"/>
    <s v="盐田海卡"/>
    <s v="TCY1"/>
    <s v="ANWKIT-B_US_2X100K03"/>
    <s v="ANWKIT-B_US_2X100K03 ANW黑色机器+2X100mL酒店香氛油（天竺） 机油套装"/>
    <s v="ANW"/>
    <n v="17"/>
    <x v="612"/>
  </r>
  <r>
    <n v="727"/>
    <m/>
    <s v="W23007"/>
    <x v="296"/>
    <s v="V-US"/>
    <s v="美国"/>
    <s v="ANWKIT-WH_US_2X100K03"/>
    <n v="360"/>
    <x v="0"/>
    <s v="盐田海卡"/>
    <s v="TCY1"/>
    <s v="ANWKIT-WH_US_2X100K03"/>
    <s v="ANWKIT-WH_US_2X100K03 ANW白色机器+2X100mL酒店香氛油（天竺） 机油套装"/>
    <s v="ANW"/>
    <n v="30"/>
    <x v="613"/>
  </r>
  <r>
    <n v="728"/>
    <m/>
    <s v="W23009"/>
    <x v="297"/>
    <s v="V-US"/>
    <s v="美国"/>
    <s v="001000032"/>
    <n v="120"/>
    <x v="7"/>
    <s v="盐田海卡"/>
    <s v="GEU3"/>
    <s v="ANW-B"/>
    <s v="ANW-B 智能扩香仪 黑色"/>
    <s v="ANW"/>
    <n v="10"/>
    <x v="614"/>
  </r>
  <r>
    <n v="729"/>
    <m/>
    <s v="W23009"/>
    <x v="297"/>
    <s v="V-US"/>
    <s v="美国"/>
    <s v="001000033"/>
    <n v="600"/>
    <x v="7"/>
    <s v="盐田海卡"/>
    <s v="GEU3"/>
    <s v="ANW-W"/>
    <s v="ANW-W 智能扩香仪 白色"/>
    <s v="ANW"/>
    <n v="50"/>
    <x v="615"/>
  </r>
  <r>
    <n v="730"/>
    <m/>
    <s v="W23006"/>
    <x v="298"/>
    <s v="K-US"/>
    <s v="美国"/>
    <s v="ANP-B_US"/>
    <n v="128"/>
    <x v="2"/>
    <s v="盐田海卡"/>
    <s v="HLI2"/>
    <s v="ANP-B_US"/>
    <s v="ANP-B_US 墙插式智能扩香仪 黑色"/>
    <s v="ANP"/>
    <n v="4"/>
    <x v="616"/>
  </r>
  <r>
    <n v="731"/>
    <m/>
    <s v="W23006"/>
    <x v="298"/>
    <s v="K-US"/>
    <s v="美国"/>
    <s v="ANP-W_US"/>
    <n v="224"/>
    <x v="2"/>
    <s v="盐田海卡"/>
    <s v="HLI2"/>
    <s v="ANP-W_US"/>
    <s v="ANP-W_US 墙插式智能扩香仪 白色"/>
    <s v="ANP"/>
    <n v="7"/>
    <x v="617"/>
  </r>
  <r>
    <n v="732"/>
    <m/>
    <s v="W23006"/>
    <x v="299"/>
    <s v="K-US"/>
    <s v="美国"/>
    <s v="ANPKIT-B_US_3X20K01_TZ"/>
    <n v="224"/>
    <x v="2"/>
    <s v="盐田海卡"/>
    <s v="HLI2"/>
    <s v="ANPKIT-B_US_3X20K01_TZ"/>
    <s v="ANPKIT-B_US_3X20K01_TZ ANP黑色机器+3X20mL酒店香氛油（天竺） 机油套装"/>
    <s v="ANP"/>
    <n v="7"/>
    <x v="618"/>
  </r>
  <r>
    <n v="733"/>
    <m/>
    <s v="W23006"/>
    <x v="299"/>
    <s v="K-US"/>
    <s v="美国"/>
    <s v="ANPKIT-WH_US_3X20K01_TZ"/>
    <n v="288"/>
    <x v="2"/>
    <s v="盐田海卡"/>
    <s v="HLI2"/>
    <s v="ANPKIT-WH_US_3X20K01_TZ"/>
    <s v="ANPKIT-WH_US_3X20K01_TZ ANP白色机器+3X20mL酒店香氛油（天竺） 机油套装"/>
    <s v="ANP"/>
    <n v="9"/>
    <x v="619"/>
  </r>
  <r>
    <n v="734"/>
    <m/>
    <s v="W23013"/>
    <x v="300"/>
    <s v="K-US"/>
    <s v="美国"/>
    <s v="ANPKIT-WH_US_3X20K01_TZ"/>
    <n v="320"/>
    <x v="0"/>
    <s v="美森海卡"/>
    <s v="HLI2"/>
    <s v="ANPKIT-WH_US_3X20K01_TZ"/>
    <s v="ANPKIT-WH_US_3X20K01_TZ ANP白色机器+3X20mL酒店香氛油（天竺） 机油套装"/>
    <s v="ANP"/>
    <n v="10"/>
    <x v="552"/>
  </r>
  <r>
    <n v="735"/>
    <m/>
    <s v="W23010"/>
    <x v="301"/>
    <s v="A-CA"/>
    <s v="加拿大"/>
    <s v="002000023"/>
    <n v="48"/>
    <x v="2"/>
    <s v="加拿大海卡"/>
    <s v="YYZ7"/>
    <s v="H2-SILV"/>
    <s v="H2-SILV 电子指纹球形把手锁-银色"/>
    <s v="H2"/>
    <n v="4"/>
    <x v="620"/>
  </r>
  <r>
    <n v="736"/>
    <m/>
    <s v="W23010"/>
    <x v="301"/>
    <s v="A-CA"/>
    <s v="加拿大"/>
    <s v="002000001"/>
    <n v="144"/>
    <x v="2"/>
    <s v="加拿大海卡"/>
    <s v="YYZ7"/>
    <s v="K1-B"/>
    <s v="K1-B 电子球形把手锁-黑色"/>
    <s v="K1"/>
    <n v="12"/>
    <x v="621"/>
  </r>
  <r>
    <n v="737"/>
    <m/>
    <s v="W24005"/>
    <x v="302"/>
    <s v="E-US"/>
    <s v="美国"/>
    <s v="ANZ-B"/>
    <n v="480"/>
    <x v="2"/>
    <s v="美森海卡"/>
    <s v="TCY2"/>
    <s v="ANZ-B"/>
    <s v="ANZ-B 便携式扩香仪 黑色"/>
    <s v="ANZ"/>
    <n v="12"/>
    <x v="622"/>
  </r>
  <r>
    <n v="738"/>
    <s v="自送货沙特+阿联酋共26箱花费88.84元"/>
    <s v="W24006"/>
    <x v="303"/>
    <s v="E-SA"/>
    <s v="沙特阿拉伯"/>
    <s v="001000020"/>
    <n v="80"/>
    <x v="9"/>
    <s v="沙特海卡"/>
    <s v="JED4"/>
    <s v="AN6-W"/>
    <s v="AN6-W 便携式扩香仪 白色"/>
    <s v="AN6"/>
    <n v="2"/>
    <x v="623"/>
  </r>
  <r>
    <n v="739"/>
    <m/>
    <s v="W24006"/>
    <x v="303"/>
    <s v="E-SA"/>
    <s v="沙特阿拉伯"/>
    <s v="RD1-B"/>
    <n v="90"/>
    <x v="9"/>
    <s v="沙特海卡"/>
    <s v="JED4"/>
    <s v="RD1-B"/>
    <s v="RD1-B 便携式扩香仪 黑色"/>
    <s v="RD1"/>
    <n v="3"/>
    <x v="624"/>
  </r>
  <r>
    <n v="740"/>
    <m/>
    <s v="W24006"/>
    <x v="303"/>
    <s v="E-SA"/>
    <s v="沙特阿拉伯"/>
    <s v="001000019"/>
    <n v="120"/>
    <x v="9"/>
    <s v="沙特海卡"/>
    <s v="JED4"/>
    <s v="AN6-B"/>
    <s v="AN6-B 便携式扩香仪 黑色"/>
    <s v="AN6"/>
    <n v="3"/>
    <x v="624"/>
  </r>
  <r>
    <n v="741"/>
    <m/>
    <s v="W24006"/>
    <x v="303"/>
    <s v="E-SA"/>
    <s v="沙特阿拉伯"/>
    <s v="001000045"/>
    <n v="90"/>
    <x v="9"/>
    <s v="沙特海卡"/>
    <s v="JED4"/>
    <s v="ANX-B"/>
    <s v="ANX-B 便携式扩香仪 黑色"/>
    <s v="ANX"/>
    <n v="3"/>
    <x v="624"/>
  </r>
  <r>
    <n v="742"/>
    <m/>
    <s v="W24007"/>
    <x v="304"/>
    <s v="E-AE"/>
    <s v="阿联酋"/>
    <s v="001000019"/>
    <n v="120"/>
    <x v="9"/>
    <s v="阿联酋海卡"/>
    <s v="DXB6"/>
    <s v="AN6-B"/>
    <s v="AN6-B 便携式扩香仪 黑色"/>
    <s v="AN6"/>
    <n v="3"/>
    <x v="625"/>
  </r>
  <r>
    <n v="743"/>
    <m/>
    <s v="W24007"/>
    <x v="304"/>
    <s v="E-AE"/>
    <s v="阿联酋"/>
    <s v="001000020"/>
    <n v="80"/>
    <x v="9"/>
    <s v="阿联酋海卡"/>
    <s v="DXB6"/>
    <s v="AN6-W"/>
    <s v="AN6-W 便携式扩香仪 白色"/>
    <s v="AN6"/>
    <n v="2"/>
    <x v="626"/>
  </r>
  <r>
    <n v="744"/>
    <m/>
    <s v="W24007"/>
    <x v="304"/>
    <s v="E-AE"/>
    <s v="阿联酋"/>
    <s v="001000045"/>
    <n v="90"/>
    <x v="9"/>
    <s v="阿联酋海卡"/>
    <s v="DXB6"/>
    <s v="ANX-B"/>
    <s v="ANX-B 便携式扩香仪 黑色"/>
    <s v="ANX"/>
    <n v="3"/>
    <x v="625"/>
  </r>
  <r>
    <n v="745"/>
    <m/>
    <s v="W24007"/>
    <x v="304"/>
    <s v="E-AE"/>
    <s v="阿联酋"/>
    <s v="RD1-DT"/>
    <n v="120"/>
    <x v="9"/>
    <s v="阿联酋海卡"/>
    <s v="DXB6"/>
    <s v="RD1-DT"/>
    <s v="RD1-DT 便携式扩香仪 沙漠钛色"/>
    <s v="RD1"/>
    <n v="4"/>
    <x v="627"/>
  </r>
  <r>
    <n v="746"/>
    <m/>
    <s v="W24007"/>
    <x v="304"/>
    <s v="E-AE"/>
    <s v="阿联酋"/>
    <s v="RD1-B"/>
    <n v="90"/>
    <x v="9"/>
    <s v="阿联酋海卡"/>
    <s v="DXB6"/>
    <s v="RD1-B"/>
    <s v="RD1-B 便携式扩香仪 黑色"/>
    <s v="RD1"/>
    <n v="3"/>
    <x v="625"/>
  </r>
  <r>
    <n v="747"/>
    <m/>
    <s v="W24009"/>
    <x v="305"/>
    <s v="K-CA"/>
    <s v="加拿大"/>
    <s v="001000020"/>
    <n v="160"/>
    <x v="2"/>
    <s v="加拿大海卡"/>
    <s v="YVR4"/>
    <s v="AN6-W"/>
    <s v="AN6-W 便携式扩香仪 白色"/>
    <s v="AN6"/>
    <n v="4"/>
    <x v="379"/>
  </r>
  <r>
    <n v="748"/>
    <m/>
    <s v="W24009"/>
    <x v="305"/>
    <s v="K-CA"/>
    <s v="加拿大"/>
    <s v="001000045"/>
    <n v="60"/>
    <x v="2"/>
    <s v="加拿大海卡"/>
    <s v="YVR4"/>
    <s v="ANX-B"/>
    <s v="ANX-B 便携式扩香仪 黑色"/>
    <s v="ANX"/>
    <n v="2"/>
    <x v="628"/>
  </r>
  <r>
    <n v="749"/>
    <m/>
    <s v="W24009"/>
    <x v="305"/>
    <s v="K-CA"/>
    <s v="加拿大"/>
    <s v="001000052"/>
    <n v="30"/>
    <x v="2"/>
    <s v="加拿大海卡"/>
    <s v="YVR4"/>
    <s v="ANX-DT"/>
    <s v="ANX-DT 便携式扩香仪 沙漠钛色"/>
    <s v="ANX"/>
    <n v="1"/>
    <x v="629"/>
  </r>
  <r>
    <n v="750"/>
    <m/>
    <s v="W24011"/>
    <x v="306"/>
    <s v="E-US"/>
    <s v="美国"/>
    <s v="ANXKIT-T_4X10K04_TZ"/>
    <n v="30"/>
    <x v="0"/>
    <s v="盐田海卡"/>
    <s v="HLI2"/>
    <s v="ANXKIT-T_4X10K04_TZ"/>
    <s v="ANXKIT-T_4X10K04_TZ ANX钛色机器+4x10mL酒店（天竺）香氛油 机油套装"/>
    <s v="ANX"/>
    <n v="1"/>
    <x v="630"/>
  </r>
  <r>
    <n v="751"/>
    <m/>
    <s v="W24011"/>
    <x v="306"/>
    <s v="E-US"/>
    <s v="美国"/>
    <s v="ANZKIT-B_B_2X30K01"/>
    <n v="80"/>
    <x v="0"/>
    <s v="盐田海卡"/>
    <s v="HLI2"/>
    <s v="ANZKIT-B_B_2X30K01"/>
    <s v="ANZKIT-B_B_2X30K01 ANZ黑色机器两个装+2X30毫升香氛油（天竺） 机油套装"/>
    <s v="ANZ"/>
    <n v="4"/>
    <x v="631"/>
  </r>
  <r>
    <n v="752"/>
    <m/>
    <s v="W24011"/>
    <x v="306"/>
    <s v="E-US"/>
    <s v="美国"/>
    <s v="AN6KIT-B_RZ30ml"/>
    <n v="600"/>
    <x v="0"/>
    <s v="盐田海卡"/>
    <s v="HLI2"/>
    <s v="AN6KIT-B_RZ30ml"/>
    <s v="AN6KIT-B_RZ30ml AN6黑色机器+30mL丽思香氛油 机油套装"/>
    <s v="AN6"/>
    <n v="20"/>
    <x v="632"/>
  </r>
  <r>
    <n v="753"/>
    <m/>
    <s v="W24011"/>
    <x v="306"/>
    <s v="E-US"/>
    <s v="美国"/>
    <s v="AN6KIT-WH_SJ30ML_TZ"/>
    <n v="210"/>
    <x v="0"/>
    <s v="盐田海卡"/>
    <s v="HLI2"/>
    <s v="AN6KIT-WH_SJ30ML_TZ"/>
    <s v="AN6KIT-WH_SJ30ML_TZ AN6白色机器+30mL四季酒店香氛油（天竺） 机油套装"/>
    <s v="AN6"/>
    <n v="7"/>
    <x v="633"/>
  </r>
  <r>
    <n v="754"/>
    <m/>
    <s v="W24008"/>
    <x v="307"/>
    <s v="E-US"/>
    <s v="美国"/>
    <s v="001000053"/>
    <n v="80"/>
    <x v="7"/>
    <s v="盐田海卡"/>
    <s v="TCY1"/>
    <s v="ANX-2PC-BB"/>
    <s v="ANX-2PC-BB 便携式扩香仪套装 黑+黑"/>
    <s v="ANX"/>
    <n v="5"/>
    <x v="634"/>
  </r>
  <r>
    <n v="755"/>
    <m/>
    <s v="W24008"/>
    <x v="307"/>
    <s v="E-US"/>
    <s v="美国"/>
    <s v="001000059"/>
    <n v="32"/>
    <x v="7"/>
    <s v="盐田海卡"/>
    <s v="TCY1"/>
    <s v="ANX-2PC-BGD"/>
    <s v="ANX-2PC-BGD 便携式扩香仪套装 黑+金"/>
    <s v="ANX"/>
    <n v="2"/>
    <x v="635"/>
  </r>
  <r>
    <n v="756"/>
    <m/>
    <s v="W24008"/>
    <x v="307"/>
    <s v="E-US"/>
    <s v="美国"/>
    <s v="ANZ-B"/>
    <n v="480"/>
    <x v="7"/>
    <s v="盐田海卡"/>
    <s v="TCY1"/>
    <s v="ANZ-B"/>
    <s v="ANZ-B 便携式扩香仪 黑色"/>
    <s v="ANZ"/>
    <n v="12"/>
    <x v="636"/>
  </r>
  <r>
    <n v="757"/>
    <m/>
    <s v="W24008"/>
    <x v="307"/>
    <s v="E-US"/>
    <s v="美国"/>
    <s v="ANZ-WH"/>
    <n v="280"/>
    <x v="7"/>
    <s v="盐田海卡"/>
    <s v="TCY1"/>
    <s v="ANZ-WH"/>
    <s v="ANZ-WH 便携式扩香仪 白色"/>
    <s v="ANZ"/>
    <n v="7"/>
    <x v="637"/>
  </r>
  <r>
    <n v="758"/>
    <m/>
    <s v="W24008"/>
    <x v="308"/>
    <s v="W-US"/>
    <s v="美国"/>
    <s v="AND-SILV"/>
    <n v="30"/>
    <x v="7"/>
    <s v="盐田海卡"/>
    <s v="TCY1"/>
    <s v="AND-SILV"/>
    <s v="AND-SILV 便携式双喷扩香仪 银色"/>
    <s v="AND"/>
    <n v="1"/>
    <x v="638"/>
  </r>
  <r>
    <n v="759"/>
    <m/>
    <s v="W24012"/>
    <x v="309"/>
    <s v="K-US"/>
    <s v="美国"/>
    <s v="ADXKIT-B_4X10K04_TZ"/>
    <n v="510"/>
    <x v="0"/>
    <s v="盐田海卡"/>
    <s v="TCY1"/>
    <s v="ADXKIT-B_4X10K04_TZ"/>
    <s v="ADXKIT-B_4X10K04_TZ ADX黑色机器+4x10mL酒店（天竺）香氛油 机油套装"/>
    <s v="ADX"/>
    <n v="17"/>
    <x v="639"/>
  </r>
  <r>
    <n v="760"/>
    <m/>
    <s v="W24012"/>
    <x v="309"/>
    <s v="K-US"/>
    <s v="美国"/>
    <s v="ADXKIT-DT_4X10K04_TZ"/>
    <n v="300"/>
    <x v="0"/>
    <s v="盐田海卡"/>
    <s v="TCY1"/>
    <s v="ADXKIT-DT_4X10K04_TZ"/>
    <s v="ADXKIT-DT_4X10K04_TZ AD钛色机器+4x10mL酒店（天竺）香氛油 机油套装"/>
    <s v="ADX"/>
    <n v="10"/>
    <x v="640"/>
  </r>
  <r>
    <n v="761"/>
    <m/>
    <s v="W24012"/>
    <x v="309"/>
    <s v="K-US"/>
    <s v="美国"/>
    <s v="AN8KIT-B_2X20K03"/>
    <n v="300"/>
    <x v="0"/>
    <s v="盐田海卡"/>
    <s v="TCY1"/>
    <s v="AN8KIT-B_2X20K03"/>
    <s v="AN8KIT-B_2X20K03 AN8黑色机器+2X20mL（天竺）酒店香氛油 机油套装"/>
    <s v="AN8"/>
    <n v="10"/>
    <x v="640"/>
  </r>
  <r>
    <n v="762"/>
    <m/>
    <s v="W24012"/>
    <x v="309"/>
    <s v="K-US"/>
    <s v="美国"/>
    <s v="AN8KIT-B_4X10K05_TZ"/>
    <n v="2970"/>
    <x v="0"/>
    <s v="盐田海卡"/>
    <s v="TCY1"/>
    <s v="AN8KIT-B_4X10K05_TZ"/>
    <s v="AN8KIT-B_4X10K05_TZ AN8黑色机器+4x10mL（天竺）酒店香氛油 机油套装"/>
    <s v="AN8"/>
    <n v="99"/>
    <x v="641"/>
  </r>
  <r>
    <n v="763"/>
    <m/>
    <s v="W24012"/>
    <x v="309"/>
    <s v="K-US"/>
    <s v="美国"/>
    <s v="AN8KIT-B_B"/>
    <n v="100"/>
    <x v="0"/>
    <s v="盐田海卡"/>
    <s v="TCY1"/>
    <s v="AN8KIT-B_B"/>
    <s v="AN8KIT-B_B 便携式扩香仪套装 黑+黑"/>
    <s v="AN8"/>
    <n v="5"/>
    <x v="642"/>
  </r>
  <r>
    <n v="764"/>
    <m/>
    <s v="W24012"/>
    <x v="309"/>
    <s v="K-US"/>
    <s v="美国"/>
    <s v="AN8KIT-B_B_2X30K02"/>
    <n v="100"/>
    <x v="0"/>
    <s v="盐田海卡"/>
    <s v="TCY1"/>
    <s v="AN8KIT-B_B_2X30K02"/>
    <s v="AN8KIT-B_B_2X30K02 AN8黑色机器两个装+2X30mL香氛油（天竺） 机油套装"/>
    <s v="AN8"/>
    <n v="5"/>
    <x v="642"/>
  </r>
  <r>
    <n v="765"/>
    <m/>
    <s v="W24012"/>
    <x v="309"/>
    <s v="K-US"/>
    <s v="美国"/>
    <s v="AN8KIT-WH_2X20K01"/>
    <n v="150"/>
    <x v="0"/>
    <s v="盐田海卡"/>
    <s v="TCY1"/>
    <s v="AN8KIT-WH_2X20K01"/>
    <s v="AN8KIT-WH_2X20K01 AN8白色机器+2X20mL酒店香氛油 机油套装"/>
    <s v="AN8"/>
    <n v="5"/>
    <x v="642"/>
  </r>
  <r>
    <n v="766"/>
    <m/>
    <s v="W24012"/>
    <x v="309"/>
    <s v="K-US"/>
    <s v="美国"/>
    <s v="AN8KIT-WH_4X10K05_TZ"/>
    <n v="330"/>
    <x v="0"/>
    <s v="盐田海卡"/>
    <s v="TCY1"/>
    <s v="AN8KIT-WH_4X10K05_TZ"/>
    <s v="AN8KIT-WH_4X10K05_TZ AN8白色机器+4x10mL（天竺）酒店香氛油 机油套装"/>
    <s v="AN8"/>
    <n v="11"/>
    <x v="643"/>
  </r>
  <r>
    <n v="767"/>
    <m/>
    <s v="买单报关"/>
    <x v="309"/>
    <s v="K-US"/>
    <s v="美国"/>
    <s v="RDXPJ-BOT"/>
    <n v="30"/>
    <x v="0"/>
    <s v="盐田海卡"/>
    <s v="TCY1"/>
    <s v="RDXPJ-BOT"/>
    <s v="RDXPJ-BOT 智能塔式香薰机带盖替换瓶 300mL"/>
    <s v="RDX-AC"/>
    <n v="1"/>
    <x v="644"/>
  </r>
  <r>
    <n v="768"/>
    <m/>
    <s v="W24008"/>
    <x v="310"/>
    <s v="V-US"/>
    <s v="美国"/>
    <s v="001000019"/>
    <n v="680"/>
    <x v="7"/>
    <s v="盐田海卡"/>
    <s v="HLI2"/>
    <s v="AN6-B"/>
    <s v="AN6-B 便携式扩香仪 黑色"/>
    <s v="AN6"/>
    <n v="17"/>
    <x v="645"/>
  </r>
  <r>
    <n v="769"/>
    <m/>
    <s v="W24008"/>
    <x v="310"/>
    <s v="V-US"/>
    <s v="美国"/>
    <s v="001000039"/>
    <n v="200"/>
    <x v="7"/>
    <s v="盐田海卡"/>
    <s v="HLI2"/>
    <s v="AN6-GL"/>
    <s v="AN6-GL 便携式扩香仪 翠百合色"/>
    <s v="AN6"/>
    <n v="5"/>
    <x v="646"/>
  </r>
  <r>
    <n v="770"/>
    <m/>
    <s v="W24008"/>
    <x v="310"/>
    <s v="V-US"/>
    <s v="美国"/>
    <s v="AN6-LV"/>
    <n v="440"/>
    <x v="7"/>
    <s v="盐田海卡"/>
    <s v="HLI2"/>
    <s v="AN6-LV"/>
    <s v="AN6-LV 便携式扩香仪 薰衣草"/>
    <s v="AN6"/>
    <n v="11"/>
    <x v="647"/>
  </r>
  <r>
    <n v="771"/>
    <m/>
    <s v="W24008"/>
    <x v="310"/>
    <s v="V-US"/>
    <s v="美国"/>
    <s v="001000020"/>
    <n v="200"/>
    <x v="7"/>
    <s v="盐田海卡"/>
    <s v="HLI2"/>
    <s v="AN6-W"/>
    <s v="AN6-W 便携式扩香仪 白色"/>
    <s v="AN6"/>
    <n v="5"/>
    <x v="646"/>
  </r>
  <r>
    <n v="772"/>
    <m/>
    <s v="W24008"/>
    <x v="310"/>
    <s v="V-US"/>
    <s v="美国"/>
    <s v="AN6-YG"/>
    <n v="80"/>
    <x v="7"/>
    <s v="盐田海卡"/>
    <s v="HLI2"/>
    <s v="AN6-YG"/>
    <s v="AN6-YG 便携式扩香仪 乳酪色"/>
    <s v="AN6"/>
    <n v="2"/>
    <x v="648"/>
  </r>
  <r>
    <n v="773"/>
    <m/>
    <s v="W24012"/>
    <x v="311"/>
    <s v="K-US"/>
    <s v="美国"/>
    <s v="U1KIT-B_US_2X50K01_TZ"/>
    <n v="450"/>
    <x v="0"/>
    <s v="盐田海卡"/>
    <s v="TCY1"/>
    <s v="U1KIT-B_US_2X50K01_TZ"/>
    <s v="U1KIT-B_US_2X50K01_TZ U1黑色机器+2X50mL酒店香氛油（天竺） 机油套装"/>
    <s v="U1"/>
    <n v="50"/>
    <x v="649"/>
  </r>
  <r>
    <n v="774"/>
    <m/>
    <s v="W24010"/>
    <x v="312"/>
    <s v="V-US"/>
    <s v="美国"/>
    <s v="001000032"/>
    <n v="300"/>
    <x v="7"/>
    <s v="盐田海卡"/>
    <s v="GEU2"/>
    <s v="ANW-B"/>
    <s v="ANW-B 智能扩香仪 黑色"/>
    <s v="ANW"/>
    <n v="25"/>
    <x v="650"/>
  </r>
  <r>
    <n v="775"/>
    <m/>
    <s v="W24010"/>
    <x v="312"/>
    <s v="V-US"/>
    <s v="美国"/>
    <s v="001000033"/>
    <n v="288"/>
    <x v="7"/>
    <s v="盐田海卡"/>
    <s v="GEU2"/>
    <s v="ANW-W"/>
    <s v="ANW-W 智能扩香仪 白色"/>
    <s v="ANW"/>
    <n v="24"/>
    <x v="651"/>
  </r>
  <r>
    <n v="776"/>
    <m/>
    <s v="W24011"/>
    <x v="313"/>
    <s v="V-US"/>
    <s v="美国"/>
    <s v="ANWKIT-WH_US_2X100K03"/>
    <n v="192"/>
    <x v="0"/>
    <s v="盐田海卡"/>
    <s v="MIT2"/>
    <s v="ANWKIT-WH_US_2X100K03"/>
    <s v="ANWKIT-WH_US_2X100K03 ANW白色机器+2X100mL酒店香氛油（天竺） 机油套装"/>
    <s v="ANW"/>
    <n v="16"/>
    <x v="652"/>
  </r>
  <r>
    <n v="777"/>
    <m/>
    <s v="W24011"/>
    <x v="313"/>
    <s v="V-US"/>
    <s v="美国"/>
    <s v="ANWKIT-B_US_2X100K03"/>
    <n v="120"/>
    <x v="0"/>
    <s v="盐田海卡"/>
    <s v="MIT2"/>
    <s v="ANWKIT-B_US_2X100K03"/>
    <s v="ANWKIT-B_US_2X100K03 ANW黑色机器+2X100mL酒店香氛油（天竺） 机油套装"/>
    <s v="ANW"/>
    <n v="10"/>
    <x v="653"/>
  </r>
  <r>
    <n v="778"/>
    <m/>
    <s v="W24013"/>
    <x v="314"/>
    <s v="K-US"/>
    <s v="美国"/>
    <s v="ANP-B_US"/>
    <n v="128"/>
    <x v="7"/>
    <s v="盐田海卡"/>
    <s v="ABQ2"/>
    <s v="ANP-B_US"/>
    <s v="ANP-B_US 墙插式智能扩香仪 黑色"/>
    <s v="ANP"/>
    <n v="4"/>
    <x v="392"/>
  </r>
  <r>
    <n v="779"/>
    <m/>
    <s v="W24013"/>
    <x v="314"/>
    <s v="K-US"/>
    <s v="美国"/>
    <s v="ANP-W_US"/>
    <n v="320"/>
    <x v="7"/>
    <s v="盐田海卡"/>
    <s v="ABQ2"/>
    <s v="ANP-W_US"/>
    <s v="ANP-W_US 墙插式智能扩香仪 白色"/>
    <s v="ANP"/>
    <n v="10"/>
    <x v="654"/>
  </r>
  <r>
    <n v="780"/>
    <s v="按0.5CBM 起收"/>
    <s v="W24001"/>
    <x v="315"/>
    <s v="E-US"/>
    <s v="美国"/>
    <s v="JY-100ML"/>
    <n v="90"/>
    <x v="3"/>
    <s v="盐田海卡"/>
    <s v="TCY1"/>
    <s v="A-JY-100"/>
    <s v="A-Grand Hyatt Hotel-100 君悦酒店香氛油100mL"/>
    <s v="Oil-HQ"/>
    <n v="1"/>
    <x v="655"/>
  </r>
  <r>
    <n v="781"/>
    <s v="按0.5CBM 起收"/>
    <s v="W24001"/>
    <x v="315"/>
    <s v="E-US"/>
    <s v="美国"/>
    <s v="MWAY1-100ML"/>
    <n v="180"/>
    <x v="3"/>
    <s v="盐田海卡"/>
    <s v="TCY1"/>
    <s v="A-MWAY-100"/>
    <s v="A-MWAY Deluxe-100 特定香型香氛油100mL"/>
    <s v="Oil-HQ"/>
    <n v="2"/>
    <x v="656"/>
  </r>
  <r>
    <n v="782"/>
    <s v="按0.5CBM 起收"/>
    <s v="W24001"/>
    <x v="315"/>
    <s v="E-US"/>
    <s v="美国"/>
    <s v="006000026"/>
    <n v="360"/>
    <x v="3"/>
    <s v="盐田海卡"/>
    <s v="TCY1"/>
    <s v="A-MT-100"/>
    <s v="A-Marriott Hotel 1-100 万豪酒店1香氛油100mL"/>
    <s v="Oil-HQ"/>
    <n v="4"/>
    <x v="657"/>
  </r>
  <r>
    <n v="783"/>
    <s v="按0.5CBM 起收"/>
    <s v="W24002"/>
    <x v="316"/>
    <s v="K-US"/>
    <s v="美国"/>
    <s v="HOTEL6KIT1-6X10K03_TZ"/>
    <n v="600"/>
    <x v="3"/>
    <s v="盐田海卡"/>
    <s v="TCY1"/>
    <s v="HOTEL6KIT1-6X10K03_TZ"/>
    <s v="HOTEL6KIT1-6X10K03_TZ 酒店香氛油（天竺）6款10mL套装"/>
    <s v="Oil-TZ"/>
    <n v="10"/>
    <x v="658"/>
  </r>
  <r>
    <n v="784"/>
    <s v="按0.5CBM 起收"/>
    <s v="W24002"/>
    <x v="316"/>
    <s v="K-US"/>
    <s v="美国"/>
    <s v="RZ1-100ML_TZ"/>
    <n v="384"/>
    <x v="3"/>
    <s v="盐田海卡"/>
    <s v="TCY1"/>
    <s v="RZ1-100ML_TZ"/>
    <s v="RZ1-100ML_TZ 丽思卡尔顿酒店100mL香氛油（天竺） 销售包装"/>
    <s v="Oil-TZ"/>
    <n v="6"/>
    <x v="659"/>
  </r>
  <r>
    <n v="785"/>
    <s v="按0.5CBM 起收"/>
    <s v="W24003"/>
    <x v="317"/>
    <s v="E-US"/>
    <s v="美国"/>
    <s v="BCRT1-100ML_TZ"/>
    <n v="320"/>
    <x v="3"/>
    <s v="盐田海卡"/>
    <s v="GEU2"/>
    <s v="BCRT1-100ML_TZ"/>
    <s v="BCRT1-100ML_TZ 巴卡拉酒店100mL香氛油（天竺） 销售包装"/>
    <s v="Oil-TZ"/>
    <n v="5"/>
    <x v="660"/>
  </r>
  <r>
    <n v="786"/>
    <s v="按0.5CBM 起收"/>
    <s v="W24003"/>
    <x v="317"/>
    <s v="E-US"/>
    <s v="美国"/>
    <s v="SJ1-100ML_TZ"/>
    <n v="832"/>
    <x v="3"/>
    <s v="盐田海卡"/>
    <s v="GEU2"/>
    <s v="SJ1-100ML_TZ"/>
    <s v="SJ1-100ML_TZ 四季酒店100mL香氛油（天竺） 销售包装"/>
    <s v="Oil-TZ"/>
    <n v="13"/>
    <x v="661"/>
  </r>
  <r>
    <n v="787"/>
    <s v="按0.5CBM 起收"/>
    <s v="W24003"/>
    <x v="317"/>
    <s v="E-US"/>
    <s v="美国"/>
    <s v="HILTON1-100ML_TZ"/>
    <n v="256"/>
    <x v="3"/>
    <s v="盐田海卡"/>
    <s v="GEU2"/>
    <s v="HILTON1-100ML_TZ"/>
    <s v="HILTON1-100ML_TZ 希尔顿酒店100mL香氛油（天竺） 销售包装"/>
    <s v="Oil-TZ"/>
    <n v="4"/>
    <x v="662"/>
  </r>
  <r>
    <n v="788"/>
    <s v="按0.5CBM 起收"/>
    <s v="W24003"/>
    <x v="317"/>
    <s v="E-US"/>
    <s v="美国"/>
    <s v="ATS1_100ML_TZ"/>
    <n v="64"/>
    <x v="3"/>
    <s v="盐田海卡"/>
    <s v="GEU2"/>
    <s v="ATS1_100ML_TZ"/>
    <s v="ATS1_100ML_TZ 亚特兰蒂斯酒店100mL香氛油（天竺） 销售包装"/>
    <s v="Oil-TZ"/>
    <n v="1"/>
    <x v="663"/>
  </r>
  <r>
    <n v="789"/>
    <s v="按0.5CBM 起收"/>
    <s v="W24004"/>
    <x v="318"/>
    <s v="K-US"/>
    <s v="美国"/>
    <s v="G1-B_YD"/>
    <n v="992"/>
    <x v="3"/>
    <s v="盐田海卡"/>
    <s v="GEU3"/>
    <s v="G1-B_YD"/>
    <s v="G1-B_YD 电子球形把手锁（永定） 黑色"/>
    <s v="G1_YD"/>
    <n v="62"/>
    <x v="664"/>
  </r>
  <r>
    <n v="790"/>
    <m/>
    <s v="W25005"/>
    <x v="319"/>
    <s v="E-US"/>
    <s v="美国"/>
    <s v="001000045"/>
    <n v="210"/>
    <x v="2"/>
    <s v="盐田海卡"/>
    <s v="TCY1"/>
    <s v="ANX-B"/>
    <s v="ANX-B 便携式扩香仪 黑色"/>
    <s v="ANX"/>
    <n v="7"/>
    <x v="665"/>
  </r>
  <r>
    <n v="791"/>
    <m/>
    <s v="W25005"/>
    <x v="319"/>
    <s v="E-US"/>
    <s v="美国"/>
    <s v="ANZ-B"/>
    <n v="1240"/>
    <x v="2"/>
    <s v="盐田海卡"/>
    <s v="TCY1"/>
    <s v="ANZ-B"/>
    <s v="ANZ-B 便携式扩香仪 黑色"/>
    <s v="ANZ"/>
    <n v="31"/>
    <x v="666"/>
  </r>
  <r>
    <n v="792"/>
    <m/>
    <s v="W25005"/>
    <x v="319"/>
    <s v="E-US"/>
    <s v="美国"/>
    <s v="ANZ-WH"/>
    <n v="200"/>
    <x v="2"/>
    <s v="盐田海卡"/>
    <s v="TCY1"/>
    <s v="ANZ-WH"/>
    <s v="ANZ-WH 便携式扩香仪 白色"/>
    <s v="ANZ"/>
    <n v="5"/>
    <x v="667"/>
  </r>
  <r>
    <n v="793"/>
    <m/>
    <s v="W25003"/>
    <x v="320"/>
    <s v="K-US"/>
    <s v="美国"/>
    <s v="ADXKIT-B_4X10K04_TZ"/>
    <n v="210"/>
    <x v="0"/>
    <s v="盐田海卡"/>
    <s v="GEU2"/>
    <s v="ADXKIT-B_4X10K04_TZ"/>
    <s v="ADXKIT-B_4X10K04_TZ ADX黑色机器+4x10mL酒店（天竺）香氛油 机油套装"/>
    <s v="ADX"/>
    <n v="7"/>
    <x v="668"/>
  </r>
  <r>
    <n v="794"/>
    <m/>
    <s v="W25003"/>
    <x v="320"/>
    <s v="K-US"/>
    <s v="美国"/>
    <s v="AN8KIT-B_4X10K02"/>
    <n v="300"/>
    <x v="0"/>
    <s v="盐田海卡"/>
    <s v="GEU2"/>
    <s v="AN8KIT-B_4X10K02"/>
    <s v="AN8KIT-B_4X10K02 AN8黑色机器+4x10mL（天竺）香氛油 机油套装"/>
    <s v="AN8"/>
    <n v="10"/>
    <x v="669"/>
  </r>
  <r>
    <n v="795"/>
    <m/>
    <s v="W25003"/>
    <x v="320"/>
    <s v="K-US"/>
    <s v="美国"/>
    <s v="AN8KIT-B_4X10K05_TZ"/>
    <n v="2100"/>
    <x v="0"/>
    <s v="盐田海卡"/>
    <s v="GEU2"/>
    <s v="AN8KIT-B_4X10K05_TZ"/>
    <s v="AN8KIT-B_4X10K05_TZ AN8黑色机器+4x10mL（天竺）酒店香氛油 机油套装"/>
    <s v="AN8"/>
    <n v="70"/>
    <x v="670"/>
  </r>
  <r>
    <n v="796"/>
    <m/>
    <s v="W25003"/>
    <x v="320"/>
    <s v="K-US"/>
    <s v="美国"/>
    <s v="AN8KIT-WH_4X10K05_TZ"/>
    <n v="660"/>
    <x v="0"/>
    <s v="盐田海卡"/>
    <s v="GEU2"/>
    <s v="AN8KIT-WH_4X10K05_TZ"/>
    <s v="AN8KIT-WH_4X10K05_TZ AN8白色机器+4x10mL（天竺）酒店香氛油 机油套装"/>
    <s v="AN8"/>
    <n v="22"/>
    <x v="671"/>
  </r>
  <r>
    <n v="797"/>
    <m/>
    <s v="W25005"/>
    <x v="321"/>
    <s v="V-US"/>
    <s v="美国"/>
    <s v="001000030"/>
    <n v="96"/>
    <x v="2"/>
    <s v="盐田海卡"/>
    <s v="TCY1"/>
    <s v="AN6B-NZB"/>
    <s v="AN6B-NZB 便携式扩香仪套装 黑机器+黑喷嘴"/>
    <s v="AN6"/>
    <n v="3"/>
    <x v="672"/>
  </r>
  <r>
    <n v="798"/>
    <m/>
    <s v="W25005"/>
    <x v="321"/>
    <s v="V-US"/>
    <s v="美国"/>
    <s v="001000019"/>
    <n v="1600"/>
    <x v="2"/>
    <s v="盐田海卡"/>
    <s v="TCY1"/>
    <s v="AN6-B"/>
    <s v="AN6-B 便携式扩香仪 黑色"/>
    <s v="AN6"/>
    <n v="40"/>
    <x v="673"/>
  </r>
  <r>
    <n v="799"/>
    <m/>
    <s v="W25005"/>
    <x v="321"/>
    <s v="V-US"/>
    <s v="美国"/>
    <s v="001000020"/>
    <n v="600"/>
    <x v="2"/>
    <s v="盐田海卡"/>
    <s v="TCY1"/>
    <s v="AN6-W"/>
    <s v="AN6-W 便携式扩香仪 白色"/>
    <s v="AN6"/>
    <n v="15"/>
    <x v="674"/>
  </r>
  <r>
    <n v="800"/>
    <m/>
    <s v="W25002"/>
    <x v="322"/>
    <s v="E-US"/>
    <s v="美国"/>
    <s v="ANXKIT-B_4X10K04_TZ"/>
    <n v="30"/>
    <x v="0"/>
    <s v="盐田海卡"/>
    <s v="GEU3"/>
    <s v="ANXKIT-B_4X10K04_TZ"/>
    <s v="ANXKIT-B_4X10K04_TZ ANX黑色机器+4x10mL酒店（天竺）香氛油 机油套装"/>
    <s v="ANX"/>
    <n v="1"/>
    <x v="675"/>
  </r>
  <r>
    <n v="801"/>
    <m/>
    <s v="W25002"/>
    <x v="322"/>
    <s v="E-US"/>
    <s v="美国"/>
    <s v="AN6KIT-B_RZ30ml"/>
    <n v="480"/>
    <x v="0"/>
    <s v="盐田海卡"/>
    <s v="GEU3"/>
    <s v="AN6KIT-B_RZ30ml"/>
    <s v="AN6KIT-B_RZ30ml AN6黑色机器+30mL丽思香氛油 机油套装"/>
    <s v="AN6"/>
    <n v="16"/>
    <x v="676"/>
  </r>
  <r>
    <n v="802"/>
    <m/>
    <s v="W25004"/>
    <x v="323"/>
    <s v="K-US"/>
    <s v="美国"/>
    <s v="AN6KIT-B_2X20K01"/>
    <n v="600"/>
    <x v="2"/>
    <s v="盐田海卡"/>
    <s v="TCY1"/>
    <s v="AN6KIT-B_2X20K01"/>
    <s v="AN6KIT-B_2X20K01 AN6黑色机器+2X20mL酒店香氛油 机油套装"/>
    <s v="AN6"/>
    <n v="20"/>
    <x v="677"/>
  </r>
  <r>
    <n v="803"/>
    <m/>
    <s v="W25001"/>
    <x v="324"/>
    <s v="W-US"/>
    <s v="美国"/>
    <s v="ANA-B_US"/>
    <n v="324"/>
    <x v="7"/>
    <s v="盐田海卡"/>
    <s v="TCY1"/>
    <s v="ANA-B_US"/>
    <s v="ANA-B_US 智能扩香仪 黑色"/>
    <s v="ANA"/>
    <n v="27"/>
    <x v="678"/>
  </r>
  <r>
    <n v="804"/>
    <m/>
    <s v="W25001"/>
    <x v="324"/>
    <s v="W-US"/>
    <s v="美国"/>
    <s v="ANA-W_US"/>
    <n v="324"/>
    <x v="7"/>
    <s v="盐田海卡"/>
    <s v="TCY1"/>
    <s v="ANA-W_US"/>
    <s v="ANA-W_US 智能扩香仪 白色"/>
    <s v="ANA"/>
    <n v="27"/>
    <x v="678"/>
  </r>
  <r>
    <n v="805"/>
    <m/>
    <s v="W25002"/>
    <x v="325"/>
    <s v="W-US"/>
    <s v="美国"/>
    <s v="ANAKIT-B_US_2X100K03"/>
    <n v="132"/>
    <x v="0"/>
    <s v="盐田海卡"/>
    <s v="TCY1"/>
    <s v="ANAKIT-B_US_2X100K03"/>
    <s v="ANAKIT-B_US_2X100K03 ANA黑色机器+2X100mL酒店香氛油（天竺） 机油套装"/>
    <s v="ANA"/>
    <n v="11"/>
    <x v="679"/>
  </r>
  <r>
    <n v="806"/>
    <m/>
    <s v="W25002"/>
    <x v="325"/>
    <s v="W-US"/>
    <s v="美国"/>
    <s v="ANAKIT-WH_US_2X100K03"/>
    <n v="120"/>
    <x v="0"/>
    <s v="盐田海卡"/>
    <s v="TCY1"/>
    <s v="ANAKIT-WH_US_2X100K03"/>
    <s v="ANAKIT-WH_US_2X100K03 ANA白色机器+2X100mL酒店香氛油（天竺） 机油套装"/>
    <s v="ANA"/>
    <n v="10"/>
    <x v="680"/>
  </r>
  <r>
    <n v="807"/>
    <m/>
    <s v="W25003"/>
    <x v="326"/>
    <s v="K-US"/>
    <s v="美国"/>
    <s v="ANPKIT-B_US_3X20K01_TZ"/>
    <n v="96"/>
    <x v="0"/>
    <s v="盐田海卡"/>
    <s v="GEU2"/>
    <s v="ANPKIT-B_US_3X20K01_TZ"/>
    <s v="ANPKIT-B_US_3X20K01_TZ ANP黑色机器+3X20mL酒店香氛油（天竺） 机油套装"/>
    <s v="ANP"/>
    <n v="3"/>
    <x v="681"/>
  </r>
  <r>
    <n v="808"/>
    <m/>
    <s v="W25003"/>
    <x v="326"/>
    <s v="K-US"/>
    <s v="美国"/>
    <s v="U1KIT-B_US_2X50K01_TZ"/>
    <n v="360"/>
    <x v="0"/>
    <s v="盐田海卡"/>
    <s v="GEU2"/>
    <s v="U1KIT-B_US_2X50K01_TZ"/>
    <s v="U1KIT-B_US_2X50K01_TZ U1黑色机器+2X50mL酒店香氛油（天竺） 机油套装"/>
    <s v="U1"/>
    <n v="40"/>
    <x v="682"/>
  </r>
  <r>
    <n v="809"/>
    <m/>
    <s v="W25002"/>
    <x v="327"/>
    <s v="V-US"/>
    <s v="美国"/>
    <s v="ANWKIT-WH_US_2X100K03"/>
    <n v="192"/>
    <x v="0"/>
    <s v="盐田海卡"/>
    <s v="HLI2"/>
    <s v="ANWKIT-WH_US_2X100K03"/>
    <s v="ANWKIT-WH_US_2X100K03 ANW白色机器+2X100mL酒店香氛油（天竺） 机油套装"/>
    <s v="ANW"/>
    <n v="16"/>
    <x v="127"/>
  </r>
  <r>
    <n v="810"/>
    <m/>
    <s v="W25001"/>
    <x v="328"/>
    <s v="V-US"/>
    <s v="美国"/>
    <s v="001000033"/>
    <n v="480"/>
    <x v="7"/>
    <s v="盐田海卡"/>
    <s v="HLI2"/>
    <s v="ANW-W"/>
    <s v="ANW-W 智能扩香仪 白色"/>
    <s v="ANW"/>
    <n v="40"/>
    <x v="683"/>
  </r>
  <r>
    <m/>
    <m/>
    <m/>
    <x v="329"/>
    <m/>
    <m/>
    <m/>
    <m/>
    <x v="11"/>
    <m/>
    <m/>
    <m/>
    <m/>
    <m/>
    <m/>
    <x v="684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11">
  <r>
    <n v="1"/>
    <m/>
    <s v="W020005"/>
    <x v="0"/>
    <s v="E-US"/>
    <s v="美国"/>
    <s v="ANZ-B"/>
    <n v="1000"/>
    <x v="0"/>
    <s v="盐田海卡"/>
    <s v="TCY2"/>
    <s v="ANZ-B"/>
    <s v="ANZ-B 便携式扩香仪 黑色"/>
    <s v="ANZ"/>
    <n v="25"/>
    <n v="326.95999999999998"/>
    <s v="重量收费"/>
    <n v="3.5"/>
    <m/>
    <m/>
    <n v="1144.3599999999999"/>
    <n v="1.1443599999999998"/>
    <n v="0.17079999999999998"/>
    <m/>
    <m/>
    <m/>
    <x v="0"/>
    <x v="0"/>
    <m/>
    <n v="0.34"/>
    <n v="340"/>
    <d v="2026-02-11T00:00:00"/>
    <n v="33"/>
    <d v="2026-03-19T00:00:00"/>
    <n v="997"/>
    <n v="36"/>
    <m/>
    <m/>
    <m/>
    <m/>
  </r>
  <r>
    <n v="2"/>
    <m/>
    <s v="W020005"/>
    <x v="1"/>
    <s v="E-US"/>
    <s v="美国"/>
    <s v="001000045"/>
    <n v="210"/>
    <x v="0"/>
    <s v="盐田海卡"/>
    <s v="TCY2"/>
    <s v="ANX-B"/>
    <s v="ANX-B 便携式扩香仪 黑色"/>
    <s v="ANX"/>
    <n v="7"/>
    <n v="91.549230769230775"/>
    <s v="重量收费"/>
    <n v="3.5"/>
    <m/>
    <m/>
    <n v="320.4223076923077"/>
    <n v="1.5258205128205129"/>
    <n v="0.22773440489858401"/>
    <m/>
    <m/>
    <m/>
    <x v="0"/>
    <x v="0"/>
    <m/>
    <n v="0.43782608695652175"/>
    <n v="91.943478260869568"/>
    <d v="2026-02-11T00:00:00"/>
    <n v="33"/>
    <d v="2026-03-18T00:00:00"/>
    <n v="208"/>
    <n v="35"/>
    <m/>
    <m/>
    <m/>
    <m/>
  </r>
  <r>
    <n v="3"/>
    <m/>
    <s v="W020005"/>
    <x v="1"/>
    <s v="E-US"/>
    <s v="美国"/>
    <s v="001000058"/>
    <n v="208"/>
    <x v="0"/>
    <s v="盐田海卡"/>
    <s v="TCY2"/>
    <s v="ANX-2PC-BS"/>
    <s v="ANX-2PC-BS 便携式扩香仪套装 黑+银"/>
    <s v="ANX"/>
    <n v="13"/>
    <n v="170.02"/>
    <s v="重量收费"/>
    <n v="3.5"/>
    <m/>
    <m/>
    <n v="595.07000000000005"/>
    <n v="2.8609134615384617"/>
    <n v="0.42700200918484504"/>
    <m/>
    <m/>
    <m/>
    <x v="0"/>
    <x v="0"/>
    <m/>
    <n v="0.43782608695652175"/>
    <n v="91.067826086956529"/>
    <d v="2026-02-11T00:00:00"/>
    <n v="33"/>
    <d v="2026-03-18T00:00:00"/>
    <n v="205"/>
    <n v="35"/>
    <m/>
    <m/>
    <m/>
    <m/>
  </r>
  <r>
    <n v="4"/>
    <m/>
    <s v="W020005"/>
    <x v="1"/>
    <s v="E-US"/>
    <s v="美国"/>
    <s v="001000050"/>
    <n v="90"/>
    <x v="0"/>
    <s v="盐田海卡"/>
    <s v="TCY2"/>
    <s v="ANX-RP"/>
    <s v="ANX-RP 便携式扩香仪 红粉色"/>
    <s v="ANX"/>
    <n v="3"/>
    <n v="39.235384615384618"/>
    <s v="重量收费"/>
    <n v="3.5"/>
    <m/>
    <m/>
    <n v="137.32384615384615"/>
    <n v="1.5258205128205127"/>
    <n v="0.22773440489858399"/>
    <m/>
    <m/>
    <m/>
    <x v="0"/>
    <x v="0"/>
    <m/>
    <n v="0.43782608695652175"/>
    <n v="39.404347826086955"/>
    <d v="2026-02-11T00:00:00"/>
    <n v="33"/>
    <d v="2026-03-18T00:00:00"/>
    <n v="89"/>
    <n v="35"/>
    <m/>
    <m/>
    <m/>
    <m/>
  </r>
  <r>
    <n v="5"/>
    <m/>
    <s v="W020005"/>
    <x v="1"/>
    <s v="E-US"/>
    <s v="美国"/>
    <s v="001000051"/>
    <n v="90"/>
    <x v="0"/>
    <s v="盐田海卡"/>
    <s v="TCY2"/>
    <s v="ANX-SG"/>
    <s v="ANX-SG 便携式扩香仪 太空灰色"/>
    <s v="ANX"/>
    <n v="3"/>
    <n v="39.235384615384618"/>
    <s v="重量收费"/>
    <n v="3.5"/>
    <m/>
    <m/>
    <n v="137.32384615384615"/>
    <n v="1.5258205128205127"/>
    <n v="0.22773440489858399"/>
    <m/>
    <m/>
    <m/>
    <x v="0"/>
    <x v="0"/>
    <m/>
    <n v="0.43782608695652175"/>
    <n v="39.404347826086955"/>
    <d v="2026-02-11T00:00:00"/>
    <n v="33"/>
    <d v="2026-03-18T00:00:00"/>
    <n v="89"/>
    <n v="35"/>
    <m/>
    <m/>
    <m/>
    <m/>
  </r>
  <r>
    <n v="6"/>
    <m/>
    <s v="W020004"/>
    <x v="2"/>
    <s v="V-US"/>
    <s v="美国"/>
    <s v="ADXKIT_B_TX33_30ML"/>
    <n v="990"/>
    <x v="0"/>
    <s v="盐田海卡"/>
    <s v="TCY1"/>
    <s v="ADXKIT_B_TX33_30ML"/>
    <s v="ADXKIT_B_TX33_30ML ADX黑色机器+30mL檀香33香氛油（天竺） 机油套装"/>
    <s v="ADX"/>
    <n v="33"/>
    <n v="493.09632653061226"/>
    <s v="重量收费"/>
    <n v="3.5"/>
    <n v="300"/>
    <n v="27.197802197802197"/>
    <n v="1753.0349450549452"/>
    <n v="1.7707423687423689"/>
    <n v="0.2642899057824431"/>
    <m/>
    <m/>
    <m/>
    <x v="0"/>
    <x v="0"/>
    <m/>
    <n v="0.41"/>
    <n v="405.9"/>
    <d v="2026-02-13T00:00:00"/>
    <n v="35"/>
    <d v="2026-03-21T00:00:00"/>
    <n v="992"/>
    <n v="36"/>
    <m/>
    <m/>
    <m/>
    <m/>
  </r>
  <r>
    <n v="7"/>
    <m/>
    <s v="W020004"/>
    <x v="2"/>
    <s v="V-US"/>
    <s v="美国"/>
    <s v="AN6KIT-B_2X20K01"/>
    <n v="1200"/>
    <x v="0"/>
    <s v="盐田海卡"/>
    <s v="TCY1"/>
    <s v="AN6KIT-B_2X20K01"/>
    <s v="AN6KIT-B_2X20K01 AN6黑色机器+2X20mL酒店香氛油 机油套装"/>
    <s v="AN6"/>
    <n v="40"/>
    <n v="597.69251700680275"/>
    <s v="重量收费"/>
    <n v="3.5"/>
    <n v="300.00000000000006"/>
    <n v="32.967032967032964"/>
    <n v="2124.8908424908427"/>
    <n v="1.7707423687423689"/>
    <n v="0.2642899057824431"/>
    <m/>
    <m/>
    <m/>
    <x v="0"/>
    <x v="0"/>
    <m/>
    <n v="0.41"/>
    <n v="491.99999999999994"/>
    <d v="2026-02-13T00:00:00"/>
    <n v="35"/>
    <d v="2026-03-21T00:00:00"/>
    <n v="1201"/>
    <n v="36"/>
    <m/>
    <m/>
    <m/>
    <m/>
  </r>
  <r>
    <n v="8"/>
    <m/>
    <s v="W020004"/>
    <x v="2"/>
    <s v="V-US"/>
    <s v="美国"/>
    <s v="AN6KIT-B_4X10ML"/>
    <n v="600"/>
    <x v="0"/>
    <s v="盐田海卡"/>
    <s v="TCY1"/>
    <s v="AN6KIT-B_4X10ML"/>
    <s v="AN6KIT-B_4X10ML AN6黑色机器+4x10mL香氛油（天竺） 机油套装"/>
    <s v="AN6"/>
    <n v="20"/>
    <n v="298.84625850340137"/>
    <s v="重量收费"/>
    <n v="3.5"/>
    <m/>
    <n v="16.483516483516482"/>
    <n v="1062.4454212454214"/>
    <n v="1.7707423687423689"/>
    <n v="0.2642899057824431"/>
    <m/>
    <m/>
    <m/>
    <x v="0"/>
    <x v="0"/>
    <m/>
    <n v="0.41"/>
    <n v="245.99999999999997"/>
    <d v="2026-02-13T00:00:00"/>
    <n v="35"/>
    <d v="2026-03-21T00:00:00"/>
    <n v="608"/>
    <n v="36"/>
    <m/>
    <m/>
    <m/>
    <m/>
  </r>
  <r>
    <n v="9"/>
    <m/>
    <s v="W020004"/>
    <x v="2"/>
    <s v="V-US"/>
    <s v="美国"/>
    <s v="AN6KIT-B_RZ30ml"/>
    <n v="1800"/>
    <x v="0"/>
    <s v="盐田海卡"/>
    <s v="TCY1"/>
    <s v="AN6KIT-B_RZ30ml"/>
    <s v="AN6KIT-B_RZ30ml AN6黑色机器+30mL丽思香氛油 机油套装"/>
    <s v="AN6"/>
    <n v="60"/>
    <n v="896.53877551020412"/>
    <s v="重量收费"/>
    <n v="3.5"/>
    <m/>
    <n v="49.450549450549453"/>
    <n v="3187.3362637362638"/>
    <n v="1.7707423687423689"/>
    <n v="0.2642899057824431"/>
    <m/>
    <m/>
    <m/>
    <x v="0"/>
    <x v="0"/>
    <m/>
    <n v="0.41"/>
    <n v="738"/>
    <d v="2026-02-13T00:00:00"/>
    <n v="35"/>
    <d v="2026-03-21T00:00:00"/>
    <n v="1749"/>
    <n v="36"/>
    <m/>
    <m/>
    <m/>
    <m/>
  </r>
  <r>
    <n v="10"/>
    <m/>
    <s v="W020004"/>
    <x v="2"/>
    <s v="V-US"/>
    <s v="美国"/>
    <s v="AN6KIT-WH_SJ30ML"/>
    <n v="450"/>
    <x v="0"/>
    <s v="盐田海卡"/>
    <s v="TCY1"/>
    <s v="AN6KIT-WH_SJ30ML"/>
    <s v="AN6KIT-WH_SJ30ML AN6白色机器+30mL四季酒店香氛油 机油套装"/>
    <s v="AN6"/>
    <n v="15"/>
    <n v="224.13469387755103"/>
    <s v="重量收费"/>
    <n v="3.5"/>
    <m/>
    <n v="12.362637362637363"/>
    <n v="796.83406593406596"/>
    <n v="1.7707423687423689"/>
    <n v="0.2642899057824431"/>
    <m/>
    <m/>
    <m/>
    <x v="0"/>
    <x v="0"/>
    <m/>
    <n v="0.41"/>
    <n v="184.5"/>
    <d v="2026-02-13T00:00:00"/>
    <n v="35"/>
    <d v="2026-03-21T00:00:00"/>
    <n v="450"/>
    <n v="36"/>
    <m/>
    <m/>
    <m/>
    <m/>
  </r>
  <r>
    <n v="11"/>
    <m/>
    <s v="W020004"/>
    <x v="2"/>
    <s v="V-US"/>
    <s v="美国"/>
    <s v="AN8KIT-B_4X10K01"/>
    <n v="3000"/>
    <x v="0"/>
    <s v="盐田海卡"/>
    <s v="TCY1"/>
    <s v="AN8KIT-B_4X10K01"/>
    <s v="AN8KIT-B_4X10K01 AN8黑色机器+4x10mL酒店香氛油 机油套装"/>
    <s v="AN8"/>
    <n v="100"/>
    <n v="1494.2312925170068"/>
    <s v="重量收费"/>
    <n v="3.5"/>
    <m/>
    <n v="82.417582417582423"/>
    <n v="5312.2271062271066"/>
    <n v="1.7707423687423689"/>
    <n v="0.2642899057824431"/>
    <m/>
    <m/>
    <m/>
    <x v="0"/>
    <x v="0"/>
    <m/>
    <n v="0.41"/>
    <n v="1230"/>
    <d v="2026-02-13T00:00:00"/>
    <n v="35"/>
    <d v="2026-03-21T00:00:00"/>
    <n v="2972"/>
    <n v="36"/>
    <m/>
    <m/>
    <m/>
    <m/>
  </r>
  <r>
    <n v="12"/>
    <m/>
    <s v="W020004"/>
    <x v="2"/>
    <s v="V-US"/>
    <s v="美国"/>
    <s v="AN8KIT-B_4X10K02"/>
    <n v="210"/>
    <x v="0"/>
    <s v="盐田海卡"/>
    <s v="TCY1"/>
    <s v="AN8KIT-B_4X10K02"/>
    <s v="AN8KIT-B_4X10K02 AN8黑色机器+4x10mL（天竺）香氛油 机油套装"/>
    <s v="AN8"/>
    <n v="7"/>
    <n v="104.59619047619047"/>
    <s v="重量收费"/>
    <n v="3.5"/>
    <m/>
    <n v="5.7692307692307692"/>
    <n v="371.85589743589742"/>
    <n v="1.7707423687423687"/>
    <n v="0.2642899057824431"/>
    <m/>
    <m/>
    <m/>
    <x v="0"/>
    <x v="0"/>
    <m/>
    <n v="0.41"/>
    <n v="86.1"/>
    <d v="2026-02-13T00:00:00"/>
    <n v="35"/>
    <d v="2026-03-21T00:00:00"/>
    <n v="212"/>
    <n v="36"/>
    <m/>
    <m/>
    <m/>
    <m/>
  </r>
  <r>
    <n v="13"/>
    <m/>
    <s v="W020004"/>
    <x v="2"/>
    <s v="V-US"/>
    <s v="美国"/>
    <s v="AN8KIT-WH_4X10K01"/>
    <n v="240"/>
    <x v="0"/>
    <s v="盐田海卡"/>
    <s v="TCY1"/>
    <s v="AN8KIT-WH_4X10K01"/>
    <s v="AN8KIT-WH_4X10K01 AN8白色机器+4x10mL酒店香氛油 机油套装"/>
    <s v="AN8"/>
    <n v="8"/>
    <n v="119.53850340136054"/>
    <s v="重量收费"/>
    <n v="3.5"/>
    <m/>
    <n v="6.5934065934065931"/>
    <n v="424.97816849816849"/>
    <n v="1.7707423687423687"/>
    <n v="0.2642899057824431"/>
    <m/>
    <m/>
    <m/>
    <x v="0"/>
    <x v="0"/>
    <m/>
    <n v="0.41"/>
    <n v="98.399999999999991"/>
    <d v="2026-02-13T00:00:00"/>
    <n v="35"/>
    <d v="2026-03-21T00:00:00"/>
    <n v="240"/>
    <n v="36"/>
    <m/>
    <m/>
    <m/>
    <m/>
  </r>
  <r>
    <n v="14"/>
    <m/>
    <s v="W020004"/>
    <x v="2"/>
    <s v="V-US"/>
    <s v="美国"/>
    <s v="ANXKIT-B_RZ30ml"/>
    <n v="300"/>
    <x v="0"/>
    <s v="盐田海卡"/>
    <s v="TCY1"/>
    <s v="ANXKIT-B_RZ30ml"/>
    <s v="ANXKIT-B_RZ30ml ANX黑色机器+30mL丽思香氛油 机油套装"/>
    <s v="ANX"/>
    <n v="10"/>
    <n v="149.42312925170069"/>
    <s v="重量收费"/>
    <n v="3.5"/>
    <m/>
    <n v="8.2417582417582409"/>
    <n v="531.22271062271068"/>
    <n v="1.7707423687423689"/>
    <n v="0.2642899057824431"/>
    <m/>
    <m/>
    <m/>
    <x v="0"/>
    <x v="0"/>
    <m/>
    <n v="0.41"/>
    <n v="122.99999999999999"/>
    <d v="2026-02-13T00:00:00"/>
    <n v="35"/>
    <d v="2026-03-21T00:00:00"/>
    <n v="300"/>
    <n v="36"/>
    <m/>
    <m/>
    <m/>
    <m/>
  </r>
  <r>
    <n v="15"/>
    <m/>
    <s v="W020004"/>
    <x v="2"/>
    <s v="V-US"/>
    <s v="美国"/>
    <s v="AN8KIT-B_2X20K01"/>
    <n v="10"/>
    <x v="0"/>
    <s v="盐田海卡"/>
    <s v="TCY1"/>
    <s v="AN8KIT-B_2X20K01"/>
    <s v="AN8KIT-B_2X20K01 AN8黑色机器+2X20mL酒店香氛油 机油套装"/>
    <s v="AN8"/>
    <n v="0.33333333333333298"/>
    <n v="4.980770975056684"/>
    <s v="重量收费"/>
    <n v="3.5"/>
    <m/>
    <n v="0.27472527472527442"/>
    <n v="17.707423687423667"/>
    <n v="1.7707423687423667"/>
    <n v="0.26428990578244277"/>
    <m/>
    <m/>
    <m/>
    <x v="0"/>
    <x v="0"/>
    <m/>
    <n v="0.41"/>
    <n v="4.0999999999999996"/>
    <d v="2026-02-13T00:00:00"/>
    <n v="35"/>
    <d v="2026-03-21T00:00:00"/>
    <n v="10"/>
    <n v="36"/>
    <m/>
    <m/>
    <m/>
    <m/>
  </r>
  <r>
    <n v="16"/>
    <m/>
    <s v="W020004"/>
    <x v="2"/>
    <s v="V-US"/>
    <s v="美国"/>
    <s v="AN8KIT-WH_2X20K01"/>
    <n v="20"/>
    <x v="0"/>
    <s v="盐田海卡"/>
    <s v="TCY1"/>
    <s v="AN8KIT-WH_2X20K01"/>
    <s v="AN8KIT-WH_2X20K01 AN8白色机器+2X20mL酒店香氛油 机油套装"/>
    <s v="AN8"/>
    <n v="0.66666666666666696"/>
    <n v="9.9615419501133822"/>
    <s v="重量收费"/>
    <n v="3.5"/>
    <m/>
    <n v="0.54945054945054972"/>
    <n v="35.414847374847383"/>
    <n v="1.7707423687423691"/>
    <n v="0.26428990578244316"/>
    <m/>
    <m/>
    <m/>
    <x v="0"/>
    <x v="0"/>
    <m/>
    <n v="0.41"/>
    <n v="8.1999999999999993"/>
    <d v="2026-02-13T00:00:00"/>
    <n v="35"/>
    <d v="2026-03-21T00:00:00"/>
    <n v="22"/>
    <n v="36"/>
    <m/>
    <m/>
    <m/>
    <m/>
  </r>
  <r>
    <n v="17"/>
    <m/>
    <s v="W020004"/>
    <x v="3"/>
    <s v="V-US"/>
    <s v="美国"/>
    <s v="001000028"/>
    <n v="100"/>
    <x v="0"/>
    <s v="盐田海卡"/>
    <s v="TCY1"/>
    <s v="AN6-2PC-BB"/>
    <s v="AN6-2PC-BB 便携式扩香仪套装 黑+黑"/>
    <s v="AN6"/>
    <n v="5"/>
    <n v="74.711403508771937"/>
    <s v="重量收费"/>
    <n v="3.5"/>
    <m/>
    <n v="4.1208791208791204"/>
    <n v="265.61079140158091"/>
    <n v="2.6561079140158093"/>
    <n v="0.39643401701728498"/>
    <m/>
    <m/>
    <m/>
    <x v="0"/>
    <x v="0"/>
    <m/>
    <n v="0.35028436018957348"/>
    <n v="35.02843601895735"/>
    <d v="2026-02-16T00:00:00"/>
    <n v="38"/>
    <d v="2026-03-24T00:00:00"/>
    <n v="100"/>
    <n v="36"/>
    <m/>
    <m/>
    <m/>
    <m/>
  </r>
  <r>
    <n v="18"/>
    <m/>
    <s v="W020004"/>
    <x v="3"/>
    <s v="V-US"/>
    <s v="美国"/>
    <s v="001000019"/>
    <n v="1200"/>
    <x v="0"/>
    <s v="盐田海卡"/>
    <s v="TCY1"/>
    <s v="AN6-B"/>
    <s v="AN6-B 便携式扩香仪 黑色"/>
    <s v="AN6"/>
    <n v="30"/>
    <n v="448.2684210526316"/>
    <s v="重量收费"/>
    <n v="3.5"/>
    <m/>
    <n v="24.725274725274726"/>
    <n v="1593.6647484094851"/>
    <n v="1.3280539570079042"/>
    <n v="0.19821700850864241"/>
    <m/>
    <m/>
    <m/>
    <x v="0"/>
    <x v="0"/>
    <m/>
    <n v="0.35028436018957348"/>
    <n v="420.34123222748821"/>
    <d v="2026-02-16T00:00:00"/>
    <n v="38"/>
    <d v="2026-03-24T00:00:00"/>
    <n v="1200"/>
    <n v="36"/>
    <m/>
    <m/>
    <m/>
    <m/>
  </r>
  <r>
    <n v="19"/>
    <m/>
    <s v="W020004"/>
    <x v="3"/>
    <s v="V-US"/>
    <s v="美国"/>
    <s v="001000020"/>
    <n v="480"/>
    <x v="0"/>
    <s v="盐田海卡"/>
    <s v="TCY1"/>
    <s v="AN6-W"/>
    <s v="AN6-W 便携式扩香仪 白色"/>
    <s v="AN6"/>
    <n v="12"/>
    <n v="179.30736842105264"/>
    <s v="重量收费"/>
    <n v="3.5"/>
    <m/>
    <n v="9.8901098901098905"/>
    <n v="637.46589936379416"/>
    <n v="1.3280539570079044"/>
    <n v="0.19821700850864243"/>
    <m/>
    <m/>
    <m/>
    <x v="0"/>
    <x v="0"/>
    <m/>
    <n v="0.35028436018957348"/>
    <n v="168.13649289099527"/>
    <d v="2026-02-16T00:00:00"/>
    <n v="38"/>
    <d v="2026-03-24T00:00:00"/>
    <n v="480"/>
    <n v="36"/>
    <m/>
    <m/>
    <m/>
    <m/>
  </r>
  <r>
    <n v="20"/>
    <m/>
    <s v="W020004"/>
    <x v="3"/>
    <s v="V-US"/>
    <s v="美国"/>
    <s v="AN6-YG"/>
    <n v="120"/>
    <x v="0"/>
    <s v="盐田海卡"/>
    <s v="TCY1"/>
    <s v="AN6-YG"/>
    <s v="AN6-YG 便携式扩香仪 乳酪色"/>
    <s v="AN6"/>
    <n v="3"/>
    <n v="44.826842105263161"/>
    <s v="重量收费"/>
    <n v="3.5"/>
    <m/>
    <n v="2.4725274725274726"/>
    <n v="159.36647484094854"/>
    <n v="1.3280539570079044"/>
    <n v="0.19821700850864243"/>
    <m/>
    <m/>
    <m/>
    <x v="0"/>
    <x v="0"/>
    <m/>
    <n v="0.35028436018957348"/>
    <n v="42.034123222748818"/>
    <d v="2026-02-16T00:00:00"/>
    <n v="38"/>
    <d v="2026-03-24T00:00:00"/>
    <n v="120"/>
    <n v="36"/>
    <m/>
    <m/>
    <m/>
    <m/>
  </r>
  <r>
    <n v="21"/>
    <m/>
    <s v="W020004"/>
    <x v="3"/>
    <s v="V-US"/>
    <s v="美国"/>
    <s v="AND-B"/>
    <n v="60"/>
    <x v="0"/>
    <s v="盐田海卡"/>
    <s v="TCY1"/>
    <s v="AND-B"/>
    <s v="AND-B 便携式双喷扩香仪 黑色"/>
    <s v="AND"/>
    <n v="2"/>
    <n v="29.884561403508773"/>
    <s v="重量收费"/>
    <n v="3.5"/>
    <m/>
    <n v="1.6483516483516483"/>
    <n v="106.24431656063236"/>
    <n v="1.7707386093438726"/>
    <n v="0.26428934467818993"/>
    <m/>
    <m/>
    <m/>
    <x v="0"/>
    <x v="0"/>
    <m/>
    <n v="0.35028436018957348"/>
    <n v="21.017061611374409"/>
    <d v="2026-02-16T00:00:00"/>
    <n v="38"/>
    <d v="2026-03-24T00:00:00"/>
    <n v="60"/>
    <n v="36"/>
    <m/>
    <m/>
    <m/>
    <m/>
  </r>
  <r>
    <n v="22"/>
    <m/>
    <s v="W020004"/>
    <x v="3"/>
    <s v="V-US"/>
    <s v="美国"/>
    <s v="AND-DT"/>
    <n v="150"/>
    <x v="0"/>
    <s v="盐田海卡"/>
    <s v="TCY1"/>
    <s v="AND-DT"/>
    <s v="AND-DT 便携式双喷扩香仪 沙漠钛色"/>
    <s v="AND"/>
    <n v="5"/>
    <n v="74.711403508771937"/>
    <s v="重量收费"/>
    <n v="3.5"/>
    <m/>
    <n v="4.1208791208791204"/>
    <n v="265.61079140158091"/>
    <n v="1.7707386093438728"/>
    <n v="0.26428934467818999"/>
    <m/>
    <m/>
    <m/>
    <x v="0"/>
    <x v="0"/>
    <m/>
    <n v="0.35028436018957348"/>
    <n v="52.542654028436026"/>
    <d v="2026-02-16T00:00:00"/>
    <n v="38"/>
    <d v="2026-03-24T00:00:00"/>
    <n v="150"/>
    <n v="36"/>
    <m/>
    <m/>
    <m/>
    <m/>
  </r>
  <r>
    <n v="23"/>
    <m/>
    <s v="W020004"/>
    <x v="4"/>
    <s v="A-US"/>
    <s v="美国"/>
    <s v="ANZKIT-B_HILTON30ML"/>
    <n v="390"/>
    <x v="0"/>
    <s v="盐田海卡"/>
    <s v="TCY1"/>
    <s v="ANZKIT-B_HILTON30ML"/>
    <s v="ANZKIT-B_HILTON30ML ANZ黑色机器+30mL希尔顿酒店香氛油（天竺） 机油套装"/>
    <s v="ANZ"/>
    <n v="13"/>
    <n v="194.25"/>
    <s v="重量收费"/>
    <n v="3.5"/>
    <m/>
    <n v="10.714285714285714"/>
    <n v="690.58928571428567"/>
    <n v="1.7707417582417582"/>
    <n v="0.26428981466294899"/>
    <m/>
    <m/>
    <m/>
    <x v="0"/>
    <x v="0"/>
    <m/>
    <n v="0.41000000000000003"/>
    <n v="159.9"/>
    <d v="2026-02-13T00:00:00"/>
    <n v="35"/>
    <d v="2026-03-18T00:00:00"/>
    <n v="360"/>
    <n v="33"/>
    <m/>
    <m/>
    <m/>
    <m/>
  </r>
  <r>
    <n v="24"/>
    <m/>
    <s v="W020003"/>
    <x v="5"/>
    <s v="E-US"/>
    <s v="美国"/>
    <s v="SJ1-100ML_TZ"/>
    <n v="320"/>
    <x v="1"/>
    <s v="盐田海卡"/>
    <s v="TCY1"/>
    <s v="SJ1-100ML_TZ"/>
    <s v="SJ1-100ML_TZ 四季酒店100mL香氛油（天竺） 销售包装"/>
    <s v="Oil-TZ"/>
    <n v="5"/>
    <n v="71.25"/>
    <s v="重量收费"/>
    <n v="5.6"/>
    <n v="350"/>
    <n v="218.75"/>
    <n v="617.75"/>
    <n v="1.93046875"/>
    <n v="0.28812966417910446"/>
    <m/>
    <m/>
    <m/>
    <x v="0"/>
    <x v="1"/>
    <m/>
    <n v="0.33999999999999997"/>
    <n v="108.79999999999998"/>
    <d v="2026-02-11T00:00:00"/>
    <n v="33"/>
    <d v="2026-03-11T00:00:00"/>
    <n v="331"/>
    <n v="28"/>
    <m/>
    <m/>
    <m/>
    <m/>
  </r>
  <r>
    <n v="25"/>
    <m/>
    <s v="W020003"/>
    <x v="6"/>
    <s v="V-US"/>
    <s v="美国"/>
    <s v="W1-100ML_TZ"/>
    <n v="192"/>
    <x v="1"/>
    <s v="盐田海卡"/>
    <s v="TCY1"/>
    <s v="W1-100ML_TZ"/>
    <s v="W1-100ML_TZ W酒店100mL香氛油（天竺） 销售包装"/>
    <s v="Oil-TZ"/>
    <n v="3"/>
    <n v="42.75"/>
    <s v="重量收费"/>
    <n v="5.6"/>
    <n v="350"/>
    <n v="131.25"/>
    <n v="370.65"/>
    <n v="1.93046875"/>
    <n v="0.28812966417910446"/>
    <m/>
    <m/>
    <m/>
    <x v="0"/>
    <x v="1"/>
    <m/>
    <n v="0.34"/>
    <n v="65.28"/>
    <d v="2026-02-11T00:00:00"/>
    <n v="33"/>
    <d v="2026-03-10T00:00:00"/>
    <n v="193"/>
    <n v="27"/>
    <m/>
    <m/>
    <m/>
    <m/>
  </r>
  <r>
    <n v="26"/>
    <m/>
    <s v="W020001"/>
    <x v="7"/>
    <s v="E-US"/>
    <s v="美国"/>
    <s v="AC1-WH_US"/>
    <n v="360"/>
    <x v="0"/>
    <s v="美国空派"/>
    <s v="PSC2"/>
    <s v="AC1-WH_US"/>
    <s v="AC1-WH_US 智能控制器 美规 白色 一个装"/>
    <s v="AC1"/>
    <n v="3"/>
    <n v="53.5"/>
    <s v="重量收费"/>
    <n v="44.5"/>
    <n v="355.74"/>
    <n v="177.87"/>
    <n v="2558.62"/>
    <n v="7.1072777777777771"/>
    <n v="1.0607877280265339"/>
    <m/>
    <m/>
    <m/>
    <x v="0"/>
    <x v="2"/>
    <m/>
    <n v="0.3"/>
    <n v="108"/>
    <d v="2026-01-22T00:00:00"/>
    <n v="13"/>
    <d v="2026-02-21T00:00:00"/>
    <n v="359"/>
    <n v="30"/>
    <m/>
    <s v="UPS #1ZK6E8620337817764"/>
    <m/>
    <m/>
  </r>
  <r>
    <n v="27"/>
    <m/>
    <s v="W020001"/>
    <x v="7"/>
    <s v="E-US"/>
    <s v="美国"/>
    <s v="AC1KIT_WH_WH_US"/>
    <n v="360"/>
    <x v="0"/>
    <s v="美国空派"/>
    <s v="PSC2"/>
    <s v="AC1KIT_WH_WH_US"/>
    <s v="AC1KIT_WH_WH_US 智能控制器 美规 白色 两个装"/>
    <s v="AC1"/>
    <n v="3"/>
    <n v="53.5"/>
    <s v="重量收费"/>
    <n v="44.5"/>
    <n v="355.74"/>
    <n v="177.87"/>
    <n v="2558.62"/>
    <n v="7.1072777777777771"/>
    <n v="1.0607877280265339"/>
    <m/>
    <m/>
    <m/>
    <x v="0"/>
    <x v="2"/>
    <m/>
    <n v="0.3"/>
    <n v="108"/>
    <d v="2026-01-22T00:00:00"/>
    <n v="13"/>
    <d v="2026-02-21T00:00:00"/>
    <n v="348"/>
    <n v="30"/>
    <m/>
    <s v="UPS #1ZK6E8620337817764"/>
    <m/>
    <m/>
  </r>
  <r>
    <n v="28"/>
    <m/>
    <s v="W020002"/>
    <x v="8"/>
    <s v="W-DE"/>
    <s v="德国"/>
    <s v="AC1-WH_EU"/>
    <n v="120"/>
    <x v="0"/>
    <s v="欧洲空派"/>
    <s v="DTM1"/>
    <s v="AC1-WH_EU"/>
    <s v="AC1-WH_EU 智能控制器 欧规 白色 一个装"/>
    <s v="AC1"/>
    <n v="1"/>
    <n v="17.5"/>
    <s v="重量收费"/>
    <n v="51"/>
    <n v="301.90999999999997"/>
    <n v="150.95499999999998"/>
    <n v="1043.4549999999999"/>
    <n v="8.6954583333333328"/>
    <n v="1.2978296019900497"/>
    <m/>
    <m/>
    <m/>
    <x v="0"/>
    <x v="2"/>
    <m/>
    <n v="0"/>
    <n v="0"/>
    <d v="2026-01-28T00:00:00"/>
    <n v="19"/>
    <d v="2026-02-11T00:00:00"/>
    <n v="120"/>
    <n v="14"/>
    <m/>
    <s v="UPS #1ZB57B606831614652"/>
    <m/>
    <m/>
  </r>
  <r>
    <n v="29"/>
    <m/>
    <s v="W020002"/>
    <x v="8"/>
    <s v="W-DE"/>
    <s v="德国"/>
    <s v="AC1KIT-WH_WH_EU"/>
    <n v="120"/>
    <x v="0"/>
    <s v="欧洲空派"/>
    <s v="DTM1"/>
    <s v="AC1KIT-WH_WH_EU"/>
    <s v="AC1KIT-WH_WH_EU 智能控制器 欧规 白色 两个装"/>
    <s v="AC1"/>
    <n v="1"/>
    <n v="17.5"/>
    <s v="重量收费"/>
    <n v="51"/>
    <n v="301.90999999999997"/>
    <n v="150.95499999999998"/>
    <n v="1043.4549999999999"/>
    <n v="8.6954583333333328"/>
    <n v="1.2978296019900497"/>
    <m/>
    <m/>
    <m/>
    <x v="0"/>
    <x v="2"/>
    <m/>
    <n v="0"/>
    <n v="0"/>
    <d v="2026-01-28T00:00:00"/>
    <n v="19"/>
    <d v="2026-02-11T00:00:00"/>
    <n v="120"/>
    <n v="14"/>
    <m/>
    <s v="UPS #1ZB57B606831614652"/>
    <m/>
    <m/>
  </r>
  <r>
    <n v="30"/>
    <m/>
    <s v="W03005"/>
    <x v="9"/>
    <s v="V-US"/>
    <s v="美国"/>
    <s v="AN6KIT-B_RZ30ml"/>
    <n v="1800"/>
    <x v="0"/>
    <s v="盐田海卡"/>
    <s v="GEU2"/>
    <s v="AN6KIT-B_RZ30ml"/>
    <s v="AN6KIT-B_RZ30ml AN6黑色机器+30mL丽思香氛油 机油套装"/>
    <s v="AN6"/>
    <n v="60"/>
    <n v="909.75818181818192"/>
    <s v="重量收费"/>
    <n v="3.9"/>
    <n v="250"/>
    <n v="55.350553505535053"/>
    <n v="3603.4074625964445"/>
    <n v="2.0018930347758026"/>
    <n v="0.29879000519041832"/>
    <m/>
    <m/>
    <m/>
    <x v="1"/>
    <x v="3"/>
    <m/>
    <n v="0.41"/>
    <n v="738"/>
    <d v="2026-02-14T00:00:00"/>
    <n v="29"/>
    <d v="2026-03-20T00:00:00"/>
    <n v="1822"/>
    <n v="34"/>
    <m/>
    <m/>
    <m/>
    <m/>
  </r>
  <r>
    <n v="31"/>
    <m/>
    <s v="W03005"/>
    <x v="9"/>
    <s v="V-US"/>
    <s v="美国"/>
    <s v="AN6KIT-WH_4X10ML"/>
    <n v="390"/>
    <x v="0"/>
    <s v="盐田海卡"/>
    <s v="GEU2"/>
    <s v="AN6KIT-WH_4X10ML"/>
    <s v="AN6KIT-WH_4X10ML AN6白色机器+4x10mL香氛油（天竺） 机油套装"/>
    <s v="AN6"/>
    <n v="13"/>
    <n v="197.11427272727275"/>
    <s v="重量收费"/>
    <n v="3.9"/>
    <n v="250"/>
    <n v="11.992619926199263"/>
    <n v="780.73828356256297"/>
    <n v="2.0018930347758026"/>
    <n v="0.29879000519041832"/>
    <m/>
    <m/>
    <m/>
    <x v="1"/>
    <x v="3"/>
    <m/>
    <n v="0.41"/>
    <n v="159.89999999999998"/>
    <d v="2026-02-14T00:00:00"/>
    <n v="29"/>
    <d v="2026-03-20T00:00:00"/>
    <n v="390"/>
    <n v="34"/>
    <m/>
    <m/>
    <m/>
    <m/>
  </r>
  <r>
    <n v="32"/>
    <m/>
    <s v="W03005"/>
    <x v="9"/>
    <s v="V-US"/>
    <s v="美国"/>
    <s v="AN8KIT-B_4X10K01"/>
    <n v="990"/>
    <x v="0"/>
    <s v="盐田海卡"/>
    <s v="GEU2"/>
    <s v="AN8KIT-B_4X10K01"/>
    <s v="AN8KIT-B_4X10K01 AN8黑色机器+4x10mL酒店香氛油 机油套装"/>
    <s v="AN8"/>
    <n v="33"/>
    <n v="500.36700000000002"/>
    <s v="重量收费"/>
    <n v="3.9"/>
    <m/>
    <n v="30.44280442804428"/>
    <n v="1981.8741044280443"/>
    <n v="2.0018930347758022"/>
    <n v="0.29879000519041821"/>
    <m/>
    <m/>
    <m/>
    <x v="1"/>
    <x v="3"/>
    <m/>
    <n v="0.41"/>
    <n v="405.9"/>
    <d v="2026-02-14T00:00:00"/>
    <n v="29"/>
    <d v="2026-03-20T00:00:00"/>
    <n v="990"/>
    <n v="34"/>
    <m/>
    <m/>
    <m/>
    <m/>
  </r>
  <r>
    <n v="33"/>
    <m/>
    <s v="W03005"/>
    <x v="9"/>
    <s v="V-US"/>
    <s v="美国"/>
    <s v="ANXKIT-T_4X10ML"/>
    <n v="120"/>
    <x v="0"/>
    <s v="盐田海卡"/>
    <s v="GEU2"/>
    <s v="ANXKIT-T_4X10ML"/>
    <s v="ANXKIT-T_4X10ML ANX钛色机器+4x10mL香氛油（天竺） 机油套装"/>
    <s v="ANX"/>
    <n v="4"/>
    <n v="60.650545454545458"/>
    <s v="重量收费"/>
    <n v="3.9"/>
    <m/>
    <n v="3.6900369003690039"/>
    <n v="240.22716417309627"/>
    <n v="2.0018930347758022"/>
    <n v="0.29879000519041821"/>
    <m/>
    <m/>
    <m/>
    <x v="1"/>
    <x v="3"/>
    <m/>
    <n v="0.41"/>
    <n v="49.199999999999996"/>
    <d v="2026-02-14T00:00:00"/>
    <n v="29"/>
    <d v="2026-03-20T00:00:00"/>
    <n v="121"/>
    <n v="34"/>
    <m/>
    <m/>
    <m/>
    <m/>
  </r>
  <r>
    <n v="34"/>
    <m/>
    <s v="W03007"/>
    <x v="10"/>
    <s v="V-US"/>
    <s v="美国"/>
    <s v="001000019"/>
    <n v="2000"/>
    <x v="2"/>
    <s v="盐田海卡"/>
    <s v="GEU3"/>
    <s v="AN6-B"/>
    <s v="AN6-B 便携式扩香仪 黑色"/>
    <s v="AN6"/>
    <n v="50"/>
    <n v="681.94444444444446"/>
    <s v="重量收费"/>
    <n v="3.2"/>
    <n v="200"/>
    <n v="89.285714285714292"/>
    <n v="2271.5079365079364"/>
    <n v="1.1357539682539681"/>
    <n v="0.16951551764984599"/>
    <m/>
    <m/>
    <m/>
    <x v="1"/>
    <x v="3"/>
    <m/>
    <n v="0.34492957746478875"/>
    <n v="689.85915492957747"/>
    <d v="2026-02-17T00:00:00"/>
    <n v="32"/>
    <d v="2026-03-21T00:00:00"/>
    <n v="1999"/>
    <n v="32"/>
    <m/>
    <m/>
    <m/>
    <m/>
  </r>
  <r>
    <n v="35"/>
    <m/>
    <s v="W03007"/>
    <x v="10"/>
    <s v="V-US"/>
    <s v="美国"/>
    <s v="AN8-B"/>
    <n v="320"/>
    <x v="2"/>
    <s v="盐田海卡"/>
    <s v="GEU3"/>
    <s v="AN8-B"/>
    <s v="AN8-B 便携式扩香仪 黑色"/>
    <s v="AN8"/>
    <n v="8"/>
    <n v="109.11111111111111"/>
    <s v="重量收费"/>
    <n v="3.2"/>
    <n v="200"/>
    <n v="14.285714285714286"/>
    <n v="363.44126984126984"/>
    <n v="1.1357539682539683"/>
    <n v="0.16951551764984601"/>
    <m/>
    <m/>
    <m/>
    <x v="1"/>
    <x v="3"/>
    <m/>
    <n v="0.34492957746478875"/>
    <n v="110.3774647887324"/>
    <d v="2026-02-17T00:00:00"/>
    <n v="32"/>
    <d v="2026-03-21T00:00:00"/>
    <n v="319"/>
    <n v="32"/>
    <m/>
    <m/>
    <m/>
    <m/>
  </r>
  <r>
    <n v="36"/>
    <m/>
    <s v="W03007"/>
    <x v="10"/>
    <s v="V-US"/>
    <s v="美国"/>
    <s v="AN8KIT-B_B"/>
    <n v="200"/>
    <x v="2"/>
    <s v="盐田海卡"/>
    <s v="GEU3"/>
    <s v="AN8KIT-B_B"/>
    <s v="AN8KIT-B_B 便携式扩香仪套装 黑+黑"/>
    <s v="AN8"/>
    <n v="10"/>
    <n v="136.38888888888889"/>
    <s v="重量收费"/>
    <n v="3.2"/>
    <m/>
    <n v="17.857142857142858"/>
    <n v="454.30158730158729"/>
    <n v="2.2715079365079363"/>
    <n v="0.33903103529969197"/>
    <m/>
    <m/>
    <m/>
    <x v="1"/>
    <x v="3"/>
    <m/>
    <n v="0.34492957746478875"/>
    <n v="68.985915492957744"/>
    <d v="2026-02-17T00:00:00"/>
    <n v="32"/>
    <d v="2026-03-21T00:00:00"/>
    <n v="200"/>
    <n v="32"/>
    <m/>
    <m/>
    <m/>
    <m/>
  </r>
  <r>
    <n v="37"/>
    <m/>
    <s v="W03007"/>
    <x v="10"/>
    <s v="V-US"/>
    <s v="美国"/>
    <s v="AN8-WH"/>
    <n v="120"/>
    <x v="2"/>
    <s v="盐田海卡"/>
    <s v="GEU3"/>
    <s v="AN8-WH"/>
    <s v="AN8-WH 便携式扩香仪 白色"/>
    <s v="AN8"/>
    <n v="3"/>
    <n v="40.916666666666671"/>
    <s v="重量收费"/>
    <n v="3.2"/>
    <m/>
    <n v="5.3571428571428568"/>
    <n v="136.29047619047623"/>
    <n v="1.1357539682539686"/>
    <n v="0.16951551764984604"/>
    <m/>
    <m/>
    <m/>
    <x v="1"/>
    <x v="3"/>
    <m/>
    <n v="0.34492957746478875"/>
    <n v="41.391549295774652"/>
    <d v="2026-02-17T00:00:00"/>
    <n v="32"/>
    <d v="2026-03-21T00:00:00"/>
    <n v="120"/>
    <n v="32"/>
    <m/>
    <m/>
    <m/>
    <m/>
  </r>
  <r>
    <n v="38"/>
    <m/>
    <s v="W03007"/>
    <x v="10"/>
    <s v="V-US"/>
    <s v="美国"/>
    <s v="AN8NZ-B"/>
    <n v="200"/>
    <x v="2"/>
    <s v="盐田海卡"/>
    <s v="GEU3"/>
    <s v="AN8NZ-B"/>
    <s v="AN8NZ-B AN8(Z)喷嘴配件套装 黑色"/>
    <s v="AN8-AC"/>
    <n v="1"/>
    <n v="13.638888888888889"/>
    <s v="重量收费"/>
    <n v="3.2"/>
    <m/>
    <n v="1.7857142857142858"/>
    <n v="45.43015873015873"/>
    <n v="0.22715079365079366"/>
    <n v="3.3903103529969204E-2"/>
    <m/>
    <m/>
    <m/>
    <x v="1"/>
    <x v="3"/>
    <m/>
    <n v="0.34492957746478875"/>
    <n v="68.985915492957744"/>
    <d v="2026-02-17T00:00:00"/>
    <n v="32"/>
    <d v="2026-03-21T00:00:00"/>
    <n v="200"/>
    <n v="32"/>
    <m/>
    <m/>
    <m/>
    <m/>
  </r>
  <r>
    <n v="39"/>
    <m/>
    <s v="W03006"/>
    <x v="11"/>
    <s v="E-UK"/>
    <s v="英国"/>
    <s v="001000019"/>
    <n v="240"/>
    <x v="0"/>
    <s v="英国海卡"/>
    <s v="LBA4"/>
    <s v="AN6-B"/>
    <s v="AN6-B 便携式扩香仪 黑色"/>
    <s v="AN6"/>
    <n v="6"/>
    <n v="82.199999999999989"/>
    <s v="重量收费"/>
    <n v="4.8"/>
    <n v="600"/>
    <n v="360"/>
    <n v="754.56"/>
    <n v="3.1439999999999997"/>
    <n v="0.46925373134328352"/>
    <n v="576.35"/>
    <n v="345.81"/>
    <s v="是"/>
    <x v="1"/>
    <x v="4"/>
    <m/>
    <n v="0"/>
    <n v="0"/>
    <d v="2026-03-21T00:00:00"/>
    <n v="64"/>
    <d v="2026-04-06T00:00:00"/>
    <n v="240"/>
    <n v="16"/>
    <m/>
    <m/>
    <m/>
    <m/>
  </r>
  <r>
    <n v="40"/>
    <m/>
    <s v="W03006"/>
    <x v="11"/>
    <s v="E-UK"/>
    <s v="英国"/>
    <s v="001000039"/>
    <n v="40"/>
    <x v="0"/>
    <s v="英国海卡"/>
    <s v="LBA4"/>
    <s v="AN6-GL"/>
    <s v="AN6-GL 便携式扩香仪 翠百合色"/>
    <s v="AN6"/>
    <n v="1"/>
    <n v="13.7"/>
    <s v="重量收费"/>
    <n v="4.8"/>
    <n v="600"/>
    <n v="60"/>
    <n v="125.75999999999999"/>
    <n v="3.1439999999999997"/>
    <n v="0.46925373134328352"/>
    <m/>
    <n v="57.635000000000005"/>
    <s v="是"/>
    <x v="1"/>
    <x v="4"/>
    <m/>
    <n v="0"/>
    <n v="0"/>
    <d v="2026-03-21T00:00:00"/>
    <n v="64"/>
    <d v="2026-04-06T00:00:00"/>
    <n v="40"/>
    <n v="16"/>
    <m/>
    <m/>
    <m/>
    <m/>
  </r>
  <r>
    <n v="41"/>
    <m/>
    <s v="W03006"/>
    <x v="11"/>
    <s v="E-UK"/>
    <s v="英国"/>
    <s v="001000020"/>
    <n v="120"/>
    <x v="0"/>
    <s v="英国海卡"/>
    <s v="LBA4"/>
    <s v="AN6-W"/>
    <s v="AN6-W 便携式扩香仪 白色"/>
    <s v="AN6"/>
    <n v="3"/>
    <n v="41.099999999999994"/>
    <s v="重量收费"/>
    <n v="4.8"/>
    <m/>
    <n v="180"/>
    <n v="377.28"/>
    <n v="3.1439999999999997"/>
    <n v="0.46925373134328352"/>
    <m/>
    <n v="172.905"/>
    <s v="是"/>
    <x v="1"/>
    <x v="4"/>
    <m/>
    <n v="0"/>
    <n v="0"/>
    <d v="2026-03-21T00:00:00"/>
    <n v="64"/>
    <d v="2026-04-06T00:00:00"/>
    <n v="120"/>
    <n v="16"/>
    <m/>
    <m/>
    <m/>
    <m/>
  </r>
  <r>
    <n v="42"/>
    <m/>
    <s v="W03007"/>
    <x v="12"/>
    <s v="E-US"/>
    <s v="美国"/>
    <s v="001000049"/>
    <n v="90"/>
    <x v="2"/>
    <s v="盐田海卡"/>
    <s v="HLI2"/>
    <s v="ANX-IB"/>
    <s v="ANX-IB 便携式扩香仪 冰蓝色"/>
    <s v="ANX"/>
    <n v="3"/>
    <n v="40.275000000000006"/>
    <s v="重量收费"/>
    <n v="3.2"/>
    <m/>
    <n v="5.3571428571428568"/>
    <n v="134.23714285714289"/>
    <n v="1.4915238095238099"/>
    <n v="0.22261549395877758"/>
    <m/>
    <m/>
    <m/>
    <x v="1"/>
    <x v="3"/>
    <m/>
    <n v="0.35399999999999998"/>
    <n v="31.86"/>
    <d v="2026-02-16T00:00:00"/>
    <n v="31"/>
    <d v="2026-03-22T00:00:00"/>
    <n v="89"/>
    <n v="34"/>
    <m/>
    <m/>
    <m/>
    <m/>
  </r>
  <r>
    <n v="43"/>
    <m/>
    <s v="W03007"/>
    <x v="12"/>
    <s v="E-US"/>
    <s v="美国"/>
    <s v="001000052"/>
    <n v="210"/>
    <x v="2"/>
    <s v="盐田海卡"/>
    <s v="HLI2"/>
    <s v="ANX-DT"/>
    <s v="ANX-DT 便携式扩香仪 沙漠钛色"/>
    <s v="ANX"/>
    <n v="7"/>
    <n v="93.975000000000009"/>
    <s v="重量收费"/>
    <n v="3.2"/>
    <m/>
    <n v="12.5"/>
    <n v="313.22000000000003"/>
    <n v="1.4915238095238097"/>
    <n v="0.22261549395877755"/>
    <m/>
    <m/>
    <m/>
    <x v="1"/>
    <x v="3"/>
    <m/>
    <n v="0.35399999999999998"/>
    <n v="74.339999999999989"/>
    <d v="2026-02-16T00:00:00"/>
    <n v="31"/>
    <d v="2026-03-22T00:00:00"/>
    <n v="209"/>
    <n v="34"/>
    <m/>
    <m/>
    <m/>
    <m/>
  </r>
  <r>
    <n v="44"/>
    <m/>
    <s v="W03007"/>
    <x v="12"/>
    <s v="E-US"/>
    <s v="美国"/>
    <s v="ANZ-B"/>
    <n v="1200"/>
    <x v="2"/>
    <s v="盐田海卡"/>
    <s v="HLI2"/>
    <s v="ANZ-B"/>
    <s v="ANZ-B 便携式扩香仪 黑色"/>
    <s v="ANZ"/>
    <n v="30"/>
    <n v="402.75"/>
    <s v="重量收费"/>
    <n v="3.2"/>
    <m/>
    <n v="53.571428571428569"/>
    <n v="1342.3714285714289"/>
    <n v="1.1186428571428573"/>
    <n v="0.16696162046908317"/>
    <m/>
    <m/>
    <m/>
    <x v="1"/>
    <x v="3"/>
    <m/>
    <n v="0.35399999999999998"/>
    <n v="424.79999999999995"/>
    <d v="2026-02-16T00:00:00"/>
    <n v="31"/>
    <d v="2026-03-22T00:00:00"/>
    <n v="1154"/>
    <n v="34"/>
    <m/>
    <m/>
    <m/>
    <m/>
  </r>
  <r>
    <n v="45"/>
    <m/>
    <s v="W03005"/>
    <x v="13"/>
    <s v="E-US"/>
    <s v="美国"/>
    <s v="ANZKIT-B_4X10K04_TZ"/>
    <n v="390"/>
    <x v="0"/>
    <s v="盐田海卡"/>
    <s v="GEU2"/>
    <s v="ANZKIT-B_4X10K04_TZ"/>
    <s v="ANZKIT-B_4X10K04_TZ ANZ黑色机器+4x10mL酒店（天竺）香氛油 机油套装"/>
    <s v="ANZ"/>
    <n v="13"/>
    <n v="197.11"/>
    <s v="重量收费"/>
    <n v="3.9"/>
    <m/>
    <n v="11.992619926199263"/>
    <n v="780.72161992619931"/>
    <n v="2.0018503075030751"/>
    <n v="0.2987836279855336"/>
    <m/>
    <m/>
    <m/>
    <x v="1"/>
    <x v="3"/>
    <m/>
    <n v="0.41000000000000003"/>
    <n v="159.9"/>
    <d v="2026-02-17T00:00:00"/>
    <n v="32"/>
    <d v="2026-03-19T00:00:00"/>
    <n v="397"/>
    <n v="30"/>
    <m/>
    <m/>
    <m/>
    <m/>
  </r>
  <r>
    <n v="46"/>
    <m/>
    <s v="W03003"/>
    <x v="14"/>
    <s v="W-DE"/>
    <s v="德国"/>
    <s v="ANA-WH_EU"/>
    <n v="144"/>
    <x v="0"/>
    <s v="欧洲海卡"/>
    <s v="HAJ1"/>
    <s v="ANA-WH_EU"/>
    <s v="ANA-WH_EU 智能扩香仪 欧规 白色"/>
    <s v="ANA"/>
    <n v="12"/>
    <n v="177"/>
    <s v="重量收费"/>
    <n v="7.1"/>
    <n v="250"/>
    <n v="250"/>
    <n v="1506.7"/>
    <n v="10.463194444444445"/>
    <n v="1.5616708126036485"/>
    <m/>
    <m/>
    <m/>
    <x v="1"/>
    <x v="5"/>
    <m/>
    <n v="0"/>
    <n v="0"/>
    <d v="2026-03-10T00:00:00"/>
    <n v="53"/>
    <d v="2026-03-24T00:00:00"/>
    <n v="144"/>
    <n v="14"/>
    <m/>
    <m/>
    <m/>
    <m/>
  </r>
  <r>
    <n v="47"/>
    <m/>
    <s v="W03004"/>
    <x v="15"/>
    <s v="V-CA"/>
    <s v="加拿大"/>
    <s v="001000032"/>
    <n v="72"/>
    <x v="0"/>
    <s v="加拿大海卡"/>
    <s v="YHM1"/>
    <s v="ANW-B"/>
    <s v="ANW-B 智能扩香仪 黑色"/>
    <s v="ANW"/>
    <n v="6"/>
    <n v="87.6"/>
    <s v="重量收费"/>
    <n v="6"/>
    <n v="250"/>
    <n v="150"/>
    <n v="675.59999999999991"/>
    <n v="9.3833333333333329"/>
    <n v="1.4004975124378107"/>
    <m/>
    <m/>
    <m/>
    <x v="1"/>
    <x v="6"/>
    <m/>
    <n v="0"/>
    <n v="0"/>
    <d v="2026-03-08T00:00:00"/>
    <n v="51"/>
    <d v="2026-03-29T00:00:00"/>
    <n v="72"/>
    <n v="21"/>
    <m/>
    <m/>
    <m/>
    <m/>
  </r>
  <r>
    <n v="48"/>
    <m/>
    <s v="W03004"/>
    <x v="15"/>
    <s v="V-CA"/>
    <s v="加拿大"/>
    <s v="001000033"/>
    <n v="48"/>
    <x v="0"/>
    <s v="加拿大海卡"/>
    <s v="YHM1"/>
    <s v="ANW-W"/>
    <s v="ANW-W 智能扩香仪 白色"/>
    <s v="ANW"/>
    <n v="4"/>
    <n v="58.4"/>
    <s v="重量收费"/>
    <n v="6"/>
    <n v="250"/>
    <n v="100"/>
    <n v="450.4"/>
    <n v="9.3833333333333329"/>
    <n v="1.4004975124378107"/>
    <m/>
    <m/>
    <m/>
    <x v="1"/>
    <x v="6"/>
    <m/>
    <n v="0"/>
    <n v="0"/>
    <d v="2026-03-08T00:00:00"/>
    <n v="51"/>
    <d v="2026-03-29T00:00:00"/>
    <n v="48"/>
    <n v="21"/>
    <m/>
    <m/>
    <m/>
    <m/>
  </r>
  <r>
    <n v="49"/>
    <m/>
    <s v="W03005"/>
    <x v="16"/>
    <s v="V-US"/>
    <s v="美国"/>
    <s v="ANAKIT-B_US_2X100K03"/>
    <n v="660"/>
    <x v="0"/>
    <s v="盐田海卡"/>
    <s v="GEU3"/>
    <s v="ANAKIT-B_US_2X100K03"/>
    <s v="ANAKIT-B_US_2X100K03 ANA黑色机器+2X100mL酒店香氛油（天竺） 机油套装"/>
    <s v="ANA"/>
    <n v="55"/>
    <n v="956.18243243243251"/>
    <s v="重量收费"/>
    <n v="3.9"/>
    <m/>
    <n v="50.738007380073803"/>
    <n v="3779.8494938665604"/>
    <n v="5.7270446876766066"/>
    <n v="0.85478278920546369"/>
    <m/>
    <m/>
    <m/>
    <x v="1"/>
    <x v="3"/>
    <m/>
    <n v="0.49"/>
    <n v="323.39999999999998"/>
    <d v="2026-02-17T00:00:00"/>
    <n v="32"/>
    <d v="2026-03-25T00:00:00"/>
    <n v="660"/>
    <n v="36"/>
    <m/>
    <m/>
    <m/>
    <m/>
  </r>
  <r>
    <n v="50"/>
    <m/>
    <s v="W03005"/>
    <x v="16"/>
    <s v="V-US"/>
    <s v="美国"/>
    <s v="ANAKIT-WH_US_2X100K03"/>
    <n v="660"/>
    <x v="0"/>
    <s v="盐田海卡"/>
    <s v="GEU3"/>
    <s v="ANAKIT-WH_US_2X100K03"/>
    <s v="ANAKIT-WH_US_2X100K03 ANA白色机器+2X100mL酒店香氛油（天竺） 机油套装"/>
    <s v="ANA"/>
    <n v="55"/>
    <n v="956.18243243243251"/>
    <s v="重量收费"/>
    <n v="3.9"/>
    <m/>
    <n v="50.738007380073803"/>
    <n v="3779.8494938665604"/>
    <n v="5.7270446876766066"/>
    <n v="0.85478278920546369"/>
    <m/>
    <m/>
    <m/>
    <x v="1"/>
    <x v="3"/>
    <m/>
    <n v="0.49"/>
    <n v="323.39999999999998"/>
    <d v="2026-02-17T00:00:00"/>
    <n v="32"/>
    <d v="2026-03-25T00:00:00"/>
    <n v="660"/>
    <n v="36"/>
    <m/>
    <m/>
    <m/>
    <m/>
  </r>
  <r>
    <n v="51"/>
    <m/>
    <s v="W03005"/>
    <x v="16"/>
    <s v="V-US"/>
    <s v="美国"/>
    <s v="ANWKIT-WH_US_2X100K03"/>
    <n v="456"/>
    <x v="0"/>
    <s v="盐田海卡"/>
    <s v="GEU3"/>
    <s v="ANWKIT-WH_US_2X100K03"/>
    <s v="ANWKIT-WH_US_2X100K03 ANW白色机器+2X100mL酒店香氛油（天竺） 机油套装"/>
    <s v="ANW"/>
    <n v="38"/>
    <n v="660.63513513513522"/>
    <s v="重量收费"/>
    <n v="3.9"/>
    <m/>
    <n v="35.055350553505534"/>
    <n v="2611.5323775805327"/>
    <n v="5.7270446876766066"/>
    <n v="0.85478278920546369"/>
    <m/>
    <m/>
    <m/>
    <x v="1"/>
    <x v="3"/>
    <m/>
    <n v="0.49"/>
    <n v="223.44"/>
    <d v="2026-02-17T00:00:00"/>
    <n v="32"/>
    <d v="2026-03-25T00:00:00"/>
    <n v="454"/>
    <n v="36"/>
    <m/>
    <m/>
    <m/>
    <m/>
  </r>
  <r>
    <n v="52"/>
    <m/>
    <s v="W03001"/>
    <x v="17"/>
    <s v="E-US"/>
    <s v="美国"/>
    <s v="HOTEL6KIT1-6X10K01"/>
    <n v="532"/>
    <x v="1"/>
    <s v="以星海卡"/>
    <s v="GEU5"/>
    <s v="HOTEL6KIT1-6X10K01"/>
    <s v="HOTEL6KIT1-6X10K01 酒店香氛油6款10mL套装"/>
    <s v="Oil-HQ"/>
    <n v="7"/>
    <n v="152"/>
    <s v="重量收费"/>
    <n v="6.5"/>
    <n v="350"/>
    <n v="350"/>
    <n v="1338"/>
    <n v="2.5150375939849625"/>
    <n v="0.37537874537088994"/>
    <m/>
    <m/>
    <m/>
    <x v="1"/>
    <x v="7"/>
    <m/>
    <n v="0.33999999999999997"/>
    <n v="180.88"/>
    <d v="2026-02-22T00:00:00"/>
    <n v="37"/>
    <d v="2026-03-25T00:00:00"/>
    <n v="528"/>
    <n v="31"/>
    <m/>
    <m/>
    <m/>
    <m/>
  </r>
  <r>
    <n v="53"/>
    <m/>
    <s v="买单报关"/>
    <x v="18"/>
    <s v="V-US"/>
    <s v="美国"/>
    <s v="006000024"/>
    <n v="1260"/>
    <x v="1"/>
    <s v="盐田海卡"/>
    <s v="QXY8"/>
    <s v="A-RZ3-100"/>
    <s v="A-Ritz Carlton Hotel 3-100 丽思卡尔顿酒店3香氛油100mL"/>
    <s v="Oil-HQ"/>
    <n v="14"/>
    <n v="286.58999999999997"/>
    <s v="重量收费"/>
    <n v="5.6"/>
    <n v="350"/>
    <m/>
    <n v="1604.9039999999998"/>
    <n v="1.2737333333333332"/>
    <n v="0.19010945273631838"/>
    <m/>
    <m/>
    <m/>
    <x v="1"/>
    <x v="8"/>
    <m/>
    <n v="0.33999999999999997"/>
    <n v="428.4"/>
    <d v="2026-03-12T00:00:00"/>
    <n v="55"/>
    <d v="2026-04-11T00:00:00"/>
    <m/>
    <n v="30"/>
    <m/>
    <m/>
    <m/>
    <m/>
  </r>
  <r>
    <n v="54"/>
    <m/>
    <s v="买单报关"/>
    <x v="19"/>
    <s v="E-US"/>
    <s v="美国"/>
    <s v="BCRT1-100ML"/>
    <n v="90"/>
    <x v="1"/>
    <s v="盐田海卡"/>
    <s v="QXY8"/>
    <s v="BCRT1-100ML"/>
    <s v="BCRT1-100ML 巴卡拉酒店香氛油100mL"/>
    <s v="Oil-HQ"/>
    <n v="1"/>
    <n v="20.470500000000001"/>
    <s v="重量收费"/>
    <n v="5.6"/>
    <m/>
    <m/>
    <n v="114.6348"/>
    <n v="1.27372"/>
    <n v="0.19010746268656714"/>
    <m/>
    <m/>
    <m/>
    <x v="1"/>
    <x v="8"/>
    <m/>
    <n v="0.34"/>
    <n v="30.6"/>
    <d v="2026-03-12T00:00:00"/>
    <n v="55"/>
    <d v="2026-04-12T00:00:00"/>
    <m/>
    <n v="31"/>
    <m/>
    <m/>
    <m/>
    <m/>
  </r>
  <r>
    <n v="55"/>
    <m/>
    <s v="买单报关"/>
    <x v="19"/>
    <s v="E-US"/>
    <s v="美国"/>
    <s v="BLG1-100ML"/>
    <n v="90"/>
    <x v="1"/>
    <s v="盐田海卡"/>
    <s v="QXY8"/>
    <s v="BLG1-100ML"/>
    <s v="BLG1-100ML 百乐宫酒店香氛油100mL"/>
    <s v="Oil-HQ"/>
    <n v="1"/>
    <n v="20.470500000000001"/>
    <s v="重量收费"/>
    <n v="5.6"/>
    <m/>
    <m/>
    <n v="114.6348"/>
    <n v="1.27372"/>
    <n v="0.19010746268656714"/>
    <m/>
    <m/>
    <m/>
    <x v="1"/>
    <x v="8"/>
    <m/>
    <n v="0.34"/>
    <n v="30.6"/>
    <d v="2026-03-12T00:00:00"/>
    <n v="55"/>
    <d v="2026-04-12T00:00:00"/>
    <m/>
    <n v="31"/>
    <m/>
    <m/>
    <m/>
    <m/>
  </r>
  <r>
    <n v="56"/>
    <s v="备注第3至第16箱，单独报关"/>
    <s v="W03002"/>
    <x v="19"/>
    <s v="E-US"/>
    <s v="美国"/>
    <s v="HOTEL6KIT1-6X10K01"/>
    <n v="1064"/>
    <x v="1"/>
    <s v="盐田海卡"/>
    <s v="QXY8"/>
    <s v="HOTEL6KIT1-6X10K01"/>
    <s v="HOTEL6KIT1-6X10K01 酒店香氛油6款10mL套装"/>
    <s v="Oil-HQ"/>
    <n v="14"/>
    <n v="286.58699999999999"/>
    <s v="重量收费"/>
    <n v="5.6"/>
    <n v="350"/>
    <n v="350"/>
    <n v="1954.8871999999999"/>
    <n v="1.8372999999999999"/>
    <n v="0.27422388059701491"/>
    <m/>
    <m/>
    <m/>
    <x v="1"/>
    <x v="8"/>
    <m/>
    <n v="0.34"/>
    <n v="361.76000000000005"/>
    <d v="2026-03-12T00:00:00"/>
    <n v="55"/>
    <d v="2026-04-12T00:00:00"/>
    <m/>
    <n v="31"/>
    <m/>
    <m/>
    <m/>
    <m/>
  </r>
  <r>
    <n v="57"/>
    <m/>
    <s v="买单报关"/>
    <x v="19"/>
    <s v="E-US"/>
    <s v="美国"/>
    <s v="JY-100ML"/>
    <n v="90"/>
    <x v="1"/>
    <s v="盐田海卡"/>
    <s v="QXY8"/>
    <s v="A-JY-100"/>
    <s v="A-Grand Hyatt Hotel-100 君悦酒店香氛油100mL"/>
    <s v="Oil-HQ"/>
    <n v="1"/>
    <n v="20.470500000000001"/>
    <s v="重量收费"/>
    <n v="5.6"/>
    <n v="350"/>
    <m/>
    <n v="114.6348"/>
    <n v="1.27372"/>
    <n v="0.19010746268656714"/>
    <m/>
    <m/>
    <m/>
    <x v="1"/>
    <x v="8"/>
    <m/>
    <n v="0.34"/>
    <n v="30.6"/>
    <d v="2026-03-12T00:00:00"/>
    <n v="55"/>
    <d v="2026-04-12T00:00:00"/>
    <m/>
    <n v="31"/>
    <m/>
    <m/>
    <m/>
    <m/>
  </r>
  <r>
    <n v="58"/>
    <m/>
    <s v="买单报关"/>
    <x v="19"/>
    <s v="E-US"/>
    <s v="美国"/>
    <s v="MWAY1-100ML"/>
    <n v="180"/>
    <x v="1"/>
    <s v="盐田海卡"/>
    <s v="QXY8"/>
    <s v="A-MWAY-100"/>
    <s v="A-MWAY Deluxe-100 特定香型香氛油100mL"/>
    <s v="Oil-HQ"/>
    <n v="2"/>
    <n v="40.941000000000003"/>
    <s v="重量收费"/>
    <n v="5.6"/>
    <m/>
    <m/>
    <n v="229.2696"/>
    <n v="1.27372"/>
    <n v="0.19010746268656714"/>
    <m/>
    <m/>
    <m/>
    <x v="1"/>
    <x v="8"/>
    <m/>
    <n v="0.34"/>
    <n v="61.2"/>
    <d v="2026-03-12T00:00:00"/>
    <n v="55"/>
    <d v="2026-04-12T00:00:00"/>
    <m/>
    <n v="31"/>
    <m/>
    <m/>
    <m/>
    <m/>
  </r>
  <r>
    <n v="59"/>
    <m/>
    <s v="买单报关"/>
    <x v="19"/>
    <s v="E-US"/>
    <s v="美国"/>
    <s v="WST1-100ML"/>
    <n v="90"/>
    <x v="1"/>
    <s v="盐田海卡"/>
    <s v="QXY8"/>
    <s v="WST1-100ML"/>
    <s v="WST1-100ML 威斯汀2酒店香氛油100mL"/>
    <s v="Oil-HQ"/>
    <n v="1"/>
    <n v="20.470500000000001"/>
    <s v="重量收费"/>
    <n v="5.6"/>
    <m/>
    <m/>
    <n v="114.6348"/>
    <n v="1.27372"/>
    <n v="0.19010746268656714"/>
    <m/>
    <m/>
    <m/>
    <x v="1"/>
    <x v="8"/>
    <m/>
    <n v="0.34"/>
    <n v="30.6"/>
    <d v="2026-03-12T00:00:00"/>
    <n v="55"/>
    <d v="2026-04-12T00:00:00"/>
    <m/>
    <n v="31"/>
    <m/>
    <m/>
    <m/>
    <m/>
  </r>
  <r>
    <n v="60"/>
    <m/>
    <s v="W04003"/>
    <x v="20"/>
    <s v="E-US"/>
    <s v="美国"/>
    <s v="001000053"/>
    <n v="128"/>
    <x v="2"/>
    <s v="盐田海卡"/>
    <s v="QXY8"/>
    <s v="ANX-2PC-BB"/>
    <s v="ANX-2PC-BB 便携式扩香仪套装 黑+黑"/>
    <s v="ANX"/>
    <n v="8"/>
    <n v="106.57627118644068"/>
    <s v="重量收费"/>
    <n v="3.4"/>
    <n v="200"/>
    <n v="10.884353741496598"/>
    <n v="373.24367577539493"/>
    <n v="2.9159662169952729"/>
    <n v="0.43521883835750341"/>
    <m/>
    <m/>
    <m/>
    <x v="2"/>
    <x v="9"/>
    <m/>
    <n v="0.35943907156673116"/>
    <n v="46.008201160541589"/>
    <d v="2026-02-24T00:00:00"/>
    <n v="32"/>
    <d v="2026-03-26T00:00:00"/>
    <n v="128"/>
    <n v="30"/>
    <m/>
    <m/>
    <m/>
    <m/>
  </r>
  <r>
    <n v="61"/>
    <m/>
    <s v="W04003"/>
    <x v="20"/>
    <s v="E-US"/>
    <s v="美国"/>
    <s v="001000045"/>
    <n v="300"/>
    <x v="2"/>
    <s v="盐田海卡"/>
    <s v="QXY8"/>
    <s v="ANX-B"/>
    <s v="ANX-B 便携式扩香仪 黑色"/>
    <s v="ANX"/>
    <n v="10"/>
    <n v="133.22033898305085"/>
    <s v="重量收费"/>
    <n v="3.4"/>
    <n v="200"/>
    <n v="13.605442176870747"/>
    <n v="466.5545947192436"/>
    <n v="1.5551819823974786"/>
    <n v="0.23211671379066845"/>
    <m/>
    <m/>
    <m/>
    <x v="2"/>
    <x v="9"/>
    <m/>
    <n v="0.35943907156673116"/>
    <n v="107.83172147001935"/>
    <d v="2026-02-24T00:00:00"/>
    <n v="32"/>
    <d v="2026-03-26T00:00:00"/>
    <n v="300"/>
    <n v="30"/>
    <m/>
    <m/>
    <m/>
    <m/>
  </r>
  <r>
    <n v="62"/>
    <m/>
    <s v="W04003"/>
    <x v="20"/>
    <s v="E-US"/>
    <s v="美国"/>
    <s v="ANZ-B"/>
    <n v="1200"/>
    <x v="2"/>
    <s v="盐田海卡"/>
    <s v="QXY8"/>
    <s v="ANZ-B"/>
    <s v="ANZ-B 便携式扩香仪 黑色"/>
    <s v="ANZ"/>
    <n v="30"/>
    <n v="399.66101694915255"/>
    <s v="重量收费"/>
    <n v="3.4"/>
    <m/>
    <n v="40.816326530612244"/>
    <n v="1399.663784157731"/>
    <n v="1.1663864867981091"/>
    <n v="0.17408753534300134"/>
    <m/>
    <m/>
    <m/>
    <x v="2"/>
    <x v="9"/>
    <m/>
    <n v="0.35943907156673116"/>
    <n v="431.32688588007738"/>
    <d v="2026-02-24T00:00:00"/>
    <n v="32"/>
    <d v="2026-03-26T00:00:00"/>
    <n v="1198"/>
    <n v="30"/>
    <m/>
    <m/>
    <m/>
    <m/>
  </r>
  <r>
    <n v="63"/>
    <m/>
    <s v="W04003"/>
    <x v="20"/>
    <s v="E-US"/>
    <s v="美国"/>
    <s v="ANZ-WH"/>
    <n v="440"/>
    <x v="2"/>
    <s v="盐田海卡"/>
    <s v="QXY8"/>
    <s v="ANZ-WH"/>
    <s v="ANZ-WH 便携式扩香仪 白色"/>
    <s v="ANZ"/>
    <n v="11"/>
    <n v="146.54237288135593"/>
    <s v="重量收费"/>
    <n v="3.4"/>
    <m/>
    <n v="14.965986394557824"/>
    <n v="513.21005419116796"/>
    <n v="1.1663864867981091"/>
    <n v="0.17408753534300134"/>
    <m/>
    <m/>
    <m/>
    <x v="2"/>
    <x v="9"/>
    <m/>
    <n v="0.35943907156673116"/>
    <n v="158.15319148936172"/>
    <d v="2026-02-24T00:00:00"/>
    <n v="32"/>
    <d v="2026-03-26T00:00:00"/>
    <n v="437"/>
    <n v="30"/>
    <m/>
    <m/>
    <m/>
    <m/>
  </r>
  <r>
    <n v="64"/>
    <m/>
    <s v="W04005"/>
    <x v="21"/>
    <s v="E-US"/>
    <s v="美国"/>
    <s v="ANZKIT-B_4X10K04_TZ"/>
    <n v="600"/>
    <x v="0"/>
    <s v="盐田海卡"/>
    <s v="TCY1"/>
    <s v="ANZKIT-B_4X10K04_TZ"/>
    <s v="ANZKIT-B_4X10K04_TZ ANZ黑色机器+4x10mL酒店（天竺）香氛油 机油套装"/>
    <s v="ANZ"/>
    <n v="20"/>
    <n v="319.62"/>
    <s v="重量收费"/>
    <n v="3.9"/>
    <n v="250"/>
    <n v="45.871559633027523"/>
    <n v="1292.3895596330276"/>
    <n v="2.1539825993883794"/>
    <n v="0.32148994020722083"/>
    <m/>
    <m/>
    <m/>
    <x v="2"/>
    <x v="10"/>
    <m/>
    <n v="0.41"/>
    <n v="245.99999999999997"/>
    <d v="2026-03-20T00:00:00"/>
    <n v="56"/>
    <d v="2026-04-23T00:00:00"/>
    <m/>
    <n v="34"/>
    <m/>
    <m/>
    <m/>
    <m/>
  </r>
  <r>
    <n v="65"/>
    <m/>
    <s v="W04005"/>
    <x v="22"/>
    <s v="V-US"/>
    <s v="美国"/>
    <s v="ADXKIT-B_4X10K04_TZ"/>
    <n v="600"/>
    <x v="0"/>
    <s v="盐田海卡"/>
    <s v="TCY1"/>
    <s v="ADXKIT-B_4X10K04_TZ"/>
    <s v="ADXKIT-B_4X10K04_TZ ADX黑色机器+4x10mL酒店（天竺）香氛油 机油套装"/>
    <s v="ADX"/>
    <n v="20"/>
    <n v="319.61971830985919"/>
    <s v="重量收费"/>
    <n v="3.9"/>
    <n v="250"/>
    <n v="45.871559633027523"/>
    <n v="1292.3884610414784"/>
    <n v="2.1539807684024641"/>
    <n v="0.32148966692574088"/>
    <m/>
    <m/>
    <m/>
    <x v="2"/>
    <x v="10"/>
    <m/>
    <n v="0.44"/>
    <n v="264"/>
    <d v="2026-03-20T00:00:00"/>
    <n v="56"/>
    <d v="2026-04-23T00:00:00"/>
    <m/>
    <n v="34"/>
    <m/>
    <m/>
    <m/>
    <m/>
  </r>
  <r>
    <n v="66"/>
    <m/>
    <s v="W04005"/>
    <x v="22"/>
    <s v="V-US"/>
    <s v="美国"/>
    <s v="ADXKIT-DT_4X10K04_TZ"/>
    <n v="180"/>
    <x v="0"/>
    <s v="盐田海卡"/>
    <s v="TCY1"/>
    <s v="ADXKIT-DT_4X10K04_TZ"/>
    <s v="ADXKIT-DT_4X10K04_TZ AD钛色机器+4x10mL酒店（天竺）香氛油 机油套装"/>
    <s v="ADX"/>
    <n v="6"/>
    <n v="95.88591549295775"/>
    <s v="重量收费"/>
    <n v="3.9"/>
    <m/>
    <n v="13.761467889908257"/>
    <n v="387.7165383124435"/>
    <n v="2.1539807684024641"/>
    <n v="0.32148966692574088"/>
    <m/>
    <m/>
    <m/>
    <x v="2"/>
    <x v="10"/>
    <m/>
    <n v="0.44"/>
    <n v="79.2"/>
    <d v="2026-03-20T00:00:00"/>
    <n v="56"/>
    <d v="2026-04-23T00:00:00"/>
    <m/>
    <n v="34"/>
    <m/>
    <m/>
    <m/>
    <m/>
  </r>
  <r>
    <n v="67"/>
    <m/>
    <s v="W04005"/>
    <x v="22"/>
    <s v="V-US"/>
    <s v="美国"/>
    <s v="AN6KIT-WH_SJ30ML_TZ"/>
    <n v="150"/>
    <x v="0"/>
    <s v="盐田海卡"/>
    <s v="TCY1"/>
    <s v="AN6KIT-WH_SJ30ML_TZ"/>
    <s v="AN6KIT-WH_SJ30ML_TZ AN6白色机器+30mL四季酒店香氛油（天竺） 机油套装"/>
    <s v="AN6"/>
    <n v="5"/>
    <n v="79.904929577464799"/>
    <s v="重量收费"/>
    <n v="3.9"/>
    <m/>
    <n v="11.467889908256881"/>
    <n v="323.09711526036961"/>
    <n v="2.1539807684024641"/>
    <n v="0.32148966692574088"/>
    <m/>
    <m/>
    <m/>
    <x v="2"/>
    <x v="10"/>
    <m/>
    <n v="0.44"/>
    <n v="66"/>
    <d v="2026-03-20T00:00:00"/>
    <n v="56"/>
    <d v="2026-04-23T00:00:00"/>
    <m/>
    <n v="34"/>
    <m/>
    <m/>
    <m/>
    <m/>
  </r>
  <r>
    <n v="68"/>
    <m/>
    <s v="W04005"/>
    <x v="22"/>
    <s v="V-US"/>
    <s v="美国"/>
    <s v="AN8KIT-B_2X20K03"/>
    <n v="600"/>
    <x v="0"/>
    <s v="盐田海卡"/>
    <s v="TCY1"/>
    <s v="AN8KIT-B_2X20K03"/>
    <s v="AN8KIT-B_2X20K03 AN8黑色机器+2X20mL（天竺）酒店香氛油 机油套装"/>
    <s v="AN8"/>
    <n v="20"/>
    <n v="319.61971830985919"/>
    <s v="重量收费"/>
    <n v="3.9"/>
    <m/>
    <n v="45.871559633027523"/>
    <n v="1292.3884610414784"/>
    <n v="2.1539807684024641"/>
    <n v="0.32148966692574088"/>
    <m/>
    <m/>
    <m/>
    <x v="2"/>
    <x v="10"/>
    <m/>
    <n v="0.44"/>
    <n v="264"/>
    <d v="2026-03-20T00:00:00"/>
    <n v="56"/>
    <d v="2026-04-23T00:00:00"/>
    <m/>
    <n v="34"/>
    <m/>
    <m/>
    <m/>
    <m/>
  </r>
  <r>
    <n v="69"/>
    <m/>
    <s v="W04005"/>
    <x v="22"/>
    <s v="V-US"/>
    <s v="美国"/>
    <s v="AN8KIT-B_4X10K01"/>
    <n v="300"/>
    <x v="0"/>
    <s v="盐田海卡"/>
    <s v="TCY1"/>
    <s v="AN8KIT-B_4X10K01"/>
    <s v="AN8KIT-B_4X10K01 AN8黑色机器+4x10mL酒店香氛油 机油套装"/>
    <s v="AN8"/>
    <n v="10"/>
    <n v="159.8098591549296"/>
    <s v="重量收费"/>
    <n v="3.9"/>
    <m/>
    <n v="22.935779816513762"/>
    <n v="646.19423052073921"/>
    <n v="2.1539807684024641"/>
    <n v="0.32148966692574088"/>
    <m/>
    <m/>
    <m/>
    <x v="2"/>
    <x v="10"/>
    <m/>
    <n v="0.44"/>
    <n v="132"/>
    <d v="2026-03-20T00:00:00"/>
    <n v="56"/>
    <d v="2026-04-23T00:00:00"/>
    <m/>
    <n v="34"/>
    <m/>
    <m/>
    <m/>
    <m/>
  </r>
  <r>
    <n v="70"/>
    <m/>
    <s v="W04005"/>
    <x v="22"/>
    <s v="V-US"/>
    <s v="美国"/>
    <s v="AN8KIT-B_4X10K02"/>
    <n v="300"/>
    <x v="0"/>
    <s v="盐田海卡"/>
    <s v="TCY1"/>
    <s v="AN8KIT-B_4X10K02"/>
    <s v="AN8KIT-B_4X10K02 AN8黑色机器+4x10mL（天竺）香氛油 机油套装"/>
    <s v="AN8"/>
    <n v="10"/>
    <n v="159.8098591549296"/>
    <s v="重量收费"/>
    <n v="3.9"/>
    <m/>
    <n v="22.935779816513762"/>
    <n v="646.19423052073921"/>
    <n v="2.1539807684024641"/>
    <n v="0.32148966692574088"/>
    <m/>
    <m/>
    <m/>
    <x v="2"/>
    <x v="10"/>
    <m/>
    <n v="0.44"/>
    <n v="132"/>
    <d v="2026-03-20T00:00:00"/>
    <n v="56"/>
    <d v="2026-04-23T00:00:00"/>
    <m/>
    <n v="34"/>
    <m/>
    <m/>
    <m/>
    <m/>
  </r>
  <r>
    <n v="71"/>
    <m/>
    <s v="W04005"/>
    <x v="23"/>
    <s v="V-US"/>
    <s v="美国"/>
    <s v="001000039"/>
    <n v="400"/>
    <x v="0"/>
    <s v="盐田海卡"/>
    <s v="TCY1"/>
    <s v="AN6-GL"/>
    <s v="AN6-GL 便携式扩香仪 翠百合色"/>
    <s v="AN6"/>
    <n v="10"/>
    <n v="159.80714285714285"/>
    <s v="重量收费"/>
    <n v="3.9"/>
    <m/>
    <n v="22.935779816513762"/>
    <n v="646.18363695937092"/>
    <n v="1.6154590923984273"/>
    <n v="0.2411132973728996"/>
    <m/>
    <m/>
    <m/>
    <x v="2"/>
    <x v="10"/>
    <m/>
    <n v="0.37846153846153846"/>
    <n v="151.38461538461539"/>
    <d v="2026-03-20T00:00:00"/>
    <n v="56"/>
    <d v="2026-04-23T00:00:00"/>
    <m/>
    <n v="34"/>
    <m/>
    <m/>
    <m/>
    <m/>
  </r>
  <r>
    <n v="72"/>
    <m/>
    <s v="W04005"/>
    <x v="23"/>
    <s v="V-US"/>
    <s v="美国"/>
    <s v="AND-LV"/>
    <n v="60"/>
    <x v="0"/>
    <s v="盐田海卡"/>
    <s v="TCY1"/>
    <s v="AND-LV"/>
    <s v="AND-LV 便携式双喷扩香仪 薰衣草色"/>
    <s v="AND"/>
    <n v="2"/>
    <n v="31.96142857142857"/>
    <s v="重量收费"/>
    <n v="3.9"/>
    <m/>
    <n v="4.5871559633027523"/>
    <n v="129.23672739187418"/>
    <n v="2.1539454565312366"/>
    <n v="0.32148439649719951"/>
    <m/>
    <m/>
    <m/>
    <x v="2"/>
    <x v="10"/>
    <m/>
    <n v="0.37846153846153846"/>
    <n v="22.707692307692309"/>
    <d v="2026-03-20T00:00:00"/>
    <n v="56"/>
    <d v="2026-04-23T00:00:00"/>
    <m/>
    <n v="34"/>
    <m/>
    <m/>
    <m/>
    <m/>
  </r>
  <r>
    <n v="73"/>
    <m/>
    <s v="W04005"/>
    <x v="23"/>
    <s v="V-US"/>
    <s v="美国"/>
    <s v="AND-MT"/>
    <n v="60"/>
    <x v="0"/>
    <s v="盐田海卡"/>
    <s v="TCY1"/>
    <s v="AND-MT"/>
    <s v="AND-MT 便携式双喷扩香仪 薄荷绿色"/>
    <s v="AND"/>
    <n v="2"/>
    <n v="31.96142857142857"/>
    <s v="重量收费"/>
    <n v="3.9"/>
    <m/>
    <n v="4.5871559633027523"/>
    <n v="129.23672739187418"/>
    <n v="2.1539454565312366"/>
    <n v="0.32148439649719951"/>
    <m/>
    <m/>
    <m/>
    <x v="2"/>
    <x v="10"/>
    <m/>
    <n v="0.37846153846153846"/>
    <n v="22.707692307692309"/>
    <d v="2026-03-20T00:00:00"/>
    <n v="56"/>
    <d v="2026-04-23T00:00:00"/>
    <m/>
    <n v="34"/>
    <m/>
    <m/>
    <m/>
    <m/>
  </r>
  <r>
    <n v="74"/>
    <m/>
    <s v="W04005"/>
    <x v="24"/>
    <s v="A-US"/>
    <s v="美国"/>
    <s v="ANZKIT-B_HILTON30ML"/>
    <n v="120"/>
    <x v="0"/>
    <s v="盐田海卡"/>
    <s v="TCY2"/>
    <s v="ANZKIT-B_HILTON30ML"/>
    <s v="ANZKIT-B_HILTON30ML ANZ黑色机器+30mL希尔顿酒店香氛油（天竺） 机油套装"/>
    <s v="ANZ"/>
    <n v="4"/>
    <n v="56"/>
    <s v="重量收费"/>
    <n v="3.9"/>
    <m/>
    <n v="9.1743119266055047"/>
    <n v="227.5743119266055"/>
    <n v="1.8964525993883792"/>
    <n v="0.28305262677438492"/>
    <m/>
    <m/>
    <m/>
    <x v="2"/>
    <x v="10"/>
    <m/>
    <n v="0.44"/>
    <n v="52.8"/>
    <d v="2026-03-21T00:00:00"/>
    <n v="57"/>
    <d v="2026-04-21T00:00:00"/>
    <m/>
    <n v="31"/>
    <m/>
    <m/>
    <m/>
    <m/>
  </r>
  <r>
    <n v="75"/>
    <m/>
    <s v="W04004"/>
    <x v="25"/>
    <s v="V-CA"/>
    <s v="加拿大"/>
    <s v="001000019"/>
    <n v="240"/>
    <x v="2"/>
    <s v="加拿大海卡"/>
    <s v="YOW3"/>
    <s v="AN6-B"/>
    <s v="AN6-B 便携式扩香仪 黑色"/>
    <s v="AN6"/>
    <n v="6"/>
    <n v="83"/>
    <s v="重量收费"/>
    <n v="6"/>
    <n v="200"/>
    <n v="34.285714285714285"/>
    <n v="532.28571428571433"/>
    <n v="2.217857142857143"/>
    <n v="0.3310234541577825"/>
    <m/>
    <m/>
    <m/>
    <x v="2"/>
    <x v="11"/>
    <m/>
    <n v="0"/>
    <n v="0"/>
    <d v="2026-03-14T00:00:00"/>
    <n v="50"/>
    <d v="2026-04-01T00:00:00"/>
    <n v="240"/>
    <n v="18"/>
    <m/>
    <m/>
    <m/>
    <m/>
  </r>
  <r>
    <n v="76"/>
    <m/>
    <s v="买单报关"/>
    <x v="26"/>
    <s v="V-US"/>
    <s v="美国"/>
    <s v="006000024"/>
    <n v="720"/>
    <x v="1"/>
    <s v="盐田海卡"/>
    <s v="TCY1"/>
    <s v="A-RZ3-100"/>
    <s v="A-Ritz Carlton Hotel 3-100 丽思卡尔顿酒店3香氛油100mL"/>
    <s v="Oil-HQ"/>
    <n v="8"/>
    <n v="157"/>
    <s v="重量收费"/>
    <n v="5.3"/>
    <m/>
    <m/>
    <n v="832.1"/>
    <n v="1.1556944444444446"/>
    <n v="0.17249170812603651"/>
    <m/>
    <m/>
    <m/>
    <x v="2"/>
    <x v="12"/>
    <m/>
    <n v="0.36"/>
    <n v="259.2"/>
    <d v="2026-02-28T00:00:00"/>
    <n v="36"/>
    <d v="2026-03-28T00:00:00"/>
    <n v="717"/>
    <n v="28"/>
    <m/>
    <m/>
    <m/>
    <m/>
  </r>
  <r>
    <n v="77"/>
    <m/>
    <s v="W04002"/>
    <x v="27"/>
    <s v="V-US"/>
    <s v="美国"/>
    <s v="006000024"/>
    <n v="1890"/>
    <x v="3"/>
    <s v="盐田海卡"/>
    <s v="GEU3"/>
    <s v="A-RZ3-100"/>
    <s v="A-Ritz Carlton Hotel 3-100 丽思卡尔顿酒店3香氛油100mL"/>
    <s v="Oil-HQ"/>
    <n v="21"/>
    <n v="1.0828125"/>
    <s v="CBM收费"/>
    <n v="1150"/>
    <n v="190.8"/>
    <n v="125.21250000000001"/>
    <n v="1370.4468750000001"/>
    <n v="0.72510416666666666"/>
    <n v="0.10822450248756219"/>
    <m/>
    <m/>
    <m/>
    <x v="2"/>
    <x v="7"/>
    <m/>
    <n v="0.36402010050251254"/>
    <n v="687.99798994974867"/>
    <d v="2026-02-27T00:00:00"/>
    <n v="35"/>
    <d v="2026-03-30T00:00:00"/>
    <n v="1889"/>
    <n v="31"/>
    <m/>
    <m/>
    <m/>
    <m/>
  </r>
  <r>
    <n v="78"/>
    <m/>
    <s v="W04002"/>
    <x v="27"/>
    <s v="V-US"/>
    <s v="美国"/>
    <s v="RZ-500ML"/>
    <n v="100"/>
    <x v="3"/>
    <s v="盐田海卡"/>
    <s v="GEU3"/>
    <s v="RZ-500ML"/>
    <s v="RZ-500ML 丽思卡尔顿酒店3香氛油500mL"/>
    <s v="Oil-HQ"/>
    <n v="5"/>
    <n v="0.2578125"/>
    <s v="CBM收费"/>
    <n v="1150"/>
    <n v="190.8"/>
    <n v="29.8125"/>
    <n v="326.296875"/>
    <n v="3.2629687500000002"/>
    <n v="0.48701026119402985"/>
    <m/>
    <m/>
    <m/>
    <x v="2"/>
    <x v="7"/>
    <m/>
    <n v="0.36402010050251254"/>
    <n v="36.402010050251256"/>
    <d v="2026-02-27T00:00:00"/>
    <n v="35"/>
    <d v="2026-03-30T00:00:00"/>
    <n v="100"/>
    <n v="31"/>
    <m/>
    <m/>
    <m/>
    <m/>
  </r>
  <r>
    <n v="79"/>
    <m/>
    <s v="W04002"/>
    <x v="28"/>
    <s v="E-US"/>
    <s v="美国"/>
    <s v="HOTEL6KIT1-6X10K01"/>
    <n v="304"/>
    <x v="3"/>
    <s v="盐田海卡"/>
    <s v="GEU3"/>
    <s v="HOTEL6KIT1-6X10K01"/>
    <s v="HOTEL6KIT1-6X10K01 酒店香氛油6款10mL套装"/>
    <s v="Oil-HQ"/>
    <n v="4"/>
    <n v="0.20624999999999999"/>
    <s v="CBM收费"/>
    <n v="1150"/>
    <m/>
    <n v="23.85"/>
    <n v="261.03750000000002"/>
    <n v="0.85867598684210533"/>
    <n v="0.12816059505106051"/>
    <m/>
    <m/>
    <m/>
    <x v="2"/>
    <x v="7"/>
    <m/>
    <n v="0.36000000000000004"/>
    <n v="109.44000000000001"/>
    <d v="2026-02-19T00:00:00"/>
    <n v="27"/>
    <d v="2026-03-30T00:00:00"/>
    <n v="306"/>
    <n v="39"/>
    <m/>
    <m/>
    <m/>
    <m/>
  </r>
  <r>
    <n v="80"/>
    <m/>
    <s v="W04002"/>
    <x v="28"/>
    <s v="E-US"/>
    <s v="美国"/>
    <s v="JY-100ML"/>
    <n v="180"/>
    <x v="3"/>
    <s v="盐田海卡"/>
    <s v="GEU3"/>
    <s v="A-JY-100"/>
    <s v="A-Grand Hyatt Hotel-100 君悦酒店香氛油100mL"/>
    <s v="Oil-HQ"/>
    <n v="2"/>
    <n v="0.10312499999999999"/>
    <s v="CBM收费"/>
    <n v="1150"/>
    <m/>
    <n v="11.925000000000001"/>
    <n v="130.51875000000001"/>
    <n v="0.72510416666666677"/>
    <n v="0.1082245024875622"/>
    <m/>
    <m/>
    <m/>
    <x v="2"/>
    <x v="7"/>
    <m/>
    <n v="0.36000000000000004"/>
    <n v="64.800000000000011"/>
    <d v="2026-02-19T00:00:00"/>
    <n v="27"/>
    <d v="2026-03-30T00:00:00"/>
    <n v="179"/>
    <n v="39"/>
    <m/>
    <m/>
    <m/>
    <m/>
  </r>
  <r>
    <n v="81"/>
    <m/>
    <s v="买单报关"/>
    <x v="29"/>
    <s v="V-US"/>
    <s v="美国"/>
    <s v="HILTON1-100ML_TZ"/>
    <n v="576"/>
    <x v="1"/>
    <s v="盐田海卡"/>
    <s v="GEU3"/>
    <s v="HILTON1-100ML_TZ"/>
    <s v="HILTON1-100ML_TZ 希尔顿酒店100mL香氛油（天竺） 销售包装"/>
    <s v="Oil-TZ"/>
    <n v="9"/>
    <n v="130"/>
    <s v="重量收费"/>
    <n v="5.3"/>
    <m/>
    <m/>
    <n v="689"/>
    <n v="1.1961805555555556"/>
    <n v="0.17853441127694858"/>
    <m/>
    <m/>
    <m/>
    <x v="2"/>
    <x v="12"/>
    <m/>
    <n v="0.36000000000000004"/>
    <n v="207.36"/>
    <d v="2026-02-26T00:00:00"/>
    <n v="34"/>
    <d v="2026-03-28T00:00:00"/>
    <n v="574"/>
    <n v="30"/>
    <m/>
    <m/>
    <m/>
    <m/>
  </r>
  <r>
    <n v="82"/>
    <m/>
    <s v="W04001"/>
    <x v="30"/>
    <s v="E-US"/>
    <s v="美国"/>
    <s v="BCRT1-100ML_TZ"/>
    <n v="384"/>
    <x v="1"/>
    <s v="盐田海卡"/>
    <s v="TCY1"/>
    <s v="BCRT1-100ML_TZ"/>
    <s v="BCRT1-100ML_TZ 巴卡拉酒店100mL香氛油（天竺） 销售包装"/>
    <s v="Oil-TZ"/>
    <n v="6"/>
    <n v="86.84210526315789"/>
    <s v="重量收费"/>
    <n v="5.3"/>
    <n v="350"/>
    <n v="110.52631578947368"/>
    <n v="570.78947368421052"/>
    <n v="1.4864309210526316"/>
    <n v="0.22185536135113904"/>
    <m/>
    <m/>
    <m/>
    <x v="2"/>
    <x v="12"/>
    <m/>
    <n v="0.36"/>
    <n v="138.24"/>
    <d v="2026-02-28T00:00:00"/>
    <n v="36"/>
    <d v="2026-03-29T00:00:00"/>
    <n v="384"/>
    <n v="29"/>
    <m/>
    <m/>
    <m/>
    <m/>
  </r>
  <r>
    <n v="83"/>
    <m/>
    <s v="W04001"/>
    <x v="30"/>
    <s v="E-US"/>
    <s v="美国"/>
    <s v="SJ1-100ML_TZ"/>
    <n v="576"/>
    <x v="1"/>
    <s v="盐田海卡"/>
    <s v="TCY1"/>
    <s v="SJ1-100ML_TZ"/>
    <s v="SJ1-100ML_TZ 四季酒店100mL香氛油（天竺） 销售包装"/>
    <s v="Oil-TZ"/>
    <n v="9"/>
    <n v="130.26315789473682"/>
    <s v="重量收费"/>
    <n v="5.3"/>
    <n v="350"/>
    <n v="165.78947368421052"/>
    <n v="856.18421052631561"/>
    <n v="1.4864309210526312"/>
    <n v="0.22185536135113898"/>
    <m/>
    <m/>
    <m/>
    <x v="2"/>
    <x v="12"/>
    <m/>
    <n v="0.36"/>
    <n v="207.35999999999999"/>
    <d v="2026-02-28T00:00:00"/>
    <n v="36"/>
    <d v="2026-03-29T00:00:00"/>
    <n v="565"/>
    <n v="29"/>
    <m/>
    <m/>
    <m/>
    <m/>
  </r>
  <r>
    <n v="84"/>
    <m/>
    <s v="W04001"/>
    <x v="30"/>
    <s v="E-US"/>
    <s v="美国"/>
    <s v="W1-100ML_TZ"/>
    <n v="256"/>
    <x v="1"/>
    <s v="盐田海卡"/>
    <s v="TCY1"/>
    <s v="W1-100ML_TZ"/>
    <s v="W1-100ML_TZ W酒店100mL香氛油（天竺） 销售包装"/>
    <s v="Oil-TZ"/>
    <n v="4"/>
    <n v="57.89473684210526"/>
    <s v="重量收费"/>
    <n v="5.3"/>
    <m/>
    <n v="73.684210526315795"/>
    <n v="380.52631578947364"/>
    <n v="1.4864309210526314"/>
    <n v="0.22185536135113901"/>
    <m/>
    <m/>
    <m/>
    <x v="2"/>
    <x v="12"/>
    <m/>
    <n v="0.36"/>
    <n v="92.16"/>
    <d v="2026-02-28T00:00:00"/>
    <n v="36"/>
    <d v="2026-03-29T00:00:00"/>
    <n v="254"/>
    <n v="29"/>
    <m/>
    <m/>
    <m/>
    <m/>
  </r>
  <r>
    <n v="85"/>
    <m/>
    <s v="W04003"/>
    <x v="31"/>
    <s v="W-US"/>
    <s v="美国"/>
    <s v="G1-B"/>
    <n v="1088"/>
    <x v="2"/>
    <s v="盐田海卡"/>
    <s v="TCY1"/>
    <s v="G1-B"/>
    <s v="G1-B 电子球形把手锁 黑色"/>
    <s v="G1"/>
    <n v="68"/>
    <n v="911.81818181818176"/>
    <s v="重量收费"/>
    <n v="3.1"/>
    <m/>
    <n v="92.517006802721085"/>
    <n v="2919.1533704390845"/>
    <n v="2.6830453772418057"/>
    <n v="0.40045453391668739"/>
    <m/>
    <m/>
    <m/>
    <x v="2"/>
    <x v="9"/>
    <m/>
    <n v="0.59022727272727271"/>
    <n v="642.16727272727269"/>
    <d v="2026-02-23T00:00:00"/>
    <n v="31"/>
    <d v="2026-04-25T00:00:00"/>
    <m/>
    <n v="61"/>
    <m/>
    <m/>
    <m/>
    <m/>
  </r>
  <r>
    <n v="86"/>
    <m/>
    <s v="W04003"/>
    <x v="31"/>
    <s v="W-US"/>
    <s v="美国"/>
    <s v="G1-DT"/>
    <n v="160"/>
    <x v="2"/>
    <s v="盐田海卡"/>
    <s v="TCY1"/>
    <s v="G1-DT"/>
    <s v="G1-DT 电子球形把手锁 沙漠钛色"/>
    <s v="G1"/>
    <n v="10"/>
    <n v="134.09090909090909"/>
    <s v="重量收费"/>
    <n v="3.1"/>
    <m/>
    <n v="13.605442176870747"/>
    <n v="429.28726035868891"/>
    <n v="2.6830453772418057"/>
    <n v="0.40045453391668739"/>
    <m/>
    <m/>
    <m/>
    <x v="2"/>
    <x v="9"/>
    <m/>
    <n v="0.59022727272727271"/>
    <n v="94.436363636363637"/>
    <d v="2026-02-23T00:00:00"/>
    <n v="31"/>
    <d v="2026-04-25T00:00:00"/>
    <m/>
    <n v="61"/>
    <m/>
    <m/>
    <m/>
    <m/>
  </r>
  <r>
    <n v="87"/>
    <m/>
    <s v="W04003"/>
    <x v="31"/>
    <s v="W-US"/>
    <s v="美国"/>
    <s v="G1-SILV"/>
    <n v="160"/>
    <x v="2"/>
    <s v="盐田海卡"/>
    <s v="TCY1"/>
    <s v="G1-SILV"/>
    <s v="G1-SILV 电子球形把手锁 银色"/>
    <s v="G1"/>
    <n v="10"/>
    <n v="134.09090909090909"/>
    <s v="重量收费"/>
    <n v="3.1"/>
    <m/>
    <n v="13.605442176870747"/>
    <n v="429.28726035868891"/>
    <n v="2.6830453772418057"/>
    <n v="0.40045453391668739"/>
    <m/>
    <m/>
    <m/>
    <x v="2"/>
    <x v="9"/>
    <m/>
    <n v="0.59022727272727271"/>
    <n v="94.436363636363637"/>
    <d v="2026-02-23T00:00:00"/>
    <n v="31"/>
    <d v="2026-04-25T00:00:00"/>
    <m/>
    <n v="61"/>
    <m/>
    <m/>
    <m/>
    <m/>
  </r>
  <r>
    <n v="88"/>
    <m/>
    <s v="W04004"/>
    <x v="32"/>
    <s v="A-CA"/>
    <s v="加拿大"/>
    <s v="002000020"/>
    <n v="228"/>
    <x v="2"/>
    <s v="加拿大海卡"/>
    <s v="YHM1"/>
    <s v="H2-B"/>
    <s v="H2-B 电子指纹球形把手锁-黑色"/>
    <s v="H2"/>
    <n v="19"/>
    <n v="266.65517241379314"/>
    <s v="重量收费"/>
    <n v="6"/>
    <m/>
    <n v="108.57142857142857"/>
    <n v="1708.5024630541875"/>
    <n v="7.4934318555008224"/>
    <n v="1.1184226650001228"/>
    <m/>
    <m/>
    <m/>
    <x v="2"/>
    <x v="11"/>
    <m/>
    <n v="0"/>
    <n v="0"/>
    <d v="2026-03-16T00:00:00"/>
    <n v="52"/>
    <d v="2026-03-26T00:00:00"/>
    <n v="227"/>
    <n v="10"/>
    <m/>
    <m/>
    <m/>
    <m/>
  </r>
  <r>
    <n v="89"/>
    <m/>
    <s v="W04004"/>
    <x v="32"/>
    <s v="A-CA"/>
    <s v="加拿大"/>
    <s v="002000023"/>
    <n v="120"/>
    <x v="2"/>
    <s v="加拿大海卡"/>
    <s v="YHM1"/>
    <s v="H2-SILV"/>
    <s v="H2-SILV 电子指纹球形把手锁-银色"/>
    <s v="H2"/>
    <n v="10"/>
    <n v="140.34482758620692"/>
    <s v="重量收费"/>
    <n v="6"/>
    <m/>
    <n v="57.142857142857146"/>
    <n v="899.21182266009862"/>
    <n v="7.4934318555008215"/>
    <n v="1.1184226650001226"/>
    <m/>
    <m/>
    <m/>
    <x v="2"/>
    <x v="11"/>
    <m/>
    <n v="0"/>
    <n v="0"/>
    <d v="2026-03-16T00:00:00"/>
    <n v="52"/>
    <d v="2026-03-26T00:00:00"/>
    <n v="120"/>
    <n v="10"/>
    <m/>
    <m/>
    <m/>
    <m/>
  </r>
  <r>
    <n v="90"/>
    <m/>
    <s v="W05002"/>
    <x v="33"/>
    <s v="E-UK"/>
    <s v="英国"/>
    <s v="001000019"/>
    <n v="440"/>
    <x v="2"/>
    <s v="英国海卡"/>
    <s v="BHX4"/>
    <s v="AN6-B"/>
    <s v="AN6-B 便携式扩香仪 黑色"/>
    <s v="AN6"/>
    <n v="11"/>
    <n v="0.52433333333333332"/>
    <s v="CBM收费"/>
    <n v="750"/>
    <n v="550"/>
    <n v="201.66666666666663"/>
    <n v="594.91666666666663"/>
    <n v="1.3520833333333333"/>
    <n v="0.20180348258706465"/>
    <m/>
    <m/>
    <s v="是"/>
    <x v="3"/>
    <x v="4"/>
    <m/>
    <n v="0"/>
    <n v="0"/>
    <d v="2026-03-18T00:00:00"/>
    <n v="48"/>
    <d v="2026-04-02T00:00:00"/>
    <n v="440"/>
    <n v="15"/>
    <m/>
    <m/>
    <m/>
    <m/>
  </r>
  <r>
    <n v="91"/>
    <m/>
    <s v="W05002"/>
    <x v="33"/>
    <s v="E-UK"/>
    <s v="英国"/>
    <s v="001000039"/>
    <n v="120"/>
    <x v="2"/>
    <s v="英国海卡"/>
    <s v="BHX4"/>
    <s v="AN6-GL"/>
    <s v="AN6-GL 便携式扩香仪 翠百合色"/>
    <s v="AN6"/>
    <n v="3"/>
    <n v="0.14299999999999999"/>
    <s v="CBM收费"/>
    <n v="750"/>
    <n v="549.99999999999989"/>
    <n v="54.999999999999986"/>
    <n v="162.24999999999997"/>
    <n v="1.3520833333333331"/>
    <n v="0.20180348258706463"/>
    <m/>
    <m/>
    <s v="是"/>
    <x v="3"/>
    <x v="4"/>
    <m/>
    <n v="0"/>
    <n v="0"/>
    <d v="2026-03-18T00:00:00"/>
    <n v="48"/>
    <d v="2026-04-02T00:00:00"/>
    <n v="120"/>
    <n v="15"/>
    <m/>
    <m/>
    <m/>
    <m/>
  </r>
  <r>
    <n v="92"/>
    <m/>
    <s v="W05002"/>
    <x v="33"/>
    <s v="E-UK"/>
    <s v="英国"/>
    <s v="001000020"/>
    <n v="320"/>
    <x v="2"/>
    <s v="英国海卡"/>
    <s v="BHX4"/>
    <s v="AN6-W"/>
    <s v="AN6-W 便携式扩香仪 白色"/>
    <s v="AN6"/>
    <n v="8"/>
    <n v="0.3813333333333333"/>
    <s v="CBM收费"/>
    <n v="750"/>
    <m/>
    <n v="146.66666666666663"/>
    <n v="432.66666666666663"/>
    <n v="1.3520833333333333"/>
    <n v="0.20180348258706465"/>
    <m/>
    <m/>
    <s v="是"/>
    <x v="3"/>
    <x v="4"/>
    <m/>
    <n v="0"/>
    <n v="0"/>
    <d v="2026-03-18T00:00:00"/>
    <n v="48"/>
    <d v="2026-04-02T00:00:00"/>
    <n v="320"/>
    <n v="15"/>
    <m/>
    <m/>
    <m/>
    <m/>
  </r>
  <r>
    <n v="93"/>
    <m/>
    <s v="W05002"/>
    <x v="33"/>
    <s v="E-UK"/>
    <s v="英国"/>
    <s v="001000045"/>
    <n v="180"/>
    <x v="2"/>
    <s v="英国海卡"/>
    <s v="BHX4"/>
    <s v="ANX-B"/>
    <s v="ANX-B 便携式扩香仪 黑色"/>
    <s v="ANX"/>
    <n v="6"/>
    <n v="0.28599999999999998"/>
    <s v="CBM收费"/>
    <n v="750"/>
    <m/>
    <n v="109.99999999999997"/>
    <n v="324.49999999999994"/>
    <n v="1.8027777777777774"/>
    <n v="0.26907131011608615"/>
    <m/>
    <m/>
    <s v="是"/>
    <x v="3"/>
    <x v="4"/>
    <m/>
    <n v="0"/>
    <n v="0"/>
    <d v="2026-03-18T00:00:00"/>
    <n v="48"/>
    <d v="2026-04-02T00:00:00"/>
    <n v="180"/>
    <n v="15"/>
    <m/>
    <m/>
    <m/>
    <m/>
  </r>
  <r>
    <n v="94"/>
    <m/>
    <s v="W05002"/>
    <x v="33"/>
    <s v="E-UK"/>
    <s v="英国"/>
    <s v="001000052"/>
    <n v="60"/>
    <x v="2"/>
    <s v="英国海卡"/>
    <s v="BHX4"/>
    <s v="ANX-DT"/>
    <s v="ANX-DT 便携式扩香仪 沙漠钛色"/>
    <s v="ANX"/>
    <n v="2"/>
    <n v="9.5333333333333325E-2"/>
    <s v="CBM收费"/>
    <n v="750"/>
    <m/>
    <n v="36.666666666666657"/>
    <n v="108.16666666666666"/>
    <n v="1.8027777777777776"/>
    <n v="0.2690713101160862"/>
    <m/>
    <m/>
    <s v="是"/>
    <x v="3"/>
    <x v="4"/>
    <m/>
    <n v="0"/>
    <n v="0"/>
    <d v="2026-03-18T00:00:00"/>
    <n v="48"/>
    <d v="2026-04-02T00:00:00"/>
    <n v="60"/>
    <n v="15"/>
    <m/>
    <m/>
    <m/>
    <m/>
  </r>
  <r>
    <n v="95"/>
    <m/>
    <s v="W05012"/>
    <x v="34"/>
    <s v="V-US"/>
    <s v="美国"/>
    <s v="ADXKIT-B_4X10K04_TZ"/>
    <n v="390"/>
    <x v="2"/>
    <s v="盐田海卡"/>
    <s v="TCY2"/>
    <s v="ADXKIT-B_4X10K04_TZ"/>
    <s v="ADXKIT-B_4X10K04_TZ ADX黑色机器+4x10mL酒店（天竺）香氛油 机油套装"/>
    <s v="ADX"/>
    <n v="13"/>
    <n v="194.69"/>
    <s v="重量收费"/>
    <n v="3.9"/>
    <n v="200"/>
    <n v="11.403508771929825"/>
    <n v="770.6945087719298"/>
    <n v="1.9761397660818714"/>
    <n v="0.29494623374356288"/>
    <m/>
    <m/>
    <m/>
    <x v="3"/>
    <x v="13"/>
    <m/>
    <n v="0.44"/>
    <n v="171.6"/>
    <d v="2026-03-03T00:00:00"/>
    <n v="33"/>
    <d v="2026-04-04T00:00:00"/>
    <n v="390"/>
    <n v="32"/>
    <m/>
    <m/>
    <m/>
    <m/>
  </r>
  <r>
    <n v="96"/>
    <m/>
    <s v="W05012"/>
    <x v="35"/>
    <s v="V-US"/>
    <s v="美国"/>
    <s v="001000019"/>
    <n v="1000"/>
    <x v="2"/>
    <s v="盐田海卡"/>
    <s v="TCY2"/>
    <s v="AN6-B"/>
    <s v="AN6-B 便携式扩香仪 黑色"/>
    <s v="AN6"/>
    <n v="25"/>
    <n v="374.40517241379314"/>
    <s v="重量收费"/>
    <n v="3.9"/>
    <n v="199.99999999999997"/>
    <n v="21.92982456140351"/>
    <n v="1482.1099969751967"/>
    <n v="1.4821099969751967"/>
    <n v="0.22121044730973086"/>
    <m/>
    <m/>
    <m/>
    <x v="3"/>
    <x v="13"/>
    <m/>
    <n v="0.36"/>
    <n v="360"/>
    <d v="2026-03-03T00:00:00"/>
    <n v="33"/>
    <d v="2026-04-07T00:00:00"/>
    <n v="1000"/>
    <n v="35"/>
    <m/>
    <m/>
    <m/>
    <m/>
  </r>
  <r>
    <n v="97"/>
    <m/>
    <s v="W05012"/>
    <x v="35"/>
    <s v="V-US"/>
    <s v="美国"/>
    <s v="AN6-LV"/>
    <n v="120"/>
    <x v="2"/>
    <s v="盐田海卡"/>
    <s v="TCY2"/>
    <s v="AN6-LV"/>
    <s v="AN6-LV 便携式扩香仪 薰衣草"/>
    <s v="AN6"/>
    <n v="3"/>
    <n v="44.928620689655176"/>
    <s v="重量收费"/>
    <n v="3.9"/>
    <m/>
    <n v="2.6315789473684212"/>
    <n v="177.85319963702361"/>
    <n v="1.4821099969751967"/>
    <n v="0.22121044730973086"/>
    <m/>
    <m/>
    <m/>
    <x v="3"/>
    <x v="13"/>
    <m/>
    <n v="0.36"/>
    <n v="43.199999999999996"/>
    <d v="2026-03-03T00:00:00"/>
    <n v="33"/>
    <d v="2026-04-07T00:00:00"/>
    <n v="120"/>
    <n v="35"/>
    <m/>
    <m/>
    <m/>
    <m/>
  </r>
  <r>
    <n v="98"/>
    <m/>
    <s v="W05012"/>
    <x v="35"/>
    <s v="V-US"/>
    <s v="美国"/>
    <s v="001000021"/>
    <n v="200"/>
    <x v="2"/>
    <s v="盐田海卡"/>
    <s v="TCY2"/>
    <s v="AN6NZ-B"/>
    <s v="AN6NZ-B AN6喷嘴配件套装 黑色"/>
    <s v="AN6-AC"/>
    <n v="1"/>
    <n v="14.976206896551725"/>
    <s v="重量收费"/>
    <n v="3.9"/>
    <m/>
    <n v="0.8771929824561403"/>
    <n v="59.284399879007864"/>
    <n v="0.29642199939503933"/>
    <n v="4.4242089461946167E-2"/>
    <m/>
    <m/>
    <m/>
    <x v="3"/>
    <x v="13"/>
    <m/>
    <n v="0.36"/>
    <n v="72"/>
    <d v="2026-03-03T00:00:00"/>
    <n v="33"/>
    <d v="2026-04-07T00:00:00"/>
    <n v="198"/>
    <n v="35"/>
    <m/>
    <m/>
    <m/>
    <m/>
  </r>
  <r>
    <n v="99"/>
    <m/>
    <s v="W05012"/>
    <x v="36"/>
    <s v="E-US"/>
    <s v="美国"/>
    <s v="ANXKIT-B_4X10K04_TZ"/>
    <n v="300"/>
    <x v="2"/>
    <s v="盐田海卡"/>
    <s v="TCY1"/>
    <s v="ANXKIT-B_4X10K04_TZ"/>
    <s v="ANXKIT-B_4X10K04_TZ ANX黑色机器+4x10mL酒店（天竺）香氛油 机油套装"/>
    <s v="ANX"/>
    <n v="10"/>
    <n v="145.7138888888889"/>
    <s v="重量收费"/>
    <n v="3.6"/>
    <m/>
    <n v="8.7719298245614041"/>
    <n v="533.34192982456148"/>
    <n v="1.7778064327485383"/>
    <n v="0.26534424369381171"/>
    <m/>
    <m/>
    <m/>
    <x v="3"/>
    <x v="13"/>
    <m/>
    <n v="0.44"/>
    <n v="132"/>
    <d v="2026-03-02T00:00:00"/>
    <n v="32"/>
    <d v="2026-04-07T00:00:00"/>
    <n v="300"/>
    <n v="36"/>
    <m/>
    <m/>
    <m/>
    <m/>
  </r>
  <r>
    <n v="100"/>
    <m/>
    <s v="W05012"/>
    <x v="36"/>
    <s v="E-US"/>
    <s v="美国"/>
    <s v="ANXKIT-T_4X10K04_TZ"/>
    <n v="180"/>
    <x v="2"/>
    <s v="盐田海卡"/>
    <s v="TCY1"/>
    <s v="ANXKIT-T_4X10K04_TZ"/>
    <s v="ANXKIT-T_4X10K04_TZ ANX钛色机器+4x10mL酒店（天竺）香氛油 机油套装"/>
    <s v="ANX"/>
    <n v="6"/>
    <n v="87.428333333333342"/>
    <s v="重量收费"/>
    <n v="3.6"/>
    <m/>
    <n v="5.2631578947368425"/>
    <n v="320.00515789473684"/>
    <n v="1.7778064327485379"/>
    <n v="0.2653442436938116"/>
    <m/>
    <m/>
    <m/>
    <x v="3"/>
    <x v="13"/>
    <m/>
    <n v="0.44"/>
    <n v="79.2"/>
    <d v="2026-03-02T00:00:00"/>
    <n v="32"/>
    <d v="2026-04-07T00:00:00"/>
    <n v="180"/>
    <n v="36"/>
    <m/>
    <m/>
    <m/>
    <m/>
  </r>
  <r>
    <n v="101"/>
    <m/>
    <s v="W05012"/>
    <x v="36"/>
    <s v="E-US"/>
    <s v="美国"/>
    <s v="ANZKIT-B_4X10K04_TZ"/>
    <n v="600"/>
    <x v="2"/>
    <s v="盐田海卡"/>
    <s v="TCY1"/>
    <s v="ANZKIT-B_4X10K04_TZ"/>
    <s v="ANZKIT-B_4X10K04_TZ ANZ黑色机器+4x10mL酒店（天竺）香氛油 机油套装"/>
    <s v="ANZ"/>
    <n v="20"/>
    <n v="291.42777777777781"/>
    <s v="重量收费"/>
    <n v="3.6"/>
    <m/>
    <n v="17.543859649122808"/>
    <n v="1066.683859649123"/>
    <n v="1.7778064327485383"/>
    <n v="0.26534424369381171"/>
    <m/>
    <m/>
    <m/>
    <x v="3"/>
    <x v="13"/>
    <m/>
    <n v="0.44"/>
    <n v="264"/>
    <d v="2026-03-02T00:00:00"/>
    <n v="32"/>
    <d v="2026-04-07T00:00:00"/>
    <n v="564"/>
    <n v="36"/>
    <m/>
    <m/>
    <m/>
    <m/>
  </r>
  <r>
    <n v="102"/>
    <m/>
    <s v="W05012"/>
    <x v="37"/>
    <s v="E-US"/>
    <s v="美国"/>
    <s v="001000045"/>
    <n v="510"/>
    <x v="2"/>
    <s v="盐田海卡"/>
    <s v="TCY1"/>
    <s v="ANX-B"/>
    <s v="ANX-B 便携式扩香仪 黑色"/>
    <s v="ANX"/>
    <n v="17"/>
    <n v="247.71463768115939"/>
    <s v="重量收费"/>
    <n v="3.6"/>
    <m/>
    <n v="14.912280701754385"/>
    <n v="906.68497635392828"/>
    <n v="1.7778136791253496"/>
    <n v="0.26534532524258947"/>
    <m/>
    <m/>
    <m/>
    <x v="3"/>
    <x v="13"/>
    <m/>
    <n v="0.40734824281150162"/>
    <n v="207.74760383386581"/>
    <d v="2026-03-02T00:00:00"/>
    <n v="32"/>
    <d v="2026-04-05T00:00:00"/>
    <n v="512"/>
    <n v="34"/>
    <m/>
    <m/>
    <m/>
    <m/>
  </r>
  <r>
    <n v="103"/>
    <m/>
    <s v="W05012"/>
    <x v="37"/>
    <s v="E-US"/>
    <s v="美国"/>
    <s v="001000050"/>
    <n v="90"/>
    <x v="2"/>
    <s v="盐田海卡"/>
    <s v="TCY1"/>
    <s v="ANX-RP"/>
    <s v="ANX-RP 便携式扩香仪 红粉色"/>
    <s v="ANX"/>
    <n v="3"/>
    <n v="43.71434782608695"/>
    <s v="重量收费"/>
    <n v="3.6"/>
    <m/>
    <n v="2.6315789473684212"/>
    <n v="160.00323112128143"/>
    <n v="1.7778136791253492"/>
    <n v="0.26534532524258941"/>
    <m/>
    <m/>
    <m/>
    <x v="3"/>
    <x v="13"/>
    <m/>
    <n v="0.40734824281150162"/>
    <n v="36.661341853035147"/>
    <d v="2026-03-02T00:00:00"/>
    <n v="32"/>
    <d v="2026-04-05T00:00:00"/>
    <n v="90"/>
    <n v="34"/>
    <m/>
    <m/>
    <m/>
    <m/>
  </r>
  <r>
    <n v="104"/>
    <m/>
    <s v="W05012"/>
    <x v="37"/>
    <s v="E-US"/>
    <s v="美国"/>
    <s v="ANZ-B"/>
    <n v="1000"/>
    <x v="2"/>
    <s v="盐田海卡"/>
    <s v="TCY1"/>
    <s v="ANZ-B"/>
    <s v="ANZ-B 便携式扩香仪 黑色"/>
    <s v="ANZ"/>
    <n v="25"/>
    <n v="364.28623188405794"/>
    <s v="重量收费"/>
    <n v="3.6"/>
    <m/>
    <n v="21.92982456140351"/>
    <n v="1333.3602593440123"/>
    <n v="1.3333602593440124"/>
    <n v="0.19900899393194213"/>
    <m/>
    <m/>
    <m/>
    <x v="3"/>
    <x v="13"/>
    <m/>
    <n v="0.40734824281150162"/>
    <n v="407.34824281150162"/>
    <d v="2026-03-02T00:00:00"/>
    <n v="32"/>
    <d v="2026-04-05T00:00:00"/>
    <n v="1004"/>
    <n v="34"/>
    <m/>
    <m/>
    <m/>
    <m/>
  </r>
  <r>
    <n v="105"/>
    <m/>
    <s v="W05012"/>
    <x v="37"/>
    <s v="E-US"/>
    <s v="美国"/>
    <s v="ANZ-WH"/>
    <n v="400"/>
    <x v="2"/>
    <s v="盐田海卡"/>
    <s v="TCY1"/>
    <s v="ANZ-WH"/>
    <s v="ANZ-WH 便携式扩香仪 白色"/>
    <s v="ANZ"/>
    <n v="10"/>
    <n v="145.71449275362318"/>
    <s v="重量收费"/>
    <n v="3.6"/>
    <m/>
    <n v="8.7719298245614041"/>
    <n v="533.34410373760488"/>
    <n v="1.3333602593440121"/>
    <n v="0.1990089939319421"/>
    <m/>
    <m/>
    <m/>
    <x v="3"/>
    <x v="13"/>
    <m/>
    <n v="0.40734824281150162"/>
    <n v="162.93929712460064"/>
    <d v="2026-03-02T00:00:00"/>
    <n v="32"/>
    <d v="2026-04-05T00:00:00"/>
    <n v="404"/>
    <n v="34"/>
    <m/>
    <m/>
    <m/>
    <m/>
  </r>
  <r>
    <n v="106"/>
    <m/>
    <s v="W05004"/>
    <x v="38"/>
    <s v="E-AU"/>
    <s v="澳洲"/>
    <s v="AND-B"/>
    <n v="30"/>
    <x v="4"/>
    <s v="澳洲海卡"/>
    <s v="BWU2"/>
    <s v="AND-B"/>
    <s v="AND-B 便携式双喷扩香仪 黑色"/>
    <s v="AND"/>
    <n v="1"/>
    <n v="12.545454545454545"/>
    <s v="重量收费"/>
    <n v="7"/>
    <n v="350"/>
    <n v="31.818181818181817"/>
    <n v="119.63636363636363"/>
    <n v="3.9878787878787874"/>
    <n v="0.59520578923563994"/>
    <m/>
    <m/>
    <m/>
    <x v="4"/>
    <x v="14"/>
    <m/>
    <n v="0"/>
    <n v="0"/>
    <d v="2026-03-17T00:00:00"/>
    <n v="48"/>
    <d v="2026-04-05T00:00:00"/>
    <n v="30"/>
    <n v="19"/>
    <m/>
    <m/>
    <m/>
    <m/>
  </r>
  <r>
    <n v="107"/>
    <m/>
    <s v="W05004"/>
    <x v="38"/>
    <s v="E-AU"/>
    <s v="澳洲"/>
    <s v="001000045"/>
    <n v="120"/>
    <x v="4"/>
    <s v="澳洲海卡"/>
    <s v="BWU2"/>
    <s v="ANX-B"/>
    <s v="ANX-B 便携式扩香仪 黑色"/>
    <s v="ANX"/>
    <n v="4"/>
    <n v="50.18181818181818"/>
    <s v="重量收费"/>
    <n v="7"/>
    <n v="350"/>
    <n v="127.27272727272727"/>
    <n v="478.5454545454545"/>
    <n v="3.9878787878787874"/>
    <n v="0.59520578923563994"/>
    <m/>
    <m/>
    <m/>
    <x v="4"/>
    <x v="14"/>
    <m/>
    <n v="0"/>
    <n v="0"/>
    <d v="2026-03-17T00:00:00"/>
    <n v="48"/>
    <d v="2026-04-05T00:00:00"/>
    <n v="120"/>
    <n v="19"/>
    <m/>
    <m/>
    <m/>
    <m/>
  </r>
  <r>
    <n v="108"/>
    <m/>
    <s v="W05004"/>
    <x v="38"/>
    <s v="E-AU"/>
    <s v="澳洲"/>
    <s v="001000052"/>
    <n v="60"/>
    <x v="4"/>
    <s v="澳洲海卡"/>
    <s v="BWU2"/>
    <s v="ANX-DT"/>
    <s v="ANX-DT 便携式扩香仪 沙漠钛色"/>
    <s v="ANX"/>
    <n v="2"/>
    <n v="25.09090909090909"/>
    <s v="重量收费"/>
    <n v="7"/>
    <m/>
    <n v="63.636363636363633"/>
    <n v="239.27272727272725"/>
    <n v="3.9878787878787874"/>
    <n v="0.59520578923563994"/>
    <m/>
    <m/>
    <m/>
    <x v="4"/>
    <x v="14"/>
    <m/>
    <n v="0"/>
    <n v="0"/>
    <d v="2026-03-17T00:00:00"/>
    <n v="48"/>
    <d v="2026-04-05T00:00:00"/>
    <n v="60"/>
    <n v="19"/>
    <m/>
    <m/>
    <m/>
    <m/>
  </r>
  <r>
    <n v="109"/>
    <m/>
    <s v="W05004"/>
    <x v="38"/>
    <s v="E-AU"/>
    <s v="澳洲"/>
    <s v="001000049"/>
    <n v="60"/>
    <x v="4"/>
    <s v="澳洲海卡"/>
    <s v="BWU2"/>
    <s v="ANX-IB"/>
    <s v="ANX-IB 便携式扩香仪 冰蓝色"/>
    <s v="ANX"/>
    <n v="2"/>
    <n v="25.09090909090909"/>
    <s v="重量收费"/>
    <n v="7"/>
    <m/>
    <n v="63.636363636363633"/>
    <n v="239.27272727272725"/>
    <n v="3.9878787878787874"/>
    <n v="0.59520578923563994"/>
    <m/>
    <m/>
    <m/>
    <x v="4"/>
    <x v="14"/>
    <m/>
    <n v="0"/>
    <n v="0"/>
    <d v="2026-03-17T00:00:00"/>
    <n v="48"/>
    <d v="2026-04-05T00:00:00"/>
    <n v="60"/>
    <n v="19"/>
    <m/>
    <m/>
    <m/>
    <m/>
  </r>
  <r>
    <n v="110"/>
    <m/>
    <s v="W05004"/>
    <x v="38"/>
    <s v="E-AU"/>
    <s v="澳洲"/>
    <s v="001000050"/>
    <n v="60"/>
    <x v="4"/>
    <s v="澳洲海卡"/>
    <s v="BWU2"/>
    <s v="ANX-RP"/>
    <s v="ANX-RP 便携式扩香仪 红粉色"/>
    <s v="ANX"/>
    <n v="2"/>
    <n v="25.09090909090909"/>
    <s v="重量收费"/>
    <n v="7"/>
    <m/>
    <n v="63.636363636363633"/>
    <n v="239.27272727272725"/>
    <n v="3.9878787878787874"/>
    <n v="0.59520578923563994"/>
    <m/>
    <m/>
    <m/>
    <x v="4"/>
    <x v="14"/>
    <m/>
    <n v="0"/>
    <n v="0"/>
    <d v="2026-03-17T00:00:00"/>
    <n v="48"/>
    <d v="2026-04-05T00:00:00"/>
    <n v="60"/>
    <n v="19"/>
    <m/>
    <m/>
    <m/>
    <m/>
  </r>
  <r>
    <n v="111"/>
    <m/>
    <s v="W05012"/>
    <x v="37"/>
    <s v="E-US"/>
    <s v="美国"/>
    <s v="003000007"/>
    <n v="180"/>
    <x v="2"/>
    <s v="盐田海卡"/>
    <s v="TCY1"/>
    <s v="AP2F-H14"/>
    <s v="AP2F-H14 空气净化器滤网2-H14"/>
    <s v="AP2F"/>
    <n v="5"/>
    <n v="72.857246376811588"/>
    <s v="重量收费"/>
    <n v="3.6"/>
    <s v=" "/>
    <n v="4.3859649122807021"/>
    <n v="266.67205186880244"/>
    <n v="1.4815113992711246"/>
    <n v="0.22112110436882457"/>
    <m/>
    <m/>
    <m/>
    <x v="3"/>
    <x v="13"/>
    <m/>
    <n v="0.40734824281150162"/>
    <n v="73.322683706070293"/>
    <d v="2026-03-02T00:00:00"/>
    <n v="32"/>
    <d v="2026-04-05T00:00:00"/>
    <n v="180"/>
    <n v="34"/>
    <m/>
    <m/>
    <m/>
    <m/>
  </r>
  <r>
    <n v="112"/>
    <m/>
    <s v="W05012"/>
    <x v="37"/>
    <s v="E-US"/>
    <s v="美国"/>
    <s v="003000007"/>
    <n v="72"/>
    <x v="2"/>
    <s v="盐田海卡"/>
    <s v="TCY1"/>
    <s v="AP2F-H14"/>
    <s v="AP2F-H14 空气净化器滤网2-H14"/>
    <s v="AP2F"/>
    <n v="2"/>
    <n v="29.142898550724635"/>
    <s v="重量收费"/>
    <n v="3.6"/>
    <s v=" "/>
    <n v="1.7543859649122806"/>
    <n v="106.66882074752095"/>
    <n v="1.4815113992711244"/>
    <n v="0.22112110436882454"/>
    <m/>
    <m/>
    <m/>
    <x v="3"/>
    <x v="13"/>
    <m/>
    <n v="0.40734824281150162"/>
    <n v="29.329073482428115"/>
    <d v="2026-03-02T00:00:00"/>
    <n v="32"/>
    <d v="2026-04-05T00:00:00"/>
    <n v="71"/>
    <n v="34"/>
    <m/>
    <m/>
    <m/>
    <m/>
  </r>
  <r>
    <n v="113"/>
    <m/>
    <s v="W05012"/>
    <x v="37"/>
    <s v="E-US"/>
    <s v="美国"/>
    <s v="003000005"/>
    <n v="252"/>
    <x v="2"/>
    <s v="盐田海卡"/>
    <s v="TCY1"/>
    <s v="AP2F-H13"/>
    <s v="AP2F-H13 空气净化器滤网2-H13"/>
    <s v="AP2F"/>
    <n v="7"/>
    <n v="102.00014492753623"/>
    <s v="重量收费"/>
    <n v="3.6"/>
    <m/>
    <n v="6.1403508771929829"/>
    <n v="373.3408726163234"/>
    <n v="1.4815113992711246"/>
    <n v="0.22112110436882457"/>
    <m/>
    <m/>
    <m/>
    <x v="3"/>
    <x v="13"/>
    <m/>
    <n v="0.40734824281150162"/>
    <n v="102.65175718849841"/>
    <d v="2026-03-02T00:00:00"/>
    <n v="32"/>
    <d v="2026-04-05T00:00:00"/>
    <n v="250"/>
    <n v="34"/>
    <m/>
    <m/>
    <m/>
    <m/>
  </r>
  <r>
    <n v="114"/>
    <m/>
    <s v="W05013"/>
    <x v="39"/>
    <s v="V-US"/>
    <s v="美国"/>
    <s v="AN6KIT-B_4X10K04_TZ"/>
    <n v="840"/>
    <x v="0"/>
    <s v="盐田海卡"/>
    <s v="MIT2"/>
    <s v="AN6KIT-B_4X10K04_TZ"/>
    <s v="AN6KIT-B_4X10K04_TZ AN6黑色机器+4x10mL酒店（天竺）香氛油 机油套装"/>
    <s v="AN6"/>
    <n v="28"/>
    <n v="460.72727272727269"/>
    <s v="重量收费"/>
    <n v="3.9"/>
    <n v="200"/>
    <n v="17.721518987341771"/>
    <n v="1814.5578826237054"/>
    <n v="2.1601879555044112"/>
    <n v="0.32241611276185239"/>
    <m/>
    <m/>
    <m/>
    <x v="3"/>
    <x v="13"/>
    <m/>
    <n v="0.43999999999999995"/>
    <n v="369.59999999999997"/>
    <d v="2026-02-26T00:00:00"/>
    <n v="28"/>
    <d v="2026-04-01T00:00:00"/>
    <n v="845"/>
    <n v="34"/>
    <m/>
    <m/>
    <m/>
    <m/>
  </r>
  <r>
    <n v="115"/>
    <m/>
    <s v="W05013"/>
    <x v="39"/>
    <s v="V-US"/>
    <s v="美国"/>
    <s v="AN6KIT-WH_4X10K04_TZ"/>
    <n v="480"/>
    <x v="0"/>
    <s v="盐田海卡"/>
    <s v="MIT2"/>
    <s v="AN6KIT-WH_4X10K04_TZ"/>
    <s v="AN6KIT-WH_4X10K04_TZ AN6白色机器+4x10mL酒店（天竺）香氛油 机油套装"/>
    <s v="AN6"/>
    <n v="16"/>
    <n v="263.27272727272725"/>
    <s v="重量收费"/>
    <n v="3.9"/>
    <n v="200.00000000000006"/>
    <n v="10.126582278481013"/>
    <n v="1036.8902186421174"/>
    <n v="2.1601879555044112"/>
    <n v="0.32241611276185239"/>
    <m/>
    <m/>
    <m/>
    <x v="3"/>
    <x v="13"/>
    <m/>
    <n v="0.43999999999999995"/>
    <n v="211.2"/>
    <d v="2026-02-26T00:00:00"/>
    <n v="28"/>
    <d v="2026-04-01T00:00:00"/>
    <n v="480"/>
    <n v="34"/>
    <m/>
    <m/>
    <m/>
    <m/>
  </r>
  <r>
    <n v="116"/>
    <m/>
    <s v="W05013"/>
    <x v="40"/>
    <s v="V-US"/>
    <s v="美国"/>
    <s v="001000033"/>
    <n v="1344"/>
    <x v="0"/>
    <s v="盐田海卡"/>
    <s v="TCY2"/>
    <s v="ANW-W"/>
    <s v="ANW-W 智能扩香仪 白色"/>
    <s v="ANW"/>
    <n v="112"/>
    <n v="1704.55"/>
    <s v="重量收费"/>
    <n v="4.4000000000000004"/>
    <m/>
    <n v="70.886075949367083"/>
    <n v="7570.9060759493677"/>
    <n v="5.6331146398432796"/>
    <n v="0.84076337908108645"/>
    <m/>
    <m/>
    <m/>
    <x v="3"/>
    <x v="13"/>
    <m/>
    <n v="0.55999999999999994"/>
    <n v="752.63999999999987"/>
    <d v="2026-02-26T00:00:00"/>
    <n v="28"/>
    <d v="2026-03-31T00:00:00"/>
    <n v="1357"/>
    <n v="33"/>
    <m/>
    <m/>
    <m/>
    <m/>
  </r>
  <r>
    <n v="117"/>
    <m/>
    <s v="W05013"/>
    <x v="41"/>
    <s v="V-US"/>
    <s v="美国"/>
    <s v="ANAKIT-B_US_2X100K03"/>
    <n v="240"/>
    <x v="0"/>
    <s v="盐田海卡"/>
    <s v="TCY2"/>
    <s v="ANAKIT-B_US_2X100K03"/>
    <s v="ANAKIT-B_US_2X100K03 ANA黑色机器+2X100mL酒店香氛油（天竺） 机油套装"/>
    <s v="ANA"/>
    <n v="20"/>
    <n v="304.38235294117652"/>
    <s v="重量收费"/>
    <n v="4.4000000000000004"/>
    <m/>
    <n v="12.658227848101266"/>
    <n v="1351.9405807892781"/>
    <n v="5.6330857532886585"/>
    <n v="0.84075906765502362"/>
    <m/>
    <m/>
    <m/>
    <x v="3"/>
    <x v="13"/>
    <m/>
    <n v="0.55999999999999994"/>
    <n v="134.39999999999998"/>
    <d v="2026-02-26T00:00:00"/>
    <n v="28"/>
    <d v="2026-03-29T00:00:00"/>
    <n v="240"/>
    <n v="31"/>
    <m/>
    <m/>
    <m/>
    <m/>
  </r>
  <r>
    <n v="118"/>
    <m/>
    <s v="W05013"/>
    <x v="41"/>
    <s v="V-US"/>
    <s v="美国"/>
    <s v="ANAKIT-WH_US_2X100K03"/>
    <n v="168"/>
    <x v="0"/>
    <s v="盐田海卡"/>
    <s v="TCY2"/>
    <s v="ANAKIT-WH_US_2X100K03"/>
    <s v="ANAKIT-WH_US_2X100K03 ANA白色机器+2X100mL酒店香氛油（天竺） 机油套装"/>
    <s v="ANA"/>
    <n v="14"/>
    <n v="213.06764705882355"/>
    <s v="重量收费"/>
    <n v="4.4000000000000004"/>
    <m/>
    <n v="8.8607594936708853"/>
    <n v="946.35840655249467"/>
    <n v="5.6330857532886585"/>
    <n v="0.84075906765502362"/>
    <m/>
    <m/>
    <m/>
    <x v="3"/>
    <x v="13"/>
    <m/>
    <n v="0.55999999999999994"/>
    <n v="94.079999999999984"/>
    <d v="2026-02-26T00:00:00"/>
    <n v="28"/>
    <d v="2026-03-29T00:00:00"/>
    <n v="156"/>
    <n v="31"/>
    <m/>
    <m/>
    <m/>
    <m/>
  </r>
  <r>
    <n v="119"/>
    <m/>
    <s v="W05003"/>
    <x v="42"/>
    <s v="W-CA"/>
    <s v="加拿大"/>
    <s v="007000001"/>
    <n v="64"/>
    <x v="2"/>
    <s v="加拿大海卡"/>
    <s v="YHM1"/>
    <s v="X1-B"/>
    <s v="X1-B 智能入户门锁 黑色"/>
    <s v="X1"/>
    <n v="4"/>
    <n v="69"/>
    <s v="重量收费"/>
    <n v="6"/>
    <n v="200"/>
    <n v="200"/>
    <n v="614"/>
    <n v="9.59375"/>
    <n v="1.4319029850746268"/>
    <m/>
    <m/>
    <m/>
    <x v="3"/>
    <x v="14"/>
    <m/>
    <n v="0"/>
    <n v="0"/>
    <d v="2026-03-23T00:00:00"/>
    <n v="53"/>
    <d v="2026-04-05T00:00:00"/>
    <n v="64"/>
    <n v="13"/>
    <m/>
    <m/>
    <m/>
    <m/>
  </r>
  <r>
    <n v="120"/>
    <m/>
    <s v="W05012"/>
    <x v="43"/>
    <s v="W-US"/>
    <s v="美国"/>
    <s v="007000001"/>
    <n v="816"/>
    <x v="2"/>
    <s v="盐田海卡"/>
    <s v="TCY2"/>
    <s v="X1-B"/>
    <s v="X1-B 智能入户门锁 黑色"/>
    <s v="X1"/>
    <n v="51"/>
    <n v="873.29629629629619"/>
    <s v="重量收费"/>
    <n v="3.7"/>
    <n v="200"/>
    <n v="44.736842105263158"/>
    <n v="3275.9331384015595"/>
    <n v="4.0146239441195579"/>
    <n v="0.59919760359993401"/>
    <m/>
    <m/>
    <m/>
    <x v="3"/>
    <x v="13"/>
    <m/>
    <n v="0.55999999999999994"/>
    <n v="456.96"/>
    <d v="2026-03-03T00:00:00"/>
    <n v="33"/>
    <d v="2026-04-08T00:00:00"/>
    <n v="816"/>
    <n v="36"/>
    <m/>
    <m/>
    <m/>
    <m/>
  </r>
  <r>
    <n v="121"/>
    <m/>
    <s v="W05012"/>
    <x v="43"/>
    <s v="W-US"/>
    <s v="美国"/>
    <s v="007000002"/>
    <n v="384"/>
    <x v="2"/>
    <s v="盐田海卡"/>
    <s v="TCY2"/>
    <s v="X1-SG"/>
    <s v="X1-SG 智能入户门锁 太空灰色"/>
    <s v="X1"/>
    <n v="24"/>
    <n v="410.96296296296293"/>
    <s v="重量收费"/>
    <n v="3.7"/>
    <m/>
    <n v="21.05263157894737"/>
    <n v="1541.6155945419102"/>
    <n v="4.0146239441195579"/>
    <n v="0.59919760359993401"/>
    <m/>
    <m/>
    <m/>
    <x v="3"/>
    <x v="13"/>
    <m/>
    <n v="0.55999999999999994"/>
    <n v="215.03999999999996"/>
    <d v="2026-03-03T00:00:00"/>
    <n v="33"/>
    <d v="2026-04-08T00:00:00"/>
    <n v="384"/>
    <n v="36"/>
    <m/>
    <m/>
    <m/>
    <m/>
  </r>
  <r>
    <n v="122"/>
    <m/>
    <s v="W05012"/>
    <x v="43"/>
    <s v="W-US"/>
    <s v="美国"/>
    <s v="X3-B"/>
    <n v="96"/>
    <x v="2"/>
    <s v="盐田海卡"/>
    <s v="TCY2"/>
    <s v="X3-B"/>
    <s v="X3-B 智能入户门锁 黑色"/>
    <s v="X3"/>
    <n v="6"/>
    <n v="102.74074074074073"/>
    <s v="重量收费"/>
    <n v="3.7"/>
    <m/>
    <n v="5.2631578947368425"/>
    <n v="385.40389863547756"/>
    <n v="4.0146239441195579"/>
    <n v="0.59919760359993401"/>
    <m/>
    <m/>
    <m/>
    <x v="3"/>
    <x v="13"/>
    <m/>
    <n v="0.55999999999999994"/>
    <n v="53.759999999999991"/>
    <d v="2026-03-03T00:00:00"/>
    <n v="33"/>
    <d v="2026-04-08T00:00:00"/>
    <n v="96"/>
    <n v="36"/>
    <m/>
    <m/>
    <m/>
    <m/>
  </r>
  <r>
    <n v="123"/>
    <m/>
    <s v="W05013"/>
    <x v="44"/>
    <s v="W-US"/>
    <s v="美国"/>
    <s v="002000027"/>
    <n v="80"/>
    <x v="0"/>
    <s v="盐田海卡"/>
    <s v="TCY2"/>
    <s v="M1-B"/>
    <s v="M1-B 电子球形把手锁 黑色"/>
    <s v="M1"/>
    <n v="5"/>
    <n v="75.039682539682545"/>
    <s v="重量收费"/>
    <n v="3.9"/>
    <m/>
    <n v="3.1645569620253164"/>
    <n v="295.81931886678723"/>
    <n v="3.6977414858348405"/>
    <n v="0.55190171430370749"/>
    <m/>
    <m/>
    <m/>
    <x v="3"/>
    <x v="13"/>
    <m/>
    <n v="0.56000000000000005"/>
    <n v="44.800000000000004"/>
    <d v="2026-02-26T00:00:00"/>
    <n v="28"/>
    <d v="2026-03-31T00:00:00"/>
    <n v="94"/>
    <n v="33"/>
    <m/>
    <m/>
    <m/>
    <m/>
  </r>
  <r>
    <n v="124"/>
    <m/>
    <s v="W05013"/>
    <x v="44"/>
    <s v="W-US"/>
    <s v="美国"/>
    <s v="002000028"/>
    <n v="672"/>
    <x v="0"/>
    <s v="盐田海卡"/>
    <s v="TCY2"/>
    <s v="M1-T"/>
    <s v="M1-T 电子球形把手锁 钛灰色"/>
    <s v="M1"/>
    <n v="42"/>
    <n v="630.33333333333337"/>
    <s v="重量收费"/>
    <n v="3.9"/>
    <m/>
    <n v="26.582278481012658"/>
    <n v="2484.8822784810127"/>
    <n v="3.6977414858348405"/>
    <n v="0.55190171430370749"/>
    <m/>
    <m/>
    <m/>
    <x v="3"/>
    <x v="13"/>
    <m/>
    <n v="0.56000000000000005"/>
    <n v="376.32000000000005"/>
    <d v="2026-02-26T00:00:00"/>
    <n v="28"/>
    <d v="2026-03-31T00:00:00"/>
    <n v="672"/>
    <n v="33"/>
    <m/>
    <m/>
    <m/>
    <m/>
  </r>
  <r>
    <n v="125"/>
    <m/>
    <s v="W05013"/>
    <x v="44"/>
    <s v="W-US"/>
    <s v="美国"/>
    <s v="002000029"/>
    <n v="592"/>
    <x v="0"/>
    <s v="盐田海卡"/>
    <s v="TCY2"/>
    <s v="MD1-B"/>
    <s v="MD1-B 电子球形把手锁 指纹 黑色"/>
    <s v="MD1"/>
    <n v="37"/>
    <n v="555.29365079365084"/>
    <s v="重量收费"/>
    <n v="3.9"/>
    <m/>
    <n v="23.417721518987342"/>
    <n v="2189.0629596142257"/>
    <n v="3.697741485834841"/>
    <n v="0.5519017143037076"/>
    <m/>
    <m/>
    <m/>
    <x v="3"/>
    <x v="13"/>
    <m/>
    <n v="0.56000000000000005"/>
    <n v="331.52000000000004"/>
    <d v="2026-02-26T00:00:00"/>
    <n v="28"/>
    <d v="2026-03-31T00:00:00"/>
    <n v="592"/>
    <n v="33"/>
    <m/>
    <m/>
    <m/>
    <m/>
  </r>
  <r>
    <n v="126"/>
    <m/>
    <s v="W05013"/>
    <x v="44"/>
    <s v="W-US"/>
    <s v="美国"/>
    <s v="002000038"/>
    <n v="240"/>
    <x v="0"/>
    <s v="盐田海卡"/>
    <s v="TCY2"/>
    <s v="MD1-SILV"/>
    <s v="MD1-SILV 电子球形把手锁 指纹 银色"/>
    <s v="MD1"/>
    <n v="15"/>
    <n v="225.11904761904762"/>
    <s v="重量收费"/>
    <n v="3.9"/>
    <m/>
    <n v="9.4936708860759502"/>
    <n v="887.45795660036163"/>
    <n v="3.6977414858348401"/>
    <n v="0.55190171430370749"/>
    <m/>
    <m/>
    <m/>
    <x v="3"/>
    <x v="13"/>
    <m/>
    <n v="0.56000000000000005"/>
    <n v="134.4"/>
    <d v="2026-02-26T00:00:00"/>
    <n v="28"/>
    <d v="2026-03-31T00:00:00"/>
    <n v="240"/>
    <n v="33"/>
    <m/>
    <m/>
    <m/>
    <m/>
  </r>
  <r>
    <n v="127"/>
    <m/>
    <s v="W05013"/>
    <x v="44"/>
    <s v="W-US"/>
    <s v="美国"/>
    <s v="002000030"/>
    <n v="272"/>
    <x v="0"/>
    <s v="盐田海卡"/>
    <s v="TCY2"/>
    <s v="MD1-T"/>
    <s v="MD1-T 电子球形把手锁 指纹 钛灰色"/>
    <s v="MD1"/>
    <n v="17"/>
    <n v="255.13492063492063"/>
    <s v="重量收费"/>
    <n v="3.9"/>
    <m/>
    <n v="10.759493670886076"/>
    <n v="1005.7856841470765"/>
    <n v="3.6977414858348401"/>
    <n v="0.55190171430370749"/>
    <m/>
    <m/>
    <m/>
    <x v="3"/>
    <x v="13"/>
    <m/>
    <n v="0.56000000000000005"/>
    <n v="152.32000000000002"/>
    <d v="2026-02-26T00:00:00"/>
    <n v="28"/>
    <d v="2026-03-31T00:00:00"/>
    <n v="272"/>
    <n v="33"/>
    <m/>
    <m/>
    <m/>
    <m/>
  </r>
  <r>
    <n v="128"/>
    <m/>
    <s v="W05013"/>
    <x v="44"/>
    <s v="W-US"/>
    <s v="美国"/>
    <s v="002000031"/>
    <n v="16"/>
    <x v="0"/>
    <s v="盐田海卡"/>
    <s v="TCY2"/>
    <s v="MK1-B"/>
    <s v="MK1-B 智能球形把手锁 黑色"/>
    <s v="MK1"/>
    <n v="1"/>
    <n v="15.007936507936508"/>
    <s v="重量收费"/>
    <n v="3.9"/>
    <m/>
    <n v="0.63291139240506333"/>
    <n v="59.163863773357441"/>
    <n v="3.6977414858348401"/>
    <n v="0.55190171430370749"/>
    <m/>
    <m/>
    <m/>
    <x v="3"/>
    <x v="13"/>
    <m/>
    <n v="0.56000000000000005"/>
    <n v="8.9600000000000009"/>
    <d v="2026-02-26T00:00:00"/>
    <n v="28"/>
    <d v="2026-03-31T00:00:00"/>
    <n v="16"/>
    <n v="33"/>
    <m/>
    <m/>
    <m/>
    <m/>
  </r>
  <r>
    <n v="129"/>
    <m/>
    <s v="W05013"/>
    <x v="44"/>
    <s v="W-US"/>
    <s v="美国"/>
    <s v="002000033"/>
    <n v="80"/>
    <x v="0"/>
    <s v="盐田海卡"/>
    <s v="TCY2"/>
    <s v="MK1-SILV"/>
    <s v="MK1-SILV 智能球形把手锁 银色"/>
    <s v="MK1"/>
    <n v="5"/>
    <n v="75.039682539682545"/>
    <s v="重量收费"/>
    <n v="3.9"/>
    <m/>
    <n v="3.1645569620253164"/>
    <n v="295.81931886678723"/>
    <n v="3.6977414858348405"/>
    <n v="0.55190171430370749"/>
    <m/>
    <m/>
    <m/>
    <x v="3"/>
    <x v="13"/>
    <m/>
    <n v="0.56000000000000005"/>
    <n v="44.800000000000004"/>
    <d v="2026-02-26T00:00:00"/>
    <n v="28"/>
    <d v="2026-03-31T00:00:00"/>
    <n v="80"/>
    <n v="33"/>
    <m/>
    <m/>
    <m/>
    <m/>
  </r>
  <r>
    <n v="130"/>
    <m/>
    <s v="W05013"/>
    <x v="44"/>
    <s v="W-US"/>
    <s v="美国"/>
    <s v="002000032"/>
    <n v="64"/>
    <x v="0"/>
    <s v="盐田海卡"/>
    <s v="TCY2"/>
    <s v="MK1-T"/>
    <s v="MK1-T 智能球形把手锁 钛色"/>
    <s v="MK1"/>
    <n v="4"/>
    <n v="60.031746031746032"/>
    <s v="重量收费"/>
    <n v="3.9"/>
    <m/>
    <n v="2.5316455696202533"/>
    <n v="236.65545509342977"/>
    <n v="3.6977414858348401"/>
    <n v="0.55190171430370749"/>
    <m/>
    <m/>
    <m/>
    <x v="3"/>
    <x v="13"/>
    <m/>
    <n v="0.56000000000000005"/>
    <n v="35.840000000000003"/>
    <d v="2026-02-26T00:00:00"/>
    <n v="28"/>
    <d v="2026-03-31T00:00:00"/>
    <n v="64"/>
    <n v="33"/>
    <m/>
    <m/>
    <m/>
    <m/>
  </r>
  <r>
    <n v="131"/>
    <m/>
    <s v="W05005"/>
    <x v="45"/>
    <s v="V-US"/>
    <s v="美国"/>
    <s v="006000024"/>
    <n v="450"/>
    <x v="1"/>
    <s v="盐田海卡"/>
    <s v="TCY2"/>
    <s v="A-RZ3-100"/>
    <s v="A-Ritz Carlton Hotel 3-100 丽思卡尔顿酒店3香氛油100mL"/>
    <s v="Oil-HQ"/>
    <n v="5"/>
    <n v="80"/>
    <s v="重量收费"/>
    <n v="5.6"/>
    <n v="200"/>
    <n v="90.909090909090907"/>
    <n v="538.90909090909088"/>
    <n v="1.1975757575757575"/>
    <n v="0.17874265038444143"/>
    <m/>
    <m/>
    <m/>
    <x v="5"/>
    <x v="15"/>
    <m/>
    <n v="0.37684210526315792"/>
    <n v="169.57894736842107"/>
    <d v="2026-03-05T00:00:00"/>
    <n v="34"/>
    <d v="2026-04-06T00:00:00"/>
    <n v="450"/>
    <n v="32"/>
    <m/>
    <m/>
    <m/>
    <m/>
  </r>
  <r>
    <n v="132"/>
    <m/>
    <s v="W05005"/>
    <x v="45"/>
    <s v="V-US"/>
    <s v="美国"/>
    <s v="RZ-500ML"/>
    <n v="120"/>
    <x v="1"/>
    <s v="盐田海卡"/>
    <s v="TCY2"/>
    <s v="RZ-500ML"/>
    <s v="RZ-500ML 丽思卡尔顿酒店3香氛油500mL"/>
    <s v="Oil-HQ"/>
    <n v="6"/>
    <n v="96"/>
    <s v="重量收费"/>
    <n v="5.6"/>
    <n v="200"/>
    <n v="109.09090909090909"/>
    <n v="646.69090909090903"/>
    <n v="5.3890909090909087"/>
    <n v="0.80434192672998639"/>
    <m/>
    <m/>
    <m/>
    <x v="5"/>
    <x v="15"/>
    <m/>
    <n v="0.37684210526315792"/>
    <n v="45.221052631578949"/>
    <d v="2026-03-05T00:00:00"/>
    <n v="34"/>
    <d v="2026-04-06T00:00:00"/>
    <n v="120"/>
    <n v="32"/>
    <m/>
    <m/>
    <m/>
    <m/>
  </r>
  <r>
    <n v="133"/>
    <m/>
    <s v="W05006"/>
    <x v="46"/>
    <s v="E-US"/>
    <s v="美国"/>
    <s v="BLG1-100ML"/>
    <n v="360"/>
    <x v="3"/>
    <s v="盐田海卡"/>
    <s v="GEU5"/>
    <s v="BLG1-100ML"/>
    <s v="BLG1-100ML 百乐宫酒店香氛油100mL"/>
    <s v="Oil-HQ"/>
    <n v="4"/>
    <n v="0.33333333333333331"/>
    <s v="CBM收费"/>
    <n v="1150"/>
    <n v="190.8"/>
    <n v="63.6"/>
    <n v="446.93333333333334"/>
    <n v="1.2414814814814814"/>
    <n v="0.18529574350469871"/>
    <m/>
    <m/>
    <m/>
    <x v="5"/>
    <x v="13"/>
    <m/>
    <n v="0.36000000000000004"/>
    <n v="129.60000000000002"/>
    <d v="2026-03-03T00:00:00"/>
    <n v="32"/>
    <d v="2026-04-01T00:00:00"/>
    <n v="359"/>
    <n v="29"/>
    <m/>
    <m/>
    <m/>
    <m/>
  </r>
  <r>
    <n v="134"/>
    <m/>
    <s v="W05006"/>
    <x v="46"/>
    <s v="E-US"/>
    <s v="美国"/>
    <s v="HOTEL6KIT1-6X10K01"/>
    <n v="608"/>
    <x v="3"/>
    <s v="盐田海卡"/>
    <s v="GEU5"/>
    <s v="HOTEL6KIT1-6X10K01"/>
    <s v="HOTEL6KIT1-6X10K01 酒店香氛油6款10mL套装"/>
    <s v="Oil-HQ"/>
    <n v="8"/>
    <n v="0.66666666666666663"/>
    <s v="CBM收费"/>
    <n v="1150"/>
    <n v="190.8"/>
    <n v="127.2"/>
    <n v="893.86666666666667"/>
    <n v="1.4701754385964911"/>
    <n v="0.21942916993977479"/>
    <m/>
    <m/>
    <m/>
    <x v="5"/>
    <x v="13"/>
    <m/>
    <n v="0.36000000000000004"/>
    <n v="218.88000000000002"/>
    <d v="2026-03-03T00:00:00"/>
    <n v="32"/>
    <d v="2026-04-01T00:00:00"/>
    <n v="607"/>
    <n v="29"/>
    <m/>
    <m/>
    <m/>
    <m/>
  </r>
  <r>
    <n v="135"/>
    <m/>
    <s v="买单报关"/>
    <x v="47"/>
    <s v="E-US"/>
    <s v="美国"/>
    <s v="006000026"/>
    <n v="270"/>
    <x v="3"/>
    <s v="盐田海卡"/>
    <s v="GEU5"/>
    <s v="A-MT-100"/>
    <s v="A-Marriott Hotel 1-100 万豪酒店1香氛油100mL"/>
    <s v="Oil-HQ"/>
    <n v="3"/>
    <n v="57.5"/>
    <s v="重量收费"/>
    <n v="5.8"/>
    <m/>
    <m/>
    <n v="333.5"/>
    <n v="1.2351851851851852"/>
    <n v="0.1843559977888336"/>
    <m/>
    <m/>
    <m/>
    <x v="5"/>
    <x v="15"/>
    <m/>
    <n v="0.36"/>
    <n v="97.2"/>
    <d v="2026-03-03T00:00:00"/>
    <n v="32"/>
    <d v="2026-04-01T00:00:00"/>
    <n v="90"/>
    <n v="29"/>
    <m/>
    <m/>
    <m/>
    <m/>
  </r>
  <r>
    <n v="136"/>
    <m/>
    <s v="买单报关"/>
    <x v="47"/>
    <s v="E-US"/>
    <s v="美国"/>
    <s v="W-100ML"/>
    <n v="90"/>
    <x v="3"/>
    <s v="盐田海卡"/>
    <s v="GEU5"/>
    <s v="A-WHOTEL-100"/>
    <s v="A-W Hotel-100 W酒店香氛油100mL"/>
    <s v="Oil-HQ"/>
    <n v="1"/>
    <n v="19.166666666666668"/>
    <s v="重量收费"/>
    <n v="5.8"/>
    <m/>
    <m/>
    <n v="111.16666666666667"/>
    <n v="1.2351851851851852"/>
    <n v="0.1843559977888336"/>
    <m/>
    <m/>
    <m/>
    <x v="5"/>
    <x v="15"/>
    <m/>
    <n v="0.36"/>
    <n v="32.4"/>
    <d v="2026-03-03T00:00:00"/>
    <n v="32"/>
    <d v="2026-04-01T00:00:00"/>
    <n v="270"/>
    <n v="29"/>
    <m/>
    <m/>
    <m/>
    <m/>
  </r>
  <r>
    <n v="137"/>
    <m/>
    <s v="买单报关"/>
    <x v="47"/>
    <s v="E-US"/>
    <s v="美国"/>
    <s v="WST1-100ML"/>
    <n v="180"/>
    <x v="3"/>
    <s v="盐田海卡"/>
    <s v="GEU5"/>
    <s v="WST1-100ML"/>
    <s v="WST1-100ML 威斯汀2酒店香氛油100mL"/>
    <s v="Oil-HQ"/>
    <n v="2"/>
    <n v="38.333333333333336"/>
    <s v="重量收费"/>
    <n v="5.8"/>
    <m/>
    <m/>
    <n v="222.33333333333334"/>
    <n v="1.2351851851851852"/>
    <n v="0.1843559977888336"/>
    <m/>
    <m/>
    <m/>
    <x v="5"/>
    <x v="15"/>
    <m/>
    <n v="0.36"/>
    <n v="64.8"/>
    <d v="2026-03-03T00:00:00"/>
    <n v="32"/>
    <d v="2026-04-01T00:00:00"/>
    <n v="179"/>
    <n v="29"/>
    <m/>
    <m/>
    <m/>
    <m/>
  </r>
  <r>
    <n v="138"/>
    <m/>
    <s v="W05011"/>
    <x v="48"/>
    <s v="E-US"/>
    <s v="美国"/>
    <s v="W1-100ML_TZ"/>
    <n v="192"/>
    <x v="1"/>
    <s v="盐田海卡"/>
    <s v="TCY1"/>
    <s v="W1-100ML_TZ"/>
    <s v="W1-100ML_TZ W酒店100mL香氛油（天竺） 销售包装"/>
    <s v="Oil-TZ"/>
    <n v="3"/>
    <n v="43.748571428571424"/>
    <s v="重量收费"/>
    <n v="5.6"/>
    <n v="200"/>
    <n v="50"/>
    <n v="294.99199999999996"/>
    <n v="1.5364166666666665"/>
    <n v="0.22931592039800994"/>
    <m/>
    <m/>
    <m/>
    <x v="3"/>
    <x v="15"/>
    <m/>
    <n v="0.40571428571428569"/>
    <n v="77.897142857142853"/>
    <d v="2026-03-08T00:00:00"/>
    <n v="38"/>
    <d v="2026-04-06T00:00:00"/>
    <n v="192"/>
    <n v="29"/>
    <m/>
    <m/>
    <m/>
    <m/>
  </r>
  <r>
    <n v="139"/>
    <m/>
    <s v="W05011"/>
    <x v="48"/>
    <s v="E-US"/>
    <s v="美国"/>
    <s v="YH1-100ML_TZ"/>
    <n v="256"/>
    <x v="1"/>
    <s v="盐田海卡"/>
    <s v="TCY1"/>
    <s v="YH1-100ML_TZ"/>
    <s v="YH1-100ML_TZ 樱花100mL香氛油（天竺）销售包装"/>
    <s v="Oil-TZ"/>
    <n v="4"/>
    <n v="58.331428571428567"/>
    <s v="重量收费"/>
    <n v="5.6"/>
    <n v="200.00000000000003"/>
    <n v="66.666666666666671"/>
    <n v="393.32266666666663"/>
    <n v="1.5364166666666665"/>
    <n v="0.22931592039800994"/>
    <m/>
    <m/>
    <m/>
    <x v="3"/>
    <x v="15"/>
    <m/>
    <n v="0.40571428571428569"/>
    <n v="103.86285714285714"/>
    <d v="2026-03-08T00:00:00"/>
    <n v="38"/>
    <d v="2026-04-06T00:00:00"/>
    <n v="256"/>
    <n v="29"/>
    <m/>
    <m/>
    <m/>
    <m/>
  </r>
  <r>
    <n v="140"/>
    <m/>
    <s v="W05011"/>
    <x v="49"/>
    <s v="E-US"/>
    <s v="美国"/>
    <s v="SJ1-100ML_TZ"/>
    <n v="192"/>
    <x v="1"/>
    <s v="盐田海卡"/>
    <s v="TCY1"/>
    <s v="SJ1-100ML_TZ"/>
    <s v="SJ1-100ML_TZ 四季酒店100mL香氛油（天竺） 销售包装"/>
    <s v="Oil-TZ"/>
    <n v="3"/>
    <n v="43.751999999999995"/>
    <s v="重量收费"/>
    <n v="5.6"/>
    <m/>
    <n v="50"/>
    <n v="295.01119999999992"/>
    <n v="1.5365166666666663"/>
    <n v="0.22933084577114421"/>
    <m/>
    <m/>
    <m/>
    <x v="3"/>
    <x v="15"/>
    <m/>
    <n v="0.36"/>
    <n v="69.12"/>
    <d v="2026-03-08T00:00:00"/>
    <n v="38"/>
    <d v="2026-04-06T00:00:00"/>
    <n v="192"/>
    <n v="29"/>
    <m/>
    <m/>
    <m/>
    <m/>
  </r>
  <r>
    <n v="141"/>
    <m/>
    <s v="W05011"/>
    <x v="49"/>
    <s v="E-US"/>
    <s v="美国"/>
    <s v="WST1-100ML_TZ"/>
    <n v="128"/>
    <x v="1"/>
    <s v="盐田海卡"/>
    <s v="TCY1"/>
    <s v="WST1-100ML_TZ"/>
    <s v="WST1-100ML_TZ 威斯汀酒店白茶100mL香氛油（天竺） 销售包装"/>
    <s v="Oil-TZ"/>
    <n v="2"/>
    <n v="29.167999999999999"/>
    <s v="重量收费"/>
    <n v="5.6"/>
    <m/>
    <n v="33.333333333333336"/>
    <n v="196.67413333333332"/>
    <n v="1.5365166666666665"/>
    <n v="0.22933084577114426"/>
    <m/>
    <m/>
    <m/>
    <x v="3"/>
    <x v="15"/>
    <m/>
    <n v="0.36"/>
    <n v="46.08"/>
    <d v="2026-03-08T00:00:00"/>
    <n v="38"/>
    <d v="2026-04-06T00:00:00"/>
    <n v="128"/>
    <n v="29"/>
    <m/>
    <m/>
    <m/>
    <m/>
  </r>
  <r>
    <n v="142"/>
    <m/>
    <s v="W05007"/>
    <x v="50"/>
    <s v="E-US"/>
    <s v="美国"/>
    <s v="003000009"/>
    <n v="52"/>
    <x v="2"/>
    <s v="盐田海卡"/>
    <s v="OAK3"/>
    <s v="AP2US-H13"/>
    <s v="AP2US-H13 内置H13滤网桌面式空气净化器2-美规"/>
    <s v="AP2"/>
    <n v="13"/>
    <n v="302"/>
    <s v="重量收费"/>
    <n v="4.2"/>
    <n v="200"/>
    <n v="200"/>
    <n v="1468.4"/>
    <n v="28.238461538461539"/>
    <n v="4.2146957520091846"/>
    <m/>
    <m/>
    <m/>
    <x v="3"/>
    <x v="13"/>
    <m/>
    <n v="0"/>
    <n v="0"/>
    <d v="2026-03-06T00:00:00"/>
    <n v="36"/>
    <d v="2026-03-21T00:00:00"/>
    <n v="52"/>
    <n v="15"/>
    <m/>
    <m/>
    <m/>
    <m/>
  </r>
  <r>
    <n v="143"/>
    <m/>
    <s v="W05008"/>
    <x v="51"/>
    <s v="E-US"/>
    <s v="美国"/>
    <s v="003000009"/>
    <n v="48"/>
    <x v="2"/>
    <s v="美东海卡"/>
    <s v="ACY2"/>
    <s v="AP2US-H13"/>
    <s v="AP2US-H13 内置H13滤网桌面式空气净化器2-美规"/>
    <s v="AP2"/>
    <n v="12"/>
    <n v="280"/>
    <s v="重量收费"/>
    <n v="4.5"/>
    <n v="200"/>
    <n v="96"/>
    <n v="1356"/>
    <n v="28.25"/>
    <n v="4.2164179104477615"/>
    <m/>
    <m/>
    <m/>
    <x v="3"/>
    <x v="16"/>
    <m/>
    <n v="0"/>
    <n v="0"/>
    <d v="2026-03-19T00:00:00"/>
    <n v="49"/>
    <d v="2026-03-19T00:00:00"/>
    <n v="48"/>
    <n v="0"/>
    <m/>
    <m/>
    <m/>
    <m/>
  </r>
  <r>
    <n v="144"/>
    <m/>
    <s v="W05009"/>
    <x v="52"/>
    <s v="E-US"/>
    <s v="美国"/>
    <s v="003000009"/>
    <n v="52"/>
    <x v="2"/>
    <s v="美东海卡"/>
    <s v="HSV1"/>
    <s v="AP2US-H13"/>
    <s v="AP2US-H13 内置H13滤网桌面式空气净化器2-美规"/>
    <s v="AP2"/>
    <n v="13"/>
    <n v="303"/>
    <s v="重量收费"/>
    <n v="5.5"/>
    <n v="200"/>
    <n v="200"/>
    <n v="1866.5"/>
    <n v="35.894230769230766"/>
    <n v="5.3573478760045923"/>
    <m/>
    <m/>
    <m/>
    <x v="3"/>
    <x v="17"/>
    <m/>
    <n v="0"/>
    <n v="0"/>
    <d v="2026-03-30T00:00:00"/>
    <n v="60"/>
    <d v="2026-03-31T00:00:00"/>
    <n v="52"/>
    <n v="1"/>
    <m/>
    <m/>
    <m/>
    <m/>
  </r>
  <r>
    <n v="145"/>
    <m/>
    <s v="W05008"/>
    <x v="53"/>
    <s v="E-US"/>
    <s v="美国"/>
    <s v="003000009"/>
    <n v="52"/>
    <x v="2"/>
    <s v="美东海卡"/>
    <s v="MDT1"/>
    <s v="AP2US-H13"/>
    <s v="AP2US-H13 内置H13滤网桌面式空气净化器2-美规"/>
    <s v="AP2"/>
    <n v="13"/>
    <n v="303"/>
    <s v="重量收费"/>
    <n v="4.9000000000000004"/>
    <n v="200"/>
    <n v="104"/>
    <n v="1588.7"/>
    <n v="30.551923076923078"/>
    <n v="4.5599885189437428"/>
    <m/>
    <m/>
    <m/>
    <x v="3"/>
    <x v="16"/>
    <m/>
    <n v="0"/>
    <n v="0"/>
    <d v="2026-03-28T00:00:00"/>
    <n v="58"/>
    <d v="2026-03-29T00:00:00"/>
    <n v="52"/>
    <n v="1"/>
    <m/>
    <m/>
    <m/>
    <m/>
  </r>
  <r>
    <n v="146"/>
    <m/>
    <s v="W05010"/>
    <x v="54"/>
    <s v="E-US"/>
    <s v="美国"/>
    <s v="003000009"/>
    <n v="52"/>
    <x v="2"/>
    <s v="美中海卡"/>
    <s v="FOE1"/>
    <s v="AP2US-H13"/>
    <s v="AP2US-H13 内置H13滤网桌面式空气净化器2-美规"/>
    <s v="AP2"/>
    <n v="13"/>
    <n v="302"/>
    <s v="重量收费"/>
    <n v="5.6"/>
    <n v="200"/>
    <n v="200"/>
    <n v="1891.1999999999998"/>
    <n v="36.369230769230768"/>
    <n v="5.4282433983926515"/>
    <m/>
    <m/>
    <m/>
    <x v="3"/>
    <x v="16"/>
    <m/>
    <n v="0"/>
    <n v="0"/>
    <d v="2026-04-08T00:00:00"/>
    <n v="69"/>
    <d v="2026-04-22T00:00:00"/>
    <m/>
    <n v="14"/>
    <m/>
    <m/>
    <m/>
    <m/>
  </r>
  <r>
    <n v="147"/>
    <m/>
    <s v="W06002"/>
    <x v="55"/>
    <s v="E-US"/>
    <s v="美国"/>
    <s v="001000045"/>
    <n v="600"/>
    <x v="2"/>
    <s v="盐田海卡"/>
    <s v="TCY1"/>
    <s v="ANX-B"/>
    <s v="ANX-B 便携式扩香仪 黑色"/>
    <s v="ANX"/>
    <n v="20"/>
    <n v="268.53684210526319"/>
    <s v="重量收费"/>
    <n v="3.5"/>
    <n v="200"/>
    <n v="43.478260869565219"/>
    <n v="983.35720823798647"/>
    <n v="1.6389286803966441"/>
    <n v="0.24461622095472299"/>
    <m/>
    <m/>
    <m/>
    <x v="6"/>
    <x v="18"/>
    <m/>
    <n v="0.41106382978723399"/>
    <n v="246.63829787234039"/>
    <d v="2026-04-04T00:00:00"/>
    <n v="61"/>
    <d v="2026-05-10T00:00:00"/>
    <m/>
    <n v="36"/>
    <m/>
    <m/>
    <m/>
    <m/>
  </r>
  <r>
    <n v="148"/>
    <m/>
    <s v="W06002"/>
    <x v="55"/>
    <s v="E-US"/>
    <s v="美国"/>
    <s v="001000049"/>
    <n v="180"/>
    <x v="2"/>
    <s v="盐田海卡"/>
    <s v="TCY1"/>
    <s v="ANX-IB"/>
    <s v="ANX-IB 便携式扩香仪 冰蓝色"/>
    <s v="ANX"/>
    <n v="6"/>
    <n v="80.561052631578946"/>
    <s v="重量收费"/>
    <n v="3.5"/>
    <n v="200"/>
    <n v="13.043478260869565"/>
    <n v="295.00716247139587"/>
    <n v="1.6389286803966436"/>
    <n v="0.24461622095472293"/>
    <m/>
    <m/>
    <m/>
    <x v="6"/>
    <x v="18"/>
    <m/>
    <n v="0.41106382978723399"/>
    <n v="73.991489361702122"/>
    <d v="2026-04-04T00:00:00"/>
    <n v="61"/>
    <d v="2026-05-10T00:00:00"/>
    <m/>
    <n v="36"/>
    <m/>
    <m/>
    <m/>
    <m/>
  </r>
  <r>
    <n v="149"/>
    <m/>
    <s v="W06002"/>
    <x v="55"/>
    <s v="E-US"/>
    <s v="美国"/>
    <s v="001000046"/>
    <n v="90"/>
    <x v="2"/>
    <s v="盐田海卡"/>
    <s v="TCY1"/>
    <s v="ANX-SILV"/>
    <s v="ANX-SILV 便携式扩香仪 银色"/>
    <s v="ANX"/>
    <n v="3"/>
    <n v="40.280526315789473"/>
    <s v="重量收费"/>
    <n v="3.5"/>
    <m/>
    <n v="6.5217391304347823"/>
    <n v="147.50358123569794"/>
    <n v="1.6389286803966436"/>
    <n v="0.24461622095472293"/>
    <m/>
    <m/>
    <m/>
    <x v="6"/>
    <x v="18"/>
    <m/>
    <n v="0.41106382978723399"/>
    <n v="36.995744680851061"/>
    <d v="2026-04-04T00:00:00"/>
    <n v="61"/>
    <d v="2026-05-10T00:00:00"/>
    <m/>
    <n v="36"/>
    <m/>
    <m/>
    <m/>
    <m/>
  </r>
  <r>
    <n v="150"/>
    <m/>
    <s v="W06002"/>
    <x v="55"/>
    <s v="E-US"/>
    <s v="美国"/>
    <s v="001000052"/>
    <n v="330"/>
    <x v="2"/>
    <s v="盐田海卡"/>
    <s v="TCY1"/>
    <s v="ANX-DT"/>
    <s v="ANX-DT 便携式扩香仪 沙漠钛色"/>
    <s v="ANX"/>
    <n v="11"/>
    <n v="147.69526315789474"/>
    <s v="重量收费"/>
    <n v="3.5"/>
    <m/>
    <n v="23.913043478260871"/>
    <n v="540.84646453089249"/>
    <n v="1.6389286803966439"/>
    <n v="0.24461622095472296"/>
    <m/>
    <m/>
    <m/>
    <x v="6"/>
    <x v="18"/>
    <m/>
    <n v="0.41106382978723399"/>
    <n v="135.6510638297872"/>
    <d v="2026-04-04T00:00:00"/>
    <n v="61"/>
    <d v="2026-05-10T00:00:00"/>
    <m/>
    <n v="36"/>
    <m/>
    <m/>
    <m/>
    <m/>
  </r>
  <r>
    <n v="151"/>
    <m/>
    <s v="W06002"/>
    <x v="55"/>
    <s v="E-US"/>
    <s v="美国"/>
    <s v="ANZ-WH"/>
    <n v="680"/>
    <x v="2"/>
    <s v="盐田海卡"/>
    <s v="TCY1"/>
    <s v="ANZ-WH"/>
    <s v="ANZ-WH 便携式扩香仪 白色"/>
    <s v="ANZ"/>
    <n v="17"/>
    <n v="228.25631578947369"/>
    <s v="重量收费"/>
    <n v="3.5"/>
    <m/>
    <n v="36.956521739130437"/>
    <n v="835.85362700228825"/>
    <n v="1.2291965102974827"/>
    <n v="0.18346216571604218"/>
    <m/>
    <m/>
    <m/>
    <x v="6"/>
    <x v="18"/>
    <m/>
    <n v="0.41106382978723399"/>
    <n v="279.52340425531912"/>
    <d v="2026-04-04T00:00:00"/>
    <n v="61"/>
    <d v="2026-05-10T00:00:00"/>
    <m/>
    <n v="36"/>
    <m/>
    <m/>
    <m/>
    <m/>
  </r>
  <r>
    <n v="152"/>
    <m/>
    <s v="W06002"/>
    <x v="56"/>
    <s v="E-US"/>
    <s v="美国"/>
    <s v="ANXKIT-B_4X10ML"/>
    <n v="90"/>
    <x v="2"/>
    <s v="盐田海卡"/>
    <s v="HLI2"/>
    <s v="ANXKIT-B_4X10ML"/>
    <s v="ANXKIT-B_4X10ML ANX黑色机器+4x10mL香氛油（天竺） 机油套装"/>
    <s v="ANX"/>
    <n v="3"/>
    <n v="50.099999999999994"/>
    <s v="重量收费"/>
    <n v="3.6"/>
    <m/>
    <n v="6.5217391304347823"/>
    <n v="186.88173913043477"/>
    <n v="2.0764637681159419"/>
    <n v="0.30991996539043909"/>
    <m/>
    <m/>
    <m/>
    <x v="6"/>
    <x v="18"/>
    <m/>
    <n v="0.44"/>
    <n v="39.6"/>
    <d v="2026-03-26T00:00:00"/>
    <n v="52"/>
    <d v="2026-04-30T00:00:00"/>
    <m/>
    <n v="35"/>
    <m/>
    <m/>
    <m/>
    <m/>
  </r>
  <r>
    <n v="153"/>
    <m/>
    <s v="W06002"/>
    <x v="56"/>
    <s v="E-US"/>
    <s v="美国"/>
    <s v="ANZKIT-B_4X10K04_TZ"/>
    <n v="210"/>
    <x v="2"/>
    <s v="盐田海卡"/>
    <s v="HLI2"/>
    <s v="ANZKIT-B_4X10K04_TZ"/>
    <s v="ANZKIT-B_4X10K04_TZ ANZ黑色机器+4x10mL酒店（天竺）香氛油 机油套装"/>
    <s v="ANZ"/>
    <n v="7"/>
    <n v="116.89999999999999"/>
    <s v="重量收费"/>
    <n v="3.6"/>
    <m/>
    <n v="15.217391304347826"/>
    <n v="436.05739130434779"/>
    <n v="2.0764637681159419"/>
    <n v="0.30991996539043909"/>
    <m/>
    <m/>
    <m/>
    <x v="6"/>
    <x v="18"/>
    <m/>
    <n v="0.44"/>
    <n v="92.4"/>
    <d v="2026-03-26T00:00:00"/>
    <n v="52"/>
    <d v="2026-04-30T00:00:00"/>
    <m/>
    <n v="35"/>
    <m/>
    <m/>
    <m/>
    <m/>
  </r>
  <r>
    <n v="154"/>
    <m/>
    <s v="W06003"/>
    <x v="57"/>
    <s v="W-DE"/>
    <s v="德国"/>
    <s v="001000019"/>
    <n v="120"/>
    <x v="2"/>
    <s v="欧洲海卡"/>
    <s v="DTM9"/>
    <s v="AN6-B"/>
    <s v="AN6-B 便携式扩香仪 黑色"/>
    <s v="AN6"/>
    <n v="3"/>
    <n v="41.307692307692307"/>
    <s v="重量收费"/>
    <n v="7.3"/>
    <n v="250"/>
    <n v="57.692307692307693"/>
    <n v="359.23846153846154"/>
    <n v="2.9936538461538462"/>
    <n v="0.44681400688863376"/>
    <m/>
    <m/>
    <m/>
    <x v="6"/>
    <x v="19"/>
    <m/>
    <n v="0"/>
    <n v="0"/>
    <d v="2026-04-07T00:00:00"/>
    <n v="64"/>
    <d v="2026-05-05T00:00:00"/>
    <m/>
    <n v="28"/>
    <m/>
    <m/>
    <m/>
    <m/>
  </r>
  <r>
    <n v="155"/>
    <m/>
    <s v="W06003"/>
    <x v="57"/>
    <s v="W-DE"/>
    <s v="德国"/>
    <s v="001000039"/>
    <n v="200"/>
    <x v="2"/>
    <s v="欧洲海卡"/>
    <s v="DTM9"/>
    <s v="AN6-GL"/>
    <s v="AN6-GL 便携式扩香仪 翠百合色"/>
    <s v="AN6"/>
    <n v="5"/>
    <n v="68.846153846153854"/>
    <s v="重量收费"/>
    <n v="7.3"/>
    <n v="250.00000000000003"/>
    <n v="96.15384615384616"/>
    <n v="598.73076923076928"/>
    <n v="2.9936538461538462"/>
    <n v="0.44681400688863376"/>
    <m/>
    <m/>
    <m/>
    <x v="6"/>
    <x v="19"/>
    <m/>
    <n v="0"/>
    <n v="0"/>
    <d v="2026-04-07T00:00:00"/>
    <n v="64"/>
    <d v="2026-05-05T00:00:00"/>
    <m/>
    <n v="28"/>
    <m/>
    <m/>
    <m/>
    <m/>
  </r>
  <r>
    <n v="156"/>
    <m/>
    <s v="W06003"/>
    <x v="57"/>
    <s v="W-DE"/>
    <s v="德国"/>
    <s v="001000020"/>
    <n v="200"/>
    <x v="2"/>
    <s v="欧洲海卡"/>
    <s v="DTM9"/>
    <s v="AN6-W"/>
    <s v="AN6-W 便携式扩香仪 白色"/>
    <s v="AN6"/>
    <n v="5"/>
    <n v="68.846153846153854"/>
    <s v="重量收费"/>
    <n v="7.3"/>
    <m/>
    <n v="96.15384615384616"/>
    <n v="598.73076923076928"/>
    <n v="2.9936538461538462"/>
    <n v="0.44681400688863376"/>
    <m/>
    <m/>
    <m/>
    <x v="6"/>
    <x v="19"/>
    <m/>
    <n v="0"/>
    <n v="0"/>
    <d v="2026-04-07T00:00:00"/>
    <n v="64"/>
    <d v="2026-05-05T00:00:00"/>
    <m/>
    <n v="28"/>
    <m/>
    <m/>
    <m/>
    <m/>
  </r>
  <r>
    <n v="157"/>
    <s v="不包提货（报关费400+战争附加费120+头程费516.08）"/>
    <s v="W06001"/>
    <x v="58"/>
    <s v="E-AE"/>
    <s v="阿联酋"/>
    <s v="001000019"/>
    <n v="280"/>
    <x v="5"/>
    <s v="阿联酋海派"/>
    <s v="DXB5"/>
    <s v="AN6-B"/>
    <s v="AN6-B 便携式扩香仪 黑色"/>
    <s v="AN6"/>
    <n v="7"/>
    <n v="0.38181818181818178"/>
    <s v="CBM收费"/>
    <n v="740"/>
    <n v="1036.08"/>
    <n v="659.3236363636363"/>
    <n v="941.8690909090908"/>
    <n v="3.3638181818181816"/>
    <n v="0.50206241519674355"/>
    <m/>
    <m/>
    <m/>
    <x v="6"/>
    <x v="20"/>
    <m/>
    <n v="0"/>
    <n v="0"/>
    <d v="2026-04-21T00:00:00"/>
    <n v="78"/>
    <d v="2026-05-06T00:00:00"/>
    <m/>
    <n v="15"/>
    <m/>
    <m/>
    <m/>
    <m/>
  </r>
  <r>
    <n v="158"/>
    <s v="不包提货（报关费400+战争附加费120+头程费516.08）"/>
    <s v="W06001"/>
    <x v="58"/>
    <s v="E-AE"/>
    <s v="阿联酋"/>
    <s v="001000020"/>
    <n v="40"/>
    <x v="5"/>
    <s v="阿联酋海派"/>
    <s v="DXB5"/>
    <s v="AN6-W"/>
    <s v="AN6-W 便携式扩香仪 白色"/>
    <s v="AN6"/>
    <n v="1"/>
    <n v="0.05"/>
    <s v="CBM收费"/>
    <n v="740"/>
    <n v="1036.08"/>
    <n v="94.189090909090908"/>
    <n v="131.18909090909091"/>
    <n v="3.2797272727272726"/>
    <n v="0.4895115332428765"/>
    <m/>
    <m/>
    <m/>
    <x v="6"/>
    <x v="20"/>
    <m/>
    <n v="0"/>
    <n v="0"/>
    <d v="2026-04-21T00:00:00"/>
    <n v="78"/>
    <d v="2026-05-06T00:00:00"/>
    <m/>
    <n v="15"/>
    <m/>
    <m/>
    <m/>
    <m/>
  </r>
  <r>
    <n v="159"/>
    <s v="不包提货（报关费400+战争附加费120+头程费516.08）"/>
    <s v="W06001"/>
    <x v="58"/>
    <s v="E-AE"/>
    <s v="阿联酋"/>
    <s v="001000045"/>
    <n v="90"/>
    <x v="5"/>
    <s v="阿联酋海派"/>
    <s v="DXB5"/>
    <s v="ANX-B"/>
    <s v="ANX-B 便携式扩香仪 黑色"/>
    <s v="ANX"/>
    <n v="3"/>
    <n v="0.16363636363636364"/>
    <s v="CBM收费"/>
    <n v="740"/>
    <m/>
    <n v="282.56727272727272"/>
    <n v="403.65818181818179"/>
    <n v="4.4850909090909088"/>
    <n v="0.66941655359565799"/>
    <m/>
    <m/>
    <m/>
    <x v="6"/>
    <x v="20"/>
    <m/>
    <n v="0"/>
    <n v="0"/>
    <d v="2026-04-21T00:00:00"/>
    <n v="78"/>
    <d v="2026-05-06T00:00:00"/>
    <m/>
    <n v="15"/>
    <m/>
    <m/>
    <m/>
    <m/>
  </r>
  <r>
    <n v="160"/>
    <m/>
    <s v="W06002"/>
    <x v="59"/>
    <s v="V-US"/>
    <s v="美国"/>
    <s v="AN8KIT-B_B_2X30K02"/>
    <n v="60"/>
    <x v="2"/>
    <s v="盐田海卡"/>
    <s v="TCY1"/>
    <s v="AN8KIT-B_B_2X30K02"/>
    <s v="AN8KIT-B_B_2X30K02 AN8黑色机器两个装+2X30mL香氛油（天竺） 机油套装"/>
    <s v="AN8"/>
    <n v="3"/>
    <n v="40.280769230769238"/>
    <s v="重量收费"/>
    <n v="3.5"/>
    <m/>
    <n v="6.5217391304347823"/>
    <n v="147.50443143812711"/>
    <n v="2.4584071906354521"/>
    <n v="0.3669264463635003"/>
    <m/>
    <m/>
    <m/>
    <x v="6"/>
    <x v="18"/>
    <m/>
    <n v="0.45999999999999996"/>
    <n v="27.599999999999998"/>
    <d v="2026-04-04T00:00:00"/>
    <n v="61"/>
    <d v="2026-05-10T00:00:00"/>
    <m/>
    <n v="36"/>
    <m/>
    <m/>
    <m/>
    <m/>
  </r>
  <r>
    <n v="161"/>
    <m/>
    <s v="W06002"/>
    <x v="59"/>
    <s v="V-US"/>
    <s v="美国"/>
    <s v="AN8KIT-B_4X10K01"/>
    <n v="300"/>
    <x v="2"/>
    <s v="盐田海卡"/>
    <s v="TCY1"/>
    <s v="AN8KIT-B_4X10K01"/>
    <s v="AN8KIT-B_4X10K01 AN8黑色机器+4x10mL酒店香氛油 机油套装"/>
    <s v="AN8"/>
    <n v="10"/>
    <n v="134.26923076923077"/>
    <s v="重量收费"/>
    <n v="3.5"/>
    <m/>
    <n v="21.739130434782609"/>
    <n v="491.68143812709036"/>
    <n v="1.6389381270903012"/>
    <n v="0.24461763090900016"/>
    <m/>
    <m/>
    <m/>
    <x v="6"/>
    <x v="18"/>
    <m/>
    <n v="0.45999999999999996"/>
    <n v="138"/>
    <d v="2026-04-04T00:00:00"/>
    <n v="61"/>
    <d v="2026-05-10T00:00:00"/>
    <m/>
    <n v="36"/>
    <m/>
    <m/>
    <m/>
    <m/>
  </r>
  <r>
    <n v="162"/>
    <m/>
    <s v="W06002"/>
    <x v="60"/>
    <s v="V-US"/>
    <s v="美国"/>
    <s v="AN8KIT-B_B"/>
    <n v="120"/>
    <x v="2"/>
    <s v="盐田海卡"/>
    <s v="TCY1"/>
    <s v="AN8KIT-B_B"/>
    <s v="AN8KIT-B_B 便携式扩香仪套装 黑+黑"/>
    <s v="AN8"/>
    <n v="6"/>
    <n v="80.56"/>
    <s v="重量收费"/>
    <n v="3.5"/>
    <m/>
    <n v="13.043478260869565"/>
    <n v="295.0034782608696"/>
    <n v="2.4583623188405799"/>
    <n v="0.36691974908068353"/>
    <m/>
    <m/>
    <m/>
    <x v="6"/>
    <x v="18"/>
    <m/>
    <n v="0.38666666666666666"/>
    <n v="46.4"/>
    <d v="2026-04-04T00:00:00"/>
    <n v="61"/>
    <d v="2026-05-08T00:00:00"/>
    <m/>
    <n v="34"/>
    <m/>
    <m/>
    <m/>
    <m/>
  </r>
  <r>
    <n v="163"/>
    <m/>
    <s v="W06002"/>
    <x v="60"/>
    <s v="V-US"/>
    <s v="美国"/>
    <s v="AN8-WH"/>
    <n v="240"/>
    <x v="2"/>
    <s v="盐田海卡"/>
    <s v="TCY1"/>
    <s v="AN8-WH"/>
    <s v="AN8-WH 便携式扩香仪 白色"/>
    <s v="AN8"/>
    <n v="6"/>
    <n v="80.56"/>
    <s v="重量收费"/>
    <n v="3.5"/>
    <m/>
    <n v="13.043478260869565"/>
    <n v="295.0034782608696"/>
    <n v="1.2291811594202899"/>
    <n v="0.18345987454034177"/>
    <m/>
    <m/>
    <m/>
    <x v="6"/>
    <x v="18"/>
    <m/>
    <n v="0.38666666666666666"/>
    <n v="92.8"/>
    <d v="2026-04-04T00:00:00"/>
    <n v="61"/>
    <d v="2026-05-08T00:00:00"/>
    <m/>
    <n v="34"/>
    <m/>
    <m/>
    <m/>
    <m/>
  </r>
  <r>
    <n v="164"/>
    <m/>
    <s v="W06011"/>
    <x v="61"/>
    <s v="W-US"/>
    <s v="美国"/>
    <s v="002000027"/>
    <n v="240"/>
    <x v="0"/>
    <s v="盐田海卡"/>
    <s v="POC2"/>
    <s v="M1-B"/>
    <s v="M1-B 电子球形把手锁 黑色"/>
    <s v="M1"/>
    <n v="15"/>
    <n v="223.63636363636363"/>
    <s v="重量收费"/>
    <n v="3.3"/>
    <n v="200"/>
    <n v="38.961038961038959"/>
    <n v="776.96103896103887"/>
    <n v="3.2373376623376617"/>
    <n v="0.48318472572203908"/>
    <m/>
    <m/>
    <m/>
    <x v="7"/>
    <x v="21"/>
    <m/>
    <n v="0.55999999999999994"/>
    <n v="134.39999999999998"/>
    <d v="2026-03-11T00:00:00"/>
    <n v="33"/>
    <d v="2026-04-19T00:00:00"/>
    <m/>
    <n v="39"/>
    <m/>
    <m/>
    <m/>
    <m/>
  </r>
  <r>
    <n v="165"/>
    <m/>
    <s v="W06011"/>
    <x v="61"/>
    <s v="W-US"/>
    <s v="美国"/>
    <s v="002000037"/>
    <n v="176"/>
    <x v="0"/>
    <s v="盐田海卡"/>
    <s v="POC2"/>
    <s v="M1-SILV"/>
    <s v="M1-SILV 电子球形把手锁 银色"/>
    <s v="M1"/>
    <n v="11"/>
    <n v="164"/>
    <s v="重量收费"/>
    <n v="3.3"/>
    <n v="200"/>
    <n v="28.571428571428573"/>
    <n v="569.77142857142849"/>
    <n v="3.2373376623376617"/>
    <n v="0.48318472572203908"/>
    <m/>
    <m/>
    <m/>
    <x v="7"/>
    <x v="21"/>
    <m/>
    <n v="0.55999999999999994"/>
    <n v="98.559999999999988"/>
    <d v="2026-03-11T00:00:00"/>
    <n v="33"/>
    <d v="2026-04-19T00:00:00"/>
    <m/>
    <n v="39"/>
    <m/>
    <m/>
    <m/>
    <m/>
  </r>
  <r>
    <n v="166"/>
    <m/>
    <s v="W06011"/>
    <x v="61"/>
    <s v="W-US"/>
    <s v="美国"/>
    <s v="002000029"/>
    <n v="304"/>
    <x v="0"/>
    <s v="盐田海卡"/>
    <s v="POC2"/>
    <s v="MD1-B"/>
    <s v="MD1-B 电子球形把手锁 指纹 黑色"/>
    <s v="MD1"/>
    <n v="19"/>
    <n v="283.27272727272725"/>
    <s v="重量收费"/>
    <n v="3.3"/>
    <m/>
    <n v="49.350649350649348"/>
    <n v="984.15064935064925"/>
    <n v="3.2373376623376622"/>
    <n v="0.48318472572203913"/>
    <m/>
    <m/>
    <m/>
    <x v="7"/>
    <x v="21"/>
    <m/>
    <n v="0.55999999999999994"/>
    <n v="170.23999999999998"/>
    <d v="2026-03-11T00:00:00"/>
    <n v="33"/>
    <d v="2026-04-19T00:00:00"/>
    <m/>
    <n v="39"/>
    <m/>
    <m/>
    <m/>
    <m/>
  </r>
  <r>
    <n v="167"/>
    <m/>
    <s v="W06011"/>
    <x v="61"/>
    <s v="W-US"/>
    <s v="美国"/>
    <s v="002000038"/>
    <n v="256"/>
    <x v="0"/>
    <s v="盐田海卡"/>
    <s v="POC2"/>
    <s v="MD1-SILV"/>
    <s v="MD1-SILV 电子球形把手锁 指纹 银色"/>
    <s v="MD1"/>
    <n v="16"/>
    <n v="238.54545454545453"/>
    <s v="重量收费"/>
    <n v="3.3"/>
    <m/>
    <n v="41.558441558441558"/>
    <n v="828.75844155844152"/>
    <n v="3.2373376623376622"/>
    <n v="0.48318472572203913"/>
    <m/>
    <m/>
    <m/>
    <x v="7"/>
    <x v="21"/>
    <m/>
    <n v="0.55999999999999994"/>
    <n v="143.35999999999999"/>
    <d v="2026-03-11T00:00:00"/>
    <n v="33"/>
    <d v="2026-04-19T00:00:00"/>
    <m/>
    <n v="39"/>
    <m/>
    <m/>
    <m/>
    <m/>
  </r>
  <r>
    <n v="168"/>
    <m/>
    <s v="W06011"/>
    <x v="61"/>
    <s v="W-US"/>
    <s v="美国"/>
    <s v="002000031"/>
    <n v="208"/>
    <x v="0"/>
    <s v="盐田海卡"/>
    <s v="POC2"/>
    <s v="MK1-B"/>
    <s v="MK1-B 智能球形把手锁 黑色"/>
    <s v="MK1"/>
    <n v="13"/>
    <n v="193.81818181818181"/>
    <s v="重量收费"/>
    <n v="3.3"/>
    <m/>
    <n v="33.766233766233768"/>
    <n v="673.36623376623368"/>
    <n v="3.2373376623376617"/>
    <n v="0.48318472572203908"/>
    <m/>
    <m/>
    <m/>
    <x v="7"/>
    <x v="21"/>
    <m/>
    <n v="0.55999999999999994"/>
    <n v="116.47999999999999"/>
    <d v="2026-03-11T00:00:00"/>
    <n v="33"/>
    <d v="2026-04-19T00:00:00"/>
    <m/>
    <n v="39"/>
    <m/>
    <m/>
    <m/>
    <m/>
  </r>
  <r>
    <n v="169"/>
    <m/>
    <s v="W06011"/>
    <x v="61"/>
    <s v="W-US"/>
    <s v="美国"/>
    <s v="002000033"/>
    <n v="32"/>
    <x v="0"/>
    <s v="盐田海卡"/>
    <s v="POC2"/>
    <s v="MK1-SILV"/>
    <s v="MK1-SILV 智能球形把手锁 银色"/>
    <s v="MK1"/>
    <n v="2"/>
    <n v="29.818181818181817"/>
    <s v="重量收费"/>
    <n v="3.3"/>
    <m/>
    <n v="5.1948051948051948"/>
    <n v="103.59480519480519"/>
    <n v="3.2373376623376622"/>
    <n v="0.48318472572203913"/>
    <m/>
    <m/>
    <m/>
    <x v="7"/>
    <x v="21"/>
    <m/>
    <n v="0.55999999999999994"/>
    <n v="17.919999999999998"/>
    <d v="2026-03-11T00:00:00"/>
    <n v="33"/>
    <d v="2026-04-19T00:00:00"/>
    <m/>
    <n v="39"/>
    <m/>
    <m/>
    <m/>
    <m/>
  </r>
  <r>
    <n v="170"/>
    <m/>
    <s v="W06011"/>
    <x v="61"/>
    <s v="W-US"/>
    <s v="美国"/>
    <s v="002000032"/>
    <n v="16"/>
    <x v="0"/>
    <s v="盐田海卡"/>
    <s v="POC2"/>
    <s v="MK1-T"/>
    <s v="MK1-T 智能球形把手锁 钛色"/>
    <s v="MK1"/>
    <n v="1"/>
    <n v="14.909090909090908"/>
    <s v="重量收费"/>
    <n v="3.3"/>
    <m/>
    <n v="2.5974025974025974"/>
    <n v="51.797402597402595"/>
    <n v="3.2373376623376622"/>
    <n v="0.48318472572203913"/>
    <m/>
    <m/>
    <m/>
    <x v="7"/>
    <x v="21"/>
    <m/>
    <n v="0.55999999999999994"/>
    <n v="8.9599999999999991"/>
    <d v="2026-03-11T00:00:00"/>
    <n v="33"/>
    <d v="2026-04-19T00:00:00"/>
    <m/>
    <n v="39"/>
    <m/>
    <m/>
    <m/>
    <m/>
  </r>
  <r>
    <n v="171"/>
    <m/>
    <s v="W06010"/>
    <x v="62"/>
    <s v="W-US"/>
    <s v="美国"/>
    <s v="G1-DT"/>
    <n v="144"/>
    <x v="0"/>
    <s v="盐田海卡"/>
    <s v="GEU3"/>
    <s v="G1-DT"/>
    <s v="G1-DT 电子球形把手锁 沙漠钛色"/>
    <s v="G1"/>
    <n v="9"/>
    <n v="121.5"/>
    <s v="重量收费"/>
    <n v="3"/>
    <n v="200"/>
    <n v="100"/>
    <n v="464.5"/>
    <n v="3.2256944444444446"/>
    <n v="0.48144693200663352"/>
    <m/>
    <m/>
    <m/>
    <x v="7"/>
    <x v="5"/>
    <m/>
    <n v="0.56000000000000005"/>
    <n v="80.640000000000015"/>
    <d v="2026-03-13T00:00:00"/>
    <n v="35"/>
    <d v="2026-04-16T00:00:00"/>
    <m/>
    <n v="34"/>
    <m/>
    <m/>
    <m/>
    <m/>
  </r>
  <r>
    <n v="172"/>
    <m/>
    <s v="W06010"/>
    <x v="62"/>
    <s v="W-US"/>
    <s v="美国"/>
    <s v="G1-SILV"/>
    <n v="144"/>
    <x v="0"/>
    <s v="盐田海卡"/>
    <s v="GEU3"/>
    <s v="G1-SILV"/>
    <s v="G1-SILV 电子球形把手锁 银色"/>
    <s v="G1"/>
    <n v="9"/>
    <n v="121.5"/>
    <s v="重量收费"/>
    <n v="3"/>
    <n v="200"/>
    <n v="100"/>
    <n v="464.5"/>
    <n v="3.2256944444444446"/>
    <n v="0.48144693200663352"/>
    <m/>
    <m/>
    <m/>
    <x v="7"/>
    <x v="5"/>
    <m/>
    <n v="0.56000000000000005"/>
    <n v="80.640000000000015"/>
    <d v="2026-03-13T00:00:00"/>
    <n v="35"/>
    <d v="2026-04-16T00:00:00"/>
    <m/>
    <n v="34"/>
    <m/>
    <m/>
    <m/>
    <m/>
  </r>
  <r>
    <n v="173"/>
    <m/>
    <s v="W06004"/>
    <x v="63"/>
    <s v="E-US"/>
    <s v="美国"/>
    <s v="003000014"/>
    <n v="80"/>
    <x v="0"/>
    <s v="美东海卡"/>
    <s v="MGE3"/>
    <s v="AP2US-H14"/>
    <s v="AP2US-H14 内置H14滤网桌面式空气净化器2-美规"/>
    <s v="AP2"/>
    <n v="20"/>
    <n v="476"/>
    <s v="重量收费"/>
    <n v="4.9000000000000004"/>
    <n v="200"/>
    <n v="200"/>
    <n v="2532.4"/>
    <n v="31.655000000000001"/>
    <n v="4.7246268656716417"/>
    <m/>
    <m/>
    <m/>
    <x v="8"/>
    <x v="22"/>
    <m/>
    <n v="0"/>
    <n v="0"/>
    <d v="2026-03-26T00:00:00"/>
    <n v="51"/>
    <d v="2026-03-30T00:00:00"/>
    <n v="80"/>
    <n v="4"/>
    <m/>
    <m/>
    <m/>
    <m/>
  </r>
  <r>
    <n v="174"/>
    <m/>
    <s v="W06005"/>
    <x v="64"/>
    <s v="E-US"/>
    <s v="美国"/>
    <s v="003000014"/>
    <n v="80"/>
    <x v="0"/>
    <s v="盐田海卡"/>
    <s v="SWF1"/>
    <s v="AP2US-H14"/>
    <s v="AP2US-H14 内置H14滤网桌面式空气净化器2-美规"/>
    <s v="AP2"/>
    <n v="20"/>
    <n v="474"/>
    <s v="重量收费"/>
    <n v="4.7"/>
    <n v="200"/>
    <n v="200"/>
    <n v="2427.8000000000002"/>
    <n v="30.347500000000004"/>
    <n v="4.5294776119402993"/>
    <m/>
    <m/>
    <m/>
    <x v="8"/>
    <x v="23"/>
    <m/>
    <n v="0"/>
    <n v="0"/>
    <d v="2026-03-30T00:00:00"/>
    <n v="55"/>
    <d v="2026-03-31T00:00:00"/>
    <n v="80"/>
    <n v="1"/>
    <m/>
    <m/>
    <m/>
    <m/>
  </r>
  <r>
    <n v="175"/>
    <m/>
    <s v="W06006"/>
    <x v="65"/>
    <s v="E-US"/>
    <s v="美国"/>
    <s v="003000014"/>
    <n v="80"/>
    <x v="0"/>
    <s v="美东海卡"/>
    <s v="FAT2"/>
    <s v="AP2US-H14"/>
    <s v="AP2US-H14 内置H14滤网桌面式空气净化器2-美规"/>
    <s v="AP2"/>
    <n v="20"/>
    <n v="478"/>
    <s v="重量收费"/>
    <n v="4.4000000000000004"/>
    <n v="200"/>
    <n v="200"/>
    <n v="2303.2000000000003"/>
    <n v="28.790000000000003"/>
    <n v="4.2970149253731345"/>
    <m/>
    <m/>
    <m/>
    <x v="8"/>
    <x v="21"/>
    <m/>
    <n v="0"/>
    <n v="0"/>
    <d v="2026-03-29T00:00:00"/>
    <n v="54"/>
    <d v="2026-04-09T00:00:00"/>
    <n v="80"/>
    <n v="11"/>
    <m/>
    <m/>
    <m/>
    <m/>
  </r>
  <r>
    <n v="176"/>
    <m/>
    <s v="W06007"/>
    <x v="66"/>
    <s v="E-US"/>
    <s v="美国"/>
    <s v="003000014"/>
    <n v="80"/>
    <x v="2"/>
    <s v="美中海卡"/>
    <s v="AKR1"/>
    <s v="AP2US-H14"/>
    <s v="AP2US-H14 内置H14滤网桌面式空气净化器2-美规"/>
    <s v="AP2"/>
    <n v="20"/>
    <n v="474"/>
    <s v="重量收费"/>
    <n v="6"/>
    <n v="200"/>
    <n v="200"/>
    <n v="3044"/>
    <n v="38.049999999999997"/>
    <n v="5.6791044776119399"/>
    <m/>
    <m/>
    <m/>
    <x v="8"/>
    <x v="24"/>
    <m/>
    <n v="0"/>
    <n v="0"/>
    <d v="2026-04-18T00:00:00"/>
    <n v="74"/>
    <d v="2026-04-28T00:00:00"/>
    <m/>
    <n v="10"/>
    <m/>
    <m/>
    <m/>
    <m/>
  </r>
  <r>
    <n v="177"/>
    <m/>
    <s v="W06008"/>
    <x v="67"/>
    <s v="E-US"/>
    <s v="美国"/>
    <s v="003000014"/>
    <n v="80"/>
    <x v="0"/>
    <s v="美森海卡"/>
    <s v="LFT1"/>
    <s v="AP2US-H14"/>
    <s v="AP2US-H14 内置H14滤网桌面式空气净化器2-美规"/>
    <s v="AP2"/>
    <n v="20"/>
    <n v="474"/>
    <s v="重量收费"/>
    <n v="5.7"/>
    <n v="200"/>
    <n v="200"/>
    <n v="2901.8"/>
    <n v="36.272500000000001"/>
    <n v="5.4138059701492534"/>
    <m/>
    <m/>
    <m/>
    <x v="8"/>
    <x v="16"/>
    <m/>
    <n v="0"/>
    <n v="0"/>
    <d v="2026-03-27T00:00:00"/>
    <n v="52"/>
    <d v="2026-03-27T00:00:00"/>
    <n v="80"/>
    <n v="0"/>
    <m/>
    <m/>
    <m/>
    <m/>
  </r>
  <r>
    <n v="178"/>
    <m/>
    <s v="W06009"/>
    <x v="68"/>
    <s v="W-US"/>
    <s v="美国"/>
    <s v="002000031"/>
    <n v="160"/>
    <x v="0"/>
    <s v="美森海卡"/>
    <s v="POC2"/>
    <s v="MK1-B"/>
    <s v="MK1-B 智能球形把手锁 黑色"/>
    <s v="MK1"/>
    <n v="10"/>
    <n v="142"/>
    <s v="重量收费"/>
    <n v="9.5"/>
    <n v="200"/>
    <n v="200"/>
    <n v="1549"/>
    <n v="9.6812500000000004"/>
    <n v="1.4449626865671641"/>
    <m/>
    <m/>
    <m/>
    <x v="7"/>
    <x v="13"/>
    <m/>
    <n v="0.55999999999999994"/>
    <n v="89.6"/>
    <d v="2026-03-11T00:00:00"/>
    <n v="33"/>
    <d v="2026-04-12T00:00:00"/>
    <m/>
    <n v="32"/>
    <m/>
    <m/>
    <m/>
    <m/>
  </r>
  <r>
    <n v="179"/>
    <m/>
    <s v="W10001"/>
    <x v="69"/>
    <s v="E-US"/>
    <s v="美国"/>
    <s v="ANZ-B"/>
    <n v="200"/>
    <x v="2"/>
    <s v="盐田海卡"/>
    <s v="TCY1"/>
    <s v="ANZ-B"/>
    <s v="ANZ-B 便携式扩香仪 黑色"/>
    <s v="ANZ"/>
    <n v="5"/>
    <n v="73.849999999999994"/>
    <s v="重量收费"/>
    <n v="3.3"/>
    <n v="200"/>
    <n v="7.1942446043165464"/>
    <n v="250.89924460431649"/>
    <n v="1.2544962230215824"/>
    <n v="0.1872382422420272"/>
    <m/>
    <m/>
    <m/>
    <x v="9"/>
    <x v="25"/>
    <m/>
    <n v="0.36"/>
    <n v="72"/>
    <d v="2026-04-04T00:00:00"/>
    <n v="29"/>
    <d v="2026-05-07T00:00:00"/>
    <m/>
    <n v="33"/>
    <m/>
    <m/>
    <m/>
    <m/>
  </r>
  <r>
    <n v="180"/>
    <m/>
    <s v="W10003"/>
    <x v="70"/>
    <s v="E-US"/>
    <s v="美国"/>
    <s v="ANZ-B"/>
    <n v="600"/>
    <x v="2"/>
    <s v="以星海卡"/>
    <s v="TCY1"/>
    <s v="ANZ-B"/>
    <s v="ANZ-B 便携式扩香仪 黑色"/>
    <s v="ANZ"/>
    <n v="15"/>
    <n v="202"/>
    <s v="重量收费"/>
    <n v="4.2"/>
    <n v="200"/>
    <n v="200"/>
    <n v="1048.4000000000001"/>
    <n v="1.7473333333333334"/>
    <n v="0.2607960199004975"/>
    <m/>
    <m/>
    <m/>
    <x v="9"/>
    <x v="26"/>
    <m/>
    <n v="0.36"/>
    <n v="216"/>
    <d v="2026-04-04T00:00:00"/>
    <n v="29"/>
    <d v="2026-04-29T00:00:00"/>
    <m/>
    <n v="25"/>
    <m/>
    <m/>
    <m/>
    <m/>
  </r>
  <r>
    <n v="181"/>
    <m/>
    <s v="W10001"/>
    <x v="71"/>
    <s v="V-US"/>
    <s v="美国"/>
    <s v="001000019"/>
    <n v="800"/>
    <x v="2"/>
    <s v="盐田海卡"/>
    <s v="TCY1"/>
    <s v="AN6-B"/>
    <s v="AN6-B 便携式扩香仪 黑色"/>
    <s v="AN6"/>
    <n v="20"/>
    <n v="295.39555555555557"/>
    <s v="重量收费"/>
    <n v="3.3"/>
    <m/>
    <n v="28.776978417266186"/>
    <n v="1003.5823117505995"/>
    <n v="1.2544778896882494"/>
    <n v="0.18723550592361929"/>
    <m/>
    <m/>
    <m/>
    <x v="9"/>
    <x v="25"/>
    <m/>
    <n v="0.3721518987341772"/>
    <n v="297.72151898734177"/>
    <d v="2026-04-04T00:00:00"/>
    <n v="29"/>
    <d v="2026-05-09T00:00:00"/>
    <m/>
    <n v="35"/>
    <m/>
    <m/>
    <m/>
    <m/>
  </r>
  <r>
    <n v="182"/>
    <m/>
    <s v="W10001"/>
    <x v="71"/>
    <s v="V-US"/>
    <s v="美国"/>
    <s v="001000020"/>
    <n v="480"/>
    <x v="2"/>
    <s v="盐田海卡"/>
    <s v="TCY1"/>
    <s v="AN6-W"/>
    <s v="AN6-W 便携式扩香仪 白色"/>
    <s v="AN6"/>
    <n v="12"/>
    <n v="177.23733333333334"/>
    <s v="重量收费"/>
    <n v="3.3"/>
    <m/>
    <n v="17.266187050359711"/>
    <n v="602.14938705035968"/>
    <n v="1.2544778896882494"/>
    <n v="0.18723550592361929"/>
    <m/>
    <m/>
    <m/>
    <x v="9"/>
    <x v="25"/>
    <m/>
    <n v="0.3721518987341772"/>
    <n v="178.63291139240505"/>
    <d v="2026-04-04T00:00:00"/>
    <n v="29"/>
    <d v="2026-05-09T00:00:00"/>
    <m/>
    <n v="35"/>
    <m/>
    <m/>
    <m/>
    <m/>
  </r>
  <r>
    <n v="183"/>
    <m/>
    <s v="W10001"/>
    <x v="71"/>
    <s v="V-US"/>
    <s v="美国"/>
    <s v="AN8KIT-B_B"/>
    <n v="240"/>
    <x v="2"/>
    <s v="盐田海卡"/>
    <s v="TCY1"/>
    <s v="AN8KIT-B_B"/>
    <s v="AN8KIT-B_B 便携式扩香仪套装 黑+黑"/>
    <s v="AN8"/>
    <n v="12"/>
    <n v="177.23733333333334"/>
    <s v="重量收费"/>
    <n v="3.3"/>
    <m/>
    <n v="17.266187050359711"/>
    <n v="602.14938705035968"/>
    <n v="2.5089557793764987"/>
    <n v="0.37447101184723858"/>
    <m/>
    <m/>
    <m/>
    <x v="9"/>
    <x v="25"/>
    <m/>
    <n v="0.3721518987341772"/>
    <n v="89.316455696202524"/>
    <d v="2026-04-04T00:00:00"/>
    <n v="29"/>
    <d v="2026-05-09T00:00:00"/>
    <m/>
    <n v="35"/>
    <m/>
    <m/>
    <m/>
    <m/>
  </r>
  <r>
    <n v="184"/>
    <m/>
    <s v="W10001"/>
    <x v="71"/>
    <s v="V-US"/>
    <s v="美国"/>
    <s v="RD1PJ-BOT"/>
    <n v="60"/>
    <x v="2"/>
    <s v="盐田海卡"/>
    <s v="TCY1"/>
    <s v="RD1PJ-BOT"/>
    <s v="RD1PJ-BOT 便携式扩香仪100mL带盖替换玻璃瓶"/>
    <s v="RD1-AC"/>
    <n v="1"/>
    <n v="14.769777777777778"/>
    <s v="重量收费"/>
    <n v="3.3"/>
    <m/>
    <n v="1.4388489208633093"/>
    <n v="50.179115587529971"/>
    <n v="0.8363185931254995"/>
    <n v="0.12482367061574619"/>
    <m/>
    <m/>
    <m/>
    <x v="9"/>
    <x v="25"/>
    <m/>
    <n v="0.3721518987341772"/>
    <n v="22.329113924050631"/>
    <d v="2026-04-04T00:00:00"/>
    <n v="29"/>
    <d v="2026-05-09T00:00:00"/>
    <m/>
    <n v="35"/>
    <m/>
    <m/>
    <m/>
    <m/>
  </r>
  <r>
    <n v="185"/>
    <m/>
    <s v="W10001"/>
    <x v="72"/>
    <s v="V-US"/>
    <s v="美国"/>
    <s v="AN6KIT-B_4X10ML"/>
    <n v="300"/>
    <x v="2"/>
    <s v="盐田海卡"/>
    <s v="TCY1"/>
    <s v="AN6KIT-B_4X10ML"/>
    <s v="AN6KIT-B_4X10ML AN6黑色机器+4x10mL香氛油（天竺） 机油套装"/>
    <s v="AN6"/>
    <n v="10"/>
    <n v="147.69753086419752"/>
    <s v="重量收费"/>
    <n v="3.3"/>
    <m/>
    <n v="14.388489208633093"/>
    <n v="501.79034106048488"/>
    <n v="1.6726344702016163"/>
    <n v="0.24964693585098749"/>
    <m/>
    <m/>
    <m/>
    <x v="9"/>
    <x v="25"/>
    <m/>
    <n v="0.44"/>
    <n v="132"/>
    <d v="2026-04-04T00:00:00"/>
    <n v="29"/>
    <d v="2026-05-09T00:00:00"/>
    <m/>
    <n v="35"/>
    <m/>
    <m/>
    <m/>
    <m/>
  </r>
  <r>
    <n v="186"/>
    <m/>
    <s v="W10001"/>
    <x v="72"/>
    <s v="V-US"/>
    <s v="美国"/>
    <s v="AN8KIT-B_4X10K01"/>
    <n v="1200"/>
    <x v="2"/>
    <s v="盐田海卡"/>
    <s v="TCY1"/>
    <s v="AN8KIT-B_4X10K01"/>
    <s v="AN8KIT-B_4X10K01 AN8黑色机器+4x10mL酒店香氛油 机油套装"/>
    <s v="AN8"/>
    <n v="40"/>
    <n v="590.79012345679007"/>
    <s v="重量收费"/>
    <n v="3.3"/>
    <m/>
    <n v="57.553956834532372"/>
    <n v="2007.1613642419395"/>
    <n v="1.6726344702016163"/>
    <n v="0.24964693585098749"/>
    <m/>
    <m/>
    <m/>
    <x v="9"/>
    <x v="25"/>
    <m/>
    <n v="0.44"/>
    <n v="528"/>
    <d v="2026-04-04T00:00:00"/>
    <n v="29"/>
    <d v="2026-05-09T00:00:00"/>
    <m/>
    <n v="35"/>
    <m/>
    <m/>
    <m/>
    <m/>
  </r>
  <r>
    <n v="187"/>
    <m/>
    <s v="W10001"/>
    <x v="72"/>
    <s v="V-US"/>
    <s v="美国"/>
    <s v="AN8KIT-WH_4X10K01"/>
    <n v="450"/>
    <x v="2"/>
    <s v="盐田海卡"/>
    <s v="TCY1"/>
    <s v="AN8KIT-WH_4X10K01"/>
    <s v="AN8KIT-WH_4X10K01 AN8白色机器+4x10mL酒店香氛油 机油套装"/>
    <s v="AN8"/>
    <n v="15"/>
    <n v="221.5462962962963"/>
    <s v="重量收费"/>
    <n v="3.3"/>
    <m/>
    <n v="21.582733812949641"/>
    <n v="752.6855115907274"/>
    <n v="1.6726344702016165"/>
    <n v="0.24964693585098752"/>
    <m/>
    <m/>
    <m/>
    <x v="9"/>
    <x v="25"/>
    <m/>
    <n v="0.44"/>
    <n v="198"/>
    <d v="2026-04-04T00:00:00"/>
    <n v="29"/>
    <d v="2026-05-09T00:00:00"/>
    <m/>
    <n v="35"/>
    <m/>
    <m/>
    <m/>
    <m/>
  </r>
  <r>
    <n v="188"/>
    <m/>
    <s v="W10001"/>
    <x v="72"/>
    <s v="V-US"/>
    <s v="美国"/>
    <s v="RD1KIT-T_2X30K04"/>
    <n v="320"/>
    <x v="2"/>
    <s v="盐田海卡"/>
    <s v="TCY1"/>
    <s v="RD1KIT-T_2X30K04"/>
    <s v="RD1KIT-T_2X30K04 RD1沙漠钛色机器+2X30mL酒店香氛油 机油套装"/>
    <s v="RD1"/>
    <n v="16"/>
    <n v="236.31604938271605"/>
    <s v="重量收费"/>
    <n v="3.3"/>
    <m/>
    <n v="23.021582733812949"/>
    <n v="802.86454569677585"/>
    <n v="2.5089517053024246"/>
    <n v="0.37447040377648128"/>
    <m/>
    <m/>
    <m/>
    <x v="9"/>
    <x v="25"/>
    <m/>
    <n v="0.44"/>
    <n v="140.80000000000001"/>
    <d v="2026-04-04T00:00:00"/>
    <n v="29"/>
    <d v="2026-05-09T00:00:00"/>
    <m/>
    <n v="35"/>
    <m/>
    <m/>
    <m/>
    <m/>
  </r>
  <r>
    <n v="189"/>
    <m/>
    <s v="W10002"/>
    <x v="73"/>
    <s v="V-CA"/>
    <s v="加拿大"/>
    <s v="001000019"/>
    <n v="160"/>
    <x v="2"/>
    <s v="加拿大海卡"/>
    <s v="YVR4"/>
    <s v="AN6-B"/>
    <s v="AN6-B 便携式扩香仪 黑色"/>
    <s v="AN6"/>
    <n v="4"/>
    <n v="54.8"/>
    <s v="重量收费"/>
    <n v="6"/>
    <n v="200"/>
    <n v="80"/>
    <n v="408.79999999999995"/>
    <n v="2.5549999999999997"/>
    <n v="0.38134328358208952"/>
    <m/>
    <m/>
    <m/>
    <x v="9"/>
    <x v="27"/>
    <m/>
    <n v="0"/>
    <n v="0"/>
    <d v="2026-04-13T00:00:00"/>
    <n v="38"/>
    <d v="2026-05-13T00:00:00"/>
    <m/>
    <n v="30"/>
    <m/>
    <m/>
    <m/>
    <m/>
  </r>
  <r>
    <n v="190"/>
    <m/>
    <s v="W10002"/>
    <x v="73"/>
    <s v="V-CA"/>
    <s v="加拿大"/>
    <s v="001000020"/>
    <n v="200"/>
    <x v="2"/>
    <s v="加拿大海卡"/>
    <s v="YVR4"/>
    <s v="AN6-W"/>
    <s v="AN6-W 便携式扩香仪 白色"/>
    <s v="AN6"/>
    <n v="5"/>
    <n v="68.5"/>
    <s v="重量收费"/>
    <n v="6"/>
    <n v="200"/>
    <n v="100"/>
    <n v="511"/>
    <n v="2.5550000000000002"/>
    <n v="0.38134328358208958"/>
    <m/>
    <m/>
    <m/>
    <x v="9"/>
    <x v="27"/>
    <m/>
    <n v="0"/>
    <n v="0"/>
    <d v="2026-04-13T00:00:00"/>
    <n v="38"/>
    <d v="2026-05-13T00:00:00"/>
    <m/>
    <n v="30"/>
    <m/>
    <m/>
    <m/>
    <m/>
  </r>
  <r>
    <n v="191"/>
    <m/>
    <s v="W10002"/>
    <x v="73"/>
    <s v="V-CA"/>
    <s v="加拿大"/>
    <s v="001000021"/>
    <n v="150"/>
    <x v="2"/>
    <s v="加拿大海卡"/>
    <s v="YVR4"/>
    <s v="AN6NZ-B"/>
    <s v="AN6NZ-B AN6喷嘴配件套装 黑色"/>
    <s v="AN6-AC"/>
    <n v="0.75"/>
    <n v="10.274999999999999"/>
    <s v="重量收费"/>
    <n v="6"/>
    <m/>
    <n v="15"/>
    <n v="76.649999999999991"/>
    <n v="0.5109999999999999"/>
    <n v="7.6268656716417887E-2"/>
    <m/>
    <m/>
    <m/>
    <x v="9"/>
    <x v="27"/>
    <m/>
    <n v="0"/>
    <n v="0"/>
    <d v="2026-04-13T00:00:00"/>
    <n v="38"/>
    <d v="2026-05-13T00:00:00"/>
    <m/>
    <n v="30"/>
    <m/>
    <m/>
    <m/>
    <m/>
  </r>
  <r>
    <n v="192"/>
    <m/>
    <s v="W10002"/>
    <x v="73"/>
    <s v="V-CA"/>
    <s v="加拿大"/>
    <s v="001000022"/>
    <n v="50"/>
    <x v="2"/>
    <s v="加拿大海卡"/>
    <s v="YVR4"/>
    <s v="AN6NZ-W"/>
    <s v="AN6NZ-W AN6喷嘴配件套装 白色"/>
    <s v="AN6-AC"/>
    <n v="0.25"/>
    <n v="3.4249999999999998"/>
    <s v="重量收费"/>
    <n v="6"/>
    <m/>
    <n v="5"/>
    <n v="25.549999999999997"/>
    <n v="0.5109999999999999"/>
    <n v="7.6268656716417887E-2"/>
    <m/>
    <m/>
    <m/>
    <x v="9"/>
    <x v="27"/>
    <m/>
    <n v="0"/>
    <n v="0"/>
    <d v="2026-04-13T00:00:00"/>
    <n v="38"/>
    <d v="2026-05-13T00:00:00"/>
    <m/>
    <n v="30"/>
    <m/>
    <m/>
    <m/>
    <m/>
  </r>
  <r>
    <n v="193"/>
    <m/>
    <s v="W10001"/>
    <x v="74"/>
    <s v="V-US"/>
    <s v="美国"/>
    <s v="001000019"/>
    <n v="200"/>
    <x v="2"/>
    <s v="盐田海卡"/>
    <s v="TCY1"/>
    <s v="AN6-B"/>
    <s v="AN6-B 便携式扩香仪 黑色"/>
    <s v="AN6"/>
    <n v="5"/>
    <n v="73.849999999999994"/>
    <s v="重量收费"/>
    <n v="3.3"/>
    <m/>
    <n v="7.1942446043165464"/>
    <n v="250.89924460431649"/>
    <n v="1.2544962230215824"/>
    <n v="0.1872382422420272"/>
    <m/>
    <m/>
    <m/>
    <x v="9"/>
    <x v="25"/>
    <m/>
    <n v="0.36"/>
    <n v="72"/>
    <d v="2026-04-04T00:00:00"/>
    <n v="29"/>
    <d v="2026-05-06T00:00:00"/>
    <m/>
    <n v="32"/>
    <m/>
    <m/>
    <m/>
    <m/>
  </r>
  <r>
    <n v="194"/>
    <m/>
    <s v="W10001"/>
    <x v="74"/>
    <s v="V-US"/>
    <s v="美国"/>
    <s v="AN6-LV"/>
    <n v="120"/>
    <x v="2"/>
    <s v="盐田海卡"/>
    <s v="TCY1"/>
    <s v="AN6-LV"/>
    <s v="AN6-LV 便携式扩香仪 薰衣草"/>
    <s v="AN6"/>
    <n v="3"/>
    <n v="44.31"/>
    <s v="重量收费"/>
    <n v="3.3"/>
    <m/>
    <n v="4.3165467625899279"/>
    <n v="150.53954676258994"/>
    <n v="1.2544962230215828"/>
    <n v="0.18723824224202729"/>
    <m/>
    <m/>
    <m/>
    <x v="9"/>
    <x v="25"/>
    <m/>
    <n v="0.36"/>
    <n v="43.199999999999996"/>
    <d v="2026-04-04T00:00:00"/>
    <n v="29"/>
    <d v="2026-05-06T00:00:00"/>
    <m/>
    <n v="32"/>
    <m/>
    <m/>
    <m/>
    <m/>
  </r>
  <r>
    <n v="195"/>
    <m/>
    <s v="W11003"/>
    <x v="75"/>
    <s v="E-US"/>
    <s v="美国"/>
    <s v="ANZ-B"/>
    <n v="400"/>
    <x v="2"/>
    <s v="美森海卡"/>
    <s v="POC2"/>
    <s v="ANZ-B"/>
    <s v="ANZ-B 便携式扩香仪 黑色"/>
    <s v="ANZ"/>
    <n v="10"/>
    <n v="136"/>
    <s v="重量收费"/>
    <n v="6.3"/>
    <n v="200"/>
    <n v="40"/>
    <n v="896.8"/>
    <n v="2.242"/>
    <n v="0.33462686567164179"/>
    <m/>
    <m/>
    <m/>
    <x v="10"/>
    <x v="28"/>
    <m/>
    <n v="0.36"/>
    <n v="144"/>
    <d v="2026-04-03T00:00:00"/>
    <n v="21"/>
    <d v="2026-05-05T00:00:00"/>
    <m/>
    <n v="32"/>
    <m/>
    <m/>
    <m/>
    <m/>
  </r>
  <r>
    <n v="196"/>
    <m/>
    <s v="W11010"/>
    <x v="76"/>
    <s v="E-US"/>
    <s v="美国"/>
    <s v="001000051"/>
    <n v="120"/>
    <x v="2"/>
    <s v="盐田海卡"/>
    <s v="POC2"/>
    <s v="ANX-SG"/>
    <s v="ANX-SG 便携式扩香仪 太空灰色"/>
    <s v="ANX"/>
    <n v="4"/>
    <n v="53"/>
    <s v="重量收费"/>
    <n v="3.1"/>
    <n v="200"/>
    <n v="50"/>
    <n v="214.3"/>
    <n v="1.7858333333333334"/>
    <n v="0.26654228855721396"/>
    <m/>
    <m/>
    <m/>
    <x v="10"/>
    <x v="29"/>
    <m/>
    <n v="0.376"/>
    <n v="45.12"/>
    <d v="2026-04-17T00:00:00"/>
    <n v="35"/>
    <d v="2026-05-19T00:00:00"/>
    <m/>
    <n v="32"/>
    <m/>
    <m/>
    <m/>
    <m/>
  </r>
  <r>
    <n v="197"/>
    <m/>
    <s v="W11010"/>
    <x v="76"/>
    <s v="E-US"/>
    <s v="美国"/>
    <s v="ANZ-B"/>
    <n v="480"/>
    <x v="2"/>
    <s v="盐田海卡"/>
    <s v="POC2"/>
    <s v="ANZ-B"/>
    <s v="ANZ-B 便携式扩香仪 黑色"/>
    <s v="ANZ"/>
    <n v="12"/>
    <n v="159"/>
    <s v="重量收费"/>
    <n v="3.1"/>
    <n v="200"/>
    <n v="150"/>
    <n v="642.90000000000009"/>
    <n v="1.3393750000000002"/>
    <n v="0.19990671641791047"/>
    <m/>
    <m/>
    <m/>
    <x v="10"/>
    <x v="29"/>
    <m/>
    <n v="0.376"/>
    <n v="180.48"/>
    <d v="2026-04-17T00:00:00"/>
    <n v="35"/>
    <d v="2026-05-19T00:00:00"/>
    <m/>
    <n v="32"/>
    <m/>
    <m/>
    <m/>
    <m/>
  </r>
  <r>
    <n v="198"/>
    <m/>
    <s v="W11005"/>
    <x v="77"/>
    <s v="E-UK"/>
    <s v="英国"/>
    <s v="001000039"/>
    <n v="240"/>
    <x v="2"/>
    <s v="英国海卡"/>
    <s v="BHX4"/>
    <s v="AN6-GL"/>
    <s v="AN6-GL 便携式扩香仪 翠百合色"/>
    <s v="AN6"/>
    <n v="6"/>
    <n v="80.400000000000006"/>
    <s v="重量收费"/>
    <n v="4.0999999999999996"/>
    <n v="500"/>
    <n v="300"/>
    <n v="629.64"/>
    <n v="2.6234999999999999"/>
    <n v="0.39156716417910448"/>
    <n v="428.1"/>
    <n v="256.86"/>
    <s v="是"/>
    <x v="10"/>
    <x v="30"/>
    <m/>
    <n v="0"/>
    <n v="0"/>
    <d v="2026-05-01T00:00:00"/>
    <n v="49"/>
    <d v="2026-06-01T00:00:00"/>
    <m/>
    <n v="31"/>
    <m/>
    <m/>
    <m/>
    <m/>
  </r>
  <r>
    <n v="199"/>
    <m/>
    <s v="W11005"/>
    <x v="77"/>
    <s v="E-UK"/>
    <s v="英国"/>
    <s v="001000040"/>
    <n v="80"/>
    <x v="2"/>
    <s v="英国海卡"/>
    <s v="BHX4"/>
    <s v="AN6-LB"/>
    <s v="AN6-LB 便携式扩香仪 浅钢蓝色"/>
    <s v="AN6"/>
    <n v="2"/>
    <n v="26.8"/>
    <s v="重量收费"/>
    <n v="4.0999999999999996"/>
    <n v="500"/>
    <n v="100"/>
    <n v="209.88"/>
    <n v="2.6234999999999999"/>
    <n v="0.39156716417910448"/>
    <m/>
    <n v="85.62"/>
    <s v="是"/>
    <x v="10"/>
    <x v="30"/>
    <m/>
    <n v="0"/>
    <n v="0"/>
    <d v="2026-05-01T00:00:00"/>
    <n v="49"/>
    <d v="2026-06-01T00:00:00"/>
    <m/>
    <n v="31"/>
    <m/>
    <m/>
    <m/>
    <m/>
  </r>
  <r>
    <n v="200"/>
    <m/>
    <s v="W11005"/>
    <x v="77"/>
    <s v="E-UK"/>
    <s v="英国"/>
    <s v="001000051"/>
    <n v="60"/>
    <x v="2"/>
    <s v="英国海卡"/>
    <s v="BHX4"/>
    <s v="ANX-SG"/>
    <s v="ANX-SG 便携式扩香仪 太空灰色"/>
    <s v="ANX"/>
    <n v="2"/>
    <n v="26.8"/>
    <s v="重量收费"/>
    <n v="4.0999999999999996"/>
    <m/>
    <n v="100"/>
    <n v="209.88"/>
    <n v="3.4979999999999998"/>
    <n v="0.52208955223880593"/>
    <m/>
    <n v="85.62"/>
    <s v="是"/>
    <x v="10"/>
    <x v="30"/>
    <m/>
    <n v="0"/>
    <n v="0"/>
    <d v="2026-05-01T00:00:00"/>
    <n v="49"/>
    <d v="2026-06-01T00:00:00"/>
    <m/>
    <n v="31"/>
    <m/>
    <m/>
    <m/>
    <m/>
  </r>
  <r>
    <n v="201"/>
    <m/>
    <s v="W11006"/>
    <x v="78"/>
    <s v="W-DE"/>
    <s v="德国"/>
    <s v="001000039"/>
    <n v="240"/>
    <x v="0"/>
    <s v="欧洲海卡"/>
    <s v="BER8"/>
    <s v="AN6-GL"/>
    <s v="AN6-GL 便携式扩香仪 翠百合色"/>
    <s v="AN6"/>
    <n v="6"/>
    <n v="81.599999999999994"/>
    <s v="重量收费"/>
    <n v="6.7"/>
    <n v="250"/>
    <n v="150"/>
    <n v="696.72"/>
    <n v="2.903"/>
    <n v="0.43328358208955225"/>
    <m/>
    <m/>
    <s v="是"/>
    <x v="11"/>
    <x v="31"/>
    <m/>
    <n v="0"/>
    <n v="0"/>
    <d v="2026-05-22T00:00:00"/>
    <n v="69"/>
    <m/>
    <m/>
    <n v="-46164"/>
    <m/>
    <m/>
    <m/>
    <m/>
  </r>
  <r>
    <n v="202"/>
    <m/>
    <s v="W11006"/>
    <x v="78"/>
    <s v="W-DE"/>
    <s v="德国"/>
    <s v="001000020"/>
    <n v="160"/>
    <x v="0"/>
    <s v="欧洲海卡"/>
    <s v="BER8"/>
    <s v="AN6-W"/>
    <s v="AN6-W 便携式扩香仪 白色"/>
    <s v="AN6"/>
    <n v="4"/>
    <n v="54.4"/>
    <s v="重量收费"/>
    <n v="6.7"/>
    <n v="250"/>
    <n v="100"/>
    <n v="464.48"/>
    <n v="2.903"/>
    <n v="0.43328358208955225"/>
    <m/>
    <m/>
    <s v="是"/>
    <x v="11"/>
    <x v="31"/>
    <m/>
    <n v="0"/>
    <n v="0"/>
    <d v="2026-05-22T00:00:00"/>
    <n v="69"/>
    <m/>
    <m/>
    <n v="-46164"/>
    <m/>
    <m/>
    <m/>
    <m/>
  </r>
  <r>
    <n v="203"/>
    <m/>
    <s v="W11011"/>
    <x v="79"/>
    <s v="V-US"/>
    <s v="美国"/>
    <s v="AN8KIT-B_4X10K01"/>
    <n v="510"/>
    <x v="6"/>
    <s v="盐田海卡"/>
    <s v="POC3"/>
    <s v="AN8KIT-B_4X10K01"/>
    <s v="AN8KIT-B_4X10K01 AN8黑色机器+4x10mL酒店香氛油 机油套装"/>
    <s v="AN8"/>
    <n v="17"/>
    <n v="273"/>
    <s v="重量收费"/>
    <n v="3.2"/>
    <n v="200"/>
    <n v="200"/>
    <n v="1073.5999999999999"/>
    <n v="2.1050980392156862"/>
    <n v="0.31419373719637106"/>
    <m/>
    <m/>
    <s v="是"/>
    <x v="11"/>
    <x v="32"/>
    <m/>
    <n v="0.44"/>
    <n v="224.4"/>
    <d v="2026-04-11T00:00:00"/>
    <n v="28"/>
    <d v="2026-05-12T00:00:00"/>
    <m/>
    <n v="31"/>
    <m/>
    <m/>
    <m/>
    <m/>
  </r>
  <r>
    <n v="204"/>
    <m/>
    <s v="W11004"/>
    <x v="80"/>
    <s v="V-US"/>
    <s v="美国"/>
    <s v="AN8KIT-B_4X10K01"/>
    <n v="1800"/>
    <x v="0"/>
    <s v="以星海卡"/>
    <s v="POC3"/>
    <s v="AN8KIT-B_4X10K01"/>
    <s v="AN8KIT-B_4X10K01 AN8黑色机器+4x10mL酒店香氛油 机油套装"/>
    <s v="AN8"/>
    <n v="60"/>
    <n v="968.99999999999989"/>
    <s v="重量收费"/>
    <n v="4.2"/>
    <n v="200"/>
    <n v="200"/>
    <n v="4269.7999999999993"/>
    <n v="2.3721111111111108"/>
    <n v="0.35404643449419565"/>
    <m/>
    <m/>
    <s v="是"/>
    <x v="11"/>
    <x v="33"/>
    <m/>
    <n v="0.44"/>
    <n v="792"/>
    <d v="2026-04-11T00:00:00"/>
    <n v="28"/>
    <d v="2026-05-15T00:00:00"/>
    <m/>
    <n v="34"/>
    <m/>
    <m/>
    <m/>
    <m/>
  </r>
  <r>
    <n v="205"/>
    <m/>
    <s v="W11012"/>
    <x v="81"/>
    <s v="V-US"/>
    <s v="美国"/>
    <s v="001000019"/>
    <n v="1400"/>
    <x v="0"/>
    <s v="盐田海卡"/>
    <s v="HLI2"/>
    <s v="AN6-B"/>
    <s v="AN6-B 便携式扩香仪 黑色"/>
    <s v="AN6"/>
    <n v="35"/>
    <n v="535.15"/>
    <s v="重量收费"/>
    <n v="3.5"/>
    <n v="200"/>
    <n v="41.420118343195263"/>
    <n v="1914.4451183431952"/>
    <n v="1.3674607988165679"/>
    <n v="0.20409862668903997"/>
    <m/>
    <m/>
    <s v="是"/>
    <x v="11"/>
    <x v="32"/>
    <m/>
    <n v="0.36533333333333334"/>
    <n v="511.4666666666667"/>
    <d v="2026-04-10T00:00:00"/>
    <n v="27"/>
    <d v="2026-06-09T00:00:00"/>
    <m/>
    <n v="60"/>
    <m/>
    <m/>
    <m/>
    <m/>
  </r>
  <r>
    <n v="206"/>
    <m/>
    <s v="W11012"/>
    <x v="81"/>
    <s v="V-US"/>
    <s v="美国"/>
    <s v="AN6-LV"/>
    <n v="120"/>
    <x v="0"/>
    <s v="盐田海卡"/>
    <s v="HLI2"/>
    <s v="AN6-LV"/>
    <s v="AN6-LV 便携式扩香仪 薰衣草"/>
    <s v="AN6"/>
    <n v="3"/>
    <n v="45.870000000000005"/>
    <s v="重量收费"/>
    <n v="3.5"/>
    <n v="200"/>
    <n v="3.5502958579881656"/>
    <n v="164.09529585798819"/>
    <n v="1.3674607988165683"/>
    <n v="0.20409862668904005"/>
    <m/>
    <m/>
    <s v="是"/>
    <x v="11"/>
    <x v="32"/>
    <m/>
    <n v="0.36533333333333334"/>
    <n v="43.84"/>
    <d v="2026-04-10T00:00:00"/>
    <n v="27"/>
    <d v="2026-06-09T00:00:00"/>
    <m/>
    <n v="60"/>
    <m/>
    <m/>
    <m/>
    <m/>
  </r>
  <r>
    <n v="207"/>
    <m/>
    <s v="W11012"/>
    <x v="81"/>
    <s v="V-US"/>
    <s v="美国"/>
    <s v="001000020"/>
    <n v="600"/>
    <x v="0"/>
    <s v="盐田海卡"/>
    <s v="HLI2"/>
    <s v="AN6-W"/>
    <s v="AN6-W 便携式扩香仪 白色"/>
    <s v="AN6"/>
    <n v="15"/>
    <n v="229.35000000000002"/>
    <s v="重量收费"/>
    <n v="3.5"/>
    <m/>
    <n v="17.751479289940828"/>
    <n v="820.47647928994093"/>
    <n v="1.3674607988165681"/>
    <n v="0.20409862668904002"/>
    <m/>
    <m/>
    <s v="是"/>
    <x v="11"/>
    <x v="32"/>
    <m/>
    <n v="0.36533333333333334"/>
    <n v="219.20000000000002"/>
    <d v="2026-04-10T00:00:00"/>
    <n v="27"/>
    <d v="2026-06-09T00:00:00"/>
    <m/>
    <n v="60"/>
    <m/>
    <m/>
    <m/>
    <m/>
  </r>
  <r>
    <n v="208"/>
    <m/>
    <s v="W11012"/>
    <x v="81"/>
    <s v="V-US"/>
    <s v="美国"/>
    <s v="AN6-YG"/>
    <n v="200"/>
    <x v="0"/>
    <s v="盐田海卡"/>
    <s v="HLI2"/>
    <s v="AN6-YG"/>
    <s v="AN6-YG 便携式扩香仪 乳酪色"/>
    <s v="AN6"/>
    <n v="5"/>
    <n v="76.45"/>
    <s v="重量收费"/>
    <n v="3.5"/>
    <m/>
    <n v="5.9171597633136095"/>
    <n v="273.49215976331362"/>
    <n v="1.3674607988165681"/>
    <n v="0.20409862668904002"/>
    <m/>
    <m/>
    <s v="是"/>
    <x v="11"/>
    <x v="32"/>
    <m/>
    <n v="0.36533333333333334"/>
    <n v="73.066666666666663"/>
    <d v="2026-04-10T00:00:00"/>
    <n v="27"/>
    <d v="2026-06-09T00:00:00"/>
    <m/>
    <n v="60"/>
    <m/>
    <m/>
    <m/>
    <m/>
  </r>
  <r>
    <n v="209"/>
    <m/>
    <s v="W11012"/>
    <x v="81"/>
    <s v="V-US"/>
    <s v="美国"/>
    <s v="RD1-B"/>
    <n v="180"/>
    <x v="0"/>
    <s v="盐田海卡"/>
    <s v="HLI2"/>
    <s v="RD1-B"/>
    <s v="RD1-B 便携式扩香仪 黑色"/>
    <s v="RD1"/>
    <n v="6"/>
    <n v="91.740000000000009"/>
    <s v="重量收费"/>
    <n v="3.5"/>
    <m/>
    <n v="7.1005917159763312"/>
    <n v="328.19059171597638"/>
    <n v="1.8232810650887576"/>
    <n v="0.27213150225205335"/>
    <m/>
    <m/>
    <s v="是"/>
    <x v="11"/>
    <x v="32"/>
    <m/>
    <n v="0.36533333333333334"/>
    <n v="65.760000000000005"/>
    <d v="2026-04-10T00:00:00"/>
    <n v="27"/>
    <d v="2026-06-09T00:00:00"/>
    <m/>
    <n v="60"/>
    <m/>
    <m/>
    <m/>
    <m/>
  </r>
  <r>
    <n v="210"/>
    <m/>
    <s v="W11012"/>
    <x v="81"/>
    <s v="V-US"/>
    <s v="美国"/>
    <s v="001000021"/>
    <n v="200"/>
    <x v="0"/>
    <s v="盐田海卡"/>
    <s v="HLI2"/>
    <s v="AN6NZ-B"/>
    <s v="AN6NZ-B AN6喷嘴配件套装 黑色"/>
    <s v="AN6-AC"/>
    <n v="1"/>
    <n v="15.290000000000001"/>
    <s v="重量收费"/>
    <n v="3.5"/>
    <m/>
    <n v="1.1834319526627219"/>
    <n v="54.698431952662723"/>
    <n v="0.27349215976331359"/>
    <n v="4.0819725337807998E-2"/>
    <m/>
    <m/>
    <s v="是"/>
    <x v="11"/>
    <x v="32"/>
    <m/>
    <n v="0.36533333333333334"/>
    <n v="73.066666666666663"/>
    <d v="2026-04-10T00:00:00"/>
    <n v="27"/>
    <d v="2026-06-09T00:00:00"/>
    <m/>
    <n v="60"/>
    <m/>
    <m/>
    <m/>
    <m/>
  </r>
  <r>
    <n v="211"/>
    <m/>
    <s v="W11012"/>
    <x v="82"/>
    <s v="V-US"/>
    <s v="美国"/>
    <s v="AN6KIT-B_4X10ML"/>
    <n v="390"/>
    <x v="0"/>
    <s v="盐田海卡"/>
    <s v="HLI2"/>
    <s v="AN6KIT-B_4X10ML"/>
    <s v="AN6KIT-B_4X10ML AN6黑色机器+4x10mL香氛油（天竺） 机油套装"/>
    <s v="AN6"/>
    <n v="13"/>
    <n v="198.76875000000001"/>
    <s v="重量收费"/>
    <n v="3.5"/>
    <m/>
    <n v="15.384615384615385"/>
    <n v="711.07524038461543"/>
    <n v="1.8232698471400395"/>
    <n v="0.27212982793134916"/>
    <m/>
    <m/>
    <s v="是"/>
    <x v="11"/>
    <x v="32"/>
    <m/>
    <n v="0.44"/>
    <n v="171.6"/>
    <d v="2026-04-10T00:00:00"/>
    <n v="27"/>
    <d v="2026-06-09T00:00:00"/>
    <m/>
    <n v="60"/>
    <m/>
    <m/>
    <m/>
    <m/>
  </r>
  <r>
    <n v="212"/>
    <m/>
    <s v="W11012"/>
    <x v="82"/>
    <s v="V-US"/>
    <s v="美国"/>
    <s v="AN6KIT-WH_4X10K04_TZ"/>
    <n v="120"/>
    <x v="0"/>
    <s v="盐田海卡"/>
    <s v="HLI2"/>
    <s v="AN6KIT-WH_4X10K04_TZ"/>
    <s v="AN6KIT-WH_4X10K04_TZ AN6白色机器+4x10mL酒店（天竺）香氛油 机油套装"/>
    <s v="AN6"/>
    <n v="4"/>
    <n v="61.159615384615385"/>
    <s v="重量收费"/>
    <n v="3.5"/>
    <m/>
    <n v="4.7337278106508878"/>
    <n v="218.79238165680474"/>
    <n v="1.8232698471400395"/>
    <n v="0.27212982793134916"/>
    <m/>
    <m/>
    <s v="是"/>
    <x v="11"/>
    <x v="32"/>
    <m/>
    <n v="0.44"/>
    <n v="52.8"/>
    <d v="2026-04-10T00:00:00"/>
    <n v="27"/>
    <d v="2026-06-09T00:00:00"/>
    <m/>
    <n v="60"/>
    <m/>
    <m/>
    <m/>
    <m/>
  </r>
  <r>
    <n v="213"/>
    <m/>
    <s v="W11012"/>
    <x v="82"/>
    <s v="V-US"/>
    <s v="美国"/>
    <s v="AN8KIT-B_4X10K01"/>
    <n v="2100"/>
    <x v="0"/>
    <s v="盐田海卡"/>
    <s v="HLI2"/>
    <s v="AN8KIT-B_4X10K01"/>
    <s v="AN8KIT-B_4X10K01 AN8黑色机器+4x10mL酒店香氛油 机油套装"/>
    <s v="AN8"/>
    <n v="70"/>
    <n v="1070.2932692307693"/>
    <s v="重量收费"/>
    <n v="3.5"/>
    <m/>
    <n v="82.840236686390526"/>
    <n v="3828.866678994083"/>
    <n v="1.8232698471400395"/>
    <n v="0.27212982793134916"/>
    <m/>
    <m/>
    <s v="是"/>
    <x v="11"/>
    <x v="32"/>
    <m/>
    <n v="0.44"/>
    <n v="924"/>
    <d v="2026-04-10T00:00:00"/>
    <n v="27"/>
    <d v="2026-06-09T00:00:00"/>
    <m/>
    <n v="60"/>
    <m/>
    <m/>
    <m/>
    <m/>
  </r>
  <r>
    <n v="214"/>
    <m/>
    <s v="W11012"/>
    <x v="82"/>
    <s v="V-US"/>
    <s v="美国"/>
    <s v="AN8KIT-WH_4X10K01"/>
    <n v="510"/>
    <x v="0"/>
    <s v="盐田海卡"/>
    <s v="HLI2"/>
    <s v="AN8KIT-WH_4X10K01"/>
    <s v="AN8KIT-WH_4X10K01 AN8白色机器+4x10mL酒店香氛油 机油套装"/>
    <s v="AN8"/>
    <n v="17"/>
    <n v="259.9283653846154"/>
    <s v="重量收费"/>
    <n v="3.5"/>
    <m/>
    <n v="20.118343195266274"/>
    <n v="929.86762204142008"/>
    <n v="1.8232698471400393"/>
    <n v="0.27212982793134916"/>
    <m/>
    <m/>
    <s v="是"/>
    <x v="11"/>
    <x v="32"/>
    <m/>
    <n v="0.44"/>
    <n v="224.4"/>
    <d v="2026-04-10T00:00:00"/>
    <n v="27"/>
    <d v="2026-06-09T00:00:00"/>
    <m/>
    <n v="60"/>
    <m/>
    <m/>
    <m/>
    <m/>
  </r>
  <r>
    <n v="215"/>
    <m/>
    <s v="W11003"/>
    <x v="83"/>
    <s v="V-US"/>
    <s v="美国"/>
    <s v="001000019"/>
    <n v="400"/>
    <x v="2"/>
    <s v="美森海卡"/>
    <s v="TCY2"/>
    <s v="AN6-B"/>
    <s v="AN6-B 便携式扩香仪 黑色"/>
    <s v="AN6"/>
    <n v="10"/>
    <n v="155"/>
    <s v="重量收费"/>
    <n v="7.7"/>
    <n v="200"/>
    <n v="40"/>
    <n v="1233.5"/>
    <n v="3.0837500000000002"/>
    <n v="0.46026119402985077"/>
    <m/>
    <m/>
    <s v="是"/>
    <x v="10"/>
    <x v="28"/>
    <m/>
    <n v="0.41538461538461541"/>
    <n v="166.15384615384616"/>
    <d v="2026-04-03T00:00:00"/>
    <n v="21"/>
    <d v="2026-05-08T00:00:00"/>
    <m/>
    <n v="35"/>
    <m/>
    <m/>
    <m/>
    <m/>
  </r>
  <r>
    <n v="216"/>
    <m/>
    <s v="W11003"/>
    <x v="83"/>
    <s v="V-US"/>
    <s v="美国"/>
    <s v="AN8KIT-B_4X10K01"/>
    <n v="900"/>
    <x v="2"/>
    <s v="美森海卡"/>
    <s v="TCY2"/>
    <s v="AN8KIT-B_4X10K01"/>
    <s v="AN8KIT-B_4X10K01 AN8黑色机器+4x10mL酒店香氛油 机油套装"/>
    <s v="AN8"/>
    <n v="30"/>
    <n v="465"/>
    <s v="重量收费"/>
    <n v="7.7"/>
    <n v="200"/>
    <n v="120"/>
    <n v="3700.5"/>
    <n v="4.1116666666666664"/>
    <n v="0.61368159203980088"/>
    <m/>
    <m/>
    <s v="是"/>
    <x v="10"/>
    <x v="28"/>
    <m/>
    <n v="0.41538461538461541"/>
    <n v="373.84615384615387"/>
    <d v="2026-04-03T00:00:00"/>
    <n v="21"/>
    <d v="2026-05-08T00:00:00"/>
    <m/>
    <n v="35"/>
    <m/>
    <m/>
    <m/>
    <m/>
  </r>
  <r>
    <n v="217"/>
    <m/>
    <s v="W11008"/>
    <x v="84"/>
    <s v="V-CA"/>
    <s v="加拿大"/>
    <s v="001000033"/>
    <n v="72"/>
    <x v="7"/>
    <s v="加拿大海卡"/>
    <s v="YVR4"/>
    <s v="ANW-W"/>
    <s v="ANW-W 智能扩香仪 白色"/>
    <s v="ANW"/>
    <n v="6"/>
    <n v="86"/>
    <s v="重量收费"/>
    <n v="6.5"/>
    <n v="350"/>
    <n v="350"/>
    <n v="909"/>
    <n v="12.625"/>
    <n v="1.8843283582089552"/>
    <m/>
    <m/>
    <s v="是"/>
    <x v="10"/>
    <x v="34"/>
    <m/>
    <n v="0"/>
    <n v="0"/>
    <d v="2026-04-25T00:00:00"/>
    <n v="43"/>
    <d v="2026-05-01T00:00:00"/>
    <m/>
    <n v="6"/>
    <m/>
    <m/>
    <m/>
    <m/>
  </r>
  <r>
    <n v="218"/>
    <m/>
    <s v="W11007"/>
    <x v="85"/>
    <s v="V-US"/>
    <s v="美国"/>
    <s v="001000033"/>
    <n v="480"/>
    <x v="7"/>
    <s v="盐田海卡"/>
    <s v="POC1"/>
    <s v="ANW-W"/>
    <s v="ANW-W 智能扩香仪 白色"/>
    <s v="ANW"/>
    <n v="40"/>
    <n v="572"/>
    <s v="重量收费"/>
    <n v="3.2"/>
    <n v="350"/>
    <n v="350"/>
    <n v="2180.4"/>
    <n v="4.5425000000000004"/>
    <n v="0.67798507462686575"/>
    <m/>
    <m/>
    <s v="是"/>
    <x v="10"/>
    <x v="32"/>
    <m/>
    <n v="0.56000000000000005"/>
    <n v="268.8"/>
    <d v="2026-04-10T00:00:00"/>
    <n v="28"/>
    <d v="2026-05-11T00:00:00"/>
    <m/>
    <n v="31"/>
    <m/>
    <m/>
    <m/>
    <m/>
  </r>
  <r>
    <n v="219"/>
    <m/>
    <s v="W11001"/>
    <x v="86"/>
    <s v="E-US"/>
    <s v="美国"/>
    <s v="HOTEL6KIT1-6X10K01"/>
    <n v="684"/>
    <x v="3"/>
    <s v="盐田海卡"/>
    <s v="QXY8"/>
    <s v="HOTEL6KIT1-6X10K01"/>
    <s v="HOTEL6KIT1-6X10K01 酒店香氛油6款10mL套装"/>
    <s v="Oil-HQ"/>
    <n v="9"/>
    <n v="0.46800000000000003"/>
    <s v="CBM收费"/>
    <n v="1380"/>
    <n v="180"/>
    <n v="77.142857142857139"/>
    <n v="722.98285714285714"/>
    <n v="1.0569924812030076"/>
    <n v="0.15776007182134441"/>
    <m/>
    <m/>
    <s v="是"/>
    <x v="10"/>
    <x v="32"/>
    <m/>
    <n v="0.36"/>
    <n v="246.23999999999998"/>
    <d v="2026-04-17T00:00:00"/>
    <n v="35"/>
    <d v="2026-05-13T00:00:00"/>
    <m/>
    <n v="26"/>
    <m/>
    <m/>
    <m/>
    <m/>
  </r>
  <r>
    <n v="220"/>
    <m/>
    <s v="W11001"/>
    <x v="86"/>
    <s v="E-US"/>
    <s v="美国"/>
    <s v="MWAY1-100ML"/>
    <n v="90"/>
    <x v="3"/>
    <s v="盐田海卡"/>
    <s v="QXY8"/>
    <s v="A-MWAY-100"/>
    <s v="A-MWAY Deluxe-100 特定香型香氛油100mL"/>
    <s v="Oil-HQ"/>
    <n v="1"/>
    <n v="5.2000000000000005E-2"/>
    <s v="CBM收费"/>
    <n v="1380"/>
    <n v="180"/>
    <n v="8.5714285714285712"/>
    <n v="80.331428571428575"/>
    <n v="0.89257142857142857"/>
    <n v="0.13321961620469083"/>
    <m/>
    <m/>
    <s v="是"/>
    <x v="10"/>
    <x v="32"/>
    <m/>
    <n v="0.36"/>
    <n v="32.4"/>
    <d v="2026-04-17T00:00:00"/>
    <n v="35"/>
    <d v="2026-05-13T00:00:00"/>
    <m/>
    <n v="26"/>
    <m/>
    <m/>
    <m/>
    <m/>
  </r>
  <r>
    <n v="221"/>
    <m/>
    <s v="W11001"/>
    <x v="87"/>
    <s v="V-US"/>
    <s v="美国"/>
    <s v="006000024"/>
    <n v="540"/>
    <x v="3"/>
    <s v="盐田海卡"/>
    <s v="QXY8"/>
    <s v="A-RZ3-100"/>
    <s v="A-Ritz Carlton Hotel 3-100 丽思卡尔顿酒店3香氛油100mL"/>
    <s v="Oil-HQ"/>
    <n v="6"/>
    <n v="0.31636363636363635"/>
    <s v="CBM收费"/>
    <n v="1380"/>
    <m/>
    <n v="51.428571428571431"/>
    <n v="488.01038961038961"/>
    <n v="0.90372294372294371"/>
    <n v="0.13488402145118564"/>
    <m/>
    <m/>
    <s v="是"/>
    <x v="10"/>
    <x v="32"/>
    <m/>
    <n v="0.3725"/>
    <n v="201.15"/>
    <d v="2026-04-12T00:00:00"/>
    <n v="30"/>
    <d v="2026-05-14T00:00:00"/>
    <m/>
    <n v="32"/>
    <m/>
    <m/>
    <m/>
    <m/>
  </r>
  <r>
    <n v="222"/>
    <m/>
    <s v="W11001"/>
    <x v="87"/>
    <s v="V-US"/>
    <s v="美国"/>
    <s v="RZ-500ML"/>
    <n v="100"/>
    <x v="3"/>
    <s v="盐田海卡"/>
    <s v="QXY8"/>
    <s v="RZ-500ML"/>
    <s v="RZ-500ML 丽思卡尔顿酒店3香氛油500mL"/>
    <s v="Oil-HQ"/>
    <n v="5"/>
    <n v="0.26363636363636361"/>
    <s v="CBM收费"/>
    <n v="1380"/>
    <m/>
    <n v="42.857142857142854"/>
    <n v="406.67532467532465"/>
    <n v="4.0667532467532466"/>
    <n v="0.6069780965303353"/>
    <m/>
    <m/>
    <s v="是"/>
    <x v="10"/>
    <x v="32"/>
    <m/>
    <n v="0.3725"/>
    <n v="37.25"/>
    <d v="2026-04-12T00:00:00"/>
    <n v="30"/>
    <d v="2026-05-14T00:00:00"/>
    <m/>
    <n v="32"/>
    <m/>
    <m/>
    <m/>
    <m/>
  </r>
  <r>
    <n v="223"/>
    <m/>
    <s v="W11002"/>
    <x v="88"/>
    <s v="E-US"/>
    <s v="美国"/>
    <s v="SJ1-100ML_TZ"/>
    <n v="192"/>
    <x v="3"/>
    <s v="盐田海卡"/>
    <s v="QXY8"/>
    <s v="SJ1-100ML_TZ"/>
    <s v="SJ1-100ML_TZ 四季酒店100mL香氛油（天竺） 销售包装"/>
    <s v="Oil-TZ"/>
    <n v="3"/>
    <n v="0.125"/>
    <s v="CBM收费"/>
    <n v="1380"/>
    <n v="180"/>
    <n v="20.76923076923077"/>
    <n v="193.26923076923077"/>
    <n v="1.0066105769230769"/>
    <n v="0.15024038461538461"/>
    <m/>
    <m/>
    <s v="是"/>
    <x v="10"/>
    <x v="32"/>
    <m/>
    <n v="0.36000000000000004"/>
    <n v="69.12"/>
    <d v="2026-04-17T00:00:00"/>
    <n v="35"/>
    <d v="2026-05-22T00:00:00"/>
    <m/>
    <n v="35"/>
    <m/>
    <m/>
    <m/>
    <m/>
  </r>
  <r>
    <n v="224"/>
    <m/>
    <s v="W11002"/>
    <x v="88"/>
    <s v="E-US"/>
    <s v="美国"/>
    <s v="TX331_100ML"/>
    <n v="128"/>
    <x v="3"/>
    <s v="盐田海卡"/>
    <s v="QXY8"/>
    <s v="TX331_100ML"/>
    <s v="TX331_100ML 檀香33号100mL香氛油（天竺） 销售包装"/>
    <s v="Oil-TZ"/>
    <n v="2"/>
    <n v="8.3333333333333329E-2"/>
    <s v="CBM收费"/>
    <n v="1380"/>
    <n v="180"/>
    <n v="13.846153846153847"/>
    <n v="128.84615384615384"/>
    <n v="1.0066105769230769"/>
    <n v="0.15024038461538461"/>
    <m/>
    <m/>
    <s v="是"/>
    <x v="10"/>
    <x v="32"/>
    <m/>
    <n v="0.36000000000000004"/>
    <n v="46.080000000000005"/>
    <d v="2026-04-17T00:00:00"/>
    <n v="35"/>
    <d v="2026-05-22T00:00:00"/>
    <m/>
    <n v="35"/>
    <m/>
    <m/>
    <m/>
    <m/>
  </r>
  <r>
    <n v="225"/>
    <m/>
    <s v="W11002"/>
    <x v="88"/>
    <s v="E-US"/>
    <s v="美国"/>
    <s v="W1-100ML_TZ"/>
    <n v="384"/>
    <x v="3"/>
    <s v="盐田海卡"/>
    <s v="QXY8"/>
    <s v="W1-100ML_TZ"/>
    <s v="W1-100ML_TZ W酒店100mL香氛油（天竺） 销售包装"/>
    <s v="Oil-TZ"/>
    <n v="6"/>
    <n v="0.25"/>
    <s v="CBM收费"/>
    <n v="1380"/>
    <m/>
    <n v="41.53846153846154"/>
    <n v="386.53846153846155"/>
    <n v="1.0066105769230769"/>
    <n v="0.15024038461538461"/>
    <m/>
    <m/>
    <s v="是"/>
    <x v="10"/>
    <x v="32"/>
    <m/>
    <n v="0.36000000000000004"/>
    <n v="138.24"/>
    <d v="2026-04-17T00:00:00"/>
    <n v="35"/>
    <d v="2026-05-22T00:00:00"/>
    <m/>
    <n v="35"/>
    <m/>
    <m/>
    <m/>
    <m/>
  </r>
  <r>
    <n v="226"/>
    <m/>
    <s v="W11002"/>
    <x v="88"/>
    <s v="E-US"/>
    <s v="美国"/>
    <s v="WST1-100ML_TZ"/>
    <n v="256"/>
    <x v="3"/>
    <s v="盐田海卡"/>
    <s v="QXY8"/>
    <s v="WST1-100ML_TZ"/>
    <s v="WST1-100ML_TZ 威斯汀酒店白茶100mL香氛油（天竺） 销售包装"/>
    <s v="Oil-TZ"/>
    <n v="4"/>
    <n v="0.16666666666666666"/>
    <s v="CBM收费"/>
    <n v="1380"/>
    <m/>
    <n v="27.692307692307693"/>
    <n v="257.69230769230768"/>
    <n v="1.0066105769230769"/>
    <n v="0.15024038461538461"/>
    <m/>
    <m/>
    <s v="是"/>
    <x v="10"/>
    <x v="32"/>
    <m/>
    <n v="0.36000000000000004"/>
    <n v="92.160000000000011"/>
    <d v="2026-04-17T00:00:00"/>
    <n v="35"/>
    <d v="2026-05-22T00:00:00"/>
    <m/>
    <n v="35"/>
    <m/>
    <m/>
    <m/>
    <m/>
  </r>
  <r>
    <n v="227"/>
    <m/>
    <s v="W11002"/>
    <x v="88"/>
    <s v="E-US"/>
    <s v="美国"/>
    <s v="HILTON1-100ML_TZ"/>
    <n v="384"/>
    <x v="3"/>
    <s v="盐田海卡"/>
    <s v="QXY8"/>
    <s v="HILTON1-100ML_TZ"/>
    <s v="HILTON1-100ML_TZ 希尔顿酒店100mL香氛油（天竺） 销售包装"/>
    <s v="Oil-TZ"/>
    <n v="6"/>
    <n v="0.25"/>
    <s v="CBM收费"/>
    <n v="1380"/>
    <m/>
    <n v="41.53846153846154"/>
    <n v="386.53846153846155"/>
    <n v="1.0066105769230769"/>
    <n v="0.15024038461538461"/>
    <m/>
    <m/>
    <s v="是"/>
    <x v="10"/>
    <x v="32"/>
    <m/>
    <n v="0.36000000000000004"/>
    <n v="138.24"/>
    <d v="2026-04-17T00:00:00"/>
    <n v="35"/>
    <d v="2026-05-22T00:00:00"/>
    <m/>
    <n v="35"/>
    <m/>
    <m/>
    <m/>
    <m/>
  </r>
  <r>
    <n v="228"/>
    <m/>
    <s v="W11002"/>
    <x v="88"/>
    <s v="E-US"/>
    <s v="美国"/>
    <s v="YZTT1_100ML"/>
    <n v="128"/>
    <x v="3"/>
    <s v="盐田海卡"/>
    <s v="QXY8"/>
    <s v="YZTT1_100ML"/>
    <s v="YZTT1_100ML 柚子天堂100mL香氛油（天竺） 销售包装"/>
    <s v="Oil-TZ"/>
    <n v="2"/>
    <n v="8.3333333333333329E-2"/>
    <s v="CBM收费"/>
    <n v="1380"/>
    <m/>
    <n v="13.846153846153847"/>
    <n v="128.84615384615384"/>
    <n v="1.0066105769230769"/>
    <n v="0.15024038461538461"/>
    <m/>
    <m/>
    <s v="是"/>
    <x v="10"/>
    <x v="32"/>
    <m/>
    <n v="0.36000000000000004"/>
    <n v="46.080000000000005"/>
    <d v="2026-04-17T00:00:00"/>
    <n v="35"/>
    <d v="2026-05-22T00:00:00"/>
    <m/>
    <n v="35"/>
    <m/>
    <m/>
    <m/>
    <m/>
  </r>
  <r>
    <n v="229"/>
    <m/>
    <s v="W11002"/>
    <x v="88"/>
    <s v="E-US"/>
    <s v="美国"/>
    <s v="TXY1_100ML"/>
    <n v="64"/>
    <x v="3"/>
    <s v="盐田海卡"/>
    <s v="QXY8"/>
    <s v="TXY1_100ML"/>
    <s v="TXY1_100ML 桃星云100mL香氛油（天竺） 销售包装"/>
    <s v="Oil-TZ"/>
    <n v="1"/>
    <n v="4.1666666666666664E-2"/>
    <s v="CBM收费"/>
    <n v="1380"/>
    <m/>
    <n v="6.9230769230769234"/>
    <n v="64.42307692307692"/>
    <n v="1.0066105769230769"/>
    <n v="0.15024038461538461"/>
    <m/>
    <m/>
    <s v="是"/>
    <x v="10"/>
    <x v="32"/>
    <m/>
    <n v="0.36000000000000004"/>
    <n v="23.040000000000003"/>
    <d v="2026-04-17T00:00:00"/>
    <n v="35"/>
    <d v="2026-05-22T00:00:00"/>
    <m/>
    <n v="35"/>
    <m/>
    <m/>
    <m/>
    <m/>
  </r>
  <r>
    <n v="230"/>
    <s v="托书上要备注跟FBA198LK2T65 合并报关"/>
    <s v="W11002"/>
    <x v="89"/>
    <s v="K-US"/>
    <s v="美国"/>
    <s v="ATS1_100ML_TZ"/>
    <n v="128"/>
    <x v="3"/>
    <s v="盐田海卡"/>
    <s v="GEU3"/>
    <s v="ATS1_100ML_TZ"/>
    <s v="ATS1_100ML_TZ 亚特兰蒂斯酒店100mL香氛油（天竺） 销售包装"/>
    <s v="Oil-TZ"/>
    <n v="2"/>
    <n v="30"/>
    <s v="重量收费"/>
    <n v="6.3"/>
    <m/>
    <n v="13.846153846153847"/>
    <n v="202.84615384615384"/>
    <n v="1.5847355769230769"/>
    <n v="0.23652769804822044"/>
    <m/>
    <m/>
    <s v="是"/>
    <x v="10"/>
    <x v="32"/>
    <m/>
    <n v="0.36"/>
    <n v="46.08"/>
    <d v="2026-04-16T00:00:00"/>
    <n v="34"/>
    <d v="2026-05-15T00:00:00"/>
    <m/>
    <n v="29"/>
    <m/>
    <m/>
    <m/>
    <m/>
  </r>
  <r>
    <n v="231"/>
    <m/>
    <s v="W11009"/>
    <x v="90"/>
    <s v="A-CA"/>
    <s v="加拿大"/>
    <s v="002000001"/>
    <n v="600"/>
    <x v="0"/>
    <s v="加拿大海卡"/>
    <s v="YOW3"/>
    <s v="K1-B"/>
    <s v="K1-B 电子球形把手锁-黑色"/>
    <s v="K1"/>
    <n v="50"/>
    <n v="676.71232876712338"/>
    <s v="重量收费"/>
    <n v="6"/>
    <n v="250"/>
    <n v="171.23287671232876"/>
    <n v="4231.5068493150693"/>
    <n v="7.0525114155251156"/>
    <n v="1.0526136441082261"/>
    <m/>
    <m/>
    <s v="是"/>
    <x v="10"/>
    <x v="35"/>
    <m/>
    <n v="0"/>
    <n v="0"/>
    <d v="2026-04-27T00:00:00"/>
    <n v="45"/>
    <d v="2026-05-28T00:00:00"/>
    <m/>
    <n v="31"/>
    <m/>
    <m/>
    <m/>
    <m/>
  </r>
  <r>
    <n v="232"/>
    <m/>
    <s v="W11009"/>
    <x v="90"/>
    <s v="A-CA"/>
    <s v="加拿大"/>
    <s v="002000007"/>
    <n v="72"/>
    <x v="0"/>
    <s v="加拿大海卡"/>
    <s v="YOW3"/>
    <s v="K1-S+S"/>
    <s v="K1-S+S 电子球形把手锁-镍镍"/>
    <s v="K1"/>
    <n v="6"/>
    <n v="81.205479452054803"/>
    <s v="重量收费"/>
    <n v="6"/>
    <n v="250"/>
    <n v="20.547945205479451"/>
    <n v="507.78082191780823"/>
    <n v="7.0525114155251138"/>
    <n v="1.0526136441082259"/>
    <m/>
    <m/>
    <s v="是"/>
    <x v="10"/>
    <x v="35"/>
    <m/>
    <n v="0"/>
    <n v="0"/>
    <d v="2026-04-27T00:00:00"/>
    <n v="45"/>
    <d v="2026-05-28T00:00:00"/>
    <m/>
    <n v="31"/>
    <m/>
    <m/>
    <m/>
    <m/>
  </r>
  <r>
    <n v="233"/>
    <m/>
    <s v="W11009"/>
    <x v="90"/>
    <s v="A-CA"/>
    <s v="加拿大"/>
    <s v="002000008"/>
    <n v="204"/>
    <x v="0"/>
    <s v="加拿大海卡"/>
    <s v="YOW3"/>
    <s v="K1-SILV"/>
    <s v="K1-SILV 电子球形把手锁-银镍"/>
    <s v="K1"/>
    <n v="17"/>
    <n v="230.08219178082194"/>
    <s v="重量收费"/>
    <n v="6"/>
    <m/>
    <n v="58.219178082191782"/>
    <n v="1438.7123287671234"/>
    <n v="7.0525114155251147"/>
    <n v="1.0526136441082261"/>
    <m/>
    <m/>
    <s v="是"/>
    <x v="10"/>
    <x v="35"/>
    <m/>
    <n v="0"/>
    <n v="0"/>
    <d v="2026-04-27T00:00:00"/>
    <n v="45"/>
    <d v="2026-05-28T00:00:00"/>
    <m/>
    <n v="31"/>
    <m/>
    <m/>
    <m/>
    <m/>
  </r>
  <r>
    <n v="234"/>
    <m/>
    <s v="W12005"/>
    <x v="91"/>
    <s v="E-US"/>
    <s v="美国"/>
    <s v="ANZ-B"/>
    <n v="600"/>
    <x v="3"/>
    <s v="美森海卡"/>
    <s v="POC2"/>
    <s v="ANZ-B"/>
    <s v="ANZ-B 便携式扩香仪 黑色"/>
    <s v="ANZ"/>
    <n v="15"/>
    <n v="0.78"/>
    <s v="CBM收费"/>
    <n v="1830"/>
    <n v="180"/>
    <n v="69.230769230769226"/>
    <n v="1496.6307692307694"/>
    <n v="2.4943846153846154"/>
    <n v="0.37229621125143514"/>
    <m/>
    <m/>
    <s v="是"/>
    <x v="12"/>
    <x v="36"/>
    <m/>
    <n v="0.36"/>
    <n v="216"/>
    <d v="2026-04-10T00:00:00"/>
    <n v="20"/>
    <d v="2026-05-14T00:00:00"/>
    <m/>
    <n v="34"/>
    <m/>
    <m/>
    <m/>
    <m/>
  </r>
  <r>
    <n v="235"/>
    <m/>
    <s v="W12009"/>
    <x v="92"/>
    <s v="E-US"/>
    <s v="美国"/>
    <s v="ANZKIT-B_4X10K04_TZ"/>
    <n v="300"/>
    <x v="0"/>
    <s v="盐田海卡"/>
    <s v="GEU3"/>
    <s v="ANZKIT-B_4X10K04_TZ"/>
    <s v="ANZKIT-B_4X10K04_TZ ANZ黑色机器+4x10mL酒店（天竺）香氛油 机油套装"/>
    <s v="ANZ"/>
    <n v="10"/>
    <n v="154.5"/>
    <s v="重量收费"/>
    <n v="3.6"/>
    <n v="200"/>
    <n v="14.492753623188406"/>
    <n v="570.69275362318842"/>
    <n v="1.9023091787439614"/>
    <n v="0.28392674309611365"/>
    <m/>
    <m/>
    <s v="是"/>
    <x v="12"/>
    <x v="37"/>
    <m/>
    <n v="0.44"/>
    <n v="132"/>
    <d v="2026-04-17T00:00:00"/>
    <n v="27"/>
    <d v="2026-05-20T00:00:00"/>
    <m/>
    <n v="33"/>
    <m/>
    <m/>
    <m/>
    <m/>
  </r>
  <r>
    <n v="236"/>
    <m/>
    <s v="W12009"/>
    <x v="92"/>
    <s v="E-US"/>
    <s v="美国"/>
    <s v="ANZKIT-W_4X10K04_TZ"/>
    <n v="300"/>
    <x v="0"/>
    <s v="盐田海卡"/>
    <s v="GEU3"/>
    <s v="ANZKIT-W_4X10K04_TZ"/>
    <s v="ANZKIT-W_4X10K04_TZ ANZ白色机器+4x10mL酒店（天竺）香氛油 机油套装"/>
    <s v="ANZ"/>
    <n v="10"/>
    <n v="154.5"/>
    <s v="重量收费"/>
    <n v="3.6"/>
    <n v="200"/>
    <n v="14.492753623188406"/>
    <n v="570.69275362318842"/>
    <n v="1.9023091787439614"/>
    <n v="0.28392674309611365"/>
    <m/>
    <m/>
    <s v="是"/>
    <x v="12"/>
    <x v="37"/>
    <m/>
    <n v="0.44"/>
    <n v="132"/>
    <d v="2026-04-17T00:00:00"/>
    <n v="27"/>
    <d v="2026-05-20T00:00:00"/>
    <m/>
    <n v="33"/>
    <m/>
    <m/>
    <m/>
    <m/>
  </r>
  <r>
    <n v="237"/>
    <m/>
    <s v="W12004"/>
    <x v="93"/>
    <s v="E-US"/>
    <s v="美国"/>
    <s v="001000053"/>
    <n v="128"/>
    <x v="7"/>
    <s v="盐田海卡"/>
    <s v="POC3"/>
    <s v="ANX-2PC-BB"/>
    <s v="ANX-2PC-BB 便携式扩香仪套装 黑+黑"/>
    <s v="ANX"/>
    <n v="8"/>
    <n v="106.73696969696971"/>
    <s v="重量收费"/>
    <n v="2.8"/>
    <n v="200"/>
    <n v="8.1218274111675122"/>
    <n v="306.98534256268266"/>
    <n v="2.3983229887709583"/>
    <n v="0.35795865504044155"/>
    <m/>
    <m/>
    <s v="是"/>
    <x v="13"/>
    <x v="37"/>
    <m/>
    <n v="0.38269503546099293"/>
    <n v="48.984964539007095"/>
    <d v="2026-04-28T00:00:00"/>
    <n v="37"/>
    <d v="2026-05-31T00:00:00"/>
    <m/>
    <n v="33"/>
    <m/>
    <m/>
    <m/>
    <m/>
  </r>
  <r>
    <n v="238"/>
    <m/>
    <s v="W12004"/>
    <x v="93"/>
    <s v="E-US"/>
    <s v="美国"/>
    <s v="ANZ-B"/>
    <n v="1000"/>
    <x v="7"/>
    <s v="盐田海卡"/>
    <s v="POC3"/>
    <s v="ANZ-B"/>
    <s v="ANZ-B 便携式扩香仪 黑色"/>
    <s v="ANZ"/>
    <n v="25"/>
    <n v="333.55303030303037"/>
    <s v="重量收费"/>
    <n v="2.8"/>
    <n v="199.99999999999997"/>
    <n v="25.380710659898476"/>
    <n v="959.32919550838346"/>
    <n v="0.95932919550838347"/>
    <n v="0.14318346201617663"/>
    <m/>
    <m/>
    <s v="是"/>
    <x v="13"/>
    <x v="37"/>
    <m/>
    <n v="0.38269503546099293"/>
    <n v="382.69503546099293"/>
    <d v="2026-04-28T00:00:00"/>
    <n v="37"/>
    <d v="2026-05-31T00:00:00"/>
    <m/>
    <n v="33"/>
    <m/>
    <m/>
    <m/>
    <m/>
  </r>
  <r>
    <n v="239"/>
    <m/>
    <s v="W12005"/>
    <x v="94"/>
    <s v="V-US"/>
    <s v="美国"/>
    <s v="RD1-B"/>
    <n v="600"/>
    <x v="3"/>
    <s v="美森海卡"/>
    <s v="POC2"/>
    <s v="RD1-B"/>
    <s v="RD1-B 便携式扩香仪 黑色"/>
    <s v="RD1"/>
    <n v="20"/>
    <n v="1.0333333333333332"/>
    <s v="CBM收费"/>
    <n v="1830"/>
    <n v="180"/>
    <n v="92.307692307692307"/>
    <n v="1983.3076923076922"/>
    <n v="3.3055128205128201"/>
    <n v="0.49336012246459998"/>
    <m/>
    <m/>
    <s v="是"/>
    <x v="12"/>
    <x v="36"/>
    <m/>
    <n v="0.44"/>
    <n v="264"/>
    <d v="2026-04-10T00:00:00"/>
    <n v="20"/>
    <d v="2026-05-14T00:00:00"/>
    <m/>
    <n v="34"/>
    <m/>
    <m/>
    <m/>
    <m/>
  </r>
  <r>
    <n v="240"/>
    <m/>
    <s v="W12005"/>
    <x v="94"/>
    <s v="V-US"/>
    <s v="美国"/>
    <s v="RD1-DT"/>
    <n v="120"/>
    <x v="3"/>
    <s v="美森海卡"/>
    <s v="POC2"/>
    <s v="RD1-DT"/>
    <s v="RD1-DT 便携式扩香仪 沙漠钛色"/>
    <s v="RD1"/>
    <n v="4"/>
    <n v="0.20666666666666667"/>
    <s v="CBM收费"/>
    <n v="1830"/>
    <n v="180"/>
    <n v="18.46153846153846"/>
    <n v="396.66153846153844"/>
    <n v="3.3055128205128201"/>
    <n v="0.49336012246459998"/>
    <m/>
    <m/>
    <s v="是"/>
    <x v="12"/>
    <x v="36"/>
    <m/>
    <n v="0.44"/>
    <n v="52.8"/>
    <d v="2026-04-10T00:00:00"/>
    <n v="20"/>
    <d v="2026-05-14T00:00:00"/>
    <m/>
    <n v="34"/>
    <m/>
    <m/>
    <m/>
    <m/>
  </r>
  <r>
    <n v="241"/>
    <m/>
    <s v="W12009"/>
    <x v="95"/>
    <s v="V-US"/>
    <s v="美国"/>
    <s v="AN6KIT-B_4X10K04_TZ"/>
    <n v="240"/>
    <x v="0"/>
    <s v="盐田海卡"/>
    <s v="QXY8"/>
    <s v="AN6KIT-B_4X10K04_TZ"/>
    <s v="AN6KIT-B_4X10K04_TZ AN6黑色机器+4x10mL酒店（天竺）香氛油 机油套装"/>
    <s v="AN6"/>
    <n v="8"/>
    <n v="129.83050847457628"/>
    <s v="重量收费"/>
    <n v="3.6"/>
    <n v="200"/>
    <n v="11.594202898550725"/>
    <n v="478.98403340702538"/>
    <n v="1.9957668058626057"/>
    <n v="0.29787564266606054"/>
    <m/>
    <m/>
    <s v="是"/>
    <x v="12"/>
    <x v="37"/>
    <m/>
    <n v="0.43999999999999995"/>
    <n v="105.6"/>
    <d v="2026-04-20T00:00:00"/>
    <n v="30"/>
    <d v="2026-05-25T00:00:00"/>
    <m/>
    <n v="35"/>
    <m/>
    <m/>
    <m/>
    <m/>
  </r>
  <r>
    <n v="242"/>
    <m/>
    <s v="W12009"/>
    <x v="95"/>
    <s v="V-US"/>
    <s v="美国"/>
    <s v="AN6KIT-B_4X10ML"/>
    <n v="300"/>
    <x v="0"/>
    <s v="盐田海卡"/>
    <s v="QXY8"/>
    <s v="AN6KIT-B_4X10ML"/>
    <s v="AN6KIT-B_4X10ML AN6黑色机器+4x10mL香氛油（天竺） 机油套装"/>
    <s v="AN6"/>
    <n v="10"/>
    <n v="162.28813559322035"/>
    <s v="重量收费"/>
    <n v="3.6"/>
    <n v="200"/>
    <n v="14.492753623188406"/>
    <n v="598.73004175878168"/>
    <n v="1.9957668058626057"/>
    <n v="0.29787564266606054"/>
    <m/>
    <m/>
    <s v="是"/>
    <x v="12"/>
    <x v="37"/>
    <m/>
    <n v="0.43999999999999995"/>
    <n v="131.99999999999997"/>
    <d v="2026-04-20T00:00:00"/>
    <n v="30"/>
    <d v="2026-05-25T00:00:00"/>
    <m/>
    <n v="35"/>
    <m/>
    <m/>
    <m/>
    <m/>
  </r>
  <r>
    <n v="243"/>
    <m/>
    <s v="W12009"/>
    <x v="95"/>
    <s v="V-US"/>
    <s v="美国"/>
    <s v="AN6KIT-WH_4X10ML"/>
    <n v="90"/>
    <x v="0"/>
    <s v="盐田海卡"/>
    <s v="QXY8"/>
    <s v="AN6KIT-WH_4X10ML"/>
    <s v="AN6KIT-WH_4X10ML AN6白色机器+4x10mL香氛油（天竺） 机油套装"/>
    <s v="AN6"/>
    <n v="3"/>
    <n v="48.686440677966104"/>
    <s v="重量收费"/>
    <n v="3.6"/>
    <m/>
    <n v="4.3478260869565215"/>
    <n v="179.61901252763451"/>
    <n v="1.9957668058626057"/>
    <n v="0.29787564266606054"/>
    <m/>
    <m/>
    <s v="是"/>
    <x v="12"/>
    <x v="37"/>
    <m/>
    <n v="0.43999999999999995"/>
    <n v="39.599999999999994"/>
    <d v="2026-04-20T00:00:00"/>
    <n v="30"/>
    <d v="2026-05-25T00:00:00"/>
    <m/>
    <n v="35"/>
    <m/>
    <m/>
    <m/>
    <m/>
  </r>
  <r>
    <n v="244"/>
    <m/>
    <s v="W12009"/>
    <x v="95"/>
    <s v="V-US"/>
    <s v="美国"/>
    <s v="AN8KIT-B_4X10K01"/>
    <n v="2100"/>
    <x v="0"/>
    <s v="盐田海卡"/>
    <s v="QXY8"/>
    <s v="AN8KIT-B_4X10K01"/>
    <s v="AN8KIT-B_4X10K01 AN8黑色机器+4x10mL酒店香氛油 机油套装"/>
    <s v="AN8"/>
    <n v="70"/>
    <n v="1136.0169491525423"/>
    <s v="重量收费"/>
    <n v="3.6"/>
    <m/>
    <n v="101.44927536231884"/>
    <n v="4191.1102923114713"/>
    <n v="1.9957668058626055"/>
    <n v="0.29787564266606054"/>
    <m/>
    <m/>
    <s v="是"/>
    <x v="12"/>
    <x v="37"/>
    <m/>
    <n v="0.43999999999999995"/>
    <n v="923.99999999999989"/>
    <d v="2026-04-20T00:00:00"/>
    <n v="30"/>
    <d v="2026-05-25T00:00:00"/>
    <m/>
    <n v="35"/>
    <m/>
    <m/>
    <m/>
    <m/>
  </r>
  <r>
    <n v="245"/>
    <m/>
    <s v="W12009"/>
    <x v="95"/>
    <s v="V-US"/>
    <s v="美国"/>
    <s v="AN8KIT-WH_4X10K01"/>
    <n v="30"/>
    <x v="0"/>
    <s v="盐田海卡"/>
    <s v="QXY8"/>
    <s v="AN8KIT-WH_4X10K01"/>
    <s v="AN8KIT-WH_4X10K01 AN8白色机器+4x10mL酒店香氛油 机油套装"/>
    <s v="AN8"/>
    <n v="1"/>
    <n v="16.228813559322035"/>
    <s v="重量收费"/>
    <n v="3.6"/>
    <m/>
    <n v="1.4492753623188406"/>
    <n v="59.873004175878172"/>
    <n v="1.9957668058626057"/>
    <n v="0.29787564266606054"/>
    <m/>
    <m/>
    <s v="是"/>
    <x v="12"/>
    <x v="37"/>
    <m/>
    <n v="0.43999999999999995"/>
    <n v="13.2"/>
    <d v="2026-04-20T00:00:00"/>
    <n v="30"/>
    <d v="2026-05-25T00:00:00"/>
    <m/>
    <n v="35"/>
    <m/>
    <m/>
    <m/>
    <m/>
  </r>
  <r>
    <n v="246"/>
    <m/>
    <s v="W12009"/>
    <x v="95"/>
    <s v="V-US"/>
    <s v="美国"/>
    <s v="AN8KIT-WH_4X10K05_TZ"/>
    <n v="780"/>
    <x v="0"/>
    <s v="盐田海卡"/>
    <s v="QXY8"/>
    <s v="AN8KIT-WH_4X10K05_TZ"/>
    <s v="AN8KIT-WH_4X10K05_TZ AN8白色机器+4x10mL（天竺）酒店香氛油 机油套装"/>
    <s v="AN8"/>
    <n v="26"/>
    <n v="421.94915254237287"/>
    <s v="重量收费"/>
    <n v="3.6"/>
    <m/>
    <n v="37.681159420289852"/>
    <n v="1556.6981085728321"/>
    <n v="1.9957668058626052"/>
    <n v="0.29787564266606048"/>
    <m/>
    <m/>
    <s v="是"/>
    <x v="12"/>
    <x v="37"/>
    <m/>
    <n v="0.43999999999999995"/>
    <n v="343.19999999999993"/>
    <d v="2026-04-20T00:00:00"/>
    <n v="30"/>
    <d v="2026-05-25T00:00:00"/>
    <m/>
    <n v="35"/>
    <m/>
    <m/>
    <m/>
    <m/>
  </r>
  <r>
    <n v="247"/>
    <m/>
    <s v="W12006"/>
    <x v="96"/>
    <s v="V-US"/>
    <s v="美国"/>
    <s v="001000019"/>
    <n v="1200"/>
    <x v="7"/>
    <s v="盐田海卡"/>
    <s v="TCY2"/>
    <s v="AN6-B"/>
    <s v="AN6-B 便携式扩香仪 黑色"/>
    <s v="AN6"/>
    <n v="30"/>
    <n v="420"/>
    <s v="重量收费"/>
    <n v="3.2"/>
    <n v="200"/>
    <n v="71.428571428571431"/>
    <n v="1415.4285714285713"/>
    <n v="1.1795238095238094"/>
    <n v="0.17604832977967305"/>
    <m/>
    <m/>
    <s v="是"/>
    <x v="13"/>
    <x v="38"/>
    <m/>
    <n v="0.37841269841269842"/>
    <n v="454.09523809523813"/>
    <d v="2026-04-27T00:00:00"/>
    <n v="36"/>
    <d v="2026-05-27T00:00:00"/>
    <m/>
    <n v="30"/>
    <m/>
    <m/>
    <m/>
    <m/>
  </r>
  <r>
    <n v="248"/>
    <m/>
    <s v="W12006"/>
    <x v="96"/>
    <s v="V-US"/>
    <s v="美国"/>
    <s v="AN6-LV"/>
    <n v="120"/>
    <x v="7"/>
    <s v="盐田海卡"/>
    <s v="TCY2"/>
    <s v="AN6-LV"/>
    <s v="AN6-LV 便携式扩香仪 薰衣草"/>
    <s v="AN6"/>
    <n v="3"/>
    <n v="42"/>
    <s v="重量收费"/>
    <n v="3.2"/>
    <n v="200"/>
    <n v="7.1428571428571432"/>
    <n v="141.54285714285714"/>
    <n v="1.1795238095238096"/>
    <n v="0.17604832977967308"/>
    <m/>
    <m/>
    <s v="是"/>
    <x v="13"/>
    <x v="38"/>
    <m/>
    <n v="0.37841269841269842"/>
    <n v="45.409523809523812"/>
    <d v="2026-04-27T00:00:00"/>
    <n v="36"/>
    <d v="2026-05-27T00:00:00"/>
    <m/>
    <n v="30"/>
    <m/>
    <m/>
    <m/>
    <m/>
  </r>
  <r>
    <n v="249"/>
    <m/>
    <s v="W12006"/>
    <x v="96"/>
    <s v="V-US"/>
    <s v="美国"/>
    <s v="001000020"/>
    <n v="400"/>
    <x v="7"/>
    <s v="盐田海卡"/>
    <s v="TCY2"/>
    <s v="AN6-W"/>
    <s v="AN6-W 便携式扩香仪 白色"/>
    <s v="AN6"/>
    <n v="10"/>
    <n v="140"/>
    <s v="重量收费"/>
    <n v="3.2"/>
    <m/>
    <n v="23.80952380952381"/>
    <n v="471.8095238095238"/>
    <n v="1.1795238095238094"/>
    <n v="0.17604832977967305"/>
    <m/>
    <m/>
    <s v="是"/>
    <x v="13"/>
    <x v="38"/>
    <m/>
    <n v="0.37841269841269842"/>
    <n v="151.36507936507937"/>
    <d v="2026-04-27T00:00:00"/>
    <n v="36"/>
    <d v="2026-05-27T00:00:00"/>
    <m/>
    <n v="30"/>
    <m/>
    <m/>
    <m/>
    <m/>
  </r>
  <r>
    <n v="250"/>
    <m/>
    <s v="W12006"/>
    <x v="96"/>
    <s v="V-US"/>
    <s v="美国"/>
    <s v="AN8-B"/>
    <n v="160"/>
    <x v="7"/>
    <s v="盐田海卡"/>
    <s v="TCY2"/>
    <s v="AN8-B"/>
    <s v="AN8-B 便携式扩香仪 黑色"/>
    <s v="AN8"/>
    <n v="4"/>
    <n v="56"/>
    <s v="重量收费"/>
    <n v="3.2"/>
    <m/>
    <n v="9.5238095238095237"/>
    <n v="188.72380952380954"/>
    <n v="1.1795238095238096"/>
    <n v="0.17604832977967308"/>
    <m/>
    <m/>
    <s v="是"/>
    <x v="13"/>
    <x v="38"/>
    <m/>
    <n v="0.37841269841269842"/>
    <n v="60.546031746031744"/>
    <d v="2026-04-27T00:00:00"/>
    <n v="36"/>
    <d v="2026-05-27T00:00:00"/>
    <m/>
    <n v="30"/>
    <m/>
    <m/>
    <m/>
    <m/>
  </r>
  <r>
    <n v="251"/>
    <m/>
    <s v="W12006"/>
    <x v="96"/>
    <s v="V-US"/>
    <s v="美国"/>
    <s v="AN8KIT-B_B"/>
    <n v="100"/>
    <x v="7"/>
    <s v="盐田海卡"/>
    <s v="TCY2"/>
    <s v="AN8KIT-B_B"/>
    <s v="AN8KIT-B_B 便携式扩香仪套装 黑+黑"/>
    <s v="AN8"/>
    <n v="5"/>
    <n v="70"/>
    <s v="重量收费"/>
    <n v="3.2"/>
    <m/>
    <n v="11.904761904761905"/>
    <n v="235.9047619047619"/>
    <n v="2.3590476190476188"/>
    <n v="0.3520966595593461"/>
    <m/>
    <m/>
    <s v="是"/>
    <x v="13"/>
    <x v="38"/>
    <m/>
    <n v="0.37841269841269842"/>
    <n v="37.841269841269842"/>
    <d v="2026-04-27T00:00:00"/>
    <n v="36"/>
    <d v="2026-05-27T00:00:00"/>
    <m/>
    <n v="30"/>
    <m/>
    <m/>
    <m/>
    <m/>
  </r>
  <r>
    <n v="252"/>
    <m/>
    <s v="W12006"/>
    <x v="96"/>
    <s v="V-US"/>
    <s v="美国"/>
    <s v="RD1-B"/>
    <n v="390"/>
    <x v="7"/>
    <s v="盐田海卡"/>
    <s v="TCY2"/>
    <s v="RD1-B"/>
    <s v="RD1-B 便携式扩香仪 黑色"/>
    <s v="RD1"/>
    <n v="13"/>
    <n v="182"/>
    <s v="重量收费"/>
    <n v="3.2"/>
    <m/>
    <n v="30.952380952380953"/>
    <n v="613.35238095238094"/>
    <n v="1.5726984126984127"/>
    <n v="0.2347311063728974"/>
    <m/>
    <m/>
    <s v="是"/>
    <x v="13"/>
    <x v="38"/>
    <m/>
    <n v="0.37841269841269842"/>
    <n v="147.5809523809524"/>
    <d v="2026-04-27T00:00:00"/>
    <n v="36"/>
    <d v="2026-05-27T00:00:00"/>
    <m/>
    <n v="30"/>
    <m/>
    <m/>
    <m/>
    <m/>
  </r>
  <r>
    <n v="253"/>
    <m/>
    <s v="W12006"/>
    <x v="96"/>
    <s v="V-US"/>
    <s v="美国"/>
    <s v="RD1PJ-BOT"/>
    <n v="60"/>
    <x v="7"/>
    <s v="盐田海卡"/>
    <s v="TCY2"/>
    <s v="RD1PJ-BOT"/>
    <s v="RD1PJ-BOT 便携式扩香仪100mL带盖替换玻璃瓶"/>
    <s v="RD1-AC"/>
    <n v="1"/>
    <n v="14"/>
    <s v="重量收费"/>
    <n v="3.2"/>
    <m/>
    <n v="2.3809523809523809"/>
    <n v="47.180952380952384"/>
    <n v="0.78634920634920635"/>
    <n v="0.1173655531864487"/>
    <m/>
    <m/>
    <s v="是"/>
    <x v="13"/>
    <x v="38"/>
    <m/>
    <n v="0.37841269841269842"/>
    <n v="22.704761904761906"/>
    <d v="2026-04-27T00:00:00"/>
    <n v="36"/>
    <d v="2026-05-27T00:00:00"/>
    <m/>
    <n v="30"/>
    <m/>
    <m/>
    <m/>
    <m/>
  </r>
  <r>
    <n v="254"/>
    <m/>
    <s v="W12006"/>
    <x v="96"/>
    <s v="V-US"/>
    <s v="美国"/>
    <s v="RD1-DT"/>
    <n v="90"/>
    <x v="7"/>
    <s v="盐田海卡"/>
    <s v="TCY2"/>
    <s v="RD1-DT"/>
    <s v="RD1-DT 便携式扩香仪 沙漠钛色"/>
    <s v="RD1"/>
    <n v="3"/>
    <n v="42"/>
    <s v="重量收费"/>
    <n v="3.2"/>
    <m/>
    <n v="7.1428571428571432"/>
    <n v="141.54285714285714"/>
    <n v="1.5726984126984127"/>
    <n v="0.2347311063728974"/>
    <m/>
    <m/>
    <s v="是"/>
    <x v="13"/>
    <x v="38"/>
    <m/>
    <n v="0.37841269841269842"/>
    <n v="34.057142857142857"/>
    <d v="2026-04-27T00:00:00"/>
    <n v="36"/>
    <d v="2026-05-27T00:00:00"/>
    <m/>
    <n v="30"/>
    <m/>
    <m/>
    <m/>
    <m/>
  </r>
  <r>
    <n v="255"/>
    <m/>
    <s v="W12010"/>
    <x v="97"/>
    <s v="K-US"/>
    <s v="美国"/>
    <s v="RDXKIT-B_US_2X100K04"/>
    <n v="90"/>
    <x v="7"/>
    <s v="以星海卡"/>
    <s v="GEU2"/>
    <s v="RDXKIT-B_US_2X100K04"/>
    <s v="RDXKIT-B_US_2X100K04 RDX黑色机器+2X100mL酒店香氛油（天竺） 机油套装"/>
    <s v="RDX"/>
    <n v="10"/>
    <n v="148"/>
    <s v="重量收费"/>
    <n v="4.5"/>
    <n v="200"/>
    <n v="200"/>
    <n v="866"/>
    <n v="9.6222222222222218"/>
    <n v="1.4361525704809286"/>
    <m/>
    <m/>
    <s v="是"/>
    <x v="13"/>
    <x v="24"/>
    <m/>
    <n v="0.7"/>
    <n v="62.999999999999993"/>
    <d v="2026-04-26T00:00:00"/>
    <n v="35"/>
    <d v="2026-05-23T00:00:00"/>
    <m/>
    <n v="27"/>
    <m/>
    <m/>
    <m/>
    <m/>
  </r>
  <r>
    <n v="256"/>
    <m/>
    <s v="W12004"/>
    <x v="98"/>
    <s v="K-US"/>
    <s v="美国"/>
    <s v="RDXKIT-B_US_2X100K04"/>
    <n v="360"/>
    <x v="7"/>
    <s v="盐田海卡"/>
    <s v="GEU2"/>
    <s v="RDXKIT-B_US_2X100K04"/>
    <s v="RDXKIT-B_US_2X100K04 RDX黑色机器+2X100mL酒店香氛油（天竺） 机油套装"/>
    <s v="RDX"/>
    <n v="40"/>
    <n v="592"/>
    <s v="重量收费"/>
    <n v="3.6"/>
    <n v="200"/>
    <n v="40.609137055837564"/>
    <n v="2171.8091370558377"/>
    <n v="6.0328031584884378"/>
    <n v="0.90041838186394596"/>
    <m/>
    <m/>
    <s v="是"/>
    <x v="13"/>
    <x v="37"/>
    <m/>
    <n v="0.7"/>
    <n v="251.99999999999997"/>
    <d v="2026-04-26T00:00:00"/>
    <n v="35"/>
    <d v="2026-05-22T00:00:00"/>
    <m/>
    <n v="26"/>
    <m/>
    <m/>
    <m/>
    <m/>
  </r>
  <r>
    <n v="257"/>
    <m/>
    <s v="W12002"/>
    <x v="99"/>
    <s v="E-AU"/>
    <s v="澳洲"/>
    <s v="AND-IB"/>
    <n v="30"/>
    <x v="4"/>
    <s v="澳洲海卡"/>
    <s v="BWU2"/>
    <s v="AND-IB"/>
    <s v="AND-IB 便携式双喷扩香仪 冰蓝色"/>
    <s v="AND"/>
    <n v="1"/>
    <n v="13.636363636363637"/>
    <s v="重量收费"/>
    <n v="6.5"/>
    <n v="350"/>
    <n v="15.909090909090908"/>
    <n v="104.54545454545455"/>
    <n v="3.4848484848484849"/>
    <n v="0.52012663952962457"/>
    <m/>
    <m/>
    <s v="是"/>
    <x v="14"/>
    <x v="39"/>
    <m/>
    <n v="0"/>
    <n v="0"/>
    <d v="2026-05-10T00:00:00"/>
    <n v="48"/>
    <d v="2026-05-26T00:00:00"/>
    <m/>
    <n v="16"/>
    <m/>
    <m/>
    <m/>
    <m/>
  </r>
  <r>
    <n v="258"/>
    <m/>
    <s v="W12002"/>
    <x v="99"/>
    <s v="E-AU"/>
    <s v="澳洲"/>
    <s v="AND-B"/>
    <n v="120"/>
    <x v="4"/>
    <s v="澳洲海卡"/>
    <s v="BWU2"/>
    <s v="AND-B"/>
    <s v="AND-B 便携式双喷扩香仪 黑色"/>
    <s v="AND"/>
    <n v="4"/>
    <n v="54.545454545454547"/>
    <s v="重量收费"/>
    <n v="6.5"/>
    <n v="350"/>
    <n v="63.636363636363633"/>
    <n v="418.18181818181819"/>
    <n v="3.4848484848484849"/>
    <n v="0.52012663952962457"/>
    <m/>
    <m/>
    <s v="是"/>
    <x v="14"/>
    <x v="39"/>
    <m/>
    <n v="0"/>
    <n v="0"/>
    <d v="2026-05-10T00:00:00"/>
    <n v="48"/>
    <d v="2026-05-26T00:00:00"/>
    <m/>
    <n v="16"/>
    <m/>
    <m/>
    <m/>
    <m/>
  </r>
  <r>
    <n v="259"/>
    <m/>
    <s v="W12002"/>
    <x v="99"/>
    <s v="E-AU"/>
    <s v="澳洲"/>
    <s v="AND-DT"/>
    <n v="90"/>
    <x v="4"/>
    <s v="澳洲海卡"/>
    <s v="BWU2"/>
    <s v="AND-DT"/>
    <s v="AND-DT 便携式双喷扩香仪 沙漠钛色"/>
    <s v="AND"/>
    <n v="3"/>
    <n v="40.909090909090907"/>
    <s v="重量收费"/>
    <n v="6.5"/>
    <m/>
    <n v="47.727272727272727"/>
    <n v="313.63636363636363"/>
    <n v="3.4848484848484849"/>
    <n v="0.52012663952962457"/>
    <m/>
    <m/>
    <s v="是"/>
    <x v="14"/>
    <x v="39"/>
    <m/>
    <n v="0"/>
    <n v="0"/>
    <d v="2026-05-10T00:00:00"/>
    <n v="48"/>
    <d v="2026-05-26T00:00:00"/>
    <m/>
    <n v="16"/>
    <m/>
    <m/>
    <m/>
    <m/>
  </r>
  <r>
    <n v="260"/>
    <m/>
    <s v="W12002"/>
    <x v="99"/>
    <s v="E-AU"/>
    <s v="澳洲"/>
    <s v="001000045"/>
    <n v="210"/>
    <x v="4"/>
    <s v="澳洲海卡"/>
    <s v="BWU2"/>
    <s v="ANX-B"/>
    <s v="ANX-B 便携式扩香仪 黑色"/>
    <s v="ANX"/>
    <n v="7"/>
    <n v="95.454545454545453"/>
    <s v="重量收费"/>
    <n v="6.5"/>
    <m/>
    <n v="111.36363636363636"/>
    <n v="731.81818181818187"/>
    <n v="3.4848484848484853"/>
    <n v="0.52012663952962468"/>
    <m/>
    <m/>
    <s v="是"/>
    <x v="14"/>
    <x v="39"/>
    <m/>
    <n v="0"/>
    <n v="0"/>
    <d v="2026-05-10T00:00:00"/>
    <n v="48"/>
    <d v="2026-05-26T00:00:00"/>
    <m/>
    <n v="16"/>
    <m/>
    <m/>
    <m/>
    <m/>
  </r>
  <r>
    <n v="261"/>
    <m/>
    <s v="W12002"/>
    <x v="99"/>
    <s v="E-AU"/>
    <s v="澳洲"/>
    <s v="001000051"/>
    <n v="60"/>
    <x v="4"/>
    <s v="澳洲海卡"/>
    <s v="BWU2"/>
    <s v="ANX-SG"/>
    <s v="ANX-SG 便携式扩香仪 太空灰色"/>
    <s v="ANX"/>
    <n v="2"/>
    <n v="27.272727272727273"/>
    <s v="重量收费"/>
    <n v="6.5"/>
    <m/>
    <n v="31.818181818181817"/>
    <n v="209.09090909090909"/>
    <n v="3.4848484848484849"/>
    <n v="0.52012663952962457"/>
    <m/>
    <m/>
    <s v="是"/>
    <x v="14"/>
    <x v="39"/>
    <m/>
    <n v="0"/>
    <n v="0"/>
    <d v="2026-05-10T00:00:00"/>
    <n v="48"/>
    <d v="2026-05-26T00:00:00"/>
    <m/>
    <n v="16"/>
    <m/>
    <m/>
    <m/>
    <m/>
  </r>
  <r>
    <n v="262"/>
    <m/>
    <s v="W12002"/>
    <x v="99"/>
    <s v="E-AU"/>
    <s v="澳洲"/>
    <s v="001000046"/>
    <n v="60"/>
    <x v="4"/>
    <s v="澳洲海卡"/>
    <s v="BWU2"/>
    <s v="ANX-SILV"/>
    <s v="ANX-SILV 便携式扩香仪 银色"/>
    <s v="ANX"/>
    <n v="2"/>
    <n v="27.272727272727273"/>
    <s v="重量收费"/>
    <n v="6.5"/>
    <m/>
    <n v="31.818181818181817"/>
    <n v="209.09090909090909"/>
    <n v="3.4848484848484849"/>
    <n v="0.52012663952962457"/>
    <m/>
    <m/>
    <s v="是"/>
    <x v="14"/>
    <x v="39"/>
    <m/>
    <n v="0"/>
    <n v="0"/>
    <d v="2026-05-10T00:00:00"/>
    <n v="48"/>
    <d v="2026-05-26T00:00:00"/>
    <m/>
    <n v="16"/>
    <m/>
    <m/>
    <m/>
    <m/>
  </r>
  <r>
    <n v="263"/>
    <m/>
    <s v="W12002"/>
    <x v="99"/>
    <s v="E-AU"/>
    <s v="澳洲"/>
    <s v="RD1-B"/>
    <n v="90"/>
    <x v="4"/>
    <s v="澳洲海卡"/>
    <s v="BWU2"/>
    <s v="RD1-B"/>
    <s v="RD1-B 便携式扩香仪 黑色"/>
    <s v="RD1"/>
    <n v="3"/>
    <n v="40.909090909090907"/>
    <s v="重量收费"/>
    <n v="6.5"/>
    <m/>
    <n v="47.727272727272727"/>
    <n v="313.63636363636363"/>
    <n v="3.4848484848484849"/>
    <n v="0.52012663952962457"/>
    <m/>
    <m/>
    <s v="是"/>
    <x v="14"/>
    <x v="39"/>
    <m/>
    <n v="0"/>
    <n v="0"/>
    <d v="2026-05-10T00:00:00"/>
    <n v="48"/>
    <d v="2026-05-26T00:00:00"/>
    <m/>
    <n v="16"/>
    <m/>
    <m/>
    <m/>
    <m/>
  </r>
  <r>
    <n v="264"/>
    <m/>
    <s v="W12004"/>
    <x v="100"/>
    <s v="A-US"/>
    <s v="美国"/>
    <s v="ANZKIT-W_SJ30ML"/>
    <n v="150"/>
    <x v="7"/>
    <s v="盐田海卡"/>
    <s v="POC3"/>
    <s v="ANZKIT-W_SJ30ML"/>
    <s v="ANZKIT-W_SJ30ML ANZ白色机器+30mL四季酒店香氛油（天竺） 机油套装"/>
    <s v="ANZ"/>
    <n v="5"/>
    <n v="66.709999999999994"/>
    <s v="重量收费"/>
    <n v="2.8"/>
    <n v="200"/>
    <n v="5.0761421319796955"/>
    <n v="191.86414213197969"/>
    <n v="1.2790942808798647"/>
    <n v="0.19090959416117381"/>
    <m/>
    <m/>
    <s v="是"/>
    <x v="13"/>
    <x v="37"/>
    <m/>
    <n v="0.44"/>
    <n v="66"/>
    <d v="2026-05-01T00:00:00"/>
    <n v="40"/>
    <d v="2026-05-25T00:00:00"/>
    <m/>
    <n v="24"/>
    <m/>
    <m/>
    <m/>
    <m/>
  </r>
  <r>
    <n v="265"/>
    <m/>
    <s v="W12004"/>
    <x v="101"/>
    <s v="W-US"/>
    <s v="美国"/>
    <s v="002000037"/>
    <n v="32"/>
    <x v="7"/>
    <s v="盐田海卡"/>
    <s v="POC2"/>
    <s v="M1-SILV"/>
    <s v="M1-SILV 电子球形把手锁 银色"/>
    <s v="M1"/>
    <n v="2"/>
    <n v="30.153846153846153"/>
    <s v="重量收费"/>
    <n v="2.8"/>
    <n v="199.99999999999997"/>
    <n v="2.030456852791878"/>
    <n v="86.461226083561101"/>
    <n v="2.7019133151112844"/>
    <n v="0.40327064404646035"/>
    <m/>
    <m/>
    <s v="是"/>
    <x v="15"/>
    <x v="37"/>
    <m/>
    <n v="0.56000000000000005"/>
    <n v="17.920000000000002"/>
    <d v="2026-04-23T00:00:00"/>
    <n v="34"/>
    <d v="2026-05-23T00:00:00"/>
    <m/>
    <n v="30"/>
    <m/>
    <m/>
    <m/>
    <m/>
  </r>
  <r>
    <n v="266"/>
    <m/>
    <s v="W12004"/>
    <x v="101"/>
    <s v="W-US"/>
    <s v="美国"/>
    <s v="002000029"/>
    <n v="176"/>
    <x v="7"/>
    <s v="盐田海卡"/>
    <s v="POC2"/>
    <s v="MD1-B"/>
    <s v="MD1-B 电子球形把手锁 指纹 黑色"/>
    <s v="MD1"/>
    <n v="11"/>
    <n v="165.84615384615384"/>
    <s v="重量收费"/>
    <n v="2.8"/>
    <m/>
    <n v="11.167512690355331"/>
    <n v="475.53674345958609"/>
    <n v="2.7019133151112844"/>
    <n v="0.40327064404646035"/>
    <m/>
    <m/>
    <s v="是"/>
    <x v="15"/>
    <x v="37"/>
    <m/>
    <n v="0.56000000000000005"/>
    <n v="98.56"/>
    <d v="2026-04-23T00:00:00"/>
    <n v="34"/>
    <d v="2026-05-23T00:00:00"/>
    <m/>
    <n v="30"/>
    <m/>
    <m/>
    <m/>
    <m/>
  </r>
  <r>
    <n v="267"/>
    <m/>
    <s v="W12007"/>
    <x v="102"/>
    <s v="W-US"/>
    <s v="美国"/>
    <s v="002000037"/>
    <n v="80"/>
    <x v="3"/>
    <s v="美森海卡"/>
    <s v="POC2"/>
    <s v="M1-SILV"/>
    <s v="M1-SILV 电子球形把手锁 银色"/>
    <s v="M1"/>
    <n v="5"/>
    <n v="0.32599999999999996"/>
    <s v="CBM收费"/>
    <n v="1830"/>
    <n v="180"/>
    <n v="36"/>
    <n v="632.57999999999993"/>
    <n v="7.9072499999999994"/>
    <n v="1.1801865671641789"/>
    <m/>
    <m/>
    <s v="是"/>
    <x v="15"/>
    <x v="36"/>
    <m/>
    <n v="0.56000000000000005"/>
    <n v="44.800000000000004"/>
    <d v="2026-04-10T00:00:00"/>
    <n v="21"/>
    <d v="2026-05-14T00:00:00"/>
    <m/>
    <n v="34"/>
    <m/>
    <m/>
    <m/>
    <m/>
  </r>
  <r>
    <n v="268"/>
    <m/>
    <s v="W12007"/>
    <x v="102"/>
    <s v="W-US"/>
    <s v="美国"/>
    <s v="002000029"/>
    <n v="320"/>
    <x v="3"/>
    <s v="美森海卡"/>
    <s v="POC2"/>
    <s v="MD1-B"/>
    <s v="MD1-B 电子球形把手锁 指纹 黑色"/>
    <s v="MD1"/>
    <n v="20"/>
    <n v="1.3039999999999998"/>
    <s v="CBM收费"/>
    <n v="1830"/>
    <n v="180"/>
    <n v="144"/>
    <n v="2530.3199999999997"/>
    <n v="7.9072499999999994"/>
    <n v="1.1801865671641789"/>
    <m/>
    <m/>
    <s v="是"/>
    <x v="15"/>
    <x v="36"/>
    <m/>
    <n v="0.56000000000000005"/>
    <n v="179.20000000000002"/>
    <d v="2026-04-10T00:00:00"/>
    <n v="21"/>
    <d v="2026-05-14T00:00:00"/>
    <m/>
    <n v="34"/>
    <m/>
    <m/>
    <m/>
    <m/>
  </r>
  <r>
    <n v="269"/>
    <m/>
    <s v="W12006"/>
    <x v="103"/>
    <s v="V-US"/>
    <s v="美国"/>
    <s v="ANWKIT-WH_US_2X100K03"/>
    <n v="180"/>
    <x v="7"/>
    <s v="盐田海卡"/>
    <s v="TCY2"/>
    <s v="ANWKIT-WH_US_2X100K03"/>
    <s v="ANWKIT-WH_US_2X100K03 ANW白色机器+2X100mL酒店香氛油（天竺） 机油套装"/>
    <s v="ANW"/>
    <n v="15"/>
    <n v="256"/>
    <s v="重量收费"/>
    <n v="3.2"/>
    <n v="200"/>
    <n v="35.714285714285715"/>
    <n v="854.91428571428571"/>
    <n v="4.7495238095238097"/>
    <n v="0.7088841506751955"/>
    <m/>
    <m/>
    <s v="是"/>
    <x v="15"/>
    <x v="38"/>
    <m/>
    <n v="0.55999999999999994"/>
    <n v="100.79999999999998"/>
    <d v="2026-04-27T00:00:00"/>
    <n v="38"/>
    <d v="2026-05-25T00:00:00"/>
    <m/>
    <n v="28"/>
    <m/>
    <m/>
    <m/>
    <m/>
  </r>
  <r>
    <n v="270"/>
    <m/>
    <s v="W12008"/>
    <x v="104"/>
    <s v="V-US"/>
    <s v="美国"/>
    <s v="ANP-W_US"/>
    <n v="288"/>
    <x v="7"/>
    <s v="美森海卡"/>
    <s v="POC2"/>
    <s v="ANP-W_US"/>
    <s v="ANP-W_US 墙插式智能扩香仪 白色"/>
    <s v="ANP"/>
    <n v="9"/>
    <n v="143"/>
    <s v="重量收费"/>
    <n v="8.5"/>
    <n v="200"/>
    <n v="200"/>
    <n v="1415.5"/>
    <n v="4.9149305555555554"/>
    <n v="0.73357172470978438"/>
    <m/>
    <m/>
    <s v="是"/>
    <x v="15"/>
    <x v="36"/>
    <m/>
    <n v="0.44"/>
    <n v="126.72"/>
    <d v="2026-04-15T00:00:00"/>
    <n v="26"/>
    <d v="2026-05-14T00:00:00"/>
    <m/>
    <n v="29"/>
    <m/>
    <m/>
    <m/>
    <m/>
  </r>
  <r>
    <n v="271"/>
    <m/>
    <s v="W12004"/>
    <x v="105"/>
    <s v="V-US"/>
    <s v="美国"/>
    <s v="001000032"/>
    <n v="180"/>
    <x v="7"/>
    <s v="盐田海卡"/>
    <s v="GEU3"/>
    <s v="ANW-B"/>
    <s v="ANW-B 智能扩香仪 黑色"/>
    <s v="ANW"/>
    <n v="15"/>
    <n v="214.24242424242422"/>
    <s v="重量收费"/>
    <n v="3.6"/>
    <n v="200"/>
    <n v="15.228426395939087"/>
    <n v="786.50115366866635"/>
    <n v="4.3694508537148131"/>
    <n v="0.65215684383803174"/>
    <m/>
    <m/>
    <s v="是"/>
    <x v="15"/>
    <x v="37"/>
    <m/>
    <n v="0.54788643533123027"/>
    <n v="98.61955835962145"/>
    <d v="2026-04-21T00:00:00"/>
    <n v="32"/>
    <d v="2026-05-26T00:00:00"/>
    <m/>
    <n v="35"/>
    <m/>
    <m/>
    <m/>
    <m/>
  </r>
  <r>
    <n v="272"/>
    <m/>
    <s v="W12004"/>
    <x v="105"/>
    <s v="V-US"/>
    <s v="美国"/>
    <s v="001000033"/>
    <n v="960"/>
    <x v="7"/>
    <s v="盐田海卡"/>
    <s v="GEU3"/>
    <s v="ANW-W"/>
    <s v="ANW-W 智能扩香仪 白色"/>
    <s v="ANW"/>
    <n v="80"/>
    <n v="1142.6262626262626"/>
    <s v="重量收费"/>
    <n v="3.6"/>
    <n v="200"/>
    <n v="81.218274111675129"/>
    <n v="4194.6728195662199"/>
    <n v="4.3694508537148122"/>
    <n v="0.65215684383803163"/>
    <m/>
    <m/>
    <s v="是"/>
    <x v="15"/>
    <x v="37"/>
    <m/>
    <n v="0.54788643533123027"/>
    <n v="525.97097791798103"/>
    <d v="2026-04-21T00:00:00"/>
    <n v="32"/>
    <d v="2026-05-26T00:00:00"/>
    <m/>
    <n v="35"/>
    <m/>
    <m/>
    <m/>
    <m/>
  </r>
  <r>
    <n v="273"/>
    <m/>
    <s v="W12004"/>
    <x v="105"/>
    <s v="V-US"/>
    <s v="美国"/>
    <s v="ANP-W_US"/>
    <n v="128"/>
    <x v="7"/>
    <s v="盐田海卡"/>
    <s v="GEU3"/>
    <s v="ANP-W_US"/>
    <s v="ANP-W_US 墙插式智能扩香仪 白色"/>
    <s v="ANP"/>
    <n v="4"/>
    <n v="57.131313131313128"/>
    <s v="重量收费"/>
    <n v="3.6"/>
    <n v="199.99999999999997"/>
    <n v="4.0609137055837561"/>
    <n v="209.733640978311"/>
    <n v="1.6385440701430547"/>
    <n v="0.24455881643926189"/>
    <m/>
    <m/>
    <s v="是"/>
    <x v="15"/>
    <x v="37"/>
    <m/>
    <n v="0.54788643533123027"/>
    <n v="70.129463722397475"/>
    <d v="2026-04-21T00:00:00"/>
    <n v="32"/>
    <d v="2026-05-26T00:00:00"/>
    <m/>
    <n v="35"/>
    <m/>
    <m/>
    <m/>
    <m/>
  </r>
  <r>
    <n v="274"/>
    <m/>
    <s v="W12003"/>
    <x v="106"/>
    <s v="E-US"/>
    <s v="美国"/>
    <s v="SJ1-100ML_TZ"/>
    <n v="192"/>
    <x v="3"/>
    <s v="盐田海卡"/>
    <s v="POC3"/>
    <s v="SJ1-100ML_TZ"/>
    <s v="SJ1-100ML_TZ 四季酒店100mL香氛油（天竺） 销售包装"/>
    <s v="Oil-TZ"/>
    <n v="3"/>
    <n v="0.125"/>
    <s v="CBM收费"/>
    <n v="1030"/>
    <n v="180"/>
    <n v="20.76923076923077"/>
    <n v="149.51923076923077"/>
    <n v="0.77874599358974361"/>
    <n v="0.11623074531190203"/>
    <m/>
    <m/>
    <s v="是"/>
    <x v="15"/>
    <x v="24"/>
    <m/>
    <n v="0.36333333333333334"/>
    <n v="69.760000000000005"/>
    <d v="2026-04-16T00:00:00"/>
    <n v="27"/>
    <d v="2026-05-16T00:00:00"/>
    <m/>
    <n v="30"/>
    <m/>
    <m/>
    <m/>
    <m/>
  </r>
  <r>
    <n v="275"/>
    <m/>
    <s v="W12003"/>
    <x v="106"/>
    <s v="E-US"/>
    <s v="美国"/>
    <s v="TX331_100ML"/>
    <n v="640"/>
    <x v="3"/>
    <s v="盐田海卡"/>
    <s v="POC3"/>
    <s v="TX331_100ML"/>
    <s v="TX331_100ML 檀香33号100mL香氛油（天竺） 销售包装"/>
    <s v="Oil-TZ"/>
    <n v="10"/>
    <n v="0.41666666666666663"/>
    <s v="CBM收费"/>
    <n v="1030"/>
    <n v="180"/>
    <n v="69.230769230769226"/>
    <n v="498.39743589743586"/>
    <n v="0.7787459935897435"/>
    <n v="0.11623074531190201"/>
    <m/>
    <m/>
    <s v="是"/>
    <x v="15"/>
    <x v="24"/>
    <m/>
    <n v="0.36333333333333334"/>
    <n v="232.53333333333333"/>
    <d v="2026-04-16T00:00:00"/>
    <n v="27"/>
    <d v="2026-05-16T00:00:00"/>
    <m/>
    <n v="30"/>
    <m/>
    <m/>
    <m/>
    <m/>
  </r>
  <r>
    <n v="276"/>
    <m/>
    <s v="W12003"/>
    <x v="106"/>
    <s v="E-US"/>
    <s v="美国"/>
    <s v="HILTON1-100ML_TZ"/>
    <n v="192"/>
    <x v="3"/>
    <s v="盐田海卡"/>
    <s v="POC3"/>
    <s v="HILTON1-100ML_TZ"/>
    <s v="HILTON1-100ML_TZ 希尔顿酒店100mL香氛油（天竺） 销售包装"/>
    <s v="Oil-TZ"/>
    <n v="3"/>
    <n v="0.125"/>
    <s v="CBM收费"/>
    <n v="1030"/>
    <m/>
    <n v="20.76923076923077"/>
    <n v="149.51923076923077"/>
    <n v="0.77874599358974361"/>
    <n v="0.11623074531190203"/>
    <m/>
    <m/>
    <s v="是"/>
    <x v="15"/>
    <x v="24"/>
    <m/>
    <n v="0.36333333333333334"/>
    <n v="69.760000000000005"/>
    <d v="2026-04-16T00:00:00"/>
    <n v="27"/>
    <d v="2026-05-16T00:00:00"/>
    <m/>
    <n v="30"/>
    <m/>
    <m/>
    <m/>
    <m/>
  </r>
  <r>
    <n v="277"/>
    <m/>
    <s v="W12003"/>
    <x v="106"/>
    <s v="E-US"/>
    <s v="美国"/>
    <s v="YH1-100ML_TZ"/>
    <n v="64"/>
    <x v="3"/>
    <s v="盐田海卡"/>
    <s v="POC3"/>
    <s v="YH1-100ML_TZ"/>
    <s v="YH1-100ML_TZ 樱花100mL香氛油（天竺）销售包装"/>
    <s v="Oil-TZ"/>
    <n v="1"/>
    <n v="4.1666666666666664E-2"/>
    <s v="CBM收费"/>
    <n v="1030"/>
    <m/>
    <n v="6.9230769230769234"/>
    <n v="49.839743589743591"/>
    <n v="0.77874599358974361"/>
    <n v="0.11623074531190203"/>
    <m/>
    <m/>
    <s v="是"/>
    <x v="15"/>
    <x v="24"/>
    <m/>
    <n v="0.36333333333333334"/>
    <n v="23.253333333333334"/>
    <d v="2026-04-16T00:00:00"/>
    <n v="27"/>
    <d v="2026-05-16T00:00:00"/>
    <m/>
    <n v="30"/>
    <m/>
    <m/>
    <m/>
    <m/>
  </r>
  <r>
    <n v="278"/>
    <m/>
    <s v="W12003"/>
    <x v="106"/>
    <s v="E-US"/>
    <s v="美国"/>
    <s v="YZTT1_100ML"/>
    <n v="256"/>
    <x v="3"/>
    <s v="盐田海卡"/>
    <s v="POC3"/>
    <s v="YZTT1_100ML"/>
    <s v="YZTT1_100ML 柚子天堂100mL香氛油（天竺） 销售包装"/>
    <s v="Oil-TZ"/>
    <n v="4"/>
    <n v="0.16666666666666666"/>
    <s v="CBM收费"/>
    <n v="1030"/>
    <m/>
    <n v="27.692307692307693"/>
    <n v="199.35897435897436"/>
    <n v="0.77874599358974361"/>
    <n v="0.11623074531190203"/>
    <m/>
    <m/>
    <s v="是"/>
    <x v="15"/>
    <x v="24"/>
    <m/>
    <n v="0.36333333333333334"/>
    <n v="93.013333333333335"/>
    <d v="2026-04-16T00:00:00"/>
    <n v="27"/>
    <d v="2026-05-16T00:00:00"/>
    <m/>
    <n v="30"/>
    <m/>
    <m/>
    <m/>
    <m/>
  </r>
  <r>
    <n v="279"/>
    <m/>
    <s v="W12003"/>
    <x v="106"/>
    <s v="E-US"/>
    <s v="美国"/>
    <s v="TXY1_100ML"/>
    <n v="192"/>
    <x v="3"/>
    <s v="盐田海卡"/>
    <s v="POC3"/>
    <s v="TXY1_100ML"/>
    <s v="TXY1_100ML 桃星云100mL香氛油（天竺） 销售包装"/>
    <s v="Oil-TZ"/>
    <n v="3"/>
    <n v="0.125"/>
    <s v="CBM收费"/>
    <n v="1030"/>
    <m/>
    <n v="20.76923076923077"/>
    <n v="149.51923076923077"/>
    <n v="0.77874599358974361"/>
    <n v="0.11623074531190203"/>
    <m/>
    <m/>
    <s v="是"/>
    <x v="15"/>
    <x v="24"/>
    <m/>
    <n v="0.36333333333333334"/>
    <n v="69.760000000000005"/>
    <d v="2026-04-16T00:00:00"/>
    <n v="27"/>
    <d v="2026-05-16T00:00:00"/>
    <m/>
    <n v="30"/>
    <m/>
    <m/>
    <m/>
    <m/>
  </r>
  <r>
    <n v="280"/>
    <s v="备注跟FBA198W7ZHBG合并报关"/>
    <s v="W12003"/>
    <x v="107"/>
    <s v="K-US"/>
    <s v="美国"/>
    <s v="BGR1_100ML_TZ"/>
    <n v="128"/>
    <x v="3"/>
    <s v="盐田海卡"/>
    <s v="TCY2"/>
    <s v="BGR1_100ML_TZ"/>
    <s v="BGR1_100ML_TZ 宝格丽酒店100mL香氛油（天竺） 销售包装"/>
    <s v="Oil-TZ"/>
    <n v="2"/>
    <n v="30"/>
    <s v="重量收费"/>
    <n v="6.6"/>
    <m/>
    <n v="13.846153846153847"/>
    <n v="211.84615384615384"/>
    <n v="1.6550480769230769"/>
    <n v="0.24702210103329506"/>
    <m/>
    <m/>
    <s v="是"/>
    <x v="15"/>
    <x v="24"/>
    <m/>
    <n v="0.36"/>
    <n v="46.08"/>
    <d v="2026-04-19T00:00:00"/>
    <n v="30"/>
    <d v="2026-05-15T00:00:00"/>
    <m/>
    <n v="26"/>
    <m/>
    <m/>
    <m/>
    <m/>
  </r>
  <r>
    <n v="281"/>
    <m/>
    <s v="W12004"/>
    <x v="108"/>
    <s v="E-US"/>
    <s v="美国"/>
    <s v="003000007"/>
    <n v="252"/>
    <x v="7"/>
    <s v="盐田海卡"/>
    <s v="POC1"/>
    <s v="AP2F-H14"/>
    <s v="AP2F-H14 空气净化器滤网2-H14"/>
    <s v="AP2F"/>
    <n v="7"/>
    <n v="154"/>
    <s v="重量收费"/>
    <n v="2.8"/>
    <n v="200"/>
    <n v="7.1065989847715736"/>
    <n v="438.30659898477154"/>
    <n v="1.7393119007332205"/>
    <n v="0.25959879115421203"/>
    <m/>
    <m/>
    <s v="是"/>
    <x v="15"/>
    <x v="37"/>
    <m/>
    <n v="0.56000000000000005"/>
    <n v="141.12"/>
    <d v="2026-04-19T00:00:00"/>
    <n v="30"/>
    <d v="2026-05-17T00:00:00"/>
    <m/>
    <n v="28"/>
    <m/>
    <m/>
    <m/>
    <m/>
  </r>
  <r>
    <n v="282"/>
    <m/>
    <s v="W13010"/>
    <x v="109"/>
    <s v="V-US"/>
    <s v="美国"/>
    <s v="AN8KIT-B_4X10K05_TZ"/>
    <n v="1200"/>
    <x v="0"/>
    <s v="美森海卡"/>
    <s v="GEU2"/>
    <s v="AN8KIT-B_4X10K05_TZ"/>
    <s v="AN8KIT-B_4X10K05_TZ AN8黑色机器+4x10mL（天竺）酒店香氛油 机油套装"/>
    <s v="AN8"/>
    <n v="40"/>
    <n v="648"/>
    <s v="重量收费"/>
    <n v="9.4"/>
    <n v="200"/>
    <n v="200"/>
    <n v="6291.2"/>
    <n v="5.2426666666666666"/>
    <n v="0.78248756218905469"/>
    <m/>
    <m/>
    <s v="是"/>
    <x v="16"/>
    <x v="35"/>
    <m/>
    <n v="0.44"/>
    <n v="528"/>
    <d v="2026-04-22T00:00:00"/>
    <n v="25"/>
    <d v="2026-05-21T00:00:00"/>
    <m/>
    <n v="29"/>
    <m/>
    <m/>
    <m/>
    <m/>
  </r>
  <r>
    <n v="283"/>
    <m/>
    <s v="W13008"/>
    <x v="110"/>
    <s v="V-US"/>
    <s v="美国"/>
    <s v="001000019"/>
    <n v="2000"/>
    <x v="0"/>
    <s v="盐田海卡"/>
    <s v="QXY8"/>
    <s v="AN6-B"/>
    <s v="AN6-B 便携式扩香仪 黑色"/>
    <s v="AN6"/>
    <n v="50"/>
    <n v="681.18279569892468"/>
    <s v="重量收费"/>
    <n v="3.9"/>
    <n v="200"/>
    <n v="68.493150684931507"/>
    <n v="2725.106053910738"/>
    <n v="1.362553026955369"/>
    <n v="0.20336612342617447"/>
    <m/>
    <m/>
    <s v="是"/>
    <x v="16"/>
    <x v="40"/>
    <m/>
    <n v="0.36416666666666669"/>
    <n v="728.33333333333337"/>
    <d v="2026-05-04T00:00:00"/>
    <n v="37"/>
    <d v="2026-06-05T00:00:00"/>
    <m/>
    <n v="32"/>
    <m/>
    <m/>
    <m/>
    <m/>
  </r>
  <r>
    <n v="284"/>
    <m/>
    <s v="W13008"/>
    <x v="110"/>
    <s v="V-US"/>
    <s v="美国"/>
    <s v="AN6-LV"/>
    <n v="120"/>
    <x v="0"/>
    <s v="盐田海卡"/>
    <s v="QXY8"/>
    <s v="AN6-LV"/>
    <s v="AN6-LV 便携式扩香仪 薰衣草"/>
    <s v="AN6"/>
    <n v="3"/>
    <n v="40.87096774193548"/>
    <s v="重量收费"/>
    <n v="3.9"/>
    <n v="200"/>
    <n v="4.1095890410958908"/>
    <n v="163.50636323464425"/>
    <n v="1.3625530269553687"/>
    <n v="0.20336612342617444"/>
    <m/>
    <m/>
    <s v="是"/>
    <x v="16"/>
    <x v="40"/>
    <m/>
    <n v="0.36416666666666669"/>
    <n v="43.7"/>
    <d v="2026-05-04T00:00:00"/>
    <n v="37"/>
    <d v="2026-06-05T00:00:00"/>
    <m/>
    <n v="32"/>
    <m/>
    <m/>
    <m/>
    <m/>
  </r>
  <r>
    <n v="285"/>
    <m/>
    <s v="W13008"/>
    <x v="110"/>
    <s v="V-US"/>
    <s v="美国"/>
    <s v="001000020"/>
    <n v="600"/>
    <x v="0"/>
    <s v="盐田海卡"/>
    <s v="QXY8"/>
    <s v="AN6-W"/>
    <s v="AN6-W 便携式扩香仪 白色"/>
    <s v="AN6"/>
    <n v="15"/>
    <n v="204.35483870967741"/>
    <s v="重量收费"/>
    <n v="3.9"/>
    <m/>
    <n v="20.547945205479451"/>
    <n v="817.53181617322127"/>
    <n v="1.3625530269553687"/>
    <n v="0.20336612342617444"/>
    <m/>
    <m/>
    <s v="是"/>
    <x v="16"/>
    <x v="40"/>
    <m/>
    <n v="0.36416666666666669"/>
    <n v="218.50000000000003"/>
    <d v="2026-05-04T00:00:00"/>
    <n v="37"/>
    <d v="2026-06-05T00:00:00"/>
    <m/>
    <n v="32"/>
    <m/>
    <m/>
    <m/>
    <m/>
  </r>
  <r>
    <n v="286"/>
    <m/>
    <s v="W13008"/>
    <x v="110"/>
    <s v="V-US"/>
    <s v="美国"/>
    <s v="AN6-YG"/>
    <n v="200"/>
    <x v="0"/>
    <s v="盐田海卡"/>
    <s v="QXY8"/>
    <s v="AN6-YG"/>
    <s v="AN6-YG 便携式扩香仪 乳酪色"/>
    <s v="AN6"/>
    <n v="5"/>
    <n v="68.118279569892465"/>
    <s v="重量收费"/>
    <n v="3.9"/>
    <m/>
    <n v="6.8493150684931505"/>
    <n v="272.51060539107374"/>
    <n v="1.3625530269553687"/>
    <n v="0.20336612342617444"/>
    <m/>
    <m/>
    <s v="是"/>
    <x v="16"/>
    <x v="40"/>
    <m/>
    <n v="0.36416666666666669"/>
    <n v="72.833333333333343"/>
    <d v="2026-05-04T00:00:00"/>
    <n v="37"/>
    <d v="2026-06-05T00:00:00"/>
    <m/>
    <n v="32"/>
    <m/>
    <m/>
    <m/>
    <m/>
  </r>
  <r>
    <n v="287"/>
    <m/>
    <s v="W13008"/>
    <x v="110"/>
    <s v="V-US"/>
    <s v="美国"/>
    <s v="AN8-B"/>
    <n v="320"/>
    <x v="0"/>
    <s v="盐田海卡"/>
    <s v="QXY8"/>
    <s v="AN8-B"/>
    <s v="AN8-B 便携式扩香仪 黑色"/>
    <s v="AN8"/>
    <n v="8"/>
    <n v="108.98924731182795"/>
    <s v="重量收费"/>
    <n v="3.9"/>
    <m/>
    <n v="10.95890410958904"/>
    <n v="436.01696862571799"/>
    <n v="1.3625530269553687"/>
    <n v="0.20336612342617444"/>
    <m/>
    <m/>
    <s v="是"/>
    <x v="16"/>
    <x v="40"/>
    <m/>
    <n v="0.36416666666666669"/>
    <n v="116.53333333333335"/>
    <d v="2026-05-04T00:00:00"/>
    <n v="37"/>
    <d v="2026-06-05T00:00:00"/>
    <m/>
    <n v="32"/>
    <m/>
    <m/>
    <m/>
    <m/>
  </r>
  <r>
    <n v="288"/>
    <m/>
    <s v="W13008"/>
    <x v="110"/>
    <s v="V-US"/>
    <s v="美国"/>
    <s v="AN8KIT-B_B"/>
    <n v="200"/>
    <x v="0"/>
    <s v="盐田海卡"/>
    <s v="QXY8"/>
    <s v="AN8KIT-B_B"/>
    <s v="AN8KIT-B_B 便携式扩香仪套装 黑+黑"/>
    <s v="AN8"/>
    <n v="10"/>
    <n v="136.23655913978493"/>
    <s v="重量收费"/>
    <n v="3.9"/>
    <m/>
    <n v="13.698630136986301"/>
    <n v="545.02121078214748"/>
    <n v="2.7251060539107375"/>
    <n v="0.40673224685234888"/>
    <m/>
    <m/>
    <s v="是"/>
    <x v="16"/>
    <x v="40"/>
    <m/>
    <n v="0.36416666666666669"/>
    <n v="72.833333333333343"/>
    <d v="2026-05-04T00:00:00"/>
    <n v="37"/>
    <d v="2026-06-05T00:00:00"/>
    <m/>
    <n v="32"/>
    <m/>
    <m/>
    <m/>
    <m/>
  </r>
  <r>
    <n v="289"/>
    <m/>
    <s v="W13008"/>
    <x v="110"/>
    <s v="V-US"/>
    <s v="美国"/>
    <s v="001000021"/>
    <n v="200"/>
    <x v="0"/>
    <s v="盐田海卡"/>
    <s v="QXY8"/>
    <s v="AN6NZ-B"/>
    <s v="AN6NZ-B AN6喷嘴配件套装 黑色"/>
    <s v="AN6-AC"/>
    <n v="1"/>
    <n v="13.623655913978494"/>
    <s v="重量收费"/>
    <n v="3.9"/>
    <m/>
    <n v="1.3698630136986301"/>
    <n v="54.502121078214749"/>
    <n v="0.27251060539107375"/>
    <n v="4.0673224685234884E-2"/>
    <m/>
    <m/>
    <s v="是"/>
    <x v="16"/>
    <x v="40"/>
    <m/>
    <n v="0.36416666666666669"/>
    <n v="72.833333333333343"/>
    <d v="2026-05-04T00:00:00"/>
    <n v="37"/>
    <d v="2026-06-05T00:00:00"/>
    <m/>
    <n v="32"/>
    <m/>
    <m/>
    <m/>
    <m/>
  </r>
  <r>
    <n v="290"/>
    <m/>
    <s v="W13008"/>
    <x v="110"/>
    <s v="V-US"/>
    <s v="美国"/>
    <s v="001000021"/>
    <n v="100"/>
    <x v="0"/>
    <s v="盐田海卡"/>
    <s v="QXY8"/>
    <s v="AN6NZ-B"/>
    <s v="AN6NZ-B AN6喷嘴配件套装 黑色"/>
    <s v="AN6-AC"/>
    <n v="0.5"/>
    <n v="6.811827956989247"/>
    <s v="重量收费"/>
    <n v="3.9"/>
    <m/>
    <n v="0.68493150684931503"/>
    <n v="27.251060539107375"/>
    <n v="0.27251060539107375"/>
    <n v="4.0673224685234884E-2"/>
    <m/>
    <m/>
    <s v="是"/>
    <x v="16"/>
    <x v="40"/>
    <m/>
    <n v="0.36416666666666669"/>
    <n v="36.416666666666671"/>
    <d v="2026-05-04T00:00:00"/>
    <n v="37"/>
    <d v="2026-06-05T00:00:00"/>
    <m/>
    <n v="32"/>
    <m/>
    <m/>
    <m/>
    <m/>
  </r>
  <r>
    <n v="291"/>
    <m/>
    <s v="W13008"/>
    <x v="110"/>
    <s v="V-US"/>
    <s v="美国"/>
    <s v="001000022"/>
    <n v="100"/>
    <x v="0"/>
    <s v="盐田海卡"/>
    <s v="QXY8"/>
    <s v="AN6NZ-W"/>
    <s v="AN6NZ-W AN6喷嘴配件套装 白色"/>
    <s v="AN6-AC"/>
    <n v="0.5"/>
    <n v="6.811827956989247"/>
    <s v="重量收费"/>
    <n v="3.9"/>
    <m/>
    <n v="0.68493150684931503"/>
    <n v="27.251060539107375"/>
    <n v="0.27251060539107375"/>
    <n v="4.0673224685234884E-2"/>
    <m/>
    <m/>
    <s v="是"/>
    <x v="16"/>
    <x v="40"/>
    <m/>
    <n v="0.36416666666666669"/>
    <n v="36.416666666666671"/>
    <d v="2026-05-04T00:00:00"/>
    <n v="37"/>
    <d v="2026-06-05T00:00:00"/>
    <m/>
    <n v="32"/>
    <m/>
    <m/>
    <m/>
    <m/>
  </r>
  <r>
    <n v="292"/>
    <m/>
    <s v="W13009"/>
    <x v="111"/>
    <s v="V-US"/>
    <s v="美国"/>
    <s v="AN6KIT-B_4X10K04_TZ"/>
    <n v="300"/>
    <x v="2"/>
    <s v="盐田海卡"/>
    <s v="MIT2"/>
    <s v="AN6KIT-B_4X10K04_TZ"/>
    <s v="AN6KIT-B_4X10K04_TZ AN6黑色机器+4x10mL酒店（天竺）香氛油 机油套装"/>
    <s v="AN6"/>
    <n v="10"/>
    <n v="158.79611650485435"/>
    <s v="重量收费"/>
    <n v="4.2"/>
    <n v="200"/>
    <n v="14.492753623188406"/>
    <n v="681.43644294357671"/>
    <n v="2.2714548098119223"/>
    <n v="0.33902310594207796"/>
    <m/>
    <m/>
    <s v="是"/>
    <x v="16"/>
    <x v="38"/>
    <m/>
    <n v="0.43999999999999995"/>
    <n v="131.99999999999997"/>
    <d v="2026-04-29T00:00:00"/>
    <n v="32"/>
    <d v="2026-06-08T00:00:00"/>
    <m/>
    <n v="40"/>
    <m/>
    <m/>
    <m/>
    <m/>
  </r>
  <r>
    <n v="293"/>
    <m/>
    <s v="W13009"/>
    <x v="111"/>
    <s v="V-US"/>
    <s v="美国"/>
    <s v="AN8KIT-B_4X10K01"/>
    <n v="570"/>
    <x v="2"/>
    <s v="盐田海卡"/>
    <s v="MIT2"/>
    <s v="AN8KIT-B_4X10K01"/>
    <s v="AN8KIT-B_4X10K01 AN8黑色机器+4x10mL酒店香氛油 机油套装"/>
    <s v="AN8"/>
    <n v="19"/>
    <n v="301.71262135922331"/>
    <s v="重量收费"/>
    <n v="4.2"/>
    <n v="200"/>
    <n v="27.536231884057973"/>
    <n v="1294.7292415927959"/>
    <n v="2.2714548098119227"/>
    <n v="0.33902310594207802"/>
    <m/>
    <m/>
    <s v="是"/>
    <x v="16"/>
    <x v="38"/>
    <m/>
    <n v="0.43999999999999995"/>
    <n v="250.79999999999998"/>
    <d v="2026-04-29T00:00:00"/>
    <n v="32"/>
    <d v="2026-06-08T00:00:00"/>
    <m/>
    <n v="40"/>
    <m/>
    <m/>
    <m/>
    <m/>
  </r>
  <r>
    <n v="294"/>
    <m/>
    <s v="W13009"/>
    <x v="111"/>
    <s v="V-US"/>
    <s v="美国"/>
    <s v="AN8KIT-B_4X10K05_TZ"/>
    <n v="1500"/>
    <x v="2"/>
    <s v="盐田海卡"/>
    <s v="MIT2"/>
    <s v="AN8KIT-B_4X10K05_TZ"/>
    <s v="AN8KIT-B_4X10K05_TZ AN8黑色机器+4x10mL（天竺）酒店香氛油 机油套装"/>
    <s v="AN8"/>
    <n v="50"/>
    <n v="793.98058252427188"/>
    <s v="重量收费"/>
    <n v="4.2"/>
    <m/>
    <n v="72.463768115942031"/>
    <n v="3407.1822147178841"/>
    <n v="2.2714548098119227"/>
    <n v="0.33902310594207802"/>
    <m/>
    <m/>
    <s v="是"/>
    <x v="16"/>
    <x v="38"/>
    <m/>
    <n v="0.43999999999999995"/>
    <n v="659.99999999999989"/>
    <d v="2026-04-29T00:00:00"/>
    <n v="32"/>
    <d v="2026-06-08T00:00:00"/>
    <m/>
    <n v="40"/>
    <m/>
    <m/>
    <m/>
    <m/>
  </r>
  <r>
    <n v="295"/>
    <m/>
    <s v="W13009"/>
    <x v="111"/>
    <s v="V-US"/>
    <s v="美国"/>
    <s v="AN8KIT-WH_4X10K05_TZ"/>
    <n v="720"/>
    <x v="2"/>
    <s v="盐田海卡"/>
    <s v="MIT2"/>
    <s v="AN8KIT-WH_4X10K05_TZ"/>
    <s v="AN8KIT-WH_4X10K05_TZ AN8白色机器+4x10mL（天竺）酒店香氛油 机油套装"/>
    <s v="AN8"/>
    <n v="24"/>
    <n v="381.11067961165048"/>
    <s v="重量收费"/>
    <n v="4.2"/>
    <m/>
    <n v="34.782608695652172"/>
    <n v="1635.4474630645843"/>
    <n v="2.2714548098119227"/>
    <n v="0.33902310594207802"/>
    <m/>
    <m/>
    <s v="是"/>
    <x v="16"/>
    <x v="38"/>
    <m/>
    <n v="0.43999999999999995"/>
    <n v="316.79999999999995"/>
    <d v="2026-04-29T00:00:00"/>
    <n v="32"/>
    <d v="2026-06-08T00:00:00"/>
    <m/>
    <n v="40"/>
    <m/>
    <m/>
    <m/>
    <m/>
  </r>
  <r>
    <n v="296"/>
    <m/>
    <s v="W13009"/>
    <x v="112"/>
    <s v="A-US"/>
    <s v="美国"/>
    <s v="ANZKIT-W_SJ30ML"/>
    <n v="150"/>
    <x v="2"/>
    <s v="盐田海卡"/>
    <s v="MIT2"/>
    <s v="ANZKIT-W_SJ30ML"/>
    <s v="ANZKIT-W_SJ30ML ANZ白色机器+30mL四季酒店香氛油（天竺） 机油套装"/>
    <s v="ANZ"/>
    <n v="5"/>
    <n v="79.400000000000006"/>
    <s v="重量收费"/>
    <n v="4.2"/>
    <m/>
    <n v="7.2463768115942031"/>
    <n v="340.72637681159421"/>
    <n v="2.2715091787439614"/>
    <n v="0.33903122070805392"/>
    <m/>
    <m/>
    <s v="是"/>
    <x v="16"/>
    <x v="38"/>
    <m/>
    <n v="0.44"/>
    <n v="66"/>
    <d v="2026-05-06T00:00:00"/>
    <n v="39"/>
    <d v="2026-05-15T00:00:00"/>
    <m/>
    <n v="9"/>
    <m/>
    <m/>
    <m/>
    <m/>
  </r>
  <r>
    <n v="297"/>
    <m/>
    <s v="W13011"/>
    <x v="113"/>
    <s v="E-US"/>
    <s v="美国"/>
    <s v="ANZ-B"/>
    <n v="800"/>
    <x v="0"/>
    <s v="以星海卡"/>
    <s v="GEU3"/>
    <s v="ANZ-B"/>
    <s v="ANZ-B 便携式扩香仪 黑色"/>
    <s v="ANZ"/>
    <n v="20"/>
    <n v="287.14"/>
    <s v="重量收费"/>
    <n v="4.9000000000000004"/>
    <n v="200"/>
    <n v="142.85714285714286"/>
    <n v="1549.843142857143"/>
    <n v="1.9373039285714286"/>
    <n v="0.28914984008528782"/>
    <m/>
    <m/>
    <s v="是"/>
    <x v="16"/>
    <x v="41"/>
    <m/>
    <n v="0.36"/>
    <n v="288"/>
    <d v="2026-05-03T00:00:00"/>
    <n v="36"/>
    <d v="2026-06-04T00:00:00"/>
    <m/>
    <n v="32"/>
    <m/>
    <m/>
    <m/>
    <m/>
  </r>
  <r>
    <n v="298"/>
    <m/>
    <s v="W13011"/>
    <x v="114"/>
    <s v="E-US"/>
    <s v="美国"/>
    <s v="ANZKIT-B_4X10K04_TZ"/>
    <n v="240"/>
    <x v="0"/>
    <s v="以星海卡"/>
    <s v="GEU3"/>
    <s v="ANZKIT-B_4X10K04_TZ"/>
    <s v="ANZKIT-B_4X10K04_TZ ANZ黑色机器+4x10mL酒店（天竺）香氛油 机油套装"/>
    <s v="ANZ"/>
    <n v="8"/>
    <n v="114.86"/>
    <s v="重量收费"/>
    <n v="4.9000000000000004"/>
    <n v="200"/>
    <n v="57.142857142857146"/>
    <n v="619.95685714285719"/>
    <n v="2.5831535714285718"/>
    <n v="0.38554530916844354"/>
    <m/>
    <m/>
    <s v="是"/>
    <x v="16"/>
    <x v="41"/>
    <m/>
    <n v="0.44"/>
    <n v="105.6"/>
    <d v="2026-05-03T00:00:00"/>
    <n v="36"/>
    <d v="2026-06-05T00:00:00"/>
    <m/>
    <n v="33"/>
    <m/>
    <m/>
    <m/>
    <m/>
  </r>
  <r>
    <n v="299"/>
    <m/>
    <s v="W13009"/>
    <x v="115"/>
    <s v="E-US"/>
    <s v="美国"/>
    <s v="ANZKIT-B_4X10K04_TZ"/>
    <n v="360"/>
    <x v="2"/>
    <s v="盐田海卡"/>
    <s v="GEU3"/>
    <s v="ANZKIT-B_4X10K04_TZ"/>
    <s v="ANZKIT-B_4X10K04_TZ ANZ黑色机器+4x10mL酒店（天竺）香氛油 机油套装"/>
    <s v="ANZ"/>
    <n v="12"/>
    <n v="192.54545454545456"/>
    <s v="重量收费"/>
    <n v="4.3"/>
    <n v="200"/>
    <n v="17.391304347826086"/>
    <n v="845.33675889328072"/>
    <n v="2.3481576635924464"/>
    <n v="0.35047129307349945"/>
    <m/>
    <m/>
    <s v="是"/>
    <x v="16"/>
    <x v="38"/>
    <m/>
    <n v="0.43999999999999995"/>
    <n v="158.39999999999998"/>
    <d v="2026-05-03T00:00:00"/>
    <n v="36"/>
    <d v="2026-06-07T00:00:00"/>
    <m/>
    <n v="35"/>
    <m/>
    <m/>
    <m/>
    <m/>
  </r>
  <r>
    <n v="300"/>
    <m/>
    <s v="W13009"/>
    <x v="115"/>
    <s v="E-US"/>
    <s v="美国"/>
    <s v="ANZKIT-W_4X10K04_TZ"/>
    <n v="300"/>
    <x v="2"/>
    <s v="盐田海卡"/>
    <s v="GEU3"/>
    <s v="ANZKIT-W_4X10K04_TZ"/>
    <s v="ANZKIT-W_4X10K04_TZ ANZ白色机器+4x10mL酒店（天竺）香氛油 机油套装"/>
    <s v="ANZ"/>
    <n v="10"/>
    <n v="160.45454545454547"/>
    <s v="重量收费"/>
    <n v="4.3"/>
    <n v="200"/>
    <n v="14.492753623188406"/>
    <n v="704.44729907773387"/>
    <n v="2.3481576635924464"/>
    <n v="0.35047129307349945"/>
    <m/>
    <m/>
    <s v="是"/>
    <x v="16"/>
    <x v="38"/>
    <m/>
    <n v="0.43999999999999995"/>
    <n v="131.99999999999997"/>
    <d v="2026-05-03T00:00:00"/>
    <n v="36"/>
    <d v="2026-06-07T00:00:00"/>
    <m/>
    <n v="35"/>
    <m/>
    <m/>
    <m/>
    <m/>
  </r>
  <r>
    <n v="301"/>
    <m/>
    <s v="W13005"/>
    <x v="116"/>
    <s v="E-US"/>
    <s v="美国"/>
    <s v="001000045"/>
    <n v="180"/>
    <x v="7"/>
    <s v="盐田海卡"/>
    <s v="GEU3"/>
    <s v="ANX-B"/>
    <s v="ANX-B 便携式扩香仪 黑色"/>
    <s v="ANX"/>
    <n v="6"/>
    <n v="76.89473684210526"/>
    <s v="重量收费"/>
    <n v="4"/>
    <n v="200"/>
    <n v="12"/>
    <n v="319.57894736842104"/>
    <n v="1.775438596491228"/>
    <n v="0.26499083529719819"/>
    <m/>
    <m/>
    <s v="是"/>
    <x v="16"/>
    <x v="31"/>
    <m/>
    <n v="0.38244604316546765"/>
    <n v="68.840287769784183"/>
    <d v="2026-04-25T00:00:00"/>
    <n v="28"/>
    <d v="2026-06-05T00:00:00"/>
    <m/>
    <n v="41"/>
    <m/>
    <m/>
    <m/>
    <m/>
  </r>
  <r>
    <n v="302"/>
    <m/>
    <s v="W13005"/>
    <x v="116"/>
    <s v="E-US"/>
    <s v="美国"/>
    <s v="001000052"/>
    <n v="210"/>
    <x v="7"/>
    <s v="盐田海卡"/>
    <s v="GEU3"/>
    <s v="ANX-DT"/>
    <s v="ANX-DT 便携式扩香仪 沙漠钛色"/>
    <s v="ANX"/>
    <n v="7"/>
    <n v="89.71052631578948"/>
    <s v="重量收费"/>
    <n v="4"/>
    <n v="200"/>
    <n v="14"/>
    <n v="372.84210526315792"/>
    <n v="1.7754385964912283"/>
    <n v="0.26499083529719825"/>
    <m/>
    <m/>
    <s v="是"/>
    <x v="16"/>
    <x v="31"/>
    <m/>
    <n v="0.38244604316546765"/>
    <n v="80.313669064748211"/>
    <d v="2026-04-25T00:00:00"/>
    <n v="28"/>
    <d v="2026-06-05T00:00:00"/>
    <m/>
    <n v="41"/>
    <m/>
    <m/>
    <m/>
    <m/>
  </r>
  <r>
    <n v="303"/>
    <m/>
    <s v="W13005"/>
    <x v="116"/>
    <s v="E-US"/>
    <s v="美国"/>
    <s v="ANZ-B"/>
    <n v="600"/>
    <x v="7"/>
    <s v="盐田海卡"/>
    <s v="GEU3"/>
    <s v="ANZ-B"/>
    <s v="ANZ-B 便携式扩香仪 黑色"/>
    <s v="ANZ"/>
    <n v="15"/>
    <n v="192.23684210526315"/>
    <s v="重量收费"/>
    <n v="4"/>
    <m/>
    <n v="30"/>
    <n v="798.9473684210526"/>
    <n v="1.331578947368421"/>
    <n v="0.19874312647289866"/>
    <m/>
    <m/>
    <s v="是"/>
    <x v="16"/>
    <x v="31"/>
    <m/>
    <n v="0.38244604316546765"/>
    <n v="229.46762589928059"/>
    <d v="2026-04-25T00:00:00"/>
    <n v="28"/>
    <d v="2026-06-05T00:00:00"/>
    <m/>
    <n v="41"/>
    <m/>
    <m/>
    <m/>
    <m/>
  </r>
  <r>
    <n v="304"/>
    <m/>
    <s v="W13005"/>
    <x v="116"/>
    <s v="E-US"/>
    <s v="美国"/>
    <s v="ANZ-WH"/>
    <n v="400"/>
    <x v="7"/>
    <s v="盐田海卡"/>
    <s v="GEU3"/>
    <s v="ANZ-WH"/>
    <s v="ANZ-WH 便携式扩香仪 白色"/>
    <s v="ANZ"/>
    <n v="10"/>
    <n v="128.15789473684211"/>
    <s v="重量收费"/>
    <n v="4"/>
    <m/>
    <n v="20"/>
    <n v="532.63157894736844"/>
    <n v="1.3315789473684212"/>
    <n v="0.19874312647289868"/>
    <m/>
    <m/>
    <s v="是"/>
    <x v="16"/>
    <x v="31"/>
    <m/>
    <n v="0.38244604316546765"/>
    <n v="152.97841726618705"/>
    <d v="2026-04-25T00:00:00"/>
    <n v="28"/>
    <d v="2026-06-05T00:00:00"/>
    <m/>
    <n v="41"/>
    <m/>
    <m/>
    <m/>
    <m/>
  </r>
  <r>
    <n v="305"/>
    <m/>
    <s v="W13006"/>
    <x v="117"/>
    <s v="E-UK"/>
    <s v="英国"/>
    <s v="AN6-G"/>
    <n v="80"/>
    <x v="2"/>
    <s v="英国海卡"/>
    <s v="BHX4"/>
    <s v="AN6-G"/>
    <s v="AN6-G 便携式扩香仪 灰色"/>
    <s v="AN6"/>
    <n v="2"/>
    <n v="24.5"/>
    <s v="重量收费"/>
    <n v="4.5999999999999996"/>
    <n v="550"/>
    <n v="68.75"/>
    <n v="181.45"/>
    <n v="2.2681249999999999"/>
    <n v="0.33852611940298505"/>
    <n v="635.94000000000005"/>
    <n v="79.492500000000007"/>
    <s v="是"/>
    <x v="16"/>
    <x v="42"/>
    <m/>
    <n v="0"/>
    <n v="0"/>
    <d v="2026-05-18T00:00:00"/>
    <n v="51"/>
    <d v="2026-06-02T00:00:00"/>
    <m/>
    <n v="15"/>
    <m/>
    <m/>
    <m/>
    <m/>
  </r>
  <r>
    <n v="306"/>
    <m/>
    <s v="W13006"/>
    <x v="117"/>
    <s v="E-UK"/>
    <s v="英国"/>
    <s v="001000045"/>
    <n v="210"/>
    <x v="2"/>
    <s v="英国海卡"/>
    <s v="BHX4"/>
    <s v="ANX-B"/>
    <s v="ANX-B 便携式扩香仪 黑色"/>
    <s v="ANX"/>
    <n v="7"/>
    <n v="85.75"/>
    <s v="重量收费"/>
    <n v="4.5999999999999996"/>
    <n v="550"/>
    <n v="240.625"/>
    <n v="635.07500000000005"/>
    <n v="3.0241666666666669"/>
    <n v="0.4513681592039801"/>
    <m/>
    <n v="278.22375"/>
    <s v="是"/>
    <x v="16"/>
    <x v="42"/>
    <m/>
    <n v="0"/>
    <n v="0"/>
    <d v="2026-05-18T00:00:00"/>
    <n v="51"/>
    <d v="2026-06-02T00:00:00"/>
    <m/>
    <n v="15"/>
    <m/>
    <m/>
    <m/>
    <m/>
  </r>
  <r>
    <n v="307"/>
    <m/>
    <s v="W13006"/>
    <x v="117"/>
    <s v="E-UK"/>
    <s v="英国"/>
    <s v="001000052"/>
    <n v="90"/>
    <x v="2"/>
    <s v="英国海卡"/>
    <s v="BHX4"/>
    <s v="ANX-DT"/>
    <s v="ANX-DT 便携式扩香仪 沙漠钛色"/>
    <s v="ANX"/>
    <n v="3"/>
    <n v="36.75"/>
    <s v="重量收费"/>
    <n v="4.5999999999999996"/>
    <m/>
    <n v="103.125"/>
    <n v="272.17499999999995"/>
    <n v="3.024166666666666"/>
    <n v="0.45136815920397999"/>
    <m/>
    <n v="119.23875000000001"/>
    <s v="是"/>
    <x v="16"/>
    <x v="42"/>
    <m/>
    <n v="0"/>
    <n v="0"/>
    <d v="2026-05-18T00:00:00"/>
    <n v="51"/>
    <d v="2026-06-02T00:00:00"/>
    <m/>
    <n v="15"/>
    <m/>
    <m/>
    <m/>
    <m/>
  </r>
  <r>
    <n v="308"/>
    <m/>
    <s v="W13006"/>
    <x v="117"/>
    <s v="E-UK"/>
    <s v="英国"/>
    <s v="001000051"/>
    <n v="60"/>
    <x v="2"/>
    <s v="英国海卡"/>
    <s v="BHX4"/>
    <s v="ANX-SG"/>
    <s v="ANX-SG 便携式扩香仪 太空灰色"/>
    <s v="ANX"/>
    <n v="2"/>
    <n v="24.5"/>
    <s v="重量收费"/>
    <n v="4.5999999999999996"/>
    <m/>
    <n v="68.75"/>
    <n v="181.45"/>
    <n v="3.0241666666666664"/>
    <n v="0.45136815920398005"/>
    <m/>
    <n v="79.492500000000007"/>
    <s v="是"/>
    <x v="16"/>
    <x v="42"/>
    <m/>
    <n v="0"/>
    <n v="0"/>
    <d v="2026-05-18T00:00:00"/>
    <n v="51"/>
    <d v="2026-06-02T00:00:00"/>
    <m/>
    <n v="15"/>
    <m/>
    <m/>
    <m/>
    <m/>
  </r>
  <r>
    <n v="309"/>
    <m/>
    <s v="W13006"/>
    <x v="117"/>
    <s v="E-UK"/>
    <s v="英国"/>
    <s v="001000046"/>
    <n v="60"/>
    <x v="2"/>
    <s v="英国海卡"/>
    <s v="BHX4"/>
    <s v="ANX-SILV"/>
    <s v="ANX-SILV 便携式扩香仪 银色"/>
    <s v="ANX"/>
    <n v="2"/>
    <n v="24.5"/>
    <s v="重量收费"/>
    <n v="4.5999999999999996"/>
    <m/>
    <n v="68.75"/>
    <n v="181.45"/>
    <n v="3.0241666666666664"/>
    <n v="0.45136815920398005"/>
    <m/>
    <n v="79.492500000000007"/>
    <s v="是"/>
    <x v="16"/>
    <x v="42"/>
    <m/>
    <n v="0"/>
    <n v="0"/>
    <d v="2026-05-18T00:00:00"/>
    <n v="51"/>
    <d v="2026-06-02T00:00:00"/>
    <m/>
    <n v="15"/>
    <m/>
    <m/>
    <m/>
    <m/>
  </r>
  <r>
    <n v="310"/>
    <m/>
    <s v="W13007"/>
    <x v="118"/>
    <s v="W-DE"/>
    <s v="德国"/>
    <s v="AN8KIT-B_4X10K05_TZ"/>
    <n v="150"/>
    <x v="0"/>
    <s v="欧洲海卡"/>
    <s v="BER8"/>
    <s v="AN8KIT-B_4X10K05_TZ"/>
    <s v="AN8KIT-B_4X10K05_TZ AN8黑色机器+4x10mL（天竺）酒店香氛油 机油套装"/>
    <s v="AN8"/>
    <n v="5"/>
    <n v="79.5"/>
    <s v="重量收费"/>
    <n v="9.6"/>
    <n v="250"/>
    <n v="125"/>
    <n v="888.19999999999993"/>
    <n v="5.9213333333333331"/>
    <n v="0.88378109452736309"/>
    <m/>
    <m/>
    <m/>
    <x v="17"/>
    <x v="43"/>
    <m/>
    <n v="0"/>
    <n v="0"/>
    <d v="2026-06-03T00:00:00"/>
    <n v="69"/>
    <m/>
    <m/>
    <n v="-46176"/>
    <m/>
    <m/>
    <m/>
    <m/>
  </r>
  <r>
    <n v="311"/>
    <m/>
    <s v="W13007"/>
    <x v="118"/>
    <s v="W-DE"/>
    <s v="德国"/>
    <s v="AN8KIT-WH_4X10K05_TZ"/>
    <n v="90"/>
    <x v="0"/>
    <s v="欧洲海卡"/>
    <s v="BER8"/>
    <s v="AN8KIT-WH_4X10K05_TZ"/>
    <s v="AN8KIT-WH_4X10K05_TZ AN8白色机器+4x10mL（天竺）酒店香氛油 机油套装"/>
    <s v="AN8"/>
    <n v="3"/>
    <n v="47.7"/>
    <s v="重量收费"/>
    <n v="9.6"/>
    <n v="250"/>
    <n v="75"/>
    <n v="532.92000000000007"/>
    <n v="5.921333333333334"/>
    <n v="0.88378109452736331"/>
    <m/>
    <m/>
    <m/>
    <x v="17"/>
    <x v="43"/>
    <m/>
    <n v="0"/>
    <n v="0"/>
    <d v="2026-06-03T00:00:00"/>
    <n v="69"/>
    <m/>
    <m/>
    <n v="-46176"/>
    <m/>
    <m/>
    <m/>
    <m/>
  </r>
  <r>
    <n v="312"/>
    <m/>
    <s v="W13009"/>
    <x v="119"/>
    <s v="A-US"/>
    <s v="美国"/>
    <s v="ANZKIT-B_B"/>
    <n v="160"/>
    <x v="2"/>
    <s v="盐田海卡"/>
    <s v="TCY2"/>
    <s v="ANZKIT-B_B"/>
    <s v="ANZKIT-B_B 便携式扩香仪 黑色 两个装"/>
    <s v="ANZ"/>
    <n v="8"/>
    <n v="104"/>
    <s v="重量收费"/>
    <n v="4.0999999999999996"/>
    <n v="200"/>
    <n v="11.594202898550725"/>
    <n v="437.99420289855072"/>
    <n v="2.7374637681159419"/>
    <n v="0.40857668180834955"/>
    <m/>
    <m/>
    <m/>
    <x v="16"/>
    <x v="38"/>
    <m/>
    <n v="0.44000000000000006"/>
    <n v="70.400000000000006"/>
    <d v="2026-05-02T00:00:00"/>
    <n v="35"/>
    <d v="2026-05-26T00:00:00"/>
    <m/>
    <n v="24"/>
    <m/>
    <m/>
    <m/>
    <m/>
  </r>
  <r>
    <n v="313"/>
    <m/>
    <s v="W13002"/>
    <x v="120"/>
    <s v="W-US"/>
    <s v="美国"/>
    <s v="002000027"/>
    <n v="192"/>
    <x v="7"/>
    <s v="盐田海卡"/>
    <s v="MIT2"/>
    <s v="M1-B"/>
    <s v="M1-B 电子球形把手锁 黑色"/>
    <s v="M1"/>
    <n v="12"/>
    <n v="175.99924528301887"/>
    <s v="重量收费"/>
    <n v="3.9"/>
    <n v="200"/>
    <n v="38.095238095238095"/>
    <n v="724.49229469901161"/>
    <n v="3.7733973682240189"/>
    <n v="0.56319363704836101"/>
    <m/>
    <m/>
    <m/>
    <x v="18"/>
    <x v="34"/>
    <m/>
    <n v="0.55999999999999994"/>
    <n v="107.51999999999998"/>
    <d v="2026-04-26T00:00:00"/>
    <n v="30"/>
    <d v="2026-05-26T00:00:00"/>
    <m/>
    <n v="30"/>
    <m/>
    <m/>
    <m/>
    <m/>
  </r>
  <r>
    <n v="314"/>
    <m/>
    <s v="W13002"/>
    <x v="120"/>
    <s v="W-US"/>
    <s v="美国"/>
    <s v="002000028"/>
    <n v="64"/>
    <x v="7"/>
    <s v="盐田海卡"/>
    <s v="MIT2"/>
    <s v="M1-T"/>
    <s v="M1-T 电子球形把手锁 钛灰色"/>
    <s v="M1"/>
    <n v="4"/>
    <n v="58.666415094339627"/>
    <s v="重量收费"/>
    <n v="3.9"/>
    <n v="200"/>
    <n v="12.698412698412698"/>
    <n v="241.49743156633724"/>
    <n v="3.7733973682240194"/>
    <n v="0.56319363704836112"/>
    <m/>
    <m/>
    <m/>
    <x v="18"/>
    <x v="34"/>
    <m/>
    <n v="0.55999999999999994"/>
    <n v="35.839999999999996"/>
    <d v="2026-04-26T00:00:00"/>
    <n v="30"/>
    <d v="2026-05-26T00:00:00"/>
    <m/>
    <n v="30"/>
    <m/>
    <m/>
    <m/>
    <m/>
  </r>
  <r>
    <n v="315"/>
    <m/>
    <s v="W13002"/>
    <x v="120"/>
    <s v="W-US"/>
    <s v="美国"/>
    <s v="002000029"/>
    <n v="528"/>
    <x v="7"/>
    <s v="盐田海卡"/>
    <s v="MIT2"/>
    <s v="MD1-B"/>
    <s v="MD1-B 电子球形把手锁 指纹 黑色"/>
    <s v="MD1"/>
    <n v="33"/>
    <n v="483.99792452830189"/>
    <s v="重量收费"/>
    <n v="3.9"/>
    <m/>
    <n v="104.76190476190476"/>
    <n v="1992.3538104222821"/>
    <n v="3.7733973682240189"/>
    <n v="0.56319363704836101"/>
    <m/>
    <m/>
    <m/>
    <x v="18"/>
    <x v="34"/>
    <m/>
    <n v="0.55999999999999994"/>
    <n v="295.67999999999995"/>
    <d v="2026-04-26T00:00:00"/>
    <n v="30"/>
    <d v="2026-05-26T00:00:00"/>
    <m/>
    <n v="30"/>
    <m/>
    <m/>
    <m/>
    <m/>
  </r>
  <r>
    <n v="316"/>
    <m/>
    <s v="W13002"/>
    <x v="120"/>
    <s v="W-US"/>
    <s v="美国"/>
    <s v="002000030"/>
    <n v="16"/>
    <x v="7"/>
    <s v="盐田海卡"/>
    <s v="MIT2"/>
    <s v="MD1-T"/>
    <s v="MD1-T 电子球形把手锁 指纹 钛灰色"/>
    <s v="MD1"/>
    <n v="1"/>
    <n v="14.666603773584907"/>
    <s v="重量收费"/>
    <n v="3.9"/>
    <m/>
    <n v="3.1746031746031744"/>
    <n v="60.37435789158431"/>
    <n v="3.7733973682240194"/>
    <n v="0.56319363704836112"/>
    <m/>
    <m/>
    <m/>
    <x v="18"/>
    <x v="34"/>
    <m/>
    <n v="0.55999999999999994"/>
    <n v="8.9599999999999991"/>
    <d v="2026-04-26T00:00:00"/>
    <n v="30"/>
    <d v="2026-05-26T00:00:00"/>
    <m/>
    <n v="30"/>
    <m/>
    <m/>
    <m/>
    <m/>
  </r>
  <r>
    <n v="317"/>
    <m/>
    <s v="W13002"/>
    <x v="120"/>
    <s v="W-US"/>
    <s v="美国"/>
    <s v="002000031"/>
    <n v="32"/>
    <x v="7"/>
    <s v="盐田海卡"/>
    <s v="MIT2"/>
    <s v="MK1-B"/>
    <s v="MK1-B 智能球形把手锁 黑色"/>
    <s v="MK1"/>
    <n v="2"/>
    <n v="29.333207547169813"/>
    <s v="重量收费"/>
    <n v="3.9"/>
    <m/>
    <n v="6.3492063492063489"/>
    <n v="120.74871578316862"/>
    <n v="3.7733973682240194"/>
    <n v="0.56319363704836112"/>
    <m/>
    <m/>
    <m/>
    <x v="18"/>
    <x v="34"/>
    <m/>
    <n v="0.55999999999999994"/>
    <n v="17.919999999999998"/>
    <d v="2026-04-26T00:00:00"/>
    <n v="30"/>
    <d v="2026-05-26T00:00:00"/>
    <m/>
    <n v="30"/>
    <m/>
    <m/>
    <m/>
    <m/>
  </r>
  <r>
    <n v="318"/>
    <m/>
    <s v="W13002"/>
    <x v="120"/>
    <s v="W-US"/>
    <s v="美国"/>
    <s v="002000032"/>
    <n v="16"/>
    <x v="7"/>
    <s v="盐田海卡"/>
    <s v="MIT2"/>
    <s v="MK1-T"/>
    <s v="MK1-T 智能球形把手锁 钛色"/>
    <s v="MK1"/>
    <n v="1"/>
    <n v="14.666603773584907"/>
    <s v="重量收费"/>
    <n v="3.9"/>
    <m/>
    <n v="3.1746031746031744"/>
    <n v="60.37435789158431"/>
    <n v="3.7733973682240194"/>
    <n v="0.56319363704836112"/>
    <m/>
    <m/>
    <m/>
    <x v="18"/>
    <x v="34"/>
    <m/>
    <n v="0.55999999999999994"/>
    <n v="8.9599999999999991"/>
    <d v="2026-04-26T00:00:00"/>
    <n v="30"/>
    <d v="2026-05-26T00:00:00"/>
    <m/>
    <n v="30"/>
    <m/>
    <m/>
    <m/>
    <m/>
  </r>
  <r>
    <n v="319"/>
    <m/>
    <s v="W13004"/>
    <x v="121"/>
    <s v="W-US"/>
    <s v="美国"/>
    <s v="002000027"/>
    <n v="176"/>
    <x v="7"/>
    <s v="以星海卡"/>
    <s v="POC3"/>
    <s v="M1-B"/>
    <s v="M1-B 电子球形把手锁 黑色"/>
    <s v="M1"/>
    <n v="11"/>
    <n v="159"/>
    <s v="重量收费"/>
    <n v="4.3"/>
    <n v="200"/>
    <n v="200"/>
    <n v="883.69999999999993"/>
    <n v="5.0210227272727268"/>
    <n v="0.74940637720488457"/>
    <m/>
    <m/>
    <m/>
    <x v="18"/>
    <x v="35"/>
    <m/>
    <n v="0.56000000000000005"/>
    <n v="98.56"/>
    <d v="2026-04-26T00:00:00"/>
    <n v="30"/>
    <d v="2026-05-31T00:00:00"/>
    <m/>
    <n v="35"/>
    <m/>
    <m/>
    <m/>
    <m/>
  </r>
  <r>
    <n v="320"/>
    <m/>
    <s v="W13002"/>
    <x v="122"/>
    <s v="W-US"/>
    <s v="美国"/>
    <s v="G1-B"/>
    <n v="160"/>
    <x v="7"/>
    <s v="盐田海卡"/>
    <s v="MIT2"/>
    <s v="G1-B"/>
    <s v="G1-B 电子球形把手锁 黑色"/>
    <s v="G1"/>
    <n v="10"/>
    <n v="146.66999999999999"/>
    <s v="重量收费"/>
    <n v="3.9"/>
    <n v="200"/>
    <n v="31.746031746031747"/>
    <n v="603.75903174603172"/>
    <n v="3.7734939484126984"/>
    <n v="0.56320805200189528"/>
    <m/>
    <m/>
    <m/>
    <x v="18"/>
    <x v="34"/>
    <m/>
    <n v="0.55999999999999994"/>
    <n v="89.6"/>
    <d v="2026-04-26T00:00:00"/>
    <n v="30"/>
    <d v="2026-05-17T00:00:00"/>
    <m/>
    <n v="21"/>
    <m/>
    <m/>
    <m/>
    <m/>
  </r>
  <r>
    <n v="321"/>
    <m/>
    <s v="W13003"/>
    <x v="123"/>
    <s v="W-CA"/>
    <s v="加拿大"/>
    <s v="002000027"/>
    <n v="32"/>
    <x v="7"/>
    <s v="加拿大海卡"/>
    <s v="YYZ4"/>
    <s v="M1-B"/>
    <s v="M1-B 电子球形把手锁 黑色"/>
    <s v="M1"/>
    <n v="2"/>
    <n v="29.666666666666668"/>
    <s v="重量收费"/>
    <n v="5"/>
    <n v="350"/>
    <n v="116.66666666666667"/>
    <n v="265"/>
    <n v="8.28125"/>
    <n v="1.2360074626865671"/>
    <m/>
    <m/>
    <m/>
    <x v="18"/>
    <x v="44"/>
    <m/>
    <n v="0"/>
    <n v="0"/>
    <d v="2026-05-09T00:00:00"/>
    <n v="43"/>
    <d v="2026-06-02T00:00:00"/>
    <m/>
    <n v="24"/>
    <m/>
    <m/>
    <m/>
    <m/>
  </r>
  <r>
    <n v="322"/>
    <m/>
    <s v="W13003"/>
    <x v="123"/>
    <s v="W-CA"/>
    <s v="加拿大"/>
    <s v="002000029"/>
    <n v="48"/>
    <x v="7"/>
    <s v="加拿大海卡"/>
    <s v="YYZ4"/>
    <s v="MD1-B"/>
    <s v="MD1-B 电子球形把手锁 指纹 黑色"/>
    <s v="MD1"/>
    <n v="3"/>
    <n v="44.5"/>
    <s v="重量收费"/>
    <n v="5"/>
    <n v="200"/>
    <n v="175"/>
    <n v="397.5"/>
    <n v="8.28125"/>
    <n v="1.2360074626865671"/>
    <m/>
    <m/>
    <m/>
    <x v="18"/>
    <x v="44"/>
    <m/>
    <n v="0"/>
    <n v="0"/>
    <d v="2026-05-09T00:00:00"/>
    <n v="43"/>
    <d v="2026-06-02T00:00:00"/>
    <m/>
    <n v="24"/>
    <m/>
    <m/>
    <m/>
    <m/>
  </r>
  <r>
    <n v="323"/>
    <m/>
    <s v="W13003"/>
    <x v="123"/>
    <s v="W-CA"/>
    <s v="加拿大"/>
    <s v="002000031"/>
    <n v="16"/>
    <x v="7"/>
    <s v="加拿大海卡"/>
    <s v="YYZ4"/>
    <s v="MK1-B"/>
    <s v="MK1-B 智能球形把手锁 黑色"/>
    <s v="MK1"/>
    <n v="1"/>
    <n v="14.833333333333334"/>
    <s v="重量收费"/>
    <n v="5"/>
    <m/>
    <n v="58.333333333333336"/>
    <n v="132.5"/>
    <n v="8.28125"/>
    <n v="1.2360074626865671"/>
    <m/>
    <m/>
    <m/>
    <x v="18"/>
    <x v="44"/>
    <m/>
    <n v="0"/>
    <n v="0"/>
    <d v="2026-05-09T00:00:00"/>
    <n v="43"/>
    <d v="2026-06-02T00:00:00"/>
    <m/>
    <n v="24"/>
    <m/>
    <m/>
    <m/>
    <m/>
  </r>
  <r>
    <n v="324"/>
    <m/>
    <s v="W13008"/>
    <x v="124"/>
    <s v="V-US"/>
    <s v="美国"/>
    <s v="ANWKIT-B_US_2X100K03"/>
    <n v="360"/>
    <x v="0"/>
    <s v="盐田海卡"/>
    <s v="MIT2"/>
    <s v="ANWKIT-B_US_2X100K03"/>
    <s v="ANWKIT-B_US_2X100K03 ANW黑色机器+2X100mL酒店香氛油（天竺） 机油套装"/>
    <s v="ANW"/>
    <n v="30"/>
    <n v="522.45283018867917"/>
    <s v="重量收费"/>
    <n v="4.2"/>
    <n v="200"/>
    <n v="41.095890410958901"/>
    <n v="2235.3977772034114"/>
    <n v="6.2094382700094757"/>
    <n v="0.92678183134469783"/>
    <m/>
    <m/>
    <m/>
    <x v="16"/>
    <x v="40"/>
    <m/>
    <n v="0.56000000000000005"/>
    <n v="201.60000000000002"/>
    <d v="2026-05-05T00:00:00"/>
    <n v="38"/>
    <m/>
    <m/>
    <n v="-46147"/>
    <m/>
    <m/>
    <m/>
    <m/>
  </r>
  <r>
    <n v="325"/>
    <m/>
    <s v="W13008"/>
    <x v="124"/>
    <s v="V-US"/>
    <s v="美国"/>
    <s v="ANWKIT-WH_US_2X100K03"/>
    <n v="276"/>
    <x v="0"/>
    <s v="盐田海卡"/>
    <s v="MIT2"/>
    <s v="ANWKIT-WH_US_2X100K03"/>
    <s v="ANWKIT-WH_US_2X100K03 ANW白色机器+2X100mL酒店香氛油（天竺） 机油套装"/>
    <s v="ANW"/>
    <n v="23"/>
    <n v="400.54716981132071"/>
    <s v="重量收费"/>
    <n v="4.2"/>
    <m/>
    <n v="31.506849315068493"/>
    <n v="1713.8049625226154"/>
    <n v="6.2094382700094757"/>
    <n v="0.92678183134469783"/>
    <m/>
    <m/>
    <m/>
    <x v="16"/>
    <x v="40"/>
    <m/>
    <n v="0.56000000000000005"/>
    <n v="154.56"/>
    <d v="2026-05-05T00:00:00"/>
    <n v="38"/>
    <m/>
    <m/>
    <n v="-46147"/>
    <m/>
    <m/>
    <m/>
    <m/>
  </r>
  <r>
    <n v="326"/>
    <m/>
    <s v="W13012"/>
    <x v="125"/>
    <s v="K-US"/>
    <s v="美国"/>
    <s v="ANPKIT-B_US_3X20K01_TZ"/>
    <n v="192"/>
    <x v="0"/>
    <s v="盐田海卡"/>
    <s v="HLI2"/>
    <s v="ANPKIT-B_US_3X20K01_TZ"/>
    <s v="ANPKIT-B_US_3X20K01_TZ ANP黑色机器+3X20mL酒店香氛油（天竺） 机油套装"/>
    <s v="ANP"/>
    <n v="6"/>
    <n v="120.89999999999999"/>
    <s v="重量收费"/>
    <n v="4.2"/>
    <n v="200"/>
    <n v="60"/>
    <n v="567.78"/>
    <n v="2.9571874999999999"/>
    <n v="0.44137126865671639"/>
    <m/>
    <m/>
    <m/>
    <x v="16"/>
    <x v="40"/>
    <m/>
    <n v="0.42870056497175141"/>
    <n v="82.310508474576267"/>
    <d v="2026-04-29T00:00:00"/>
    <n v="32"/>
    <d v="2026-05-28T00:00:00"/>
    <m/>
    <n v="29"/>
    <m/>
    <m/>
    <m/>
    <m/>
  </r>
  <r>
    <n v="327"/>
    <m/>
    <s v="W13012"/>
    <x v="125"/>
    <s v="K-US"/>
    <s v="美国"/>
    <s v="ANPKIT-WH_US_3X20K01_TZ"/>
    <n v="416"/>
    <x v="0"/>
    <s v="盐田海卡"/>
    <s v="HLI2"/>
    <s v="ANPKIT-WH_US_3X20K01_TZ"/>
    <s v="ANPKIT-WH_US_3X20K01_TZ ANP白色机器+3X20mL酒店香氛油（天竺） 机油套装"/>
    <s v="ANP"/>
    <n v="13"/>
    <n v="261.95"/>
    <s v="重量收费"/>
    <n v="4.2"/>
    <n v="200"/>
    <n v="130"/>
    <n v="1230.19"/>
    <n v="2.9571875000000003"/>
    <n v="0.44137126865671644"/>
    <m/>
    <m/>
    <m/>
    <x v="16"/>
    <x v="40"/>
    <m/>
    <n v="0.42870056497175141"/>
    <n v="178.33943502824857"/>
    <d v="2026-04-29T00:00:00"/>
    <n v="32"/>
    <d v="2026-05-28T00:00:00"/>
    <m/>
    <n v="29"/>
    <m/>
    <m/>
    <m/>
    <m/>
  </r>
  <r>
    <n v="328"/>
    <m/>
    <s v="W13012"/>
    <x v="125"/>
    <s v="K-US"/>
    <s v="美国"/>
    <s v="ANPPJ-BOT"/>
    <n v="100"/>
    <x v="0"/>
    <s v="盐田海卡"/>
    <s v="HLI2"/>
    <s v="ANPPJ-BOT"/>
    <s v="ANPPJ-BOT 墙插式智能扩香仪160mL带盖替换瓶"/>
    <s v="ANP-AC"/>
    <n v="1"/>
    <n v="20.149999999999999"/>
    <s v="重量收费"/>
    <n v="4.2"/>
    <m/>
    <n v="10"/>
    <n v="94.63"/>
    <n v="0.94629999999999992"/>
    <n v="0.14123880597014923"/>
    <m/>
    <m/>
    <m/>
    <x v="16"/>
    <x v="40"/>
    <m/>
    <n v="0.42870056497175141"/>
    <n v="42.870056497175142"/>
    <d v="2026-04-29T00:00:00"/>
    <n v="32"/>
    <d v="2026-05-28T00:00:00"/>
    <m/>
    <n v="29"/>
    <m/>
    <m/>
    <m/>
    <m/>
  </r>
  <r>
    <n v="329"/>
    <m/>
    <s v="W13005"/>
    <x v="126"/>
    <s v="V-US"/>
    <s v="美国"/>
    <s v="001000032"/>
    <n v="180"/>
    <x v="7"/>
    <s v="盐田海卡"/>
    <s v="TCY1"/>
    <s v="ANW-B"/>
    <s v="ANW-B 智能扩香仪 黑色"/>
    <s v="ANW"/>
    <n v="15"/>
    <n v="213.62903225806451"/>
    <s v="重量收费"/>
    <n v="4"/>
    <n v="200"/>
    <n v="30"/>
    <n v="884.51612903225805"/>
    <n v="4.913978494623656"/>
    <n v="0.73342962606323225"/>
    <m/>
    <m/>
    <m/>
    <x v="18"/>
    <x v="31"/>
    <m/>
    <n v="0.50218809980806134"/>
    <n v="90.393857965451048"/>
    <d v="2026-04-30T00:00:00"/>
    <n v="34"/>
    <d v="2026-06-06T00:00:00"/>
    <m/>
    <n v="37"/>
    <m/>
    <m/>
    <m/>
    <m/>
  </r>
  <r>
    <n v="330"/>
    <m/>
    <s v="W13005"/>
    <x v="126"/>
    <s v="V-US"/>
    <s v="美国"/>
    <s v="001000033"/>
    <n v="420"/>
    <x v="7"/>
    <s v="盐田海卡"/>
    <s v="TCY1"/>
    <s v="ANW-W"/>
    <s v="ANW-W 智能扩香仪 白色"/>
    <s v="ANW"/>
    <n v="35"/>
    <n v="498.4677419354839"/>
    <s v="重量收费"/>
    <n v="4"/>
    <n v="200"/>
    <n v="70"/>
    <n v="2063.8709677419356"/>
    <n v="4.913978494623656"/>
    <n v="0.73342962606323225"/>
    <m/>
    <m/>
    <m/>
    <x v="18"/>
    <x v="31"/>
    <m/>
    <n v="0.50218809980806134"/>
    <n v="210.91900191938575"/>
    <d v="2026-04-30T00:00:00"/>
    <n v="34"/>
    <d v="2026-06-06T00:00:00"/>
    <m/>
    <n v="37"/>
    <m/>
    <m/>
    <m/>
    <m/>
  </r>
  <r>
    <n v="331"/>
    <m/>
    <s v="W13005"/>
    <x v="126"/>
    <s v="V-US"/>
    <s v="美国"/>
    <s v="ANP-W_US"/>
    <n v="352"/>
    <x v="7"/>
    <s v="盐田海卡"/>
    <s v="TCY1"/>
    <s v="ANP-W_US"/>
    <s v="ANP-W_US 墙插式智能扩香仪 白色"/>
    <s v="ANP"/>
    <n v="11"/>
    <n v="156.66129032258064"/>
    <s v="重量收费"/>
    <n v="4"/>
    <m/>
    <n v="22"/>
    <n v="648.64516129032256"/>
    <n v="1.842741935483871"/>
    <n v="0.27503610977371207"/>
    <m/>
    <m/>
    <m/>
    <x v="18"/>
    <x v="31"/>
    <m/>
    <n v="0.50218809980806134"/>
    <n v="176.77021113243759"/>
    <d v="2026-04-30T00:00:00"/>
    <n v="34"/>
    <d v="2026-06-06T00:00:00"/>
    <m/>
    <n v="37"/>
    <m/>
    <m/>
    <m/>
    <m/>
  </r>
  <r>
    <n v="332"/>
    <m/>
    <s v="W13005"/>
    <x v="126"/>
    <s v="V-US"/>
    <s v="美国"/>
    <s v="001000056"/>
    <n v="90"/>
    <x v="7"/>
    <s v="盐田海卡"/>
    <s v="TCY1"/>
    <s v="ANW-Wbot"/>
    <s v="ANW-Wbot ANW带盖瓶子 白喷头"/>
    <s v="ANW-AC"/>
    <n v="1"/>
    <n v="14.241935483870968"/>
    <s v="重量收费"/>
    <n v="4"/>
    <m/>
    <n v="2"/>
    <n v="58.967741935483872"/>
    <n v="0.65519713261648749"/>
    <n v="9.7790616808430972E-2"/>
    <m/>
    <m/>
    <m/>
    <x v="18"/>
    <x v="31"/>
    <m/>
    <n v="0.50218809980806134"/>
    <n v="45.196928982725524"/>
    <d v="2026-04-30T00:00:00"/>
    <n v="34"/>
    <d v="2026-06-06T00:00:00"/>
    <m/>
    <n v="37"/>
    <m/>
    <m/>
    <m/>
    <m/>
  </r>
  <r>
    <n v="333"/>
    <m/>
    <s v="W13001"/>
    <x v="127"/>
    <s v="V-US"/>
    <s v="美国"/>
    <s v="006000024"/>
    <n v="1350"/>
    <x v="3"/>
    <s v="盐田海卡"/>
    <s v="TCY2"/>
    <s v="A-RZ3-100"/>
    <s v="A-Ritz Carlton Hotel 3-100 丽思卡尔顿酒店3香氛油100mL"/>
    <s v="Oil-HQ"/>
    <n v="15"/>
    <n v="1"/>
    <s v="CBM收费"/>
    <n v="1180"/>
    <n v="180"/>
    <n v="72.972972972972968"/>
    <n v="1252.9729729729729"/>
    <n v="0.92812812812812806"/>
    <n v="0.13852658628778031"/>
    <m/>
    <m/>
    <m/>
    <x v="18"/>
    <x v="31"/>
    <m/>
    <n v="0.36"/>
    <n v="486"/>
    <d v="2026-04-27T00:00:00"/>
    <n v="31"/>
    <d v="2026-05-25T00:00:00"/>
    <m/>
    <n v="28"/>
    <m/>
    <m/>
    <m/>
    <m/>
  </r>
  <r>
    <n v="334"/>
    <s v="备注跟FBA19987CYJC合并报关"/>
    <s v="W13001"/>
    <x v="128"/>
    <s v="E-US"/>
    <s v="美国"/>
    <s v="HOTEL6KIT1-6X10K01"/>
    <n v="760"/>
    <x v="3"/>
    <s v="盐田海卡"/>
    <s v="POC3"/>
    <s v="HOTEL6KIT1-6X10K01"/>
    <s v="HOTEL6KIT1-6X10K01 酒店香氛油6款10mL套装"/>
    <s v="Oil-HQ"/>
    <n v="10"/>
    <n v="0.49"/>
    <s v="CBM收费"/>
    <n v="1030"/>
    <n v="180"/>
    <n v="48.648648648648646"/>
    <n v="553.34864864864858"/>
    <n v="0.72809032716927446"/>
    <n v="0.10867019808496634"/>
    <m/>
    <m/>
    <m/>
    <x v="18"/>
    <x v="31"/>
    <m/>
    <n v="0.36000000000000004"/>
    <n v="273.60000000000002"/>
    <d v="2026-05-02T00:00:00"/>
    <n v="36"/>
    <d v="2026-06-01T00:00:00"/>
    <m/>
    <n v="30"/>
    <m/>
    <m/>
    <m/>
    <m/>
  </r>
  <r>
    <n v="335"/>
    <s v="送货到天盛广州仓安排跟会七里的货合并计费，备注跟FBA19987CYJC合并报关"/>
    <s v="W13001"/>
    <x v="129"/>
    <s v="E-US"/>
    <s v="美国"/>
    <s v="SJ1-100ML_TZ"/>
    <n v="256"/>
    <x v="3"/>
    <s v="盐田海卡"/>
    <s v="POC3"/>
    <s v="SJ1-100ML_TZ"/>
    <s v="SJ1-100ML_TZ 四季酒店100mL香氛油（天竺） 销售包装"/>
    <s v="Oil-TZ"/>
    <n v="4"/>
    <n v="0.19666666666666666"/>
    <s v="CBM收费"/>
    <n v="1030"/>
    <m/>
    <n v="19.45945945945946"/>
    <n v="222.02612612612612"/>
    <n v="0.86728955518018014"/>
    <n v="0.12944620226569853"/>
    <m/>
    <m/>
    <m/>
    <x v="18"/>
    <x v="31"/>
    <m/>
    <n v="0.36000000000000004"/>
    <n v="92.160000000000011"/>
    <d v="2026-05-02T00:00:00"/>
    <n v="36"/>
    <d v="2026-06-02T00:00:00"/>
    <m/>
    <n v="31"/>
    <m/>
    <m/>
    <m/>
    <m/>
  </r>
  <r>
    <n v="336"/>
    <m/>
    <s v="W13001"/>
    <x v="129"/>
    <s v="E-US"/>
    <s v="美国"/>
    <s v="WST1-100ML_TZ"/>
    <n v="128"/>
    <x v="3"/>
    <s v="盐田海卡"/>
    <s v="POC3"/>
    <s v="WST1-100ML_TZ"/>
    <s v="WST1-100ML_TZ 威斯汀酒店白茶100mL香氛油（天竺） 销售包装"/>
    <s v="Oil-TZ"/>
    <n v="2"/>
    <n v="9.8333333333333328E-2"/>
    <s v="CBM收费"/>
    <n v="1030"/>
    <m/>
    <n v="9.7297297297297298"/>
    <n v="111.01306306306306"/>
    <n v="0.86728955518018014"/>
    <n v="0.12944620226569853"/>
    <m/>
    <m/>
    <m/>
    <x v="18"/>
    <x v="31"/>
    <m/>
    <n v="0.36000000000000004"/>
    <n v="46.080000000000005"/>
    <d v="2026-05-02T00:00:00"/>
    <n v="36"/>
    <d v="2026-06-02T00:00:00"/>
    <m/>
    <n v="31"/>
    <m/>
    <m/>
    <m/>
    <m/>
  </r>
  <r>
    <n v="337"/>
    <m/>
    <s v="W13001"/>
    <x v="129"/>
    <s v="E-US"/>
    <s v="美国"/>
    <s v="HILTON1-100ML_TZ"/>
    <n v="384"/>
    <x v="3"/>
    <s v="盐田海卡"/>
    <s v="POC3"/>
    <s v="HILTON1-100ML_TZ"/>
    <s v="HILTON1-100ML_TZ 希尔顿酒店100mL香氛油（天竺） 销售包装"/>
    <s v="Oil-TZ"/>
    <n v="6"/>
    <n v="0.29499999999999998"/>
    <s v="CBM收费"/>
    <n v="1030"/>
    <m/>
    <n v="29.189189189189189"/>
    <n v="333.03918918918913"/>
    <n v="0.86728955518018003"/>
    <n v="0.1294462022656985"/>
    <m/>
    <m/>
    <m/>
    <x v="18"/>
    <x v="31"/>
    <m/>
    <n v="0.36000000000000004"/>
    <n v="138.24"/>
    <d v="2026-05-02T00:00:00"/>
    <n v="36"/>
    <d v="2026-06-02T00:00:00"/>
    <m/>
    <n v="31"/>
    <m/>
    <m/>
    <m/>
    <m/>
  </r>
  <r>
    <n v="338"/>
    <m/>
    <s v="W13007"/>
    <x v="130"/>
    <s v="W-DE"/>
    <s v="德国"/>
    <s v="003000007"/>
    <n v="72"/>
    <x v="0"/>
    <s v="欧洲海卡"/>
    <s v="BER8"/>
    <s v="AP2F-H14"/>
    <s v="AP2F-H14 空气净化器滤网2-H14"/>
    <s v="AP2F"/>
    <n v="2"/>
    <n v="31.8"/>
    <s v="重量收费"/>
    <n v="9.6"/>
    <n v="250"/>
    <n v="50"/>
    <n v="355.28"/>
    <n v="4.934444444444444"/>
    <n v="0.73648424543946922"/>
    <m/>
    <m/>
    <m/>
    <x v="17"/>
    <x v="43"/>
    <m/>
    <n v="0"/>
    <n v="0"/>
    <d v="2026-06-08T00:00:00"/>
    <n v="74"/>
    <m/>
    <m/>
    <n v="-46181"/>
    <m/>
    <m/>
    <m/>
    <m/>
  </r>
  <r>
    <n v="339"/>
    <m/>
    <s v="W14006"/>
    <x v="131"/>
    <s v="E-US"/>
    <s v="美国"/>
    <s v="ANZKIT-B_4X10K04_TZ"/>
    <n v="810"/>
    <x v="2"/>
    <s v="盐田海卡"/>
    <s v="GEU2"/>
    <s v="ANZKIT-B_4X10K04_TZ"/>
    <s v="ANZKIT-B_4X10K04_TZ ANZ黑色机器+4x10mL酒店（天竺）香氛油 机油套装"/>
    <s v="ANZ"/>
    <n v="27"/>
    <n v="431.49648648648645"/>
    <s v="重量收费"/>
    <n v="3.7"/>
    <n v="200"/>
    <n v="24.107142857142858"/>
    <n v="1620.6441428571429"/>
    <n v="2.0007952380952383"/>
    <n v="0.29862615493958777"/>
    <m/>
    <m/>
    <m/>
    <x v="19"/>
    <x v="45"/>
    <m/>
    <n v="0.44"/>
    <n v="356.4"/>
    <d v="2026-05-09T00:00:00"/>
    <n v="35"/>
    <m/>
    <m/>
    <m/>
    <m/>
    <m/>
    <m/>
    <m/>
  </r>
  <r>
    <n v="340"/>
    <m/>
    <s v="W14006"/>
    <x v="131"/>
    <s v="E-US"/>
    <s v="美国"/>
    <s v="ANZKIT-W_4X10K04_TZ"/>
    <n v="300"/>
    <x v="2"/>
    <s v="盐田海卡"/>
    <s v="GEU2"/>
    <s v="ANZKIT-W_4X10K04_TZ"/>
    <s v="ANZKIT-W_4X10K04_TZ ANZ白色机器+4x10mL酒店（天竺）香氛油 机油套装"/>
    <s v="ANZ"/>
    <n v="10"/>
    <n v="159.8135135135135"/>
    <s v="重量收费"/>
    <n v="3.7"/>
    <n v="200"/>
    <n v="8.9285714285714288"/>
    <n v="600.23857142857139"/>
    <n v="2.0007952380952378"/>
    <n v="0.29862615493958772"/>
    <m/>
    <m/>
    <m/>
    <x v="19"/>
    <x v="45"/>
    <m/>
    <n v="0.44"/>
    <n v="132"/>
    <d v="2026-05-09T00:00:00"/>
    <n v="35"/>
    <m/>
    <m/>
    <m/>
    <m/>
    <m/>
    <m/>
    <m/>
  </r>
  <r>
    <n v="341"/>
    <s v="续页费50"/>
    <s v="W14007"/>
    <x v="132"/>
    <s v="E-US"/>
    <s v="美国"/>
    <s v="001000045"/>
    <n v="450"/>
    <x v="0"/>
    <s v="盐田海卡"/>
    <s v="GEU2"/>
    <s v="ANX-B"/>
    <s v="ANX-B 便携式扩香仪 黑色"/>
    <s v="ANX"/>
    <n v="15"/>
    <n v="202.02073170731708"/>
    <s v="重量收费"/>
    <n v="3.6"/>
    <n v="250"/>
    <n v="26.595744680851062"/>
    <n v="753.87037882719267"/>
    <n v="1.6752675085048725"/>
    <n v="0.25003992664251828"/>
    <m/>
    <m/>
    <m/>
    <x v="19"/>
    <x v="46"/>
    <m/>
    <n v="0.37558441558441558"/>
    <n v="169.012987012987"/>
    <d v="2026-05-02T00:00:00"/>
    <n v="28"/>
    <d v="2026-06-07T00:00:00"/>
    <m/>
    <m/>
    <m/>
    <m/>
    <m/>
    <m/>
  </r>
  <r>
    <n v="342"/>
    <m/>
    <s v="W14007"/>
    <x v="132"/>
    <s v="E-US"/>
    <s v="美国"/>
    <s v="001000051"/>
    <n v="150"/>
    <x v="0"/>
    <s v="盐田海卡"/>
    <s v="GEU2"/>
    <s v="ANX-SG"/>
    <s v="ANX-SG 便携式扩香仪 太空灰色"/>
    <s v="ANX"/>
    <n v="5"/>
    <n v="67.340243902439028"/>
    <s v="重量收费"/>
    <n v="3.6"/>
    <n v="250"/>
    <n v="8.8652482269503547"/>
    <n v="251.29012627573084"/>
    <n v="1.6752675085048723"/>
    <n v="0.25003992664251823"/>
    <m/>
    <m/>
    <m/>
    <x v="19"/>
    <x v="46"/>
    <m/>
    <n v="0.37558441558441558"/>
    <n v="56.337662337662337"/>
    <d v="2026-05-02T00:00:00"/>
    <n v="28"/>
    <d v="2026-06-07T00:00:00"/>
    <m/>
    <m/>
    <m/>
    <m/>
    <m/>
    <m/>
  </r>
  <r>
    <n v="343"/>
    <m/>
    <s v="W14007"/>
    <x v="132"/>
    <s v="E-US"/>
    <s v="美国"/>
    <s v="ANZ-B"/>
    <n v="2000"/>
    <x v="0"/>
    <s v="盐田海卡"/>
    <s v="GEU2"/>
    <s v="ANZ-B"/>
    <s v="ANZ-B 便携式扩香仪 黑色"/>
    <s v="ANZ"/>
    <n v="50"/>
    <n v="673.40243902439033"/>
    <s v="重量收费"/>
    <n v="3.6"/>
    <m/>
    <n v="88.652482269503551"/>
    <n v="2512.9012627573088"/>
    <n v="1.2564506313786543"/>
    <n v="0.18752994498188869"/>
    <m/>
    <m/>
    <m/>
    <x v="19"/>
    <x v="46"/>
    <m/>
    <n v="0.37558441558441558"/>
    <n v="751.16883116883116"/>
    <d v="2026-05-02T00:00:00"/>
    <n v="28"/>
    <d v="2026-06-07T00:00:00"/>
    <m/>
    <m/>
    <m/>
    <m/>
    <m/>
    <m/>
  </r>
  <r>
    <n v="344"/>
    <m/>
    <s v="W14007"/>
    <x v="132"/>
    <s v="E-US"/>
    <s v="美国"/>
    <s v="ANZ-WH"/>
    <n v="480"/>
    <x v="0"/>
    <s v="盐田海卡"/>
    <s v="GEU2"/>
    <s v="ANZ-WH"/>
    <s v="ANZ-WH 便携式扩香仪 白色"/>
    <s v="ANZ"/>
    <n v="12"/>
    <n v="161.61658536585367"/>
    <s v="重量收费"/>
    <n v="3.6"/>
    <m/>
    <n v="21.276595744680851"/>
    <n v="603.09630306175416"/>
    <n v="1.2564506313786545"/>
    <n v="0.18752994498188874"/>
    <m/>
    <m/>
    <m/>
    <x v="19"/>
    <x v="46"/>
    <m/>
    <n v="0.37558441558441558"/>
    <n v="180.28051948051947"/>
    <d v="2026-05-02T00:00:00"/>
    <n v="28"/>
    <d v="2026-06-07T00:00:00"/>
    <m/>
    <m/>
    <m/>
    <m/>
    <m/>
    <m/>
  </r>
  <r>
    <n v="345"/>
    <m/>
    <s v="W14007"/>
    <x v="133"/>
    <s v="A-US"/>
    <s v="美国"/>
    <s v="ANZKIT-B_B"/>
    <n v="100"/>
    <x v="0"/>
    <s v="盐田海卡"/>
    <s v="GEU2"/>
    <s v="ANZKIT-B_B"/>
    <s v="ANZKIT-B_B 便携式扩香仪 黑色 两个装"/>
    <s v="ANZ"/>
    <n v="5"/>
    <n v="67.34"/>
    <s v="重量收费"/>
    <n v="3.6"/>
    <m/>
    <n v="8.8652482269503547"/>
    <n v="251.28924822695035"/>
    <n v="2.5128924822695033"/>
    <n v="0.37505857944320947"/>
    <m/>
    <m/>
    <m/>
    <x v="19"/>
    <x v="46"/>
    <m/>
    <n v="0.44"/>
    <n v="44"/>
    <d v="2026-05-02T00:00:00"/>
    <n v="28"/>
    <d v="2026-06-03T00:00:00"/>
    <m/>
    <m/>
    <m/>
    <m/>
    <m/>
    <m/>
  </r>
  <r>
    <n v="346"/>
    <m/>
    <s v="W14006"/>
    <x v="134"/>
    <s v="V-US"/>
    <s v="美国"/>
    <s v="AN6KIT-B_4X10K04_TZ"/>
    <n v="420"/>
    <x v="2"/>
    <s v="盐田海卡"/>
    <s v="GEU2"/>
    <s v="AN6KIT-B_4X10K04_TZ"/>
    <s v="AN6KIT-B_4X10K04_TZ AN6黑色机器+4x10mL酒店（天竺）香氛油 机油套装"/>
    <s v="AN6"/>
    <n v="14"/>
    <n v="223.73919354838711"/>
    <s v="重量收费"/>
    <n v="3.7"/>
    <n v="200"/>
    <n v="12.5"/>
    <n v="840.33501612903228"/>
    <n v="2.000797657450077"/>
    <n v="0.29862651603732493"/>
    <m/>
    <m/>
    <m/>
    <x v="19"/>
    <x v="45"/>
    <m/>
    <n v="0.44"/>
    <n v="184.8"/>
    <d v="2026-05-09T00:00:00"/>
    <n v="35"/>
    <m/>
    <m/>
    <m/>
    <m/>
    <m/>
    <m/>
    <m/>
  </r>
  <r>
    <n v="347"/>
    <m/>
    <s v="W14006"/>
    <x v="134"/>
    <s v="V-US"/>
    <s v="美国"/>
    <s v="AN8KIT-B_4X10K05_TZ"/>
    <n v="3300"/>
    <x v="2"/>
    <s v="盐田海卡"/>
    <s v="GEU2"/>
    <s v="AN8KIT-B_4X10K05_TZ"/>
    <s v="AN8KIT-B_4X10K05_TZ AN8黑色机器+4x10mL（天竺）酒店香氛油 机油套装"/>
    <s v="AN8"/>
    <n v="110"/>
    <n v="1757.9508064516131"/>
    <s v="重量收费"/>
    <n v="3.7"/>
    <n v="200"/>
    <n v="98.214285714285708"/>
    <n v="6602.6322695852541"/>
    <n v="2.000797657450077"/>
    <n v="0.29862651603732493"/>
    <m/>
    <m/>
    <m/>
    <x v="19"/>
    <x v="45"/>
    <m/>
    <n v="0.44"/>
    <n v="1452"/>
    <d v="2026-05-09T00:00:00"/>
    <n v="35"/>
    <m/>
    <m/>
    <m/>
    <m/>
    <m/>
    <m/>
    <m/>
  </r>
  <r>
    <n v="348"/>
    <m/>
    <s v="W14007"/>
    <x v="135"/>
    <s v="V-US"/>
    <s v="美国"/>
    <s v="001000019"/>
    <n v="1000"/>
    <x v="0"/>
    <s v="盐田海卡"/>
    <s v="GEU2"/>
    <s v="AN6-B"/>
    <s v="AN6-B 便携式扩香仪 黑色"/>
    <s v="AN6"/>
    <n v="25"/>
    <n v="336.7037037037037"/>
    <s v="重量收费"/>
    <n v="3.6"/>
    <n v="250"/>
    <n v="44.326241134751776"/>
    <n v="1256.4595744680853"/>
    <n v="1.2564595744680853"/>
    <n v="0.187531279771356"/>
    <m/>
    <m/>
    <m/>
    <x v="19"/>
    <x v="46"/>
    <m/>
    <n v="0.36672897196261678"/>
    <n v="366.72897196261675"/>
    <d v="2026-05-02T00:00:00"/>
    <n v="28"/>
    <d v="2026-06-06T00:00:00"/>
    <m/>
    <m/>
    <m/>
    <m/>
    <m/>
    <m/>
  </r>
  <r>
    <n v="349"/>
    <m/>
    <s v="W14007"/>
    <x v="135"/>
    <s v="V-US"/>
    <s v="美国"/>
    <s v="001000039"/>
    <n v="240"/>
    <x v="0"/>
    <s v="盐田海卡"/>
    <s v="GEU2"/>
    <s v="AN6-GL"/>
    <s v="AN6-GL 便携式扩香仪 翠百合色"/>
    <s v="AN6"/>
    <n v="6"/>
    <n v="80.808888888888887"/>
    <s v="重量收费"/>
    <n v="3.6"/>
    <n v="250"/>
    <n v="10.638297872340425"/>
    <n v="301.55029787234042"/>
    <n v="1.2564595744680851"/>
    <n v="0.18753127977135597"/>
    <m/>
    <m/>
    <m/>
    <x v="19"/>
    <x v="46"/>
    <m/>
    <n v="0.36672897196261678"/>
    <n v="88.01495327102802"/>
    <d v="2026-05-02T00:00:00"/>
    <n v="28"/>
    <d v="2026-06-06T00:00:00"/>
    <m/>
    <m/>
    <m/>
    <m/>
    <m/>
    <m/>
  </r>
  <r>
    <n v="350"/>
    <m/>
    <s v="W14007"/>
    <x v="135"/>
    <s v="V-US"/>
    <s v="美国"/>
    <s v="AN8-B"/>
    <n v="320"/>
    <x v="0"/>
    <s v="盐田海卡"/>
    <s v="GEU2"/>
    <s v="AN8-B"/>
    <s v="AN8-B 便携式扩香仪 黑色"/>
    <s v="AN8"/>
    <n v="8"/>
    <n v="107.74518518518518"/>
    <s v="重量收费"/>
    <n v="3.6"/>
    <m/>
    <n v="14.184397163120567"/>
    <n v="402.06706382978723"/>
    <n v="1.2564595744680851"/>
    <n v="0.18753127977135597"/>
    <m/>
    <m/>
    <m/>
    <x v="19"/>
    <x v="46"/>
    <m/>
    <n v="0.36672897196261678"/>
    <n v="117.35327102803737"/>
    <d v="2026-05-02T00:00:00"/>
    <n v="28"/>
    <d v="2026-06-06T00:00:00"/>
    <m/>
    <m/>
    <m/>
    <m/>
    <m/>
    <m/>
  </r>
  <r>
    <n v="351"/>
    <m/>
    <s v="W14007"/>
    <x v="135"/>
    <s v="V-US"/>
    <s v="美国"/>
    <s v="AN8KIT-B_B"/>
    <n v="180"/>
    <x v="0"/>
    <s v="盐田海卡"/>
    <s v="GEU2"/>
    <s v="AN8KIT-B_B"/>
    <s v="AN8KIT-B_B 便携式扩香仪套装 黑+黑"/>
    <s v="AN8"/>
    <n v="9"/>
    <n v="121.21333333333332"/>
    <s v="重量收费"/>
    <n v="3.6"/>
    <m/>
    <n v="15.957446808510639"/>
    <n v="452.32544680851061"/>
    <n v="2.5129191489361702"/>
    <n v="0.37506255954271195"/>
    <m/>
    <m/>
    <m/>
    <x v="19"/>
    <x v="46"/>
    <m/>
    <n v="0.36672897196261678"/>
    <n v="66.011214953271022"/>
    <d v="2026-05-02T00:00:00"/>
    <n v="28"/>
    <d v="2026-06-06T00:00:00"/>
    <m/>
    <m/>
    <m/>
    <m/>
    <m/>
    <m/>
  </r>
  <r>
    <n v="352"/>
    <m/>
    <s v="W14007"/>
    <x v="135"/>
    <s v="V-US"/>
    <s v="美国"/>
    <s v="AN8-WH"/>
    <n v="200"/>
    <x v="0"/>
    <s v="盐田海卡"/>
    <s v="GEU2"/>
    <s v="AN8-WH"/>
    <s v="AN8-WH 便携式扩香仪 白色"/>
    <s v="AN8"/>
    <n v="5"/>
    <n v="67.340740740740742"/>
    <s v="重量收费"/>
    <n v="3.6"/>
    <m/>
    <n v="8.8652482269503547"/>
    <n v="251.29191489361702"/>
    <n v="1.2564595744680851"/>
    <n v="0.18753127977135597"/>
    <m/>
    <m/>
    <m/>
    <x v="19"/>
    <x v="46"/>
    <m/>
    <n v="0.36672897196261678"/>
    <n v="73.345794392523359"/>
    <d v="2026-05-02T00:00:00"/>
    <n v="28"/>
    <d v="2026-06-06T00:00:00"/>
    <m/>
    <m/>
    <m/>
    <m/>
    <m/>
    <m/>
  </r>
  <r>
    <n v="353"/>
    <m/>
    <s v="W14007"/>
    <x v="135"/>
    <s v="V-US"/>
    <s v="美国"/>
    <s v="AN8NZ-B"/>
    <n v="200"/>
    <x v="0"/>
    <s v="盐田海卡"/>
    <s v="GEU2"/>
    <s v="AN8NZ-B"/>
    <s v="AN8NZ-B AN8(Z)喷嘴配件套装 黑色"/>
    <s v="AN8-AC"/>
    <n v="1"/>
    <n v="13.468148148148147"/>
    <s v="重量收费"/>
    <n v="3.6"/>
    <m/>
    <n v="1.7730496453900708"/>
    <n v="50.258382978723404"/>
    <n v="0.25129191489361702"/>
    <n v="3.7506255954271199E-2"/>
    <m/>
    <m/>
    <m/>
    <x v="19"/>
    <x v="46"/>
    <m/>
    <n v="0.36672897196261678"/>
    <n v="73.345794392523359"/>
    <d v="2026-05-02T00:00:00"/>
    <n v="28"/>
    <d v="2026-06-06T00:00:00"/>
    <m/>
    <m/>
    <m/>
    <m/>
    <m/>
    <m/>
  </r>
  <r>
    <n v="354"/>
    <m/>
    <s v="W14002"/>
    <x v="136"/>
    <s v="K-US"/>
    <s v="美国"/>
    <s v="RDX-B_US"/>
    <n v="90"/>
    <x v="2"/>
    <s v="盐田海卡"/>
    <s v="TCY1"/>
    <s v="RDX-B_US"/>
    <s v="RDX-B_US 智能扩香仪 黑色"/>
    <s v="RDX"/>
    <n v="10"/>
    <n v="151.80000000000001"/>
    <s v="重量收费"/>
    <n v="4.8"/>
    <n v="200"/>
    <n v="36.363636363636367"/>
    <n v="765.00363636363636"/>
    <n v="8.5000404040404032"/>
    <n v="1.268662746871702"/>
    <m/>
    <m/>
    <m/>
    <x v="19"/>
    <x v="45"/>
    <m/>
    <n v="0.7"/>
    <n v="62.999999999999993"/>
    <d v="2026-05-09T00:00:00"/>
    <n v="35"/>
    <m/>
    <m/>
    <m/>
    <m/>
    <m/>
    <m/>
    <m/>
  </r>
  <r>
    <n v="355"/>
    <m/>
    <s v="W14002"/>
    <x v="136"/>
    <s v="K-US"/>
    <s v="美国"/>
    <s v="RDXKIT-B_US_2X100K04"/>
    <n v="360"/>
    <x v="2"/>
    <s v="盐田海卡"/>
    <s v="TCY1"/>
    <s v="RDXKIT-B_US_2X100K04"/>
    <s v="RDXKIT-B_US_2X100K04 RDX黑色机器+2X100mL酒店香氛油（天竺） 机油套装"/>
    <s v="RDX"/>
    <n v="40"/>
    <n v="607.20000000000005"/>
    <s v="重量收费"/>
    <n v="4.8"/>
    <n v="200"/>
    <n v="145.45454545454547"/>
    <n v="3060.0145454545454"/>
    <n v="8.5000404040404032"/>
    <n v="1.268662746871702"/>
    <m/>
    <m/>
    <m/>
    <x v="19"/>
    <x v="45"/>
    <m/>
    <n v="0.7"/>
    <n v="251.99999999999997"/>
    <d v="2026-05-09T00:00:00"/>
    <n v="35"/>
    <m/>
    <m/>
    <m/>
    <m/>
    <m/>
    <m/>
    <m/>
  </r>
  <r>
    <n v="356"/>
    <m/>
    <s v="W14001"/>
    <x v="137"/>
    <s v="W-US"/>
    <s v="美国"/>
    <s v="G1-B"/>
    <n v="592"/>
    <x v="3"/>
    <s v="美森海卡"/>
    <s v="POC1"/>
    <s v="G1-B"/>
    <s v="G1-B 电子球形把手锁 黑色"/>
    <s v="G1"/>
    <n v="37"/>
    <n v="1.6217021276595744"/>
    <s v="CBM收费"/>
    <n v="1890"/>
    <n v="180"/>
    <n v="141.70212765957447"/>
    <n v="3206.7191489361703"/>
    <n v="5.4167553191489359"/>
    <n v="0.80847094315655754"/>
    <m/>
    <m/>
    <m/>
    <x v="20"/>
    <x v="38"/>
    <m/>
    <n v="0.56000000000000005"/>
    <n v="331.52000000000004"/>
    <d v="2026-04-24T00:00:00"/>
    <n v="21"/>
    <d v="2026-05-28T00:00:00"/>
    <m/>
    <m/>
    <m/>
    <m/>
    <m/>
    <m/>
  </r>
  <r>
    <n v="357"/>
    <m/>
    <s v="W14001"/>
    <x v="137"/>
    <s v="W-US"/>
    <s v="美国"/>
    <s v="G1-SILV"/>
    <n v="160"/>
    <x v="3"/>
    <s v="美森海卡"/>
    <s v="POC1"/>
    <s v="G1-SILV"/>
    <s v="G1-SILV 电子球形把手锁 银色"/>
    <s v="G1"/>
    <n v="10"/>
    <n v="0.4382978723404255"/>
    <s v="CBM收费"/>
    <n v="1890"/>
    <n v="180"/>
    <n v="38.297872340425535"/>
    <n v="866.68085106382978"/>
    <n v="5.4167553191489359"/>
    <n v="0.80847094315655754"/>
    <m/>
    <m/>
    <m/>
    <x v="20"/>
    <x v="38"/>
    <m/>
    <n v="0.56000000000000005"/>
    <n v="89.600000000000009"/>
    <d v="2026-04-24T00:00:00"/>
    <n v="21"/>
    <d v="2026-05-28T00:00:00"/>
    <m/>
    <m/>
    <m/>
    <m/>
    <m/>
    <m/>
  </r>
  <r>
    <n v="358"/>
    <m/>
    <s v="W14005"/>
    <x v="138"/>
    <s v="W-US"/>
    <s v="美国"/>
    <s v="G1-B"/>
    <n v="304"/>
    <x v="7"/>
    <s v="盐田海卡"/>
    <s v="POC1"/>
    <s v="G1-B"/>
    <s v="G1-B 电子球形把手锁 黑色"/>
    <s v="G1"/>
    <n v="19"/>
    <n v="256"/>
    <s v="重量收费"/>
    <n v="3.2"/>
    <n v="200"/>
    <n v="200"/>
    <n v="1019.2"/>
    <n v="3.3526315789473684"/>
    <n v="0.50039277297721918"/>
    <m/>
    <m/>
    <m/>
    <x v="20"/>
    <x v="46"/>
    <m/>
    <n v="0.56000000000000005"/>
    <n v="170.24"/>
    <d v="2026-05-11T00:00:00"/>
    <n v="38"/>
    <m/>
    <m/>
    <m/>
    <m/>
    <m/>
    <m/>
    <m/>
  </r>
  <r>
    <n v="359"/>
    <m/>
    <s v="W14006"/>
    <x v="139"/>
    <s v="V-US"/>
    <s v="美国"/>
    <s v="001000032"/>
    <n v="240"/>
    <x v="2"/>
    <s v="盐田海卡"/>
    <s v="GEU2"/>
    <s v="ANW-B"/>
    <s v="ANW-B 智能扩香仪 黑色"/>
    <s v="ANW"/>
    <n v="20"/>
    <n v="286.34827586206893"/>
    <s v="重量收费"/>
    <n v="4.5"/>
    <n v="200"/>
    <n v="17.857142857142858"/>
    <n v="1306.4243842364531"/>
    <n v="5.4434349343185549"/>
    <n v="0.81245297527142613"/>
    <m/>
    <m/>
    <m/>
    <x v="20"/>
    <x v="45"/>
    <m/>
    <n v="0.55999999999999994"/>
    <n v="134.39999999999998"/>
    <d v="2026-05-14T00:00:00"/>
    <n v="41"/>
    <m/>
    <m/>
    <m/>
    <m/>
    <m/>
    <m/>
    <m/>
  </r>
  <r>
    <n v="360"/>
    <m/>
    <s v="W14006"/>
    <x v="139"/>
    <s v="V-US"/>
    <s v="美国"/>
    <s v="001000033"/>
    <n v="456"/>
    <x v="2"/>
    <s v="盐田海卡"/>
    <s v="GEU2"/>
    <s v="ANW-W"/>
    <s v="ANW-W 智能扩香仪 白色"/>
    <s v="ANW"/>
    <n v="38"/>
    <n v="544.06172413793104"/>
    <s v="重量收费"/>
    <n v="4.5"/>
    <n v="200"/>
    <n v="33.928571428571431"/>
    <n v="2482.2063300492614"/>
    <n v="5.4434349343185557"/>
    <n v="0.81245297527142624"/>
    <m/>
    <m/>
    <m/>
    <x v="20"/>
    <x v="45"/>
    <m/>
    <n v="0.55999999999999994"/>
    <n v="255.35999999999999"/>
    <d v="2026-05-14T00:00:00"/>
    <n v="41"/>
    <m/>
    <m/>
    <m/>
    <m/>
    <m/>
    <m/>
    <m/>
  </r>
  <r>
    <n v="361"/>
    <m/>
    <s v="W14002"/>
    <x v="140"/>
    <s v="K-US"/>
    <s v="美国"/>
    <s v="ANPKIT-WH_US_3X20K01_TZ"/>
    <n v="160"/>
    <x v="2"/>
    <s v="盐田海卡"/>
    <s v="GEU2"/>
    <s v="ANPKIT-WH_US_3X20K01_TZ"/>
    <s v="ANPKIT-WH_US_3X20K01_TZ ANP白色机器+3X20mL酒店香氛油（天竺） 机油套装"/>
    <s v="ANP"/>
    <n v="5"/>
    <n v="84"/>
    <s v="重量收费"/>
    <n v="4.5"/>
    <n v="200"/>
    <n v="18.181818181818183"/>
    <n v="396.18181818181819"/>
    <n v="2.4761363636363636"/>
    <n v="0.36957259158751693"/>
    <m/>
    <m/>
    <m/>
    <x v="20"/>
    <x v="45"/>
    <m/>
    <n v="0.44000000000000006"/>
    <n v="70.400000000000006"/>
    <d v="2026-05-05T00:00:00"/>
    <n v="32"/>
    <d v="2026-06-04T00:00:00"/>
    <m/>
    <m/>
    <m/>
    <m/>
    <m/>
    <m/>
  </r>
  <r>
    <n v="362"/>
    <m/>
    <s v="W14006"/>
    <x v="141"/>
    <s v="V-US"/>
    <s v="美国"/>
    <s v="ANP-W_US"/>
    <n v="160"/>
    <x v="2"/>
    <s v="盐田海卡"/>
    <s v="GEU2"/>
    <s v="ANP-W_US"/>
    <s v="ANP-W_US 墙插式智能扩香仪 白色"/>
    <s v="ANP"/>
    <n v="5"/>
    <n v="71.59"/>
    <s v="重量收费"/>
    <n v="4.5"/>
    <n v="200"/>
    <n v="4.4642857142857144"/>
    <n v="326.61928571428575"/>
    <n v="2.0413705357142859"/>
    <n v="0.30468216950959492"/>
    <m/>
    <m/>
    <m/>
    <x v="20"/>
    <x v="45"/>
    <m/>
    <n v="0.44000000000000006"/>
    <n v="70.400000000000006"/>
    <d v="2026-05-16T00:00:00"/>
    <n v="43"/>
    <m/>
    <m/>
    <m/>
    <m/>
    <m/>
    <m/>
    <m/>
  </r>
  <r>
    <n v="363"/>
    <m/>
    <s v="W14004"/>
    <x v="142"/>
    <s v="E-US"/>
    <s v="美国"/>
    <s v="BLG1-100ML"/>
    <n v="180"/>
    <x v="3"/>
    <s v="盐田海卡"/>
    <s v="POC3"/>
    <s v="BLG1-100ML"/>
    <s v="BLG1-100ML 百乐宫酒店香氛油100mL"/>
    <s v="Oil-HQ"/>
    <n v="2"/>
    <n v="9.3333333333333338E-2"/>
    <s v="CBM收费"/>
    <n v="1030"/>
    <n v="180"/>
    <n v="12.857142857142858"/>
    <n v="108.9904761904762"/>
    <n v="0.60550264550264554"/>
    <n v="9.0373529179499326E-2"/>
    <m/>
    <m/>
    <m/>
    <x v="21"/>
    <x v="46"/>
    <m/>
    <n v="0.36"/>
    <n v="64.8"/>
    <d v="2026-05-14T00:00:00"/>
    <n v="42"/>
    <m/>
    <m/>
    <m/>
    <m/>
    <m/>
    <m/>
    <m/>
  </r>
  <r>
    <n v="364"/>
    <m/>
    <s v="W14004"/>
    <x v="142"/>
    <s v="E-US"/>
    <s v="美国"/>
    <s v="MWAY1-100ML"/>
    <n v="90"/>
    <x v="3"/>
    <s v="盐田海卡"/>
    <s v="POC3"/>
    <s v="A-MWAY-100"/>
    <s v="A-MWAY Deluxe-100 特定香型香氛油100mL"/>
    <s v="Oil-HQ"/>
    <n v="1"/>
    <n v="4.6666666666666669E-2"/>
    <s v="CBM收费"/>
    <n v="1030"/>
    <n v="180"/>
    <n v="6.4285714285714288"/>
    <n v="54.495238095238101"/>
    <n v="0.60550264550264554"/>
    <n v="9.0373529179499326E-2"/>
    <m/>
    <m/>
    <m/>
    <x v="21"/>
    <x v="46"/>
    <m/>
    <n v="0.36"/>
    <n v="32.4"/>
    <d v="2026-05-14T00:00:00"/>
    <n v="42"/>
    <m/>
    <m/>
    <m/>
    <m/>
    <m/>
    <m/>
    <m/>
  </r>
  <r>
    <n v="365"/>
    <m/>
    <s v="W14004"/>
    <x v="142"/>
    <s v="E-US"/>
    <s v="美国"/>
    <s v="006000026"/>
    <n v="270"/>
    <x v="3"/>
    <s v="盐田海卡"/>
    <s v="POC3"/>
    <s v="A-MT-100"/>
    <s v="A-Marriott Hotel 1-100 万豪酒店1香氛油100mL"/>
    <s v="Oil-HQ"/>
    <n v="3"/>
    <n v="0.14000000000000001"/>
    <s v="CBM收费"/>
    <n v="1030"/>
    <m/>
    <n v="19.285714285714285"/>
    <n v="163.48571428571429"/>
    <n v="0.60550264550264554"/>
    <n v="9.0373529179499326E-2"/>
    <m/>
    <m/>
    <m/>
    <x v="21"/>
    <x v="46"/>
    <m/>
    <n v="0.36"/>
    <n v="97.2"/>
    <d v="2026-05-14T00:00:00"/>
    <n v="42"/>
    <m/>
    <m/>
    <m/>
    <m/>
    <m/>
    <m/>
    <m/>
  </r>
  <r>
    <n v="366"/>
    <m/>
    <s v="W14004"/>
    <x v="143"/>
    <s v="V-US"/>
    <s v="美国"/>
    <s v="006000024"/>
    <n v="630"/>
    <x v="3"/>
    <s v="盐田海卡"/>
    <s v="POC3"/>
    <s v="A-RZ3-100"/>
    <s v="A-Ritz Carlton Hotel 3-100 丽思卡尔顿酒店3香氛油100mL"/>
    <s v="Oil-HQ"/>
    <n v="7"/>
    <n v="0.32200000000000001"/>
    <s v="CBM收费"/>
    <n v="1030"/>
    <m/>
    <n v="45"/>
    <n v="376.66"/>
    <n v="0.59787301587301589"/>
    <n v="8.9234778488509831E-2"/>
    <m/>
    <m/>
    <m/>
    <x v="21"/>
    <x v="46"/>
    <m/>
    <n v="0.3669565217391304"/>
    <n v="231.18260869565216"/>
    <d v="2026-05-14T00:00:00"/>
    <n v="42"/>
    <m/>
    <m/>
    <m/>
    <m/>
    <m/>
    <m/>
    <m/>
  </r>
  <r>
    <n v="367"/>
    <m/>
    <s v="W14004"/>
    <x v="143"/>
    <s v="V-US"/>
    <s v="美国"/>
    <s v="RZ-500ML"/>
    <n v="60"/>
    <x v="3"/>
    <s v="盐田海卡"/>
    <s v="POC3"/>
    <s v="RZ-500ML"/>
    <s v="RZ-500ML 丽思卡尔顿酒店3香氛油500mL"/>
    <s v="Oil-HQ"/>
    <n v="3"/>
    <n v="0.13800000000000001"/>
    <s v="CBM收费"/>
    <n v="1030"/>
    <m/>
    <n v="19.285714285714285"/>
    <n v="161.42571428571429"/>
    <n v="2.6904285714285714"/>
    <n v="0.40155650319829422"/>
    <m/>
    <m/>
    <m/>
    <x v="21"/>
    <x v="46"/>
    <m/>
    <n v="0.3669565217391304"/>
    <n v="22.017391304347825"/>
    <d v="2026-05-14T00:00:00"/>
    <n v="42"/>
    <m/>
    <m/>
    <m/>
    <m/>
    <m/>
    <m/>
    <m/>
  </r>
  <r>
    <n v="368"/>
    <s v="跟上周一样，拉到广州仓库去合并下单，报关"/>
    <s v="W14004"/>
    <x v="144"/>
    <s v="E-US"/>
    <s v="美国"/>
    <s v="BCRT1-100ML_TZ"/>
    <n v="192"/>
    <x v="3"/>
    <s v="盐田海卡"/>
    <s v="POC3"/>
    <s v="BCRT1-100ML_TZ"/>
    <s v="BCRT1-100ML_TZ 巴卡拉酒店100mL香氛油（天竺） 销售包装"/>
    <s v="Oil-TZ"/>
    <n v="3"/>
    <n v="0.13750000000000001"/>
    <s v="CBM收费"/>
    <n v="1030"/>
    <m/>
    <n v="19.285714285714285"/>
    <n v="160.91071428571428"/>
    <n v="0.83807663690476186"/>
    <n v="0.12508606520966595"/>
    <m/>
    <m/>
    <m/>
    <x v="20"/>
    <x v="46"/>
    <m/>
    <n v="0.36000000000000004"/>
    <n v="69.12"/>
    <d v="2026-05-09T00:00:00"/>
    <n v="36"/>
    <d v="2026-06-08T00:00:00"/>
    <m/>
    <m/>
    <m/>
    <m/>
    <m/>
    <m/>
  </r>
  <r>
    <n v="369"/>
    <m/>
    <s v="W14004"/>
    <x v="144"/>
    <s v="E-US"/>
    <s v="美国"/>
    <s v="W1-100ML_TZ"/>
    <n v="128"/>
    <x v="3"/>
    <s v="盐田海卡"/>
    <s v="POC3"/>
    <s v="W1-100ML_TZ"/>
    <s v="W1-100ML_TZ W酒店100mL香氛油（天竺） 销售包装"/>
    <s v="Oil-TZ"/>
    <n v="2"/>
    <n v="9.1666666666666674E-2"/>
    <s v="CBM收费"/>
    <n v="1030"/>
    <m/>
    <n v="12.857142857142858"/>
    <n v="107.27380952380953"/>
    <n v="0.83807663690476197"/>
    <n v="0.12508606520966598"/>
    <m/>
    <m/>
    <m/>
    <x v="20"/>
    <x v="46"/>
    <m/>
    <n v="0.36000000000000004"/>
    <n v="46.080000000000005"/>
    <d v="2026-05-09T00:00:00"/>
    <n v="36"/>
    <d v="2026-06-08T00:00:00"/>
    <m/>
    <m/>
    <m/>
    <m/>
    <m/>
    <m/>
  </r>
  <r>
    <n v="370"/>
    <m/>
    <s v="W14004"/>
    <x v="144"/>
    <s v="E-US"/>
    <s v="美国"/>
    <s v="HILTON1-100ML_TZ"/>
    <n v="448"/>
    <x v="3"/>
    <s v="盐田海卡"/>
    <s v="POC3"/>
    <s v="HILTON1-100ML_TZ"/>
    <s v="HILTON1-100ML_TZ 希尔顿酒店100mL香氛油（天竺） 销售包装"/>
    <s v="Oil-TZ"/>
    <n v="7"/>
    <n v="0.32083333333333336"/>
    <s v="CBM收费"/>
    <n v="1030"/>
    <m/>
    <n v="45"/>
    <n v="375.45833333333337"/>
    <n v="0.83807663690476197"/>
    <n v="0.12508606520966598"/>
    <m/>
    <m/>
    <m/>
    <x v="20"/>
    <x v="46"/>
    <m/>
    <n v="0.36000000000000004"/>
    <n v="161.28000000000003"/>
    <d v="2026-05-09T00:00:00"/>
    <n v="36"/>
    <d v="2026-06-08T00:00:00"/>
    <m/>
    <m/>
    <m/>
    <m/>
    <m/>
    <m/>
  </r>
  <r>
    <n v="371"/>
    <m/>
    <s v="W14003"/>
    <x v="145"/>
    <s v="A-CA"/>
    <s v="加拿大"/>
    <s v="002000022"/>
    <n v="24"/>
    <x v="7"/>
    <s v="加拿大海卡"/>
    <s v="YYZ7"/>
    <s v="H2-G"/>
    <s v="H2-G 电子指纹球形把手锁-灰色"/>
    <s v="H2"/>
    <n v="2"/>
    <n v="27.111111111111111"/>
    <s v="重量收费"/>
    <n v="5"/>
    <n v="350"/>
    <n v="15.555555555555555"/>
    <n v="151.11111111111109"/>
    <n v="6.2962962962962949"/>
    <n v="0.93974571586511857"/>
    <m/>
    <m/>
    <m/>
    <x v="20"/>
    <x v="47"/>
    <m/>
    <n v="0"/>
    <n v="0"/>
    <d v="2026-05-12T00:00:00"/>
    <n v="39"/>
    <d v="2026-06-08T00:00:00"/>
    <m/>
    <m/>
    <m/>
    <m/>
    <m/>
    <m/>
  </r>
  <r>
    <n v="372"/>
    <m/>
    <s v="W14003"/>
    <x v="145"/>
    <s v="A-CA"/>
    <s v="加拿大"/>
    <s v="002000001"/>
    <n v="168"/>
    <x v="7"/>
    <s v="加拿大海卡"/>
    <s v="YYZ7"/>
    <s v="K1-B"/>
    <s v="K1-B 电子球形把手锁-黑色"/>
    <s v="K1"/>
    <n v="14"/>
    <n v="189.77777777777777"/>
    <s v="重量收费"/>
    <n v="5"/>
    <n v="350"/>
    <n v="108.88888888888889"/>
    <n v="1057.7777777777778"/>
    <n v="6.2962962962962967"/>
    <n v="0.9397457158651189"/>
    <m/>
    <m/>
    <m/>
    <x v="20"/>
    <x v="47"/>
    <m/>
    <n v="0"/>
    <n v="0"/>
    <d v="2026-05-12T00:00:00"/>
    <n v="39"/>
    <d v="2026-06-08T00:00:00"/>
    <m/>
    <m/>
    <m/>
    <m/>
    <m/>
    <m/>
  </r>
  <r>
    <n v="373"/>
    <m/>
    <s v="W14003"/>
    <x v="145"/>
    <s v="A-CA"/>
    <s v="加拿大"/>
    <s v="002000007"/>
    <n v="348"/>
    <x v="7"/>
    <s v="加拿大海卡"/>
    <s v="YYZ7"/>
    <s v="K1-S+S"/>
    <s v="K1-S+S 电子球形把手锁-镍镍"/>
    <s v="K1"/>
    <n v="29"/>
    <n v="393.11111111111109"/>
    <s v="重量收费"/>
    <n v="5"/>
    <m/>
    <n v="225.55555555555554"/>
    <n v="2191.1111111111109"/>
    <n v="6.2962962962962958"/>
    <n v="0.93974571586511879"/>
    <m/>
    <m/>
    <m/>
    <x v="20"/>
    <x v="47"/>
    <m/>
    <n v="0"/>
    <n v="0"/>
    <d v="2026-05-12T00:00:00"/>
    <n v="39"/>
    <d v="2026-06-08T00:00:00"/>
    <m/>
    <m/>
    <m/>
    <m/>
    <m/>
    <m/>
  </r>
  <r>
    <n v="374"/>
    <m/>
    <s v="W15007"/>
    <x v="146"/>
    <s v="V-US"/>
    <s v="美国"/>
    <s v="001000028"/>
    <n v="300"/>
    <x v="0"/>
    <s v="盐田海卡"/>
    <s v="GEU2"/>
    <s v="AN6-2PC-BB"/>
    <s v="AN6-2PC-BB 便携式扩香仪套装 黑+黑"/>
    <s v="AN6"/>
    <n v="15"/>
    <n v="203.60847457627119"/>
    <s v="重量收费"/>
    <n v="4"/>
    <n v="200"/>
    <n v="26.086956521739129"/>
    <n v="840.52085482682389"/>
    <n v="2.8017361827560796"/>
    <n v="0.41816957951583278"/>
    <m/>
    <m/>
    <m/>
    <x v="22"/>
    <x v="48"/>
    <m/>
    <n v="0.37165048543689322"/>
    <n v="111.49514563106797"/>
    <d v="2026-05-12T00:00:00"/>
    <n v="31"/>
    <m/>
    <m/>
    <m/>
    <m/>
    <m/>
    <m/>
    <m/>
  </r>
  <r>
    <n v="375"/>
    <m/>
    <s v="W15007"/>
    <x v="146"/>
    <s v="V-US"/>
    <s v="美国"/>
    <s v="001000019"/>
    <n v="1200"/>
    <x v="0"/>
    <s v="盐田海卡"/>
    <s v="GEU2"/>
    <s v="AN6-B"/>
    <s v="AN6-B 便携式扩香仪 黑色"/>
    <s v="AN6"/>
    <n v="30"/>
    <n v="407.21694915254238"/>
    <s v="重量收费"/>
    <n v="4"/>
    <n v="200"/>
    <n v="52.173913043478258"/>
    <n v="1681.0417096536478"/>
    <n v="1.4008680913780398"/>
    <n v="0.20908478975791639"/>
    <m/>
    <m/>
    <m/>
    <x v="22"/>
    <x v="48"/>
    <m/>
    <n v="0.37165048543689322"/>
    <n v="445.98058252427188"/>
    <d v="2026-05-12T00:00:00"/>
    <n v="31"/>
    <m/>
    <m/>
    <m/>
    <m/>
    <m/>
    <m/>
    <m/>
  </r>
  <r>
    <n v="376"/>
    <m/>
    <s v="W15007"/>
    <x v="146"/>
    <s v="V-US"/>
    <s v="美国"/>
    <s v="001000020"/>
    <n v="240"/>
    <x v="0"/>
    <s v="盐田海卡"/>
    <s v="GEU2"/>
    <s v="AN6-W"/>
    <s v="AN6-W 便携式扩香仪 白色"/>
    <s v="AN6"/>
    <n v="6"/>
    <n v="81.44338983050848"/>
    <s v="重量收费"/>
    <n v="4"/>
    <m/>
    <n v="10.434782608695652"/>
    <n v="336.20834193072955"/>
    <n v="1.4008680913780398"/>
    <n v="0.20908478975791639"/>
    <m/>
    <m/>
    <m/>
    <x v="22"/>
    <x v="48"/>
    <m/>
    <n v="0.37165048543689322"/>
    <n v="89.196116504854373"/>
    <d v="2026-05-12T00:00:00"/>
    <n v="31"/>
    <m/>
    <m/>
    <m/>
    <m/>
    <m/>
    <m/>
    <m/>
  </r>
  <r>
    <n v="377"/>
    <m/>
    <s v="W15007"/>
    <x v="146"/>
    <s v="V-US"/>
    <s v="美国"/>
    <s v="AN8-B"/>
    <n v="320"/>
    <x v="0"/>
    <s v="盐田海卡"/>
    <s v="GEU2"/>
    <s v="AN8-B"/>
    <s v="AN8-B 便携式扩香仪 黑色"/>
    <s v="AN8"/>
    <n v="8"/>
    <n v="108.59118644067797"/>
    <s v="重量收费"/>
    <n v="4"/>
    <m/>
    <n v="13.913043478260869"/>
    <n v="448.27778924097277"/>
    <n v="1.4008680913780398"/>
    <n v="0.20908478975791639"/>
    <m/>
    <m/>
    <m/>
    <x v="22"/>
    <x v="48"/>
    <m/>
    <n v="0.37165048543689322"/>
    <n v="118.92815533980583"/>
    <d v="2026-05-12T00:00:00"/>
    <n v="31"/>
    <m/>
    <m/>
    <m/>
    <m/>
    <m/>
    <m/>
    <m/>
  </r>
  <r>
    <n v="378"/>
    <m/>
    <s v="W15001"/>
    <x v="147"/>
    <s v="K-US"/>
    <s v="美国"/>
    <s v="RDXKIT-B_US_2X100K04"/>
    <n v="288"/>
    <x v="0"/>
    <s v="盐田海卡"/>
    <s v="GEU3"/>
    <s v="RDXKIT-B_US_2X100K04"/>
    <s v="RDXKIT-B_US_2X100K04 RDX黑色机器+2X100mL酒店香氛油（天竺） 机油套装"/>
    <s v="RDX"/>
    <n v="32"/>
    <n v="468"/>
    <s v="重量收费"/>
    <n v="4.8"/>
    <n v="200"/>
    <n v="130.61224489795919"/>
    <n v="2377.0122448979591"/>
    <n v="8.2535147392290256"/>
    <n v="1.2318678715267202"/>
    <m/>
    <m/>
    <m/>
    <x v="22"/>
    <x v="48"/>
    <m/>
    <n v="0.7"/>
    <n v="201.6"/>
    <d v="2026-05-16T00:00:00"/>
    <n v="35"/>
    <m/>
    <m/>
    <m/>
    <m/>
    <m/>
    <m/>
    <m/>
  </r>
  <r>
    <n v="379"/>
    <m/>
    <s v="W15003"/>
    <x v="148"/>
    <s v="V-US"/>
    <s v="美国"/>
    <s v="AN8KIT-B_4X10K05_TZ"/>
    <n v="3300"/>
    <x v="2"/>
    <s v="盐田海卡"/>
    <s v="TCY2"/>
    <s v="AN8KIT-B_4X10K05_TZ"/>
    <s v="AN8KIT-B_4X10K05_TZ AN8黑色机器+4x10mL（天竺）酒店香氛油 机油套装"/>
    <s v="AN8"/>
    <n v="110"/>
    <n v="1741.219512195122"/>
    <s v="重量收费"/>
    <n v="4.0999999999999996"/>
    <n v="200"/>
    <n v="77.738515901060069"/>
    <n v="7216.7385159010591"/>
    <n v="2.1868904593639571"/>
    <n v="0.32640156109909807"/>
    <m/>
    <m/>
    <m/>
    <x v="23"/>
    <x v="49"/>
    <m/>
    <n v="0.44"/>
    <n v="1452"/>
    <d v="2026-05-17T00:00:00"/>
    <n v="37"/>
    <m/>
    <m/>
    <m/>
    <m/>
    <m/>
    <m/>
    <m/>
  </r>
  <r>
    <n v="380"/>
    <m/>
    <s v="W15003"/>
    <x v="148"/>
    <s v="V-US"/>
    <s v="美国"/>
    <s v="AN8KIT-WH_4X10K05_TZ"/>
    <n v="300"/>
    <x v="2"/>
    <s v="盐田海卡"/>
    <s v="TCY2"/>
    <s v="AN8KIT-WH_4X10K05_TZ"/>
    <s v="AN8KIT-WH_4X10K05_TZ AN8白色机器+4x10mL（天竺）酒店香氛油 机油套装"/>
    <s v="AN8"/>
    <n v="10"/>
    <n v="158.29268292682929"/>
    <s v="重量收费"/>
    <n v="4.0999999999999996"/>
    <n v="200"/>
    <n v="7.0671378091872787"/>
    <n v="656.06713780918733"/>
    <n v="2.186890459363958"/>
    <n v="0.32640156109909818"/>
    <m/>
    <m/>
    <m/>
    <x v="23"/>
    <x v="49"/>
    <m/>
    <n v="0.44"/>
    <n v="132"/>
    <d v="2026-05-17T00:00:00"/>
    <n v="37"/>
    <m/>
    <m/>
    <m/>
    <m/>
    <m/>
    <m/>
    <m/>
  </r>
  <r>
    <n v="381"/>
    <m/>
    <s v="W15003"/>
    <x v="148"/>
    <s v="V-US"/>
    <s v="美国"/>
    <s v="ANXKIT-GD_RZ30ml"/>
    <n v="90"/>
    <x v="2"/>
    <s v="盐田海卡"/>
    <s v="TCY2"/>
    <s v="ANXKIT-GD_RZ30ml"/>
    <s v="ANXKIT-GD_RZ30ml ANX金色机器+30mL丽思香氛油 机油套装"/>
    <s v="ANX"/>
    <n v="3"/>
    <n v="47.487804878048784"/>
    <s v="重量收费"/>
    <n v="4.0999999999999996"/>
    <m/>
    <n v="2.1201413427561837"/>
    <n v="196.82014134275616"/>
    <n v="2.1868904593639575"/>
    <n v="0.32640156109909813"/>
    <m/>
    <m/>
    <m/>
    <x v="23"/>
    <x v="49"/>
    <m/>
    <n v="0.44"/>
    <n v="39.6"/>
    <d v="2026-05-17T00:00:00"/>
    <n v="37"/>
    <m/>
    <m/>
    <m/>
    <m/>
    <m/>
    <m/>
    <m/>
  </r>
  <r>
    <n v="382"/>
    <m/>
    <s v="W15006"/>
    <x v="149"/>
    <s v="E-US"/>
    <s v="美国"/>
    <s v="001000046"/>
    <n v="180"/>
    <x v="0"/>
    <s v="以星海卡"/>
    <s v="GEU2"/>
    <s v="ANX-SILV"/>
    <s v="ANX-SILV 便携式扩香仪 银色"/>
    <s v="ANX"/>
    <n v="6"/>
    <n v="75"/>
    <s v="重量收费"/>
    <n v="5.2"/>
    <n v="200"/>
    <n v="200"/>
    <n v="590"/>
    <n v="3.2777777777777777"/>
    <n v="0.48922056384742951"/>
    <m/>
    <m/>
    <m/>
    <x v="22"/>
    <x v="47"/>
    <m/>
    <n v="0.44"/>
    <n v="79.2"/>
    <d v="2026-05-09T00:00:00"/>
    <n v="28"/>
    <d v="2026-06-09T00:00:00"/>
    <m/>
    <m/>
    <m/>
    <m/>
    <m/>
    <m/>
  </r>
  <r>
    <n v="383"/>
    <m/>
    <s v="W15007"/>
    <x v="150"/>
    <s v="E-US"/>
    <s v="美国"/>
    <s v="001000045"/>
    <n v="180"/>
    <x v="0"/>
    <s v="盐田海卡"/>
    <s v="GEU2"/>
    <s v="ANX-B"/>
    <s v="ANX-B 便携式扩香仪 黑色"/>
    <s v="ANX"/>
    <n v="6"/>
    <n v="81.443571428571431"/>
    <s v="重量收费"/>
    <n v="4"/>
    <n v="200"/>
    <n v="10.434782608695652"/>
    <n v="336.20906832298135"/>
    <n v="1.8678281573498965"/>
    <n v="0.27878032199252184"/>
    <m/>
    <m/>
    <m/>
    <x v="22"/>
    <x v="48"/>
    <m/>
    <n v="0.36660550458715596"/>
    <n v="65.988990825688077"/>
    <d v="2026-05-13T00:00:00"/>
    <n v="32"/>
    <m/>
    <m/>
    <m/>
    <m/>
    <m/>
    <m/>
    <m/>
  </r>
  <r>
    <n v="384"/>
    <m/>
    <s v="W15007"/>
    <x v="150"/>
    <s v="E-US"/>
    <s v="美国"/>
    <s v="ANZ-B"/>
    <n v="1400"/>
    <x v="0"/>
    <s v="盐田海卡"/>
    <s v="GEU2"/>
    <s v="ANZ-B"/>
    <s v="ANZ-B 便携式扩香仪 黑色"/>
    <s v="ANZ"/>
    <n v="35"/>
    <n v="475.08749999999998"/>
    <s v="重量收费"/>
    <n v="4"/>
    <n v="200"/>
    <n v="60.869565217391305"/>
    <n v="1961.2195652173912"/>
    <n v="1.4008711180124223"/>
    <n v="0.20908524149439137"/>
    <m/>
    <m/>
    <m/>
    <x v="22"/>
    <x v="48"/>
    <m/>
    <n v="0.36660550458715596"/>
    <n v="513.24770642201838"/>
    <d v="2026-05-13T00:00:00"/>
    <n v="32"/>
    <m/>
    <m/>
    <m/>
    <m/>
    <m/>
    <m/>
    <m/>
  </r>
  <r>
    <n v="385"/>
    <m/>
    <s v="W15007"/>
    <x v="150"/>
    <s v="E-US"/>
    <s v="美国"/>
    <s v="ANZ-WH"/>
    <n v="600"/>
    <x v="0"/>
    <s v="盐田海卡"/>
    <s v="GEU2"/>
    <s v="ANZ-WH"/>
    <s v="ANZ-WH 便携式扩香仪 白色"/>
    <s v="ANZ"/>
    <n v="15"/>
    <n v="203.60892857142855"/>
    <s v="重量收费"/>
    <n v="4"/>
    <n v="200"/>
    <n v="26.086956521739129"/>
    <n v="840.52267080745332"/>
    <n v="1.4008711180124223"/>
    <n v="0.20908524149439137"/>
    <m/>
    <m/>
    <m/>
    <x v="22"/>
    <x v="48"/>
    <m/>
    <n v="0.36660550458715596"/>
    <n v="219.96330275229357"/>
    <d v="2026-05-13T00:00:00"/>
    <n v="32"/>
    <m/>
    <m/>
    <m/>
    <m/>
    <m/>
    <m/>
    <m/>
  </r>
  <r>
    <n v="386"/>
    <m/>
    <s v="W15003"/>
    <x v="151"/>
    <s v="E-US"/>
    <s v="美国"/>
    <s v="ANZKIT-B_4X10K04_TZ"/>
    <n v="420"/>
    <x v="2"/>
    <s v="盐田海卡"/>
    <s v="TCY1"/>
    <s v="ANZKIT-B_4X10K04_TZ"/>
    <s v="ANZKIT-B_4X10K04_TZ ANZ黑色机器+4x10mL酒店（天竺）香氛油 机油套装"/>
    <s v="ANZ"/>
    <n v="14"/>
    <n v="223"/>
    <s v="重量收费"/>
    <n v="4.0999999999999996"/>
    <n v="200"/>
    <n v="9.8939929328621901"/>
    <n v="924.1939929328621"/>
    <n v="2.2004618879353859"/>
    <n v="0.32842714745304263"/>
    <m/>
    <m/>
    <m/>
    <x v="23"/>
    <x v="49"/>
    <m/>
    <n v="0.44"/>
    <n v="184.8"/>
    <d v="2026-05-20T00:00:00"/>
    <n v="40"/>
    <m/>
    <m/>
    <m/>
    <m/>
    <m/>
    <m/>
    <m/>
  </r>
  <r>
    <n v="387"/>
    <m/>
    <s v="W15003"/>
    <x v="152"/>
    <s v="W-US"/>
    <s v="美国"/>
    <s v="G1-B"/>
    <n v="576"/>
    <x v="2"/>
    <s v="盐田海卡"/>
    <s v="MIT2"/>
    <s v="G1-B"/>
    <s v="G1-B 电子球形把手锁 黑色"/>
    <s v="G1"/>
    <n v="36"/>
    <n v="501.27272727272725"/>
    <s v="重量收费"/>
    <n v="3.6"/>
    <n v="200"/>
    <n v="25.441696113074205"/>
    <n v="1830.0235142948923"/>
    <n v="3.1771241567619657"/>
    <n v="0.47419763533760678"/>
    <m/>
    <m/>
    <m/>
    <x v="23"/>
    <x v="49"/>
    <m/>
    <n v="0.56000000000000005"/>
    <n v="322.56000000000006"/>
    <d v="2026-05-20T00:00:00"/>
    <n v="40"/>
    <m/>
    <m/>
    <m/>
    <m/>
    <m/>
    <m/>
    <m/>
  </r>
  <r>
    <n v="388"/>
    <m/>
    <s v="W15003"/>
    <x v="152"/>
    <s v="W-US"/>
    <s v="美国"/>
    <s v="G1-SILV"/>
    <n v="112"/>
    <x v="2"/>
    <s v="盐田海卡"/>
    <s v="MIT2"/>
    <s v="G1-SILV"/>
    <s v="G1-SILV 电子球形把手锁 银色"/>
    <s v="G1"/>
    <n v="7"/>
    <n v="97.469696969696969"/>
    <s v="重量收费"/>
    <n v="3.6"/>
    <m/>
    <n v="4.946996466431095"/>
    <n v="355.83790555734015"/>
    <n v="3.1771241567619657"/>
    <n v="0.47419763533760678"/>
    <m/>
    <m/>
    <m/>
    <x v="23"/>
    <x v="49"/>
    <m/>
    <n v="0.56000000000000005"/>
    <n v="62.720000000000006"/>
    <d v="2026-05-20T00:00:00"/>
    <n v="40"/>
    <m/>
    <m/>
    <m/>
    <m/>
    <m/>
    <m/>
    <m/>
  </r>
  <r>
    <n v="389"/>
    <m/>
    <s v="W15003"/>
    <x v="152"/>
    <s v="W-US"/>
    <s v="美国"/>
    <s v="002000029"/>
    <n v="160"/>
    <x v="2"/>
    <s v="盐田海卡"/>
    <s v="MIT2"/>
    <s v="MD1-B"/>
    <s v="MD1-B 电子球形把手锁 指纹 黑色"/>
    <s v="MD1"/>
    <n v="10"/>
    <n v="139.24242424242425"/>
    <s v="重量收费"/>
    <n v="3.6"/>
    <m/>
    <n v="7.0671378091872787"/>
    <n v="508.33986508191458"/>
    <n v="3.1771241567619661"/>
    <n v="0.47419763533760689"/>
    <m/>
    <m/>
    <m/>
    <x v="23"/>
    <x v="49"/>
    <m/>
    <n v="0.56000000000000005"/>
    <n v="89.600000000000009"/>
    <d v="2026-05-20T00:00:00"/>
    <n v="40"/>
    <m/>
    <m/>
    <m/>
    <m/>
    <m/>
    <m/>
    <m/>
  </r>
  <r>
    <n v="390"/>
    <m/>
    <s v="W15003"/>
    <x v="152"/>
    <s v="W-US"/>
    <s v="美国"/>
    <s v="002000038"/>
    <n v="80"/>
    <x v="2"/>
    <s v="盐田海卡"/>
    <s v="MIT2"/>
    <s v="MD1-SILV"/>
    <s v="MD1-SILV 电子球形把手锁 指纹 银色"/>
    <s v="MD1"/>
    <n v="5"/>
    <n v="69.621212121212125"/>
    <s v="重量收费"/>
    <n v="3.6"/>
    <m/>
    <n v="3.5335689045936394"/>
    <n v="254.16993254095729"/>
    <n v="3.1771241567619661"/>
    <n v="0.47419763533760689"/>
    <m/>
    <m/>
    <m/>
    <x v="23"/>
    <x v="49"/>
    <m/>
    <n v="0.56000000000000005"/>
    <n v="44.800000000000004"/>
    <d v="2026-05-20T00:00:00"/>
    <n v="40"/>
    <m/>
    <m/>
    <m/>
    <m/>
    <m/>
    <m/>
    <m/>
  </r>
  <r>
    <n v="391"/>
    <m/>
    <s v="W15003"/>
    <x v="152"/>
    <s v="W-US"/>
    <s v="美国"/>
    <s v="002000030"/>
    <n v="48"/>
    <x v="2"/>
    <s v="盐田海卡"/>
    <s v="MIT2"/>
    <s v="MD1-T"/>
    <s v="MD1-T 电子球形把手锁 指纹 钛灰色"/>
    <s v="MD1"/>
    <n v="3"/>
    <n v="41.772727272727273"/>
    <s v="重量收费"/>
    <n v="3.6"/>
    <m/>
    <n v="2.1201413427561837"/>
    <n v="152.50195952457435"/>
    <n v="3.1771241567619657"/>
    <n v="0.47419763533760678"/>
    <m/>
    <m/>
    <m/>
    <x v="23"/>
    <x v="49"/>
    <m/>
    <n v="0.56000000000000005"/>
    <n v="26.880000000000003"/>
    <d v="2026-05-20T00:00:00"/>
    <n v="40"/>
    <m/>
    <m/>
    <m/>
    <m/>
    <m/>
    <m/>
    <m/>
  </r>
  <r>
    <n v="392"/>
    <m/>
    <s v="W15003"/>
    <x v="152"/>
    <s v="W-US"/>
    <s v="美国"/>
    <s v="002000031"/>
    <n v="80"/>
    <x v="2"/>
    <s v="盐田海卡"/>
    <s v="MIT2"/>
    <s v="MK1-B"/>
    <s v="MK1-B 智能球形把手锁 黑色"/>
    <s v="MK1"/>
    <n v="5"/>
    <n v="69.621212121212125"/>
    <s v="重量收费"/>
    <n v="3.6"/>
    <m/>
    <n v="3.5335689045936394"/>
    <n v="254.16993254095729"/>
    <n v="3.1771241567619661"/>
    <n v="0.47419763533760689"/>
    <m/>
    <m/>
    <m/>
    <x v="23"/>
    <x v="49"/>
    <m/>
    <n v="0.56000000000000005"/>
    <n v="44.800000000000004"/>
    <d v="2026-05-20T00:00:00"/>
    <n v="40"/>
    <m/>
    <m/>
    <m/>
    <m/>
    <m/>
    <m/>
    <m/>
  </r>
  <r>
    <n v="393"/>
    <m/>
    <s v="W15003"/>
    <x v="153"/>
    <s v="V-US"/>
    <s v="美国"/>
    <s v="ANAKIT-WH_US_2X100K03"/>
    <n v="396"/>
    <x v="2"/>
    <s v="盐田海卡"/>
    <s v="TCY2"/>
    <s v="ANAKIT-WH_US_2X100K03"/>
    <s v="ANAKIT-WH_US_2X100K03 ANA白色机器+2X100mL酒店香氛油（天竺） 机油套装"/>
    <s v="ANA"/>
    <n v="33"/>
    <n v="568.5625"/>
    <s v="重量收费"/>
    <n v="4.0999999999999996"/>
    <m/>
    <n v="23.32155477031802"/>
    <n v="2354.4278047703178"/>
    <n v="5.945524759521005"/>
    <n v="0.88739175515238877"/>
    <m/>
    <m/>
    <m/>
    <x v="23"/>
    <x v="49"/>
    <m/>
    <n v="0.56000000000000005"/>
    <n v="221.76000000000002"/>
    <d v="2026-05-17T00:00:00"/>
    <n v="37"/>
    <m/>
    <m/>
    <m/>
    <m/>
    <m/>
    <m/>
    <m/>
  </r>
  <r>
    <n v="394"/>
    <m/>
    <s v="W15003"/>
    <x v="153"/>
    <s v="V-US"/>
    <s v="美国"/>
    <s v="ANWKIT-B_US_2X100K03"/>
    <n v="180"/>
    <x v="2"/>
    <s v="盐田海卡"/>
    <s v="TCY2"/>
    <s v="ANWKIT-B_US_2X100K03"/>
    <s v="ANWKIT-B_US_2X100K03 ANW黑色机器+2X100mL酒店香氛油（天竺） 机油套装"/>
    <s v="ANW"/>
    <n v="15"/>
    <n v="258.4375"/>
    <s v="重量收费"/>
    <n v="4.0999999999999996"/>
    <m/>
    <n v="10.600706713780919"/>
    <n v="1070.1944567137809"/>
    <n v="5.945524759521005"/>
    <n v="0.88739175515238877"/>
    <m/>
    <m/>
    <m/>
    <x v="23"/>
    <x v="49"/>
    <m/>
    <n v="0.56000000000000005"/>
    <n v="100.80000000000001"/>
    <d v="2026-05-17T00:00:00"/>
    <n v="37"/>
    <m/>
    <m/>
    <m/>
    <m/>
    <m/>
    <m/>
    <m/>
  </r>
  <r>
    <n v="395"/>
    <m/>
    <s v="W15003"/>
    <x v="154"/>
    <s v="V-US"/>
    <s v="美国"/>
    <s v="001000032"/>
    <n v="240"/>
    <x v="2"/>
    <s v="盐田海卡"/>
    <s v="GEU2"/>
    <s v="ANW-B"/>
    <s v="ANW-B 智能扩香仪 黑色"/>
    <s v="ANW"/>
    <n v="20"/>
    <n v="283.125"/>
    <s v="重量收费"/>
    <n v="4.8"/>
    <m/>
    <n v="14.134275618374557"/>
    <n v="1373.1342756183747"/>
    <n v="5.7213928150765607"/>
    <n v="0.85393922613082995"/>
    <m/>
    <m/>
    <m/>
    <x v="23"/>
    <x v="49"/>
    <m/>
    <n v="0.47167155425219942"/>
    <n v="113.20117302052786"/>
    <d v="2026-05-22T00:00:00"/>
    <n v="42"/>
    <m/>
    <m/>
    <m/>
    <m/>
    <m/>
    <m/>
    <m/>
  </r>
  <r>
    <n v="396"/>
    <m/>
    <s v="W15003"/>
    <x v="154"/>
    <s v="V-US"/>
    <s v="美国"/>
    <s v="ANP-W_US"/>
    <n v="352"/>
    <x v="2"/>
    <s v="盐田海卡"/>
    <s v="GEU2"/>
    <s v="ANP-W_US"/>
    <s v="ANP-W_US 墙插式智能扩香仪 白色"/>
    <s v="ANP"/>
    <n v="11"/>
    <n v="155.71875"/>
    <s v="重量收费"/>
    <n v="4.8"/>
    <m/>
    <n v="7.7738515901060072"/>
    <n v="755.22385159010594"/>
    <n v="2.14552230565371"/>
    <n v="0.32022720979906122"/>
    <m/>
    <m/>
    <m/>
    <x v="23"/>
    <x v="49"/>
    <m/>
    <n v="0.47167155425219942"/>
    <n v="166.0283870967742"/>
    <d v="2026-05-22T00:00:00"/>
    <n v="42"/>
    <m/>
    <m/>
    <m/>
    <m/>
    <m/>
    <m/>
    <m/>
  </r>
  <r>
    <n v="397"/>
    <m/>
    <s v="W15003"/>
    <x v="154"/>
    <s v="V-US"/>
    <s v="美国"/>
    <s v="001000057"/>
    <n v="90"/>
    <x v="2"/>
    <s v="盐田海卡"/>
    <s v="GEU2"/>
    <s v="ANW-Bbot"/>
    <s v="ANW-Bbot ANW带盖瓶子 黑喷头"/>
    <s v="ANW-AC"/>
    <n v="1"/>
    <n v="14.15625"/>
    <s v="重量收费"/>
    <n v="4.8"/>
    <m/>
    <n v="0.70671378091872794"/>
    <n v="68.656713780918736"/>
    <n v="0.76285237534354156"/>
    <n v="0.11385856348411068"/>
    <m/>
    <m/>
    <m/>
    <x v="23"/>
    <x v="49"/>
    <m/>
    <n v="0.47167155425219942"/>
    <n v="42.45043988269795"/>
    <d v="2026-05-22T00:00:00"/>
    <n v="42"/>
    <m/>
    <m/>
    <m/>
    <m/>
    <m/>
    <m/>
    <m/>
  </r>
  <r>
    <n v="398"/>
    <m/>
    <s v="W15002"/>
    <x v="155"/>
    <s v="W-DE"/>
    <s v="德国"/>
    <s v="ANA-WH_EU"/>
    <n v="144"/>
    <x v="0"/>
    <s v="欧洲海卡"/>
    <s v="BER8"/>
    <s v="ANA-WH_EU"/>
    <s v="ANA-WH_EU 智能扩香仪 欧规 白色"/>
    <s v="ANA"/>
    <n v="12"/>
    <n v="178"/>
    <s v="重量收费"/>
    <n v="7.4"/>
    <n v="250"/>
    <n v="250"/>
    <n v="1567.2"/>
    <n v="10.883333333333333"/>
    <n v="1.6243781094527363"/>
    <m/>
    <m/>
    <m/>
    <x v="23"/>
    <x v="50"/>
    <m/>
    <n v="0"/>
    <n v="0"/>
    <m/>
    <n v="-46122"/>
    <m/>
    <m/>
    <m/>
    <m/>
    <m/>
    <m/>
    <m/>
  </r>
  <r>
    <n v="399"/>
    <m/>
    <s v="W15004"/>
    <x v="156"/>
    <s v="V-US"/>
    <s v="美国"/>
    <s v="006000024"/>
    <n v="450"/>
    <x v="3"/>
    <s v="盐田海卡"/>
    <s v="GEU2"/>
    <s v="A-RZ3-100"/>
    <s v="A-Ritz Carlton Hotel 3-100 丽思卡尔顿酒店3香氛油100mL"/>
    <s v="Oil-HQ"/>
    <n v="5"/>
    <n v="101.67"/>
    <s v="重量收费"/>
    <n v="6.2"/>
    <n v="180"/>
    <n v="100"/>
    <n v="730.35400000000004"/>
    <n v="1.6230088888888889"/>
    <n v="0.24224013266998343"/>
    <m/>
    <m/>
    <m/>
    <x v="23"/>
    <x v="51"/>
    <m/>
    <n v="0.36"/>
    <n v="162"/>
    <d v="2026-05-09T00:00:00"/>
    <n v="29"/>
    <d v="2026-06-07T00:00:00"/>
    <m/>
    <m/>
    <m/>
    <m/>
    <m/>
    <m/>
  </r>
  <r>
    <n v="400"/>
    <m/>
    <s v="W15004"/>
    <x v="157"/>
    <s v="E-US"/>
    <s v="美国"/>
    <s v="HOTEL6KIT1-6X10K01"/>
    <n v="228"/>
    <x v="3"/>
    <s v="盐田海卡"/>
    <s v="GEU2"/>
    <s v="HOTEL6KIT1-6X10K01"/>
    <s v="HOTEL6KIT1-6X10K01 酒店香氛油6款10mL套装"/>
    <s v="Oil-HQ"/>
    <n v="3"/>
    <n v="60.997500000000002"/>
    <s v="重量收费"/>
    <n v="6.2"/>
    <n v="180"/>
    <n v="60"/>
    <n v="438.18450000000001"/>
    <n v="1.9218618421052631"/>
    <n v="0.28684505106048702"/>
    <m/>
    <m/>
    <m/>
    <x v="23"/>
    <x v="51"/>
    <m/>
    <n v="0.36"/>
    <n v="82.08"/>
    <d v="2026-05-09T00:00:00"/>
    <n v="29"/>
    <d v="2026-06-07T00:00:00"/>
    <m/>
    <m/>
    <m/>
    <m/>
    <m/>
    <m/>
  </r>
  <r>
    <n v="401"/>
    <m/>
    <s v="W15004"/>
    <x v="157"/>
    <s v="E-US"/>
    <s v="美国"/>
    <s v="JY-100ML"/>
    <n v="90"/>
    <x v="3"/>
    <s v="盐田海卡"/>
    <s v="GEU2"/>
    <s v="A-JY-100"/>
    <s v="A-Grand Hyatt Hotel-100 君悦酒店香氛油100mL"/>
    <s v="Oil-HQ"/>
    <n v="1"/>
    <n v="20.3325"/>
    <s v="重量收费"/>
    <n v="6.2"/>
    <m/>
    <n v="20"/>
    <n v="146.0615"/>
    <n v="1.6229055555555556"/>
    <n v="0.24222470978441127"/>
    <m/>
    <m/>
    <m/>
    <x v="23"/>
    <x v="51"/>
    <m/>
    <n v="0.36"/>
    <n v="32.4"/>
    <d v="2026-05-09T00:00:00"/>
    <n v="29"/>
    <d v="2026-06-07T00:00:00"/>
    <m/>
    <m/>
    <m/>
    <m/>
    <m/>
    <m/>
  </r>
  <r>
    <n v="402"/>
    <m/>
    <s v="W15005"/>
    <x v="158"/>
    <s v="E-US"/>
    <s v="美国"/>
    <s v="BCRT1-100ML_TZ"/>
    <n v="256"/>
    <x v="3"/>
    <s v="盐田海卡"/>
    <s v="TCY1"/>
    <s v="BCRT1-100ML_TZ"/>
    <s v="BCRT1-100ML_TZ 巴卡拉酒店100mL香氛油（天竺） 销售包装"/>
    <s v="Oil-TZ"/>
    <n v="4"/>
    <n v="59.272727272727273"/>
    <s v="重量收费"/>
    <n v="6.3"/>
    <n v="180"/>
    <n v="65.454545454545453"/>
    <n v="438.87272727272727"/>
    <n v="1.7143465909090909"/>
    <n v="0.25587262550881951"/>
    <m/>
    <m/>
    <m/>
    <x v="23"/>
    <x v="48"/>
    <m/>
    <n v="0.36"/>
    <n v="92.16"/>
    <d v="2026-05-17T00:00:00"/>
    <n v="37"/>
    <m/>
    <m/>
    <m/>
    <m/>
    <m/>
    <m/>
    <m/>
  </r>
  <r>
    <n v="403"/>
    <m/>
    <s v="W15005"/>
    <x v="158"/>
    <s v="E-US"/>
    <s v="美国"/>
    <s v="W1-100ML_TZ"/>
    <n v="256"/>
    <x v="3"/>
    <s v="盐田海卡"/>
    <s v="TCY1"/>
    <s v="W1-100ML_TZ"/>
    <s v="W1-100ML_TZ W酒店100mL香氛油（天竺） 销售包装"/>
    <s v="Oil-TZ"/>
    <n v="4"/>
    <n v="59.272727272727273"/>
    <s v="重量收费"/>
    <n v="6.3"/>
    <n v="180"/>
    <n v="65.454545454545453"/>
    <n v="438.87272727272727"/>
    <n v="1.7143465909090909"/>
    <n v="0.25587262550881951"/>
    <m/>
    <m/>
    <m/>
    <x v="23"/>
    <x v="48"/>
    <m/>
    <n v="0.36"/>
    <n v="92.16"/>
    <d v="2026-05-17T00:00:00"/>
    <n v="37"/>
    <m/>
    <m/>
    <m/>
    <m/>
    <m/>
    <m/>
    <m/>
  </r>
  <r>
    <n v="404"/>
    <m/>
    <s v="W15005"/>
    <x v="158"/>
    <s v="E-US"/>
    <s v="美国"/>
    <s v="HILTON1-100ML_TZ"/>
    <n v="128"/>
    <x v="3"/>
    <s v="盐田海卡"/>
    <s v="TCY1"/>
    <s v="HILTON1-100ML_TZ"/>
    <s v="HILTON1-100ML_TZ 希尔顿酒店100mL香氛油（天竺） 销售包装"/>
    <s v="Oil-TZ"/>
    <n v="2"/>
    <n v="29.636363636363637"/>
    <s v="重量收费"/>
    <n v="6.3"/>
    <m/>
    <n v="32.727272727272727"/>
    <n v="219.43636363636364"/>
    <n v="1.7143465909090909"/>
    <n v="0.25587262550881951"/>
    <m/>
    <m/>
    <m/>
    <x v="23"/>
    <x v="48"/>
    <m/>
    <n v="0.36"/>
    <n v="46.08"/>
    <d v="2026-05-17T00:00:00"/>
    <n v="37"/>
    <m/>
    <m/>
    <m/>
    <m/>
    <m/>
    <m/>
    <m/>
  </r>
  <r>
    <n v="405"/>
    <m/>
    <s v="W15005"/>
    <x v="158"/>
    <s v="E-US"/>
    <s v="美国"/>
    <s v="YH1-100ML_TZ"/>
    <n v="64"/>
    <x v="3"/>
    <s v="盐田海卡"/>
    <s v="TCY1"/>
    <s v="YH1-100ML_TZ"/>
    <s v="YH1-100ML_TZ 樱花100mL香氛油（天竺）销售包装"/>
    <s v="Oil-TZ"/>
    <n v="1"/>
    <n v="14.818181818181818"/>
    <s v="重量收费"/>
    <n v="6.3"/>
    <m/>
    <n v="16.363636363636363"/>
    <n v="109.71818181818182"/>
    <n v="1.7143465909090909"/>
    <n v="0.25587262550881951"/>
    <m/>
    <m/>
    <m/>
    <x v="23"/>
    <x v="48"/>
    <m/>
    <n v="0.36"/>
    <n v="23.04"/>
    <d v="2026-05-17T00:00:00"/>
    <n v="37"/>
    <m/>
    <m/>
    <m/>
    <m/>
    <m/>
    <m/>
    <m/>
  </r>
  <r>
    <n v="406"/>
    <m/>
    <s v="W15008"/>
    <x v="159"/>
    <s v="E-US"/>
    <s v="美国"/>
    <s v="008000002"/>
    <n v="70"/>
    <x v="7"/>
    <s v="盐田海卡"/>
    <s v="TCY2"/>
    <s v="ES1-B"/>
    <s v="ES1-B 电动泡沫喷机 黑色"/>
    <s v="ES1"/>
    <n v="1"/>
    <n v="13.25"/>
    <s v="重量收费"/>
    <n v="4.3"/>
    <n v="200"/>
    <n v="10"/>
    <n v="66.974999999999994"/>
    <n v="0.95678571428571424"/>
    <n v="0.14280383795309168"/>
    <m/>
    <m/>
    <m/>
    <x v="22"/>
    <x v="51"/>
    <m/>
    <n v="0.40799999999999997"/>
    <n v="28.56"/>
    <d v="2026-05-09T00:00:00"/>
    <n v="28"/>
    <m/>
    <m/>
    <m/>
    <m/>
    <m/>
    <m/>
    <m/>
  </r>
  <r>
    <n v="407"/>
    <m/>
    <s v="W15008"/>
    <x v="159"/>
    <s v="E-US"/>
    <s v="美国"/>
    <s v="008000005"/>
    <n v="288"/>
    <x v="7"/>
    <s v="盐田海卡"/>
    <s v="TCY2"/>
    <s v="ES1-Bkit"/>
    <s v="ES1-Bkit 电动泡沫喷机黑色 托架 硅胶刷 套装"/>
    <s v="ES1"/>
    <n v="12"/>
    <n v="159"/>
    <s v="重量收费"/>
    <n v="4.3"/>
    <n v="200"/>
    <n v="120"/>
    <n v="803.69999999999993"/>
    <n v="2.7906249999999999"/>
    <n v="0.41651119402985071"/>
    <m/>
    <m/>
    <m/>
    <x v="22"/>
    <x v="51"/>
    <m/>
    <n v="0.40799999999999997"/>
    <n v="117.50399999999999"/>
    <d v="2026-05-09T00:00:00"/>
    <n v="28"/>
    <m/>
    <m/>
    <m/>
    <m/>
    <m/>
    <m/>
    <m/>
  </r>
  <r>
    <n v="408"/>
    <m/>
    <s v="W15008"/>
    <x v="159"/>
    <s v="E-US"/>
    <s v="美国"/>
    <s v="ES1KIT-W_W"/>
    <n v="120"/>
    <x v="7"/>
    <s v="盐田海卡"/>
    <s v="TCY2"/>
    <s v="ES1KIT-W_W"/>
    <s v="ES1KIT-W_W 电动泡沫喷机 白色 两个装"/>
    <s v="ES1"/>
    <n v="5"/>
    <n v="66.25"/>
    <s v="重量收费"/>
    <n v="4.3"/>
    <m/>
    <n v="50"/>
    <n v="334.875"/>
    <n v="2.7906249999999999"/>
    <n v="0.41651119402985071"/>
    <m/>
    <m/>
    <m/>
    <x v="22"/>
    <x v="51"/>
    <m/>
    <n v="0.40799999999999997"/>
    <n v="48.959999999999994"/>
    <d v="2026-05-09T00:00:00"/>
    <n v="28"/>
    <m/>
    <m/>
    <m/>
    <m/>
    <m/>
    <m/>
    <m/>
  </r>
  <r>
    <n v="409"/>
    <m/>
    <s v="W15008"/>
    <x v="159"/>
    <s v="E-US"/>
    <s v="美国"/>
    <s v="008000002"/>
    <n v="29"/>
    <x v="7"/>
    <s v="盐田海卡"/>
    <s v="TCY2"/>
    <s v="ES1-B"/>
    <s v="ES1-B 电动泡沫喷机 黑色"/>
    <s v="ES1"/>
    <n v="0.5"/>
    <n v="6.625"/>
    <s v="重量收费"/>
    <n v="4.3"/>
    <m/>
    <n v="5"/>
    <n v="33.487499999999997"/>
    <n v="1.1547413793103447"/>
    <n v="0.17234945959855891"/>
    <m/>
    <m/>
    <m/>
    <x v="22"/>
    <x v="51"/>
    <m/>
    <n v="0.40799999999999997"/>
    <n v="11.831999999999999"/>
    <d v="2026-05-09T00:00:00"/>
    <n v="28"/>
    <m/>
    <m/>
    <m/>
    <m/>
    <m/>
    <m/>
    <m/>
  </r>
  <r>
    <n v="410"/>
    <m/>
    <s v="W15008"/>
    <x v="159"/>
    <s v="E-US"/>
    <s v="美国"/>
    <s v="ES1-W"/>
    <n v="33"/>
    <x v="7"/>
    <s v="盐田海卡"/>
    <s v="TCY2"/>
    <s v="ES1-W"/>
    <s v="ES1-W 电动泡沫喷机（202602新） 白色"/>
    <s v="ES1"/>
    <n v="0.5"/>
    <n v="6.625"/>
    <s v="重量收费"/>
    <n v="4.3"/>
    <m/>
    <n v="5"/>
    <n v="33.487499999999997"/>
    <n v="1.0147727272727272"/>
    <n v="0.15145861601085481"/>
    <m/>
    <m/>
    <m/>
    <x v="22"/>
    <x v="51"/>
    <m/>
    <n v="0.40799999999999997"/>
    <n v="13.463999999999999"/>
    <d v="2026-05-09T00:00:00"/>
    <n v="28"/>
    <m/>
    <m/>
    <m/>
    <m/>
    <m/>
    <m/>
    <m/>
  </r>
  <r>
    <n v="411"/>
    <m/>
    <s v="W15001"/>
    <x v="160"/>
    <s v="K-US"/>
    <s v="美国"/>
    <s v="ES1KIT-W_W"/>
    <n v="408"/>
    <x v="0"/>
    <s v="盐田海卡"/>
    <s v="GEU2"/>
    <s v="ES1KIT-W_W"/>
    <s v="ES1KIT-W_W 电动泡沫喷机 白色 两个装"/>
    <s v="ES1"/>
    <n v="17"/>
    <n v="201"/>
    <s v="重量收费"/>
    <n v="4.8"/>
    <n v="200"/>
    <n v="69.387755102040813"/>
    <n v="1034.1877551020407"/>
    <n v="2.5347739095638251"/>
    <n v="0.37832446411400372"/>
    <m/>
    <m/>
    <m/>
    <x v="22"/>
    <x v="48"/>
    <m/>
    <n v="0.36"/>
    <n v="146.88"/>
    <d v="2026-05-12T00:00:00"/>
    <n v="31"/>
    <m/>
    <m/>
    <m/>
    <m/>
    <m/>
    <m/>
    <m/>
  </r>
  <r>
    <n v="412"/>
    <m/>
    <s v="W15008"/>
    <x v="161"/>
    <s v="W-US"/>
    <s v="美国"/>
    <s v="ES1-W"/>
    <n v="70"/>
    <x v="7"/>
    <s v="盐田海卡"/>
    <s v="TCY2"/>
    <s v="ES1-W"/>
    <s v="ES1-W 电动泡沫喷机（202602新） 白色"/>
    <s v="ES1"/>
    <n v="1"/>
    <n v="13.25"/>
    <s v="重量收费"/>
    <n v="4.3"/>
    <n v="200"/>
    <n v="10"/>
    <n v="66.974999999999994"/>
    <n v="0.95678571428571424"/>
    <n v="0.14280383795309168"/>
    <m/>
    <m/>
    <m/>
    <x v="22"/>
    <x v="51"/>
    <m/>
    <n v="0.36"/>
    <n v="25.2"/>
    <d v="2026-05-09T00:00:00"/>
    <n v="28"/>
    <d v="2026-06-08T00:00:00"/>
    <m/>
    <m/>
    <m/>
    <m/>
    <m/>
    <m/>
  </r>
  <r>
    <n v="413"/>
    <m/>
    <s v="W16006"/>
    <x v="162"/>
    <s v="E-US"/>
    <s v="美国"/>
    <s v="001000045"/>
    <n v="390"/>
    <x v="2"/>
    <s v="盐田海卡"/>
    <s v="TCY2"/>
    <s v="ANX-B"/>
    <s v="ANX-B 便携式扩香仪 黑色"/>
    <s v="ANX"/>
    <n v="13"/>
    <n v="161.65217391304347"/>
    <s v="重量收费"/>
    <n v="4.2"/>
    <n v="200"/>
    <n v="96.296296296296291"/>
    <n v="775.23542673107886"/>
    <n v="1.9877831454643047"/>
    <n v="0.29668405156183653"/>
    <m/>
    <m/>
    <m/>
    <x v="24"/>
    <x v="52"/>
    <m/>
    <n v="0.41837837837837843"/>
    <n v="163.1675675675676"/>
    <d v="2026-05-22T00:00:00"/>
    <n v="35"/>
    <m/>
    <m/>
    <m/>
    <m/>
    <m/>
    <m/>
    <m/>
  </r>
  <r>
    <n v="414"/>
    <m/>
    <s v="W16006"/>
    <x v="162"/>
    <s v="E-US"/>
    <s v="美国"/>
    <s v="001000052"/>
    <n v="150"/>
    <x v="2"/>
    <s v="盐田海卡"/>
    <s v="TCY2"/>
    <s v="ANX-DT"/>
    <s v="ANX-DT 便携式扩香仪 沙漠钛色"/>
    <s v="ANX"/>
    <n v="5"/>
    <n v="62.173913043478265"/>
    <s v="重量收费"/>
    <n v="4.2"/>
    <n v="200"/>
    <n v="37.037037037037038"/>
    <n v="298.16747181964581"/>
    <n v="1.9877831454643053"/>
    <n v="0.29668405156183664"/>
    <m/>
    <m/>
    <m/>
    <x v="24"/>
    <x v="52"/>
    <m/>
    <n v="0.41837837837837843"/>
    <n v="62.756756756756765"/>
    <d v="2026-05-22T00:00:00"/>
    <n v="35"/>
    <m/>
    <m/>
    <m/>
    <m/>
    <m/>
    <m/>
    <m/>
  </r>
  <r>
    <n v="415"/>
    <m/>
    <s v="W16006"/>
    <x v="162"/>
    <s v="E-US"/>
    <s v="美国"/>
    <s v="ANZ-B"/>
    <n v="200"/>
    <x v="2"/>
    <s v="盐田海卡"/>
    <s v="TCY2"/>
    <s v="ANZ-B"/>
    <s v="ANZ-B 便携式扩香仪 黑色"/>
    <s v="ANZ"/>
    <n v="5"/>
    <n v="62.173913043478265"/>
    <s v="重量收费"/>
    <n v="4.2"/>
    <m/>
    <n v="37.037037037037038"/>
    <n v="298.16747181964581"/>
    <n v="1.4908373590982291"/>
    <n v="0.22251303867137748"/>
    <m/>
    <m/>
    <m/>
    <x v="24"/>
    <x v="52"/>
    <m/>
    <n v="0.41837837837837843"/>
    <n v="83.675675675675691"/>
    <d v="2026-05-22T00:00:00"/>
    <n v="35"/>
    <m/>
    <m/>
    <m/>
    <m/>
    <m/>
    <m/>
    <m/>
  </r>
  <r>
    <n v="416"/>
    <m/>
    <s v="W16007"/>
    <x v="163"/>
    <s v="E-US"/>
    <s v="美国"/>
    <s v="ANZKIT-B_4X10K04_TZ"/>
    <n v="480"/>
    <x v="2"/>
    <s v="美森海卡"/>
    <s v="TCY2"/>
    <s v="ANZKIT-B_4X10K04_TZ"/>
    <s v="ANZKIT-B_4X10K04_TZ ANZ黑色机器+4x10mL酒店（天竺）香氛油 机油套装"/>
    <s v="ANZ"/>
    <n v="16"/>
    <n v="253"/>
    <s v="重量收费"/>
    <n v="8.9"/>
    <n v="200"/>
    <n v="88.888888888888886"/>
    <n v="2340.588888888889"/>
    <n v="4.8762268518518521"/>
    <n v="0.72779505251520182"/>
    <m/>
    <m/>
    <m/>
    <x v="24"/>
    <x v="49"/>
    <m/>
    <n v="0.44"/>
    <n v="211.2"/>
    <d v="2026-05-10T00:00:00"/>
    <n v="23"/>
    <m/>
    <m/>
    <m/>
    <m/>
    <m/>
    <m/>
    <m/>
  </r>
  <r>
    <n v="417"/>
    <m/>
    <s v="W16003"/>
    <x v="164"/>
    <s v="E-UK"/>
    <s v="英国"/>
    <s v="001000019"/>
    <n v="280"/>
    <x v="2"/>
    <s v="英国海卡"/>
    <s v="LBA4"/>
    <s v="AN6-B"/>
    <s v="AN6-B 便携式扩香仪 黑色"/>
    <s v="AN6"/>
    <n v="7"/>
    <n v="93.545454545454547"/>
    <s v="重量收费"/>
    <n v="4.4000000000000004"/>
    <n v="550"/>
    <n v="320.83333333333331"/>
    <n v="732.43333333333339"/>
    <n v="2.6158333333333337"/>
    <n v="0.39042288557213933"/>
    <m/>
    <m/>
    <m/>
    <x v="25"/>
    <x v="53"/>
    <m/>
    <n v="0"/>
    <n v="0"/>
    <d v="2026-06-07T00:00:00"/>
    <n v="52"/>
    <m/>
    <m/>
    <m/>
    <m/>
    <m/>
    <m/>
    <m/>
  </r>
  <r>
    <n v="418"/>
    <m/>
    <s v="W16003"/>
    <x v="164"/>
    <s v="E-UK"/>
    <s v="英国"/>
    <s v="AN6-G"/>
    <n v="80"/>
    <x v="2"/>
    <s v="英国海卡"/>
    <s v="LBA4"/>
    <s v="AN6-G"/>
    <s v="AN6-G 便携式扩香仪 灰色"/>
    <s v="AN6"/>
    <n v="2"/>
    <n v="26.727272727272727"/>
    <s v="重量收费"/>
    <n v="4.4000000000000004"/>
    <n v="550"/>
    <n v="91.666666666666671"/>
    <n v="209.26666666666668"/>
    <n v="2.6158333333333337"/>
    <n v="0.39042288557213933"/>
    <m/>
    <m/>
    <m/>
    <x v="25"/>
    <x v="53"/>
    <m/>
    <n v="0"/>
    <n v="0"/>
    <d v="2026-06-07T00:00:00"/>
    <n v="52"/>
    <m/>
    <m/>
    <m/>
    <m/>
    <m/>
    <m/>
    <m/>
  </r>
  <r>
    <n v="419"/>
    <m/>
    <s v="W16003"/>
    <x v="164"/>
    <s v="E-UK"/>
    <s v="英国"/>
    <s v="001000040"/>
    <n v="80"/>
    <x v="2"/>
    <s v="英国海卡"/>
    <s v="LBA4"/>
    <s v="AN6-LB"/>
    <s v="AN6-LB 便携式扩香仪 浅钢蓝色"/>
    <s v="AN6"/>
    <n v="2"/>
    <n v="26.727272727272727"/>
    <s v="重量收费"/>
    <n v="4.4000000000000004"/>
    <m/>
    <n v="91.666666666666671"/>
    <n v="209.26666666666668"/>
    <n v="2.6158333333333337"/>
    <n v="0.39042288557213933"/>
    <m/>
    <m/>
    <m/>
    <x v="25"/>
    <x v="53"/>
    <m/>
    <n v="0"/>
    <n v="0"/>
    <d v="2026-06-07T00:00:00"/>
    <n v="52"/>
    <m/>
    <m/>
    <m/>
    <m/>
    <m/>
    <m/>
    <m/>
  </r>
  <r>
    <n v="420"/>
    <s v="100KG起收费"/>
    <s v="W16001"/>
    <x v="165"/>
    <s v="E-AU"/>
    <s v="澳洲"/>
    <s v="001000045"/>
    <n v="240"/>
    <x v="4"/>
    <s v="澳洲海卡"/>
    <s v="BWU2"/>
    <s v="ANX-B"/>
    <s v="ANX-B 便携式扩香仪 黑色"/>
    <s v="ANX"/>
    <n v="8"/>
    <n v="100"/>
    <s v="重量收费"/>
    <n v="8"/>
    <n v="350"/>
    <n v="350"/>
    <n v="1150"/>
    <n v="4.791666666666667"/>
    <n v="0.71517412935323388"/>
    <m/>
    <m/>
    <m/>
    <x v="25"/>
    <x v="54"/>
    <m/>
    <n v="0"/>
    <n v="0"/>
    <d v="2026-06-04T00:00:00"/>
    <n v="49"/>
    <m/>
    <m/>
    <m/>
    <m/>
    <m/>
    <m/>
    <m/>
  </r>
  <r>
    <n v="421"/>
    <m/>
    <s v="W16014"/>
    <x v="166"/>
    <s v="V-US"/>
    <s v="美国"/>
    <s v="ADXKIT-B_4X10K04_TZ"/>
    <n v="990"/>
    <x v="0"/>
    <s v="盐田海卡"/>
    <s v="GEU2"/>
    <s v="ADXKIT-B_4X10K04_TZ"/>
    <s v="ADXKIT-B_4X10K04_TZ ADX黑色机器+4x10mL酒店（天竺）香氛油 机油套装"/>
    <s v="ADX"/>
    <n v="33"/>
    <n v="559.69306930693074"/>
    <s v="重量收费"/>
    <n v="4.2"/>
    <n v="200"/>
    <n v="49.624060150375939"/>
    <n v="2400.3349512394852"/>
    <n v="2.424580758827763"/>
    <n v="0.36187772519817357"/>
    <m/>
    <m/>
    <m/>
    <x v="24"/>
    <x v="43"/>
    <m/>
    <n v="0.44644067796610171"/>
    <n v="441.97627118644067"/>
    <d v="2026-05-18T00:00:00"/>
    <n v="31"/>
    <m/>
    <m/>
    <m/>
    <m/>
    <m/>
    <m/>
    <m/>
  </r>
  <r>
    <n v="422"/>
    <m/>
    <s v="W16014"/>
    <x v="166"/>
    <s v="V-US"/>
    <s v="美国"/>
    <s v="ADXKIT-DT_4X10K04_TZ"/>
    <n v="300"/>
    <x v="0"/>
    <s v="盐田海卡"/>
    <s v="GEU2"/>
    <s v="ADXKIT-DT_4X10K04_TZ"/>
    <s v="ADXKIT-DT_4X10K04_TZ AD钛色机器+4x10mL酒店（天竺）香氛油 机油套装"/>
    <s v="ADX"/>
    <n v="10"/>
    <n v="169.60396039603961"/>
    <s v="重量收费"/>
    <n v="4.2"/>
    <n v="200"/>
    <n v="15.037593984962406"/>
    <n v="727.37422764832877"/>
    <n v="2.4245807588277626"/>
    <n v="0.36187772519817352"/>
    <m/>
    <m/>
    <m/>
    <x v="24"/>
    <x v="43"/>
    <m/>
    <n v="0.44644067796610171"/>
    <n v="133.93220338983051"/>
    <d v="2026-05-18T00:00:00"/>
    <n v="31"/>
    <m/>
    <m/>
    <m/>
    <m/>
    <m/>
    <m/>
    <m/>
  </r>
  <r>
    <n v="423"/>
    <m/>
    <s v="W16014"/>
    <x v="166"/>
    <s v="V-US"/>
    <s v="美国"/>
    <s v="AN8KIT-B_B_2X30K02"/>
    <n v="160"/>
    <x v="0"/>
    <s v="盐田海卡"/>
    <s v="GEU2"/>
    <s v="AN8KIT-B_B_2X30K02"/>
    <s v="AN8KIT-B_B_2X30K02 AN8黑色机器两个装+2X30mL香氛油（天竺） 机油套装"/>
    <s v="AN8"/>
    <n v="8"/>
    <n v="135.68316831683168"/>
    <s v="重量收费"/>
    <n v="4.2"/>
    <m/>
    <n v="12.030075187969924"/>
    <n v="581.89938211866308"/>
    <n v="3.6368711382416441"/>
    <n v="0.54281658779726027"/>
    <m/>
    <m/>
    <m/>
    <x v="24"/>
    <x v="43"/>
    <m/>
    <n v="0.44644067796610171"/>
    <n v="71.430508474576271"/>
    <d v="2026-05-18T00:00:00"/>
    <n v="31"/>
    <m/>
    <m/>
    <m/>
    <m/>
    <m/>
    <m/>
    <m/>
  </r>
  <r>
    <n v="424"/>
    <m/>
    <s v="W16014"/>
    <x v="166"/>
    <s v="V-US"/>
    <s v="美国"/>
    <s v="AN8KIT-B_4X10K05_TZ"/>
    <n v="1200"/>
    <x v="0"/>
    <s v="盐田海卡"/>
    <s v="GEU2"/>
    <s v="AN8KIT-B_4X10K05_TZ"/>
    <s v="AN8KIT-B_4X10K05_TZ AN8黑色机器+4x10mL（天竺）酒店香氛油 机油套装"/>
    <s v="AN8"/>
    <n v="40"/>
    <n v="678.41584158415844"/>
    <s v="重量收费"/>
    <n v="4.2"/>
    <m/>
    <n v="60.150375939849624"/>
    <n v="2909.4969105933151"/>
    <n v="2.4245807588277626"/>
    <n v="0.36187772519817352"/>
    <m/>
    <m/>
    <m/>
    <x v="24"/>
    <x v="43"/>
    <m/>
    <n v="0.44644067796610171"/>
    <n v="535.72881355932202"/>
    <d v="2026-05-18T00:00:00"/>
    <n v="31"/>
    <m/>
    <m/>
    <m/>
    <m/>
    <m/>
    <m/>
    <m/>
  </r>
  <r>
    <n v="425"/>
    <m/>
    <s v="W16014"/>
    <x v="166"/>
    <s v="V-US"/>
    <s v="美国"/>
    <s v="AN8KIT-B_4X10K02"/>
    <n v="300"/>
    <x v="0"/>
    <s v="盐田海卡"/>
    <s v="GEU2"/>
    <s v="AN8KIT-B_4X10K02"/>
    <s v="AN8KIT-B_4X10K02 AN8黑色机器+4x10mL（天竺）香氛油 机油套装"/>
    <s v="AN8"/>
    <n v="10"/>
    <n v="169.60396039603961"/>
    <s v="重量收费"/>
    <n v="4.2"/>
    <m/>
    <n v="15.037593984962406"/>
    <n v="727.37422764832877"/>
    <n v="2.4245807588277626"/>
    <n v="0.36187772519817352"/>
    <m/>
    <m/>
    <m/>
    <x v="24"/>
    <x v="43"/>
    <m/>
    <n v="0.44644067796610171"/>
    <n v="133.93220338983051"/>
    <d v="2026-05-18T00:00:00"/>
    <n v="31"/>
    <m/>
    <m/>
    <m/>
    <m/>
    <m/>
    <m/>
    <m/>
  </r>
  <r>
    <n v="426"/>
    <m/>
    <s v="W16005"/>
    <x v="167"/>
    <s v="V-US"/>
    <s v="美国"/>
    <s v="ADXKIT-B_DT"/>
    <n v="32"/>
    <x v="7"/>
    <s v="盐田海卡"/>
    <s v="MIT2"/>
    <s v="ADXKIT-B_DT"/>
    <s v="ADXKIT-B_DT ADX便携式扩香仪两个装套装 黑+沙漠钛"/>
    <s v="ADX"/>
    <n v="2"/>
    <n v="27.754716981132077"/>
    <s v="重量收费"/>
    <n v="3.8"/>
    <n v="200"/>
    <n v="3.225806451612903"/>
    <n v="108.69373097991479"/>
    <n v="3.3966790931223372"/>
    <n v="0.50696702882422939"/>
    <m/>
    <m/>
    <m/>
    <x v="24"/>
    <x v="55"/>
    <m/>
    <n v="0.37947719118400819"/>
    <n v="12.143270117888262"/>
    <d v="2026-05-24T00:00:00"/>
    <n v="37"/>
    <m/>
    <m/>
    <m/>
    <m/>
    <m/>
    <m/>
    <m/>
  </r>
  <r>
    <n v="427"/>
    <m/>
    <s v="W16005"/>
    <x v="167"/>
    <s v="V-US"/>
    <s v="美国"/>
    <s v="001000019"/>
    <n v="2000"/>
    <x v="7"/>
    <s v="盐田海卡"/>
    <s v="MIT2"/>
    <s v="AN6-B"/>
    <s v="AN6-B 便携式扩香仪 黑色"/>
    <s v="AN6"/>
    <n v="50"/>
    <n v="693.86792452830196"/>
    <s v="重量收费"/>
    <n v="3.8"/>
    <n v="200"/>
    <n v="80.645161290322577"/>
    <n v="2717.34327449787"/>
    <n v="1.3586716372489349"/>
    <n v="0.20278681152969177"/>
    <m/>
    <m/>
    <m/>
    <x v="24"/>
    <x v="55"/>
    <m/>
    <n v="0.37947719118400819"/>
    <n v="758.95438236801635"/>
    <d v="2026-05-24T00:00:00"/>
    <n v="37"/>
    <m/>
    <m/>
    <m/>
    <m/>
    <m/>
    <m/>
    <m/>
  </r>
  <r>
    <n v="428"/>
    <m/>
    <s v="W16005"/>
    <x v="167"/>
    <s v="V-US"/>
    <s v="美国"/>
    <s v="001000039"/>
    <n v="320"/>
    <x v="7"/>
    <s v="盐田海卡"/>
    <s v="MIT2"/>
    <s v="AN6-GL"/>
    <s v="AN6-GL 便携式扩香仪 翠百合色"/>
    <s v="AN6"/>
    <n v="8"/>
    <n v="111.01886792452831"/>
    <s v="重量收费"/>
    <n v="3.8"/>
    <m/>
    <n v="12.903225806451612"/>
    <n v="434.77492391965916"/>
    <n v="1.3586716372489349"/>
    <n v="0.20278681152969177"/>
    <m/>
    <m/>
    <m/>
    <x v="24"/>
    <x v="55"/>
    <m/>
    <n v="0.37947719118400819"/>
    <n v="121.43270117888262"/>
    <d v="2026-05-24T00:00:00"/>
    <n v="37"/>
    <m/>
    <m/>
    <m/>
    <m/>
    <m/>
    <m/>
    <m/>
  </r>
  <r>
    <n v="429"/>
    <m/>
    <s v="W16005"/>
    <x v="167"/>
    <s v="V-US"/>
    <s v="美国"/>
    <s v="001000020"/>
    <n v="680"/>
    <x v="7"/>
    <s v="盐田海卡"/>
    <s v="MIT2"/>
    <s v="AN6-W"/>
    <s v="AN6-W 便携式扩香仪 白色"/>
    <s v="AN6"/>
    <n v="17"/>
    <n v="235.91509433962267"/>
    <s v="重量收费"/>
    <n v="3.8"/>
    <m/>
    <n v="27.419354838709676"/>
    <n v="923.89671332927571"/>
    <n v="1.3586716372489349"/>
    <n v="0.20278681152969177"/>
    <m/>
    <m/>
    <m/>
    <x v="24"/>
    <x v="55"/>
    <m/>
    <n v="0.37947719118400819"/>
    <n v="258.04449000512557"/>
    <d v="2026-05-24T00:00:00"/>
    <n v="37"/>
    <m/>
    <m/>
    <m/>
    <m/>
    <m/>
    <m/>
    <m/>
  </r>
  <r>
    <n v="430"/>
    <m/>
    <s v="W16005"/>
    <x v="167"/>
    <s v="V-US"/>
    <s v="美国"/>
    <s v="RD1-B"/>
    <n v="660"/>
    <x v="7"/>
    <s v="盐田海卡"/>
    <s v="MIT2"/>
    <s v="RD1-B"/>
    <s v="RD1-B 便携式扩香仪 黑色"/>
    <s v="RD1"/>
    <n v="22"/>
    <n v="305.30188679245282"/>
    <s v="重量收费"/>
    <n v="3.8"/>
    <m/>
    <n v="35.483870967741936"/>
    <n v="1195.6310407790627"/>
    <n v="1.8115621829985797"/>
    <n v="0.27038241537292235"/>
    <m/>
    <m/>
    <m/>
    <x v="24"/>
    <x v="55"/>
    <m/>
    <n v="0.37947719118400819"/>
    <n v="250.45494618144539"/>
    <d v="2026-05-24T00:00:00"/>
    <n v="37"/>
    <m/>
    <m/>
    <m/>
    <m/>
    <m/>
    <m/>
    <m/>
  </r>
  <r>
    <n v="431"/>
    <m/>
    <s v="W16005"/>
    <x v="167"/>
    <s v="V-US"/>
    <s v="美国"/>
    <s v="RD1-DT"/>
    <n v="210"/>
    <x v="7"/>
    <s v="盐田海卡"/>
    <s v="MIT2"/>
    <s v="RD1-DT"/>
    <s v="RD1-DT 便携式扩香仪 沙漠钛色"/>
    <s v="RD1"/>
    <n v="7"/>
    <n v="97.14150943396227"/>
    <s v="重量收费"/>
    <n v="3.8"/>
    <m/>
    <n v="11.290322580645162"/>
    <n v="380.42805842970176"/>
    <n v="1.8115621829985797"/>
    <n v="0.27038241537292235"/>
    <m/>
    <m/>
    <m/>
    <x v="24"/>
    <x v="55"/>
    <m/>
    <n v="0.37947719118400819"/>
    <n v="79.690210148641725"/>
    <d v="2026-05-24T00:00:00"/>
    <n v="37"/>
    <m/>
    <m/>
    <m/>
    <m/>
    <m/>
    <m/>
    <m/>
  </r>
  <r>
    <n v="432"/>
    <m/>
    <s v="W16006"/>
    <x v="168"/>
    <s v="A-US"/>
    <s v="美国"/>
    <s v="ANZKIT-B_B"/>
    <n v="80"/>
    <x v="2"/>
    <s v="盐田海卡"/>
    <s v="TCY1"/>
    <s v="ANZKIT-B_B"/>
    <s v="ANZKIT-B_B 便携式扩香仪 黑色 两个装"/>
    <s v="ANZ"/>
    <n v="4"/>
    <n v="52"/>
    <s v="重量收费"/>
    <n v="4.0999999999999996"/>
    <n v="200"/>
    <n v="29.62962962962963"/>
    <n v="242.82962962962961"/>
    <n v="3.0353703703703703"/>
    <n v="0.45304035378662244"/>
    <m/>
    <m/>
    <m/>
    <x v="24"/>
    <x v="52"/>
    <m/>
    <n v="0.44000000000000006"/>
    <n v="35.200000000000003"/>
    <d v="2026-05-22T00:00:00"/>
    <n v="35"/>
    <m/>
    <m/>
    <m/>
    <m/>
    <m/>
    <m/>
    <m/>
  </r>
  <r>
    <n v="433"/>
    <m/>
    <s v="W16002"/>
    <x v="169"/>
    <s v="K-US"/>
    <s v="美国"/>
    <s v="RD2KIT-B_2X30K06_TZ"/>
    <n v="780"/>
    <x v="2"/>
    <s v="盐田海卡"/>
    <s v="TCY1"/>
    <s v="RD2KIT-B_2X30K06_TZ"/>
    <s v="RD2KIT-B_2X30K06_TZ RD2黑色机器+2X30mL酒店香氛油（天竺）  机油套装"/>
    <s v="RD2"/>
    <n v="39"/>
    <n v="538.57000000000005"/>
    <s v="重量收费"/>
    <n v="4.0999999999999996"/>
    <n v="200"/>
    <n v="123.80952380952381"/>
    <n v="2331.946523809524"/>
    <n v="2.9896750305250306"/>
    <n v="0.44622015380970603"/>
    <m/>
    <m/>
    <m/>
    <x v="24"/>
    <x v="52"/>
    <m/>
    <n v="0.70358974358974358"/>
    <n v="548.79999999999995"/>
    <d v="2026-05-19T00:00:00"/>
    <n v="32"/>
    <m/>
    <m/>
    <m/>
    <m/>
    <m/>
    <m/>
    <m/>
  </r>
  <r>
    <n v="434"/>
    <m/>
    <s v="W16007"/>
    <x v="170"/>
    <s v="V-US"/>
    <s v="美国"/>
    <s v="ADXKIT-DT_4X10K04_TZ"/>
    <n v="300"/>
    <x v="2"/>
    <s v="美森海卡"/>
    <s v="MIT2"/>
    <s v="ADXKIT-DT_4X10K04_TZ"/>
    <s v="ADXKIT-DT_4X10K04_TZ AD钛色机器+4x10mL酒店（天竺）香氛油 机油套装"/>
    <s v="ADX"/>
    <n v="10"/>
    <n v="164.5"/>
    <s v="重量收费"/>
    <n v="7.9"/>
    <n v="200"/>
    <n v="55.555555555555557"/>
    <n v="1355.1055555555556"/>
    <n v="4.517018518518519"/>
    <n v="0.6741818684355998"/>
    <m/>
    <m/>
    <m/>
    <x v="24"/>
    <x v="49"/>
    <m/>
    <n v="0.44"/>
    <n v="132"/>
    <d v="2026-05-14T00:00:00"/>
    <n v="27"/>
    <m/>
    <m/>
    <m/>
    <m/>
    <m/>
    <m/>
    <m/>
  </r>
  <r>
    <n v="435"/>
    <m/>
    <s v="W16007"/>
    <x v="170"/>
    <s v="V-US"/>
    <s v="美国"/>
    <s v="RD1-DT"/>
    <n v="300"/>
    <x v="2"/>
    <s v="美森海卡"/>
    <s v="MIT2"/>
    <s v="RD1-DT"/>
    <s v="RD1-DT 便携式扩香仪 沙漠钛色"/>
    <s v="RD1"/>
    <n v="10"/>
    <n v="164.5"/>
    <s v="重量收费"/>
    <n v="7.9"/>
    <n v="200"/>
    <n v="55.555555555555557"/>
    <n v="1355.1055555555556"/>
    <n v="4.517018518518519"/>
    <n v="0.6741818684355998"/>
    <m/>
    <m/>
    <m/>
    <x v="24"/>
    <x v="49"/>
    <m/>
    <n v="0.44"/>
    <n v="132"/>
    <d v="2026-05-14T00:00:00"/>
    <n v="27"/>
    <m/>
    <m/>
    <m/>
    <m/>
    <m/>
    <m/>
    <m/>
  </r>
  <r>
    <n v="436"/>
    <m/>
    <s v="W16002"/>
    <x v="171"/>
    <s v="K-US"/>
    <s v="美国"/>
    <s v="RDXKIT-B_US_2X100K04"/>
    <n v="216"/>
    <x v="2"/>
    <s v="盐田海卡"/>
    <s v="TCY1"/>
    <s v="RDXKIT-B_US_2X100K04"/>
    <s v="RDXKIT-B_US_2X100K04 RDX黑色机器+2X100mL酒店香氛油（天竺） 机油套装"/>
    <s v="RDX"/>
    <n v="24"/>
    <n v="331.43"/>
    <s v="重量收费"/>
    <n v="4.0999999999999996"/>
    <n v="200"/>
    <n v="76.19047619047619"/>
    <n v="1435.053476190476"/>
    <n v="6.6437660934744258"/>
    <n v="0.99160687962304861"/>
    <m/>
    <m/>
    <m/>
    <x v="24"/>
    <x v="52"/>
    <m/>
    <n v="0.7"/>
    <n v="151.19999999999999"/>
    <d v="2026-05-19T00:00:00"/>
    <n v="32"/>
    <m/>
    <m/>
    <m/>
    <m/>
    <m/>
    <m/>
    <m/>
  </r>
  <r>
    <n v="437"/>
    <m/>
    <s v="W16010"/>
    <x v="172"/>
    <s v="W-US"/>
    <s v="美国"/>
    <s v="G1-B"/>
    <n v="480"/>
    <x v="3"/>
    <s v="盐田海卡"/>
    <s v="GEU3"/>
    <s v="G1-B"/>
    <s v="G1-B 电子球形把手锁 黑色"/>
    <s v="G1"/>
    <n v="30"/>
    <n v="1.6445783132530121"/>
    <s v="CBM收费"/>
    <n v="1020"/>
    <n v="180"/>
    <n v="50.943396226415096"/>
    <n v="1728.4132757444875"/>
    <n v="3.6008609911343488"/>
    <n v="0.53744193897527592"/>
    <m/>
    <m/>
    <m/>
    <x v="24"/>
    <x v="43"/>
    <m/>
    <n v="0.55999999999999994"/>
    <n v="268.79999999999995"/>
    <d v="2026-05-21T00:00:00"/>
    <n v="34"/>
    <m/>
    <m/>
    <m/>
    <m/>
    <m/>
    <m/>
    <m/>
  </r>
  <r>
    <n v="438"/>
    <m/>
    <s v="W16010"/>
    <x v="172"/>
    <s v="W-US"/>
    <s v="美国"/>
    <s v="G1-SILV"/>
    <n v="240"/>
    <x v="3"/>
    <s v="盐田海卡"/>
    <s v="GEU3"/>
    <s v="G1-SILV"/>
    <s v="G1-SILV 电子球形把手锁 银色"/>
    <s v="G1"/>
    <n v="15"/>
    <n v="0.82228915662650603"/>
    <s v="CBM收费"/>
    <n v="1020"/>
    <n v="180"/>
    <n v="25.471698113207548"/>
    <n v="864.20663787224373"/>
    <n v="3.6008609911343488"/>
    <n v="0.53744193897527592"/>
    <m/>
    <m/>
    <m/>
    <x v="24"/>
    <x v="43"/>
    <m/>
    <n v="0.55999999999999994"/>
    <n v="134.39999999999998"/>
    <d v="2026-05-21T00:00:00"/>
    <n v="34"/>
    <m/>
    <m/>
    <m/>
    <m/>
    <m/>
    <m/>
    <m/>
  </r>
  <r>
    <n v="439"/>
    <m/>
    <s v="W16010"/>
    <x v="172"/>
    <s v="W-US"/>
    <s v="美国"/>
    <s v="002000029"/>
    <n v="400"/>
    <x v="3"/>
    <s v="盐田海卡"/>
    <s v="GEU3"/>
    <s v="MD1-B"/>
    <s v="MD1-B 电子球形把手锁 指纹 黑色"/>
    <s v="MD1"/>
    <n v="25"/>
    <n v="1.3704819277108433"/>
    <s v="CBM收费"/>
    <n v="1020"/>
    <m/>
    <n v="42.452830188679243"/>
    <n v="1440.3443964537394"/>
    <n v="3.6008609911343483"/>
    <n v="0.53744193897527581"/>
    <m/>
    <m/>
    <m/>
    <x v="24"/>
    <x v="43"/>
    <m/>
    <n v="0.55999999999999994"/>
    <n v="223.99999999999997"/>
    <d v="2026-05-21T00:00:00"/>
    <n v="34"/>
    <m/>
    <m/>
    <m/>
    <m/>
    <m/>
    <m/>
    <m/>
  </r>
  <r>
    <n v="440"/>
    <m/>
    <s v="W16010"/>
    <x v="172"/>
    <s v="W-US"/>
    <s v="美国"/>
    <s v="002000038"/>
    <n v="208"/>
    <x v="3"/>
    <s v="盐田海卡"/>
    <s v="GEU3"/>
    <s v="MD1-SILV"/>
    <s v="MD1-SILV 电子球形把手锁 指纹 银色"/>
    <s v="MD1"/>
    <n v="13"/>
    <n v="0.71265060240963851"/>
    <s v="CBM收费"/>
    <n v="1020"/>
    <m/>
    <n v="22.075471698113208"/>
    <n v="748.97908615594451"/>
    <n v="3.6008609911343488"/>
    <n v="0.53744193897527592"/>
    <m/>
    <m/>
    <m/>
    <x v="24"/>
    <x v="43"/>
    <m/>
    <n v="0.55999999999999994"/>
    <n v="116.47999999999999"/>
    <d v="2026-05-21T00:00:00"/>
    <n v="34"/>
    <m/>
    <m/>
    <m/>
    <m/>
    <m/>
    <m/>
    <m/>
  </r>
  <r>
    <n v="441"/>
    <m/>
    <s v="W16014"/>
    <x v="173"/>
    <s v="V-US"/>
    <s v="美国"/>
    <s v="ANWKIT-B_US_2X100K03"/>
    <n v="180"/>
    <x v="0"/>
    <s v="盐田海卡"/>
    <s v="GEU2"/>
    <s v="ANWKIT-B_US_2X100K03"/>
    <s v="ANWKIT-B_US_2X100K03 ANW黑色机器+2X100mL酒店香氛油（天竺） 机油套装"/>
    <s v="ANW"/>
    <n v="15"/>
    <n v="261.09375"/>
    <s v="重量收费"/>
    <n v="4.8"/>
    <n v="200"/>
    <n v="22.556390977443609"/>
    <n v="1275.8063909774437"/>
    <n v="7.0878132832080203"/>
    <n v="1.0578825795832867"/>
    <m/>
    <m/>
    <m/>
    <x v="24"/>
    <x v="43"/>
    <m/>
    <n v="0.55999999999999994"/>
    <n v="100.79999999999998"/>
    <d v="2026-05-18T00:00:00"/>
    <n v="31"/>
    <m/>
    <m/>
    <m/>
    <m/>
    <m/>
    <m/>
    <m/>
  </r>
  <r>
    <n v="442"/>
    <m/>
    <s v="W16014"/>
    <x v="173"/>
    <s v="V-US"/>
    <s v="美国"/>
    <s v="ANWKIT-WH_US_2X100K03"/>
    <n v="204"/>
    <x v="0"/>
    <s v="盐田海卡"/>
    <s v="GEU2"/>
    <s v="ANWKIT-WH_US_2X100K03"/>
    <s v="ANWKIT-WH_US_2X100K03 ANW白色机器+2X100mL酒店香氛油（天竺） 机油套装"/>
    <s v="ANW"/>
    <n v="17"/>
    <n v="295.90625"/>
    <s v="重量收费"/>
    <n v="4.8"/>
    <n v="200"/>
    <n v="25.563909774436091"/>
    <n v="1445.913909774436"/>
    <n v="7.0878132832080194"/>
    <n v="1.0578825795832865"/>
    <m/>
    <m/>
    <m/>
    <x v="24"/>
    <x v="43"/>
    <m/>
    <n v="0.55999999999999994"/>
    <n v="114.24"/>
    <d v="2026-05-18T00:00:00"/>
    <n v="31"/>
    <m/>
    <m/>
    <m/>
    <m/>
    <m/>
    <m/>
    <m/>
  </r>
  <r>
    <n v="443"/>
    <m/>
    <s v="W16012"/>
    <x v="174"/>
    <s v="V-US"/>
    <s v="美国"/>
    <s v="001000032"/>
    <n v="480"/>
    <x v="7"/>
    <s v="盐田海卡"/>
    <s v="GEU2"/>
    <s v="ANW-B"/>
    <s v="ANW-B 智能扩香仪 黑色"/>
    <s v="ANW"/>
    <n v="40"/>
    <n v="574.13793103448279"/>
    <s v="重量收费"/>
    <n v="4.0999999999999996"/>
    <n v="200"/>
    <n v="68.965517241379317"/>
    <n v="2422.9310344827586"/>
    <n v="5.0477729885057467"/>
    <n v="0.75339895350832042"/>
    <m/>
    <m/>
    <m/>
    <x v="24"/>
    <x v="55"/>
    <m/>
    <n v="0.52978208232445523"/>
    <n v="254.2953995157385"/>
    <d v="2026-05-21T00:00:00"/>
    <n v="34"/>
    <m/>
    <m/>
    <m/>
    <m/>
    <m/>
    <m/>
    <m/>
  </r>
  <r>
    <n v="444"/>
    <m/>
    <s v="W16012"/>
    <x v="174"/>
    <s v="V-US"/>
    <s v="美国"/>
    <s v="001000033"/>
    <n v="756"/>
    <x v="7"/>
    <s v="盐田海卡"/>
    <s v="GEU2"/>
    <s v="ANW-W"/>
    <s v="ANW-W 智能扩香仪 白色"/>
    <s v="ANW"/>
    <n v="63"/>
    <n v="904.26724137931035"/>
    <s v="重量收费"/>
    <n v="4.0999999999999996"/>
    <n v="200"/>
    <n v="108.62068965517241"/>
    <n v="3816.1163793103447"/>
    <n v="5.0477729885057467"/>
    <n v="0.75339895350832042"/>
    <m/>
    <m/>
    <m/>
    <x v="24"/>
    <x v="55"/>
    <m/>
    <n v="0.52978208232445523"/>
    <n v="400.51525423728816"/>
    <d v="2026-05-21T00:00:00"/>
    <n v="34"/>
    <m/>
    <m/>
    <m/>
    <m/>
    <m/>
    <m/>
    <m/>
  </r>
  <r>
    <n v="445"/>
    <m/>
    <s v="W16012"/>
    <x v="174"/>
    <s v="V-US"/>
    <s v="美国"/>
    <s v="ANP-B_US"/>
    <n v="416"/>
    <x v="7"/>
    <s v="盐田海卡"/>
    <s v="GEU2"/>
    <s v="ANP-B_US"/>
    <s v="ANP-B_US 墙插式智能扩香仪 黑色"/>
    <s v="ANP"/>
    <n v="13"/>
    <n v="186.59482758620689"/>
    <s v="重量收费"/>
    <n v="4.0999999999999996"/>
    <m/>
    <n v="22.413793103448278"/>
    <n v="787.4525862068964"/>
    <n v="1.8929148706896548"/>
    <n v="0.28252460756562009"/>
    <m/>
    <m/>
    <m/>
    <x v="24"/>
    <x v="55"/>
    <m/>
    <n v="0.52978208232445523"/>
    <n v="220.38934624697339"/>
    <d v="2026-05-21T00:00:00"/>
    <n v="34"/>
    <m/>
    <m/>
    <m/>
    <m/>
    <m/>
    <m/>
    <m/>
  </r>
  <r>
    <n v="446"/>
    <m/>
    <s v="W16004"/>
    <x v="175"/>
    <s v="V-CA"/>
    <s v="加拿大"/>
    <s v="001000032"/>
    <n v="48"/>
    <x v="0"/>
    <s v="加拿大海卡"/>
    <s v="YYZ7"/>
    <s v="ANW-B"/>
    <s v="ANW-B 智能扩香仪 黑色"/>
    <s v="ANW"/>
    <n v="4"/>
    <n v="57.714285714285715"/>
    <s v="重量收费"/>
    <n v="5.4"/>
    <n v="250"/>
    <n v="25.641025641025642"/>
    <n v="337.29816849816854"/>
    <n v="7.0270451770451778"/>
    <n v="1.0488127129918177"/>
    <m/>
    <m/>
    <m/>
    <x v="24"/>
    <x v="53"/>
    <m/>
    <n v="0"/>
    <n v="0"/>
    <d v="2026-05-30T00:00:00"/>
    <n v="43"/>
    <m/>
    <m/>
    <m/>
    <m/>
    <m/>
    <m/>
    <m/>
  </r>
  <r>
    <n v="447"/>
    <m/>
    <s v="W16004"/>
    <x v="175"/>
    <s v="V-CA"/>
    <s v="加拿大"/>
    <s v="001000033"/>
    <n v="36"/>
    <x v="0"/>
    <s v="加拿大海卡"/>
    <s v="YYZ7"/>
    <s v="ANW-W"/>
    <s v="ANW-W 智能扩香仪 白色"/>
    <s v="ANW"/>
    <n v="3"/>
    <n v="43.285714285714285"/>
    <s v="重量收费"/>
    <n v="5.4"/>
    <n v="250"/>
    <n v="19.23076923076923"/>
    <n v="252.97362637362639"/>
    <n v="7.0270451770451778"/>
    <n v="1.0488127129918177"/>
    <m/>
    <m/>
    <m/>
    <x v="24"/>
    <x v="53"/>
    <m/>
    <n v="0"/>
    <n v="0"/>
    <d v="2026-05-30T00:00:00"/>
    <n v="43"/>
    <m/>
    <m/>
    <m/>
    <m/>
    <m/>
    <m/>
    <m/>
  </r>
  <r>
    <n v="448"/>
    <s v="跟FBA19BCDLF7B合并报关，需要同一天提货"/>
    <s v="W16010"/>
    <x v="176"/>
    <s v="V-US"/>
    <s v="美国"/>
    <s v="006000024"/>
    <n v="1170"/>
    <x v="3"/>
    <s v="盐田海卡"/>
    <s v="GEU3"/>
    <s v="A-RZ3-100"/>
    <s v="A-Ritz Carlton Hotel 3-100 丽思卡尔顿酒店3香氛油100mL"/>
    <s v="Oil-HQ"/>
    <n v="13"/>
    <n v="0.72"/>
    <s v="CBM收费"/>
    <n v="1220"/>
    <n v="180"/>
    <n v="22.075471698113208"/>
    <n v="900.47547169811321"/>
    <n v="0.76963715529753263"/>
    <n v="0.11487121720858695"/>
    <m/>
    <m/>
    <m/>
    <x v="24"/>
    <x v="43"/>
    <m/>
    <n v="0.36"/>
    <n v="421.2"/>
    <d v="2026-05-21T00:00:00"/>
    <n v="34"/>
    <m/>
    <m/>
    <m/>
    <m/>
    <m/>
    <m/>
    <m/>
  </r>
  <r>
    <n v="449"/>
    <m/>
    <s v="W16010"/>
    <x v="177"/>
    <s v="E-US"/>
    <s v="美国"/>
    <s v="HOTEL6KIT1-6X10K01"/>
    <n v="304"/>
    <x v="3"/>
    <s v="盐田海卡"/>
    <s v="GEU3"/>
    <s v="HOTEL6KIT1-6X10K01"/>
    <s v="HOTEL6KIT1-6X10K01 酒店香氛油6款10mL套装"/>
    <s v="Oil-HQ"/>
    <n v="4"/>
    <n v="0.22000000000000003"/>
    <s v="CBM收费"/>
    <n v="1220"/>
    <n v="180"/>
    <n v="6.7924528301886795"/>
    <n v="275.1924528301887"/>
    <n v="0.90523833167825229"/>
    <n v="0.13511019875794811"/>
    <m/>
    <m/>
    <m/>
    <x v="24"/>
    <x v="43"/>
    <m/>
    <n v="0.36"/>
    <n v="109.44"/>
    <d v="2026-05-21T00:00:00"/>
    <n v="34"/>
    <m/>
    <m/>
    <m/>
    <m/>
    <m/>
    <m/>
    <m/>
  </r>
  <r>
    <n v="450"/>
    <m/>
    <s v="W16010"/>
    <x v="177"/>
    <s v="E-US"/>
    <s v="美国"/>
    <s v="JY-100ML"/>
    <n v="180"/>
    <x v="3"/>
    <s v="盐田海卡"/>
    <s v="GEU3"/>
    <s v="A-JY-100"/>
    <s v="A-Grand Hyatt Hotel-100 君悦酒店香氛油100mL"/>
    <s v="Oil-HQ"/>
    <n v="2"/>
    <n v="0.11000000000000001"/>
    <s v="CBM收费"/>
    <n v="1220"/>
    <m/>
    <n v="3.3962264150943398"/>
    <n v="137.59622641509435"/>
    <n v="0.76442348008385752"/>
    <n v="0.11409305672893395"/>
    <m/>
    <m/>
    <m/>
    <x v="24"/>
    <x v="43"/>
    <m/>
    <n v="0.36"/>
    <n v="64.8"/>
    <d v="2026-05-21T00:00:00"/>
    <n v="34"/>
    <m/>
    <m/>
    <m/>
    <m/>
    <m/>
    <m/>
    <m/>
  </r>
  <r>
    <n v="451"/>
    <m/>
    <s v="W16010"/>
    <x v="177"/>
    <s v="E-US"/>
    <s v="美国"/>
    <s v="MWAY1-100ML"/>
    <n v="180"/>
    <x v="3"/>
    <s v="盐田海卡"/>
    <s v="GEU3"/>
    <s v="A-MWAY-100"/>
    <s v="A-MWAY Deluxe-100 特定香型香氛油100mL"/>
    <s v="Oil-HQ"/>
    <n v="2"/>
    <n v="0.11000000000000001"/>
    <s v="CBM收费"/>
    <n v="1220"/>
    <m/>
    <n v="3.3962264150943398"/>
    <n v="137.59622641509435"/>
    <n v="0.76442348008385752"/>
    <n v="0.11409305672893395"/>
    <m/>
    <m/>
    <m/>
    <x v="24"/>
    <x v="43"/>
    <m/>
    <n v="0.36"/>
    <n v="64.8"/>
    <d v="2026-05-21T00:00:00"/>
    <n v="34"/>
    <m/>
    <m/>
    <m/>
    <m/>
    <m/>
    <m/>
    <m/>
  </r>
  <r>
    <n v="452"/>
    <m/>
    <s v="W16010"/>
    <x v="177"/>
    <s v="E-US"/>
    <s v="美国"/>
    <s v="006000026"/>
    <n v="180"/>
    <x v="3"/>
    <s v="盐田海卡"/>
    <s v="GEU3"/>
    <s v="A-MT-100"/>
    <s v="A-Marriott Hotel 1-100 万豪酒店1香氛油100mL"/>
    <s v="Oil-HQ"/>
    <n v="2"/>
    <n v="0.11000000000000001"/>
    <s v="CBM收费"/>
    <n v="1220"/>
    <m/>
    <n v="3.3962264150943398"/>
    <n v="137.59622641509435"/>
    <n v="0.76442348008385752"/>
    <n v="0.11409305672893395"/>
    <m/>
    <m/>
    <m/>
    <x v="24"/>
    <x v="43"/>
    <m/>
    <n v="0.36"/>
    <n v="64.8"/>
    <d v="2026-05-21T00:00:00"/>
    <n v="34"/>
    <m/>
    <m/>
    <m/>
    <m/>
    <m/>
    <m/>
    <m/>
  </r>
  <r>
    <n v="453"/>
    <m/>
    <s v="W16011"/>
    <x v="178"/>
    <s v="E-US"/>
    <s v="美国"/>
    <s v="SJ1-100ML_TZ"/>
    <n v="512"/>
    <x v="3"/>
    <s v="盐田海卡"/>
    <s v="GEU3"/>
    <s v="SJ1-100ML_TZ"/>
    <s v="SJ1-100ML_TZ 四季酒店100mL香氛油（天竺） 销售包装"/>
    <s v="Oil-TZ"/>
    <n v="8"/>
    <n v="0.31384615384615383"/>
    <s v="CBM收费"/>
    <n v="1220"/>
    <n v="180"/>
    <n v="46.451612903225808"/>
    <n v="429.34392059553346"/>
    <n v="0.83856234491315129"/>
    <n v="0.12515855894226138"/>
    <m/>
    <m/>
    <m/>
    <x v="24"/>
    <x v="43"/>
    <m/>
    <n v="0.36"/>
    <n v="184.32"/>
    <d v="2026-05-21T00:00:00"/>
    <n v="34"/>
    <m/>
    <m/>
    <m/>
    <m/>
    <m/>
    <m/>
    <m/>
  </r>
  <r>
    <n v="454"/>
    <m/>
    <s v="W16011"/>
    <x v="178"/>
    <s v="E-US"/>
    <s v="美国"/>
    <s v="TX331_100ML"/>
    <n v="128"/>
    <x v="3"/>
    <s v="盐田海卡"/>
    <s v="GEU3"/>
    <s v="TX331_100ML"/>
    <s v="TX331_100ML 檀香33号100mL香氛油（天竺） 销售包装"/>
    <s v="Oil-TZ"/>
    <n v="2"/>
    <n v="7.8461538461538458E-2"/>
    <s v="CBM收费"/>
    <n v="1220"/>
    <n v="180"/>
    <n v="11.612903225806452"/>
    <n v="107.33598014888337"/>
    <n v="0.83856234491315129"/>
    <n v="0.12515855894226138"/>
    <m/>
    <m/>
    <m/>
    <x v="24"/>
    <x v="43"/>
    <m/>
    <n v="0.36"/>
    <n v="46.08"/>
    <d v="2026-05-21T00:00:00"/>
    <n v="34"/>
    <m/>
    <m/>
    <m/>
    <m/>
    <m/>
    <m/>
    <m/>
  </r>
  <r>
    <n v="455"/>
    <m/>
    <s v="W16011"/>
    <x v="178"/>
    <s v="E-US"/>
    <s v="美国"/>
    <s v="W1-100ML_TZ"/>
    <n v="256"/>
    <x v="3"/>
    <s v="盐田海卡"/>
    <s v="GEU3"/>
    <s v="W1-100ML_TZ"/>
    <s v="W1-100ML_TZ W酒店100mL香氛油（天竺） 销售包装"/>
    <s v="Oil-TZ"/>
    <n v="4"/>
    <n v="0.15692307692307692"/>
    <s v="CBM收费"/>
    <n v="1220"/>
    <m/>
    <n v="23.225806451612904"/>
    <n v="214.67196029776673"/>
    <n v="0.83856234491315129"/>
    <n v="0.12515855894226138"/>
    <m/>
    <m/>
    <m/>
    <x v="24"/>
    <x v="43"/>
    <m/>
    <n v="0.36"/>
    <n v="92.16"/>
    <d v="2026-05-21T00:00:00"/>
    <n v="34"/>
    <m/>
    <m/>
    <m/>
    <m/>
    <m/>
    <m/>
    <m/>
  </r>
  <r>
    <n v="456"/>
    <m/>
    <s v="W16011"/>
    <x v="178"/>
    <s v="E-US"/>
    <s v="美国"/>
    <s v="HILTON1-100ML_TZ"/>
    <n v="512"/>
    <x v="3"/>
    <s v="盐田海卡"/>
    <s v="GEU3"/>
    <s v="HILTON1-100ML_TZ"/>
    <s v="HILTON1-100ML_TZ 希尔顿酒店100mL香氛油（天竺） 销售包装"/>
    <s v="Oil-TZ"/>
    <n v="8"/>
    <n v="0.31384615384615383"/>
    <s v="CBM收费"/>
    <n v="1220"/>
    <m/>
    <n v="46.451612903225808"/>
    <n v="429.34392059553346"/>
    <n v="0.83856234491315129"/>
    <n v="0.12515855894226138"/>
    <m/>
    <m/>
    <m/>
    <x v="24"/>
    <x v="43"/>
    <m/>
    <n v="0.36"/>
    <n v="184.32"/>
    <d v="2026-05-21T00:00:00"/>
    <n v="34"/>
    <m/>
    <m/>
    <m/>
    <m/>
    <m/>
    <m/>
    <m/>
  </r>
  <r>
    <n v="457"/>
    <m/>
    <s v="W16011"/>
    <x v="178"/>
    <s v="E-US"/>
    <s v="美国"/>
    <s v="YH1-100ML_TZ"/>
    <n v="128"/>
    <x v="3"/>
    <s v="盐田海卡"/>
    <s v="GEU3"/>
    <s v="YH1-100ML_TZ"/>
    <s v="YH1-100ML_TZ 樱花100mL香氛油（天竺）销售包装"/>
    <s v="Oil-TZ"/>
    <n v="2"/>
    <n v="7.8461538461538458E-2"/>
    <s v="CBM收费"/>
    <n v="1220"/>
    <m/>
    <n v="11.612903225806452"/>
    <n v="107.33598014888337"/>
    <n v="0.83856234491315129"/>
    <n v="0.12515855894226138"/>
    <m/>
    <m/>
    <m/>
    <x v="24"/>
    <x v="43"/>
    <m/>
    <n v="0.36"/>
    <n v="46.08"/>
    <d v="2026-05-21T00:00:00"/>
    <n v="34"/>
    <m/>
    <m/>
    <m/>
    <m/>
    <m/>
    <m/>
    <m/>
  </r>
  <r>
    <n v="458"/>
    <m/>
    <s v="W16011"/>
    <x v="178"/>
    <s v="E-US"/>
    <s v="美国"/>
    <s v="YZTT1_100ML"/>
    <n v="64"/>
    <x v="3"/>
    <s v="盐田海卡"/>
    <s v="GEU3"/>
    <s v="YZTT1_100ML"/>
    <s v="YZTT1_100ML 柚子天堂100mL香氛油（天竺） 销售包装"/>
    <s v="Oil-TZ"/>
    <n v="1"/>
    <n v="3.9230769230769229E-2"/>
    <s v="CBM收费"/>
    <n v="1220"/>
    <m/>
    <n v="5.806451612903226"/>
    <n v="53.667990074441683"/>
    <n v="0.83856234491315129"/>
    <n v="0.12515855894226138"/>
    <m/>
    <m/>
    <m/>
    <x v="24"/>
    <x v="43"/>
    <m/>
    <n v="0.36"/>
    <n v="23.04"/>
    <d v="2026-05-21T00:00:00"/>
    <n v="34"/>
    <m/>
    <m/>
    <m/>
    <m/>
    <m/>
    <m/>
    <m/>
  </r>
  <r>
    <n v="459"/>
    <m/>
    <s v="W16011"/>
    <x v="178"/>
    <s v="E-US"/>
    <s v="美国"/>
    <s v="TXY1_100ML"/>
    <n v="64"/>
    <x v="3"/>
    <s v="盐田海卡"/>
    <s v="GEU3"/>
    <s v="TXY1_100ML"/>
    <s v="TXY1_100ML 桃星云100mL香氛油（天竺） 销售包装"/>
    <s v="Oil-TZ"/>
    <n v="1"/>
    <n v="3.9230769230769229E-2"/>
    <s v="CBM收费"/>
    <n v="1220"/>
    <m/>
    <n v="5.806451612903226"/>
    <n v="53.667990074441683"/>
    <n v="0.83856234491315129"/>
    <n v="0.12515855894226138"/>
    <m/>
    <m/>
    <m/>
    <x v="24"/>
    <x v="43"/>
    <m/>
    <n v="0.36"/>
    <n v="23.04"/>
    <d v="2026-05-21T00:00:00"/>
    <n v="34"/>
    <m/>
    <m/>
    <m/>
    <m/>
    <m/>
    <m/>
    <m/>
  </r>
  <r>
    <n v="460"/>
    <m/>
    <s v="W16011"/>
    <x v="179"/>
    <s v="V-US"/>
    <s v="美国"/>
    <s v="RZ1-500ML_TZ"/>
    <n v="100"/>
    <x v="3"/>
    <s v="盐田海卡"/>
    <s v="GEU3"/>
    <s v="RZ1-500ML_TZ"/>
    <s v="RZ1-500ML_TZ 丽思卡尔顿酒店500mL香氛油（天竺） 销售包装"/>
    <s v="Oil-TZ"/>
    <n v="5"/>
    <n v="0.2"/>
    <s v="CBM收费"/>
    <n v="1220"/>
    <m/>
    <n v="29.032258064516128"/>
    <n v="273.0322580645161"/>
    <n v="2.730322580645161"/>
    <n v="0.40751083293211354"/>
    <m/>
    <m/>
    <m/>
    <x v="24"/>
    <x v="43"/>
    <m/>
    <n v="0.44"/>
    <n v="44"/>
    <d v="2026-05-21T00:00:00"/>
    <n v="34"/>
    <m/>
    <m/>
    <m/>
    <m/>
    <m/>
    <m/>
    <m/>
  </r>
  <r>
    <n v="461"/>
    <m/>
    <s v="W16004"/>
    <x v="180"/>
    <s v="A-CA"/>
    <s v="加拿大"/>
    <s v="002000020"/>
    <n v="84"/>
    <x v="0"/>
    <s v="加拿大海卡"/>
    <s v="YYZ7"/>
    <s v="H2-B"/>
    <s v="H2-B 电子指纹球形把手锁-黑色"/>
    <s v="H2"/>
    <n v="7"/>
    <n v="96.25"/>
    <s v="重量收费"/>
    <n v="5.4"/>
    <n v="250"/>
    <n v="44.871794871794869"/>
    <n v="564.62179487179492"/>
    <n v="6.721688034188035"/>
    <n v="1.0032370200280649"/>
    <m/>
    <m/>
    <m/>
    <x v="24"/>
    <x v="53"/>
    <m/>
    <n v="0"/>
    <n v="0"/>
    <d v="2026-05-29T00:00:00"/>
    <n v="42"/>
    <m/>
    <m/>
    <m/>
    <m/>
    <m/>
    <m/>
    <m/>
  </r>
  <r>
    <n v="462"/>
    <m/>
    <s v="W16004"/>
    <x v="180"/>
    <s v="A-CA"/>
    <s v="加拿大"/>
    <s v="002000023"/>
    <n v="60"/>
    <x v="0"/>
    <s v="加拿大海卡"/>
    <s v="YYZ7"/>
    <s v="H2-SILV"/>
    <s v="H2-SILV 电子指纹球形把手锁-银色"/>
    <s v="H2"/>
    <n v="5"/>
    <n v="68.75"/>
    <s v="重量收费"/>
    <n v="5.4"/>
    <n v="250"/>
    <n v="32.051282051282051"/>
    <n v="403.30128205128204"/>
    <n v="6.7216880341880341"/>
    <n v="1.0032370200280647"/>
    <m/>
    <m/>
    <m/>
    <x v="24"/>
    <x v="53"/>
    <m/>
    <n v="0"/>
    <n v="0"/>
    <d v="2026-05-29T00:00:00"/>
    <n v="42"/>
    <m/>
    <m/>
    <m/>
    <m/>
    <m/>
    <m/>
    <m/>
  </r>
  <r>
    <n v="463"/>
    <m/>
    <s v="W16004"/>
    <x v="180"/>
    <s v="A-CA"/>
    <s v="加拿大"/>
    <s v="002000001"/>
    <n v="240"/>
    <x v="0"/>
    <s v="加拿大海卡"/>
    <s v="YYZ7"/>
    <s v="K1-B"/>
    <s v="K1-B 电子球形把手锁-黑色"/>
    <s v="K1"/>
    <n v="20"/>
    <n v="275"/>
    <s v="重量收费"/>
    <n v="5.4"/>
    <m/>
    <n v="128.2051282051282"/>
    <n v="1613.2051282051282"/>
    <n v="6.7216880341880341"/>
    <n v="1.0032370200280647"/>
    <m/>
    <m/>
    <m/>
    <x v="24"/>
    <x v="53"/>
    <m/>
    <n v="0"/>
    <n v="0"/>
    <d v="2026-05-29T00:00:00"/>
    <n v="42"/>
    <m/>
    <m/>
    <m/>
    <m/>
    <m/>
    <m/>
    <m/>
  </r>
  <r>
    <n v="464"/>
    <m/>
    <s v="W16013"/>
    <x v="181"/>
    <s v="E-US"/>
    <s v="美国"/>
    <s v="003000014"/>
    <n v="72"/>
    <x v="2"/>
    <s v="美中海卡"/>
    <s v="FTW5"/>
    <s v="AP2US-H14"/>
    <s v="AP2US-H14 内置H14滤网桌面式空气净化器2-美规"/>
    <s v="AP2"/>
    <n v="18"/>
    <n v="425"/>
    <s v="重量收费"/>
    <n v="5.7"/>
    <n v="200"/>
    <n v="200"/>
    <n v="2622.5"/>
    <n v="36.423611111111114"/>
    <n v="5.4363598673300171"/>
    <m/>
    <m/>
    <m/>
    <x v="24"/>
    <x v="56"/>
    <m/>
    <n v="0"/>
    <n v="0"/>
    <d v="2026-06-11T00:00:00"/>
    <n v="55"/>
    <m/>
    <m/>
    <m/>
    <m/>
    <m/>
    <m/>
    <m/>
  </r>
  <r>
    <n v="465"/>
    <m/>
    <s v="W16008"/>
    <x v="182"/>
    <s v="E-US"/>
    <s v="美国"/>
    <s v="003000014"/>
    <n v="72"/>
    <x v="7"/>
    <s v="盐田海卡"/>
    <s v="TPA2"/>
    <s v="AP2US-H14"/>
    <s v="AP2US-H14 内置H14滤网桌面式空气净化器2-美规"/>
    <s v="AP2"/>
    <n v="18"/>
    <n v="438"/>
    <s v="重量收费"/>
    <n v="5.2"/>
    <n v="200"/>
    <n v="100"/>
    <n v="2377.6"/>
    <n v="33.022222222222219"/>
    <n v="4.9286898839137638"/>
    <m/>
    <m/>
    <m/>
    <x v="24"/>
    <x v="57"/>
    <m/>
    <n v="0"/>
    <n v="0"/>
    <m/>
    <n v="-46129"/>
    <m/>
    <m/>
    <m/>
    <m/>
    <m/>
    <m/>
    <m/>
  </r>
  <r>
    <n v="466"/>
    <m/>
    <s v="W16008"/>
    <x v="183"/>
    <s v="E-US"/>
    <s v="美国"/>
    <s v="003000014"/>
    <n v="72"/>
    <x v="7"/>
    <s v="盐田海卡"/>
    <s v="MGE3"/>
    <s v="AP2US-H14"/>
    <s v="AP2US-H14 内置H14滤网桌面式空气净化器2-美规"/>
    <s v="AP2"/>
    <n v="18"/>
    <n v="438"/>
    <s v="重量收费"/>
    <n v="5"/>
    <n v="200"/>
    <n v="100"/>
    <n v="2290"/>
    <n v="31.805555555555557"/>
    <n v="4.74709784411277"/>
    <m/>
    <m/>
    <m/>
    <x v="24"/>
    <x v="57"/>
    <m/>
    <n v="0"/>
    <n v="0"/>
    <m/>
    <n v="-46129"/>
    <m/>
    <m/>
    <m/>
    <m/>
    <m/>
    <m/>
    <m/>
  </r>
  <r>
    <n v="467"/>
    <m/>
    <s v="W16009"/>
    <x v="184"/>
    <s v="E-US"/>
    <s v="美国"/>
    <s v="003000014"/>
    <n v="72"/>
    <x v="7"/>
    <s v="盐田海卡"/>
    <s v="TEB6"/>
    <s v="AP2US-H14"/>
    <s v="AP2US-H14 内置H14滤网桌面式空气净化器2-美规"/>
    <s v="AP2"/>
    <n v="18"/>
    <n v="437"/>
    <s v="重量收费"/>
    <n v="4.7"/>
    <n v="200"/>
    <n v="200"/>
    <n v="2253.9"/>
    <n v="31.304166666666667"/>
    <n v="4.6722636815920398"/>
    <m/>
    <m/>
    <m/>
    <x v="24"/>
    <x v="58"/>
    <m/>
    <n v="0"/>
    <n v="0"/>
    <m/>
    <n v="-46129"/>
    <m/>
    <m/>
    <m/>
    <m/>
    <m/>
    <m/>
    <m/>
  </r>
  <r>
    <n v="468"/>
    <m/>
    <s v="W16005"/>
    <x v="185"/>
    <s v="E-US"/>
    <s v="美国"/>
    <s v="003000014"/>
    <n v="72"/>
    <x v="7"/>
    <s v="盐田海卡"/>
    <s v="DEN8"/>
    <s v="AP2US-H14"/>
    <s v="AP2US-H14 内置H14滤网桌面式空气净化器2-美规"/>
    <s v="AP2"/>
    <n v="18"/>
    <n v="437"/>
    <s v="重量收费"/>
    <n v="5.8"/>
    <n v="200"/>
    <n v="29.032258064516128"/>
    <n v="2563.632258064516"/>
    <n v="35.606003584229391"/>
    <n v="5.3143288931685655"/>
    <m/>
    <m/>
    <m/>
    <x v="24"/>
    <x v="55"/>
    <m/>
    <n v="0"/>
    <n v="0"/>
    <d v="2026-06-02T00:00:00"/>
    <n v="46"/>
    <m/>
    <m/>
    <m/>
    <m/>
    <m/>
    <m/>
    <m/>
  </r>
  <r>
    <n v="469"/>
    <m/>
    <s v="W16003"/>
    <x v="186"/>
    <s v="E-UK"/>
    <s v="英国"/>
    <s v="003000007"/>
    <n v="36"/>
    <x v="2"/>
    <s v="英国海卡"/>
    <s v="LBA4"/>
    <s v="AP2F-H14"/>
    <s v="AP2F-H14 空气净化器滤网2-H14"/>
    <s v="AP2F"/>
    <n v="1"/>
    <n v="22"/>
    <s v="重量收费"/>
    <n v="4.4000000000000004"/>
    <n v="550"/>
    <n v="45.833333333333336"/>
    <n v="142.63333333333335"/>
    <n v="3.9620370370370375"/>
    <n v="0.59134881149806529"/>
    <m/>
    <m/>
    <m/>
    <x v="24"/>
    <x v="53"/>
    <m/>
    <n v="0"/>
    <n v="0"/>
    <d v="2026-06-04T00:00:00"/>
    <n v="48"/>
    <m/>
    <m/>
    <m/>
    <m/>
    <m/>
    <m/>
    <m/>
  </r>
  <r>
    <n v="470"/>
    <m/>
    <s v="W17002"/>
    <x v="187"/>
    <s v="W-DE"/>
    <s v="德国"/>
    <s v="001000019"/>
    <n v="280"/>
    <x v="0"/>
    <s v="欧洲海卡"/>
    <s v="BER8"/>
    <s v="AN6-B"/>
    <s v="AN6-B 便携式扩香仪 黑色"/>
    <s v="AN6"/>
    <n v="7"/>
    <n v="101.0625"/>
    <s v="重量收费"/>
    <n v="7.2"/>
    <n v="250"/>
    <n v="109.375"/>
    <n v="837.02499999999998"/>
    <n v="2.9893749999999999"/>
    <n v="0.44617537313432831"/>
    <m/>
    <m/>
    <m/>
    <x v="26"/>
    <x v="59"/>
    <m/>
    <n v="0"/>
    <n v="0"/>
    <m/>
    <n v="-46136"/>
    <m/>
    <m/>
    <m/>
    <m/>
    <m/>
    <m/>
    <m/>
  </r>
  <r>
    <n v="471"/>
    <m/>
    <s v="W17002"/>
    <x v="187"/>
    <s v="W-DE"/>
    <s v="德国"/>
    <s v="001000040"/>
    <n v="80"/>
    <x v="0"/>
    <s v="欧洲海卡"/>
    <s v="BER8"/>
    <s v="AN6-LB"/>
    <s v="AN6-LB 便携式扩香仪 浅钢蓝色"/>
    <s v="AN6"/>
    <n v="2"/>
    <n v="28.875"/>
    <s v="重量收费"/>
    <n v="7.2"/>
    <n v="250"/>
    <n v="31.25"/>
    <n v="239.15"/>
    <n v="2.9893749999999999"/>
    <n v="0.44617537313432831"/>
    <m/>
    <m/>
    <m/>
    <x v="26"/>
    <x v="59"/>
    <m/>
    <n v="0"/>
    <n v="0"/>
    <m/>
    <n v="-46136"/>
    <m/>
    <m/>
    <m/>
    <m/>
    <m/>
    <m/>
    <m/>
  </r>
  <r>
    <n v="472"/>
    <m/>
    <s v="W17002"/>
    <x v="187"/>
    <s v="W-DE"/>
    <s v="德国"/>
    <s v="RD1-B"/>
    <n v="120"/>
    <x v="0"/>
    <s v="欧洲海卡"/>
    <s v="BER8"/>
    <s v="RD1-B"/>
    <s v="RD1-B 便携式扩香仪 黑色"/>
    <s v="RD1"/>
    <n v="4"/>
    <n v="57.75"/>
    <s v="重量收费"/>
    <n v="7.2"/>
    <m/>
    <n v="62.5"/>
    <n v="478.3"/>
    <n v="3.9858333333333333"/>
    <n v="0.59490049751243779"/>
    <m/>
    <m/>
    <m/>
    <x v="26"/>
    <x v="59"/>
    <m/>
    <n v="0"/>
    <n v="0"/>
    <m/>
    <n v="-46136"/>
    <m/>
    <m/>
    <m/>
    <m/>
    <m/>
    <m/>
    <m/>
  </r>
  <r>
    <n v="473"/>
    <m/>
    <s v="W17002"/>
    <x v="187"/>
    <s v="W-DE"/>
    <s v="德国"/>
    <s v="RD1-DT"/>
    <n v="90"/>
    <x v="0"/>
    <s v="欧洲海卡"/>
    <s v="BER8"/>
    <s v="RD1-DT"/>
    <s v="RD1-DT 便携式扩香仪 沙漠钛色"/>
    <s v="RD1"/>
    <n v="3"/>
    <n v="43.3125"/>
    <s v="重量收费"/>
    <n v="7.2"/>
    <m/>
    <n v="46.875"/>
    <n v="358.72500000000002"/>
    <n v="3.9858333333333338"/>
    <n v="0.5949004975124379"/>
    <m/>
    <m/>
    <m/>
    <x v="26"/>
    <x v="59"/>
    <m/>
    <n v="0"/>
    <n v="0"/>
    <m/>
    <n v="-46136"/>
    <m/>
    <m/>
    <m/>
    <m/>
    <m/>
    <m/>
    <m/>
  </r>
  <r>
    <n v="474"/>
    <m/>
    <s v="W17001"/>
    <x v="188"/>
    <s v="E-AU"/>
    <s v="澳洲"/>
    <s v="AND-B"/>
    <n v="90"/>
    <x v="4"/>
    <s v="澳洲海卡"/>
    <s v="BWU2"/>
    <s v="AND-B"/>
    <s v="AND-B 便携式双喷扩香仪 黑色"/>
    <s v="AND"/>
    <n v="3"/>
    <n v="44.53846153846154"/>
    <s v="重量收费"/>
    <n v="8"/>
    <n v="350"/>
    <n v="80.769230769230774"/>
    <n v="437.07692307692309"/>
    <n v="4.8564102564102569"/>
    <n v="0.72483735170302344"/>
    <m/>
    <m/>
    <m/>
    <x v="26"/>
    <x v="42"/>
    <m/>
    <n v="0"/>
    <n v="0"/>
    <d v="2026-06-08T00:00:00"/>
    <n v="45"/>
    <m/>
    <m/>
    <m/>
    <m/>
    <m/>
    <m/>
    <m/>
  </r>
  <r>
    <n v="475"/>
    <m/>
    <s v="W17001"/>
    <x v="188"/>
    <s v="E-AU"/>
    <s v="澳洲"/>
    <s v="AND-G"/>
    <n v="30"/>
    <x v="4"/>
    <s v="澳洲海卡"/>
    <s v="BWU2"/>
    <s v="AND-G"/>
    <s v="AND-G 便携式双喷扩香仪 灰色"/>
    <s v="AND"/>
    <n v="1"/>
    <n v="14.846153846153847"/>
    <s v="重量收费"/>
    <n v="8"/>
    <n v="350"/>
    <n v="26.923076923076923"/>
    <n v="145.69230769230771"/>
    <n v="4.8564102564102569"/>
    <n v="0.72483735170302344"/>
    <m/>
    <m/>
    <m/>
    <x v="26"/>
    <x v="42"/>
    <m/>
    <n v="0"/>
    <n v="0"/>
    <d v="2026-06-08T00:00:00"/>
    <n v="45"/>
    <m/>
    <m/>
    <m/>
    <m/>
    <m/>
    <m/>
    <m/>
  </r>
  <r>
    <n v="476"/>
    <m/>
    <s v="W17001"/>
    <x v="188"/>
    <s v="E-AU"/>
    <s v="澳洲"/>
    <s v="001000052"/>
    <n v="60"/>
    <x v="4"/>
    <s v="澳洲海卡"/>
    <s v="BWU2"/>
    <s v="ANX-DT"/>
    <s v="ANX-DT 便携式扩香仪 沙漠钛色"/>
    <s v="ANX"/>
    <n v="2"/>
    <n v="29.692307692307693"/>
    <s v="重量收费"/>
    <n v="8"/>
    <m/>
    <n v="53.846153846153847"/>
    <n v="291.38461538461542"/>
    <n v="4.8564102564102569"/>
    <n v="0.72483735170302344"/>
    <m/>
    <m/>
    <m/>
    <x v="26"/>
    <x v="42"/>
    <m/>
    <n v="0"/>
    <n v="0"/>
    <d v="2026-06-08T00:00:00"/>
    <n v="45"/>
    <m/>
    <m/>
    <m/>
    <m/>
    <m/>
    <m/>
    <m/>
  </r>
  <r>
    <n v="477"/>
    <m/>
    <s v="W17001"/>
    <x v="188"/>
    <s v="E-AU"/>
    <s v="澳洲"/>
    <s v="RD1-B"/>
    <n v="120"/>
    <x v="4"/>
    <s v="澳洲海卡"/>
    <s v="BWU2"/>
    <s v="RD1-B"/>
    <s v="RD1-B 便携式扩香仪 黑色"/>
    <s v="RD1"/>
    <n v="4"/>
    <n v="59.384615384615387"/>
    <s v="重量收费"/>
    <n v="8"/>
    <m/>
    <n v="107.69230769230769"/>
    <n v="582.76923076923083"/>
    <n v="4.8564102564102569"/>
    <n v="0.72483735170302344"/>
    <m/>
    <m/>
    <m/>
    <x v="26"/>
    <x v="42"/>
    <m/>
    <n v="0"/>
    <n v="0"/>
    <d v="2026-06-08T00:00:00"/>
    <n v="45"/>
    <m/>
    <m/>
    <m/>
    <m/>
    <m/>
    <m/>
    <m/>
  </r>
  <r>
    <n v="478"/>
    <m/>
    <s v="W17001"/>
    <x v="188"/>
    <s v="E-AU"/>
    <s v="澳洲"/>
    <s v="RD1-DT"/>
    <n v="90"/>
    <x v="4"/>
    <s v="澳洲海卡"/>
    <s v="BWU2"/>
    <s v="RD1-DT"/>
    <s v="RD1-DT 便携式扩香仪 沙漠钛色"/>
    <s v="RD1"/>
    <n v="3"/>
    <n v="44.53846153846154"/>
    <s v="重量收费"/>
    <n v="8"/>
    <m/>
    <n v="80.769230769230774"/>
    <n v="437.07692307692309"/>
    <n v="4.8564102564102569"/>
    <n v="0.72483735170302344"/>
    <m/>
    <m/>
    <m/>
    <x v="26"/>
    <x v="42"/>
    <m/>
    <n v="0"/>
    <n v="0"/>
    <d v="2026-06-08T00:00:00"/>
    <n v="45"/>
    <m/>
    <m/>
    <m/>
    <m/>
    <m/>
    <m/>
    <m/>
  </r>
  <r>
    <n v="479"/>
    <m/>
    <s v="W17006"/>
    <x v="189"/>
    <s v="E-US"/>
    <s v="美国"/>
    <s v="ANZ-B"/>
    <n v="1200"/>
    <x v="7"/>
    <s v="盐田海卡"/>
    <s v="GEU2"/>
    <s v="ANZ-B"/>
    <s v="ANZ-B 便携式扩香仪 黑色"/>
    <s v="ANZ"/>
    <n v="30"/>
    <n v="402.85714285714289"/>
    <s v="重量收费"/>
    <n v="3.8"/>
    <n v="200"/>
    <n v="34.482758620689658"/>
    <n v="1565.3399014778327"/>
    <n v="1.3044499178981939"/>
    <n v="0.19469401759674534"/>
    <m/>
    <m/>
    <m/>
    <x v="27"/>
    <x v="60"/>
    <m/>
    <n v="0.36"/>
    <n v="432"/>
    <d v="2026-06-07T00:00:00"/>
    <n v="42"/>
    <m/>
    <m/>
    <m/>
    <m/>
    <m/>
    <m/>
    <m/>
  </r>
  <r>
    <n v="480"/>
    <m/>
    <s v="W17006"/>
    <x v="189"/>
    <s v="E-US"/>
    <s v="美国"/>
    <s v="ANZ-WH"/>
    <n v="200"/>
    <x v="7"/>
    <s v="盐田海卡"/>
    <s v="GEU2"/>
    <s v="ANZ-WH"/>
    <s v="ANZ-WH 便携式扩香仪 白色"/>
    <s v="ANZ"/>
    <n v="5"/>
    <n v="67.142857142857139"/>
    <s v="重量收费"/>
    <n v="3.8"/>
    <n v="200"/>
    <n v="5.7471264367816088"/>
    <n v="260.88998357963874"/>
    <n v="1.3044499178981936"/>
    <n v="0.19469401759674532"/>
    <m/>
    <m/>
    <m/>
    <x v="27"/>
    <x v="60"/>
    <m/>
    <n v="0.36"/>
    <n v="72"/>
    <d v="2026-06-07T00:00:00"/>
    <n v="42"/>
    <m/>
    <m/>
    <m/>
    <m/>
    <m/>
    <m/>
    <m/>
  </r>
  <r>
    <n v="481"/>
    <m/>
    <s v="W17009"/>
    <x v="190"/>
    <s v="E-US"/>
    <s v="美国"/>
    <s v="ANZ-WH"/>
    <n v="400"/>
    <x v="2"/>
    <s v="美森海卡"/>
    <s v="TCY2"/>
    <s v="ANZ-WH"/>
    <s v="ANZ-WH 便携式扩香仪 白色"/>
    <s v="ANZ"/>
    <n v="10"/>
    <n v="133"/>
    <s v="重量收费"/>
    <n v="8.5"/>
    <n v="200"/>
    <n v="105.26315789473684"/>
    <n v="1235.7631578947369"/>
    <n v="3.0894078947368424"/>
    <n v="0.46110565593087199"/>
    <m/>
    <m/>
    <m/>
    <x v="28"/>
    <x v="61"/>
    <m/>
    <n v="0.36"/>
    <n v="144"/>
    <d v="2026-05-25T00:00:00"/>
    <n v="30"/>
    <m/>
    <m/>
    <m/>
    <m/>
    <m/>
    <m/>
    <m/>
  </r>
  <r>
    <n v="482"/>
    <m/>
    <s v="W17003"/>
    <x v="191"/>
    <s v="E-US"/>
    <s v="美国"/>
    <s v="001000045"/>
    <n v="210"/>
    <x v="0"/>
    <s v="盐田海卡"/>
    <s v="HLI2"/>
    <s v="ANX-B"/>
    <s v="ANX-B 便携式扩香仪 黑色"/>
    <s v="ANX"/>
    <n v="7"/>
    <n v="87.333333333333329"/>
    <s v="重量收费"/>
    <n v="4.4000000000000004"/>
    <n v="200"/>
    <n v="8.536585365853659"/>
    <n v="392.80325203252033"/>
    <n v="1.870491676345335"/>
    <n v="0.27917786214109475"/>
    <m/>
    <m/>
    <m/>
    <x v="28"/>
    <x v="62"/>
    <m/>
    <n v="0.44"/>
    <n v="92.4"/>
    <m/>
    <n v="-46137"/>
    <m/>
    <m/>
    <m/>
    <m/>
    <m/>
    <m/>
    <m/>
  </r>
  <r>
    <n v="483"/>
    <m/>
    <s v="W17003"/>
    <x v="191"/>
    <s v="E-US"/>
    <s v="美国"/>
    <s v="001000049"/>
    <n v="90"/>
    <x v="0"/>
    <s v="盐田海卡"/>
    <s v="HLI2"/>
    <s v="ANX-IB"/>
    <s v="ANX-IB 便携式扩香仪 冰蓝色"/>
    <s v="ANX"/>
    <n v="3"/>
    <n v="37.428571428571431"/>
    <s v="重量收费"/>
    <n v="4.4000000000000004"/>
    <n v="200"/>
    <n v="3.6585365853658538"/>
    <n v="168.34425087108016"/>
    <n v="1.8704916763453352"/>
    <n v="0.2791778621410948"/>
    <m/>
    <m/>
    <m/>
    <x v="28"/>
    <x v="62"/>
    <m/>
    <n v="0.44"/>
    <n v="39.6"/>
    <m/>
    <n v="-46137"/>
    <m/>
    <m/>
    <m/>
    <m/>
    <m/>
    <m/>
    <m/>
  </r>
  <r>
    <n v="484"/>
    <m/>
    <s v="W17003"/>
    <x v="191"/>
    <s v="E-US"/>
    <s v="美国"/>
    <s v="001000051"/>
    <n v="150"/>
    <x v="0"/>
    <s v="盐田海卡"/>
    <s v="HLI2"/>
    <s v="ANX-SG"/>
    <s v="ANX-SG 便携式扩香仪 太空灰色"/>
    <s v="ANX"/>
    <n v="5"/>
    <n v="62.38095238095238"/>
    <s v="重量收费"/>
    <n v="4.4000000000000004"/>
    <m/>
    <n v="6.0975609756097562"/>
    <n v="280.57375145180026"/>
    <n v="1.870491676345335"/>
    <n v="0.27917786214109475"/>
    <m/>
    <m/>
    <m/>
    <x v="28"/>
    <x v="62"/>
    <m/>
    <n v="0.44"/>
    <n v="66"/>
    <m/>
    <n v="-46137"/>
    <m/>
    <m/>
    <m/>
    <m/>
    <m/>
    <m/>
    <m/>
  </r>
  <r>
    <n v="485"/>
    <m/>
    <s v="W17003"/>
    <x v="191"/>
    <s v="E-US"/>
    <s v="美国"/>
    <s v="001000052"/>
    <n v="180"/>
    <x v="0"/>
    <s v="盐田海卡"/>
    <s v="HLI2"/>
    <s v="ANX-DT"/>
    <s v="ANX-DT 便携式扩香仪 沙漠钛色"/>
    <s v="ANX"/>
    <n v="6"/>
    <n v="74.857142857142861"/>
    <s v="重量收费"/>
    <n v="4.4000000000000004"/>
    <m/>
    <n v="7.3170731707317076"/>
    <n v="336.68850174216033"/>
    <n v="1.8704916763453352"/>
    <n v="0.2791778621410948"/>
    <m/>
    <m/>
    <m/>
    <x v="28"/>
    <x v="62"/>
    <m/>
    <n v="0.44"/>
    <n v="79.2"/>
    <m/>
    <n v="-46137"/>
    <m/>
    <m/>
    <m/>
    <m/>
    <m/>
    <m/>
    <m/>
  </r>
  <r>
    <n v="486"/>
    <m/>
    <s v="W17006"/>
    <x v="192"/>
    <s v="V-US"/>
    <s v="美国"/>
    <s v="001000030"/>
    <n v="288"/>
    <x v="7"/>
    <s v="盐田海卡"/>
    <s v="GEU2"/>
    <s v="AN6B-NZB"/>
    <s v="AN6B-NZB 便携式扩香仪套装 黑机器+黑喷嘴"/>
    <s v="AN6"/>
    <n v="9"/>
    <n v="120.85714285714286"/>
    <s v="重量收费"/>
    <n v="3.8"/>
    <n v="200"/>
    <n v="10.344827586206897"/>
    <n v="469.60197044334979"/>
    <n v="1.6305623973727423"/>
    <n v="0.24336752199593167"/>
    <m/>
    <m/>
    <m/>
    <x v="27"/>
    <x v="60"/>
    <m/>
    <n v="0.38274661508704061"/>
    <n v="110.23102514506769"/>
    <d v="2026-06-06T00:00:00"/>
    <n v="41"/>
    <m/>
    <m/>
    <m/>
    <m/>
    <m/>
    <m/>
    <m/>
  </r>
  <r>
    <n v="487"/>
    <m/>
    <s v="W17006"/>
    <x v="192"/>
    <s v="V-US"/>
    <s v="美国"/>
    <s v="001000019"/>
    <n v="1400"/>
    <x v="7"/>
    <s v="盐田海卡"/>
    <s v="GEU2"/>
    <s v="AN6-B"/>
    <s v="AN6-B 便携式扩香仪 黑色"/>
    <s v="AN6"/>
    <n v="35"/>
    <n v="470"/>
    <s v="重量收费"/>
    <n v="3.8"/>
    <n v="200"/>
    <n v="40.229885057471265"/>
    <n v="1826.2298850574712"/>
    <n v="1.3044499178981936"/>
    <n v="0.19469401759674532"/>
    <m/>
    <m/>
    <m/>
    <x v="27"/>
    <x v="60"/>
    <m/>
    <n v="0.38274661508704061"/>
    <n v="535.84526112185688"/>
    <d v="2026-06-06T00:00:00"/>
    <n v="41"/>
    <m/>
    <m/>
    <m/>
    <m/>
    <m/>
    <m/>
    <m/>
  </r>
  <r>
    <n v="488"/>
    <m/>
    <s v="W17006"/>
    <x v="192"/>
    <s v="V-US"/>
    <s v="美国"/>
    <s v="AN6-YG"/>
    <n v="80"/>
    <x v="7"/>
    <s v="盐田海卡"/>
    <s v="GEU2"/>
    <s v="AN6-YG"/>
    <s v="AN6-YG 便携式扩香仪 乳酪色"/>
    <s v="AN6"/>
    <n v="2"/>
    <n v="26.857142857142858"/>
    <s v="重量收费"/>
    <n v="3.8"/>
    <m/>
    <n v="2.2988505747126435"/>
    <n v="104.3559934318555"/>
    <n v="1.3044499178981936"/>
    <n v="0.19469401759674532"/>
    <m/>
    <m/>
    <m/>
    <x v="27"/>
    <x v="60"/>
    <m/>
    <n v="0.38274661508704061"/>
    <n v="30.61972920696325"/>
    <d v="2026-06-06T00:00:00"/>
    <n v="41"/>
    <m/>
    <m/>
    <m/>
    <m/>
    <m/>
    <m/>
    <m/>
  </r>
  <r>
    <n v="489"/>
    <m/>
    <s v="W17006"/>
    <x v="192"/>
    <s v="V-US"/>
    <s v="美国"/>
    <s v="RD1-DT"/>
    <n v="300"/>
    <x v="7"/>
    <s v="盐田海卡"/>
    <s v="GEU2"/>
    <s v="RD1-DT"/>
    <s v="RD1-DT 便携式扩香仪 沙漠钛色"/>
    <s v="RD1"/>
    <n v="10"/>
    <n v="134.28571428571428"/>
    <s v="重量收费"/>
    <n v="3.8"/>
    <m/>
    <n v="11.494252873563218"/>
    <n v="521.77996715927748"/>
    <n v="1.7392665571975916"/>
    <n v="0.25959202346232707"/>
    <m/>
    <m/>
    <m/>
    <x v="27"/>
    <x v="60"/>
    <m/>
    <n v="0.38274661508704061"/>
    <n v="114.82398452611218"/>
    <d v="2026-06-06T00:00:00"/>
    <n v="41"/>
    <m/>
    <m/>
    <m/>
    <m/>
    <m/>
    <m/>
    <m/>
  </r>
  <r>
    <n v="490"/>
    <m/>
    <s v="W17003"/>
    <x v="193"/>
    <s v="V-US"/>
    <s v="美国"/>
    <s v="AN6KIT-WH_4X10K04_TZ"/>
    <n v="150"/>
    <x v="0"/>
    <s v="盐田海卡"/>
    <s v="TCY1"/>
    <s v="AN6KIT-WH_4X10K04_TZ"/>
    <s v="AN6KIT-WH_4X10K04_TZ AN6白色机器+4x10mL酒店（天竺）香氛油 机油套装"/>
    <s v="AN6"/>
    <n v="5"/>
    <n v="84.73684210526315"/>
    <s v="重量收费"/>
    <n v="4.2"/>
    <n v="200"/>
    <n v="6.0975609756097562"/>
    <n v="361.99229781771504"/>
    <n v="2.4132819854514338"/>
    <n v="0.36019134111215428"/>
    <m/>
    <m/>
    <m/>
    <x v="28"/>
    <x v="62"/>
    <m/>
    <n v="0.518139534883721"/>
    <n v="77.720930232558146"/>
    <d v="2026-06-10T00:00:00"/>
    <n v="46"/>
    <m/>
    <m/>
    <m/>
    <m/>
    <m/>
    <m/>
    <m/>
  </r>
  <r>
    <n v="491"/>
    <m/>
    <s v="W17003"/>
    <x v="193"/>
    <s v="V-US"/>
    <s v="美国"/>
    <s v="AN8KIT-B_B_2X30K02"/>
    <n v="280"/>
    <x v="0"/>
    <s v="盐田海卡"/>
    <s v="TCY1"/>
    <s v="AN8KIT-B_B_2X30K02"/>
    <s v="AN8KIT-B_B_2X30K02 AN8黑色机器两个装+2X30mL香氛油（天竺） 机油套装"/>
    <s v="AN8"/>
    <n v="14"/>
    <n v="237.26315789473682"/>
    <s v="重量收费"/>
    <n v="4.2"/>
    <n v="200"/>
    <n v="17.073170731707318"/>
    <n v="1013.578433889602"/>
    <n v="3.6199229781771503"/>
    <n v="0.54028701166823134"/>
    <m/>
    <m/>
    <m/>
    <x v="28"/>
    <x v="62"/>
    <m/>
    <n v="0.518139534883721"/>
    <n v="145.07906976744187"/>
    <d v="2026-06-10T00:00:00"/>
    <n v="46"/>
    <m/>
    <m/>
    <m/>
    <m/>
    <m/>
    <m/>
    <m/>
  </r>
  <r>
    <n v="492"/>
    <m/>
    <s v="W17009"/>
    <x v="194"/>
    <s v="V-US"/>
    <s v="美国"/>
    <s v="ADXKIT-B_4X10K04_TZ"/>
    <n v="270"/>
    <x v="2"/>
    <s v="美森海卡"/>
    <s v="GEU2"/>
    <s v="ADXKIT-B_4X10K04_TZ"/>
    <s v="ADXKIT-B_4X10K04_TZ ADX黑色机器+4x10mL酒店（天竺）香氛油 机油套装"/>
    <s v="ADX"/>
    <n v="9"/>
    <n v="155"/>
    <s v="重量收费"/>
    <n v="9"/>
    <m/>
    <n v="94.736842105263165"/>
    <n v="1489.7368421052631"/>
    <n v="5.5175438596491224"/>
    <n v="0.82351400890285409"/>
    <m/>
    <m/>
    <m/>
    <x v="28"/>
    <x v="61"/>
    <m/>
    <n v="0.44"/>
    <n v="118.8"/>
    <d v="2026-05-22T00:00:00"/>
    <n v="27"/>
    <m/>
    <m/>
    <m/>
    <m/>
    <m/>
    <m/>
    <m/>
  </r>
  <r>
    <n v="493"/>
    <m/>
    <s v="W17008"/>
    <x v="195"/>
    <s v="K-US"/>
    <s v="美国"/>
    <s v="RDX-B_US"/>
    <n v="270"/>
    <x v="7"/>
    <s v="盐田海卡"/>
    <s v="GEU2"/>
    <s v="RDX-B_US"/>
    <s v="RDX-B_US 智能扩香仪 黑色"/>
    <s v="RDX"/>
    <n v="30"/>
    <n v="464.40000000000003"/>
    <s v="重量收费"/>
    <n v="3.8"/>
    <n v="200"/>
    <n v="120"/>
    <n v="1884.72"/>
    <n v="6.9804444444444442"/>
    <n v="1.0418573797678274"/>
    <m/>
    <m/>
    <m/>
    <x v="27"/>
    <x v="54"/>
    <m/>
    <n v="0.7"/>
    <n v="189"/>
    <d v="2026-05-28T00:00:00"/>
    <n v="32"/>
    <m/>
    <m/>
    <m/>
    <m/>
    <m/>
    <m/>
    <m/>
  </r>
  <r>
    <n v="494"/>
    <m/>
    <s v="W17008"/>
    <x v="195"/>
    <s v="K-US"/>
    <s v="美国"/>
    <s v="RDX-SILV_US"/>
    <n v="180"/>
    <x v="7"/>
    <s v="盐田海卡"/>
    <s v="GEU2"/>
    <s v="RDX-SILV_US"/>
    <s v="RDX-SILV_US 智能扩香仪 银色"/>
    <s v="RDX"/>
    <n v="20"/>
    <n v="309.60000000000002"/>
    <s v="重量收费"/>
    <n v="3.8"/>
    <n v="200"/>
    <n v="80"/>
    <n v="1256.48"/>
    <n v="6.9804444444444442"/>
    <n v="1.0418573797678274"/>
    <m/>
    <m/>
    <m/>
    <x v="27"/>
    <x v="54"/>
    <m/>
    <n v="0.7"/>
    <n v="125.99999999999999"/>
    <d v="2026-05-28T00:00:00"/>
    <n v="32"/>
    <m/>
    <m/>
    <m/>
    <m/>
    <m/>
    <m/>
    <m/>
  </r>
  <r>
    <n v="495"/>
    <m/>
    <s v="W17007"/>
    <x v="196"/>
    <s v="K-US"/>
    <s v="美国"/>
    <s v="RDXKIT-B_US_2X100K04"/>
    <n v="234"/>
    <x v="0"/>
    <s v="盐田海卡"/>
    <s v="GEU3"/>
    <s v="RDXKIT-B_US_2X100K04"/>
    <s v="RDXKIT-B_US_2X100K04 RDX黑色机器+2X100mL酒店香氛油（天竺） 机油套装"/>
    <s v="RDX"/>
    <n v="26"/>
    <n v="384.91304347826087"/>
    <s v="重量收费"/>
    <n v="4.9000000000000004"/>
    <n v="200"/>
    <n v="113.04347826086956"/>
    <n v="1999.1173913043478"/>
    <n v="8.5432367149758459"/>
    <n v="1.2751099574590814"/>
    <m/>
    <m/>
    <m/>
    <x v="28"/>
    <x v="54"/>
    <m/>
    <n v="0.70000000000000007"/>
    <n v="163.80000000000001"/>
    <d v="2026-05-28T00:00:00"/>
    <n v="33"/>
    <m/>
    <m/>
    <m/>
    <m/>
    <m/>
    <m/>
    <m/>
  </r>
  <r>
    <n v="496"/>
    <m/>
    <s v="W17007"/>
    <x v="196"/>
    <s v="K-US"/>
    <s v="美国"/>
    <s v="RDXKIT-SILV_US_2X100K04"/>
    <n v="180"/>
    <x v="0"/>
    <s v="盐田海卡"/>
    <s v="GEU3"/>
    <s v="RDXKIT-SILV_US_2X100K04"/>
    <s v="RDXKIT-SILV_US_2X100K04 RDX银色机器+2X100mL酒店香氛油（天竺） 机油套装"/>
    <s v="RDX"/>
    <n v="20"/>
    <n v="296.08695652173913"/>
    <s v="重量收费"/>
    <n v="4.9000000000000004"/>
    <m/>
    <n v="86.956521739130437"/>
    <n v="1537.7826086956522"/>
    <n v="8.5432367149758459"/>
    <n v="1.2751099574590814"/>
    <m/>
    <m/>
    <m/>
    <x v="28"/>
    <x v="54"/>
    <m/>
    <n v="0.70000000000000007"/>
    <n v="126.00000000000001"/>
    <d v="2026-05-28T00:00:00"/>
    <n v="33"/>
    <m/>
    <m/>
    <m/>
    <m/>
    <m/>
    <m/>
    <m/>
  </r>
  <r>
    <n v="497"/>
    <m/>
    <s v="W17005"/>
    <x v="197"/>
    <s v="V-CA"/>
    <s v="加拿大"/>
    <s v="001000045"/>
    <n v="120"/>
    <x v="0"/>
    <s v="加拿大海卡"/>
    <s v="YXU1"/>
    <s v="ANX-B"/>
    <s v="ANX-B 便携式扩香仪 黑色"/>
    <s v="ANX"/>
    <n v="4"/>
    <n v="50.285714285714285"/>
    <s v="重量收费"/>
    <n v="6"/>
    <n v="250"/>
    <n v="142.85714285714286"/>
    <n v="444.57142857142856"/>
    <n v="3.7047619047619045"/>
    <n v="0.5529495380241648"/>
    <m/>
    <m/>
    <m/>
    <x v="28"/>
    <x v="63"/>
    <m/>
    <n v="0"/>
    <n v="0"/>
    <d v="2026-06-11T00:00:00"/>
    <n v="47"/>
    <m/>
    <m/>
    <m/>
    <m/>
    <m/>
    <m/>
    <m/>
  </r>
  <r>
    <n v="498"/>
    <m/>
    <s v="W17005"/>
    <x v="197"/>
    <s v="V-CA"/>
    <s v="加拿大"/>
    <s v="001000052"/>
    <n v="30"/>
    <x v="0"/>
    <s v="加拿大海卡"/>
    <s v="YXU1"/>
    <s v="ANX-DT"/>
    <s v="ANX-DT 便携式扩香仪 沙漠钛色"/>
    <s v="ANX"/>
    <n v="1"/>
    <n v="12.571428571428571"/>
    <s v="重量收费"/>
    <n v="6"/>
    <n v="250"/>
    <n v="35.714285714285715"/>
    <n v="111.14285714285714"/>
    <n v="3.7047619047619045"/>
    <n v="0.5529495380241648"/>
    <m/>
    <m/>
    <m/>
    <x v="28"/>
    <x v="63"/>
    <m/>
    <n v="0"/>
    <n v="0"/>
    <d v="2026-06-11T00:00:00"/>
    <n v="47"/>
    <m/>
    <m/>
    <m/>
    <m/>
    <m/>
    <m/>
    <m/>
  </r>
  <r>
    <n v="499"/>
    <m/>
    <s v="W17005"/>
    <x v="197"/>
    <s v="V-CA"/>
    <s v="加拿大"/>
    <s v="001000051"/>
    <n v="60"/>
    <x v="0"/>
    <s v="加拿大海卡"/>
    <s v="YXU1"/>
    <s v="ANX-SG"/>
    <s v="ANX-SG 便携式扩香仪 太空灰色"/>
    <s v="ANX"/>
    <n v="2"/>
    <n v="25.142857142857142"/>
    <s v="重量收费"/>
    <n v="6"/>
    <m/>
    <n v="71.428571428571431"/>
    <n v="222.28571428571428"/>
    <n v="3.7047619047619045"/>
    <n v="0.5529495380241648"/>
    <m/>
    <m/>
    <m/>
    <x v="28"/>
    <x v="63"/>
    <m/>
    <n v="0"/>
    <n v="0"/>
    <d v="2026-06-11T00:00:00"/>
    <n v="47"/>
    <m/>
    <m/>
    <m/>
    <m/>
    <m/>
    <m/>
    <m/>
  </r>
  <r>
    <n v="500"/>
    <m/>
    <s v="W17006"/>
    <x v="198"/>
    <s v="W-US"/>
    <s v="美国"/>
    <s v="G1-B"/>
    <n v="160"/>
    <x v="7"/>
    <s v="盐田海卡"/>
    <s v="GEU3"/>
    <s v="G1-B"/>
    <s v="G1-B 电子球形把手锁 黑色"/>
    <s v="G1"/>
    <n v="10"/>
    <n v="145.66265060240963"/>
    <s v="重量收费"/>
    <n v="3.8"/>
    <n v="200"/>
    <n v="11.494252873563218"/>
    <n v="565.01232516271978"/>
    <n v="3.5313270322669985"/>
    <n v="0.5270637361592535"/>
    <m/>
    <m/>
    <m/>
    <x v="26"/>
    <x v="60"/>
    <m/>
    <n v="0.55999999999999994"/>
    <n v="89.6"/>
    <d v="2026-06-03T00:00:00"/>
    <n v="40"/>
    <m/>
    <m/>
    <m/>
    <m/>
    <m/>
    <m/>
    <m/>
  </r>
  <r>
    <n v="501"/>
    <m/>
    <s v="W17006"/>
    <x v="198"/>
    <s v="W-US"/>
    <s v="美国"/>
    <s v="G1-SILV"/>
    <n v="160"/>
    <x v="7"/>
    <s v="盐田海卡"/>
    <s v="GEU3"/>
    <s v="G1-SILV"/>
    <s v="G1-SILV 电子球形把手锁 银色"/>
    <s v="G1"/>
    <n v="10"/>
    <n v="145.66265060240963"/>
    <s v="重量收费"/>
    <n v="3.8"/>
    <n v="200"/>
    <n v="11.494252873563218"/>
    <n v="565.01232516271978"/>
    <n v="3.5313270322669985"/>
    <n v="0.5270637361592535"/>
    <m/>
    <m/>
    <m/>
    <x v="26"/>
    <x v="60"/>
    <m/>
    <n v="0.55999999999999994"/>
    <n v="89.6"/>
    <d v="2026-06-03T00:00:00"/>
    <n v="40"/>
    <m/>
    <m/>
    <m/>
    <m/>
    <m/>
    <m/>
    <m/>
  </r>
  <r>
    <n v="502"/>
    <m/>
    <s v="W17006"/>
    <x v="198"/>
    <s v="W-US"/>
    <s v="美国"/>
    <s v="002000029"/>
    <n v="448"/>
    <x v="7"/>
    <s v="盐田海卡"/>
    <s v="GEU3"/>
    <s v="MD1-B"/>
    <s v="MD1-B 电子球形把手锁 指纹 黑色"/>
    <s v="MD1"/>
    <n v="28"/>
    <n v="407.85542168674698"/>
    <s v="重量收费"/>
    <n v="3.8"/>
    <m/>
    <n v="32.183908045977013"/>
    <n v="1582.0345104556154"/>
    <n v="3.5313270322669985"/>
    <n v="0.5270637361592535"/>
    <m/>
    <m/>
    <m/>
    <x v="26"/>
    <x v="60"/>
    <m/>
    <n v="0.55999999999999994"/>
    <n v="250.87999999999997"/>
    <d v="2026-06-03T00:00:00"/>
    <n v="40"/>
    <m/>
    <m/>
    <m/>
    <m/>
    <m/>
    <m/>
    <m/>
  </r>
  <r>
    <n v="503"/>
    <m/>
    <s v="W17006"/>
    <x v="198"/>
    <s v="W-US"/>
    <s v="美国"/>
    <s v="002000038"/>
    <n v="480"/>
    <x v="7"/>
    <s v="盐田海卡"/>
    <s v="GEU3"/>
    <s v="MD1-SILV"/>
    <s v="MD1-SILV 电子球形把手锁 指纹 银色"/>
    <s v="MD1"/>
    <n v="30"/>
    <n v="436.98795180722891"/>
    <s v="重量收费"/>
    <n v="3.8"/>
    <m/>
    <n v="34.482758620689658"/>
    <n v="1695.0369754881594"/>
    <n v="3.531327032266999"/>
    <n v="0.52706373615925362"/>
    <m/>
    <m/>
    <m/>
    <x v="26"/>
    <x v="60"/>
    <m/>
    <n v="0.55999999999999994"/>
    <n v="268.79999999999995"/>
    <d v="2026-06-03T00:00:00"/>
    <n v="40"/>
    <m/>
    <m/>
    <m/>
    <m/>
    <m/>
    <m/>
    <m/>
  </r>
  <r>
    <n v="504"/>
    <m/>
    <s v="W17006"/>
    <x v="198"/>
    <s v="W-US"/>
    <s v="美国"/>
    <s v="002000031"/>
    <n v="80"/>
    <x v="7"/>
    <s v="盐田海卡"/>
    <s v="GEU3"/>
    <s v="MK1-B"/>
    <s v="MK1-B 智能球形把手锁 黑色"/>
    <s v="MK1"/>
    <n v="5"/>
    <n v="72.831325301204814"/>
    <s v="重量收费"/>
    <n v="3.8"/>
    <m/>
    <n v="5.7471264367816088"/>
    <n v="282.50616258135989"/>
    <n v="3.5313270322669985"/>
    <n v="0.5270637361592535"/>
    <m/>
    <m/>
    <m/>
    <x v="26"/>
    <x v="60"/>
    <m/>
    <n v="0.55999999999999994"/>
    <n v="44.8"/>
    <d v="2026-06-03T00:00:00"/>
    <n v="40"/>
    <m/>
    <m/>
    <m/>
    <m/>
    <m/>
    <m/>
    <m/>
  </r>
  <r>
    <n v="505"/>
    <m/>
    <s v="W17003"/>
    <x v="199"/>
    <s v="V-US"/>
    <s v="美国"/>
    <s v="ANAKIT-WH_US_2X100K03"/>
    <n v="480"/>
    <x v="0"/>
    <s v="盐田海卡"/>
    <s v="TCY1"/>
    <s v="ANAKIT-WH_US_2X100K03"/>
    <s v="ANAKIT-WH_US_2X100K03 ANA白色机器+2X100mL酒店香氛油（天竺） 机油套装"/>
    <s v="ANA"/>
    <n v="40"/>
    <n v="676.12815533980574"/>
    <s v="重量收费"/>
    <n v="4.2"/>
    <n v="200"/>
    <n v="48.780487804878049"/>
    <n v="2888.5187402320626"/>
    <n v="6.0177473754834638"/>
    <n v="0.89817125007215881"/>
    <m/>
    <m/>
    <m/>
    <x v="26"/>
    <x v="62"/>
    <m/>
    <n v="0.55999999999999994"/>
    <n v="268.79999999999995"/>
    <d v="2026-06-10T00:00:00"/>
    <n v="47"/>
    <m/>
    <m/>
    <m/>
    <m/>
    <m/>
    <m/>
    <m/>
  </r>
  <r>
    <n v="506"/>
    <m/>
    <s v="W17003"/>
    <x v="199"/>
    <s v="V-US"/>
    <s v="美国"/>
    <s v="ANWKIT-WH_US_2X100K03"/>
    <n v="756"/>
    <x v="0"/>
    <s v="盐田海卡"/>
    <s v="TCY1"/>
    <s v="ANWKIT-WH_US_2X100K03"/>
    <s v="ANWKIT-WH_US_2X100K03 ANW白色机器+2X100mL酒店香氛油（天竺） 机油套装"/>
    <s v="ANW"/>
    <n v="63"/>
    <n v="1064.9018446601942"/>
    <s v="重量收费"/>
    <n v="4.2"/>
    <n v="200"/>
    <n v="76.829268292682926"/>
    <n v="4549.4170158654988"/>
    <n v="6.0177473754834638"/>
    <n v="0.89817125007215881"/>
    <m/>
    <m/>
    <m/>
    <x v="26"/>
    <x v="62"/>
    <m/>
    <n v="0.55999999999999994"/>
    <n v="423.35999999999996"/>
    <d v="2026-06-10T00:00:00"/>
    <n v="47"/>
    <m/>
    <m/>
    <m/>
    <m/>
    <m/>
    <m/>
    <m/>
  </r>
  <r>
    <n v="507"/>
    <m/>
    <s v="W17003"/>
    <x v="200"/>
    <s v="V-US"/>
    <s v="美国"/>
    <s v="001000033"/>
    <n v="252"/>
    <x v="0"/>
    <s v="盐田海卡"/>
    <s v="TCY1"/>
    <s v="ANW-W"/>
    <s v="ANW-W 智能扩香仪 白色"/>
    <s v="ANW"/>
    <n v="21"/>
    <n v="354.97"/>
    <s v="重量收费"/>
    <n v="4.2"/>
    <m/>
    <n v="25.609756097560975"/>
    <n v="1516.4837560975611"/>
    <n v="6.0177926829268298"/>
    <n v="0.89817801237713879"/>
    <m/>
    <m/>
    <m/>
    <x v="26"/>
    <x v="62"/>
    <m/>
    <n v="0.68857142857142861"/>
    <n v="173.52"/>
    <d v="2026-06-10T00:00:00"/>
    <n v="47"/>
    <m/>
    <m/>
    <m/>
    <m/>
    <m/>
    <m/>
    <m/>
  </r>
  <r>
    <n v="508"/>
    <m/>
    <s v="W17004"/>
    <x v="201"/>
    <s v="A-CA"/>
    <s v="加拿大"/>
    <s v="002000020"/>
    <n v="192"/>
    <x v="7"/>
    <s v="加拿大海卡"/>
    <s v="YYC4"/>
    <s v="H2-B"/>
    <s v="H2-B 电子指纹球形把手锁-黑色"/>
    <s v="H2"/>
    <n v="16"/>
    <n v="221.47368421052633"/>
    <s v="重量收费"/>
    <n v="5.3"/>
    <n v="350"/>
    <n v="147.36842105263159"/>
    <n v="1321.1789473684212"/>
    <n v="6.8811403508771933"/>
    <n v="1.0270358732652527"/>
    <m/>
    <m/>
    <m/>
    <x v="26"/>
    <x v="54"/>
    <m/>
    <n v="0"/>
    <n v="0"/>
    <d v="2026-06-07T00:00:00"/>
    <n v="44"/>
    <m/>
    <m/>
    <m/>
    <m/>
    <m/>
    <m/>
    <m/>
  </r>
  <r>
    <n v="509"/>
    <m/>
    <s v="W17004"/>
    <x v="201"/>
    <s v="A-CA"/>
    <s v="加拿大"/>
    <s v="002000022"/>
    <n v="84"/>
    <x v="7"/>
    <s v="加拿大海卡"/>
    <s v="YYC4"/>
    <s v="H2-G"/>
    <s v="H2-G 电子指纹球形把手锁-灰色"/>
    <s v="H2"/>
    <n v="7"/>
    <n v="96.894736842105274"/>
    <s v="重量收费"/>
    <n v="5.3"/>
    <n v="350"/>
    <n v="64.473684210526315"/>
    <n v="578.01578947368432"/>
    <n v="6.8811403508771942"/>
    <n v="1.0270358732652529"/>
    <m/>
    <m/>
    <m/>
    <x v="26"/>
    <x v="54"/>
    <m/>
    <n v="0"/>
    <n v="0"/>
    <d v="2026-06-07T00:00:00"/>
    <n v="44"/>
    <m/>
    <m/>
    <m/>
    <m/>
    <m/>
    <m/>
    <m/>
  </r>
  <r>
    <n v="510"/>
    <m/>
    <s v="W17004"/>
    <x v="201"/>
    <s v="A-CA"/>
    <s v="加拿大"/>
    <s v="002000001"/>
    <n v="180"/>
    <x v="7"/>
    <s v="加拿大海卡"/>
    <s v="YYC4"/>
    <s v="K1-B"/>
    <s v="K1-B 电子球形把手锁-黑色"/>
    <s v="K1"/>
    <n v="15"/>
    <n v="207.63157894736844"/>
    <s v="重量收费"/>
    <n v="5.3"/>
    <m/>
    <n v="138.15789473684211"/>
    <n v="1238.6052631578948"/>
    <n v="6.8811403508771933"/>
    <n v="1.0270358732652527"/>
    <m/>
    <m/>
    <m/>
    <x v="26"/>
    <x v="54"/>
    <m/>
    <n v="0"/>
    <n v="0"/>
    <d v="2026-06-07T00:00:00"/>
    <n v="44"/>
    <m/>
    <m/>
    <m/>
    <m/>
    <m/>
    <m/>
    <m/>
  </r>
  <r>
    <n v="511"/>
    <m/>
    <s v="W17010"/>
    <x v="202"/>
    <s v="K-US"/>
    <s v="美国"/>
    <s v="RD2-B"/>
    <n v="300"/>
    <x v="0"/>
    <s v="盐田海卡"/>
    <s v="TCY1"/>
    <s v="RD2-B"/>
    <s v="RD2-B 便携式扩香仪 黑色"/>
    <s v="RD2"/>
    <n v="10"/>
    <n v="157"/>
    <s v="重量收费"/>
    <n v="4.2"/>
    <n v="200"/>
    <n v="200"/>
    <n v="859.4"/>
    <n v="2.8646666666666665"/>
    <n v="0.42756218905472632"/>
    <m/>
    <m/>
    <m/>
    <x v="28"/>
    <x v="62"/>
    <m/>
    <n v="0.44"/>
    <n v="132"/>
    <d v="2026-06-05T00:00:00"/>
    <n v="41"/>
    <m/>
    <m/>
    <m/>
    <m/>
    <m/>
    <m/>
    <m/>
  </r>
  <r>
    <n v="512"/>
    <m/>
    <s v="W18005"/>
    <x v="203"/>
    <s v="E-US"/>
    <s v="美国"/>
    <s v="ANZKIT-B_B_2X30K01"/>
    <n v="80"/>
    <x v="2"/>
    <s v="盐田海卡"/>
    <s v="POC3"/>
    <s v="ANZKIT-B_B_2X30K01"/>
    <s v="ANZKIT-B_B_2X30K01 ANZ黑色机器两个装+2X30毫升香氛油（天竺） 机油套装"/>
    <s v="ANZ"/>
    <n v="4"/>
    <n v="68"/>
    <s v="重量收费"/>
    <n v="3.9"/>
    <n v="200"/>
    <n v="8.6021505376344081"/>
    <n v="273.80215053763442"/>
    <n v="3.4225268817204304"/>
    <n v="0.5108249077194672"/>
    <m/>
    <m/>
    <m/>
    <x v="29"/>
    <x v="64"/>
    <m/>
    <n v="0.55999999999999994"/>
    <n v="44.8"/>
    <d v="2026-06-09T00:00:00"/>
    <n v="40"/>
    <m/>
    <m/>
    <m/>
    <m/>
    <m/>
    <m/>
    <m/>
  </r>
  <r>
    <n v="513"/>
    <m/>
    <s v="W18006"/>
    <x v="204"/>
    <s v="E-US"/>
    <s v="美国"/>
    <s v="ANZ-WH"/>
    <n v="600"/>
    <x v="2"/>
    <s v="美森海卡"/>
    <s v="TCY2"/>
    <s v="ANZ-WH"/>
    <s v="ANZ-WH 便携式扩香仪 白色"/>
    <s v="ANZ"/>
    <n v="15"/>
    <n v="204"/>
    <s v="重量收费"/>
    <n v="8.4"/>
    <n v="200"/>
    <n v="200"/>
    <n v="1913.6000000000001"/>
    <n v="3.1893333333333334"/>
    <n v="0.47601990049751242"/>
    <m/>
    <m/>
    <m/>
    <x v="29"/>
    <x v="65"/>
    <m/>
    <n v="0.36"/>
    <n v="216"/>
    <d v="2026-06-12T00:00:00"/>
    <n v="43"/>
    <m/>
    <m/>
    <m/>
    <m/>
    <m/>
    <m/>
    <m/>
  </r>
  <r>
    <n v="514"/>
    <m/>
    <s v="W18003"/>
    <x v="205"/>
    <s v="V-US"/>
    <s v="美国"/>
    <s v="001000019"/>
    <n v="1600"/>
    <x v="7"/>
    <s v="盐田海卡"/>
    <s v="TCY2"/>
    <s v="AN6-B"/>
    <s v="AN6-B 便携式扩香仪 黑色"/>
    <s v="AN6"/>
    <n v="40"/>
    <n v="555.00224719101129"/>
    <s v="重量收费"/>
    <n v="3.8"/>
    <n v="200"/>
    <n v="40"/>
    <n v="2149.0085393258428"/>
    <n v="1.3431303370786518"/>
    <n v="0.20046721448935101"/>
    <m/>
    <m/>
    <m/>
    <x v="29"/>
    <x v="64"/>
    <m/>
    <n v="0.37890909090909092"/>
    <n v="606.25454545454545"/>
    <d v="2026-06-06T00:00:00"/>
    <n v="37"/>
    <m/>
    <m/>
    <m/>
    <m/>
    <m/>
    <m/>
    <m/>
  </r>
  <r>
    <n v="515"/>
    <m/>
    <s v="W18003"/>
    <x v="205"/>
    <s v="V-US"/>
    <s v="美国"/>
    <s v="001000039"/>
    <n v="200"/>
    <x v="7"/>
    <s v="盐田海卡"/>
    <s v="TCY2"/>
    <s v="AN6-GL"/>
    <s v="AN6-GL 便携式扩香仪 翠百合色"/>
    <s v="AN6"/>
    <n v="5"/>
    <n v="69.375280898876412"/>
    <s v="重量收费"/>
    <n v="3.8"/>
    <n v="200"/>
    <n v="5"/>
    <n v="268.62606741573035"/>
    <n v="1.3431303370786518"/>
    <n v="0.20046721448935101"/>
    <m/>
    <m/>
    <m/>
    <x v="29"/>
    <x v="64"/>
    <m/>
    <n v="0.37890909090909092"/>
    <n v="75.781818181818181"/>
    <d v="2026-06-06T00:00:00"/>
    <n v="37"/>
    <m/>
    <m/>
    <m/>
    <m/>
    <m/>
    <m/>
    <m/>
  </r>
  <r>
    <n v="516"/>
    <m/>
    <s v="W18003"/>
    <x v="205"/>
    <s v="V-US"/>
    <s v="美国"/>
    <s v="AN6-LV"/>
    <n v="200"/>
    <x v="7"/>
    <s v="盐田海卡"/>
    <s v="TCY2"/>
    <s v="AN6-LV"/>
    <s v="AN6-LV 便携式扩香仪 薰衣草"/>
    <s v="AN6"/>
    <n v="5"/>
    <n v="69.375280898876412"/>
    <s v="重量收费"/>
    <n v="3.8"/>
    <m/>
    <n v="5"/>
    <n v="268.62606741573035"/>
    <n v="1.3431303370786518"/>
    <n v="0.20046721448935101"/>
    <m/>
    <m/>
    <m/>
    <x v="29"/>
    <x v="64"/>
    <m/>
    <n v="0.37890909090909092"/>
    <n v="75.781818181818181"/>
    <d v="2026-06-06T00:00:00"/>
    <n v="37"/>
    <m/>
    <m/>
    <m/>
    <m/>
    <m/>
    <m/>
    <m/>
  </r>
  <r>
    <n v="517"/>
    <m/>
    <s v="W18003"/>
    <x v="205"/>
    <s v="V-US"/>
    <s v="美国"/>
    <s v="001000020"/>
    <n v="520"/>
    <x v="7"/>
    <s v="盐田海卡"/>
    <s v="TCY2"/>
    <s v="AN6-W"/>
    <s v="AN6-W 便携式扩香仪 白色"/>
    <s v="AN6"/>
    <n v="13"/>
    <n v="180.37573033707866"/>
    <s v="重量收费"/>
    <n v="3.8"/>
    <m/>
    <n v="13"/>
    <n v="698.42777528089891"/>
    <n v="1.3431303370786518"/>
    <n v="0.20046721448935101"/>
    <m/>
    <m/>
    <m/>
    <x v="29"/>
    <x v="64"/>
    <m/>
    <n v="0.37890909090909092"/>
    <n v="197.03272727272727"/>
    <d v="2026-06-06T00:00:00"/>
    <n v="37"/>
    <m/>
    <m/>
    <m/>
    <m/>
    <m/>
    <m/>
    <m/>
  </r>
  <r>
    <n v="518"/>
    <m/>
    <s v="W18003"/>
    <x v="205"/>
    <s v="V-US"/>
    <s v="美国"/>
    <s v="RD1-B"/>
    <n v="210"/>
    <x v="7"/>
    <s v="盐田海卡"/>
    <s v="TCY2"/>
    <s v="RD1-B"/>
    <s v="RD1-B 便携式扩香仪 黑色"/>
    <s v="RD1"/>
    <n v="7"/>
    <n v="97.125393258426968"/>
    <s v="重量收费"/>
    <n v="3.8"/>
    <m/>
    <n v="7"/>
    <n v="376.07649438202247"/>
    <n v="1.7908404494382022"/>
    <n v="0.26728961931913464"/>
    <m/>
    <m/>
    <m/>
    <x v="29"/>
    <x v="64"/>
    <m/>
    <n v="0.37890909090909092"/>
    <n v="79.570909090909097"/>
    <d v="2026-06-06T00:00:00"/>
    <n v="37"/>
    <m/>
    <m/>
    <m/>
    <m/>
    <m/>
    <m/>
    <m/>
  </r>
  <r>
    <n v="519"/>
    <m/>
    <s v="W18003"/>
    <x v="205"/>
    <s v="V-US"/>
    <s v="美国"/>
    <s v="RD1-DT"/>
    <n v="210"/>
    <x v="7"/>
    <s v="盐田海卡"/>
    <s v="TCY2"/>
    <s v="RD1-DT"/>
    <s v="RD1-DT 便携式扩香仪 沙漠钛色"/>
    <s v="RD1"/>
    <n v="7"/>
    <n v="97.125393258426968"/>
    <s v="重量收费"/>
    <n v="3.8"/>
    <m/>
    <n v="7"/>
    <n v="376.07649438202247"/>
    <n v="1.7908404494382022"/>
    <n v="0.26728961931913464"/>
    <m/>
    <m/>
    <m/>
    <x v="29"/>
    <x v="64"/>
    <m/>
    <n v="0.37890909090909092"/>
    <n v="79.570909090909097"/>
    <d v="2026-06-06T00:00:00"/>
    <n v="37"/>
    <m/>
    <m/>
    <m/>
    <m/>
    <m/>
    <m/>
    <m/>
  </r>
  <r>
    <n v="520"/>
    <m/>
    <s v="W18003"/>
    <x v="205"/>
    <s v="V-US"/>
    <s v="美国"/>
    <s v="RD1-G"/>
    <n v="300"/>
    <x v="7"/>
    <s v="盐田海卡"/>
    <s v="TCY2"/>
    <s v="RD1-G"/>
    <s v="RD1-G 便携式扩香仪 灰色"/>
    <s v="RD1"/>
    <n v="10"/>
    <n v="138.75056179775282"/>
    <s v="重量收费"/>
    <n v="3.8"/>
    <m/>
    <n v="10"/>
    <n v="537.25213483146069"/>
    <n v="1.7908404494382024"/>
    <n v="0.2672896193191347"/>
    <m/>
    <m/>
    <m/>
    <x v="29"/>
    <x v="64"/>
    <m/>
    <n v="0.37890909090909092"/>
    <n v="113.67272727272727"/>
    <d v="2026-06-06T00:00:00"/>
    <n v="37"/>
    <m/>
    <m/>
    <m/>
    <m/>
    <m/>
    <m/>
    <m/>
  </r>
  <r>
    <n v="521"/>
    <m/>
    <s v="W18003"/>
    <x v="205"/>
    <s v="V-US"/>
    <s v="美国"/>
    <s v="AND-B"/>
    <n v="60"/>
    <x v="7"/>
    <s v="盐田海卡"/>
    <s v="TCY2"/>
    <s v="AND-B"/>
    <s v="AND-B 便携式双喷扩香仪 黑色"/>
    <s v="AND"/>
    <n v="2"/>
    <n v="27.750112359550563"/>
    <s v="重量收费"/>
    <n v="3.8"/>
    <m/>
    <n v="2"/>
    <n v="107.45042696629214"/>
    <n v="1.7908404494382024"/>
    <n v="0.2672896193191347"/>
    <m/>
    <m/>
    <m/>
    <x v="29"/>
    <x v="64"/>
    <m/>
    <n v="0.37890909090909092"/>
    <n v="22.734545454545454"/>
    <d v="2026-06-06T00:00:00"/>
    <n v="37"/>
    <m/>
    <m/>
    <m/>
    <m/>
    <m/>
    <m/>
    <m/>
  </r>
  <r>
    <n v="522"/>
    <m/>
    <s v="W18005"/>
    <x v="206"/>
    <s v="V-US"/>
    <s v="美国"/>
    <s v="AN6KIT-B_RZ30ml"/>
    <n v="330"/>
    <x v="2"/>
    <s v="盐田海卡"/>
    <s v="TCY2"/>
    <s v="AN6KIT-B_RZ30ml"/>
    <s v="AN6KIT-B_RZ30ml AN6黑色机器+30mL丽思香氛油 机油套装"/>
    <s v="AN6"/>
    <n v="11"/>
    <n v="171.08055555555555"/>
    <s v="重量收费"/>
    <n v="4"/>
    <n v="200"/>
    <n v="23.655913978494624"/>
    <n v="707.97813620071679"/>
    <n v="2.1453882915173237"/>
    <n v="0.32020720768915278"/>
    <m/>
    <m/>
    <m/>
    <x v="29"/>
    <x v="64"/>
    <m/>
    <n v="0.44"/>
    <n v="145.19999999999999"/>
    <d v="2026-06-08T00:00:00"/>
    <n v="39"/>
    <m/>
    <m/>
    <m/>
    <m/>
    <m/>
    <m/>
    <m/>
  </r>
  <r>
    <n v="523"/>
    <m/>
    <s v="W18005"/>
    <x v="206"/>
    <s v="V-US"/>
    <s v="美国"/>
    <s v="AN8KIT-B_4X10K02"/>
    <n v="210"/>
    <x v="2"/>
    <s v="盐田海卡"/>
    <s v="TCY2"/>
    <s v="AN8KIT-B_4X10K02"/>
    <s v="AN8KIT-B_4X10K02 AN8黑色机器+4x10mL（天竺）香氛油 机油套装"/>
    <s v="AN8"/>
    <n v="7"/>
    <n v="108.86944444444444"/>
    <s v="重量收费"/>
    <n v="4"/>
    <n v="200"/>
    <n v="15.053763440860216"/>
    <n v="450.53154121863798"/>
    <n v="2.1453882915173237"/>
    <n v="0.32020720768915278"/>
    <m/>
    <m/>
    <m/>
    <x v="29"/>
    <x v="64"/>
    <m/>
    <n v="0.44"/>
    <n v="92.4"/>
    <d v="2026-06-08T00:00:00"/>
    <n v="39"/>
    <m/>
    <m/>
    <m/>
    <m/>
    <m/>
    <m/>
    <m/>
  </r>
  <r>
    <n v="524"/>
    <m/>
    <s v="W18004"/>
    <x v="207"/>
    <s v="K-US"/>
    <s v="美国"/>
    <s v="RD2KIT-SILV_2X30K07_TZ"/>
    <n v="200"/>
    <x v="2"/>
    <s v="盐田海卡"/>
    <s v="TCY2"/>
    <s v="RD2KIT-SILV_2X30K07_TZ"/>
    <s v="RD2KIT-SILV_2X30K07_TZ RD2银色机器+2X30mL酒店香氛油（天竺）  机油套装"/>
    <s v="RD2"/>
    <n v="10"/>
    <n v="142.13999999999999"/>
    <s v="重量收费"/>
    <n v="4"/>
    <n v="200"/>
    <n v="36.363636363636367"/>
    <n v="604.92363636363632"/>
    <n v="3.0246181818181817"/>
    <n v="0.45143554952510173"/>
    <m/>
    <m/>
    <m/>
    <x v="29"/>
    <x v="64"/>
    <m/>
    <n v="0.56000000000000005"/>
    <n v="112.00000000000001"/>
    <d v="2026-06-08T00:00:00"/>
    <n v="39"/>
    <m/>
    <m/>
    <m/>
    <m/>
    <m/>
    <m/>
    <m/>
  </r>
  <r>
    <n v="525"/>
    <m/>
    <s v="W18004"/>
    <x v="208"/>
    <s v="K-US"/>
    <s v="美国"/>
    <s v="RD2-SILV"/>
    <n v="120"/>
    <x v="2"/>
    <s v="盐田海卡"/>
    <s v="TCY2"/>
    <s v="RD2-SILV"/>
    <s v="RD2-SILV 便携式扩香仪 银色"/>
    <s v="RD2"/>
    <n v="4"/>
    <n v="56.86"/>
    <s v="重量收费"/>
    <n v="4"/>
    <n v="200"/>
    <n v="14.545454545454545"/>
    <n v="241.98545454545453"/>
    <n v="2.0165454545454544"/>
    <n v="0.30097693351424692"/>
    <m/>
    <m/>
    <m/>
    <x v="29"/>
    <x v="64"/>
    <m/>
    <n v="0.44"/>
    <n v="52.8"/>
    <d v="2026-06-08T00:00:00"/>
    <n v="39"/>
    <m/>
    <m/>
    <m/>
    <m/>
    <m/>
    <m/>
    <m/>
  </r>
  <r>
    <n v="526"/>
    <m/>
    <s v="W18004"/>
    <x v="209"/>
    <s v="K-US"/>
    <s v="美国"/>
    <s v="AN6-G"/>
    <n v="40"/>
    <x v="2"/>
    <s v="盐田海卡"/>
    <s v="MIT2"/>
    <s v="AN6-G"/>
    <s v="AN6-G 便携式扩香仪 灰色"/>
    <s v="AN6"/>
    <n v="1"/>
    <n v="13.5"/>
    <s v="重量收费"/>
    <n v="3.6"/>
    <m/>
    <n v="3.6363636363636362"/>
    <n v="52.236363636363635"/>
    <n v="1.3059090909090909"/>
    <n v="0.19491180461329716"/>
    <m/>
    <m/>
    <m/>
    <x v="29"/>
    <x v="64"/>
    <m/>
    <n v="0.36"/>
    <n v="14.399999999999999"/>
    <d v="2026-06-11T00:00:00"/>
    <n v="42"/>
    <m/>
    <m/>
    <m/>
    <m/>
    <m/>
    <m/>
    <m/>
  </r>
  <r>
    <n v="527"/>
    <m/>
    <s v="W18004"/>
    <x v="209"/>
    <s v="K-US"/>
    <s v="美国"/>
    <s v="AN6-YG"/>
    <n v="40"/>
    <x v="2"/>
    <s v="盐田海卡"/>
    <s v="MIT2"/>
    <s v="AN6-YG"/>
    <s v="AN6-YG 便携式扩香仪 乳酪色"/>
    <s v="AN6"/>
    <n v="1"/>
    <n v="13.5"/>
    <s v="重量收费"/>
    <n v="3.6"/>
    <m/>
    <n v="3.6363636363636362"/>
    <n v="52.236363636363635"/>
    <n v="1.3059090909090909"/>
    <n v="0.19491180461329716"/>
    <m/>
    <m/>
    <m/>
    <x v="29"/>
    <x v="64"/>
    <m/>
    <n v="0.36"/>
    <n v="14.399999999999999"/>
    <d v="2026-06-11T00:00:00"/>
    <n v="42"/>
    <m/>
    <m/>
    <m/>
    <m/>
    <m/>
    <m/>
    <m/>
  </r>
  <r>
    <n v="528"/>
    <m/>
    <s v="W18004"/>
    <x v="210"/>
    <s v="K-US"/>
    <s v="美国"/>
    <s v="RD2KIT-B_2X30K06_TZ"/>
    <n v="100"/>
    <x v="2"/>
    <s v="盐田海卡"/>
    <s v="GEU3"/>
    <s v="RD2KIT-B_2X30K06_TZ"/>
    <s v="RD2KIT-B_2X30K06_TZ RD2黑色机器+2X30mL酒店香氛油（天竺）  机油套装"/>
    <s v="RD2"/>
    <n v="5"/>
    <n v="67"/>
    <s v="重量收费"/>
    <n v="3.6"/>
    <m/>
    <n v="18.181818181818183"/>
    <n v="259.38181818181818"/>
    <n v="2.5938181818181816"/>
    <n v="0.38713704206241517"/>
    <m/>
    <m/>
    <m/>
    <x v="29"/>
    <x v="64"/>
    <m/>
    <n v="0.56000000000000005"/>
    <n v="56.000000000000007"/>
    <d v="2026-06-08T00:00:00"/>
    <n v="39"/>
    <m/>
    <m/>
    <m/>
    <m/>
    <m/>
    <m/>
    <m/>
  </r>
  <r>
    <n v="529"/>
    <m/>
    <s v="W18005"/>
    <x v="211"/>
    <s v="E-US"/>
    <s v="美国"/>
    <s v="001000045"/>
    <n v="150"/>
    <x v="2"/>
    <s v="盐田海卡"/>
    <s v="GEU3"/>
    <s v="ANX-B"/>
    <s v="ANX-B 便携式扩香仪 黑色"/>
    <s v="ANX"/>
    <n v="5"/>
    <n v="66.219512195121951"/>
    <s v="重量收费"/>
    <n v="3.6"/>
    <n v="200"/>
    <n v="10.75268817204301"/>
    <n v="249.14293207448205"/>
    <n v="1.660952880496547"/>
    <n v="0.24790341499948462"/>
    <m/>
    <m/>
    <m/>
    <x v="29"/>
    <x v="64"/>
    <m/>
    <n v="0.37157232704402515"/>
    <n v="55.735849056603776"/>
    <d v="2026-06-10T00:00:00"/>
    <n v="41"/>
    <m/>
    <m/>
    <m/>
    <m/>
    <m/>
    <m/>
    <m/>
  </r>
  <r>
    <n v="530"/>
    <m/>
    <s v="W18005"/>
    <x v="211"/>
    <s v="E-US"/>
    <s v="美国"/>
    <s v="ANZ-B"/>
    <n v="1360"/>
    <x v="2"/>
    <s v="盐田海卡"/>
    <s v="GEU3"/>
    <s v="ANZ-B"/>
    <s v="ANZ-B 便携式扩香仪 黑色"/>
    <s v="ANZ"/>
    <n v="34"/>
    <n v="450.29268292682929"/>
    <s v="重量收费"/>
    <n v="3.6"/>
    <n v="200"/>
    <n v="73.118279569892479"/>
    <n v="1694.1719381064781"/>
    <n v="1.2457146603724103"/>
    <n v="0.18592756124961346"/>
    <m/>
    <m/>
    <m/>
    <x v="29"/>
    <x v="64"/>
    <m/>
    <n v="0.37157232704402515"/>
    <n v="505.33836477987421"/>
    <d v="2026-06-10T00:00:00"/>
    <n v="41"/>
    <m/>
    <m/>
    <m/>
    <m/>
    <m/>
    <m/>
    <m/>
  </r>
  <r>
    <n v="531"/>
    <m/>
    <s v="W18005"/>
    <x v="211"/>
    <s v="E-US"/>
    <s v="美国"/>
    <s v="ANZ-B"/>
    <n v="40"/>
    <x v="2"/>
    <s v="盐田海卡"/>
    <s v="GEU3"/>
    <s v="ANZ-B"/>
    <s v="ANZ-B 便携式扩香仪 黑色"/>
    <s v="ANZ"/>
    <n v="1"/>
    <n v="13.24390243902439"/>
    <s v="重量收费"/>
    <n v="3.6"/>
    <m/>
    <n v="2.150537634408602"/>
    <n v="49.828586414896407"/>
    <n v="1.2457146603724101"/>
    <n v="0.18592756124961343"/>
    <m/>
    <m/>
    <m/>
    <x v="29"/>
    <x v="64"/>
    <m/>
    <n v="0.37157232704402515"/>
    <n v="14.862893081761007"/>
    <d v="2026-06-10T00:00:00"/>
    <n v="41"/>
    <m/>
    <m/>
    <m/>
    <m/>
    <m/>
    <m/>
    <m/>
  </r>
  <r>
    <n v="532"/>
    <m/>
    <s v="W18005"/>
    <x v="211"/>
    <s v="E-US"/>
    <s v="美国"/>
    <s v="ANZ-WH"/>
    <n v="40"/>
    <x v="2"/>
    <s v="盐田海卡"/>
    <s v="GEU3"/>
    <s v="ANZ-WH"/>
    <s v="ANZ-WH 便携式扩香仪 白色"/>
    <s v="ANZ"/>
    <n v="1"/>
    <n v="13.24390243902439"/>
    <s v="重量收费"/>
    <n v="3.6"/>
    <m/>
    <n v="2.150537634408602"/>
    <n v="49.828586414896407"/>
    <n v="1.2457146603724101"/>
    <n v="0.18592756124961343"/>
    <m/>
    <m/>
    <m/>
    <x v="29"/>
    <x v="64"/>
    <m/>
    <n v="0.37157232704402515"/>
    <n v="14.862893081761007"/>
    <d v="2026-06-10T00:00:00"/>
    <n v="41"/>
    <m/>
    <m/>
    <m/>
    <m/>
    <m/>
    <m/>
    <m/>
  </r>
  <r>
    <n v="533"/>
    <m/>
    <s v="W18003"/>
    <x v="212"/>
    <s v="V-US"/>
    <s v="美国"/>
    <s v="001000019"/>
    <n v="600"/>
    <x v="7"/>
    <s v="盐田海卡"/>
    <s v="TCY2"/>
    <s v="AN6-B"/>
    <s v="AN6-B 便携式扩香仪 黑色"/>
    <s v="AN6"/>
    <n v="15"/>
    <n v="208.12"/>
    <s v="重量收费"/>
    <n v="3.8"/>
    <n v="200"/>
    <n v="15"/>
    <n v="805.85599999999999"/>
    <n v="1.3430933333333333"/>
    <n v="0.20046169154228854"/>
    <m/>
    <m/>
    <m/>
    <x v="29"/>
    <x v="64"/>
    <m/>
    <n v="0.36"/>
    <n v="216"/>
    <d v="2026-06-02T00:00:00"/>
    <n v="33"/>
    <m/>
    <m/>
    <m/>
    <m/>
    <m/>
    <m/>
    <m/>
  </r>
  <r>
    <n v="534"/>
    <m/>
    <s v="W18005"/>
    <x v="213"/>
    <s v="V-US"/>
    <s v="美国"/>
    <s v="ADXKIT-B_4X10K04_TZ"/>
    <n v="300"/>
    <x v="2"/>
    <s v="盐田海卡"/>
    <s v="TCY2"/>
    <s v="ADXKIT-B_4X10K04_TZ"/>
    <s v="ADXKIT-B_4X10K04_TZ ADX黑色机器+4x10mL酒店（天竺）香氛油 机油套装"/>
    <s v="ADX"/>
    <n v="10"/>
    <n v="155.52500000000001"/>
    <s v="重量收费"/>
    <n v="4"/>
    <n v="200"/>
    <n v="21.50537634408602"/>
    <n v="643.60537634408604"/>
    <n v="2.1453512544802869"/>
    <n v="0.32020167977317715"/>
    <m/>
    <m/>
    <m/>
    <x v="29"/>
    <x v="64"/>
    <m/>
    <n v="0.44"/>
    <n v="132"/>
    <d v="2026-06-08T00:00:00"/>
    <n v="39"/>
    <m/>
    <m/>
    <m/>
    <m/>
    <m/>
    <m/>
    <m/>
  </r>
  <r>
    <n v="535"/>
    <m/>
    <s v="W18005"/>
    <x v="213"/>
    <s v="V-US"/>
    <s v="美国"/>
    <s v="AN8KIT-WH_4X10K05_TZ"/>
    <n v="300"/>
    <x v="2"/>
    <s v="盐田海卡"/>
    <s v="TCY2"/>
    <s v="AN8KIT-WH_4X10K05_TZ"/>
    <s v="AN8KIT-WH_4X10K05_TZ AN8白色机器+4x10mL（天竺）酒店香氛油 机油套装"/>
    <s v="AN8"/>
    <n v="10"/>
    <n v="155.52500000000001"/>
    <s v="重量收费"/>
    <n v="4"/>
    <n v="200"/>
    <n v="21.50537634408602"/>
    <n v="643.60537634408604"/>
    <n v="2.1453512544802869"/>
    <n v="0.32020167977317715"/>
    <m/>
    <m/>
    <m/>
    <x v="29"/>
    <x v="64"/>
    <m/>
    <n v="0.44"/>
    <n v="132"/>
    <d v="2026-06-08T00:00:00"/>
    <n v="39"/>
    <m/>
    <m/>
    <m/>
    <m/>
    <m/>
    <m/>
    <m/>
  </r>
  <r>
    <n v="536"/>
    <m/>
    <s v="W18003"/>
    <x v="214"/>
    <s v="V-US"/>
    <s v="美国"/>
    <s v="001000032"/>
    <n v="480"/>
    <x v="7"/>
    <s v="盐田海卡"/>
    <s v="TCY2"/>
    <s v="ANW-B"/>
    <s v="ANW-B 智能扩香仪 黑色"/>
    <s v="ANW"/>
    <n v="40"/>
    <n v="572.08333333333337"/>
    <s v="重量收费"/>
    <n v="3.8"/>
    <n v="200"/>
    <n v="40"/>
    <n v="2213.9166666666665"/>
    <n v="4.6123263888888886"/>
    <n v="0.68840692371475942"/>
    <m/>
    <m/>
    <m/>
    <x v="29"/>
    <x v="64"/>
    <m/>
    <n v="0.53203007518796996"/>
    <n v="255.37443609022557"/>
    <d v="2026-06-04T00:00:00"/>
    <n v="35"/>
    <m/>
    <m/>
    <m/>
    <m/>
    <m/>
    <m/>
    <m/>
  </r>
  <r>
    <n v="537"/>
    <m/>
    <s v="W18003"/>
    <x v="214"/>
    <s v="V-US"/>
    <s v="美国"/>
    <s v="001000033"/>
    <n v="600"/>
    <x v="7"/>
    <s v="盐田海卡"/>
    <s v="TCY2"/>
    <s v="ANW-W"/>
    <s v="ANW-W 智能扩香仪 白色"/>
    <s v="ANW"/>
    <n v="50"/>
    <n v="715.10416666666674"/>
    <s v="重量收费"/>
    <n v="3.8"/>
    <n v="200"/>
    <n v="50"/>
    <n v="2767.3958333333335"/>
    <n v="4.6123263888888895"/>
    <n v="0.68840692371475964"/>
    <m/>
    <m/>
    <m/>
    <x v="29"/>
    <x v="64"/>
    <m/>
    <n v="0.53203007518796996"/>
    <n v="319.21804511278197"/>
    <d v="2026-06-04T00:00:00"/>
    <n v="35"/>
    <m/>
    <m/>
    <m/>
    <m/>
    <m/>
    <m/>
    <m/>
  </r>
  <r>
    <n v="538"/>
    <m/>
    <s v="W18003"/>
    <x v="214"/>
    <s v="V-US"/>
    <s v="美国"/>
    <s v="ANP-W_US"/>
    <n v="160"/>
    <x v="7"/>
    <s v="盐田海卡"/>
    <s v="TCY2"/>
    <s v="ANP-W_US"/>
    <s v="ANP-W_US 墙插式智能扩香仪 白色"/>
    <s v="ANP"/>
    <n v="5"/>
    <n v="71.510416666666671"/>
    <s v="重量收费"/>
    <n v="3.8"/>
    <m/>
    <n v="5"/>
    <n v="276.73958333333331"/>
    <n v="1.7296223958333332"/>
    <n v="0.25815259639303478"/>
    <m/>
    <m/>
    <m/>
    <x v="29"/>
    <x v="64"/>
    <m/>
    <n v="0.53203007518796996"/>
    <n v="85.124812030075191"/>
    <d v="2026-06-04T00:00:00"/>
    <n v="35"/>
    <m/>
    <m/>
    <m/>
    <m/>
    <m/>
    <m/>
    <m/>
  </r>
  <r>
    <n v="539"/>
    <m/>
    <s v="W18003"/>
    <x v="214"/>
    <s v="V-US"/>
    <s v="美国"/>
    <s v="001000056"/>
    <n v="90"/>
    <x v="7"/>
    <s v="盐田海卡"/>
    <s v="TCY2"/>
    <s v="ANW-Wbot"/>
    <s v="ANW-Wbot ANW带盖瓶子 白喷头"/>
    <s v="ANW-AC"/>
    <n v="1"/>
    <n v="14.302083333333334"/>
    <s v="重量收费"/>
    <n v="3.8"/>
    <m/>
    <n v="1"/>
    <n v="55.347916666666663"/>
    <n v="0.6149768518518518"/>
    <n v="9.1787589828634594E-2"/>
    <m/>
    <m/>
    <m/>
    <x v="29"/>
    <x v="64"/>
    <m/>
    <n v="0.53203007518796996"/>
    <n v="47.882706766917295"/>
    <d v="2026-06-04T00:00:00"/>
    <n v="35"/>
    <m/>
    <m/>
    <m/>
    <m/>
    <m/>
    <m/>
    <m/>
  </r>
  <r>
    <n v="540"/>
    <m/>
    <s v="W18005"/>
    <x v="215"/>
    <s v="V-US"/>
    <s v="美国"/>
    <s v="ANWKIT-B_US_2X100K03"/>
    <n v="120"/>
    <x v="2"/>
    <s v="盐田海卡"/>
    <s v="TCY2"/>
    <s v="ANWKIT-B_US_2X100K03"/>
    <s v="ANWKIT-B_US_2X100K03 ANW黑色机器+2X100mL酒店香氛油（天竺） 机油套装"/>
    <s v="ANW"/>
    <n v="10"/>
    <n v="171"/>
    <s v="重量收费"/>
    <n v="5"/>
    <n v="200"/>
    <n v="21.50537634408602"/>
    <n v="876.50537634408602"/>
    <n v="7.3042114695340503"/>
    <n v="1.0901808163483657"/>
    <m/>
    <m/>
    <m/>
    <x v="29"/>
    <x v="64"/>
    <m/>
    <n v="0.56000000000000005"/>
    <n v="67.2"/>
    <d v="2026-06-08T00:00:00"/>
    <n v="39"/>
    <m/>
    <m/>
    <m/>
    <m/>
    <m/>
    <m/>
    <m/>
  </r>
  <r>
    <n v="541"/>
    <m/>
    <s v="W18004"/>
    <x v="216"/>
    <s v="K-US"/>
    <s v="美国"/>
    <s v="U1KIT-B_US_2X50K01_TZ"/>
    <n v="153"/>
    <x v="2"/>
    <s v="盐田海卡"/>
    <s v="TCY1"/>
    <s v="U1KIT-B_US_2X50K01_TZ"/>
    <s v="U1KIT-B_US_2X50K01_TZ U1黑色机器+2X50mL酒店香氛油（天竺） 机油套装"/>
    <s v="U1"/>
    <n v="17"/>
    <n v="281"/>
    <s v="重量收费"/>
    <n v="5.0999999999999996"/>
    <n v="200"/>
    <n v="61.81818181818182"/>
    <n v="1494.9181818181817"/>
    <n v="9.7707070707070702"/>
    <n v="1.4583144881652343"/>
    <m/>
    <m/>
    <m/>
    <x v="29"/>
    <x v="64"/>
    <m/>
    <n v="0.56000000000000005"/>
    <n v="85.68"/>
    <d v="2026-06-09T00:00:00"/>
    <n v="40"/>
    <m/>
    <m/>
    <m/>
    <m/>
    <m/>
    <m/>
    <m/>
  </r>
  <r>
    <n v="542"/>
    <m/>
    <s v="W18004"/>
    <x v="217"/>
    <s v="K-US"/>
    <s v="美国"/>
    <s v="U1-B_US"/>
    <n v="153"/>
    <x v="2"/>
    <s v="盐田海卡"/>
    <s v="GEU2"/>
    <s v="U1-B_US"/>
    <s v="U1-B_US 智能扩香仪 黑色"/>
    <s v="U1"/>
    <n v="17"/>
    <n v="280"/>
    <s v="重量收费"/>
    <n v="5.0999999999999996"/>
    <n v="200"/>
    <n v="61.81818181818182"/>
    <n v="1489.8181818181818"/>
    <n v="9.737373737373737"/>
    <n v="1.4533393637871248"/>
    <m/>
    <m/>
    <m/>
    <x v="29"/>
    <x v="64"/>
    <m/>
    <n v="0.35"/>
    <n v="53.55"/>
    <d v="2026-06-08T00:00:00"/>
    <n v="39"/>
    <m/>
    <m/>
    <m/>
    <m/>
    <m/>
    <m/>
    <m/>
  </r>
  <r>
    <n v="543"/>
    <m/>
    <s v="W18001"/>
    <x v="218"/>
    <s v="E-US"/>
    <s v="美国"/>
    <s v="BLG1-100ML"/>
    <n v="180"/>
    <x v="1"/>
    <s v="盐田海卡"/>
    <s v="GEU3"/>
    <s v="BLG1-100ML"/>
    <s v="BLG1-100ML 百乐宫酒店香氛油100mL"/>
    <s v="Oil-HQ"/>
    <n v="2"/>
    <n v="40.285714285714285"/>
    <s v="重量收费"/>
    <n v="5.4"/>
    <n v="200"/>
    <n v="57.142857142857146"/>
    <n v="274.68571428571431"/>
    <n v="1.5260317460317461"/>
    <n v="0.22776593224354419"/>
    <m/>
    <m/>
    <m/>
    <x v="29"/>
    <x v="56"/>
    <m/>
    <n v="0.22575000000000001"/>
    <n v="40.634999999999998"/>
    <d v="2026-05-30T00:00:00"/>
    <n v="30"/>
    <m/>
    <m/>
    <m/>
    <m/>
    <m/>
    <m/>
    <m/>
  </r>
  <r>
    <n v="544"/>
    <m/>
    <s v="W18001"/>
    <x v="218"/>
    <s v="E-US"/>
    <s v="美国"/>
    <s v="HOTEL6KIT1-6X10K01"/>
    <n v="152"/>
    <x v="1"/>
    <s v="盐田海卡"/>
    <s v="GEU3"/>
    <s v="HOTEL6KIT1-6X10K01"/>
    <s v="HOTEL6KIT1-6X10K01 酒店香氛油6款10mL套装"/>
    <s v="Oil-HQ"/>
    <n v="2"/>
    <n v="40.285714285714285"/>
    <s v="重量收费"/>
    <n v="5.4"/>
    <n v="200"/>
    <n v="57.142857142857146"/>
    <n v="274.68571428571431"/>
    <n v="1.8071428571428574"/>
    <n v="0.26972281449893393"/>
    <m/>
    <m/>
    <m/>
    <x v="29"/>
    <x v="56"/>
    <m/>
    <n v="0.22575000000000001"/>
    <n v="34.314"/>
    <d v="2026-05-30T00:00:00"/>
    <n v="30"/>
    <m/>
    <m/>
    <m/>
    <m/>
    <m/>
    <m/>
    <m/>
  </r>
  <r>
    <n v="545"/>
    <m/>
    <s v="W18001"/>
    <x v="218"/>
    <s v="E-US"/>
    <s v="美国"/>
    <s v="JY-100ML"/>
    <n v="90"/>
    <x v="1"/>
    <s v="盐田海卡"/>
    <s v="GEU3"/>
    <s v="A-JY-100"/>
    <s v="A-Grand Hyatt Hotel-100 君悦酒店香氛油100mL"/>
    <s v="Oil-HQ"/>
    <n v="1"/>
    <n v="20.142857142857142"/>
    <s v="重量收费"/>
    <n v="5.4"/>
    <m/>
    <n v="28.571428571428573"/>
    <n v="137.34285714285716"/>
    <n v="1.5260317460317461"/>
    <n v="0.22776593224354419"/>
    <m/>
    <m/>
    <m/>
    <x v="29"/>
    <x v="56"/>
    <m/>
    <n v="0.22575000000000001"/>
    <n v="20.317499999999999"/>
    <d v="2026-05-30T00:00:00"/>
    <n v="30"/>
    <m/>
    <m/>
    <m/>
    <m/>
    <m/>
    <m/>
    <m/>
  </r>
  <r>
    <n v="546"/>
    <m/>
    <s v="W18001"/>
    <x v="218"/>
    <s v="E-US"/>
    <s v="美国"/>
    <s v="006000026"/>
    <n v="180"/>
    <x v="1"/>
    <s v="盐田海卡"/>
    <s v="GEU3"/>
    <s v="A-MT-100"/>
    <s v="A-Marriott Hotel 1-100 万豪酒店1香氛油100mL"/>
    <s v="Oil-HQ"/>
    <n v="2"/>
    <n v="40.285714285714285"/>
    <s v="重量收费"/>
    <n v="5.4"/>
    <m/>
    <n v="57.142857142857146"/>
    <n v="274.68571428571431"/>
    <n v="1.5260317460317461"/>
    <n v="0.22776593224354419"/>
    <m/>
    <m/>
    <m/>
    <x v="29"/>
    <x v="56"/>
    <m/>
    <n v="0.22575000000000001"/>
    <n v="40.634999999999998"/>
    <d v="2026-05-30T00:00:00"/>
    <n v="30"/>
    <m/>
    <m/>
    <m/>
    <m/>
    <m/>
    <m/>
    <m/>
  </r>
  <r>
    <n v="547"/>
    <s v="跟FBA19C12XM4V 合并报关"/>
    <s v="W18002"/>
    <x v="219"/>
    <s v="V-US"/>
    <s v="美国"/>
    <s v="RZ1-100ML_TZ"/>
    <n v="1280"/>
    <x v="3"/>
    <s v="盐田海卡"/>
    <s v="HLI2"/>
    <s v="RZ1-100ML_TZ"/>
    <s v="RZ1-100ML_TZ 丽思卡尔顿酒店100mL香氛油（天竺） 销售包装"/>
    <s v="Oil-TZ"/>
    <n v="20"/>
    <n v="0.8"/>
    <s v="CBM收费"/>
    <n v="1240"/>
    <n v="180"/>
    <n v="90"/>
    <n v="1082"/>
    <n v="0.84531250000000002"/>
    <n v="0.1261660447761194"/>
    <m/>
    <m/>
    <m/>
    <x v="30"/>
    <x v="66"/>
    <m/>
    <n v="0.36579710144927535"/>
    <n v="468.22028985507245"/>
    <d v="2026-06-08T00:00:00"/>
    <n v="40"/>
    <m/>
    <m/>
    <m/>
    <m/>
    <m/>
    <m/>
    <m/>
  </r>
  <r>
    <n v="548"/>
    <m/>
    <s v="W18002"/>
    <x v="219"/>
    <s v="V-US"/>
    <s v="美国"/>
    <s v="RZ1-500ML_TZ"/>
    <n v="100"/>
    <x v="3"/>
    <s v="盐田海卡"/>
    <s v="HLI2"/>
    <s v="RZ1-500ML_TZ"/>
    <s v="RZ1-500ML_TZ 丽思卡尔顿酒店500mL香氛油（天竺） 销售包装"/>
    <s v="Oil-TZ"/>
    <n v="5"/>
    <n v="0.2"/>
    <s v="CBM收费"/>
    <n v="1240"/>
    <n v="180"/>
    <n v="22.5"/>
    <n v="270.5"/>
    <n v="2.7050000000000001"/>
    <n v="0.40373134328358207"/>
    <m/>
    <m/>
    <m/>
    <x v="30"/>
    <x v="66"/>
    <m/>
    <n v="0.36579710144927535"/>
    <n v="36.579710144927532"/>
    <d v="2026-06-08T00:00:00"/>
    <n v="40"/>
    <m/>
    <m/>
    <m/>
    <m/>
    <m/>
    <m/>
    <m/>
  </r>
  <r>
    <n v="549"/>
    <m/>
    <s v="W18002"/>
    <x v="220"/>
    <s v="E-US"/>
    <s v="美国"/>
    <s v="BCRT1-100ML_TZ"/>
    <n v="256"/>
    <x v="3"/>
    <s v="盐田海卡"/>
    <s v="TCY1"/>
    <s v="BCRT1-100ML_TZ"/>
    <s v="BCRT1-100ML_TZ 巴卡拉酒店100mL香氛油（天竺） 销售包装"/>
    <s v="Oil-TZ"/>
    <n v="4"/>
    <n v="0.26666666666666666"/>
    <s v="CBM收费"/>
    <n v="1240"/>
    <m/>
    <n v="18"/>
    <n v="348.66666666666669"/>
    <n v="1.3619791666666667"/>
    <n v="0.20328047263681592"/>
    <m/>
    <m/>
    <m/>
    <x v="30"/>
    <x v="66"/>
    <m/>
    <n v="0.57408637873754154"/>
    <n v="146.96611295681063"/>
    <d v="2026-05-28T00:00:00"/>
    <n v="29"/>
    <m/>
    <m/>
    <m/>
    <m/>
    <m/>
    <m/>
    <m/>
  </r>
  <r>
    <n v="550"/>
    <m/>
    <s v="W18002"/>
    <x v="220"/>
    <s v="E-US"/>
    <s v="美国"/>
    <s v="SJ1-100ML_TZ"/>
    <n v="192"/>
    <x v="3"/>
    <s v="盐田海卡"/>
    <s v="TCY1"/>
    <s v="SJ1-100ML_TZ"/>
    <s v="SJ1-100ML_TZ 四季酒店100mL香氛油（天竺） 销售包装"/>
    <s v="Oil-TZ"/>
    <n v="3"/>
    <n v="0.2"/>
    <s v="CBM收费"/>
    <n v="1240"/>
    <m/>
    <n v="13.5"/>
    <n v="261.5"/>
    <n v="1.3619791666666667"/>
    <n v="0.20328047263681592"/>
    <m/>
    <m/>
    <m/>
    <x v="30"/>
    <x v="66"/>
    <m/>
    <n v="0.57408637873754154"/>
    <n v="110.22458471760797"/>
    <d v="2026-05-28T00:00:00"/>
    <n v="29"/>
    <m/>
    <m/>
    <m/>
    <m/>
    <m/>
    <m/>
    <m/>
  </r>
  <r>
    <n v="551"/>
    <m/>
    <s v="W18002"/>
    <x v="220"/>
    <s v="E-US"/>
    <s v="美国"/>
    <s v="W1-100ML_TZ"/>
    <n v="320"/>
    <x v="3"/>
    <s v="盐田海卡"/>
    <s v="TCY1"/>
    <s v="W1-100ML_TZ"/>
    <s v="W1-100ML_TZ W酒店100mL香氛油（天竺） 销售包装"/>
    <s v="Oil-TZ"/>
    <n v="5"/>
    <n v="0.33333333333333331"/>
    <s v="CBM收费"/>
    <n v="1240"/>
    <m/>
    <n v="22.5"/>
    <n v="435.83333333333331"/>
    <n v="1.3619791666666665"/>
    <n v="0.2032804726368159"/>
    <m/>
    <m/>
    <m/>
    <x v="30"/>
    <x v="66"/>
    <m/>
    <n v="0.57408637873754154"/>
    <n v="183.7076411960133"/>
    <d v="2026-05-28T00:00:00"/>
    <n v="29"/>
    <m/>
    <m/>
    <m/>
    <m/>
    <m/>
    <m/>
    <m/>
  </r>
  <r>
    <n v="552"/>
    <m/>
    <s v="W18002"/>
    <x v="220"/>
    <s v="E-US"/>
    <s v="美国"/>
    <s v="HILTON1-100ML_TZ"/>
    <n v="192"/>
    <x v="3"/>
    <s v="盐田海卡"/>
    <s v="TCY1"/>
    <s v="HILTON1-100ML_TZ"/>
    <s v="HILTON1-100ML_TZ 希尔顿酒店100mL香氛油（天竺） 销售包装"/>
    <s v="Oil-TZ"/>
    <n v="3"/>
    <n v="0.2"/>
    <s v="CBM收费"/>
    <n v="1240"/>
    <m/>
    <n v="13.5"/>
    <n v="261.5"/>
    <n v="1.3619791666666667"/>
    <n v="0.20328047263681592"/>
    <m/>
    <m/>
    <m/>
    <x v="30"/>
    <x v="66"/>
    <m/>
    <n v="0.57408637873754154"/>
    <n v="110.22458471760797"/>
    <d v="2026-05-28T00:00:00"/>
    <n v="29"/>
    <m/>
    <m/>
    <m/>
    <m/>
    <m/>
    <m/>
    <m/>
  </r>
  <r>
    <n v="553"/>
    <m/>
    <s v="W19010"/>
    <x v="221"/>
    <s v="V-US"/>
    <s v="美国"/>
    <s v="ADXKIT-B_4X10K04_TZ"/>
    <n v="300"/>
    <x v="0"/>
    <s v="美森海卡"/>
    <s v="TCY1"/>
    <s v="ADXKIT-B_4X10K04_TZ"/>
    <s v="ADXKIT-B_4X10K04_TZ ADX黑色机器+4x10mL酒店（天竺）香氛油 机油套装"/>
    <s v="ADX"/>
    <n v="10"/>
    <n v="178"/>
    <s v="重量收费"/>
    <n v="9.4"/>
    <n v="200"/>
    <n v="200"/>
    <n v="1873.2"/>
    <n v="6.2439999999999998"/>
    <n v="0.93194029850746263"/>
    <m/>
    <m/>
    <m/>
    <x v="31"/>
    <x v="67"/>
    <m/>
    <n v="0.44"/>
    <n v="132"/>
    <d v="2026-06-07T00:00:00"/>
    <n v="29"/>
    <m/>
    <m/>
    <m/>
    <m/>
    <m/>
    <m/>
    <m/>
  </r>
  <r>
    <n v="554"/>
    <m/>
    <s v="W19005"/>
    <x v="222"/>
    <s v="V-US"/>
    <s v="美国"/>
    <s v="ADXKIT-DT_4X10K04_TZ"/>
    <n v="300"/>
    <x v="0"/>
    <s v="盐田海卡"/>
    <s v="TCY1"/>
    <s v="ADXKIT-DT_4X10K04_TZ"/>
    <s v="ADXKIT-DT_4X10K04_TZ AD钛色机器+4x10mL酒店（天竺）香氛油 机油套装"/>
    <s v="ADX"/>
    <n v="10"/>
    <n v="178"/>
    <s v="重量收费"/>
    <n v="4.0999999999999996"/>
    <n v="200"/>
    <n v="23.529411764705884"/>
    <n v="753.32941176470581"/>
    <n v="2.5110980392156859"/>
    <n v="0.37479075212174418"/>
    <m/>
    <m/>
    <m/>
    <x v="31"/>
    <x v="57"/>
    <m/>
    <n v="0.44"/>
    <n v="132"/>
    <m/>
    <n v="-46151"/>
    <m/>
    <m/>
    <m/>
    <m/>
    <m/>
    <m/>
    <m/>
  </r>
  <r>
    <n v="555"/>
    <m/>
    <s v="W19005"/>
    <x v="223"/>
    <s v="V-US"/>
    <s v="美国"/>
    <s v="001000019"/>
    <n v="1200"/>
    <x v="0"/>
    <s v="盐田海卡"/>
    <s v="HLI2"/>
    <s v="AN6-B"/>
    <s v="AN6-B 便携式扩香仪 黑色"/>
    <s v="AN6"/>
    <n v="30"/>
    <n v="417.85714285714289"/>
    <s v="重量收费"/>
    <n v="3.6"/>
    <n v="200"/>
    <n v="70.588235294117652"/>
    <n v="1574.873949579832"/>
    <n v="1.3123949579831933"/>
    <n v="0.19587984447510348"/>
    <m/>
    <m/>
    <m/>
    <x v="31"/>
    <x v="57"/>
    <m/>
    <n v="0.36888888888888888"/>
    <n v="442.66666666666663"/>
    <m/>
    <n v="-46151"/>
    <m/>
    <m/>
    <m/>
    <m/>
    <m/>
    <m/>
    <m/>
  </r>
  <r>
    <n v="556"/>
    <m/>
    <s v="W19005"/>
    <x v="223"/>
    <s v="V-US"/>
    <s v="美国"/>
    <s v="001000039"/>
    <n v="120"/>
    <x v="0"/>
    <s v="盐田海卡"/>
    <s v="HLI2"/>
    <s v="AN6-GL"/>
    <s v="AN6-GL 便携式扩香仪 翠百合色"/>
    <s v="AN6"/>
    <n v="3"/>
    <n v="41.785714285714285"/>
    <s v="重量收费"/>
    <n v="3.6"/>
    <m/>
    <n v="7.0588235294117645"/>
    <n v="157.48739495798318"/>
    <n v="1.3123949579831933"/>
    <n v="0.19587984447510348"/>
    <m/>
    <m/>
    <m/>
    <x v="31"/>
    <x v="57"/>
    <m/>
    <n v="0.36888888888888888"/>
    <n v="44.266666666666666"/>
    <m/>
    <n v="-46151"/>
    <m/>
    <m/>
    <m/>
    <m/>
    <m/>
    <m/>
    <m/>
  </r>
  <r>
    <n v="557"/>
    <m/>
    <s v="W19005"/>
    <x v="223"/>
    <s v="V-US"/>
    <s v="美国"/>
    <s v="001000020"/>
    <n v="1000"/>
    <x v="0"/>
    <s v="盐田海卡"/>
    <s v="HLI2"/>
    <s v="AN6-W"/>
    <s v="AN6-W 便携式扩香仪 白色"/>
    <s v="AN6"/>
    <n v="25"/>
    <n v="348.21428571428572"/>
    <s v="重量收费"/>
    <n v="3.6"/>
    <m/>
    <n v="58.823529411764703"/>
    <n v="1312.3949579831933"/>
    <n v="1.3123949579831933"/>
    <n v="0.19587984447510348"/>
    <m/>
    <m/>
    <m/>
    <x v="31"/>
    <x v="57"/>
    <m/>
    <n v="0.36888888888888888"/>
    <n v="368.88888888888886"/>
    <m/>
    <n v="-46151"/>
    <m/>
    <m/>
    <m/>
    <m/>
    <m/>
    <m/>
    <m/>
  </r>
  <r>
    <n v="558"/>
    <m/>
    <s v="W19005"/>
    <x v="223"/>
    <s v="V-US"/>
    <s v="美国"/>
    <s v="AN6-YG"/>
    <n v="80"/>
    <x v="0"/>
    <s v="盐田海卡"/>
    <s v="HLI2"/>
    <s v="AN6-YG"/>
    <s v="AN6-YG 便携式扩香仪 乳酪色"/>
    <s v="AN6"/>
    <n v="2"/>
    <n v="27.857142857142858"/>
    <s v="重量收费"/>
    <n v="3.6"/>
    <m/>
    <n v="4.7058823529411766"/>
    <n v="104.99159663865547"/>
    <n v="1.3123949579831933"/>
    <n v="0.19587984447510348"/>
    <m/>
    <m/>
    <m/>
    <x v="31"/>
    <x v="57"/>
    <m/>
    <n v="0.36888888888888888"/>
    <n v="29.511111111111109"/>
    <m/>
    <n v="-46151"/>
    <m/>
    <m/>
    <m/>
    <m/>
    <m/>
    <m/>
    <m/>
  </r>
  <r>
    <n v="559"/>
    <m/>
    <s v="W19005"/>
    <x v="223"/>
    <s v="V-US"/>
    <s v="美国"/>
    <s v="RD1-B"/>
    <n v="300"/>
    <x v="0"/>
    <s v="盐田海卡"/>
    <s v="HLI2"/>
    <s v="RD1-B"/>
    <s v="RD1-B 便携式扩香仪 黑色"/>
    <s v="RD1"/>
    <n v="10"/>
    <n v="139.28571428571428"/>
    <s v="重量收费"/>
    <n v="3.6"/>
    <m/>
    <n v="23.529411764705884"/>
    <n v="524.9579831932773"/>
    <n v="1.749859943977591"/>
    <n v="0.26117312596680464"/>
    <m/>
    <m/>
    <m/>
    <x v="31"/>
    <x v="57"/>
    <m/>
    <n v="0.36888888888888888"/>
    <n v="110.66666666666666"/>
    <m/>
    <n v="-46151"/>
    <m/>
    <m/>
    <m/>
    <m/>
    <m/>
    <m/>
    <m/>
  </r>
  <r>
    <n v="560"/>
    <m/>
    <s v="W19006"/>
    <x v="224"/>
    <s v="E-US"/>
    <s v="美国"/>
    <s v="001000052"/>
    <n v="90"/>
    <x v="0"/>
    <s v="盐田海卡"/>
    <s v="GEU2"/>
    <s v="ANX-DT"/>
    <s v="ANX-DT 便携式扩香仪 沙漠钛色"/>
    <s v="ANX"/>
    <n v="3"/>
    <n v="38"/>
    <s v="重量收费"/>
    <n v="4.4000000000000004"/>
    <n v="200"/>
    <n v="13.043478260869565"/>
    <n v="180.24347826086958"/>
    <n v="2.002705314009662"/>
    <n v="0.29891124089696447"/>
    <m/>
    <m/>
    <m/>
    <x v="31"/>
    <x v="57"/>
    <m/>
    <n v="0.44"/>
    <n v="39.6"/>
    <m/>
    <n v="-46151"/>
    <m/>
    <m/>
    <m/>
    <m/>
    <m/>
    <m/>
    <m/>
  </r>
  <r>
    <n v="561"/>
    <m/>
    <s v="W19006"/>
    <x v="225"/>
    <s v="A-US"/>
    <s v="美国"/>
    <s v="ANZKIT-B_BGR30ML_TZ"/>
    <n v="600"/>
    <x v="0"/>
    <s v="盐田海卡"/>
    <s v="QXY8"/>
    <s v="ANZKIT-B_BGR30ML_TZ"/>
    <s v="ANZKIT-B_BGR30ML_TZ ANZ黑色机器+30mL宝格丽酒店香氛油（天竺） 机油套装"/>
    <s v="ANZ"/>
    <n v="20"/>
    <n v="275.2"/>
    <s v="重量收费"/>
    <n v="4.5999999999999996"/>
    <n v="200"/>
    <n v="86.956521739130437"/>
    <n v="1352.8765217391303"/>
    <n v="2.2547942028985504"/>
    <n v="0.33653644819381345"/>
    <m/>
    <m/>
    <m/>
    <x v="31"/>
    <x v="57"/>
    <m/>
    <n v="0.44"/>
    <n v="264"/>
    <m/>
    <n v="-46151"/>
    <m/>
    <m/>
    <m/>
    <m/>
    <m/>
    <m/>
    <m/>
  </r>
  <r>
    <n v="562"/>
    <m/>
    <s v="W19006"/>
    <x v="225"/>
    <s v="A-US"/>
    <s v="美国"/>
    <s v="ANZKIT-W_BGR30ML_TZ"/>
    <n v="150"/>
    <x v="0"/>
    <s v="盐田海卡"/>
    <s v="QXY8"/>
    <s v="ANZKIT-W_BGR30ML_TZ"/>
    <s v="ANZKIT-W_BGR30ML_TZ ANZ白色机器+30mL宝格丽酒店香氛油（天竺） 机油套装"/>
    <s v="ANZ"/>
    <n v="5"/>
    <n v="68.8"/>
    <s v="重量收费"/>
    <n v="4.5999999999999996"/>
    <m/>
    <n v="21.739130434782609"/>
    <n v="338.21913043478258"/>
    <n v="2.2547942028985504"/>
    <n v="0.33653644819381345"/>
    <m/>
    <m/>
    <m/>
    <x v="31"/>
    <x v="57"/>
    <m/>
    <n v="0.44"/>
    <n v="66"/>
    <m/>
    <n v="-46151"/>
    <m/>
    <m/>
    <m/>
    <m/>
    <m/>
    <m/>
    <m/>
  </r>
  <r>
    <n v="563"/>
    <m/>
    <s v="W19006"/>
    <x v="226"/>
    <s v="V-US"/>
    <s v="美国"/>
    <s v="ANAKIT-WH_US_2X100K03"/>
    <n v="120"/>
    <x v="0"/>
    <s v="盐田海卡"/>
    <s v="GEU2"/>
    <s v="ANAKIT-WH_US_2X100K03"/>
    <s v="ANAKIT-WH_US_2X100K03 ANA白色机器+2X100mL酒店香氛油（天竺） 机油套装"/>
    <s v="ANA"/>
    <n v="10"/>
    <n v="158.33000000000001"/>
    <s v="重量收费"/>
    <n v="4.5"/>
    <m/>
    <n v="43.478260869565219"/>
    <n v="755.96326086956526"/>
    <n v="6.2996938405797103"/>
    <n v="0.94025281202682243"/>
    <m/>
    <m/>
    <m/>
    <x v="31"/>
    <x v="57"/>
    <m/>
    <n v="0.56000000000000005"/>
    <n v="67.2"/>
    <m/>
    <n v="-46151"/>
    <m/>
    <m/>
    <m/>
    <m/>
    <m/>
    <m/>
    <m/>
  </r>
  <r>
    <n v="564"/>
    <m/>
    <s v="W19001"/>
    <x v="227"/>
    <s v="W-DE"/>
    <s v="德国"/>
    <s v="ANA-WH_EU"/>
    <n v="216"/>
    <x v="8"/>
    <s v="欧洲海卡"/>
    <s v="BER8"/>
    <s v="ANA-WH_EU"/>
    <s v="ANA-WH_EU 智能扩香仪 欧规 白色"/>
    <s v="ANA"/>
    <n v="18"/>
    <n v="267"/>
    <s v="重量收费"/>
    <n v="6.5"/>
    <n v="200"/>
    <n v="200"/>
    <n v="1935.5"/>
    <n v="8.9606481481481488"/>
    <n v="1.3374101713653954"/>
    <m/>
    <m/>
    <m/>
    <x v="32"/>
    <x v="68"/>
    <m/>
    <n v="0"/>
    <n v="0"/>
    <m/>
    <n v="-46150"/>
    <m/>
    <m/>
    <m/>
    <m/>
    <m/>
    <m/>
    <m/>
  </r>
  <r>
    <n v="565"/>
    <m/>
    <s v="W19006"/>
    <x v="228"/>
    <s v="V-US"/>
    <s v="美国"/>
    <s v="ANP-W_US"/>
    <n v="256"/>
    <x v="0"/>
    <s v="盐田海卡"/>
    <s v="GEU2"/>
    <s v="ANP-W_US"/>
    <s v="ANP-W_US 墙插式智能扩香仪 白色"/>
    <s v="ANP"/>
    <n v="8"/>
    <n v="126.67"/>
    <s v="重量收费"/>
    <n v="4.5"/>
    <n v="200"/>
    <n v="34.782608695652172"/>
    <n v="604.79760869565212"/>
    <n v="2.3624906589673911"/>
    <n v="0.35261054611453596"/>
    <m/>
    <m/>
    <m/>
    <x v="31"/>
    <x v="57"/>
    <m/>
    <n v="0.44"/>
    <n v="112.64"/>
    <m/>
    <n v="-46151"/>
    <m/>
    <m/>
    <m/>
    <m/>
    <m/>
    <m/>
    <m/>
  </r>
  <r>
    <n v="566"/>
    <m/>
    <s v="W19007"/>
    <x v="229"/>
    <s v="K-US"/>
    <s v="美国"/>
    <s v="U1KIT-B_US_2X50K01_TZ"/>
    <n v="1152"/>
    <x v="0"/>
    <s v="盐田海卡"/>
    <s v="GEU3"/>
    <s v="U1KIT-B_US_2X50K01_TZ"/>
    <s v="U1KIT-B_US_2X50K01_TZ U1黑色机器+2X50mL酒店香氛油（天竺） 机油套装"/>
    <s v="U1"/>
    <n v="128"/>
    <n v="2202"/>
    <s v="重量收费"/>
    <n v="4.9000000000000004"/>
    <n v="200"/>
    <n v="200"/>
    <n v="10989.800000000001"/>
    <n v="9.539756944444445"/>
    <n v="1.4238443200663351"/>
    <m/>
    <m/>
    <m/>
    <x v="31"/>
    <x v="57"/>
    <m/>
    <n v="0.56000000000000005"/>
    <n v="645.12000000000012"/>
    <m/>
    <n v="-46151"/>
    <m/>
    <m/>
    <m/>
    <m/>
    <m/>
    <m/>
    <m/>
  </r>
  <r>
    <n v="567"/>
    <m/>
    <s v="W19008"/>
    <x v="230"/>
    <s v="K-US"/>
    <s v="美国"/>
    <s v="U1-B_US"/>
    <n v="513"/>
    <x v="7"/>
    <s v="盐田海卡"/>
    <s v="GEU3"/>
    <s v="U1-B_US"/>
    <s v="U1-B_US 智能扩香仪 黑色"/>
    <s v="U1"/>
    <n v="57"/>
    <n v="973.99999999999989"/>
    <s v="重量收费"/>
    <n v="4.4000000000000004"/>
    <n v="200"/>
    <n v="200"/>
    <n v="4485.5999999999995"/>
    <n v="8.7438596491228058"/>
    <n v="1.3050536789735532"/>
    <m/>
    <m/>
    <m/>
    <x v="31"/>
    <x v="69"/>
    <m/>
    <n v="0.55999999999999994"/>
    <n v="287.27999999999997"/>
    <d v="2026-06-08T00:00:00"/>
    <n v="30"/>
    <m/>
    <m/>
    <m/>
    <m/>
    <m/>
    <m/>
    <m/>
  </r>
  <r>
    <n v="568"/>
    <m/>
    <s v="W19009"/>
    <x v="231"/>
    <s v="V-US"/>
    <s v="美国"/>
    <s v="001000032"/>
    <n v="36"/>
    <x v="7"/>
    <s v="盐田海卡"/>
    <s v="TCY2"/>
    <s v="ANW-B"/>
    <s v="ANW-B 智能扩香仪 黑色"/>
    <s v="ANW"/>
    <n v="3"/>
    <n v="43.018867924528301"/>
    <s v="重量收费"/>
    <n v="4"/>
    <n v="200"/>
    <n v="11.320754716981131"/>
    <n v="183.39622641509433"/>
    <n v="5.0943396226415096"/>
    <n v="0.7603491974091805"/>
    <m/>
    <m/>
    <m/>
    <x v="31"/>
    <x v="59"/>
    <m/>
    <n v="0.56000000000000005"/>
    <n v="20.160000000000004"/>
    <m/>
    <n v="-46151"/>
    <m/>
    <m/>
    <m/>
    <m/>
    <m/>
    <m/>
    <m/>
  </r>
  <r>
    <n v="569"/>
    <m/>
    <s v="W19009"/>
    <x v="231"/>
    <s v="V-US"/>
    <s v="美国"/>
    <s v="001000033"/>
    <n v="600"/>
    <x v="7"/>
    <s v="盐田海卡"/>
    <s v="TCY2"/>
    <s v="ANW-W"/>
    <s v="ANW-W 智能扩香仪 白色"/>
    <s v="ANW"/>
    <n v="50"/>
    <n v="716.98113207547169"/>
    <s v="重量收费"/>
    <n v="4"/>
    <n v="200"/>
    <n v="188.67924528301887"/>
    <n v="3056.6037735849059"/>
    <n v="5.0943396226415096"/>
    <n v="0.7603491974091805"/>
    <m/>
    <m/>
    <m/>
    <x v="31"/>
    <x v="59"/>
    <m/>
    <n v="0.56000000000000005"/>
    <n v="336.00000000000006"/>
    <m/>
    <n v="-46151"/>
    <m/>
    <m/>
    <m/>
    <m/>
    <m/>
    <m/>
    <m/>
  </r>
  <r>
    <n v="570"/>
    <m/>
    <s v="W19005"/>
    <x v="232"/>
    <s v="E-US"/>
    <s v="美国"/>
    <s v="003000007"/>
    <n v="180"/>
    <x v="0"/>
    <s v="盐田海卡"/>
    <s v="HLI2"/>
    <s v="AP2F-H14"/>
    <s v="AP2F-H14 空气净化器滤网2-H14"/>
    <s v="AP2F"/>
    <n v="5"/>
    <n v="113"/>
    <s v="重量收费"/>
    <n v="4.8"/>
    <n v="200"/>
    <n v="11.764705882352942"/>
    <n v="554.16470588235291"/>
    <n v="3.078692810457516"/>
    <n v="0.45950638962052476"/>
    <m/>
    <m/>
    <m/>
    <x v="31"/>
    <x v="57"/>
    <m/>
    <n v="0.55999999999999994"/>
    <n v="100.79999999999998"/>
    <m/>
    <n v="-46151"/>
    <m/>
    <m/>
    <m/>
    <m/>
    <m/>
    <m/>
    <m/>
  </r>
  <r>
    <n v="571"/>
    <m/>
    <s v="W19004"/>
    <x v="233"/>
    <s v="V-CA"/>
    <s v="加拿大"/>
    <s v="003000014"/>
    <n v="60"/>
    <x v="0"/>
    <s v="加拿大海卡"/>
    <s v="YOW1"/>
    <s v="AP2US-H14"/>
    <s v="AP2US-H14 内置H14滤网桌面式空气净化器2-美规"/>
    <s v="AP2"/>
    <n v="15"/>
    <n v="358"/>
    <s v="重量收费"/>
    <n v="6.6"/>
    <n v="250"/>
    <n v="250"/>
    <n v="2612.7999999999997"/>
    <n v="43.54666666666666"/>
    <n v="6.4995024875621876"/>
    <m/>
    <m/>
    <m/>
    <x v="31"/>
    <x v="69"/>
    <m/>
    <n v="0"/>
    <n v="0"/>
    <m/>
    <n v="-46151"/>
    <m/>
    <m/>
    <m/>
    <m/>
    <m/>
    <m/>
    <m/>
  </r>
  <r>
    <n v="572"/>
    <s v="不上门提货，需要自行安排车送货到货代仓库，100.83为自行安排车送货的运费"/>
    <s v="W20003"/>
    <x v="234"/>
    <s v="E-AE"/>
    <s v="阿联酋"/>
    <s v="001000019"/>
    <n v="240"/>
    <x v="9"/>
    <s v="阿联酋海卡"/>
    <s v="DXB5"/>
    <s v="AN6-B"/>
    <s v="AN6-B 便携式扩香仪 黑色"/>
    <s v="AN6"/>
    <n v="6"/>
    <n v="0.5"/>
    <s v="CBM收费"/>
    <n v="1400"/>
    <s v="400+100.83"/>
    <n v="250.41499999999999"/>
    <n v="950.41499999999996"/>
    <n v="3.9600624999999998"/>
    <n v="0.59105410447761186"/>
    <m/>
    <m/>
    <m/>
    <x v="33"/>
    <x v="70"/>
    <m/>
    <n v="0"/>
    <n v="0"/>
    <m/>
    <n v="-46156"/>
    <m/>
    <m/>
    <m/>
    <m/>
    <m/>
    <m/>
    <m/>
  </r>
  <r>
    <n v="573"/>
    <m/>
    <s v="W20003"/>
    <x v="234"/>
    <s v="E-AE"/>
    <s v="阿联酋"/>
    <s v="001000020"/>
    <n v="80"/>
    <x v="9"/>
    <s v="阿联酋海卡"/>
    <s v="DXB5"/>
    <s v="AN6-W"/>
    <s v="AN6-W 便携式扩香仪 白色"/>
    <s v="AN6"/>
    <n v="2"/>
    <n v="0.16666666666666666"/>
    <s v="CBM收费"/>
    <n v="1400"/>
    <n v="500.83"/>
    <n v="83.471666666666664"/>
    <n v="316.80499999999995"/>
    <n v="3.9600624999999994"/>
    <n v="0.59105410447761186"/>
    <m/>
    <m/>
    <m/>
    <x v="33"/>
    <x v="70"/>
    <m/>
    <n v="0"/>
    <n v="0"/>
    <m/>
    <n v="-46156"/>
    <m/>
    <m/>
    <m/>
    <m/>
    <m/>
    <m/>
    <m/>
  </r>
  <r>
    <n v="574"/>
    <m/>
    <s v="W20003"/>
    <x v="234"/>
    <s v="E-AE"/>
    <s v="阿联酋"/>
    <s v="001000045"/>
    <n v="60"/>
    <x v="9"/>
    <s v="阿联酋海卡"/>
    <s v="DXB5"/>
    <s v="ANX-B"/>
    <s v="ANX-B 便携式扩香仪 黑色"/>
    <s v="ANX"/>
    <n v="2"/>
    <n v="0.16666666666666666"/>
    <s v="CBM收费"/>
    <n v="1400"/>
    <m/>
    <n v="83.471666666666664"/>
    <n v="316.80499999999995"/>
    <n v="5.2800833333333328"/>
    <n v="0.78807213930348252"/>
    <m/>
    <m/>
    <m/>
    <x v="33"/>
    <x v="70"/>
    <m/>
    <n v="0"/>
    <n v="0"/>
    <m/>
    <n v="-46156"/>
    <m/>
    <m/>
    <m/>
    <m/>
    <m/>
    <m/>
    <m/>
  </r>
  <r>
    <n v="575"/>
    <m/>
    <s v="W20003"/>
    <x v="234"/>
    <s v="E-AE"/>
    <s v="阿联酋"/>
    <s v="RD1-DT"/>
    <n v="60"/>
    <x v="9"/>
    <s v="阿联酋海卡"/>
    <s v="DXB5"/>
    <s v="RD1-DT"/>
    <s v="RD1-DT 便携式扩香仪 沙漠钛色"/>
    <s v="RD1"/>
    <n v="2"/>
    <n v="0.16666666666666666"/>
    <s v="CBM收费"/>
    <n v="1400"/>
    <m/>
    <n v="83.471666666666664"/>
    <n v="316.80499999999995"/>
    <n v="5.2800833333333328"/>
    <n v="0.78807213930348252"/>
    <m/>
    <m/>
    <m/>
    <x v="33"/>
    <x v="70"/>
    <m/>
    <n v="0"/>
    <n v="0"/>
    <m/>
    <n v="-46156"/>
    <m/>
    <m/>
    <m/>
    <m/>
    <m/>
    <m/>
    <m/>
  </r>
  <r>
    <n v="576"/>
    <m/>
    <s v="W20004"/>
    <x v="235"/>
    <s v="E-UK"/>
    <s v="英国"/>
    <s v="001000019"/>
    <n v="320"/>
    <x v="0"/>
    <s v="英国海卡"/>
    <s v="LBA4"/>
    <s v="AN6-B"/>
    <s v="AN6-B 便携式扩香仪 黑色"/>
    <s v="AN6"/>
    <n v="8"/>
    <n v="0.39636363636363642"/>
    <s v="CBM收费"/>
    <n v="780"/>
    <n v="450"/>
    <n v="163.63636363636363"/>
    <n v="472.8"/>
    <n v="1.4775"/>
    <n v="0.22052238805970148"/>
    <m/>
    <m/>
    <m/>
    <x v="33"/>
    <x v="71"/>
    <m/>
    <n v="0"/>
    <n v="0"/>
    <m/>
    <n v="-46156"/>
    <m/>
    <m/>
    <m/>
    <m/>
    <m/>
    <m/>
    <m/>
  </r>
  <r>
    <n v="577"/>
    <m/>
    <s v="W20004"/>
    <x v="235"/>
    <s v="E-UK"/>
    <s v="英国"/>
    <s v="001000039"/>
    <n v="120"/>
    <x v="0"/>
    <s v="英国海卡"/>
    <s v="LBA4"/>
    <s v="AN6-GL"/>
    <s v="AN6-GL 便携式扩香仪 翠百合色"/>
    <s v="AN6"/>
    <n v="3"/>
    <n v="0.14863636363636365"/>
    <s v="CBM收费"/>
    <n v="780"/>
    <n v="450"/>
    <n v="61.363636363636367"/>
    <n v="177.3"/>
    <n v="1.4775"/>
    <n v="0.22052238805970148"/>
    <m/>
    <m/>
    <m/>
    <x v="33"/>
    <x v="71"/>
    <m/>
    <n v="0"/>
    <n v="0"/>
    <m/>
    <n v="-46156"/>
    <m/>
    <m/>
    <m/>
    <m/>
    <m/>
    <m/>
    <m/>
  </r>
  <r>
    <n v="578"/>
    <m/>
    <s v="W20004"/>
    <x v="235"/>
    <s v="E-UK"/>
    <s v="英国"/>
    <s v="001000020"/>
    <n v="200"/>
    <x v="0"/>
    <s v="英国海卡"/>
    <s v="LBA4"/>
    <s v="AN6-W"/>
    <s v="AN6-W 便携式扩香仪 白色"/>
    <s v="AN6"/>
    <n v="5"/>
    <n v="0.24772727272727277"/>
    <s v="CBM收费"/>
    <n v="780"/>
    <m/>
    <n v="102.27272727272727"/>
    <n v="295.5"/>
    <n v="1.4775"/>
    <n v="0.22052238805970148"/>
    <m/>
    <m/>
    <m/>
    <x v="33"/>
    <x v="71"/>
    <m/>
    <n v="0"/>
    <n v="0"/>
    <m/>
    <n v="-46156"/>
    <m/>
    <m/>
    <m/>
    <m/>
    <m/>
    <m/>
    <m/>
  </r>
  <r>
    <n v="579"/>
    <m/>
    <s v="W20004"/>
    <x v="235"/>
    <s v="E-UK"/>
    <s v="英国"/>
    <s v="001000045"/>
    <n v="120"/>
    <x v="0"/>
    <s v="英国海卡"/>
    <s v="LBA4"/>
    <s v="ANX-B"/>
    <s v="ANX-B 便携式扩香仪 黑色"/>
    <s v="ANX"/>
    <n v="4"/>
    <n v="0.19818181818181821"/>
    <s v="CBM收费"/>
    <n v="780"/>
    <m/>
    <n v="81.818181818181813"/>
    <n v="236.4"/>
    <n v="1.97"/>
    <n v="0.29402985074626864"/>
    <m/>
    <m/>
    <m/>
    <x v="33"/>
    <x v="71"/>
    <m/>
    <n v="0"/>
    <n v="0"/>
    <m/>
    <n v="-46156"/>
    <m/>
    <m/>
    <m/>
    <m/>
    <m/>
    <m/>
    <m/>
  </r>
  <r>
    <n v="580"/>
    <m/>
    <s v="W20004"/>
    <x v="235"/>
    <s v="E-UK"/>
    <s v="英国"/>
    <s v="001000052"/>
    <n v="60"/>
    <x v="0"/>
    <s v="英国海卡"/>
    <s v="LBA4"/>
    <s v="ANX-DT"/>
    <s v="ANX-DT 便携式扩香仪 沙漠钛色"/>
    <s v="ANX"/>
    <n v="2"/>
    <n v="9.9090909090909104E-2"/>
    <s v="CBM收费"/>
    <n v="780"/>
    <m/>
    <n v="40.909090909090907"/>
    <n v="118.2"/>
    <n v="1.97"/>
    <n v="0.29402985074626864"/>
    <m/>
    <m/>
    <m/>
    <x v="33"/>
    <x v="71"/>
    <m/>
    <n v="0"/>
    <n v="0"/>
    <m/>
    <n v="-46156"/>
    <m/>
    <m/>
    <m/>
    <m/>
    <m/>
    <m/>
    <m/>
  </r>
  <r>
    <n v="581"/>
    <m/>
    <s v="W20007"/>
    <x v="236"/>
    <s v="V-US"/>
    <s v="美国"/>
    <s v="001000030"/>
    <n v="192"/>
    <x v="0"/>
    <s v="盐田海卡"/>
    <s v="MIT2"/>
    <s v="AN6B-NZB"/>
    <s v="AN6B-NZB 便携式扩香仪套装 黑机器+黑喷嘴"/>
    <s v="AN6"/>
    <n v="6"/>
    <n v="86.711351351351368"/>
    <s v="重量收费"/>
    <n v="4.25"/>
    <n v="200"/>
    <n v="11.538461538461538"/>
    <n v="380.06170478170486"/>
    <n v="1.9794880457380462"/>
    <n v="0.29544597697582775"/>
    <m/>
    <m/>
    <m/>
    <x v="34"/>
    <x v="72"/>
    <m/>
    <n v="0.3785952208544533"/>
    <n v="72.69028240405504"/>
    <m/>
    <n v="-46157"/>
    <m/>
    <m/>
    <m/>
    <m/>
    <m/>
    <m/>
    <m/>
  </r>
  <r>
    <n v="582"/>
    <m/>
    <s v="W20007"/>
    <x v="236"/>
    <s v="V-US"/>
    <s v="美国"/>
    <s v="001000019"/>
    <n v="1200"/>
    <x v="0"/>
    <s v="盐田海卡"/>
    <s v="MIT2"/>
    <s v="AN6-B"/>
    <s v="AN6-B 便携式扩香仪 黑色"/>
    <s v="AN6"/>
    <n v="30"/>
    <n v="433.55675675675678"/>
    <s v="重量收费"/>
    <n v="4.25"/>
    <n v="200"/>
    <n v="57.692307692307693"/>
    <n v="1900.308523908524"/>
    <n v="1.5835904365904367"/>
    <n v="0.2363567815806622"/>
    <m/>
    <m/>
    <m/>
    <x v="34"/>
    <x v="72"/>
    <m/>
    <n v="0.3785952208544533"/>
    <n v="454.31426502534396"/>
    <m/>
    <n v="-46157"/>
    <m/>
    <m/>
    <m/>
    <m/>
    <m/>
    <m/>
    <m/>
  </r>
  <r>
    <n v="583"/>
    <m/>
    <s v="W20007"/>
    <x v="236"/>
    <s v="V-US"/>
    <s v="美国"/>
    <s v="001000039"/>
    <n v="320"/>
    <x v="0"/>
    <s v="盐田海卡"/>
    <s v="MIT2"/>
    <s v="AN6-GL"/>
    <s v="AN6-GL 便携式扩香仪 翠百合色"/>
    <s v="AN6"/>
    <n v="8"/>
    <n v="115.61513513513515"/>
    <s v="重量收费"/>
    <n v="4.25"/>
    <m/>
    <n v="15.384615384615385"/>
    <n v="506.74893970893976"/>
    <n v="1.5835904365904367"/>
    <n v="0.2363567815806622"/>
    <m/>
    <m/>
    <m/>
    <x v="34"/>
    <x v="72"/>
    <m/>
    <n v="0.3785952208544533"/>
    <n v="121.15047067342505"/>
    <m/>
    <n v="-46157"/>
    <m/>
    <m/>
    <m/>
    <m/>
    <m/>
    <m/>
    <m/>
  </r>
  <r>
    <n v="584"/>
    <m/>
    <s v="W20007"/>
    <x v="236"/>
    <s v="V-US"/>
    <s v="美国"/>
    <s v="AN6-LV"/>
    <n v="200"/>
    <x v="0"/>
    <s v="盐田海卡"/>
    <s v="MIT2"/>
    <s v="AN6-LV"/>
    <s v="AN6-LV 便携式扩香仪 薰衣草"/>
    <s v="AN6"/>
    <n v="5"/>
    <n v="72.259459459459464"/>
    <s v="重量收费"/>
    <n v="4.25"/>
    <m/>
    <n v="9.615384615384615"/>
    <n v="316.71808731808738"/>
    <n v="1.583590436590437"/>
    <n v="0.23635678158066223"/>
    <m/>
    <m/>
    <m/>
    <x v="34"/>
    <x v="72"/>
    <m/>
    <n v="0.3785952208544533"/>
    <n v="75.719044170890655"/>
    <m/>
    <n v="-46157"/>
    <m/>
    <m/>
    <m/>
    <m/>
    <m/>
    <m/>
    <m/>
  </r>
  <r>
    <n v="585"/>
    <m/>
    <s v="W20007"/>
    <x v="236"/>
    <s v="V-US"/>
    <s v="美国"/>
    <s v="001000020"/>
    <n v="400"/>
    <x v="0"/>
    <s v="盐田海卡"/>
    <s v="MIT2"/>
    <s v="AN6-W"/>
    <s v="AN6-W 便携式扩香仪 白色"/>
    <s v="AN6"/>
    <n v="10"/>
    <n v="144.51891891891893"/>
    <s v="重量收费"/>
    <n v="4.25"/>
    <m/>
    <n v="19.23076923076923"/>
    <n v="633.43617463617477"/>
    <n v="1.583590436590437"/>
    <n v="0.23635678158066223"/>
    <m/>
    <m/>
    <m/>
    <x v="34"/>
    <x v="72"/>
    <m/>
    <n v="0.3785952208544533"/>
    <n v="151.43808834178131"/>
    <m/>
    <n v="-46157"/>
    <m/>
    <m/>
    <m/>
    <m/>
    <m/>
    <m/>
    <m/>
  </r>
  <r>
    <n v="586"/>
    <m/>
    <s v="W20007"/>
    <x v="236"/>
    <s v="V-US"/>
    <s v="美国"/>
    <s v="RD1-B"/>
    <n v="300"/>
    <x v="0"/>
    <s v="盐田海卡"/>
    <s v="MIT2"/>
    <s v="RD1-B"/>
    <s v="RD1-B 便携式扩香仪 黑色"/>
    <s v="RD1"/>
    <n v="10"/>
    <n v="144.51891891891893"/>
    <s v="重量收费"/>
    <n v="4.25"/>
    <m/>
    <n v="19.23076923076923"/>
    <n v="633.43617463617477"/>
    <n v="2.1114539154539158"/>
    <n v="0.31514237544088297"/>
    <m/>
    <m/>
    <m/>
    <x v="34"/>
    <x v="72"/>
    <m/>
    <n v="0.3785952208544533"/>
    <n v="113.57856625633599"/>
    <m/>
    <n v="-46157"/>
    <m/>
    <m/>
    <m/>
    <m/>
    <m/>
    <m/>
    <m/>
  </r>
  <r>
    <n v="587"/>
    <m/>
    <s v="W20007"/>
    <x v="236"/>
    <s v="V-US"/>
    <s v="美国"/>
    <s v="AND-B"/>
    <n v="150"/>
    <x v="0"/>
    <s v="盐田海卡"/>
    <s v="MIT2"/>
    <s v="AND-B"/>
    <s v="AND-B 便携式双喷扩香仪 黑色"/>
    <s v="AND"/>
    <n v="5"/>
    <n v="72.259459459459464"/>
    <s v="重量收费"/>
    <n v="4.25"/>
    <m/>
    <n v="9.615384615384615"/>
    <n v="316.71808731808738"/>
    <n v="2.1114539154539158"/>
    <n v="0.31514237544088297"/>
    <m/>
    <m/>
    <m/>
    <x v="34"/>
    <x v="72"/>
    <m/>
    <n v="0.3785952208544533"/>
    <n v="56.789283128167995"/>
    <m/>
    <n v="-46157"/>
    <m/>
    <m/>
    <m/>
    <m/>
    <m/>
    <m/>
    <m/>
  </r>
  <r>
    <n v="588"/>
    <m/>
    <s v="W20007"/>
    <x v="237"/>
    <s v="V-US"/>
    <s v="美国"/>
    <s v="ADXKIT-B_4X10K04_TZ"/>
    <n v="450"/>
    <x v="0"/>
    <s v="盐田海卡"/>
    <s v="MIT2"/>
    <s v="ADXKIT-B_4X10K04_TZ"/>
    <s v="ADXKIT-B_4X10K04_TZ ADX黑色机器+4x10mL酒店（天竺）香氛油 机油套装"/>
    <s v="ADX"/>
    <n v="15"/>
    <n v="216.78"/>
    <s v="重量收费"/>
    <n v="4.25"/>
    <m/>
    <n v="28.846153846153847"/>
    <n v="950.16115384615387"/>
    <n v="2.1114692307692309"/>
    <n v="0.31514466130884045"/>
    <m/>
    <m/>
    <m/>
    <x v="34"/>
    <x v="72"/>
    <m/>
    <n v="0.44"/>
    <n v="198"/>
    <m/>
    <n v="-46157"/>
    <m/>
    <m/>
    <m/>
    <m/>
    <m/>
    <m/>
    <m/>
  </r>
  <r>
    <n v="589"/>
    <m/>
    <s v="W20005"/>
    <x v="238"/>
    <s v="E-US"/>
    <s v="美国"/>
    <s v="001000053"/>
    <n v="192"/>
    <x v="0"/>
    <s v="盐田海卡"/>
    <s v="TCY2"/>
    <s v="ANX-2PC-BB"/>
    <s v="ANX-2PC-BB 便携式扩香仪套装 黑+黑"/>
    <s v="ANX"/>
    <n v="12"/>
    <n v="158.64461538461538"/>
    <s v="重量收费"/>
    <n v="4.3499999999999996"/>
    <n v="200"/>
    <n v="40.677966101694913"/>
    <n v="730.78204302477172"/>
    <n v="3.8061564740873526"/>
    <n v="0.56808305583393326"/>
    <m/>
    <m/>
    <m/>
    <x v="34"/>
    <x v="73"/>
    <m/>
    <n v="0.47764705882352942"/>
    <n v="91.708235294117657"/>
    <m/>
    <n v="-46157"/>
    <m/>
    <m/>
    <m/>
    <m/>
    <m/>
    <m/>
    <m/>
  </r>
  <r>
    <n v="590"/>
    <m/>
    <s v="W20005"/>
    <x v="238"/>
    <s v="E-US"/>
    <s v="美国"/>
    <s v="001000045"/>
    <n v="360"/>
    <x v="0"/>
    <s v="盐田海卡"/>
    <s v="TCY2"/>
    <s v="ANX-B"/>
    <s v="ANX-B 便携式扩香仪 黑色"/>
    <s v="ANX"/>
    <n v="12"/>
    <n v="158.64461538461538"/>
    <s v="重量收费"/>
    <n v="4.3499999999999996"/>
    <n v="200"/>
    <n v="40.677966101694913"/>
    <n v="730.78204302477172"/>
    <n v="2.0299501195132548"/>
    <n v="0.30297762977809772"/>
    <m/>
    <m/>
    <m/>
    <x v="34"/>
    <x v="73"/>
    <m/>
    <n v="0.47764705882352942"/>
    <n v="171.9529411764706"/>
    <m/>
    <n v="-46157"/>
    <m/>
    <m/>
    <m/>
    <m/>
    <m/>
    <m/>
    <m/>
  </r>
  <r>
    <n v="591"/>
    <m/>
    <s v="W20005"/>
    <x v="238"/>
    <s v="E-US"/>
    <s v="美国"/>
    <s v="001000050"/>
    <n v="60"/>
    <x v="0"/>
    <s v="盐田海卡"/>
    <s v="TCY2"/>
    <s v="ANX-RP"/>
    <s v="ANX-RP 便携式扩香仪 红粉色"/>
    <s v="ANX"/>
    <n v="2"/>
    <n v="26.440769230769231"/>
    <s v="重量收费"/>
    <n v="4.3499999999999996"/>
    <m/>
    <n v="6.7796610169491522"/>
    <n v="121.7970071707953"/>
    <n v="2.0299501195132548"/>
    <n v="0.30297762977809772"/>
    <m/>
    <m/>
    <m/>
    <x v="34"/>
    <x v="73"/>
    <m/>
    <n v="0.47764705882352942"/>
    <n v="28.658823529411766"/>
    <m/>
    <n v="-46157"/>
    <m/>
    <m/>
    <m/>
    <m/>
    <m/>
    <m/>
    <m/>
  </r>
  <r>
    <n v="592"/>
    <m/>
    <s v="W20005"/>
    <x v="239"/>
    <s v="V-US"/>
    <s v="美国"/>
    <s v="AND-MT"/>
    <n v="90"/>
    <x v="0"/>
    <s v="盐田海卡"/>
    <s v="TCY2"/>
    <s v="AND-MT"/>
    <s v="AND-MT 便携式双喷扩香仪 薄荷绿色"/>
    <s v="AND"/>
    <n v="3"/>
    <n v="39.659999999999997"/>
    <s v="重量收费"/>
    <n v="4.3499999999999996"/>
    <m/>
    <n v="10.169491525423728"/>
    <n v="182.69049152542368"/>
    <n v="2.0298943502824853"/>
    <n v="0.30296930601231126"/>
    <m/>
    <m/>
    <m/>
    <x v="34"/>
    <x v="73"/>
    <m/>
    <n v="0.44"/>
    <n v="39.6"/>
    <m/>
    <n v="-46157"/>
    <m/>
    <m/>
    <m/>
    <m/>
    <m/>
    <m/>
    <m/>
  </r>
  <r>
    <n v="593"/>
    <m/>
    <s v="W20007"/>
    <x v="240"/>
    <s v="A-US"/>
    <s v="美国"/>
    <s v="ANZKIT-B_RZ30ML_TZ"/>
    <n v="300"/>
    <x v="0"/>
    <s v="盐田海卡"/>
    <s v="MIT2"/>
    <s v="ANZKIT-B_RZ30ML_TZ"/>
    <s v="ANZKIT-B_RZ30ML_TZ ANZ黑色机器+30mL丽思卡尔顿酒店（天竺）香氛油 机油套装"/>
    <s v="ANZ"/>
    <n v="10"/>
    <n v="144.52000000000001"/>
    <s v="重量收费"/>
    <n v="4.25"/>
    <n v="200"/>
    <n v="19.23076923076923"/>
    <n v="633.44076923076932"/>
    <n v="2.1114692307692309"/>
    <n v="0.31514466130884045"/>
    <m/>
    <m/>
    <m/>
    <x v="34"/>
    <x v="72"/>
    <m/>
    <n v="0.44"/>
    <n v="132"/>
    <m/>
    <n v="-46157"/>
    <m/>
    <m/>
    <m/>
    <m/>
    <m/>
    <m/>
    <m/>
  </r>
  <r>
    <n v="594"/>
    <m/>
    <s v="W20007"/>
    <x v="240"/>
    <s v="A-US"/>
    <s v="美国"/>
    <s v="ANZKIT-W_RZ30ML_TZ"/>
    <n v="150"/>
    <x v="0"/>
    <s v="盐田海卡"/>
    <s v="MIT2"/>
    <s v="ANZKIT-W_RZ30ML_TZ"/>
    <s v="ANZKIT-W_RZ30ML_TZ ANZ白色机器+30mL丽思卡尔顿酒店（天竺）香氛油 机油套装"/>
    <s v="ANZ"/>
    <n v="5"/>
    <n v="72.260000000000005"/>
    <s v="重量收费"/>
    <n v="4.25"/>
    <n v="200"/>
    <n v="9.615384615384615"/>
    <n v="316.72038461538466"/>
    <n v="2.1114692307692309"/>
    <n v="0.31514466130884045"/>
    <m/>
    <m/>
    <m/>
    <x v="34"/>
    <x v="72"/>
    <m/>
    <n v="0.44"/>
    <n v="66"/>
    <m/>
    <n v="-46157"/>
    <m/>
    <m/>
    <m/>
    <m/>
    <m/>
    <m/>
    <m/>
  </r>
  <r>
    <n v="595"/>
    <m/>
    <s v="W20005"/>
    <x v="241"/>
    <s v="V-US"/>
    <s v="美国"/>
    <s v="AN6KIT-B_RZ30ml"/>
    <n v="600"/>
    <x v="0"/>
    <s v="盐田海卡"/>
    <s v="TCY2"/>
    <s v="AN6KIT-B_RZ30ml"/>
    <s v="AN6KIT-B_RZ30ml AN6黑色机器+30mL丽思香氛油 机油套装"/>
    <s v="AN6"/>
    <n v="20"/>
    <n v="264.40666666666669"/>
    <s v="重量收费"/>
    <n v="4.3499999999999996"/>
    <n v="200"/>
    <n v="67.79661016949153"/>
    <n v="1217.9656101694916"/>
    <n v="2.0299426836158192"/>
    <n v="0.30297651994265956"/>
    <m/>
    <m/>
    <m/>
    <x v="34"/>
    <x v="73"/>
    <m/>
    <n v="0.44"/>
    <n v="264"/>
    <m/>
    <n v="-46157"/>
    <m/>
    <m/>
    <m/>
    <m/>
    <m/>
    <m/>
    <m/>
  </r>
  <r>
    <n v="596"/>
    <m/>
    <s v="W20005"/>
    <x v="241"/>
    <s v="V-US"/>
    <s v="美国"/>
    <s v="AN6KIT-WH_SJ30ML_TZ"/>
    <n v="300"/>
    <x v="0"/>
    <s v="盐田海卡"/>
    <s v="TCY2"/>
    <s v="AN6KIT-WH_SJ30ML_TZ"/>
    <s v="AN6KIT-WH_SJ30ML_TZ AN6白色机器+30mL四季酒店香氛油（天竺） 机油套装"/>
    <s v="AN6"/>
    <n v="10"/>
    <n v="132.20333333333335"/>
    <s v="重量收费"/>
    <n v="4.3499999999999996"/>
    <n v="200"/>
    <n v="33.898305084745765"/>
    <n v="608.98280508474579"/>
    <n v="2.0299426836158192"/>
    <n v="0.30297651994265956"/>
    <m/>
    <m/>
    <m/>
    <x v="34"/>
    <x v="73"/>
    <m/>
    <n v="0.44"/>
    <n v="132"/>
    <m/>
    <n v="-46157"/>
    <m/>
    <m/>
    <m/>
    <m/>
    <m/>
    <m/>
    <m/>
  </r>
  <r>
    <n v="597"/>
    <m/>
    <s v="W20008"/>
    <x v="242"/>
    <s v="K-US"/>
    <s v="美国"/>
    <s v="U1KIT-BG_US_2X50K01_TZ"/>
    <n v="630"/>
    <x v="0"/>
    <s v="盐田海卡"/>
    <s v="GEU2"/>
    <s v="U1KIT-BG_US_2X50K01_TZ"/>
    <s v="U1KIT-BG_US_2X50K01_TZ U1米灰色机器+2X50mL酒店香氛油（天竺） 机油套装"/>
    <s v="U1"/>
    <n v="70"/>
    <n v="1158.82"/>
    <s v="重量收费"/>
    <n v="4.95"/>
    <n v="200"/>
    <n v="127.27272727272727"/>
    <n v="5863.4317272727267"/>
    <n v="9.3070344877344873"/>
    <n v="1.3891096250349981"/>
    <m/>
    <m/>
    <m/>
    <x v="33"/>
    <x v="74"/>
    <m/>
    <n v="0.56000000000000005"/>
    <n v="352.8"/>
    <d v="2026-06-11T00:00:00"/>
    <n v="28"/>
    <m/>
    <m/>
    <m/>
    <m/>
    <m/>
    <m/>
    <m/>
  </r>
  <r>
    <n v="598"/>
    <m/>
    <s v="W20008"/>
    <x v="243"/>
    <s v="K-US"/>
    <s v="美国"/>
    <s v="U1-BG_US"/>
    <n v="360"/>
    <x v="0"/>
    <s v="盐田海卡"/>
    <s v="GEU2"/>
    <s v="U1-BG_US"/>
    <s v="U1-BG_US 智能扩香仪 米灰色"/>
    <s v="U1"/>
    <n v="40"/>
    <n v="662.17999999999984"/>
    <s v="重量收费"/>
    <n v="4.95"/>
    <n v="200"/>
    <n v="72.727272727272734"/>
    <n v="3350.5182727272718"/>
    <n v="9.3069952020202003"/>
    <n v="1.3891037614955521"/>
    <m/>
    <m/>
    <m/>
    <x v="33"/>
    <x v="74"/>
    <m/>
    <n v="0.55999999999999994"/>
    <n v="201.59999999999997"/>
    <d v="2026-06-11T00:00:00"/>
    <n v="28"/>
    <m/>
    <m/>
    <m/>
    <m/>
    <m/>
    <m/>
    <m/>
  </r>
  <r>
    <n v="599"/>
    <m/>
    <s v="W20006"/>
    <x v="244"/>
    <s v="V-US"/>
    <s v="美国"/>
    <s v="ANA-B_US"/>
    <n v="240"/>
    <x v="7"/>
    <s v="盐田海卡"/>
    <s v="TCY1"/>
    <s v="ANA-B_US"/>
    <s v="ANA-B_US 智能扩香仪 黑色"/>
    <s v="ANA"/>
    <n v="20"/>
    <n v="286.26865671641792"/>
    <s v="重量收费"/>
    <n v="4"/>
    <n v="200"/>
    <n v="59.701492537313435"/>
    <n v="1204.7761194029852"/>
    <n v="5.0199004975124382"/>
    <n v="0.74923888022573704"/>
    <m/>
    <m/>
    <m/>
    <x v="34"/>
    <x v="75"/>
    <m/>
    <n v="0.50293706293706297"/>
    <n v="120.70489510489512"/>
    <m/>
    <n v="-46157"/>
    <m/>
    <m/>
    <m/>
    <m/>
    <m/>
    <m/>
    <m/>
  </r>
  <r>
    <n v="600"/>
    <m/>
    <s v="W20006"/>
    <x v="244"/>
    <s v="V-US"/>
    <s v="美国"/>
    <s v="001000033"/>
    <n v="360"/>
    <x v="7"/>
    <s v="盐田海卡"/>
    <s v="TCY1"/>
    <s v="ANW-W"/>
    <s v="ANW-W 智能扩香仪 白色"/>
    <s v="ANW"/>
    <n v="30"/>
    <n v="429.40298507462688"/>
    <s v="重量收费"/>
    <n v="4"/>
    <n v="200"/>
    <n v="89.552238805970148"/>
    <n v="1807.1641791044776"/>
    <n v="5.0199004975124382"/>
    <n v="0.74923888022573704"/>
    <m/>
    <m/>
    <m/>
    <x v="34"/>
    <x v="75"/>
    <m/>
    <n v="0.50293706293706297"/>
    <n v="181.05734265734267"/>
    <m/>
    <n v="-46157"/>
    <m/>
    <m/>
    <m/>
    <m/>
    <m/>
    <m/>
    <m/>
  </r>
  <r>
    <n v="601"/>
    <m/>
    <s v="W20006"/>
    <x v="244"/>
    <s v="V-US"/>
    <s v="美国"/>
    <s v="ANP-B_US"/>
    <n v="256"/>
    <x v="7"/>
    <s v="盐田海卡"/>
    <s v="TCY1"/>
    <s v="ANP-B_US"/>
    <s v="ANP-B_US 墙插式智能扩香仪 黑色"/>
    <s v="ANP"/>
    <n v="8"/>
    <n v="114.50746268656717"/>
    <s v="重量收费"/>
    <n v="4"/>
    <m/>
    <n v="23.880597014925375"/>
    <n v="481.91044776119406"/>
    <n v="1.8824626865671643"/>
    <n v="0.28096458008465136"/>
    <m/>
    <m/>
    <m/>
    <x v="34"/>
    <x v="75"/>
    <m/>
    <n v="0.50293706293706297"/>
    <n v="128.75188811188812"/>
    <m/>
    <n v="-46157"/>
    <m/>
    <m/>
    <m/>
    <m/>
    <m/>
    <m/>
    <m/>
  </r>
  <r>
    <n v="602"/>
    <m/>
    <s v="W20006"/>
    <x v="244"/>
    <s v="V-US"/>
    <s v="美国"/>
    <s v="ANP-W_US"/>
    <n v="288"/>
    <x v="7"/>
    <s v="盐田海卡"/>
    <s v="TCY1"/>
    <s v="ANP-W_US"/>
    <s v="ANP-W_US 墙插式智能扩香仪 白色"/>
    <s v="ANP"/>
    <n v="9"/>
    <n v="128.82089552238807"/>
    <s v="重量收费"/>
    <n v="4"/>
    <m/>
    <n v="26.865671641791046"/>
    <n v="542.14925373134338"/>
    <n v="1.8824626865671645"/>
    <n v="0.28096458008465142"/>
    <m/>
    <m/>
    <m/>
    <x v="34"/>
    <x v="75"/>
    <m/>
    <n v="0.50293706293706297"/>
    <n v="144.84587412587413"/>
    <m/>
    <n v="-46157"/>
    <m/>
    <m/>
    <m/>
    <m/>
    <m/>
    <m/>
    <m/>
  </r>
  <r>
    <n v="603"/>
    <m/>
    <s v="W20002"/>
    <x v="245"/>
    <s v="E-US"/>
    <s v="美国"/>
    <s v="HOTEL6KIT1-6X10K03_TZ"/>
    <n v="720"/>
    <x v="3"/>
    <s v="盐田海卡"/>
    <s v="POC1"/>
    <s v="HOTEL6KIT1-6X10K03_TZ"/>
    <s v="HOTEL6KIT1-6X10K03_TZ 酒店香氛油（天竺）6款10mL套装"/>
    <s v="Oil-TZ"/>
    <n v="12"/>
    <n v="0.51600000000000001"/>
    <s v="CBM收费"/>
    <n v="1130"/>
    <n v="180"/>
    <n v="43.2"/>
    <n v="626.28000000000009"/>
    <n v="0.86983333333333346"/>
    <n v="0.12982587064676618"/>
    <m/>
    <m/>
    <m/>
    <x v="34"/>
    <x v="76"/>
    <m/>
    <n v="0.36"/>
    <n v="259.2"/>
    <m/>
    <n v="-46157"/>
    <m/>
    <m/>
    <m/>
    <m/>
    <m/>
    <m/>
    <m/>
  </r>
  <r>
    <n v="604"/>
    <m/>
    <s v="W20002"/>
    <x v="245"/>
    <s v="E-US"/>
    <s v="美国"/>
    <s v="W1-100ML_TZ"/>
    <n v="576"/>
    <x v="3"/>
    <s v="盐田海卡"/>
    <s v="POC1"/>
    <s v="W1-100ML_TZ"/>
    <s v="W1-100ML_TZ W酒店100mL香氛油（天竺） 销售包装"/>
    <s v="Oil-TZ"/>
    <n v="9"/>
    <n v="0.38700000000000001"/>
    <s v="CBM收费"/>
    <n v="1130"/>
    <n v="180"/>
    <n v="32.4"/>
    <n v="469.71"/>
    <n v="0.81546874999999996"/>
    <n v="0.12171175373134327"/>
    <m/>
    <m/>
    <m/>
    <x v="34"/>
    <x v="76"/>
    <m/>
    <n v="0.36"/>
    <n v="207.35999999999999"/>
    <m/>
    <n v="-46157"/>
    <m/>
    <m/>
    <m/>
    <m/>
    <m/>
    <m/>
    <m/>
  </r>
  <r>
    <n v="605"/>
    <m/>
    <s v="W20002"/>
    <x v="245"/>
    <s v="E-US"/>
    <s v="美国"/>
    <s v="HILTON1-100ML_TZ"/>
    <n v="576"/>
    <x v="3"/>
    <s v="盐田海卡"/>
    <s v="POC1"/>
    <s v="HILTON1-100ML_TZ"/>
    <s v="HILTON1-100ML_TZ 希尔顿酒店100mL香氛油（天竺） 销售包装"/>
    <s v="Oil-TZ"/>
    <n v="9"/>
    <n v="0.38700000000000001"/>
    <s v="CBM收费"/>
    <n v="1130"/>
    <m/>
    <n v="32.4"/>
    <n v="469.71"/>
    <n v="0.81546874999999996"/>
    <n v="0.12171175373134327"/>
    <m/>
    <m/>
    <m/>
    <x v="34"/>
    <x v="76"/>
    <m/>
    <n v="0.36"/>
    <n v="207.35999999999999"/>
    <m/>
    <n v="-46157"/>
    <m/>
    <m/>
    <m/>
    <m/>
    <m/>
    <m/>
    <m/>
  </r>
  <r>
    <n v="606"/>
    <s v="跟FBA19D0H6V9R合并报关"/>
    <s v="W20002"/>
    <x v="246"/>
    <s v="V-US"/>
    <s v="美国"/>
    <s v="RZ1-100ML_TZ"/>
    <n v="960"/>
    <x v="3"/>
    <s v="盐田海卡"/>
    <s v="POC3"/>
    <s v="RZ1-100ML_TZ"/>
    <s v="RZ1-100ML_TZ 丽思卡尔顿酒店100mL香氛油（天竺） 销售包装"/>
    <s v="Oil-TZ"/>
    <n v="15"/>
    <n v="0.75"/>
    <s v="CBM收费"/>
    <n v="1130"/>
    <m/>
    <n v="54"/>
    <n v="901.5"/>
    <n v="0.93906250000000002"/>
    <n v="0.14015858208955223"/>
    <m/>
    <m/>
    <m/>
    <x v="34"/>
    <x v="76"/>
    <m/>
    <n v="0.3675471698113208"/>
    <n v="352.84528301886797"/>
    <m/>
    <n v="-46157"/>
    <m/>
    <m/>
    <m/>
    <m/>
    <m/>
    <m/>
    <m/>
  </r>
  <r>
    <n v="607"/>
    <m/>
    <s v="W20002"/>
    <x v="246"/>
    <s v="V-US"/>
    <s v="美国"/>
    <s v="RZ1-500ML_TZ"/>
    <n v="100"/>
    <x v="3"/>
    <s v="盐田海卡"/>
    <s v="POC3"/>
    <s v="RZ1-500ML_TZ"/>
    <s v="RZ1-500ML_TZ 丽思卡尔顿酒店500mL香氛油（天竺） 销售包装"/>
    <s v="Oil-TZ"/>
    <n v="5"/>
    <n v="0.25"/>
    <s v="CBM收费"/>
    <n v="1130"/>
    <m/>
    <n v="18"/>
    <n v="300.5"/>
    <n v="3.0049999999999999"/>
    <n v="0.44850746268656716"/>
    <m/>
    <m/>
    <m/>
    <x v="34"/>
    <x v="76"/>
    <m/>
    <n v="0.3675471698113208"/>
    <n v="36.754716981132077"/>
    <m/>
    <n v="-46157"/>
    <m/>
    <m/>
    <m/>
    <m/>
    <m/>
    <m/>
    <m/>
  </r>
  <r>
    <n v="608"/>
    <m/>
    <s v="W20001"/>
    <x v="247"/>
    <s v="K-US"/>
    <s v="美国"/>
    <s v="BGR1_100ML_TZ"/>
    <n v="192"/>
    <x v="1"/>
    <s v="盐田海卡"/>
    <s v="PSC2"/>
    <s v="BGR1_100ML_TZ"/>
    <s v="BGR1_100ML_TZ 宝格丽酒店100mL香氛油（天竺） 销售包装"/>
    <s v="Oil-TZ"/>
    <n v="3"/>
    <n v="41.53846153846154"/>
    <s v="重量收费"/>
    <n v="7.1"/>
    <n v="200"/>
    <n v="46.153846153846153"/>
    <n v="341.07692307692304"/>
    <n v="1.7764423076923075"/>
    <n v="0.26514064293915035"/>
    <m/>
    <m/>
    <m/>
    <x v="34"/>
    <x v="76"/>
    <m/>
    <n v="0.40081632653061228"/>
    <n v="76.956734693877564"/>
    <m/>
    <n v="-46157"/>
    <m/>
    <m/>
    <m/>
    <m/>
    <m/>
    <m/>
    <m/>
  </r>
  <r>
    <n v="609"/>
    <m/>
    <s v="W20001"/>
    <x v="247"/>
    <s v="K-US"/>
    <s v="美国"/>
    <s v="SJ1-500ML_TZ"/>
    <n v="100"/>
    <x v="1"/>
    <s v="盐田海卡"/>
    <s v="PSC2"/>
    <s v="SJ1-500ML_TZ"/>
    <s v="SJ1-500ML_TZ 四季酒店500mL香氛油（天竺） 销售包装"/>
    <s v="Oil-TZ"/>
    <n v="5"/>
    <n v="69.230769230769226"/>
    <s v="重量收费"/>
    <n v="7.1"/>
    <n v="200"/>
    <n v="76.92307692307692"/>
    <n v="568.46153846153845"/>
    <n v="5.6846153846153848"/>
    <n v="0.84845005740528134"/>
    <m/>
    <m/>
    <m/>
    <x v="34"/>
    <x v="76"/>
    <m/>
    <n v="0.40081632653061228"/>
    <n v="40.081632653061227"/>
    <m/>
    <n v="-46157"/>
    <m/>
    <m/>
    <m/>
    <m/>
    <m/>
    <m/>
    <m/>
  </r>
  <r>
    <n v="610"/>
    <m/>
    <s v="W20001"/>
    <x v="247"/>
    <s v="K-US"/>
    <s v="美国"/>
    <s v="HILTON1-500ML_TZ"/>
    <n v="100"/>
    <x v="1"/>
    <s v="盐田海卡"/>
    <s v="PSC2"/>
    <s v="HILTON1-500ML_TZ"/>
    <s v="HILTON1-500ML_TZ 希尔顿酒店500mL香氛油（天竺） 销售包装"/>
    <s v="Oil-TZ"/>
    <n v="5"/>
    <n v="69.230769230769226"/>
    <s v="重量收费"/>
    <n v="7.1"/>
    <m/>
    <n v="76.92307692307692"/>
    <n v="568.46153846153845"/>
    <n v="5.6846153846153848"/>
    <n v="0.84845005740528134"/>
    <m/>
    <m/>
    <m/>
    <x v="34"/>
    <x v="76"/>
    <m/>
    <n v="0.40081632653061228"/>
    <n v="40.081632653061227"/>
    <m/>
    <n v="-46157"/>
    <m/>
    <m/>
    <m/>
    <m/>
    <m/>
    <m/>
    <m/>
  </r>
  <r>
    <n v="611"/>
    <m/>
    <s v="W20009"/>
    <x v="248"/>
    <s v="K-US"/>
    <s v="美国"/>
    <s v="RDX-SILV_US"/>
    <n v="180"/>
    <x v="0"/>
    <s v="盐田海卡"/>
    <s v="POC2"/>
    <s v="RDX-SILV_US"/>
    <s v="RDX-SILV_US 智能扩香仪 银色"/>
    <s v="RDX"/>
    <n v="20"/>
    <n v="298.64"/>
    <s v="重量收费"/>
    <n v="4.2"/>
    <n v="200"/>
    <n v="90.909090909090907"/>
    <n v="1345.197090909091"/>
    <n v="7.4733171717171718"/>
    <n v="1.1154204733906226"/>
    <m/>
    <m/>
    <m/>
    <x v="34"/>
    <x v="72"/>
    <m/>
    <n v="0.7"/>
    <n v="125.99999999999999"/>
    <m/>
    <n v="-46157"/>
    <m/>
    <m/>
    <m/>
    <m/>
    <m/>
    <m/>
    <m/>
  </r>
  <r>
    <n v="612"/>
    <m/>
    <s v="W20009"/>
    <x v="249"/>
    <s v="K-US"/>
    <s v="美国"/>
    <s v="RDXKIT-B_US_2X100K04"/>
    <n v="216"/>
    <x v="0"/>
    <s v="盐田海卡"/>
    <s v="POC2"/>
    <s v="RDXKIT-B_US_2X100K04"/>
    <s v="RDXKIT-B_US_2X100K04 RDX黑色机器+2X100mL酒店香氛油（天竺） 机油套装"/>
    <s v="RDX"/>
    <n v="24"/>
    <n v="358.36"/>
    <s v="重量收费"/>
    <n v="4.2"/>
    <n v="200"/>
    <n v="109.09090909090909"/>
    <n v="1614.2029090909091"/>
    <n v="7.4731616161616161"/>
    <n v="1.1153972561435248"/>
    <m/>
    <m/>
    <m/>
    <x v="34"/>
    <x v="72"/>
    <m/>
    <n v="0.7"/>
    <n v="151.19999999999999"/>
    <m/>
    <n v="-46157"/>
    <m/>
    <m/>
    <m/>
    <m/>
    <m/>
    <m/>
    <m/>
  </r>
  <r>
    <n v="613"/>
    <m/>
    <s v="W20010"/>
    <x v="250"/>
    <s v="K-US"/>
    <s v="美国"/>
    <s v="AH1B-WH_US"/>
    <n v="60"/>
    <x v="0"/>
    <s v="美中海卡"/>
    <s v="JVL1"/>
    <s v="AH1B-WH_US"/>
    <s v="AH1B-WH_US 智能加湿器 白色 美规"/>
    <s v="AH1B"/>
    <n v="10"/>
    <n v="158"/>
    <s v="重量收费"/>
    <n v="6.6"/>
    <n v="200"/>
    <n v="200"/>
    <n v="1242.8"/>
    <n v="20.713333333333331"/>
    <n v="3.0915422885572137"/>
    <m/>
    <m/>
    <m/>
    <x v="35"/>
    <x v="77"/>
    <m/>
    <n v="0"/>
    <n v="0"/>
    <m/>
    <n v="-46158"/>
    <m/>
    <m/>
    <m/>
    <m/>
    <m/>
    <m/>
    <m/>
  </r>
  <r>
    <n v="614"/>
    <m/>
    <s v="W20011"/>
    <x v="251"/>
    <s v="K-US"/>
    <s v="美国"/>
    <s v="AH1B-WH_US"/>
    <n v="60"/>
    <x v="0"/>
    <s v="美中海卡"/>
    <s v="SAT4"/>
    <s v="AH1B-WH_US"/>
    <s v="AH1B-WH_US 智能加湿器 白色 美规"/>
    <s v="AH1B"/>
    <n v="10"/>
    <n v="158"/>
    <s v="重量收费"/>
    <n v="5.9"/>
    <n v="200"/>
    <n v="200"/>
    <n v="1132.2"/>
    <n v="18.87"/>
    <n v="2.8164179104477611"/>
    <m/>
    <m/>
    <m/>
    <x v="35"/>
    <x v="78"/>
    <m/>
    <n v="0"/>
    <n v="0"/>
    <m/>
    <n v="-46158"/>
    <m/>
    <m/>
    <m/>
    <m/>
    <m/>
    <m/>
    <m/>
  </r>
  <r>
    <n v="615"/>
    <m/>
    <s v="W20012"/>
    <x v="252"/>
    <s v="K-US"/>
    <s v="美国"/>
    <s v="AH1B-WH_US"/>
    <n v="60"/>
    <x v="0"/>
    <s v="盐田海卡"/>
    <s v="FAT2"/>
    <s v="AH1B-WH_US"/>
    <s v="AH1B-WH_US 智能加湿器 白色 美规"/>
    <s v="AH1B"/>
    <n v="10"/>
    <n v="158"/>
    <s v="重量收费"/>
    <n v="5.0999999999999996"/>
    <n v="200"/>
    <n v="200"/>
    <n v="1005.8"/>
    <n v="16.763333333333332"/>
    <n v="2.5019900497512433"/>
    <m/>
    <m/>
    <m/>
    <x v="35"/>
    <x v="72"/>
    <m/>
    <n v="0"/>
    <n v="0"/>
    <m/>
    <n v="-46158"/>
    <m/>
    <m/>
    <m/>
    <m/>
    <m/>
    <m/>
    <m/>
  </r>
  <r>
    <n v="616"/>
    <m/>
    <s v="W20013"/>
    <x v="253"/>
    <s v="K-US"/>
    <s v="美国"/>
    <s v="AH1B-WH_US"/>
    <n v="60"/>
    <x v="0"/>
    <s v="美东海卡"/>
    <s v="TEB6"/>
    <s v="AH1B-WH_US"/>
    <s v="AH1B-WH_US 智能加湿器 白色 美规"/>
    <s v="AH1B"/>
    <n v="10"/>
    <n v="158"/>
    <s v="重量收费"/>
    <n v="5.4"/>
    <n v="200"/>
    <n v="200"/>
    <n v="1053.2"/>
    <n v="17.553333333333335"/>
    <n v="2.6199004975124378"/>
    <m/>
    <m/>
    <m/>
    <x v="35"/>
    <x v="79"/>
    <m/>
    <n v="0"/>
    <n v="0"/>
    <m/>
    <n v="-46158"/>
    <m/>
    <m/>
    <m/>
    <m/>
    <m/>
    <m/>
    <m/>
  </r>
  <r>
    <n v="617"/>
    <m/>
    <s v="W20014"/>
    <x v="254"/>
    <s v="K-US"/>
    <s v="美国"/>
    <s v="AH1B-WH_US"/>
    <n v="60"/>
    <x v="0"/>
    <s v="美东海卡"/>
    <s v="HSV1"/>
    <s v="AH1B-WH_US"/>
    <s v="AH1B-WH_US 智能加湿器 白色 美规"/>
    <s v="AH1B"/>
    <n v="10"/>
    <n v="158"/>
    <s v="重量收费"/>
    <n v="6.3"/>
    <n v="200"/>
    <n v="200"/>
    <n v="1195.4000000000001"/>
    <n v="19.923333333333336"/>
    <n v="2.9736318407960201"/>
    <m/>
    <m/>
    <m/>
    <x v="35"/>
    <x v="75"/>
    <m/>
    <n v="0"/>
    <n v="0"/>
    <m/>
    <n v="-46158"/>
    <m/>
    <m/>
    <m/>
    <m/>
    <m/>
    <m/>
    <m/>
  </r>
  <r>
    <n v="618"/>
    <m/>
    <s v="W21006"/>
    <x v="255"/>
    <s v="E-US"/>
    <s v="美国"/>
    <s v="001000053"/>
    <n v="96"/>
    <x v="2"/>
    <s v="盐田海卡"/>
    <s v="HLI2"/>
    <s v="ANX-2PC-BB"/>
    <s v="ANX-2PC-BB 便携式扩香仪套装 黑+黑"/>
    <s v="ANX"/>
    <n v="6"/>
    <n v="75.75"/>
    <s v="重量收费"/>
    <n v="5.3"/>
    <n v="200"/>
    <n v="16"/>
    <n v="417.47499999999997"/>
    <n v="4.3486979166666666"/>
    <n v="0.64905939054726369"/>
    <m/>
    <m/>
    <m/>
    <x v="36"/>
    <x v="80"/>
    <m/>
    <n v="0.56000000000000005"/>
    <n v="53.760000000000005"/>
    <m/>
    <n v="-46164"/>
    <m/>
    <m/>
    <m/>
    <m/>
    <m/>
    <m/>
    <m/>
  </r>
  <r>
    <n v="619"/>
    <m/>
    <s v="W21006"/>
    <x v="255"/>
    <s v="E-US"/>
    <s v="美国"/>
    <s v="001000059"/>
    <n v="32"/>
    <x v="2"/>
    <s v="盐田海卡"/>
    <s v="HLI2"/>
    <s v="ANX-2PC-BGD"/>
    <s v="ANX-2PC-BGD 便携式扩香仪套装 黑+金"/>
    <s v="ANX"/>
    <n v="2"/>
    <n v="25.25"/>
    <s v="重量收费"/>
    <n v="5.3"/>
    <m/>
    <n v="5.333333333333333"/>
    <n v="139.15833333333333"/>
    <n v="4.3486979166666666"/>
    <n v="0.64905939054726369"/>
    <m/>
    <m/>
    <m/>
    <x v="36"/>
    <x v="80"/>
    <m/>
    <n v="0.56000000000000005"/>
    <n v="17.920000000000002"/>
    <m/>
    <n v="-46164"/>
    <m/>
    <m/>
    <m/>
    <m/>
    <m/>
    <m/>
    <m/>
  </r>
  <r>
    <n v="620"/>
    <m/>
    <s v="W21007"/>
    <x v="256"/>
    <s v="K-US"/>
    <s v="美国"/>
    <s v="RD2KIT-B_2X30K06_TZ"/>
    <n v="200"/>
    <x v="0"/>
    <s v="盐田海卡"/>
    <s v="TCY1"/>
    <s v="RD2KIT-B_2X30K06_TZ"/>
    <s v="RD2KIT-B_2X30K06_TZ RD2黑色机器+2X30mL酒店香氛油（天竺）  机油套装"/>
    <s v="RD2"/>
    <n v="10"/>
    <n v="139"/>
    <s v="重量收费"/>
    <n v="4.5"/>
    <n v="200"/>
    <n v="100"/>
    <n v="725.5"/>
    <n v="3.6274999999999999"/>
    <n v="0.54141791044776122"/>
    <m/>
    <m/>
    <m/>
    <x v="36"/>
    <x v="81"/>
    <m/>
    <n v="0.56000000000000005"/>
    <n v="112.00000000000001"/>
    <m/>
    <n v="-46164"/>
    <m/>
    <m/>
    <m/>
    <m/>
    <m/>
    <m/>
    <m/>
  </r>
  <r>
    <n v="621"/>
    <m/>
    <s v="W21005"/>
    <x v="257"/>
    <s v="V-CA"/>
    <s v="加拿大"/>
    <s v="001000020"/>
    <n v="160"/>
    <x v="2"/>
    <s v="加拿大海卡"/>
    <s v="YXU1"/>
    <s v="AN6-W"/>
    <s v="AN6-W 便携式扩香仪 白色"/>
    <s v="AN6"/>
    <n v="4"/>
    <n v="60"/>
    <s v="重量收费"/>
    <n v="6"/>
    <n v="200"/>
    <n v="66.666666666666671"/>
    <n v="426.66666666666669"/>
    <n v="2.666666666666667"/>
    <n v="0.39800995024875624"/>
    <m/>
    <m/>
    <m/>
    <x v="36"/>
    <x v="82"/>
    <m/>
    <n v="0"/>
    <n v="0"/>
    <m/>
    <n v="-46164"/>
    <m/>
    <m/>
    <m/>
    <m/>
    <m/>
    <m/>
    <m/>
  </r>
  <r>
    <n v="622"/>
    <m/>
    <s v="W21005"/>
    <x v="257"/>
    <s v="V-CA"/>
    <s v="加拿大"/>
    <s v="RD1-B"/>
    <n v="150"/>
    <x v="2"/>
    <s v="加拿大海卡"/>
    <s v="YXU1"/>
    <s v="RD1-B"/>
    <s v="RD1-B 便携式扩香仪 黑色"/>
    <s v="RD1"/>
    <n v="5"/>
    <n v="75"/>
    <s v="重量收费"/>
    <n v="6"/>
    <n v="200"/>
    <n v="83.333333333333329"/>
    <n v="533.33333333333337"/>
    <n v="3.5555555555555558"/>
    <n v="0.53067993366500832"/>
    <m/>
    <m/>
    <m/>
    <x v="36"/>
    <x v="82"/>
    <m/>
    <n v="0"/>
    <n v="0"/>
    <m/>
    <n v="-46164"/>
    <m/>
    <m/>
    <m/>
    <m/>
    <m/>
    <m/>
    <m/>
  </r>
  <r>
    <n v="623"/>
    <m/>
    <s v="W21005"/>
    <x v="257"/>
    <s v="V-CA"/>
    <s v="加拿大"/>
    <s v="RD1-DT"/>
    <n v="90"/>
    <x v="2"/>
    <s v="加拿大海卡"/>
    <s v="YXU1"/>
    <s v="RD1-DT"/>
    <s v="RD1-DT 便携式扩香仪 沙漠钛色"/>
    <s v="RD1"/>
    <n v="3"/>
    <n v="45"/>
    <s v="重量收费"/>
    <n v="6"/>
    <m/>
    <n v="50"/>
    <n v="320"/>
    <n v="3.5555555555555554"/>
    <n v="0.53067993366500821"/>
    <m/>
    <m/>
    <m/>
    <x v="36"/>
    <x v="82"/>
    <m/>
    <n v="0"/>
    <n v="0"/>
    <m/>
    <n v="-46164"/>
    <m/>
    <m/>
    <m/>
    <m/>
    <m/>
    <m/>
    <m/>
  </r>
  <r>
    <n v="624"/>
    <m/>
    <s v="W21008"/>
    <x v="258"/>
    <s v="V-US"/>
    <s v="美国"/>
    <s v="001000019"/>
    <n v="800"/>
    <x v="0"/>
    <s v="盐田海卡"/>
    <s v="MIT2"/>
    <s v="AN6-B"/>
    <s v="AN6-B 便携式扩香仪 黑色"/>
    <s v="AN6"/>
    <n v="20"/>
    <n v="278.26086956521738"/>
    <s v="重量收费"/>
    <n v="4"/>
    <n v="200"/>
    <n v="43.956043956043956"/>
    <n v="1156.9995222169134"/>
    <n v="1.4462494027711417"/>
    <n v="0.21585811981658831"/>
    <m/>
    <m/>
    <m/>
    <x v="36"/>
    <x v="81"/>
    <m/>
    <n v="0.36685714285714283"/>
    <n v="293.48571428571427"/>
    <m/>
    <n v="-46164"/>
    <m/>
    <m/>
    <m/>
    <m/>
    <m/>
    <m/>
    <m/>
  </r>
  <r>
    <n v="625"/>
    <m/>
    <s v="W21008"/>
    <x v="258"/>
    <s v="V-US"/>
    <s v="美国"/>
    <s v="001000020"/>
    <n v="600"/>
    <x v="0"/>
    <s v="盐田海卡"/>
    <s v="MIT2"/>
    <s v="AN6-W"/>
    <s v="AN6-W 便携式扩香仪 白色"/>
    <s v="AN6"/>
    <n v="15"/>
    <n v="208.69565217391303"/>
    <s v="重量收费"/>
    <n v="4"/>
    <n v="200"/>
    <n v="32.967032967032964"/>
    <n v="867.74964166268512"/>
    <n v="1.4462494027711419"/>
    <n v="0.21585811981658834"/>
    <m/>
    <m/>
    <m/>
    <x v="36"/>
    <x v="81"/>
    <m/>
    <n v="0.36685714285714283"/>
    <n v="220.1142857142857"/>
    <m/>
    <n v="-46164"/>
    <m/>
    <m/>
    <m/>
    <m/>
    <m/>
    <m/>
    <m/>
  </r>
  <r>
    <n v="626"/>
    <m/>
    <s v="W21008"/>
    <x v="258"/>
    <s v="V-US"/>
    <s v="美国"/>
    <s v="AN6-YG"/>
    <n v="120"/>
    <x v="0"/>
    <s v="盐田海卡"/>
    <s v="MIT2"/>
    <s v="AN6-YG"/>
    <s v="AN6-YG 便携式扩香仪 乳酪色"/>
    <s v="AN6"/>
    <n v="3"/>
    <n v="41.739130434782609"/>
    <s v="重量收费"/>
    <n v="4"/>
    <m/>
    <n v="6.5934065934065931"/>
    <n v="173.54992833253704"/>
    <n v="1.4462494027711419"/>
    <n v="0.21585811981658834"/>
    <m/>
    <m/>
    <m/>
    <x v="36"/>
    <x v="81"/>
    <m/>
    <n v="0.36685714285714283"/>
    <n v="44.022857142857141"/>
    <m/>
    <n v="-46164"/>
    <m/>
    <m/>
    <m/>
    <m/>
    <m/>
    <m/>
    <m/>
  </r>
  <r>
    <n v="627"/>
    <m/>
    <s v="W21008"/>
    <x v="258"/>
    <s v="V-US"/>
    <s v="美国"/>
    <s v="RD1-B"/>
    <n v="180"/>
    <x v="0"/>
    <s v="盐田海卡"/>
    <s v="MIT2"/>
    <s v="RD1-B"/>
    <s v="RD1-B 便携式扩香仪 黑色"/>
    <s v="RD1"/>
    <n v="6"/>
    <n v="83.478260869565219"/>
    <s v="重量收费"/>
    <n v="4"/>
    <m/>
    <n v="13.186813186813186"/>
    <n v="347.09985666507407"/>
    <n v="1.9283325370281892"/>
    <n v="0.2878108264221178"/>
    <m/>
    <m/>
    <m/>
    <x v="36"/>
    <x v="81"/>
    <m/>
    <n v="0.36685714285714283"/>
    <n v="66.034285714285716"/>
    <m/>
    <n v="-46164"/>
    <m/>
    <m/>
    <m/>
    <m/>
    <m/>
    <m/>
    <m/>
  </r>
  <r>
    <n v="628"/>
    <m/>
    <s v="W21008"/>
    <x v="258"/>
    <s v="V-US"/>
    <s v="美国"/>
    <s v="001000021"/>
    <n v="200"/>
    <x v="0"/>
    <s v="盐田海卡"/>
    <s v="MIT2"/>
    <s v="AN6NZ-B"/>
    <s v="AN6NZ-B AN6喷嘴配件套装 黑色"/>
    <s v="AN6-AC"/>
    <n v="1"/>
    <n v="13.913043478260869"/>
    <s v="重量收费"/>
    <n v="4"/>
    <m/>
    <n v="2.197802197802198"/>
    <n v="57.849976110845674"/>
    <n v="0.28924988055422834"/>
    <n v="4.3171623963317661E-2"/>
    <m/>
    <m/>
    <m/>
    <x v="36"/>
    <x v="81"/>
    <m/>
    <n v="0.36685714285714283"/>
    <n v="73.371428571428567"/>
    <m/>
    <n v="-46164"/>
    <m/>
    <m/>
    <m/>
    <m/>
    <m/>
    <m/>
    <m/>
  </r>
  <r>
    <n v="629"/>
    <m/>
    <s v="W21008"/>
    <x v="258"/>
    <s v="V-US"/>
    <s v="美国"/>
    <s v="AN8NZ-B"/>
    <n v="200"/>
    <x v="0"/>
    <s v="盐田海卡"/>
    <s v="MIT2"/>
    <s v="AN8NZ-B"/>
    <s v="AN8NZ-B AN8(Z)喷嘴配件套装 黑色"/>
    <s v="AN8-AC"/>
    <n v="1"/>
    <n v="13.913043478260869"/>
    <s v="重量收费"/>
    <n v="4"/>
    <m/>
    <n v="2.197802197802198"/>
    <n v="57.849976110845674"/>
    <n v="0.28924988055422834"/>
    <n v="4.3171623963317661E-2"/>
    <m/>
    <m/>
    <m/>
    <x v="36"/>
    <x v="81"/>
    <m/>
    <n v="0.36685714285714283"/>
    <n v="73.371428571428567"/>
    <m/>
    <n v="-46164"/>
    <m/>
    <m/>
    <m/>
    <m/>
    <m/>
    <m/>
    <m/>
  </r>
  <r>
    <n v="630"/>
    <m/>
    <s v="W21006"/>
    <x v="259"/>
    <s v="V-US"/>
    <s v="美国"/>
    <s v="ADXKIT-B_4X10K04_TZ"/>
    <n v="390"/>
    <x v="2"/>
    <s v="盐田海卡"/>
    <s v="GEU2"/>
    <s v="ADXKIT-B_4X10K04_TZ"/>
    <s v="ADXKIT-B_4X10K04_TZ ADX黑色机器+4x10mL酒店（天竺）香氛油 机油套装"/>
    <s v="ADX"/>
    <n v="13"/>
    <n v="204.88"/>
    <s v="重量收费"/>
    <n v="4.4000000000000004"/>
    <m/>
    <n v="34.666666666666664"/>
    <n v="936.13866666666672"/>
    <n v="2.4003555555555556"/>
    <n v="0.35826202321724709"/>
    <m/>
    <m/>
    <m/>
    <x v="36"/>
    <x v="80"/>
    <m/>
    <n v="0.44"/>
    <n v="171.6"/>
    <m/>
    <n v="-46164"/>
    <m/>
    <m/>
    <m/>
    <m/>
    <m/>
    <m/>
    <m/>
  </r>
  <r>
    <n v="631"/>
    <m/>
    <s v="W21006"/>
    <x v="259"/>
    <s v="V-US"/>
    <s v="美国"/>
    <s v="ADXKIT-DT_4X10K04_TZ"/>
    <n v="150"/>
    <x v="2"/>
    <s v="盐田海卡"/>
    <s v="GEU2"/>
    <s v="ADXKIT-DT_4X10K04_TZ"/>
    <s v="ADXKIT-DT_4X10K04_TZ AD钛色机器+4x10mL酒店（天竺）香氛油 机油套装"/>
    <s v="ADX"/>
    <n v="5"/>
    <n v="78.8"/>
    <s v="重量收费"/>
    <n v="4.4000000000000004"/>
    <m/>
    <n v="13.333333333333334"/>
    <n v="360.05333333333334"/>
    <n v="2.4003555555555556"/>
    <n v="0.35826202321724709"/>
    <m/>
    <m/>
    <m/>
    <x v="36"/>
    <x v="80"/>
    <m/>
    <n v="0.44"/>
    <n v="66"/>
    <m/>
    <n v="-46164"/>
    <m/>
    <m/>
    <m/>
    <m/>
    <m/>
    <m/>
    <m/>
  </r>
  <r>
    <n v="632"/>
    <m/>
    <s v="W21006"/>
    <x v="259"/>
    <s v="V-US"/>
    <s v="美国"/>
    <s v="AN8KIT-B_4X10K05_TZ"/>
    <n v="600"/>
    <x v="2"/>
    <s v="盐田海卡"/>
    <s v="GEU2"/>
    <s v="AN8KIT-B_4X10K05_TZ"/>
    <s v="AN8KIT-B_4X10K05_TZ AN8黑色机器+4x10mL（天竺）酒店香氛油 机油套装"/>
    <s v="AN8"/>
    <n v="20"/>
    <n v="315.2"/>
    <s v="重量收费"/>
    <n v="4.4000000000000004"/>
    <m/>
    <n v="53.333333333333336"/>
    <n v="1440.2133333333334"/>
    <n v="2.4003555555555556"/>
    <n v="0.35826202321724709"/>
    <m/>
    <m/>
    <m/>
    <x v="36"/>
    <x v="80"/>
    <m/>
    <n v="0.44"/>
    <n v="264"/>
    <m/>
    <n v="-46164"/>
    <m/>
    <m/>
    <m/>
    <m/>
    <m/>
    <m/>
    <m/>
  </r>
  <r>
    <n v="633"/>
    <m/>
    <s v="W21006"/>
    <x v="260"/>
    <s v="A-US"/>
    <s v="美国"/>
    <s v="ANZKIT-B_B"/>
    <n v="340"/>
    <x v="2"/>
    <s v="盐田海卡"/>
    <s v="TCY2"/>
    <s v="ANZKIT-B_B"/>
    <s v="ANZKIT-B_B 便携式扩香仪 黑色 两个装"/>
    <s v="ANZ"/>
    <n v="17"/>
    <n v="219"/>
    <s v="重量收费"/>
    <n v="4.4000000000000004"/>
    <m/>
    <n v="45.333333333333336"/>
    <n v="1008.9333333333334"/>
    <n v="2.9674509803921572"/>
    <n v="0.44290313140181448"/>
    <m/>
    <m/>
    <m/>
    <x v="36"/>
    <x v="80"/>
    <m/>
    <n v="0.44"/>
    <n v="149.6"/>
    <m/>
    <n v="-46164"/>
    <m/>
    <m/>
    <m/>
    <m/>
    <m/>
    <m/>
    <m/>
  </r>
  <r>
    <n v="634"/>
    <m/>
    <s v="W21006"/>
    <x v="261"/>
    <s v="E-US"/>
    <s v="美国"/>
    <s v="ANZ-B"/>
    <n v="480"/>
    <x v="2"/>
    <s v="盐田海卡"/>
    <s v="GEU2"/>
    <s v="ANZ-B"/>
    <s v="ANZ-B 便携式扩香仪 黑色"/>
    <s v="ANZ"/>
    <n v="12"/>
    <n v="189.12"/>
    <s v="重量收费"/>
    <n v="4.4000000000000004"/>
    <m/>
    <n v="32"/>
    <n v="864.12800000000004"/>
    <n v="1.8002666666666667"/>
    <n v="0.26869651741293532"/>
    <m/>
    <m/>
    <m/>
    <x v="36"/>
    <x v="80"/>
    <m/>
    <n v="0.36000000000000004"/>
    <n v="172.8"/>
    <m/>
    <n v="-46164"/>
    <m/>
    <m/>
    <m/>
    <m/>
    <m/>
    <m/>
    <m/>
  </r>
  <r>
    <n v="635"/>
    <m/>
    <s v="W21002"/>
    <x v="262"/>
    <s v="W-US"/>
    <s v="美国"/>
    <s v="002000029"/>
    <n v="32"/>
    <x v="3"/>
    <s v="盐田海卡"/>
    <s v="MIT2"/>
    <s v="MD1-B"/>
    <s v="MD1-B 电子球形把手锁 指纹 黑色"/>
    <s v="MD1"/>
    <n v="2"/>
    <n v="0.12774193548387097"/>
    <s v="CBM收费"/>
    <n v="1080"/>
    <n v="180"/>
    <n v="11.612903225806452"/>
    <n v="149.57419354838711"/>
    <n v="4.6741935483870973"/>
    <n v="0.69764082811747719"/>
    <m/>
    <m/>
    <m/>
    <x v="36"/>
    <x v="83"/>
    <m/>
    <n v="0.55999999999999994"/>
    <n v="17.919999999999998"/>
    <m/>
    <n v="-46164"/>
    <m/>
    <m/>
    <m/>
    <m/>
    <m/>
    <m/>
    <m/>
  </r>
  <r>
    <n v="636"/>
    <m/>
    <s v="W21002"/>
    <x v="262"/>
    <s v="W-US"/>
    <s v="美国"/>
    <s v="002000038"/>
    <n v="96"/>
    <x v="3"/>
    <s v="盐田海卡"/>
    <s v="MIT2"/>
    <s v="MD1-SILV"/>
    <s v="MD1-SILV 电子球形把手锁 指纹 银色"/>
    <s v="MD1"/>
    <n v="6"/>
    <n v="0.38322580645161292"/>
    <s v="CBM收费"/>
    <n v="1080"/>
    <n v="180"/>
    <n v="34.838709677419352"/>
    <n v="448.72258064516126"/>
    <n v="4.6741935483870964"/>
    <n v="0.69764082811747707"/>
    <m/>
    <m/>
    <m/>
    <x v="36"/>
    <x v="83"/>
    <m/>
    <n v="0.55999999999999994"/>
    <n v="53.759999999999991"/>
    <m/>
    <n v="-46164"/>
    <m/>
    <m/>
    <m/>
    <m/>
    <m/>
    <m/>
    <m/>
  </r>
  <r>
    <n v="637"/>
    <m/>
    <s v="W21002"/>
    <x v="262"/>
    <s v="W-US"/>
    <s v="美国"/>
    <s v="002000030"/>
    <n v="144"/>
    <x v="3"/>
    <s v="盐田海卡"/>
    <s v="MIT2"/>
    <s v="MD1-T"/>
    <s v="MD1-T 电子球形把手锁 指纹 钛灰色"/>
    <s v="MD1"/>
    <n v="9"/>
    <n v="0.57483870967741935"/>
    <s v="CBM收费"/>
    <n v="1080"/>
    <m/>
    <n v="52.258064516129032"/>
    <n v="673.08387096774197"/>
    <n v="4.6741935483870973"/>
    <n v="0.69764082811747719"/>
    <m/>
    <m/>
    <m/>
    <x v="36"/>
    <x v="83"/>
    <m/>
    <n v="0.55999999999999994"/>
    <n v="80.639999999999986"/>
    <m/>
    <n v="-46164"/>
    <m/>
    <m/>
    <m/>
    <m/>
    <m/>
    <m/>
    <m/>
  </r>
  <r>
    <n v="638"/>
    <m/>
    <s v="W21002"/>
    <x v="262"/>
    <s v="W-US"/>
    <s v="美国"/>
    <s v="002000031"/>
    <n v="80"/>
    <x v="3"/>
    <s v="盐田海卡"/>
    <s v="MIT2"/>
    <s v="MK1-B"/>
    <s v="MK1-B 智能球形把手锁 黑色"/>
    <s v="MK1"/>
    <n v="5"/>
    <n v="0.3193548387096774"/>
    <s v="CBM收费"/>
    <n v="1080"/>
    <m/>
    <n v="29.032258064516128"/>
    <n v="373.93548387096769"/>
    <n v="4.6741935483870964"/>
    <n v="0.69764082811747707"/>
    <m/>
    <m/>
    <m/>
    <x v="36"/>
    <x v="83"/>
    <m/>
    <n v="0.55999999999999994"/>
    <n v="44.8"/>
    <m/>
    <n v="-46164"/>
    <m/>
    <m/>
    <m/>
    <m/>
    <m/>
    <m/>
    <m/>
  </r>
  <r>
    <n v="639"/>
    <m/>
    <s v="W21002"/>
    <x v="262"/>
    <s v="W-US"/>
    <s v="美国"/>
    <s v="002000033"/>
    <n v="48"/>
    <x v="3"/>
    <s v="盐田海卡"/>
    <s v="MIT2"/>
    <s v="MK1-SILV"/>
    <s v="MK1-SILV 智能球形把手锁 银色"/>
    <s v="MK1"/>
    <n v="3"/>
    <n v="0.19161290322580646"/>
    <s v="CBM收费"/>
    <n v="1080"/>
    <m/>
    <n v="17.419354838709676"/>
    <n v="224.36129032258063"/>
    <n v="4.6741935483870964"/>
    <n v="0.69764082811747707"/>
    <m/>
    <m/>
    <m/>
    <x v="36"/>
    <x v="83"/>
    <m/>
    <n v="0.55999999999999994"/>
    <n v="26.879999999999995"/>
    <m/>
    <n v="-46164"/>
    <m/>
    <m/>
    <m/>
    <m/>
    <m/>
    <m/>
    <m/>
  </r>
  <r>
    <n v="640"/>
    <m/>
    <s v="W21002"/>
    <x v="262"/>
    <s v="W-US"/>
    <s v="美国"/>
    <s v="002000032"/>
    <n v="96"/>
    <x v="3"/>
    <s v="盐田海卡"/>
    <s v="MIT2"/>
    <s v="MK1-T"/>
    <s v="MK1-T 智能球形把手锁 钛色"/>
    <s v="MK1"/>
    <n v="6"/>
    <n v="0.38322580645161292"/>
    <s v="CBM收费"/>
    <n v="1080"/>
    <m/>
    <n v="34.838709677419352"/>
    <n v="448.72258064516126"/>
    <n v="4.6741935483870964"/>
    <n v="0.69764082811747707"/>
    <m/>
    <m/>
    <m/>
    <x v="36"/>
    <x v="83"/>
    <m/>
    <n v="0.55999999999999994"/>
    <n v="53.759999999999991"/>
    <m/>
    <n v="-46164"/>
    <m/>
    <m/>
    <m/>
    <m/>
    <m/>
    <m/>
    <m/>
  </r>
  <r>
    <n v="641"/>
    <m/>
    <s v="W21003"/>
    <x v="263"/>
    <s v="K-US"/>
    <s v="美国"/>
    <s v="GK1-B"/>
    <n v="480"/>
    <x v="3"/>
    <s v="盐田海卡"/>
    <s v="GEU3"/>
    <s v="GK1-B"/>
    <s v="GK1-B 智能球形把手锁 黑色"/>
    <s v="GK1"/>
    <n v="30"/>
    <n v="1.33"/>
    <s v="CBM收费"/>
    <n v="1060"/>
    <n v="180"/>
    <n v="180"/>
    <n v="1589.8000000000002"/>
    <n v="3.3120833333333337"/>
    <n v="0.49434079601990055"/>
    <m/>
    <m/>
    <m/>
    <x v="36"/>
    <x v="80"/>
    <m/>
    <n v="0.56000000000000005"/>
    <n v="268.8"/>
    <m/>
    <n v="-46164"/>
    <m/>
    <m/>
    <m/>
    <m/>
    <m/>
    <m/>
    <m/>
  </r>
  <r>
    <n v="642"/>
    <m/>
    <s v="W21004"/>
    <x v="264"/>
    <s v="W-DE"/>
    <s v="德国"/>
    <s v="ANAKIT-B_EU_2X100K03"/>
    <n v="72"/>
    <x v="8"/>
    <s v="欧洲海卡"/>
    <s v="BER8"/>
    <s v="ANAKIT-B_EU_2X100K03"/>
    <s v="ANAKIT-B_EU_2X100K03 ANA欧规黑色机器+2X100mL酒店香氛油（天竺） 机油套装"/>
    <s v="ANA"/>
    <n v="6"/>
    <n v="103.33333333333333"/>
    <s v="重量收费"/>
    <n v="8"/>
    <n v="200"/>
    <n v="14.634146341463415"/>
    <n v="841.30081300813004"/>
    <n v="11.684733514001806"/>
    <n v="1.7439900767166874"/>
    <m/>
    <m/>
    <m/>
    <x v="37"/>
    <x v="84"/>
    <m/>
    <n v="0"/>
    <n v="0"/>
    <m/>
    <n v="-46163"/>
    <m/>
    <m/>
    <m/>
    <m/>
    <m/>
    <m/>
    <m/>
  </r>
  <r>
    <n v="643"/>
    <m/>
    <s v="W21004"/>
    <x v="264"/>
    <s v="W-DE"/>
    <s v="德国"/>
    <s v="ANAKIT-WH_EU_2X100K03"/>
    <n v="144"/>
    <x v="8"/>
    <s v="欧洲海卡"/>
    <s v="BER8"/>
    <s v="ANAKIT-WH_EU_2X100K03"/>
    <s v="ANAKIT-WH_EU_2X100K03 ANA欧规白色机器+2X100mL酒店香氛油（天竺） 机油套装"/>
    <s v="ANA"/>
    <n v="12"/>
    <n v="206.66666666666666"/>
    <s v="重量收费"/>
    <n v="8"/>
    <n v="200"/>
    <n v="29.26829268292683"/>
    <n v="1682.6016260162601"/>
    <n v="11.684733514001806"/>
    <n v="1.7439900767166874"/>
    <m/>
    <m/>
    <m/>
    <x v="37"/>
    <x v="84"/>
    <m/>
    <n v="0"/>
    <n v="0"/>
    <m/>
    <n v="-46163"/>
    <m/>
    <m/>
    <m/>
    <m/>
    <m/>
    <m/>
    <m/>
  </r>
  <r>
    <n v="644"/>
    <m/>
    <s v="W21008"/>
    <x v="265"/>
    <s v="V-US"/>
    <s v="美国"/>
    <s v="001000033"/>
    <n v="396"/>
    <x v="0"/>
    <s v="盐田海卡"/>
    <s v="MIT2"/>
    <s v="ANW-W"/>
    <s v="ANW-W 智能扩香仪 白色"/>
    <s v="ANW"/>
    <n v="33"/>
    <n v="498.66771428571428"/>
    <s v="重量收费"/>
    <n v="5.2"/>
    <n v="200"/>
    <n v="72.527472527472526"/>
    <n v="2665.5995868131868"/>
    <n v="6.7313120879120873"/>
    <n v="1.0046734459570279"/>
    <m/>
    <m/>
    <m/>
    <x v="37"/>
    <x v="81"/>
    <m/>
    <n v="0.4975"/>
    <n v="197.01"/>
    <m/>
    <n v="-46163"/>
    <m/>
    <m/>
    <m/>
    <m/>
    <m/>
    <m/>
    <m/>
  </r>
  <r>
    <n v="645"/>
    <m/>
    <s v="W21008"/>
    <x v="265"/>
    <s v="V-US"/>
    <s v="美国"/>
    <s v="ANANZ-B"/>
    <n v="90"/>
    <x v="0"/>
    <s v="盐田海卡"/>
    <s v="MIT2"/>
    <s v="ANANZ-B"/>
    <s v="ANANZ-B ANA替换瓶+黑喷头"/>
    <s v="ANA-AC"/>
    <n v="1"/>
    <n v="15.111142857142857"/>
    <s v="重量收费"/>
    <n v="5.2"/>
    <n v="200"/>
    <n v="2.197802197802198"/>
    <n v="80.775745054945062"/>
    <n v="0.89750827838827851"/>
    <n v="0.13395645946093709"/>
    <m/>
    <m/>
    <m/>
    <x v="37"/>
    <x v="81"/>
    <m/>
    <n v="0.4975"/>
    <n v="44.774999999999999"/>
    <m/>
    <n v="-46163"/>
    <m/>
    <m/>
    <m/>
    <m/>
    <m/>
    <m/>
    <m/>
  </r>
  <r>
    <n v="646"/>
    <m/>
    <s v="W21008"/>
    <x v="265"/>
    <s v="V-US"/>
    <s v="美国"/>
    <s v="ANANZ-WH"/>
    <n v="90"/>
    <x v="0"/>
    <s v="盐田海卡"/>
    <s v="MIT2"/>
    <s v="ANANZ-WH"/>
    <s v="ANANZ-WH ANA替换瓶+白喷头"/>
    <s v="ANA-AC"/>
    <n v="1"/>
    <n v="15.111142857142857"/>
    <s v="重量收费"/>
    <n v="5.2"/>
    <m/>
    <n v="2.197802197802198"/>
    <n v="80.775745054945062"/>
    <n v="0.89750827838827851"/>
    <n v="0.13395645946093709"/>
    <m/>
    <m/>
    <m/>
    <x v="37"/>
    <x v="81"/>
    <m/>
    <n v="0.4975"/>
    <n v="44.774999999999999"/>
    <m/>
    <n v="-46163"/>
    <m/>
    <m/>
    <m/>
    <m/>
    <m/>
    <m/>
    <m/>
  </r>
  <r>
    <n v="647"/>
    <m/>
    <s v="W21008"/>
    <x v="266"/>
    <s v="V-US"/>
    <s v="美国"/>
    <s v="ANWKIT-WH_US_2X100K03"/>
    <n v="120"/>
    <x v="0"/>
    <s v="盐田海卡"/>
    <s v="MIT2"/>
    <s v="ANWKIT-WH_US_2X100K03"/>
    <s v="ANWKIT-WH_US_2X100K03 ANW白色机器+2X100mL酒店香氛油（天竺） 机油套装"/>
    <s v="ANW"/>
    <n v="10"/>
    <n v="151.11000000000001"/>
    <s v="重量收费"/>
    <n v="5.2"/>
    <m/>
    <n v="21.978021978021978"/>
    <n v="807.750021978022"/>
    <n v="6.7312501831501832"/>
    <n v="1.0046642064403257"/>
    <m/>
    <m/>
    <m/>
    <x v="37"/>
    <x v="81"/>
    <m/>
    <n v="0.7"/>
    <n v="84"/>
    <m/>
    <n v="-46163"/>
    <m/>
    <m/>
    <m/>
    <m/>
    <m/>
    <m/>
    <m/>
  </r>
  <r>
    <n v="648"/>
    <m/>
    <s v="W21007"/>
    <x v="267"/>
    <s v="K-US"/>
    <s v="美国"/>
    <s v="ANPKIT-WH_US_3X20K01_TZ"/>
    <n v="320"/>
    <x v="0"/>
    <s v="盐田海卡"/>
    <s v="TCY2"/>
    <s v="ANPKIT-WH_US_3X20K01_TZ"/>
    <s v="ANPKIT-WH_US_3X20K01_TZ ANP白色机器+3X20mL酒店香氛油（天竺） 机油套装"/>
    <s v="ANP"/>
    <n v="10"/>
    <n v="208"/>
    <s v="重量收费"/>
    <n v="4.7"/>
    <n v="200"/>
    <n v="100"/>
    <n v="1077.5999999999999"/>
    <n v="3.3674999999999997"/>
    <n v="0.50261194029850742"/>
    <m/>
    <m/>
    <m/>
    <x v="37"/>
    <x v="81"/>
    <m/>
    <n v="0.44000000000000006"/>
    <n v="140.80000000000001"/>
    <m/>
    <n v="-46163"/>
    <m/>
    <m/>
    <m/>
    <m/>
    <m/>
    <m/>
    <m/>
  </r>
  <r>
    <n v="649"/>
    <m/>
    <s v="W21001"/>
    <x v="268"/>
    <s v="E-US"/>
    <s v="美国"/>
    <s v="BLG1-100ML"/>
    <n v="90"/>
    <x v="1"/>
    <s v="盐田海卡"/>
    <s v="MIT2"/>
    <s v="BLG1-100ML"/>
    <s v="BLG1-100ML 百乐宫酒店香氛油100mL"/>
    <s v="Oil-HQ"/>
    <n v="1"/>
    <n v="20.2"/>
    <s v="重量收费"/>
    <n v="5.9"/>
    <n v="200"/>
    <n v="20"/>
    <n v="139.18"/>
    <n v="1.5464444444444445"/>
    <n v="0.23081260364842454"/>
    <m/>
    <m/>
    <m/>
    <x v="36"/>
    <x v="80"/>
    <m/>
    <n v="0.36"/>
    <n v="32.4"/>
    <m/>
    <n v="-46164"/>
    <m/>
    <m/>
    <m/>
    <m/>
    <m/>
    <m/>
    <m/>
  </r>
  <r>
    <n v="650"/>
    <m/>
    <s v="W21001"/>
    <x v="268"/>
    <s v="E-US"/>
    <s v="美国"/>
    <s v="HOTEL6KIT1-6X10K01"/>
    <n v="304"/>
    <x v="1"/>
    <s v="盐田海卡"/>
    <s v="MIT2"/>
    <s v="HOTEL6KIT1-6X10K01"/>
    <s v="HOTEL6KIT1-6X10K01 酒店香氛油6款10mL套装"/>
    <s v="Oil-HQ"/>
    <n v="4"/>
    <n v="80.8"/>
    <s v="重量收费"/>
    <n v="5.9"/>
    <n v="200"/>
    <n v="80"/>
    <n v="556.72"/>
    <n v="1.8313157894736842"/>
    <n v="0.27333071484681853"/>
    <m/>
    <m/>
    <m/>
    <x v="36"/>
    <x v="80"/>
    <m/>
    <n v="0.36"/>
    <n v="109.44"/>
    <m/>
    <n v="-46164"/>
    <m/>
    <m/>
    <m/>
    <m/>
    <m/>
    <m/>
    <m/>
  </r>
  <r>
    <n v="651"/>
    <m/>
    <s v="W21001"/>
    <x v="268"/>
    <s v="E-US"/>
    <s v="美国"/>
    <s v="JY-100ML"/>
    <n v="180"/>
    <x v="1"/>
    <s v="盐田海卡"/>
    <s v="MIT2"/>
    <s v="A-JY-100"/>
    <s v="A-Grand Hyatt Hotel-100 君悦酒店香氛油100mL"/>
    <s v="Oil-HQ"/>
    <n v="2"/>
    <n v="40.4"/>
    <s v="重量收费"/>
    <n v="5.9"/>
    <m/>
    <n v="40"/>
    <n v="278.36"/>
    <n v="1.5464444444444445"/>
    <n v="0.23081260364842454"/>
    <m/>
    <m/>
    <m/>
    <x v="36"/>
    <x v="80"/>
    <m/>
    <n v="0.36"/>
    <n v="64.8"/>
    <m/>
    <n v="-46164"/>
    <m/>
    <m/>
    <m/>
    <m/>
    <m/>
    <m/>
    <m/>
  </r>
  <r>
    <n v="652"/>
    <m/>
    <s v="W21001"/>
    <x v="268"/>
    <s v="E-US"/>
    <s v="美国"/>
    <s v="006000024"/>
    <n v="70"/>
    <x v="1"/>
    <s v="盐田海卡"/>
    <s v="MIT2"/>
    <s v="A-RZ3-100"/>
    <s v="A-Ritz Carlton Hotel 3-100 丽思卡尔顿酒店3香氛油100mL"/>
    <s v="Oil-HQ"/>
    <n v="1"/>
    <n v="20.2"/>
    <s v="重量收费"/>
    <n v="5.9"/>
    <m/>
    <n v="20"/>
    <n v="139.18"/>
    <n v="1.9882857142857144"/>
    <n v="0.29675906183368872"/>
    <m/>
    <m/>
    <m/>
    <x v="36"/>
    <x v="80"/>
    <m/>
    <n v="0.36"/>
    <n v="25.2"/>
    <m/>
    <n v="-46164"/>
    <m/>
    <m/>
    <m/>
    <m/>
    <m/>
    <m/>
    <m/>
  </r>
  <r>
    <n v="653"/>
    <m/>
    <s v="W21001"/>
    <x v="268"/>
    <s v="E-US"/>
    <s v="美国"/>
    <s v="MWAY1-100ML"/>
    <n v="180"/>
    <x v="1"/>
    <s v="盐田海卡"/>
    <s v="MIT2"/>
    <s v="A-MWAY-100"/>
    <s v="A-MWAY Deluxe-100 特定香型香氛油100mL"/>
    <s v="Oil-HQ"/>
    <n v="2"/>
    <n v="40.4"/>
    <s v="重量收费"/>
    <n v="5.9"/>
    <m/>
    <n v="40"/>
    <n v="278.36"/>
    <n v="1.5464444444444445"/>
    <n v="0.23081260364842454"/>
    <m/>
    <m/>
    <m/>
    <x v="36"/>
    <x v="80"/>
    <m/>
    <n v="0.36"/>
    <n v="64.8"/>
    <m/>
    <n v="-46164"/>
    <m/>
    <m/>
    <m/>
    <m/>
    <m/>
    <m/>
    <m/>
  </r>
  <r>
    <n v="654"/>
    <m/>
    <s v="W21004"/>
    <x v="269"/>
    <s v="W-DE"/>
    <s v="德国"/>
    <s v="003000015"/>
    <n v="180"/>
    <x v="8"/>
    <s v="欧洲海卡"/>
    <s v="BER8"/>
    <s v="AP2EU-H14"/>
    <s v="AP2EU-H14 内置H14滤网桌面式空气净化器2-欧规"/>
    <s v="AP2"/>
    <n v="45"/>
    <n v="1095.3191489361702"/>
    <s v="重量收费"/>
    <n v="6.8"/>
    <n v="200"/>
    <n v="109.7560975609756"/>
    <n v="7557.9263103269332"/>
    <n v="41.988479501816293"/>
    <n v="6.2669372390770581"/>
    <m/>
    <m/>
    <m/>
    <x v="36"/>
    <x v="84"/>
    <m/>
    <n v="0"/>
    <n v="0"/>
    <m/>
    <n v="-46164"/>
    <m/>
    <m/>
    <m/>
    <m/>
    <m/>
    <m/>
    <m/>
  </r>
  <r>
    <n v="655"/>
    <m/>
    <s v="W21004"/>
    <x v="269"/>
    <s v="W-DE"/>
    <s v="德国"/>
    <s v="003000007"/>
    <n v="72"/>
    <x v="8"/>
    <s v="欧洲海卡"/>
    <s v="BER8"/>
    <s v="AP2F-H14"/>
    <s v="AP2F-H14 空气净化器滤网2-H14"/>
    <s v="AP2F"/>
    <n v="2"/>
    <n v="48.680851063829785"/>
    <s v="重量收费"/>
    <n v="6.8"/>
    <n v="200"/>
    <n v="4.8780487804878048"/>
    <n v="335.90783601453035"/>
    <n v="4.6653866113129219"/>
    <n v="0.69632635989745095"/>
    <m/>
    <m/>
    <m/>
    <x v="36"/>
    <x v="84"/>
    <m/>
    <n v="0"/>
    <n v="0"/>
    <m/>
    <n v="-46164"/>
    <m/>
    <m/>
    <m/>
    <m/>
    <m/>
    <m/>
    <m/>
  </r>
  <r>
    <n v="656"/>
    <m/>
    <s v="W21004"/>
    <x v="270"/>
    <s v="W-DE"/>
    <s v="德国"/>
    <s v="AH1B-WH_EU"/>
    <n v="102"/>
    <x v="8"/>
    <s v="欧洲海卡"/>
    <s v="DTM1"/>
    <s v="AH1B-WH_EU"/>
    <s v="AH1B-WH_EU 智能加湿器 白色 欧规"/>
    <s v="AH1B"/>
    <n v="17"/>
    <n v="273"/>
    <s v="重量收费"/>
    <n v="7.5"/>
    <m/>
    <n v="41.463414634146339"/>
    <n v="2088.9634146341464"/>
    <n v="20.480033476805357"/>
    <n v="3.0567214144485608"/>
    <m/>
    <m/>
    <m/>
    <x v="36"/>
    <x v="84"/>
    <m/>
    <n v="0"/>
    <n v="0"/>
    <m/>
    <n v="-46164"/>
    <m/>
    <m/>
    <m/>
    <m/>
    <m/>
    <m/>
    <m/>
  </r>
  <r>
    <n v="657"/>
    <m/>
    <s v="W22005"/>
    <x v="271"/>
    <s v="W-US"/>
    <s v="美国"/>
    <s v="RD1-B"/>
    <n v="300"/>
    <x v="0"/>
    <s v="盐田海卡"/>
    <s v="GEU3"/>
    <s v="RD1-B"/>
    <s v="RD1-B 便携式扩香仪 黑色"/>
    <s v="RD1"/>
    <n v="10"/>
    <n v="153.33333333333334"/>
    <s v="重量收费"/>
    <n v="4"/>
    <n v="200"/>
    <n v="29.850746268656717"/>
    <n v="643.18407960199011"/>
    <n v="2.1439469320066338"/>
    <n v="0.31999207940397517"/>
    <m/>
    <m/>
    <m/>
    <x v="38"/>
    <x v="85"/>
    <m/>
    <m/>
    <m/>
    <m/>
    <n v="-46171"/>
    <m/>
    <m/>
    <m/>
    <m/>
    <m/>
    <m/>
    <m/>
  </r>
  <r>
    <n v="658"/>
    <m/>
    <s v="W22005"/>
    <x v="271"/>
    <s v="W-US"/>
    <s v="美国"/>
    <s v="RD1-DT"/>
    <n v="120"/>
    <x v="0"/>
    <s v="盐田海卡"/>
    <s v="GEU3"/>
    <s v="RD1-DT"/>
    <s v="RD1-DT 便携式扩香仪 沙漠钛色"/>
    <s v="RD1"/>
    <n v="4"/>
    <n v="61.333333333333336"/>
    <s v="重量收费"/>
    <n v="4"/>
    <n v="200"/>
    <n v="11.940298507462687"/>
    <n v="257.27363184079604"/>
    <n v="2.1439469320066338"/>
    <n v="0.31999207940397517"/>
    <m/>
    <m/>
    <m/>
    <x v="38"/>
    <x v="85"/>
    <m/>
    <m/>
    <m/>
    <m/>
    <n v="-46171"/>
    <m/>
    <m/>
    <m/>
    <m/>
    <m/>
    <m/>
    <m/>
  </r>
  <r>
    <n v="659"/>
    <m/>
    <s v="W22005"/>
    <x v="271"/>
    <s v="W-US"/>
    <s v="美国"/>
    <s v="RD1KIT-T_2X30K04"/>
    <n v="60"/>
    <x v="0"/>
    <s v="盐田海卡"/>
    <s v="GEU3"/>
    <s v="RD1KIT-T_2X30K04"/>
    <s v="RD1KIT-T_2X30K04 RD1沙漠钛色机器+2X30mL酒店香氛油 机油套装"/>
    <s v="RD1"/>
    <n v="3"/>
    <n v="46"/>
    <s v="重量收费"/>
    <n v="4"/>
    <m/>
    <n v="8.9552238805970141"/>
    <n v="192.955223880597"/>
    <n v="3.21592039800995"/>
    <n v="0.47998811910596267"/>
    <m/>
    <m/>
    <m/>
    <x v="38"/>
    <x v="85"/>
    <m/>
    <m/>
    <m/>
    <m/>
    <n v="-46171"/>
    <m/>
    <m/>
    <m/>
    <m/>
    <m/>
    <m/>
    <m/>
  </r>
  <r>
    <n v="660"/>
    <m/>
    <s v="W22005"/>
    <x v="271"/>
    <s v="W-US"/>
    <s v="美国"/>
    <s v="RD1-G"/>
    <n v="120"/>
    <x v="0"/>
    <s v="盐田海卡"/>
    <s v="GEU3"/>
    <s v="RD1-G"/>
    <s v="RD1-G 便携式扩香仪 灰色"/>
    <s v="RD1"/>
    <n v="4"/>
    <n v="61.333333333333336"/>
    <s v="重量收费"/>
    <n v="4"/>
    <m/>
    <n v="11.940298507462687"/>
    <n v="257.27363184079604"/>
    <n v="2.1439469320066338"/>
    <n v="0.31999207940397517"/>
    <m/>
    <m/>
    <m/>
    <x v="38"/>
    <x v="85"/>
    <m/>
    <m/>
    <m/>
    <m/>
    <n v="-46171"/>
    <m/>
    <m/>
    <m/>
    <m/>
    <m/>
    <m/>
    <m/>
  </r>
  <r>
    <n v="661"/>
    <m/>
    <s v="W22005"/>
    <x v="272"/>
    <s v="E-US"/>
    <s v="美国"/>
    <s v="ANZ-B"/>
    <n v="400"/>
    <x v="0"/>
    <s v="盐田海卡"/>
    <s v="TCY2"/>
    <s v="ANZ-B"/>
    <s v="ANZ-B 便携式扩香仪 黑色"/>
    <s v="ANZ"/>
    <n v="10"/>
    <n v="138.26086956521738"/>
    <s v="重量收费"/>
    <n v="5"/>
    <m/>
    <n v="29.850746268656717"/>
    <n v="721.15509409474362"/>
    <n v="1.8028877352368591"/>
    <n v="0.26908772167714312"/>
    <m/>
    <m/>
    <m/>
    <x v="38"/>
    <x v="85"/>
    <m/>
    <m/>
    <m/>
    <m/>
    <n v="-46171"/>
    <m/>
    <m/>
    <m/>
    <m/>
    <m/>
    <m/>
    <m/>
  </r>
  <r>
    <n v="662"/>
    <m/>
    <s v="W22005"/>
    <x v="272"/>
    <s v="E-US"/>
    <s v="美国"/>
    <s v="AN6KIT-B_RZ30ml"/>
    <n v="690"/>
    <x v="0"/>
    <s v="盐田海卡"/>
    <s v="TCY2"/>
    <s v="AN6KIT-B_RZ30ml"/>
    <s v="AN6KIT-B_RZ30ml AN6黑色机器+30mL丽思香氛油 机油套装"/>
    <s v="AN6"/>
    <n v="23"/>
    <n v="318"/>
    <s v="重量收费"/>
    <n v="5"/>
    <m/>
    <n v="68.656716417910445"/>
    <n v="1658.6567164179105"/>
    <n v="2.4038503136491456"/>
    <n v="0.35878362890285753"/>
    <m/>
    <m/>
    <m/>
    <x v="38"/>
    <x v="85"/>
    <m/>
    <m/>
    <m/>
    <m/>
    <n v="-46171"/>
    <m/>
    <m/>
    <m/>
    <m/>
    <m/>
    <m/>
    <m/>
  </r>
  <r>
    <n v="663"/>
    <m/>
    <s v="W22005"/>
    <x v="272"/>
    <s v="E-US"/>
    <s v="美国"/>
    <s v="AN6KIT-WH_SJ30ML_TZ"/>
    <n v="300"/>
    <x v="0"/>
    <s v="盐田海卡"/>
    <s v="TCY2"/>
    <s v="AN6KIT-WH_SJ30ML_TZ"/>
    <s v="AN6KIT-WH_SJ30ML_TZ AN6白色机器+30mL四季酒店香氛油（天竺） 机油套装"/>
    <s v="AN6"/>
    <n v="10"/>
    <n v="138.26086956521738"/>
    <s v="重量收费"/>
    <n v="5"/>
    <m/>
    <n v="29.850746268656717"/>
    <n v="721.15509409474362"/>
    <n v="2.4038503136491456"/>
    <n v="0.35878362890285753"/>
    <m/>
    <m/>
    <m/>
    <x v="38"/>
    <x v="85"/>
    <m/>
    <m/>
    <m/>
    <m/>
    <n v="-46171"/>
    <m/>
    <m/>
    <m/>
    <m/>
    <m/>
    <m/>
    <m/>
  </r>
  <r>
    <n v="664"/>
    <m/>
    <s v="W22005"/>
    <x v="272"/>
    <s v="E-US"/>
    <s v="美国"/>
    <s v="ANXKIT-GD_RZ30ml"/>
    <n v="90"/>
    <x v="0"/>
    <s v="盐田海卡"/>
    <s v="TCY2"/>
    <s v="ANXKIT-GD_RZ30ml"/>
    <s v="ANXKIT-GD_RZ30ml ANX金色机器+30mL丽思香氛油 机油套装"/>
    <s v="ANX"/>
    <n v="3"/>
    <n v="41.478260869565219"/>
    <s v="重量收费"/>
    <n v="5"/>
    <m/>
    <n v="8.9552238805970141"/>
    <n v="216.3465282284231"/>
    <n v="2.4038503136491456"/>
    <n v="0.35878362890285753"/>
    <m/>
    <m/>
    <m/>
    <x v="38"/>
    <x v="85"/>
    <m/>
    <m/>
    <m/>
    <m/>
    <n v="-46171"/>
    <m/>
    <m/>
    <m/>
    <m/>
    <m/>
    <m/>
    <m/>
  </r>
  <r>
    <n v="665"/>
    <m/>
    <s v="W22004"/>
    <x v="273"/>
    <s v="V-US"/>
    <s v="美国"/>
    <s v="001000019"/>
    <n v="600"/>
    <x v="0"/>
    <s v="盐田海卡"/>
    <s v="GEU2"/>
    <s v="AN6-B"/>
    <s v="AN6-B 便携式扩香仪 黑色"/>
    <s v="AN6"/>
    <n v="15"/>
    <n v="206"/>
    <s v="重量收费"/>
    <n v="4"/>
    <n v="200"/>
    <n v="75"/>
    <n v="899"/>
    <n v="1.4983333333333333"/>
    <n v="0.22363184079601989"/>
    <m/>
    <m/>
    <m/>
    <x v="38"/>
    <x v="85"/>
    <m/>
    <m/>
    <m/>
    <m/>
    <n v="-46171"/>
    <m/>
    <m/>
    <m/>
    <m/>
    <m/>
    <m/>
    <m/>
  </r>
  <r>
    <n v="666"/>
    <m/>
    <s v="W22003"/>
    <x v="274"/>
    <s v="K-US"/>
    <s v="美国"/>
    <s v="AN6KIT-B_2X20K01"/>
    <n v="600"/>
    <x v="0"/>
    <s v="盐田海卡"/>
    <s v="ABQ2"/>
    <s v="AN6KIT-B_2X20K01"/>
    <s v="AN6KIT-B_2X20K01 AN6黑色机器+2X20mL酒店香氛油 机油套装"/>
    <s v="AN6"/>
    <n v="20"/>
    <n v="315.52238805970148"/>
    <s v="重量收费"/>
    <n v="5.4"/>
    <n v="200"/>
    <n v="27.397260273972602"/>
    <n v="1731.2181557963606"/>
    <n v="2.8853635929939343"/>
    <n v="0.43065128253640811"/>
    <m/>
    <m/>
    <m/>
    <x v="38"/>
    <x v="85"/>
    <m/>
    <m/>
    <m/>
    <m/>
    <n v="-46171"/>
    <m/>
    <m/>
    <m/>
    <m/>
    <m/>
    <m/>
    <m/>
  </r>
  <r>
    <n v="667"/>
    <m/>
    <s v="W22003"/>
    <x v="274"/>
    <s v="K-US"/>
    <s v="美国"/>
    <s v="AN8KIT-B_2X20K03"/>
    <n v="390"/>
    <x v="0"/>
    <s v="盐田海卡"/>
    <s v="ABQ2"/>
    <s v="AN8KIT-B_2X20K03"/>
    <s v="AN8KIT-B_2X20K03 AN8黑色机器+2X20mL（天竺）酒店香氛油 机油套装"/>
    <s v="AN8"/>
    <n v="13"/>
    <n v="205.08955223880596"/>
    <s v="重量收费"/>
    <n v="5.4"/>
    <n v="200"/>
    <n v="17.80821917808219"/>
    <n v="1125.2918012676346"/>
    <n v="2.8853635929939347"/>
    <n v="0.43065128253640816"/>
    <m/>
    <m/>
    <m/>
    <x v="38"/>
    <x v="85"/>
    <m/>
    <m/>
    <m/>
    <m/>
    <n v="-46171"/>
    <m/>
    <m/>
    <m/>
    <m/>
    <m/>
    <m/>
    <m/>
  </r>
  <r>
    <n v="668"/>
    <m/>
    <s v="W22003"/>
    <x v="274"/>
    <s v="K-US"/>
    <s v="美国"/>
    <s v="AN8KIT-B_4X10K02"/>
    <n v="180"/>
    <x v="0"/>
    <s v="盐田海卡"/>
    <s v="ABQ2"/>
    <s v="AN8KIT-B_4X10K02"/>
    <s v="AN8KIT-B_4X10K02 AN8黑色机器+4x10mL（天竺）香氛油 机油套装"/>
    <s v="AN8"/>
    <n v="6"/>
    <n v="94.656716417910445"/>
    <s v="重量收费"/>
    <n v="5.4"/>
    <m/>
    <n v="8.2191780821917817"/>
    <n v="519.36544673890819"/>
    <n v="2.8853635929939343"/>
    <n v="0.43065128253640811"/>
    <m/>
    <m/>
    <m/>
    <x v="38"/>
    <x v="85"/>
    <m/>
    <m/>
    <m/>
    <m/>
    <n v="-46171"/>
    <m/>
    <m/>
    <m/>
    <m/>
    <m/>
    <m/>
    <m/>
  </r>
  <r>
    <n v="669"/>
    <m/>
    <s v="W22003"/>
    <x v="274"/>
    <s v="K-US"/>
    <s v="美国"/>
    <s v="AN8KIT-B_4X10K05_TZ"/>
    <n v="2100"/>
    <x v="0"/>
    <s v="盐田海卡"/>
    <s v="ABQ2"/>
    <s v="AN8KIT-B_4X10K05_TZ"/>
    <s v="AN8KIT-B_4X10K05_TZ AN8黑色机器+4x10mL（天竺）酒店香氛油 机油套装"/>
    <s v="AN8"/>
    <n v="70"/>
    <n v="1104.3283582089553"/>
    <s v="重量收费"/>
    <n v="5.4"/>
    <m/>
    <n v="95.890410958904113"/>
    <n v="6059.2635452872628"/>
    <n v="2.8853635929939347"/>
    <n v="0.43065128253640816"/>
    <m/>
    <m/>
    <m/>
    <x v="38"/>
    <x v="85"/>
    <m/>
    <m/>
    <m/>
    <m/>
    <n v="-46171"/>
    <m/>
    <m/>
    <m/>
    <m/>
    <m/>
    <m/>
    <m/>
  </r>
  <r>
    <n v="670"/>
    <m/>
    <s v="W22003"/>
    <x v="274"/>
    <s v="K-US"/>
    <s v="美国"/>
    <s v="AN8KIT-WH_2X20K01"/>
    <n v="150"/>
    <x v="0"/>
    <s v="盐田海卡"/>
    <s v="ABQ2"/>
    <s v="AN8KIT-WH_2X20K01"/>
    <s v="AN8KIT-WH_2X20K01 AN8白色机器+2X20mL酒店香氛油 机油套装"/>
    <s v="AN8"/>
    <n v="5"/>
    <n v="78.880597014925371"/>
    <s v="重量收费"/>
    <n v="5.4"/>
    <m/>
    <n v="6.8493150684931505"/>
    <n v="432.80453894909016"/>
    <n v="2.8853635929939343"/>
    <n v="0.43065128253640811"/>
    <m/>
    <m/>
    <m/>
    <x v="38"/>
    <x v="85"/>
    <m/>
    <m/>
    <m/>
    <m/>
    <n v="-46171"/>
    <m/>
    <m/>
    <m/>
    <m/>
    <m/>
    <m/>
    <m/>
  </r>
  <r>
    <n v="671"/>
    <m/>
    <s v="W22003"/>
    <x v="274"/>
    <s v="K-US"/>
    <s v="美国"/>
    <s v="AN8KIT-WH_4X10K05_TZ"/>
    <n v="600"/>
    <x v="0"/>
    <s v="盐田海卡"/>
    <s v="ABQ2"/>
    <s v="AN8KIT-WH_4X10K05_TZ"/>
    <s v="AN8KIT-WH_4X10K05_TZ AN8白色机器+4x10mL（天竺）酒店香氛油 机油套装"/>
    <s v="AN8"/>
    <n v="20"/>
    <n v="315.52238805970148"/>
    <s v="重量收费"/>
    <n v="5.4"/>
    <m/>
    <n v="27.397260273972602"/>
    <n v="1731.2181557963606"/>
    <n v="2.8853635929939343"/>
    <n v="0.43065128253640811"/>
    <m/>
    <m/>
    <m/>
    <x v="38"/>
    <x v="85"/>
    <m/>
    <m/>
    <m/>
    <m/>
    <n v="-46171"/>
    <m/>
    <m/>
    <m/>
    <m/>
    <m/>
    <m/>
    <m/>
  </r>
  <r>
    <n v="672"/>
    <m/>
    <s v="W22003"/>
    <x v="275"/>
    <s v="K-US"/>
    <s v="美国"/>
    <s v="AN8-B"/>
    <n v="160"/>
    <x v="0"/>
    <s v="盐田海卡"/>
    <s v="GEU2"/>
    <s v="AN8-B"/>
    <s v="AN8-B 便携式扩香仪 黑色"/>
    <s v="AN8"/>
    <n v="4"/>
    <n v="54.285714285714285"/>
    <s v="重量收费"/>
    <n v="4"/>
    <m/>
    <n v="5.4794520547945202"/>
    <n v="222.62230919765165"/>
    <n v="1.3913894324853229"/>
    <n v="0.20767006455004819"/>
    <m/>
    <m/>
    <m/>
    <x v="38"/>
    <x v="85"/>
    <m/>
    <m/>
    <m/>
    <m/>
    <n v="-46171"/>
    <m/>
    <m/>
    <m/>
    <m/>
    <m/>
    <m/>
    <m/>
  </r>
  <r>
    <n v="673"/>
    <m/>
    <s v="W22003"/>
    <x v="275"/>
    <s v="K-US"/>
    <s v="美国"/>
    <s v="AN8-WH"/>
    <n v="120"/>
    <x v="0"/>
    <s v="盐田海卡"/>
    <s v="GEU2"/>
    <s v="AN8-WH"/>
    <s v="AN8-WH 便携式扩香仪 白色"/>
    <s v="AN8"/>
    <n v="3"/>
    <n v="40.714285714285715"/>
    <s v="重量收费"/>
    <n v="4"/>
    <m/>
    <n v="4.1095890410958908"/>
    <n v="166.96673189823875"/>
    <n v="1.3913894324853229"/>
    <n v="0.20767006455004819"/>
    <m/>
    <m/>
    <m/>
    <x v="38"/>
    <x v="85"/>
    <m/>
    <m/>
    <m/>
    <m/>
    <n v="-46171"/>
    <m/>
    <m/>
    <m/>
    <m/>
    <m/>
    <m/>
    <m/>
  </r>
  <r>
    <n v="674"/>
    <m/>
    <s v="W22004"/>
    <x v="276"/>
    <s v="W-US"/>
    <s v="美国"/>
    <s v="002000038"/>
    <n v="16"/>
    <x v="0"/>
    <s v="盐田海卡"/>
    <s v="ABQ2"/>
    <s v="MD1-SILV"/>
    <s v="MD1-SILV 电子球形把手锁 指纹 银色"/>
    <s v="MD1"/>
    <n v="1"/>
    <n v="14.333333333333334"/>
    <s v="重量收费"/>
    <n v="5.4"/>
    <n v="200"/>
    <n v="5"/>
    <n v="82.4"/>
    <n v="5.15"/>
    <n v="0.76865671641791045"/>
    <m/>
    <m/>
    <m/>
    <x v="38"/>
    <x v="85"/>
    <m/>
    <m/>
    <m/>
    <m/>
    <n v="-46171"/>
    <m/>
    <m/>
    <m/>
    <m/>
    <m/>
    <m/>
    <m/>
  </r>
  <r>
    <n v="675"/>
    <m/>
    <s v="W22004"/>
    <x v="276"/>
    <s v="W-US"/>
    <s v="美国"/>
    <s v="002000031"/>
    <n v="160"/>
    <x v="0"/>
    <s v="盐田海卡"/>
    <s v="ABQ2"/>
    <s v="MK1-B"/>
    <s v="MK1-B 智能球形把手锁 黑色"/>
    <s v="MK1"/>
    <n v="10"/>
    <n v="143.33333333333334"/>
    <s v="重量收费"/>
    <n v="5.4"/>
    <n v="200"/>
    <n v="50"/>
    <n v="824.00000000000011"/>
    <n v="5.15"/>
    <n v="0.76865671641791045"/>
    <m/>
    <m/>
    <m/>
    <x v="38"/>
    <x v="85"/>
    <m/>
    <m/>
    <m/>
    <m/>
    <n v="-46171"/>
    <m/>
    <m/>
    <m/>
    <m/>
    <m/>
    <m/>
    <m/>
  </r>
  <r>
    <n v="676"/>
    <m/>
    <s v="W22004"/>
    <x v="276"/>
    <s v="W-US"/>
    <s v="美国"/>
    <s v="002000033"/>
    <n v="16"/>
    <x v="0"/>
    <s v="盐田海卡"/>
    <s v="ABQ2"/>
    <s v="MK1-SILV"/>
    <s v="MK1-SILV 智能球形把手锁 银色"/>
    <s v="MK1"/>
    <n v="1"/>
    <n v="14.333333333333334"/>
    <s v="重量收费"/>
    <n v="5.4"/>
    <m/>
    <n v="5"/>
    <n v="82.4"/>
    <n v="5.15"/>
    <n v="0.76865671641791045"/>
    <m/>
    <m/>
    <m/>
    <x v="38"/>
    <x v="85"/>
    <m/>
    <m/>
    <m/>
    <m/>
    <n v="-46171"/>
    <m/>
    <m/>
    <m/>
    <m/>
    <m/>
    <m/>
    <m/>
  </r>
  <r>
    <n v="677"/>
    <m/>
    <s v="W22003"/>
    <x v="277"/>
    <s v="K-US"/>
    <s v="美国"/>
    <s v="G1-B"/>
    <n v="64"/>
    <x v="0"/>
    <s v="盐田海卡"/>
    <s v="ABQ2"/>
    <s v="G1-B"/>
    <s v="G1-B 电子球形把手锁 黑色"/>
    <s v="G1"/>
    <n v="4"/>
    <n v="54.4"/>
    <s v="重量收费"/>
    <n v="5.4"/>
    <n v="200"/>
    <n v="5.4794520547945202"/>
    <n v="299.23945205479453"/>
    <n v="4.6756164383561645"/>
    <n v="0.69785319975465143"/>
    <m/>
    <m/>
    <m/>
    <x v="38"/>
    <x v="85"/>
    <m/>
    <m/>
    <m/>
    <m/>
    <n v="-46171"/>
    <m/>
    <m/>
    <m/>
    <m/>
    <m/>
    <m/>
    <m/>
  </r>
  <r>
    <n v="678"/>
    <m/>
    <s v="W22003"/>
    <x v="277"/>
    <s v="K-US"/>
    <s v="美国"/>
    <s v="G1-SILV"/>
    <n v="16"/>
    <x v="0"/>
    <s v="盐田海卡"/>
    <s v="ABQ2"/>
    <s v="G1-SILV"/>
    <s v="G1-SILV 电子球形把手锁 银色"/>
    <s v="G1"/>
    <n v="1"/>
    <n v="13.6"/>
    <s v="重量收费"/>
    <n v="5.4"/>
    <n v="200"/>
    <n v="1.3698630136986301"/>
    <n v="74.809863013698632"/>
    <n v="4.6756164383561645"/>
    <n v="0.69785319975465143"/>
    <m/>
    <m/>
    <m/>
    <x v="38"/>
    <x v="85"/>
    <m/>
    <m/>
    <m/>
    <m/>
    <n v="-46171"/>
    <m/>
    <m/>
    <m/>
    <m/>
    <m/>
    <m/>
    <m/>
  </r>
  <r>
    <n v="679"/>
    <m/>
    <s v="W22001"/>
    <x v="278"/>
    <s v="E-US"/>
    <s v="美国"/>
    <s v="BCRT1-100ML_TZ"/>
    <n v="128"/>
    <x v="3"/>
    <s v="盐田海卡"/>
    <s v="MIT2"/>
    <s v="BCRT1-100ML_TZ"/>
    <s v="BCRT1-100ML_TZ 巴卡拉酒店100mL香氛油（天竺） 销售包装"/>
    <s v="Oil-TZ"/>
    <n v="2"/>
    <n v="7.9333333333333325E-2"/>
    <s v="CBM收费"/>
    <n v="1300"/>
    <n v="180"/>
    <n v="12"/>
    <n v="115.13333333333333"/>
    <n v="0.89947916666666661"/>
    <n v="0.13425062189054726"/>
    <m/>
    <m/>
    <m/>
    <x v="38"/>
    <x v="85"/>
    <m/>
    <m/>
    <m/>
    <m/>
    <n v="-46171"/>
    <m/>
    <m/>
    <m/>
    <m/>
    <m/>
    <m/>
    <m/>
  </r>
  <r>
    <n v="680"/>
    <m/>
    <s v="W22001"/>
    <x v="278"/>
    <s v="E-US"/>
    <s v="美国"/>
    <s v="SJ1-100ML_TZ"/>
    <n v="128"/>
    <x v="3"/>
    <s v="盐田海卡"/>
    <s v="MIT2"/>
    <s v="SJ1-100ML_TZ"/>
    <s v="SJ1-100ML_TZ 四季酒店100mL香氛油（天竺） 销售包装"/>
    <s v="Oil-TZ"/>
    <n v="2"/>
    <n v="7.9333333333333325E-2"/>
    <s v="CBM收费"/>
    <n v="1300"/>
    <n v="180"/>
    <n v="12"/>
    <n v="115.13333333333333"/>
    <n v="0.89947916666666661"/>
    <n v="0.13425062189054726"/>
    <m/>
    <m/>
    <m/>
    <x v="38"/>
    <x v="85"/>
    <m/>
    <m/>
    <m/>
    <m/>
    <n v="-46171"/>
    <m/>
    <m/>
    <m/>
    <m/>
    <m/>
    <m/>
    <m/>
  </r>
  <r>
    <n v="681"/>
    <m/>
    <s v="W22001"/>
    <x v="278"/>
    <s v="E-US"/>
    <s v="美国"/>
    <s v="W1-100ML_TZ"/>
    <n v="256"/>
    <x v="3"/>
    <s v="盐田海卡"/>
    <s v="MIT2"/>
    <s v="W1-100ML_TZ"/>
    <s v="W1-100ML_TZ W酒店100mL香氛油（天竺） 销售包装"/>
    <s v="Oil-TZ"/>
    <n v="4"/>
    <n v="0.15866666666666665"/>
    <s v="CBM收费"/>
    <n v="1300"/>
    <m/>
    <n v="24"/>
    <n v="230.26666666666665"/>
    <n v="0.89947916666666661"/>
    <n v="0.13425062189054726"/>
    <m/>
    <m/>
    <m/>
    <x v="38"/>
    <x v="85"/>
    <m/>
    <m/>
    <m/>
    <m/>
    <n v="-46171"/>
    <m/>
    <m/>
    <m/>
    <m/>
    <m/>
    <m/>
    <m/>
  </r>
  <r>
    <n v="682"/>
    <m/>
    <s v="W22001"/>
    <x v="278"/>
    <s v="E-US"/>
    <s v="美国"/>
    <s v="HILTON1-100ML_TZ"/>
    <n v="1280"/>
    <x v="3"/>
    <s v="盐田海卡"/>
    <s v="MIT2"/>
    <s v="HILTON1-100ML_TZ"/>
    <s v="HILTON1-100ML_TZ 希尔顿酒店100mL香氛油（天竺） 销售包装"/>
    <s v="Oil-TZ"/>
    <n v="20"/>
    <n v="0.79333333333333322"/>
    <s v="CBM收费"/>
    <n v="1300"/>
    <m/>
    <n v="120"/>
    <n v="1151.3333333333333"/>
    <n v="0.89947916666666661"/>
    <n v="0.13425062189054726"/>
    <m/>
    <m/>
    <m/>
    <x v="38"/>
    <x v="85"/>
    <m/>
    <m/>
    <m/>
    <m/>
    <n v="-46171"/>
    <m/>
    <m/>
    <m/>
    <m/>
    <m/>
    <m/>
    <m/>
  </r>
  <r>
    <n v="683"/>
    <m/>
    <s v="W22001"/>
    <x v="278"/>
    <s v="E-US"/>
    <s v="美国"/>
    <s v="ATS1_100ML_TZ"/>
    <n v="128"/>
    <x v="3"/>
    <s v="盐田海卡"/>
    <s v="MIT2"/>
    <s v="ATS1_100ML_TZ"/>
    <s v="ATS1_100ML_TZ 亚特兰蒂斯酒店100mL香氛油（天竺） 销售包装"/>
    <s v="Oil-TZ"/>
    <n v="2"/>
    <n v="7.9333333333333325E-2"/>
    <s v="CBM收费"/>
    <n v="1300"/>
    <m/>
    <n v="12"/>
    <n v="115.13333333333333"/>
    <n v="0.89947916666666661"/>
    <n v="0.13425062189054726"/>
    <m/>
    <m/>
    <m/>
    <x v="38"/>
    <x v="85"/>
    <m/>
    <m/>
    <m/>
    <m/>
    <n v="-46171"/>
    <m/>
    <m/>
    <m/>
    <m/>
    <m/>
    <m/>
    <m/>
  </r>
  <r>
    <n v="684"/>
    <m/>
    <s v="W22002"/>
    <x v="279"/>
    <s v="K-US"/>
    <s v="美国"/>
    <s v="RZ1-500ML_TZ"/>
    <n v="100"/>
    <x v="3"/>
    <s v="盐田海卡"/>
    <s v="ABQ2"/>
    <s v="RZ1-500ML_TZ"/>
    <s v="RZ1-500ML_TZ 丽思卡尔顿酒店500mL香氛油（天竺） 销售包装"/>
    <s v="Oil-TZ"/>
    <n v="5"/>
    <n v="0.18857142857142856"/>
    <s v="CBM收费"/>
    <n v="1610"/>
    <n v="180"/>
    <n v="25.714285714285715"/>
    <n v="329.31428571428569"/>
    <n v="3.2931428571428567"/>
    <n v="0.4915138592750532"/>
    <m/>
    <m/>
    <m/>
    <x v="38"/>
    <x v="79"/>
    <m/>
    <m/>
    <m/>
    <m/>
    <n v="-46171"/>
    <m/>
    <m/>
    <m/>
    <m/>
    <m/>
    <m/>
    <m/>
  </r>
  <r>
    <n v="685"/>
    <m/>
    <s v="W22002"/>
    <x v="279"/>
    <s v="K-US"/>
    <s v="美国"/>
    <s v="RZ1-100ML_TZ"/>
    <n v="1920"/>
    <x v="3"/>
    <s v="盐田海卡"/>
    <s v="ABQ2"/>
    <s v="RZ1-100ML_TZ"/>
    <s v="RZ1-100ML_TZ 丽思卡尔顿酒店100mL香氛油（天竺） 销售包装"/>
    <s v="Oil-TZ"/>
    <n v="30"/>
    <n v="1.1314285714285715"/>
    <s v="CBM收费"/>
    <n v="1610"/>
    <n v="180"/>
    <n v="154.28571428571428"/>
    <n v="1975.8857142857144"/>
    <n v="1.029107142857143"/>
    <n v="0.15359808102345418"/>
    <m/>
    <m/>
    <m/>
    <x v="38"/>
    <x v="79"/>
    <m/>
    <m/>
    <m/>
    <m/>
    <n v="-46171"/>
    <m/>
    <m/>
    <m/>
    <m/>
    <m/>
    <m/>
    <m/>
  </r>
  <r>
    <n v="686"/>
    <m/>
    <s v="W22004"/>
    <x v="280"/>
    <s v="E-US"/>
    <s v="美国"/>
    <s v="003000007"/>
    <n v="468"/>
    <x v="0"/>
    <s v="盐田海卡"/>
    <s v="GEU3"/>
    <s v="AP2F-H14"/>
    <s v="AP2F-H14 空气净化器滤网2-H14"/>
    <s v="AP2F"/>
    <n v="13"/>
    <n v="296"/>
    <s v="重量收费"/>
    <n v="5"/>
    <n v="200"/>
    <n v="65"/>
    <n v="1545"/>
    <n v="3.3012820512820511"/>
    <n v="0.49272866437045537"/>
    <m/>
    <m/>
    <m/>
    <x v="38"/>
    <x v="85"/>
    <m/>
    <m/>
    <m/>
    <m/>
    <n v="-46171"/>
    <m/>
    <m/>
    <m/>
    <m/>
    <m/>
    <m/>
    <m/>
  </r>
  <r>
    <n v="687"/>
    <m/>
    <s v="W23011"/>
    <x v="281"/>
    <s v="E-US"/>
    <s v="美国"/>
    <s v="ANZ-B"/>
    <n v="400"/>
    <x v="2"/>
    <s v="盐田海卡"/>
    <s v="GEU2"/>
    <s v="ANZ-B"/>
    <s v="ANZ-B 便携式扩香仪 黑色"/>
    <s v="ANZ"/>
    <n v="10"/>
    <n v="133.39500000000001"/>
    <s v="重量收费"/>
    <n v="5.4"/>
    <n v="200"/>
    <n v="17.857142857142858"/>
    <n v="738.19014285714297"/>
    <n v="1.8454753571428575"/>
    <n v="0.27544408315565039"/>
    <m/>
    <m/>
    <m/>
    <x v="39"/>
    <x v="86"/>
    <m/>
    <m/>
    <m/>
    <m/>
    <n v="-46179"/>
    <m/>
    <m/>
    <m/>
    <m/>
    <m/>
    <m/>
    <m/>
  </r>
  <r>
    <n v="688"/>
    <m/>
    <s v="W23011"/>
    <x v="281"/>
    <s v="E-US"/>
    <s v="美国"/>
    <s v="ANZKIT-B_B"/>
    <n v="200"/>
    <x v="2"/>
    <s v="盐田海卡"/>
    <s v="GEU2"/>
    <s v="ANZKIT-B_B"/>
    <s v="ANZKIT-B_B 便携式扩香仪 黑色 两个装"/>
    <s v="ANZ"/>
    <n v="10"/>
    <n v="133.39500000000001"/>
    <s v="重量收费"/>
    <n v="5.4"/>
    <m/>
    <n v="17.857142857142858"/>
    <n v="738.19014285714297"/>
    <n v="3.690950714285715"/>
    <n v="0.55088816631130078"/>
    <m/>
    <m/>
    <m/>
    <x v="39"/>
    <x v="86"/>
    <m/>
    <m/>
    <m/>
    <m/>
    <n v="-46179"/>
    <m/>
    <m/>
    <m/>
    <m/>
    <m/>
    <m/>
    <m/>
  </r>
  <r>
    <n v="689"/>
    <m/>
    <s v="W23011"/>
    <x v="282"/>
    <s v="E-US"/>
    <s v="美国"/>
    <s v="AN6KIT-B_RZ30ml"/>
    <n v="1800"/>
    <x v="2"/>
    <s v="盐田海卡"/>
    <s v="GEU2"/>
    <s v="AN6KIT-B_RZ30ml"/>
    <s v="AN6KIT-B_RZ30ml AN6黑色机器+30mL丽思香氛油 机油套装"/>
    <s v="AN6"/>
    <n v="60"/>
    <n v="800.38"/>
    <s v="重量收费"/>
    <n v="5.4"/>
    <m/>
    <n v="107.14285714285714"/>
    <n v="4429.1948571428575"/>
    <n v="2.4606638095238096"/>
    <n v="0.36726325515280739"/>
    <m/>
    <m/>
    <m/>
    <x v="39"/>
    <x v="86"/>
    <m/>
    <m/>
    <m/>
    <m/>
    <n v="-46179"/>
    <m/>
    <m/>
    <m/>
    <m/>
    <m/>
    <m/>
    <m/>
  </r>
  <r>
    <n v="690"/>
    <m/>
    <s v="W23002"/>
    <x v="283"/>
    <s v="E-UK"/>
    <s v="英国"/>
    <s v="001000019"/>
    <n v="280"/>
    <x v="0"/>
    <s v="英国海卡"/>
    <s v="BHX4"/>
    <s v="AN6-B"/>
    <s v="AN6-B 便携式扩香仪 黑色"/>
    <s v="AN6"/>
    <n v="7"/>
    <n v="0.38888888888888884"/>
    <s v="CBM收费"/>
    <n v="850"/>
    <n v="550"/>
    <n v="128.33333333333334"/>
    <n v="458.8888888888888"/>
    <n v="1.6388888888888886"/>
    <n v="0.2446102819237147"/>
    <m/>
    <m/>
    <m/>
    <x v="40"/>
    <x v="87"/>
    <m/>
    <m/>
    <m/>
    <m/>
    <n v="-46177"/>
    <m/>
    <m/>
    <m/>
    <m/>
    <m/>
    <m/>
    <m/>
  </r>
  <r>
    <n v="691"/>
    <m/>
    <s v="W23002"/>
    <x v="283"/>
    <s v="E-UK"/>
    <s v="英国"/>
    <s v="001000039"/>
    <n v="160"/>
    <x v="0"/>
    <s v="英国海卡"/>
    <s v="BHX4"/>
    <s v="AN6-GL"/>
    <s v="AN6-GL 便携式扩香仪 翠百合色"/>
    <s v="AN6"/>
    <n v="4"/>
    <n v="0.22222222222222221"/>
    <s v="CBM收费"/>
    <n v="850"/>
    <n v="550"/>
    <n v="73.333333333333329"/>
    <n v="262.22222222222223"/>
    <n v="1.6388888888888888"/>
    <n v="0.24461028192371476"/>
    <m/>
    <m/>
    <m/>
    <x v="40"/>
    <x v="87"/>
    <m/>
    <m/>
    <m/>
    <m/>
    <n v="-46177"/>
    <m/>
    <m/>
    <m/>
    <m/>
    <m/>
    <m/>
    <m/>
  </r>
  <r>
    <n v="692"/>
    <m/>
    <s v="W23002"/>
    <x v="283"/>
    <s v="E-UK"/>
    <s v="英国"/>
    <s v="001000040"/>
    <n v="80"/>
    <x v="0"/>
    <s v="英国海卡"/>
    <s v="BHX4"/>
    <s v="AN6-LB"/>
    <s v="AN6-LB 便携式扩香仪 浅钢蓝色"/>
    <s v="AN6"/>
    <n v="2"/>
    <n v="0.1111111111111111"/>
    <s v="CBM收费"/>
    <n v="850"/>
    <m/>
    <n v="36.666666666666664"/>
    <n v="131.11111111111111"/>
    <n v="1.6388888888888888"/>
    <n v="0.24461028192371476"/>
    <m/>
    <m/>
    <m/>
    <x v="40"/>
    <x v="87"/>
    <m/>
    <m/>
    <m/>
    <m/>
    <n v="-46177"/>
    <m/>
    <m/>
    <m/>
    <m/>
    <m/>
    <m/>
    <m/>
  </r>
  <r>
    <n v="693"/>
    <m/>
    <s v="W23002"/>
    <x v="283"/>
    <s v="E-UK"/>
    <s v="英国"/>
    <s v="001000020"/>
    <n v="200"/>
    <x v="0"/>
    <s v="英国海卡"/>
    <s v="BHX4"/>
    <s v="AN6-W"/>
    <s v="AN6-W 便携式扩香仪 白色"/>
    <s v="AN6"/>
    <n v="5"/>
    <n v="0.27777777777777779"/>
    <s v="CBM收费"/>
    <n v="850"/>
    <m/>
    <n v="91.666666666666671"/>
    <n v="327.77777777777777"/>
    <n v="1.6388888888888888"/>
    <n v="0.24461028192371476"/>
    <m/>
    <m/>
    <m/>
    <x v="40"/>
    <x v="87"/>
    <m/>
    <m/>
    <m/>
    <m/>
    <n v="-46177"/>
    <m/>
    <m/>
    <m/>
    <m/>
    <m/>
    <m/>
    <m/>
  </r>
  <r>
    <n v="694"/>
    <m/>
    <s v="W23005"/>
    <x v="284"/>
    <s v="K-CA"/>
    <s v="加拿大"/>
    <s v="001000045"/>
    <n v="120"/>
    <x v="0"/>
    <s v="加拿大海卡"/>
    <s v="YYC4"/>
    <s v="ANX-B"/>
    <s v="ANX-B 便携式扩香仪 黑色"/>
    <s v="ANX"/>
    <n v="4"/>
    <n v="50"/>
    <s v="重量收费"/>
    <n v="6.8"/>
    <n v="250"/>
    <n v="66.666666666666671"/>
    <n v="406.66666666666669"/>
    <n v="3.3888888888888888"/>
    <n v="0.50580431177446106"/>
    <m/>
    <m/>
    <m/>
    <x v="39"/>
    <x v="88"/>
    <m/>
    <m/>
    <m/>
    <m/>
    <n v="-46179"/>
    <m/>
    <m/>
    <m/>
    <m/>
    <m/>
    <m/>
    <m/>
  </r>
  <r>
    <n v="695"/>
    <m/>
    <s v="W23005"/>
    <x v="284"/>
    <s v="K-CA"/>
    <s v="加拿大"/>
    <s v="001000052"/>
    <n v="90"/>
    <x v="0"/>
    <s v="加拿大海卡"/>
    <s v="YYC4"/>
    <s v="ANX-DT"/>
    <s v="ANX-DT 便携式扩香仪 沙漠钛色"/>
    <s v="ANX"/>
    <n v="3"/>
    <n v="37.5"/>
    <s v="重量收费"/>
    <n v="6.8"/>
    <n v="250"/>
    <n v="50"/>
    <n v="305"/>
    <n v="3.3888888888888888"/>
    <n v="0.50580431177446106"/>
    <m/>
    <m/>
    <m/>
    <x v="39"/>
    <x v="88"/>
    <m/>
    <m/>
    <m/>
    <m/>
    <n v="-46179"/>
    <m/>
    <m/>
    <m/>
    <m/>
    <m/>
    <m/>
    <m/>
  </r>
  <r>
    <n v="696"/>
    <m/>
    <s v="W23005"/>
    <x v="284"/>
    <s v="K-CA"/>
    <s v="加拿大"/>
    <s v="001000051"/>
    <n v="30"/>
    <x v="0"/>
    <s v="加拿大海卡"/>
    <s v="YYC4"/>
    <s v="ANX-SG"/>
    <s v="ANX-SG 便携式扩香仪 太空灰色"/>
    <s v="ANX"/>
    <n v="1"/>
    <n v="12.5"/>
    <s v="重量收费"/>
    <n v="6.8"/>
    <m/>
    <n v="16.666666666666668"/>
    <n v="101.66666666666667"/>
    <n v="3.3888888888888888"/>
    <n v="0.50580431177446106"/>
    <m/>
    <m/>
    <m/>
    <x v="39"/>
    <x v="88"/>
    <m/>
    <m/>
    <m/>
    <m/>
    <n v="-46179"/>
    <m/>
    <m/>
    <m/>
    <m/>
    <m/>
    <m/>
    <m/>
  </r>
  <r>
    <n v="697"/>
    <m/>
    <s v="W23012"/>
    <x v="285"/>
    <s v="K-US"/>
    <s v="美国"/>
    <s v="ADXKIT-B_4X10K04_TZ"/>
    <n v="390"/>
    <x v="0"/>
    <s v="盐田海卡"/>
    <s v="GEU2"/>
    <s v="ADXKIT-B_4X10K04_TZ"/>
    <s v="ADXKIT-B_4X10K04_TZ ADX黑色机器+4x10mL酒店（天竺）香氛油 机油套装"/>
    <s v="ADX"/>
    <n v="13"/>
    <n v="206.0233918128655"/>
    <s v="重量收费"/>
    <n v="5.4"/>
    <n v="200"/>
    <n v="15.2046783625731"/>
    <n v="1127.7309941520468"/>
    <n v="2.8916179337231971"/>
    <n v="0.43158476622734282"/>
    <m/>
    <m/>
    <m/>
    <x v="39"/>
    <x v="71"/>
    <m/>
    <m/>
    <m/>
    <m/>
    <n v="-46179"/>
    <m/>
    <m/>
    <m/>
    <m/>
    <m/>
    <m/>
    <m/>
  </r>
  <r>
    <n v="698"/>
    <m/>
    <s v="W23012"/>
    <x v="285"/>
    <s v="K-US"/>
    <s v="美国"/>
    <s v="ADXKIT-DT_4X10K04_TZ"/>
    <n v="150"/>
    <x v="0"/>
    <s v="盐田海卡"/>
    <s v="GEU2"/>
    <s v="ADXKIT-DT_4X10K04_TZ"/>
    <s v="ADXKIT-DT_4X10K04_TZ AD钛色机器+4x10mL酒店（天竺）香氛油 机油套装"/>
    <s v="ADX"/>
    <n v="5"/>
    <n v="79.239766081871338"/>
    <s v="重量收费"/>
    <n v="5.4"/>
    <n v="200"/>
    <n v="5.8479532163742691"/>
    <n v="433.74269005847952"/>
    <n v="2.8916179337231966"/>
    <n v="0.43158476622734276"/>
    <m/>
    <m/>
    <m/>
    <x v="39"/>
    <x v="71"/>
    <m/>
    <m/>
    <m/>
    <m/>
    <n v="-46179"/>
    <m/>
    <m/>
    <m/>
    <m/>
    <m/>
    <m/>
    <m/>
  </r>
  <r>
    <n v="699"/>
    <m/>
    <s v="W23012"/>
    <x v="285"/>
    <s v="K-US"/>
    <s v="美国"/>
    <s v="AN6KIT-B_2X20K01"/>
    <n v="1200"/>
    <x v="0"/>
    <s v="盐田海卡"/>
    <s v="GEU2"/>
    <s v="AN6KIT-B_2X20K01"/>
    <s v="AN6KIT-B_2X20K01 AN6黑色机器+2X20mL酒店香氛油 机油套装"/>
    <s v="AN6"/>
    <n v="40"/>
    <n v="633.9181286549707"/>
    <s v="重量收费"/>
    <n v="5.4"/>
    <m/>
    <n v="46.783625730994153"/>
    <n v="3469.9415204678362"/>
    <n v="2.8916179337231966"/>
    <n v="0.43158476622734276"/>
    <m/>
    <m/>
    <m/>
    <x v="39"/>
    <x v="71"/>
    <m/>
    <m/>
    <m/>
    <m/>
    <n v="-46179"/>
    <m/>
    <m/>
    <m/>
    <m/>
    <m/>
    <m/>
    <m/>
  </r>
  <r>
    <n v="700"/>
    <m/>
    <s v="W23012"/>
    <x v="285"/>
    <s v="K-US"/>
    <s v="美国"/>
    <s v="AN8KIT-B_2X20K03"/>
    <n v="600"/>
    <x v="0"/>
    <s v="盐田海卡"/>
    <s v="GEU2"/>
    <s v="AN8KIT-B_2X20K03"/>
    <s v="AN8KIT-B_2X20K03 AN8黑色机器+2X20mL（天竺）酒店香氛油 机油套装"/>
    <s v="AN8"/>
    <n v="20"/>
    <n v="316.95906432748535"/>
    <s v="重量收费"/>
    <n v="5.4"/>
    <m/>
    <n v="23.391812865497077"/>
    <n v="1734.9707602339181"/>
    <n v="2.8916179337231966"/>
    <n v="0.43158476622734276"/>
    <m/>
    <m/>
    <m/>
    <x v="39"/>
    <x v="71"/>
    <m/>
    <m/>
    <m/>
    <m/>
    <n v="-46179"/>
    <m/>
    <m/>
    <m/>
    <m/>
    <m/>
    <m/>
    <m/>
  </r>
  <r>
    <n v="701"/>
    <m/>
    <s v="W23012"/>
    <x v="285"/>
    <s v="K-US"/>
    <s v="美国"/>
    <s v="AN8KIT-B_4X10K05_TZ"/>
    <n v="2100"/>
    <x v="0"/>
    <s v="盐田海卡"/>
    <s v="GEU2"/>
    <s v="AN8KIT-B_4X10K05_TZ"/>
    <s v="AN8KIT-B_4X10K05_TZ AN8黑色机器+4x10mL（天竺）酒店香氛油 机油套装"/>
    <s v="AN8"/>
    <n v="70"/>
    <n v="1109.3567251461989"/>
    <s v="重量收费"/>
    <n v="5.4"/>
    <m/>
    <n v="81.871345029239762"/>
    <n v="6072.397660818714"/>
    <n v="2.8916179337231971"/>
    <n v="0.43158476622734282"/>
    <m/>
    <m/>
    <m/>
    <x v="39"/>
    <x v="71"/>
    <m/>
    <m/>
    <m/>
    <m/>
    <n v="-46179"/>
    <m/>
    <m/>
    <m/>
    <m/>
    <m/>
    <m/>
    <m/>
  </r>
  <r>
    <n v="702"/>
    <m/>
    <s v="W23012"/>
    <x v="285"/>
    <s v="K-US"/>
    <s v="美国"/>
    <s v="AN8KIT-WH_4X10K05_TZ"/>
    <n v="690"/>
    <x v="0"/>
    <s v="盐田海卡"/>
    <s v="GEU2"/>
    <s v="AN8KIT-WH_4X10K05_TZ"/>
    <s v="AN8KIT-WH_4X10K05_TZ AN8白色机器+4x10mL（天竺）酒店香氛油 机油套装"/>
    <s v="AN8"/>
    <n v="23"/>
    <n v="364.50292397660814"/>
    <s v="重量收费"/>
    <n v="5.4"/>
    <m/>
    <n v="26.900584795321638"/>
    <n v="1995.2163742690059"/>
    <n v="2.8916179337231971"/>
    <n v="0.43158476622734282"/>
    <m/>
    <m/>
    <m/>
    <x v="39"/>
    <x v="71"/>
    <m/>
    <m/>
    <m/>
    <m/>
    <n v="-46179"/>
    <m/>
    <m/>
    <m/>
    <m/>
    <m/>
    <m/>
    <m/>
  </r>
  <r>
    <n v="703"/>
    <m/>
    <s v="W23011"/>
    <x v="286"/>
    <s v="V-US"/>
    <s v="美国"/>
    <s v="001000019"/>
    <n v="600"/>
    <x v="2"/>
    <s v="盐田海卡"/>
    <s v="GEU2"/>
    <s v="AN6-B"/>
    <s v="AN6-B 便携式扩香仪 黑色"/>
    <s v="AN6"/>
    <n v="15"/>
    <n v="200.09423076923076"/>
    <s v="重量收费"/>
    <n v="5.4"/>
    <n v="200"/>
    <n v="26.785714285714285"/>
    <n v="1107.2945604395604"/>
    <n v="1.845490934065934"/>
    <n v="0.2754464080695424"/>
    <m/>
    <m/>
    <m/>
    <x v="39"/>
    <x v="86"/>
    <m/>
    <m/>
    <m/>
    <m/>
    <n v="-46179"/>
    <m/>
    <m/>
    <m/>
    <m/>
    <m/>
    <m/>
    <m/>
  </r>
  <r>
    <n v="704"/>
    <m/>
    <s v="W23011"/>
    <x v="286"/>
    <s v="V-US"/>
    <s v="美国"/>
    <s v="001000020"/>
    <n v="400"/>
    <x v="2"/>
    <s v="盐田海卡"/>
    <s v="GEU2"/>
    <s v="AN6-W"/>
    <s v="AN6-W 便携式扩香仪 白色"/>
    <s v="AN6"/>
    <n v="10"/>
    <n v="133.39615384615382"/>
    <s v="重量收费"/>
    <n v="5.4"/>
    <n v="200"/>
    <n v="17.857142857142858"/>
    <n v="738.19637362637354"/>
    <n v="1.8454909340659338"/>
    <n v="0.27544640806954235"/>
    <m/>
    <m/>
    <m/>
    <x v="39"/>
    <x v="86"/>
    <m/>
    <m/>
    <m/>
    <m/>
    <n v="-46179"/>
    <m/>
    <m/>
    <m/>
    <m/>
    <m/>
    <m/>
    <m/>
  </r>
  <r>
    <n v="705"/>
    <m/>
    <s v="W23011"/>
    <x v="286"/>
    <s v="V-US"/>
    <s v="美国"/>
    <s v="001000021"/>
    <n v="100"/>
    <x v="2"/>
    <s v="盐田海卡"/>
    <s v="GEU2"/>
    <s v="AN6NZ-B"/>
    <s v="AN6NZ-B AN6喷嘴配件套装 黑色"/>
    <s v="AN6-AC"/>
    <n v="0.5"/>
    <n v="6.6698076923076917"/>
    <s v="重量收费"/>
    <n v="5.4"/>
    <m/>
    <n v="0.8928571428571429"/>
    <n v="36.909818681318683"/>
    <n v="0.36909818681318685"/>
    <n v="5.5089281613908483E-2"/>
    <m/>
    <m/>
    <m/>
    <x v="39"/>
    <x v="86"/>
    <m/>
    <m/>
    <m/>
    <m/>
    <n v="-46179"/>
    <m/>
    <m/>
    <m/>
    <m/>
    <m/>
    <m/>
    <m/>
  </r>
  <r>
    <n v="706"/>
    <m/>
    <s v="W23011"/>
    <x v="286"/>
    <s v="V-US"/>
    <s v="美国"/>
    <s v="001000022"/>
    <n v="100"/>
    <x v="2"/>
    <s v="盐田海卡"/>
    <s v="GEU2"/>
    <s v="AN6NZ-W"/>
    <s v="AN6NZ-W AN6喷嘴配件套装 白色"/>
    <s v="AN6-AC"/>
    <n v="0.5"/>
    <n v="6.6698076923076917"/>
    <s v="重量收费"/>
    <n v="5.4"/>
    <m/>
    <n v="0.8928571428571429"/>
    <n v="36.909818681318683"/>
    <n v="0.36909818681318685"/>
    <n v="5.5089281613908483E-2"/>
    <m/>
    <m/>
    <m/>
    <x v="39"/>
    <x v="86"/>
    <m/>
    <m/>
    <m/>
    <m/>
    <n v="-46179"/>
    <m/>
    <m/>
    <m/>
    <m/>
    <m/>
    <m/>
    <m/>
  </r>
  <r>
    <n v="707"/>
    <m/>
    <s v="W23004"/>
    <x v="287"/>
    <s v="W-DE"/>
    <s v="德国"/>
    <s v="001000019"/>
    <n v="280"/>
    <x v="0"/>
    <s v="欧洲海卡"/>
    <s v="HAJ1"/>
    <s v="AN6-B"/>
    <s v="AN6-B 便携式扩香仪 黑色"/>
    <s v="AN6"/>
    <n v="7"/>
    <n v="103.16"/>
    <s v="重量收费"/>
    <n v="7.7"/>
    <n v="250"/>
    <n v="92.10526315789474"/>
    <n v="886.43726315789468"/>
    <n v="3.1658473684210526"/>
    <n v="0.47251453260015708"/>
    <m/>
    <m/>
    <m/>
    <x v="40"/>
    <x v="89"/>
    <m/>
    <m/>
    <m/>
    <m/>
    <n v="-46177"/>
    <m/>
    <m/>
    <m/>
    <m/>
    <m/>
    <m/>
    <m/>
  </r>
  <r>
    <n v="708"/>
    <m/>
    <s v="W23004"/>
    <x v="287"/>
    <s v="W-DE"/>
    <s v="德国"/>
    <s v="001000040"/>
    <n v="40"/>
    <x v="0"/>
    <s v="欧洲海卡"/>
    <s v="HAJ1"/>
    <s v="AN6-LB"/>
    <s v="AN6-LB 便携式扩香仪 浅钢蓝色"/>
    <s v="AN6"/>
    <n v="1"/>
    <n v="14.737142857142857"/>
    <s v="重量收费"/>
    <n v="7.7"/>
    <n v="250"/>
    <n v="13.157894736842104"/>
    <n v="126.63389473684211"/>
    <n v="3.1658473684210526"/>
    <n v="0.47251453260015708"/>
    <m/>
    <m/>
    <m/>
    <x v="40"/>
    <x v="89"/>
    <m/>
    <m/>
    <m/>
    <m/>
    <n v="-46177"/>
    <m/>
    <m/>
    <m/>
    <m/>
    <m/>
    <m/>
    <m/>
  </r>
  <r>
    <n v="709"/>
    <m/>
    <s v="W23004"/>
    <x v="287"/>
    <s v="W-DE"/>
    <s v="德国"/>
    <s v="001000020"/>
    <n v="240"/>
    <x v="0"/>
    <s v="欧洲海卡"/>
    <s v="HAJ1"/>
    <s v="AN6-W"/>
    <s v="AN6-W 便携式扩香仪 白色"/>
    <s v="AN6"/>
    <n v="6"/>
    <n v="88.42285714285714"/>
    <s v="重量收费"/>
    <n v="7.7"/>
    <m/>
    <n v="78.94736842105263"/>
    <n v="759.8033684210526"/>
    <n v="3.1658473684210526"/>
    <n v="0.47251453260015708"/>
    <m/>
    <m/>
    <m/>
    <x v="40"/>
    <x v="89"/>
    <m/>
    <m/>
    <m/>
    <m/>
    <n v="-46177"/>
    <m/>
    <m/>
    <m/>
    <m/>
    <m/>
    <m/>
    <m/>
  </r>
  <r>
    <n v="710"/>
    <m/>
    <s v="W23001"/>
    <x v="288"/>
    <s v="E-AU"/>
    <s v="澳洲"/>
    <s v="AND-B"/>
    <n v="150"/>
    <x v="10"/>
    <s v="澳洲海卡"/>
    <s v="XSY2"/>
    <s v="AND-B"/>
    <s v="AND-B 便携式双喷扩香仪 黑色"/>
    <s v="AND"/>
    <n v="5"/>
    <n v="75.9375"/>
    <s v="重量收费"/>
    <n v="8"/>
    <n v="350"/>
    <n v="109.375"/>
    <n v="716.875"/>
    <n v="4.7791666666666668"/>
    <n v="0.7133084577114428"/>
    <m/>
    <m/>
    <m/>
    <x v="41"/>
    <x v="90"/>
    <m/>
    <m/>
    <m/>
    <m/>
    <n v="-46178"/>
    <m/>
    <m/>
    <m/>
    <m/>
    <m/>
    <m/>
    <m/>
  </r>
  <r>
    <n v="711"/>
    <m/>
    <s v="W23001"/>
    <x v="288"/>
    <s v="E-AU"/>
    <s v="澳洲"/>
    <s v="AND-DT"/>
    <n v="90"/>
    <x v="10"/>
    <s v="澳洲海卡"/>
    <s v="XSY2"/>
    <s v="AND-DT"/>
    <s v="AND-DT 便携式双喷扩香仪 沙漠钛色"/>
    <s v="AND"/>
    <n v="3"/>
    <n v="45.5625"/>
    <s v="重量收费"/>
    <n v="8"/>
    <n v="350"/>
    <n v="65.625"/>
    <n v="430.125"/>
    <n v="4.7791666666666668"/>
    <n v="0.7133084577114428"/>
    <m/>
    <m/>
    <m/>
    <x v="41"/>
    <x v="90"/>
    <m/>
    <m/>
    <m/>
    <m/>
    <n v="-46178"/>
    <m/>
    <m/>
    <m/>
    <m/>
    <m/>
    <m/>
    <m/>
  </r>
  <r>
    <n v="712"/>
    <m/>
    <s v="W23001"/>
    <x v="288"/>
    <s v="E-AU"/>
    <s v="澳洲"/>
    <s v="RD1-B"/>
    <n v="120"/>
    <x v="10"/>
    <s v="澳洲海卡"/>
    <s v="XSY2"/>
    <s v="RD1-B"/>
    <s v="RD1-B 便携式扩香仪 黑色"/>
    <s v="RD1"/>
    <n v="4"/>
    <n v="60.75"/>
    <s v="重量收费"/>
    <n v="8"/>
    <m/>
    <n v="87.5"/>
    <n v="573.5"/>
    <n v="4.7791666666666668"/>
    <n v="0.7133084577114428"/>
    <m/>
    <m/>
    <m/>
    <x v="41"/>
    <x v="90"/>
    <m/>
    <m/>
    <m/>
    <m/>
    <n v="-46178"/>
    <m/>
    <m/>
    <m/>
    <m/>
    <m/>
    <m/>
    <m/>
  </r>
  <r>
    <n v="713"/>
    <m/>
    <s v="W23001"/>
    <x v="288"/>
    <s v="E-AU"/>
    <s v="澳洲"/>
    <s v="RD1-DT"/>
    <n v="90"/>
    <x v="10"/>
    <s v="澳洲海卡"/>
    <s v="XSY2"/>
    <s v="RD1-DT"/>
    <s v="RD1-DT 便携式扩香仪 沙漠钛色"/>
    <s v="RD1"/>
    <n v="3"/>
    <n v="45.5625"/>
    <s v="重量收费"/>
    <n v="8"/>
    <m/>
    <n v="65.625"/>
    <n v="430.125"/>
    <n v="4.7791666666666668"/>
    <n v="0.7133084577114428"/>
    <m/>
    <m/>
    <m/>
    <x v="41"/>
    <x v="90"/>
    <m/>
    <m/>
    <m/>
    <m/>
    <n v="-46178"/>
    <m/>
    <m/>
    <m/>
    <m/>
    <m/>
    <m/>
    <m/>
  </r>
  <r>
    <n v="714"/>
    <m/>
    <s v="W23001"/>
    <x v="288"/>
    <s v="E-AU"/>
    <s v="澳洲"/>
    <s v="RD1-B"/>
    <n v="27"/>
    <x v="10"/>
    <s v="澳洲海卡"/>
    <s v="XSY2"/>
    <s v="RD1-B"/>
    <s v="RD1-B 便携式扩香仪 黑色"/>
    <s v="RD1"/>
    <n v="0.5"/>
    <n v="7.59375"/>
    <s v="重量收费"/>
    <n v="8"/>
    <m/>
    <n v="10.9375"/>
    <n v="71.6875"/>
    <n v="2.6550925925925926"/>
    <n v="0.39628247650635706"/>
    <m/>
    <m/>
    <m/>
    <x v="41"/>
    <x v="90"/>
    <m/>
    <m/>
    <m/>
    <m/>
    <n v="-46178"/>
    <m/>
    <m/>
    <m/>
    <m/>
    <m/>
    <m/>
    <m/>
  </r>
  <r>
    <n v="715"/>
    <m/>
    <s v="W23001"/>
    <x v="288"/>
    <s v="E-AU"/>
    <s v="澳洲"/>
    <s v="001000021"/>
    <n v="15"/>
    <x v="10"/>
    <s v="澳洲海卡"/>
    <s v="XSY2"/>
    <s v="AN6NZ-B"/>
    <s v="AN6NZ-B AN6喷嘴配件套装 黑色"/>
    <s v="AN6-AC"/>
    <n v="0.5"/>
    <n v="7.59375"/>
    <s v="重量收费"/>
    <n v="8"/>
    <m/>
    <n v="10.9375"/>
    <n v="71.6875"/>
    <n v="4.7791666666666668"/>
    <n v="0.7133084577114428"/>
    <m/>
    <m/>
    <m/>
    <x v="41"/>
    <x v="90"/>
    <m/>
    <m/>
    <m/>
    <m/>
    <n v="-46178"/>
    <m/>
    <m/>
    <m/>
    <m/>
    <m/>
    <m/>
    <m/>
  </r>
  <r>
    <n v="716"/>
    <m/>
    <s v="W23011"/>
    <x v="289"/>
    <s v="W-US"/>
    <s v="美国"/>
    <s v="002000030"/>
    <n v="96"/>
    <x v="2"/>
    <s v="盐田海卡"/>
    <s v="TCY1"/>
    <s v="MD1-T"/>
    <s v="MD1-T 电子球形把手锁 指纹 钛灰色"/>
    <s v="MD1"/>
    <n v="6"/>
    <n v="90"/>
    <s v="重量收费"/>
    <n v="5.4"/>
    <m/>
    <n v="10.714285714285714"/>
    <n v="496.71428571428578"/>
    <n v="5.1741071428571432"/>
    <n v="0.7722547974413646"/>
    <m/>
    <m/>
    <m/>
    <x v="41"/>
    <x v="86"/>
    <m/>
    <m/>
    <m/>
    <m/>
    <n v="-46178"/>
    <m/>
    <m/>
    <m/>
    <m/>
    <m/>
    <m/>
    <m/>
  </r>
  <r>
    <n v="717"/>
    <m/>
    <s v="W23006"/>
    <x v="290"/>
    <s v="K-US"/>
    <s v="美国"/>
    <s v="GK1-SILV"/>
    <n v="240"/>
    <x v="2"/>
    <s v="盐田海卡"/>
    <s v="HLI2"/>
    <s v="GK1-SILV"/>
    <s v="GK1-SILV 智能球形把手锁 银色"/>
    <s v="GK1"/>
    <n v="15"/>
    <n v="202"/>
    <s v="重量收费"/>
    <n v="4.5"/>
    <n v="200"/>
    <n v="71.428571428571431"/>
    <n v="980.42857142857144"/>
    <n v="4.085119047619048"/>
    <n v="0.6097192608386639"/>
    <m/>
    <m/>
    <m/>
    <x v="41"/>
    <x v="91"/>
    <m/>
    <m/>
    <m/>
    <m/>
    <n v="-46178"/>
    <m/>
    <m/>
    <m/>
    <m/>
    <m/>
    <m/>
    <m/>
  </r>
  <r>
    <n v="718"/>
    <m/>
    <s v="W23004"/>
    <x v="291"/>
    <s v="W-DE"/>
    <s v="德国"/>
    <s v="ANP-W_EU"/>
    <n v="32"/>
    <x v="0"/>
    <s v="欧洲海卡"/>
    <s v="HAJ1"/>
    <s v="ANP-W_EU"/>
    <s v="ANP-W_EU 欧规墙插式智能扩香仪 白色"/>
    <s v="ANP"/>
    <n v="1"/>
    <n v="14.736000000000001"/>
    <s v="重量收费"/>
    <n v="7.7"/>
    <n v="250"/>
    <n v="13.157894736842104"/>
    <n v="126.62509473684212"/>
    <n v="3.9570342105263161"/>
    <n v="0.59060212097407705"/>
    <m/>
    <m/>
    <m/>
    <x v="40"/>
    <x v="89"/>
    <m/>
    <m/>
    <m/>
    <m/>
    <n v="-46177"/>
    <m/>
    <m/>
    <m/>
    <m/>
    <m/>
    <m/>
    <m/>
  </r>
  <r>
    <n v="719"/>
    <m/>
    <s v="W23004"/>
    <x v="291"/>
    <s v="W-DE"/>
    <s v="德国"/>
    <s v="ANPKIT-W_EU_3X20K01_TZ"/>
    <n v="128"/>
    <x v="0"/>
    <s v="欧洲海卡"/>
    <s v="HAJ1"/>
    <s v="ANPKIT-W_EU_3X20K01_TZ"/>
    <s v="ANPKIT-W_EU_3X20K01_TZ ANP欧规白色机器+3X20mL酒店香氛油（天竺） 机油套装"/>
    <s v="ANP"/>
    <n v="4"/>
    <n v="58.944000000000003"/>
    <s v="重量收费"/>
    <n v="7.7"/>
    <n v="250"/>
    <n v="52.631578947368418"/>
    <n v="506.50037894736846"/>
    <n v="3.9570342105263161"/>
    <n v="0.59060212097407705"/>
    <m/>
    <m/>
    <m/>
    <x v="40"/>
    <x v="89"/>
    <m/>
    <m/>
    <m/>
    <m/>
    <n v="-46177"/>
    <m/>
    <m/>
    <m/>
    <m/>
    <m/>
    <m/>
    <m/>
  </r>
  <r>
    <n v="720"/>
    <m/>
    <s v="W23002"/>
    <x v="292"/>
    <s v="E-UK"/>
    <s v="英国"/>
    <s v="ANA-WH_UK"/>
    <n v="144"/>
    <x v="0"/>
    <s v="英国海卡"/>
    <s v="LBA8"/>
    <s v="ANA-WH_UK"/>
    <s v="ANA-WH_UK 智能扩香仪 英规 白色"/>
    <s v="ANA"/>
    <n v="12"/>
    <n v="1"/>
    <s v="CBM收费"/>
    <n v="790"/>
    <m/>
    <n v="220"/>
    <n v="1010"/>
    <n v="7.0138888888888893"/>
    <n v="1.0468490878938641"/>
    <m/>
    <m/>
    <m/>
    <x v="40"/>
    <x v="87"/>
    <m/>
    <m/>
    <m/>
    <m/>
    <n v="-46177"/>
    <m/>
    <m/>
    <m/>
    <m/>
    <m/>
    <m/>
    <m/>
  </r>
  <r>
    <n v="721"/>
    <m/>
    <s v="W23008"/>
    <x v="293"/>
    <s v="W-US"/>
    <s v="美国"/>
    <s v="ANA-B_US"/>
    <n v="324"/>
    <x v="7"/>
    <s v="盐田海卡"/>
    <s v="TCY2"/>
    <s v="ANA-B_US"/>
    <s v="ANA-B_US 智能扩香仪 黑色"/>
    <s v="ANA"/>
    <n v="27"/>
    <n v="396"/>
    <s v="重量收费"/>
    <n v="5.3"/>
    <n v="200"/>
    <n v="100"/>
    <n v="2198.7999999999997"/>
    <n v="6.7864197530864185"/>
    <n v="1.0128984706099131"/>
    <m/>
    <m/>
    <m/>
    <x v="41"/>
    <x v="92"/>
    <m/>
    <m/>
    <m/>
    <m/>
    <n v="-46178"/>
    <m/>
    <m/>
    <m/>
    <m/>
    <m/>
    <m/>
    <m/>
  </r>
  <r>
    <n v="722"/>
    <m/>
    <s v="W23008"/>
    <x v="293"/>
    <s v="W-US"/>
    <s v="美国"/>
    <s v="ANA-W_US"/>
    <n v="324"/>
    <x v="7"/>
    <s v="盐田海卡"/>
    <s v="TCY2"/>
    <s v="ANA-W_US"/>
    <s v="ANA-W_US 智能扩香仪 白色"/>
    <s v="ANA"/>
    <n v="27"/>
    <n v="396"/>
    <s v="重量收费"/>
    <n v="5.3"/>
    <n v="200"/>
    <n v="100"/>
    <n v="2198.7999999999997"/>
    <n v="6.7864197530864185"/>
    <n v="1.0128984706099131"/>
    <m/>
    <m/>
    <m/>
    <x v="41"/>
    <x v="92"/>
    <m/>
    <m/>
    <m/>
    <m/>
    <n v="-46178"/>
    <m/>
    <m/>
    <m/>
    <m/>
    <m/>
    <m/>
    <m/>
  </r>
  <r>
    <n v="723"/>
    <m/>
    <s v="W23007"/>
    <x v="294"/>
    <s v="W-US"/>
    <s v="美国"/>
    <s v="ANAKIT-B_US_2X100K03"/>
    <n v="120"/>
    <x v="0"/>
    <s v="盐田海卡"/>
    <s v="TCY2"/>
    <s v="ANAKIT-B_US_2X100K03"/>
    <s v="ANAKIT-B_US_2X100K03 ANA黑色机器+2X100mL酒店香氛油（天竺） 机油套装"/>
    <s v="ANA"/>
    <n v="10"/>
    <n v="175"/>
    <s v="重量收费"/>
    <n v="5.8"/>
    <n v="200"/>
    <n v="29.850746268656717"/>
    <n v="1044.8507462686566"/>
    <n v="8.7070895522388057"/>
    <n v="1.2995656048117621"/>
    <m/>
    <m/>
    <m/>
    <x v="40"/>
    <x v="78"/>
    <m/>
    <m/>
    <m/>
    <m/>
    <n v="-46177"/>
    <m/>
    <m/>
    <m/>
    <m/>
    <m/>
    <m/>
    <m/>
  </r>
  <r>
    <n v="724"/>
    <m/>
    <s v="W23007"/>
    <x v="294"/>
    <s v="W-US"/>
    <s v="美国"/>
    <s v="ANAKIT-WH_US_2X100K03"/>
    <n v="120"/>
    <x v="0"/>
    <s v="盐田海卡"/>
    <s v="TCY2"/>
    <s v="ANAKIT-WH_US_2X100K03"/>
    <s v="ANAKIT-WH_US_2X100K03 ANA白色机器+2X100mL酒店香氛油（天竺） 机油套装"/>
    <s v="ANA"/>
    <n v="10"/>
    <n v="175"/>
    <s v="重量收费"/>
    <n v="5.8"/>
    <n v="200"/>
    <n v="29.850746268656717"/>
    <n v="1044.8507462686566"/>
    <n v="8.7070895522388057"/>
    <n v="1.2995656048117621"/>
    <m/>
    <m/>
    <m/>
    <x v="40"/>
    <x v="78"/>
    <m/>
    <m/>
    <m/>
    <m/>
    <n v="-46177"/>
    <m/>
    <m/>
    <m/>
    <m/>
    <m/>
    <m/>
    <m/>
  </r>
  <r>
    <n v="725"/>
    <m/>
    <s v="W23005"/>
    <x v="295"/>
    <s v="K-CA"/>
    <s v="加拿大"/>
    <s v="001000033"/>
    <n v="84"/>
    <x v="0"/>
    <s v="加拿大海卡"/>
    <s v="YYC4"/>
    <s v="ANW-W"/>
    <s v="ANW-W 智能扩香仪 白色"/>
    <s v="ANW"/>
    <n v="7"/>
    <n v="102"/>
    <s v="重量收费"/>
    <n v="7.3"/>
    <n v="250"/>
    <n v="116.66666666666667"/>
    <n v="861.26666666666665"/>
    <n v="10.253174603174603"/>
    <n v="1.5303245676380004"/>
    <m/>
    <m/>
    <m/>
    <x v="40"/>
    <x v="88"/>
    <m/>
    <m/>
    <m/>
    <m/>
    <n v="-46177"/>
    <m/>
    <m/>
    <m/>
    <m/>
    <m/>
    <m/>
    <m/>
  </r>
  <r>
    <n v="726"/>
    <m/>
    <s v="W23007"/>
    <x v="296"/>
    <s v="V-US"/>
    <s v="美国"/>
    <s v="ANWKIT-B_US_2X100K03"/>
    <n v="204"/>
    <x v="0"/>
    <s v="盐田海卡"/>
    <s v="TCY1"/>
    <s v="ANWKIT-B_US_2X100K03"/>
    <s v="ANWKIT-B_US_2X100K03 ANW黑色机器+2X100mL酒店香氛油（天竺） 机油套装"/>
    <s v="ANW"/>
    <n v="17"/>
    <n v="295.87234042553195"/>
    <s v="重量收费"/>
    <n v="5.4"/>
    <n v="200"/>
    <n v="50.746268656716417"/>
    <n v="1648.4569069545892"/>
    <n v="8.080671112522495"/>
    <n v="1.2060703153018648"/>
    <m/>
    <m/>
    <m/>
    <x v="40"/>
    <x v="78"/>
    <m/>
    <m/>
    <m/>
    <m/>
    <n v="-46177"/>
    <m/>
    <m/>
    <m/>
    <m/>
    <m/>
    <m/>
    <m/>
  </r>
  <r>
    <n v="727"/>
    <m/>
    <s v="W23007"/>
    <x v="296"/>
    <s v="V-US"/>
    <s v="美国"/>
    <s v="ANWKIT-WH_US_2X100K03"/>
    <n v="360"/>
    <x v="0"/>
    <s v="盐田海卡"/>
    <s v="TCY1"/>
    <s v="ANWKIT-WH_US_2X100K03"/>
    <s v="ANWKIT-WH_US_2X100K03 ANW白色机器+2X100mL酒店香氛油（天竺） 机油套装"/>
    <s v="ANW"/>
    <n v="30"/>
    <n v="522.12765957446811"/>
    <s v="重量收费"/>
    <n v="5.4"/>
    <n v="200"/>
    <n v="89.552238805970148"/>
    <n v="2909.0416005080983"/>
    <n v="8.080671112522495"/>
    <n v="1.2060703153018648"/>
    <m/>
    <m/>
    <m/>
    <x v="40"/>
    <x v="78"/>
    <m/>
    <m/>
    <m/>
    <m/>
    <n v="-46177"/>
    <m/>
    <m/>
    <m/>
    <m/>
    <m/>
    <m/>
    <m/>
  </r>
  <r>
    <n v="728"/>
    <m/>
    <s v="W23009"/>
    <x v="297"/>
    <s v="V-US"/>
    <s v="美国"/>
    <s v="001000032"/>
    <n v="120"/>
    <x v="7"/>
    <s v="盐田海卡"/>
    <s v="GEU3"/>
    <s v="ANW-B"/>
    <s v="ANW-B 智能扩香仪 黑色"/>
    <s v="ANW"/>
    <n v="10"/>
    <n v="143.66666666666669"/>
    <s v="重量收费"/>
    <n v="5.5"/>
    <n v="200"/>
    <n v="33.333333333333336"/>
    <n v="823.50000000000011"/>
    <n v="6.8625000000000007"/>
    <n v="1.0242537313432836"/>
    <m/>
    <m/>
    <m/>
    <x v="41"/>
    <x v="82"/>
    <m/>
    <m/>
    <m/>
    <m/>
    <n v="-46178"/>
    <m/>
    <m/>
    <m/>
    <m/>
    <m/>
    <m/>
    <m/>
  </r>
  <r>
    <n v="729"/>
    <m/>
    <s v="W23009"/>
    <x v="297"/>
    <s v="V-US"/>
    <s v="美国"/>
    <s v="001000033"/>
    <n v="600"/>
    <x v="7"/>
    <s v="盐田海卡"/>
    <s v="GEU3"/>
    <s v="ANW-W"/>
    <s v="ANW-W 智能扩香仪 白色"/>
    <s v="ANW"/>
    <n v="50"/>
    <n v="718.33333333333337"/>
    <s v="重量收费"/>
    <n v="5.5"/>
    <n v="200"/>
    <n v="166.66666666666666"/>
    <n v="4117.5"/>
    <n v="6.8624999999999998"/>
    <n v="1.0242537313432836"/>
    <m/>
    <m/>
    <m/>
    <x v="41"/>
    <x v="82"/>
    <m/>
    <m/>
    <m/>
    <m/>
    <n v="-46178"/>
    <m/>
    <m/>
    <m/>
    <m/>
    <m/>
    <m/>
    <m/>
  </r>
  <r>
    <n v="730"/>
    <m/>
    <s v="W23006"/>
    <x v="298"/>
    <s v="K-US"/>
    <s v="美国"/>
    <s v="ANP-B_US"/>
    <n v="128"/>
    <x v="2"/>
    <s v="盐田海卡"/>
    <s v="HLI2"/>
    <s v="ANP-B_US"/>
    <s v="ANP-B_US 墙插式智能扩香仪 黑色"/>
    <s v="ANP"/>
    <n v="4"/>
    <n v="61.629090909090905"/>
    <s v="重量收费"/>
    <n v="5.8"/>
    <n v="200"/>
    <n v="19.047619047619047"/>
    <n v="376.49634632034628"/>
    <n v="2.9413777056277053"/>
    <n v="0.43901159785488136"/>
    <m/>
    <m/>
    <m/>
    <x v="41"/>
    <x v="91"/>
    <m/>
    <m/>
    <m/>
    <m/>
    <n v="-46178"/>
    <m/>
    <m/>
    <m/>
    <m/>
    <m/>
    <m/>
    <m/>
  </r>
  <r>
    <n v="731"/>
    <m/>
    <s v="W23006"/>
    <x v="298"/>
    <s v="K-US"/>
    <s v="美国"/>
    <s v="ANP-W_US"/>
    <n v="224"/>
    <x v="2"/>
    <s v="盐田海卡"/>
    <s v="HLI2"/>
    <s v="ANP-W_US"/>
    <s v="ANP-W_US 墙插式智能扩香仪 白色"/>
    <s v="ANP"/>
    <n v="7"/>
    <n v="107.85090909090908"/>
    <s v="重量收费"/>
    <n v="5.8"/>
    <n v="200"/>
    <n v="33.333333333333336"/>
    <n v="658.868606060606"/>
    <n v="2.9413777056277053"/>
    <n v="0.43901159785488136"/>
    <m/>
    <m/>
    <m/>
    <x v="41"/>
    <x v="91"/>
    <m/>
    <m/>
    <m/>
    <m/>
    <n v="-46178"/>
    <m/>
    <m/>
    <m/>
    <m/>
    <m/>
    <m/>
    <m/>
  </r>
  <r>
    <n v="732"/>
    <m/>
    <s v="W23006"/>
    <x v="299"/>
    <s v="K-US"/>
    <s v="美国"/>
    <s v="ANPKIT-B_US_3X20K01_TZ"/>
    <n v="224"/>
    <x v="2"/>
    <s v="盐田海卡"/>
    <s v="HLI2"/>
    <s v="ANPKIT-B_US_3X20K01_TZ"/>
    <s v="ANPKIT-B_US_3X20K01_TZ ANP黑色机器+3X20mL酒店香氛油（天竺） 机油套装"/>
    <s v="ANP"/>
    <n v="7"/>
    <n v="107.85250000000001"/>
    <s v="重量收费"/>
    <n v="5.8"/>
    <m/>
    <n v="33.333333333333336"/>
    <n v="658.87783333333334"/>
    <n v="2.9414188988095238"/>
    <n v="0.43901774609097372"/>
    <m/>
    <m/>
    <m/>
    <x v="41"/>
    <x v="91"/>
    <m/>
    <m/>
    <m/>
    <m/>
    <n v="-46178"/>
    <m/>
    <m/>
    <m/>
    <m/>
    <m/>
    <m/>
    <m/>
  </r>
  <r>
    <n v="733"/>
    <m/>
    <s v="W23006"/>
    <x v="299"/>
    <s v="K-US"/>
    <s v="美国"/>
    <s v="ANPKIT-WH_US_3X20K01_TZ"/>
    <n v="288"/>
    <x v="2"/>
    <s v="盐田海卡"/>
    <s v="HLI2"/>
    <s v="ANPKIT-WH_US_3X20K01_TZ"/>
    <s v="ANPKIT-WH_US_3X20K01_TZ ANP白色机器+3X20mL酒店香氛油（天竺） 机油套装"/>
    <s v="ANP"/>
    <n v="9"/>
    <n v="138.66750000000002"/>
    <s v="重量收费"/>
    <n v="5.8"/>
    <m/>
    <n v="42.857142857142854"/>
    <n v="847.12864285714295"/>
    <n v="2.9414188988095242"/>
    <n v="0.43901774609097377"/>
    <m/>
    <m/>
    <m/>
    <x v="41"/>
    <x v="91"/>
    <m/>
    <m/>
    <m/>
    <m/>
    <n v="-46178"/>
    <m/>
    <m/>
    <m/>
    <m/>
    <m/>
    <m/>
    <m/>
  </r>
  <r>
    <n v="734"/>
    <m/>
    <s v="W23013"/>
    <x v="300"/>
    <s v="K-US"/>
    <s v="美国"/>
    <s v="ANPKIT-WH_US_3X20K01_TZ"/>
    <n v="320"/>
    <x v="0"/>
    <s v="美森海卡"/>
    <s v="HLI2"/>
    <s v="ANPKIT-WH_US_3X20K01_TZ"/>
    <s v="ANPKIT-WH_US_3X20K01_TZ ANP白色机器+3X20mL酒店香氛油（天竺） 机油套装"/>
    <s v="ANP"/>
    <n v="10"/>
    <n v="208"/>
    <s v="重量收费"/>
    <n v="10.3"/>
    <n v="200"/>
    <n v="200"/>
    <n v="2342.4"/>
    <n v="7.32"/>
    <n v="1.0925373134328358"/>
    <m/>
    <m/>
    <m/>
    <x v="40"/>
    <x v="71"/>
    <m/>
    <m/>
    <m/>
    <m/>
    <n v="-46177"/>
    <m/>
    <m/>
    <m/>
    <m/>
    <m/>
    <m/>
    <m/>
  </r>
  <r>
    <n v="735"/>
    <m/>
    <s v="W23010"/>
    <x v="301"/>
    <s v="A-CA"/>
    <s v="加拿大"/>
    <s v="002000023"/>
    <n v="48"/>
    <x v="2"/>
    <s v="加拿大海卡"/>
    <s v="YYZ7"/>
    <s v="H2-SILV"/>
    <s v="H2-SILV 电子指纹球形把手锁-银色"/>
    <s v="H2"/>
    <n v="4"/>
    <n v="54.5"/>
    <s v="重量收费"/>
    <n v="6.7"/>
    <n v="200"/>
    <n v="50"/>
    <n v="415.15000000000003"/>
    <n v="8.6489583333333346"/>
    <n v="1.2908893034825872"/>
    <m/>
    <m/>
    <m/>
    <x v="41"/>
    <x v="87"/>
    <m/>
    <m/>
    <m/>
    <m/>
    <n v="-46178"/>
    <m/>
    <m/>
    <m/>
    <m/>
    <m/>
    <m/>
    <m/>
  </r>
  <r>
    <n v="736"/>
    <m/>
    <s v="W23010"/>
    <x v="301"/>
    <s v="A-CA"/>
    <s v="加拿大"/>
    <s v="002000001"/>
    <n v="144"/>
    <x v="2"/>
    <s v="加拿大海卡"/>
    <s v="YYZ7"/>
    <s v="K1-B"/>
    <s v="K1-B 电子球形把手锁-黑色"/>
    <s v="K1"/>
    <n v="12"/>
    <n v="163.5"/>
    <s v="重量收费"/>
    <n v="6.7"/>
    <n v="200"/>
    <n v="150"/>
    <n v="1245.45"/>
    <n v="8.6489583333333329"/>
    <n v="1.290889303482587"/>
    <m/>
    <m/>
    <m/>
    <x v="41"/>
    <x v="87"/>
    <m/>
    <m/>
    <m/>
    <m/>
    <n v="-46178"/>
    <m/>
    <m/>
    <m/>
    <m/>
    <m/>
    <m/>
    <m/>
  </r>
  <r>
    <n v="737"/>
    <m/>
    <s v="W24005"/>
    <x v="302"/>
    <s v="E-US"/>
    <s v="美国"/>
    <s v="ANZ-B"/>
    <n v="480"/>
    <x v="2"/>
    <s v="美森海卡"/>
    <s v="TCY2"/>
    <s v="ANZ-B"/>
    <s v="ANZ-B 便携式扩香仪 黑色"/>
    <s v="ANZ"/>
    <n v="12"/>
    <n v="160"/>
    <s v="重量收费"/>
    <n v="8.4"/>
    <n v="200"/>
    <n v="200"/>
    <n v="1544"/>
    <n v="3.2166666666666668"/>
    <n v="0.48009950248756217"/>
    <m/>
    <m/>
    <m/>
    <x v="42"/>
    <x v="82"/>
    <m/>
    <m/>
    <m/>
    <m/>
    <m/>
    <m/>
    <m/>
    <m/>
    <m/>
    <m/>
    <m/>
    <m/>
  </r>
  <r>
    <n v="738"/>
    <s v="自送货沙特+阿联酋共26箱花费88.84元"/>
    <s v="W24006"/>
    <x v="303"/>
    <s v="E-SA"/>
    <s v="沙特阿拉伯"/>
    <s v="001000020"/>
    <n v="80"/>
    <x v="9"/>
    <s v="沙特海卡"/>
    <s v="JED4"/>
    <s v="AN6-W"/>
    <s v="AN6-W 便携式扩香仪 白色"/>
    <s v="AN6"/>
    <n v="2"/>
    <n v="9.6363636363636374E-2"/>
    <s v="CBM收费"/>
    <n v="2100"/>
    <n v="437.59000000000003"/>
    <n v="79.561818181818182"/>
    <n v="281.92545454545456"/>
    <n v="3.524068181818182"/>
    <n v="0.52598032564450481"/>
    <m/>
    <m/>
    <m/>
    <x v="42"/>
    <x v="93"/>
    <m/>
    <m/>
    <m/>
    <m/>
    <m/>
    <m/>
    <m/>
    <m/>
    <m/>
    <m/>
    <m/>
    <m/>
  </r>
  <r>
    <n v="739"/>
    <m/>
    <s v="W24006"/>
    <x v="303"/>
    <s v="E-SA"/>
    <s v="沙特阿拉伯"/>
    <s v="RD1-B"/>
    <n v="90"/>
    <x v="9"/>
    <s v="沙特海卡"/>
    <s v="JED4"/>
    <s v="RD1-B"/>
    <s v="RD1-B 便携式扩香仪 黑色"/>
    <s v="RD1"/>
    <n v="3"/>
    <n v="0.14454545454545456"/>
    <s v="CBM收费"/>
    <n v="2100"/>
    <n v="437.59"/>
    <n v="119.34272727272726"/>
    <n v="422.88818181818181"/>
    <n v="4.6987575757575755"/>
    <n v="0.70130710085933956"/>
    <m/>
    <m/>
    <m/>
    <x v="42"/>
    <x v="93"/>
    <m/>
    <m/>
    <m/>
    <m/>
    <m/>
    <m/>
    <m/>
    <m/>
    <m/>
    <m/>
    <m/>
    <m/>
  </r>
  <r>
    <n v="740"/>
    <m/>
    <s v="W24006"/>
    <x v="303"/>
    <s v="E-SA"/>
    <s v="沙特阿拉伯"/>
    <s v="001000019"/>
    <n v="120"/>
    <x v="9"/>
    <s v="沙特海卡"/>
    <s v="JED4"/>
    <s v="AN6-B"/>
    <s v="AN6-B 便携式扩香仪 黑色"/>
    <s v="AN6"/>
    <n v="3"/>
    <n v="0.14454545454545456"/>
    <s v="CBM收费"/>
    <n v="2100"/>
    <m/>
    <n v="119.34272727272726"/>
    <n v="422.88818181818181"/>
    <n v="3.5240681818181816"/>
    <n v="0.5259803256445047"/>
    <m/>
    <m/>
    <m/>
    <x v="42"/>
    <x v="93"/>
    <m/>
    <m/>
    <m/>
    <m/>
    <m/>
    <m/>
    <m/>
    <m/>
    <m/>
    <m/>
    <m/>
    <m/>
  </r>
  <r>
    <n v="741"/>
    <m/>
    <s v="W24006"/>
    <x v="303"/>
    <s v="E-SA"/>
    <s v="沙特阿拉伯"/>
    <s v="001000045"/>
    <n v="90"/>
    <x v="9"/>
    <s v="沙特海卡"/>
    <s v="JED4"/>
    <s v="ANX-B"/>
    <s v="ANX-B 便携式扩香仪 黑色"/>
    <s v="ANX"/>
    <n v="3"/>
    <n v="0.14454545454545456"/>
    <s v="CBM收费"/>
    <n v="2100"/>
    <m/>
    <n v="119.34272727272726"/>
    <n v="422.88818181818181"/>
    <n v="4.6987575757575755"/>
    <n v="0.70130710085933956"/>
    <m/>
    <m/>
    <m/>
    <x v="42"/>
    <x v="93"/>
    <m/>
    <m/>
    <m/>
    <m/>
    <m/>
    <m/>
    <m/>
    <m/>
    <m/>
    <m/>
    <m/>
    <m/>
  </r>
  <r>
    <n v="742"/>
    <m/>
    <s v="W24007"/>
    <x v="304"/>
    <s v="E-AE"/>
    <s v="阿联酋"/>
    <s v="001000019"/>
    <n v="120"/>
    <x v="9"/>
    <s v="阿联酋海卡"/>
    <s v="DXB6"/>
    <s v="AN6-B"/>
    <s v="AN6-B 便携式扩香仪 黑色"/>
    <s v="AN6"/>
    <n v="3"/>
    <n v="0.14400000000000002"/>
    <s v="CBM收费"/>
    <n v="1450"/>
    <n v="451.25"/>
    <n v="90.25"/>
    <n v="299.05"/>
    <n v="2.4920833333333334"/>
    <n v="0.37195273631840797"/>
    <m/>
    <m/>
    <m/>
    <x v="42"/>
    <x v="88"/>
    <m/>
    <m/>
    <m/>
    <m/>
    <m/>
    <m/>
    <m/>
    <m/>
    <m/>
    <m/>
    <m/>
    <m/>
  </r>
  <r>
    <n v="743"/>
    <m/>
    <s v="W24007"/>
    <x v="304"/>
    <s v="E-AE"/>
    <s v="阿联酋"/>
    <s v="001000020"/>
    <n v="80"/>
    <x v="9"/>
    <s v="阿联酋海卡"/>
    <s v="DXB6"/>
    <s v="AN6-W"/>
    <s v="AN6-W 便携式扩香仪 白色"/>
    <s v="AN6"/>
    <n v="2"/>
    <n v="9.6000000000000002E-2"/>
    <s v="CBM收费"/>
    <n v="1450"/>
    <n v="451.25"/>
    <n v="60.166666666666664"/>
    <n v="199.36666666666667"/>
    <n v="2.4920833333333334"/>
    <n v="0.37195273631840797"/>
    <m/>
    <m/>
    <m/>
    <x v="42"/>
    <x v="88"/>
    <m/>
    <m/>
    <m/>
    <m/>
    <m/>
    <m/>
    <m/>
    <m/>
    <m/>
    <m/>
    <m/>
    <m/>
  </r>
  <r>
    <n v="744"/>
    <m/>
    <s v="W24007"/>
    <x v="304"/>
    <s v="E-AE"/>
    <s v="阿联酋"/>
    <s v="001000045"/>
    <n v="90"/>
    <x v="9"/>
    <s v="阿联酋海卡"/>
    <s v="DXB6"/>
    <s v="ANX-B"/>
    <s v="ANX-B 便携式扩香仪 黑色"/>
    <s v="ANX"/>
    <n v="3"/>
    <n v="0.14400000000000002"/>
    <s v="CBM收费"/>
    <n v="1450"/>
    <m/>
    <n v="90.25"/>
    <n v="299.05"/>
    <n v="3.3227777777777781"/>
    <n v="0.49593698175787732"/>
    <m/>
    <m/>
    <m/>
    <x v="42"/>
    <x v="88"/>
    <m/>
    <m/>
    <m/>
    <m/>
    <m/>
    <m/>
    <m/>
    <m/>
    <m/>
    <m/>
    <m/>
    <m/>
  </r>
  <r>
    <n v="745"/>
    <m/>
    <s v="W24007"/>
    <x v="304"/>
    <s v="E-AE"/>
    <s v="阿联酋"/>
    <s v="RD1-DT"/>
    <n v="120"/>
    <x v="9"/>
    <s v="阿联酋海卡"/>
    <s v="DXB6"/>
    <s v="RD1-DT"/>
    <s v="RD1-DT 便携式扩香仪 沙漠钛色"/>
    <s v="RD1"/>
    <n v="4"/>
    <n v="0.192"/>
    <s v="CBM收费"/>
    <n v="1450"/>
    <m/>
    <n v="120.33333333333333"/>
    <n v="398.73333333333335"/>
    <n v="3.3227777777777781"/>
    <n v="0.49593698175787732"/>
    <m/>
    <m/>
    <m/>
    <x v="42"/>
    <x v="88"/>
    <m/>
    <m/>
    <m/>
    <m/>
    <m/>
    <m/>
    <m/>
    <m/>
    <m/>
    <m/>
    <m/>
    <m/>
  </r>
  <r>
    <n v="746"/>
    <m/>
    <s v="W24007"/>
    <x v="304"/>
    <s v="E-AE"/>
    <s v="阿联酋"/>
    <s v="RD1-B"/>
    <n v="90"/>
    <x v="9"/>
    <s v="阿联酋海卡"/>
    <s v="DXB6"/>
    <s v="RD1-B"/>
    <s v="RD1-B 便携式扩香仪 黑色"/>
    <s v="RD1"/>
    <n v="3"/>
    <n v="0.14400000000000002"/>
    <s v="CBM收费"/>
    <n v="1450"/>
    <m/>
    <n v="90.25"/>
    <n v="299.05"/>
    <n v="3.3227777777777781"/>
    <n v="0.49593698175787732"/>
    <m/>
    <m/>
    <m/>
    <x v="42"/>
    <x v="88"/>
    <m/>
    <m/>
    <m/>
    <m/>
    <m/>
    <m/>
    <m/>
    <m/>
    <m/>
    <m/>
    <m/>
    <m/>
  </r>
  <r>
    <n v="747"/>
    <m/>
    <s v="W24009"/>
    <x v="305"/>
    <s v="K-CA"/>
    <s v="加拿大"/>
    <s v="001000020"/>
    <n v="160"/>
    <x v="2"/>
    <s v="加拿大海卡"/>
    <s v="YVR4"/>
    <s v="AN6-W"/>
    <s v="AN6-W 便携式扩香仪 白色"/>
    <s v="AN6"/>
    <n v="4"/>
    <n v="52"/>
    <s v="重量收费"/>
    <n v="7"/>
    <n v="200"/>
    <n v="114.28571428571429"/>
    <n v="478.28571428571428"/>
    <n v="2.9892857142857143"/>
    <n v="0.44616204690831557"/>
    <m/>
    <m/>
    <m/>
    <x v="42"/>
    <x v="94"/>
    <m/>
    <m/>
    <m/>
    <m/>
    <m/>
    <m/>
    <m/>
    <m/>
    <m/>
    <m/>
    <m/>
    <m/>
  </r>
  <r>
    <n v="748"/>
    <m/>
    <s v="W24009"/>
    <x v="305"/>
    <s v="K-CA"/>
    <s v="加拿大"/>
    <s v="001000045"/>
    <n v="60"/>
    <x v="2"/>
    <s v="加拿大海卡"/>
    <s v="YVR4"/>
    <s v="ANX-B"/>
    <s v="ANX-B 便携式扩香仪 黑色"/>
    <s v="ANX"/>
    <n v="2"/>
    <n v="26"/>
    <s v="重量收费"/>
    <n v="7"/>
    <n v="200"/>
    <n v="57.142857142857146"/>
    <n v="239.14285714285714"/>
    <n v="3.9857142857142858"/>
    <n v="0.59488272921108742"/>
    <m/>
    <m/>
    <m/>
    <x v="42"/>
    <x v="94"/>
    <m/>
    <m/>
    <m/>
    <m/>
    <m/>
    <m/>
    <m/>
    <m/>
    <m/>
    <m/>
    <m/>
    <m/>
  </r>
  <r>
    <n v="749"/>
    <m/>
    <s v="W24009"/>
    <x v="305"/>
    <s v="K-CA"/>
    <s v="加拿大"/>
    <s v="001000052"/>
    <n v="30"/>
    <x v="2"/>
    <s v="加拿大海卡"/>
    <s v="YVR4"/>
    <s v="ANX-DT"/>
    <s v="ANX-DT 便携式扩香仪 沙漠钛色"/>
    <s v="ANX"/>
    <n v="1"/>
    <n v="13"/>
    <s v="重量收费"/>
    <n v="7"/>
    <m/>
    <n v="28.571428571428573"/>
    <n v="119.57142857142857"/>
    <n v="3.9857142857142858"/>
    <n v="0.59488272921108742"/>
    <m/>
    <m/>
    <m/>
    <x v="42"/>
    <x v="94"/>
    <m/>
    <m/>
    <m/>
    <m/>
    <m/>
    <m/>
    <m/>
    <m/>
    <m/>
    <m/>
    <m/>
    <m/>
  </r>
  <r>
    <n v="750"/>
    <m/>
    <s v="W24011"/>
    <x v="306"/>
    <s v="E-US"/>
    <s v="美国"/>
    <s v="ANXKIT-T_4X10K04_TZ"/>
    <n v="30"/>
    <x v="0"/>
    <s v="盐田海卡"/>
    <s v="HLI2"/>
    <s v="ANXKIT-T_4X10K04_TZ"/>
    <s v="ANXKIT-T_4X10K04_TZ ANX钛色机器+4x10mL酒店（天竺）香氛油 机油套装"/>
    <s v="ANX"/>
    <n v="1"/>
    <n v="14.3125"/>
    <s v="重量收费"/>
    <n v="5.8"/>
    <n v="200"/>
    <n v="3.4482758620689653"/>
    <n v="86.460775862068971"/>
    <n v="2.8820258620689656"/>
    <n v="0.43015311374163667"/>
    <m/>
    <m/>
    <m/>
    <x v="43"/>
    <x v="88"/>
    <m/>
    <m/>
    <m/>
    <m/>
    <m/>
    <m/>
    <m/>
    <m/>
    <m/>
    <m/>
    <m/>
    <m/>
  </r>
  <r>
    <n v="751"/>
    <m/>
    <s v="W24011"/>
    <x v="306"/>
    <s v="E-US"/>
    <s v="美国"/>
    <s v="ANZKIT-B_B_2X30K01"/>
    <n v="80"/>
    <x v="0"/>
    <s v="盐田海卡"/>
    <s v="HLI2"/>
    <s v="ANZKIT-B_B_2X30K01"/>
    <s v="ANZKIT-B_B_2X30K01 ANZ黑色机器两个装+2X30毫升香氛油（天竺） 机油套装"/>
    <s v="ANZ"/>
    <n v="4"/>
    <n v="57.25"/>
    <s v="重量收费"/>
    <n v="5.8"/>
    <n v="200"/>
    <n v="13.793103448275861"/>
    <n v="345.84310344827588"/>
    <n v="4.3230387931034482"/>
    <n v="0.64522967061245495"/>
    <m/>
    <m/>
    <m/>
    <x v="43"/>
    <x v="88"/>
    <m/>
    <m/>
    <m/>
    <m/>
    <m/>
    <m/>
    <m/>
    <m/>
    <m/>
    <m/>
    <m/>
    <m/>
  </r>
  <r>
    <n v="752"/>
    <m/>
    <s v="W24011"/>
    <x v="306"/>
    <s v="E-US"/>
    <s v="美国"/>
    <s v="AN6KIT-B_RZ30ml"/>
    <n v="600"/>
    <x v="0"/>
    <s v="盐田海卡"/>
    <s v="HLI2"/>
    <s v="AN6KIT-B_RZ30ml"/>
    <s v="AN6KIT-B_RZ30ml AN6黑色机器+30mL丽思香氛油 机油套装"/>
    <s v="AN6"/>
    <n v="20"/>
    <n v="286.25"/>
    <s v="重量收费"/>
    <n v="5.8"/>
    <m/>
    <n v="68.965517241379317"/>
    <n v="1729.2155172413793"/>
    <n v="2.8820258620689656"/>
    <n v="0.43015311374163667"/>
    <m/>
    <m/>
    <m/>
    <x v="43"/>
    <x v="88"/>
    <m/>
    <m/>
    <m/>
    <m/>
    <m/>
    <m/>
    <m/>
    <m/>
    <m/>
    <m/>
    <m/>
    <m/>
  </r>
  <r>
    <n v="753"/>
    <m/>
    <s v="W24011"/>
    <x v="306"/>
    <s v="E-US"/>
    <s v="美国"/>
    <s v="AN6KIT-WH_SJ30ML_TZ"/>
    <n v="210"/>
    <x v="0"/>
    <s v="盐田海卡"/>
    <s v="HLI2"/>
    <s v="AN6KIT-WH_SJ30ML_TZ"/>
    <s v="AN6KIT-WH_SJ30ML_TZ AN6白色机器+30mL四季酒店香氛油（天竺） 机油套装"/>
    <s v="AN6"/>
    <n v="7"/>
    <n v="100.1875"/>
    <s v="重量收费"/>
    <n v="5.8"/>
    <m/>
    <n v="24.137931034482758"/>
    <n v="605.22543103448277"/>
    <n v="2.8820258620689656"/>
    <n v="0.43015311374163667"/>
    <m/>
    <m/>
    <m/>
    <x v="43"/>
    <x v="88"/>
    <m/>
    <m/>
    <m/>
    <m/>
    <m/>
    <m/>
    <m/>
    <m/>
    <m/>
    <m/>
    <m/>
    <m/>
  </r>
  <r>
    <n v="754"/>
    <m/>
    <s v="W24008"/>
    <x v="307"/>
    <s v="E-US"/>
    <s v="美国"/>
    <s v="001000053"/>
    <n v="80"/>
    <x v="7"/>
    <s v="盐田海卡"/>
    <s v="TCY1"/>
    <s v="ANX-2PC-BB"/>
    <s v="ANX-2PC-BB 便携式扩香仪套装 黑+黑"/>
    <s v="ANX"/>
    <n v="5"/>
    <n v="65.924999999999997"/>
    <s v="重量收费"/>
    <n v="5.3"/>
    <n v="200"/>
    <n v="14.925373134328359"/>
    <n v="364.32787313432834"/>
    <n v="4.5540984141791041"/>
    <n v="0.67971618122076183"/>
    <m/>
    <m/>
    <m/>
    <x v="42"/>
    <x v="88"/>
    <m/>
    <m/>
    <m/>
    <m/>
    <m/>
    <m/>
    <m/>
    <m/>
    <m/>
    <m/>
    <m/>
    <m/>
  </r>
  <r>
    <n v="755"/>
    <m/>
    <s v="W24008"/>
    <x v="307"/>
    <s v="E-US"/>
    <s v="美国"/>
    <s v="001000059"/>
    <n v="32"/>
    <x v="7"/>
    <s v="盐田海卡"/>
    <s v="TCY1"/>
    <s v="ANX-2PC-BGD"/>
    <s v="ANX-2PC-BGD 便携式扩香仪套装 黑+金"/>
    <s v="ANX"/>
    <n v="2"/>
    <n v="26.37"/>
    <s v="重量收费"/>
    <n v="5.3"/>
    <n v="200"/>
    <n v="5.9701492537313436"/>
    <n v="145.73114925373133"/>
    <n v="4.5540984141791041"/>
    <n v="0.67971618122076183"/>
    <m/>
    <m/>
    <m/>
    <x v="42"/>
    <x v="88"/>
    <m/>
    <m/>
    <m/>
    <m/>
    <m/>
    <m/>
    <m/>
    <m/>
    <m/>
    <m/>
    <m/>
    <m/>
  </r>
  <r>
    <n v="756"/>
    <m/>
    <s v="W24008"/>
    <x v="307"/>
    <s v="E-US"/>
    <s v="美国"/>
    <s v="ANZ-B"/>
    <n v="480"/>
    <x v="7"/>
    <s v="盐田海卡"/>
    <s v="TCY1"/>
    <s v="ANZ-B"/>
    <s v="ANZ-B 便携式扩香仪 黑色"/>
    <s v="ANZ"/>
    <n v="12"/>
    <n v="158.22"/>
    <s v="重量收费"/>
    <n v="5.3"/>
    <m/>
    <n v="35.820895522388057"/>
    <n v="874.38689552238793"/>
    <n v="1.8216393656716414"/>
    <n v="0.27188647248830466"/>
    <m/>
    <m/>
    <m/>
    <x v="42"/>
    <x v="88"/>
    <m/>
    <m/>
    <m/>
    <m/>
    <m/>
    <m/>
    <m/>
    <m/>
    <m/>
    <m/>
    <m/>
    <m/>
  </r>
  <r>
    <n v="757"/>
    <m/>
    <s v="W24008"/>
    <x v="307"/>
    <s v="E-US"/>
    <s v="美国"/>
    <s v="ANZ-WH"/>
    <n v="280"/>
    <x v="7"/>
    <s v="盐田海卡"/>
    <s v="TCY1"/>
    <s v="ANZ-WH"/>
    <s v="ANZ-WH 便携式扩香仪 白色"/>
    <s v="ANZ"/>
    <n v="7"/>
    <n v="92.295000000000002"/>
    <s v="重量收费"/>
    <n v="5.3"/>
    <m/>
    <n v="20.895522388059703"/>
    <n v="510.0590223880597"/>
    <n v="1.8216393656716419"/>
    <n v="0.27188647248830478"/>
    <m/>
    <m/>
    <m/>
    <x v="42"/>
    <x v="88"/>
    <m/>
    <m/>
    <m/>
    <m/>
    <m/>
    <m/>
    <m/>
    <m/>
    <m/>
    <m/>
    <m/>
    <m/>
  </r>
  <r>
    <n v="758"/>
    <m/>
    <s v="W24008"/>
    <x v="308"/>
    <s v="W-US"/>
    <s v="美国"/>
    <s v="AND-SILV"/>
    <n v="30"/>
    <x v="7"/>
    <s v="盐田海卡"/>
    <s v="TCY1"/>
    <s v="AND-SILV"/>
    <s v="AND-SILV 便携式双喷扩香仪 银色"/>
    <s v="AND"/>
    <n v="1"/>
    <n v="13.19"/>
    <s v="重量收费"/>
    <n v="5.3"/>
    <m/>
    <n v="2.9850746268656718"/>
    <n v="72.892074626865664"/>
    <n v="2.4297358208955222"/>
    <n v="0.36264713744709287"/>
    <m/>
    <m/>
    <m/>
    <x v="42"/>
    <x v="88"/>
    <m/>
    <m/>
    <m/>
    <m/>
    <m/>
    <m/>
    <m/>
    <m/>
    <m/>
    <m/>
    <m/>
    <m/>
  </r>
  <r>
    <n v="759"/>
    <m/>
    <s v="W24012"/>
    <x v="309"/>
    <s v="K-US"/>
    <s v="美国"/>
    <s v="ADXKIT-B_4X10K04_TZ"/>
    <n v="510"/>
    <x v="0"/>
    <s v="盐田海卡"/>
    <s v="TCY1"/>
    <s v="ADXKIT-B_4X10K04_TZ"/>
    <s v="ADXKIT-B_4X10K04_TZ ADX黑色机器+4x10mL酒店（天竺）香氛油 机油套装"/>
    <s v="ADX"/>
    <n v="17"/>
    <n v="275.12883435582819"/>
    <s v="重量收费"/>
    <n v="5.5"/>
    <n v="200"/>
    <n v="16.037735849056602"/>
    <n v="1529.2463248061117"/>
    <n v="2.9985222055021796"/>
    <n v="0.44754062768689246"/>
    <m/>
    <m/>
    <m/>
    <x v="43"/>
    <x v="88"/>
    <m/>
    <m/>
    <m/>
    <m/>
    <m/>
    <m/>
    <m/>
    <m/>
    <m/>
    <m/>
    <m/>
    <m/>
  </r>
  <r>
    <n v="760"/>
    <m/>
    <s v="W24012"/>
    <x v="309"/>
    <s v="K-US"/>
    <s v="美国"/>
    <s v="ADXKIT-DT_4X10K04_TZ"/>
    <n v="300"/>
    <x v="0"/>
    <s v="盐田海卡"/>
    <s v="TCY1"/>
    <s v="ADXKIT-DT_4X10K04_TZ"/>
    <s v="ADXKIT-DT_4X10K04_TZ AD钛色机器+4x10mL酒店（天竺）香氛油 机油套装"/>
    <s v="ADX"/>
    <n v="10"/>
    <n v="161.84049079754601"/>
    <s v="重量收费"/>
    <n v="5.5"/>
    <n v="200"/>
    <n v="9.433962264150944"/>
    <n v="899.55666165065406"/>
    <n v="2.9985222055021801"/>
    <n v="0.44754062768689251"/>
    <m/>
    <m/>
    <m/>
    <x v="43"/>
    <x v="88"/>
    <m/>
    <m/>
    <m/>
    <m/>
    <m/>
    <m/>
    <m/>
    <m/>
    <m/>
    <m/>
    <m/>
    <m/>
  </r>
  <r>
    <n v="761"/>
    <m/>
    <s v="W24012"/>
    <x v="309"/>
    <s v="K-US"/>
    <s v="美国"/>
    <s v="AN8KIT-B_2X20K03"/>
    <n v="300"/>
    <x v="0"/>
    <s v="盐田海卡"/>
    <s v="TCY1"/>
    <s v="AN8KIT-B_2X20K03"/>
    <s v="AN8KIT-B_2X20K03 AN8黑色机器+2X20mL（天竺）酒店香氛油 机油套装"/>
    <s v="AN8"/>
    <n v="10"/>
    <n v="161.84049079754601"/>
    <s v="重量收费"/>
    <n v="5.5"/>
    <m/>
    <n v="9.433962264150944"/>
    <n v="899.55666165065406"/>
    <n v="2.9985222055021801"/>
    <n v="0.44754062768689251"/>
    <m/>
    <m/>
    <m/>
    <x v="43"/>
    <x v="88"/>
    <m/>
    <m/>
    <m/>
    <m/>
    <m/>
    <m/>
    <m/>
    <m/>
    <m/>
    <m/>
    <m/>
    <m/>
  </r>
  <r>
    <n v="762"/>
    <m/>
    <s v="W24012"/>
    <x v="309"/>
    <s v="K-US"/>
    <s v="美国"/>
    <s v="AN8KIT-B_4X10K05_TZ"/>
    <n v="2970"/>
    <x v="0"/>
    <s v="盐田海卡"/>
    <s v="TCY1"/>
    <s v="AN8KIT-B_4X10K05_TZ"/>
    <s v="AN8KIT-B_4X10K05_TZ AN8黑色机器+4x10mL（天竺）酒店香氛油 机油套装"/>
    <s v="AN8"/>
    <n v="99"/>
    <n v="1602.2208588957055"/>
    <s v="重量收费"/>
    <n v="5.5"/>
    <m/>
    <n v="93.396226415094333"/>
    <n v="8905.6109503414737"/>
    <n v="2.9985222055021796"/>
    <n v="0.44754062768689246"/>
    <m/>
    <m/>
    <m/>
    <x v="43"/>
    <x v="88"/>
    <m/>
    <m/>
    <m/>
    <m/>
    <m/>
    <m/>
    <m/>
    <m/>
    <m/>
    <m/>
    <m/>
    <m/>
  </r>
  <r>
    <n v="763"/>
    <m/>
    <s v="W24012"/>
    <x v="309"/>
    <s v="K-US"/>
    <s v="美国"/>
    <s v="AN8KIT-B_B"/>
    <n v="100"/>
    <x v="0"/>
    <s v="盐田海卡"/>
    <s v="TCY1"/>
    <s v="AN8KIT-B_B"/>
    <s v="AN8KIT-B_B 便携式扩香仪套装 黑+黑"/>
    <s v="AN8"/>
    <n v="5"/>
    <n v="80.920245398773005"/>
    <s v="重量收费"/>
    <n v="5.5"/>
    <m/>
    <n v="4.716981132075472"/>
    <n v="449.77833082532703"/>
    <n v="4.4977833082532701"/>
    <n v="0.67131094153033877"/>
    <m/>
    <m/>
    <m/>
    <x v="43"/>
    <x v="88"/>
    <m/>
    <m/>
    <m/>
    <m/>
    <m/>
    <m/>
    <m/>
    <m/>
    <m/>
    <m/>
    <m/>
    <m/>
  </r>
  <r>
    <n v="764"/>
    <m/>
    <s v="W24012"/>
    <x v="309"/>
    <s v="K-US"/>
    <s v="美国"/>
    <s v="AN8KIT-B_B_2X30K02"/>
    <n v="100"/>
    <x v="0"/>
    <s v="盐田海卡"/>
    <s v="TCY1"/>
    <s v="AN8KIT-B_B_2X30K02"/>
    <s v="AN8KIT-B_B_2X30K02 AN8黑色机器两个装+2X30mL香氛油（天竺） 机油套装"/>
    <s v="AN8"/>
    <n v="5"/>
    <n v="80.920245398773005"/>
    <s v="重量收费"/>
    <n v="5.5"/>
    <m/>
    <n v="4.716981132075472"/>
    <n v="449.77833082532703"/>
    <n v="4.4977833082532701"/>
    <n v="0.67131094153033877"/>
    <m/>
    <m/>
    <m/>
    <x v="43"/>
    <x v="88"/>
    <m/>
    <m/>
    <m/>
    <m/>
    <m/>
    <m/>
    <m/>
    <m/>
    <m/>
    <m/>
    <m/>
    <m/>
  </r>
  <r>
    <n v="765"/>
    <m/>
    <s v="W24012"/>
    <x v="309"/>
    <s v="K-US"/>
    <s v="美国"/>
    <s v="AN8KIT-WH_2X20K01"/>
    <n v="150"/>
    <x v="0"/>
    <s v="盐田海卡"/>
    <s v="TCY1"/>
    <s v="AN8KIT-WH_2X20K01"/>
    <s v="AN8KIT-WH_2X20K01 AN8白色机器+2X20mL酒店香氛油 机油套装"/>
    <s v="AN8"/>
    <n v="5"/>
    <n v="80.920245398773005"/>
    <s v="重量收费"/>
    <n v="5.5"/>
    <m/>
    <n v="4.716981132075472"/>
    <n v="449.77833082532703"/>
    <n v="2.9985222055021801"/>
    <n v="0.44754062768689251"/>
    <m/>
    <m/>
    <m/>
    <x v="43"/>
    <x v="88"/>
    <m/>
    <m/>
    <m/>
    <m/>
    <m/>
    <m/>
    <m/>
    <m/>
    <m/>
    <m/>
    <m/>
    <m/>
  </r>
  <r>
    <n v="766"/>
    <m/>
    <s v="W24012"/>
    <x v="309"/>
    <s v="K-US"/>
    <s v="美国"/>
    <s v="AN8KIT-WH_4X10K05_TZ"/>
    <n v="330"/>
    <x v="0"/>
    <s v="盐田海卡"/>
    <s v="TCY1"/>
    <s v="AN8KIT-WH_4X10K05_TZ"/>
    <s v="AN8KIT-WH_4X10K05_TZ AN8白色机器+4x10mL（天竺）酒店香氛油 机油套装"/>
    <s v="AN8"/>
    <n v="11"/>
    <n v="178.02453987730061"/>
    <s v="重量收费"/>
    <n v="5.5"/>
    <m/>
    <n v="10.377358490566039"/>
    <n v="989.51232781571946"/>
    <n v="2.9985222055021801"/>
    <n v="0.44754062768689251"/>
    <m/>
    <m/>
    <m/>
    <x v="43"/>
    <x v="88"/>
    <m/>
    <m/>
    <m/>
    <m/>
    <m/>
    <m/>
    <m/>
    <m/>
    <m/>
    <m/>
    <m/>
    <m/>
  </r>
  <r>
    <n v="767"/>
    <m/>
    <s v="买单报关"/>
    <x v="309"/>
    <s v="K-US"/>
    <s v="美国"/>
    <s v="RDXPJ-BOT"/>
    <n v="30"/>
    <x v="0"/>
    <s v="盐田海卡"/>
    <s v="TCY1"/>
    <s v="RDXPJ-BOT"/>
    <s v="RDXPJ-BOT 智能塔式香薰机带盖替换瓶 300mL"/>
    <s v="RDX-AC"/>
    <n v="1"/>
    <n v="16.184049079754601"/>
    <s v="重量收费"/>
    <n v="5.5"/>
    <m/>
    <m/>
    <n v="89.012269938650306"/>
    <n v="2.9670756646216767"/>
    <n v="0.44284711412263833"/>
    <m/>
    <m/>
    <m/>
    <x v="43"/>
    <x v="88"/>
    <m/>
    <m/>
    <m/>
    <m/>
    <m/>
    <m/>
    <m/>
    <m/>
    <m/>
    <m/>
    <m/>
    <m/>
  </r>
  <r>
    <n v="768"/>
    <m/>
    <s v="W24008"/>
    <x v="310"/>
    <s v="V-US"/>
    <s v="美国"/>
    <s v="001000019"/>
    <n v="680"/>
    <x v="7"/>
    <s v="盐田海卡"/>
    <s v="HLI2"/>
    <s v="AN6-B"/>
    <s v="AN6-B 便携式扩香仪 黑色"/>
    <s v="AN6"/>
    <n v="17"/>
    <n v="226.95"/>
    <s v="重量收费"/>
    <n v="5.3"/>
    <n v="200"/>
    <n v="50.746268656716417"/>
    <n v="1253.5812686567162"/>
    <n v="1.8435018656716415"/>
    <n v="0.27514953218979726"/>
    <m/>
    <m/>
    <m/>
    <x v="42"/>
    <x v="88"/>
    <m/>
    <m/>
    <m/>
    <m/>
    <m/>
    <m/>
    <m/>
    <m/>
    <m/>
    <m/>
    <m/>
    <m/>
  </r>
  <r>
    <n v="769"/>
    <m/>
    <s v="W24008"/>
    <x v="310"/>
    <s v="V-US"/>
    <s v="美国"/>
    <s v="001000039"/>
    <n v="200"/>
    <x v="7"/>
    <s v="盐田海卡"/>
    <s v="HLI2"/>
    <s v="AN6-GL"/>
    <s v="AN6-GL 便携式扩香仪 翠百合色"/>
    <s v="AN6"/>
    <n v="5"/>
    <n v="66.75"/>
    <s v="重量收费"/>
    <n v="5.3"/>
    <n v="200"/>
    <n v="14.925373134328359"/>
    <n v="368.70037313432834"/>
    <n v="1.8435018656716418"/>
    <n v="0.27514953218979726"/>
    <m/>
    <m/>
    <m/>
    <x v="42"/>
    <x v="88"/>
    <m/>
    <m/>
    <m/>
    <m/>
    <m/>
    <m/>
    <m/>
    <m/>
    <m/>
    <m/>
    <m/>
    <m/>
  </r>
  <r>
    <n v="770"/>
    <m/>
    <s v="W24008"/>
    <x v="310"/>
    <s v="V-US"/>
    <s v="美国"/>
    <s v="AN6-LV"/>
    <n v="440"/>
    <x v="7"/>
    <s v="盐田海卡"/>
    <s v="HLI2"/>
    <s v="AN6-LV"/>
    <s v="AN6-LV 便携式扩香仪 薰衣草"/>
    <s v="AN6"/>
    <n v="11"/>
    <n v="146.85"/>
    <s v="重量收费"/>
    <n v="5.3"/>
    <m/>
    <n v="32.835820895522389"/>
    <n v="811.14082089552232"/>
    <n v="1.8435018656716415"/>
    <n v="0.27514953218979726"/>
    <m/>
    <m/>
    <m/>
    <x v="42"/>
    <x v="88"/>
    <m/>
    <m/>
    <m/>
    <m/>
    <m/>
    <m/>
    <m/>
    <m/>
    <m/>
    <m/>
    <m/>
    <m/>
  </r>
  <r>
    <n v="771"/>
    <m/>
    <s v="W24008"/>
    <x v="310"/>
    <s v="V-US"/>
    <s v="美国"/>
    <s v="001000020"/>
    <n v="200"/>
    <x v="7"/>
    <s v="盐田海卡"/>
    <s v="HLI2"/>
    <s v="AN6-W"/>
    <s v="AN6-W 便携式扩香仪 白色"/>
    <s v="AN6"/>
    <n v="5"/>
    <n v="66.75"/>
    <s v="重量收费"/>
    <n v="5.3"/>
    <m/>
    <n v="14.925373134328359"/>
    <n v="368.70037313432834"/>
    <n v="1.8435018656716418"/>
    <n v="0.27514953218979726"/>
    <m/>
    <m/>
    <m/>
    <x v="42"/>
    <x v="88"/>
    <m/>
    <m/>
    <m/>
    <m/>
    <m/>
    <m/>
    <m/>
    <m/>
    <m/>
    <m/>
    <m/>
    <m/>
  </r>
  <r>
    <n v="772"/>
    <m/>
    <s v="W24008"/>
    <x v="310"/>
    <s v="V-US"/>
    <s v="美国"/>
    <s v="AN6-YG"/>
    <n v="80"/>
    <x v="7"/>
    <s v="盐田海卡"/>
    <s v="HLI2"/>
    <s v="AN6-YG"/>
    <s v="AN6-YG 便携式扩香仪 乳酪色"/>
    <s v="AN6"/>
    <n v="2"/>
    <n v="26.7"/>
    <s v="重量收费"/>
    <n v="5.3"/>
    <m/>
    <n v="5.9701492537313436"/>
    <n v="147.48014925373133"/>
    <n v="1.8435018656716415"/>
    <n v="0.27514953218979726"/>
    <m/>
    <m/>
    <m/>
    <x v="42"/>
    <x v="88"/>
    <m/>
    <m/>
    <m/>
    <m/>
    <m/>
    <m/>
    <m/>
    <m/>
    <m/>
    <m/>
    <m/>
    <m/>
  </r>
  <r>
    <n v="773"/>
    <m/>
    <s v="W24012"/>
    <x v="311"/>
    <s v="K-US"/>
    <s v="美国"/>
    <s v="U1KIT-B_US_2X50K01_TZ"/>
    <n v="450"/>
    <x v="0"/>
    <s v="盐田海卡"/>
    <s v="TCY1"/>
    <s v="U1KIT-B_US_2X50K01_TZ"/>
    <s v="U1KIT-B_US_2X50K01_TZ U1黑色机器+2X50mL酒店香氛油（天竺） 机油套装"/>
    <s v="U1"/>
    <n v="50"/>
    <n v="852"/>
    <s v="重量收费"/>
    <n v="5.5"/>
    <n v="200"/>
    <n v="47.169811320754718"/>
    <n v="4733.1698113207549"/>
    <n v="10.518155136268344"/>
    <n v="1.5698739009355738"/>
    <m/>
    <m/>
    <m/>
    <x v="44"/>
    <x v="88"/>
    <m/>
    <m/>
    <m/>
    <m/>
    <m/>
    <m/>
    <m/>
    <m/>
    <m/>
    <m/>
    <m/>
    <m/>
  </r>
  <r>
    <n v="774"/>
    <m/>
    <s v="W24010"/>
    <x v="312"/>
    <s v="V-US"/>
    <s v="美国"/>
    <s v="001000032"/>
    <n v="300"/>
    <x v="7"/>
    <s v="盐田海卡"/>
    <s v="GEU2"/>
    <s v="ANW-B"/>
    <s v="ANW-B 智能扩香仪 黑色"/>
    <s v="ANW"/>
    <n v="25"/>
    <n v="356.63265306122452"/>
    <s v="重量收费"/>
    <n v="5.5"/>
    <n v="200"/>
    <n v="102.04081632653062"/>
    <n v="2063.5204081632655"/>
    <n v="6.8784013605442187"/>
    <n v="1.0266270687379431"/>
    <m/>
    <m/>
    <m/>
    <x v="44"/>
    <x v="95"/>
    <m/>
    <m/>
    <m/>
    <m/>
    <m/>
    <m/>
    <m/>
    <m/>
    <m/>
    <m/>
    <m/>
    <m/>
  </r>
  <r>
    <n v="775"/>
    <m/>
    <s v="W24010"/>
    <x v="312"/>
    <s v="V-US"/>
    <s v="美国"/>
    <s v="001000033"/>
    <n v="288"/>
    <x v="7"/>
    <s v="盐田海卡"/>
    <s v="GEU2"/>
    <s v="ANW-W"/>
    <s v="ANW-W 智能扩香仪 白色"/>
    <s v="ANW"/>
    <n v="24"/>
    <n v="342.36734693877554"/>
    <s v="重量收费"/>
    <n v="5.5"/>
    <n v="200"/>
    <n v="97.959183673469383"/>
    <n v="1980.9795918367349"/>
    <n v="6.8784013605442187"/>
    <n v="1.0266270687379431"/>
    <m/>
    <m/>
    <m/>
    <x v="44"/>
    <x v="95"/>
    <m/>
    <m/>
    <m/>
    <m/>
    <m/>
    <m/>
    <m/>
    <m/>
    <m/>
    <m/>
    <m/>
    <m/>
  </r>
  <r>
    <n v="776"/>
    <m/>
    <s v="W24011"/>
    <x v="313"/>
    <s v="V-US"/>
    <s v="美国"/>
    <s v="ANWKIT-WH_US_2X100K03"/>
    <n v="192"/>
    <x v="0"/>
    <s v="盐田海卡"/>
    <s v="MIT2"/>
    <s v="ANWKIT-WH_US_2X100K03"/>
    <s v="ANWKIT-WH_US_2X100K03 ANW白色机器+2X100mL酒店香氛油（天竺） 机油套装"/>
    <s v="ANW"/>
    <n v="16"/>
    <n v="278.76923076923077"/>
    <s v="重量收费"/>
    <n v="5.5"/>
    <m/>
    <n v="55.172413793103445"/>
    <n v="1588.4031830238728"/>
    <n v="8.272933244916004"/>
    <n v="1.2347661559576124"/>
    <m/>
    <m/>
    <m/>
    <x v="44"/>
    <x v="88"/>
    <m/>
    <m/>
    <m/>
    <m/>
    <m/>
    <m/>
    <m/>
    <m/>
    <m/>
    <m/>
    <m/>
    <m/>
  </r>
  <r>
    <n v="777"/>
    <m/>
    <s v="W24011"/>
    <x v="313"/>
    <s v="V-US"/>
    <s v="美国"/>
    <s v="ANWKIT-B_US_2X100K03"/>
    <n v="120"/>
    <x v="0"/>
    <s v="盐田海卡"/>
    <s v="MIT2"/>
    <s v="ANWKIT-B_US_2X100K03"/>
    <s v="ANWKIT-B_US_2X100K03 ANW黑色机器+2X100mL酒店香氛油（天竺） 机油套装"/>
    <s v="ANW"/>
    <n v="10"/>
    <n v="174.23076923076923"/>
    <s v="重量收费"/>
    <n v="5.5"/>
    <m/>
    <n v="34.482758620689658"/>
    <n v="992.75198938992037"/>
    <n v="8.2729332449160022"/>
    <n v="1.2347661559576122"/>
    <m/>
    <m/>
    <m/>
    <x v="44"/>
    <x v="88"/>
    <m/>
    <m/>
    <m/>
    <m/>
    <m/>
    <m/>
    <m/>
    <m/>
    <m/>
    <m/>
    <m/>
    <m/>
  </r>
  <r>
    <n v="778"/>
    <m/>
    <s v="W24013"/>
    <x v="314"/>
    <s v="K-US"/>
    <s v="美国"/>
    <s v="ANP-B_US"/>
    <n v="128"/>
    <x v="7"/>
    <s v="盐田海卡"/>
    <s v="ABQ2"/>
    <s v="ANP-B_US"/>
    <s v="ANP-B_US 墙插式智能扩香仪 黑色"/>
    <s v="ANP"/>
    <n v="4"/>
    <n v="57.714285714285715"/>
    <s v="重量收费"/>
    <n v="6.6"/>
    <n v="200"/>
    <n v="57.142857142857146"/>
    <n v="438.05714285714288"/>
    <n v="3.4223214285714287"/>
    <n v="0.51079424307036247"/>
    <m/>
    <m/>
    <m/>
    <x v="44"/>
    <x v="95"/>
    <m/>
    <m/>
    <m/>
    <m/>
    <m/>
    <m/>
    <m/>
    <m/>
    <m/>
    <m/>
    <m/>
    <m/>
  </r>
  <r>
    <n v="779"/>
    <m/>
    <s v="W24013"/>
    <x v="314"/>
    <s v="K-US"/>
    <s v="美国"/>
    <s v="ANP-W_US"/>
    <n v="320"/>
    <x v="7"/>
    <s v="盐田海卡"/>
    <s v="ABQ2"/>
    <s v="ANP-W_US"/>
    <s v="ANP-W_US 墙插式智能扩香仪 白色"/>
    <s v="ANP"/>
    <n v="10"/>
    <n v="144.28571428571428"/>
    <s v="重量收费"/>
    <n v="6.6"/>
    <n v="200"/>
    <n v="142.85714285714286"/>
    <n v="1095.1428571428571"/>
    <n v="3.4223214285714283"/>
    <n v="0.51079424307036236"/>
    <m/>
    <m/>
    <m/>
    <x v="44"/>
    <x v="95"/>
    <m/>
    <m/>
    <m/>
    <m/>
    <m/>
    <m/>
    <m/>
    <m/>
    <m/>
    <m/>
    <m/>
    <m/>
  </r>
  <r>
    <n v="780"/>
    <s v="按0.5CBM 起收"/>
    <s v="W24001"/>
    <x v="315"/>
    <s v="E-US"/>
    <s v="美国"/>
    <s v="JY-100ML"/>
    <n v="90"/>
    <x v="3"/>
    <s v="盐田海卡"/>
    <s v="TCY1"/>
    <s v="A-JY-100"/>
    <s v="A-Grand Hyatt Hotel-100 君悦酒店香氛油100mL"/>
    <s v="Oil-HQ"/>
    <n v="1"/>
    <n v="7.1428571428571425E-2"/>
    <s v="CBM收费"/>
    <n v="1400"/>
    <n v="180"/>
    <n v="25.714285714285715"/>
    <n v="125.71428571428572"/>
    <n v="1.396825396825397"/>
    <n v="0.20848140251125327"/>
    <m/>
    <m/>
    <m/>
    <x v="42"/>
    <x v="88"/>
    <m/>
    <m/>
    <m/>
    <m/>
    <m/>
    <m/>
    <m/>
    <m/>
    <m/>
    <m/>
    <m/>
    <m/>
  </r>
  <r>
    <n v="781"/>
    <s v="按0.5CBM 起收"/>
    <s v="W24001"/>
    <x v="315"/>
    <s v="E-US"/>
    <s v="美国"/>
    <s v="MWAY1-100ML"/>
    <n v="180"/>
    <x v="3"/>
    <s v="盐田海卡"/>
    <s v="TCY1"/>
    <s v="A-MWAY-100"/>
    <s v="A-MWAY Deluxe-100 特定香型香氛油100mL"/>
    <s v="Oil-HQ"/>
    <n v="2"/>
    <n v="0.14285714285714285"/>
    <s v="CBM收费"/>
    <n v="1400"/>
    <n v="180"/>
    <n v="51.428571428571431"/>
    <n v="251.42857142857144"/>
    <n v="1.396825396825397"/>
    <n v="0.20848140251125327"/>
    <m/>
    <m/>
    <m/>
    <x v="42"/>
    <x v="88"/>
    <m/>
    <m/>
    <m/>
    <m/>
    <m/>
    <m/>
    <m/>
    <m/>
    <m/>
    <m/>
    <m/>
    <m/>
  </r>
  <r>
    <n v="782"/>
    <s v="按0.5CBM 起收"/>
    <s v="W24001"/>
    <x v="315"/>
    <s v="E-US"/>
    <s v="美国"/>
    <s v="006000026"/>
    <n v="360"/>
    <x v="3"/>
    <s v="盐田海卡"/>
    <s v="TCY1"/>
    <s v="A-MT-100"/>
    <s v="A-Marriott Hotel 1-100 万豪酒店1香氛油100mL"/>
    <s v="Oil-HQ"/>
    <n v="4"/>
    <n v="0.2857142857142857"/>
    <s v="CBM收费"/>
    <n v="1400"/>
    <m/>
    <n v="102.85714285714286"/>
    <n v="502.85714285714289"/>
    <n v="1.396825396825397"/>
    <n v="0.20848140251125327"/>
    <m/>
    <m/>
    <m/>
    <x v="42"/>
    <x v="88"/>
    <m/>
    <m/>
    <m/>
    <m/>
    <m/>
    <m/>
    <m/>
    <m/>
    <m/>
    <m/>
    <m/>
    <m/>
  </r>
  <r>
    <n v="783"/>
    <s v="按0.5CBM 起收"/>
    <s v="W24002"/>
    <x v="316"/>
    <s v="K-US"/>
    <s v="美国"/>
    <s v="HOTEL6KIT1-6X10K03_TZ"/>
    <n v="600"/>
    <x v="3"/>
    <s v="盐田海卡"/>
    <s v="TCY1"/>
    <s v="HOTEL6KIT1-6X10K03_TZ"/>
    <s v="HOTEL6KIT1-6X10K03_TZ 酒店香氛油（天竺）6款10mL套装"/>
    <s v="Oil-TZ"/>
    <n v="10"/>
    <n v="0.4375"/>
    <s v="CBM收费"/>
    <n v="1400"/>
    <n v="180"/>
    <n v="112.5"/>
    <n v="725"/>
    <n v="1.2083333333333333"/>
    <n v="0.18034825870646765"/>
    <m/>
    <m/>
    <m/>
    <x v="42"/>
    <x v="84"/>
    <m/>
    <m/>
    <m/>
    <m/>
    <m/>
    <m/>
    <m/>
    <m/>
    <m/>
    <m/>
    <m/>
    <m/>
  </r>
  <r>
    <n v="784"/>
    <s v="按0.5CBM 起收"/>
    <s v="W24002"/>
    <x v="316"/>
    <s v="K-US"/>
    <s v="美国"/>
    <s v="RZ1-100ML_TZ"/>
    <n v="384"/>
    <x v="3"/>
    <s v="盐田海卡"/>
    <s v="TCY1"/>
    <s v="RZ1-100ML_TZ"/>
    <s v="RZ1-100ML_TZ 丽思卡尔顿酒店100mL香氛油（天竺） 销售包装"/>
    <s v="Oil-TZ"/>
    <n v="6"/>
    <n v="0.26249999999999996"/>
    <s v="CBM收费"/>
    <n v="1400"/>
    <n v="180"/>
    <n v="67.5"/>
    <n v="434.99999999999994"/>
    <n v="1.1328124999999998"/>
    <n v="0.16907649253731338"/>
    <m/>
    <m/>
    <m/>
    <x v="42"/>
    <x v="84"/>
    <m/>
    <m/>
    <m/>
    <m/>
    <m/>
    <m/>
    <m/>
    <m/>
    <m/>
    <m/>
    <m/>
    <m/>
  </r>
  <r>
    <n v="785"/>
    <s v="按0.5CBM 起收"/>
    <s v="W24003"/>
    <x v="317"/>
    <s v="E-US"/>
    <s v="美国"/>
    <s v="BCRT1-100ML_TZ"/>
    <n v="320"/>
    <x v="3"/>
    <s v="盐田海卡"/>
    <s v="GEU2"/>
    <s v="BCRT1-100ML_TZ"/>
    <s v="BCRT1-100ML_TZ 巴卡拉酒店100mL香氛油（天竺） 销售包装"/>
    <s v="Oil-TZ"/>
    <n v="5"/>
    <n v="0.19347826086956521"/>
    <s v="CBM收费"/>
    <n v="1400"/>
    <n v="180"/>
    <n v="39.130434782608695"/>
    <n v="310"/>
    <n v="0.96875"/>
    <n v="0.14458955223880596"/>
    <m/>
    <m/>
    <m/>
    <x v="42"/>
    <x v="84"/>
    <m/>
    <m/>
    <m/>
    <m/>
    <m/>
    <m/>
    <m/>
    <m/>
    <m/>
    <m/>
    <m/>
    <m/>
  </r>
  <r>
    <n v="786"/>
    <s v="按0.5CBM 起收"/>
    <s v="W24003"/>
    <x v="317"/>
    <s v="E-US"/>
    <s v="美国"/>
    <s v="SJ1-100ML_TZ"/>
    <n v="832"/>
    <x v="3"/>
    <s v="盐田海卡"/>
    <s v="GEU2"/>
    <s v="SJ1-100ML_TZ"/>
    <s v="SJ1-100ML_TZ 四季酒店100mL香氛油（天竺） 销售包装"/>
    <s v="Oil-TZ"/>
    <n v="13"/>
    <n v="0.50304347826086948"/>
    <s v="CBM收费"/>
    <n v="1400"/>
    <n v="180"/>
    <n v="101.73913043478261"/>
    <n v="805.99999999999989"/>
    <n v="0.96874999999999989"/>
    <n v="0.14458955223880596"/>
    <m/>
    <m/>
    <m/>
    <x v="42"/>
    <x v="84"/>
    <m/>
    <m/>
    <m/>
    <m/>
    <m/>
    <m/>
    <m/>
    <m/>
    <m/>
    <m/>
    <m/>
    <m/>
  </r>
  <r>
    <n v="787"/>
    <s v="按0.5CBM 起收"/>
    <s v="W24003"/>
    <x v="317"/>
    <s v="E-US"/>
    <s v="美国"/>
    <s v="HILTON1-100ML_TZ"/>
    <n v="256"/>
    <x v="3"/>
    <s v="盐田海卡"/>
    <s v="GEU2"/>
    <s v="HILTON1-100ML_TZ"/>
    <s v="HILTON1-100ML_TZ 希尔顿酒店100mL香氛油（天竺） 销售包装"/>
    <s v="Oil-TZ"/>
    <n v="4"/>
    <n v="0.15478260869565216"/>
    <s v="CBM收费"/>
    <n v="1400"/>
    <m/>
    <n v="31.304347826086957"/>
    <n v="248"/>
    <n v="0.96875"/>
    <n v="0.14458955223880596"/>
    <m/>
    <m/>
    <m/>
    <x v="42"/>
    <x v="84"/>
    <m/>
    <m/>
    <m/>
    <m/>
    <m/>
    <m/>
    <m/>
    <m/>
    <m/>
    <m/>
    <m/>
    <m/>
  </r>
  <r>
    <n v="788"/>
    <s v="按0.5CBM 起收"/>
    <s v="W24003"/>
    <x v="317"/>
    <s v="E-US"/>
    <s v="美国"/>
    <s v="ATS1_100ML_TZ"/>
    <n v="64"/>
    <x v="3"/>
    <s v="盐田海卡"/>
    <s v="GEU2"/>
    <s v="ATS1_100ML_TZ"/>
    <s v="ATS1_100ML_TZ 亚特兰蒂斯酒店100mL香氛油（天竺） 销售包装"/>
    <s v="Oil-TZ"/>
    <n v="1"/>
    <n v="3.8695652173913041E-2"/>
    <s v="CBM收费"/>
    <n v="1400"/>
    <m/>
    <n v="7.8260869565217392"/>
    <n v="62"/>
    <n v="0.96875"/>
    <n v="0.14458955223880596"/>
    <m/>
    <m/>
    <m/>
    <x v="42"/>
    <x v="84"/>
    <m/>
    <m/>
    <m/>
    <m/>
    <m/>
    <m/>
    <m/>
    <m/>
    <m/>
    <m/>
    <m/>
    <m/>
  </r>
  <r>
    <n v="789"/>
    <s v="按0.5CBM 起收"/>
    <s v="W24004"/>
    <x v="318"/>
    <s v="K-US"/>
    <s v="美国"/>
    <s v="G1-B_YD"/>
    <n v="992"/>
    <x v="3"/>
    <s v="盐田海卡"/>
    <s v="GEU3"/>
    <s v="G1-B_YD"/>
    <s v="G1-B_YD 电子球形把手锁（永定） 黑色"/>
    <s v="G1_YD"/>
    <n v="62"/>
    <n v="2.78"/>
    <s v="CBM收费"/>
    <n v="1200"/>
    <n v="180"/>
    <n v="180"/>
    <n v="3515.9999999999995"/>
    <n v="3.544354838709677"/>
    <n v="0.52900818488204138"/>
    <m/>
    <m/>
    <m/>
    <x v="43"/>
    <x v="84"/>
    <m/>
    <m/>
    <m/>
    <m/>
    <m/>
    <m/>
    <m/>
    <m/>
    <m/>
    <m/>
    <m/>
    <m/>
  </r>
  <r>
    <n v="790"/>
    <m/>
    <s v="W25005"/>
    <x v="319"/>
    <s v="E-US"/>
    <s v="美国"/>
    <s v="001000045"/>
    <n v="210"/>
    <x v="2"/>
    <s v="盐田海卡"/>
    <s v="TCY1"/>
    <s v="ANX-B"/>
    <s v="ANX-B 便携式扩香仪 黑色"/>
    <s v="ANX"/>
    <n v="7"/>
    <n v="92.1786046511628"/>
    <s v="重量收费"/>
    <n v="5.3"/>
    <n v="200"/>
    <n v="13.861386138613861"/>
    <n v="502.4079907897767"/>
    <n v="2.3924190037608413"/>
    <n v="0.35707746324788675"/>
    <m/>
    <m/>
    <m/>
    <x v="45"/>
    <x v="88"/>
    <m/>
    <m/>
    <m/>
    <m/>
    <m/>
    <m/>
    <m/>
    <m/>
    <m/>
    <m/>
    <m/>
    <m/>
  </r>
  <r>
    <n v="791"/>
    <m/>
    <s v="W25005"/>
    <x v="319"/>
    <s v="E-US"/>
    <s v="美国"/>
    <s v="ANZ-B"/>
    <n v="1240"/>
    <x v="2"/>
    <s v="盐田海卡"/>
    <s v="TCY1"/>
    <s v="ANZ-B"/>
    <s v="ANZ-B 便携式扩香仪 黑色"/>
    <s v="ANZ"/>
    <n v="31"/>
    <n v="408.21953488372094"/>
    <s v="重量收费"/>
    <n v="5.3"/>
    <n v="200"/>
    <n v="61.386138613861384"/>
    <n v="2224.9496734975824"/>
    <n v="1.7943142528206308"/>
    <n v="0.26780809743591505"/>
    <m/>
    <m/>
    <m/>
    <x v="45"/>
    <x v="88"/>
    <m/>
    <m/>
    <m/>
    <m/>
    <m/>
    <m/>
    <m/>
    <m/>
    <m/>
    <m/>
    <m/>
    <m/>
  </r>
  <r>
    <n v="792"/>
    <m/>
    <s v="W25005"/>
    <x v="319"/>
    <s v="E-US"/>
    <s v="美国"/>
    <s v="ANZ-WH"/>
    <n v="200"/>
    <x v="2"/>
    <s v="盐田海卡"/>
    <s v="TCY1"/>
    <s v="ANZ-WH"/>
    <s v="ANZ-WH 便携式扩香仪 白色"/>
    <s v="ANZ"/>
    <n v="5"/>
    <n v="65.841860465116284"/>
    <s v="重量收费"/>
    <n v="5.3"/>
    <m/>
    <n v="9.9009900990099009"/>
    <n v="358.86285056412618"/>
    <n v="1.7943142528206308"/>
    <n v="0.26780809743591505"/>
    <m/>
    <m/>
    <m/>
    <x v="45"/>
    <x v="88"/>
    <m/>
    <m/>
    <m/>
    <m/>
    <m/>
    <m/>
    <m/>
    <m/>
    <m/>
    <m/>
    <m/>
    <m/>
  </r>
  <r>
    <n v="793"/>
    <m/>
    <s v="W25003"/>
    <x v="320"/>
    <s v="K-US"/>
    <s v="美国"/>
    <s v="ADXKIT-B_4X10K04_TZ"/>
    <n v="210"/>
    <x v="0"/>
    <s v="盐田海卡"/>
    <s v="GEU2"/>
    <s v="ADXKIT-B_4X10K04_TZ"/>
    <s v="ADXKIT-B_4X10K04_TZ ADX黑色机器+4x10mL酒店（天竺）香氛油 机油套装"/>
    <s v="ADX"/>
    <n v="7"/>
    <n v="114.11926605504587"/>
    <s v="重量收费"/>
    <n v="6.3"/>
    <n v="200"/>
    <n v="9.2105263157894743"/>
    <n v="728.16190246257838"/>
    <n v="3.467437630774183"/>
    <n v="0.51752800459316162"/>
    <m/>
    <m/>
    <m/>
    <x v="45"/>
    <x v="88"/>
    <m/>
    <m/>
    <m/>
    <m/>
    <m/>
    <m/>
    <m/>
    <m/>
    <m/>
    <m/>
    <m/>
    <m/>
  </r>
  <r>
    <n v="794"/>
    <m/>
    <s v="W25003"/>
    <x v="320"/>
    <s v="K-US"/>
    <s v="美国"/>
    <s v="AN8KIT-B_4X10K02"/>
    <n v="300"/>
    <x v="0"/>
    <s v="盐田海卡"/>
    <s v="GEU2"/>
    <s v="AN8KIT-B_4X10K02"/>
    <s v="AN8KIT-B_4X10K02 AN8黑色机器+4x10mL（天竺）香氛油 机油套装"/>
    <s v="AN8"/>
    <n v="10"/>
    <n v="163.02752293577981"/>
    <s v="重量收费"/>
    <n v="6.3"/>
    <n v="200"/>
    <n v="13.157894736842104"/>
    <n v="1040.2312892322548"/>
    <n v="3.4674376307741825"/>
    <n v="0.51752800459316151"/>
    <m/>
    <m/>
    <m/>
    <x v="45"/>
    <x v="88"/>
    <m/>
    <m/>
    <m/>
    <m/>
    <m/>
    <m/>
    <m/>
    <m/>
    <m/>
    <m/>
    <m/>
    <m/>
  </r>
  <r>
    <n v="795"/>
    <m/>
    <s v="W25003"/>
    <x v="320"/>
    <s v="K-US"/>
    <s v="美国"/>
    <s v="AN8KIT-B_4X10K05_TZ"/>
    <n v="2100"/>
    <x v="0"/>
    <s v="盐田海卡"/>
    <s v="GEU2"/>
    <s v="AN8KIT-B_4X10K05_TZ"/>
    <s v="AN8KIT-B_4X10K05_TZ AN8黑色机器+4x10mL（天竺）酒店香氛油 机油套装"/>
    <s v="AN8"/>
    <n v="70"/>
    <n v="1141.1926605504586"/>
    <s v="重量收费"/>
    <n v="6.3"/>
    <m/>
    <n v="92.10526315789474"/>
    <n v="7281.6190246257838"/>
    <n v="3.467437630774183"/>
    <n v="0.51752800459316162"/>
    <m/>
    <m/>
    <m/>
    <x v="45"/>
    <x v="88"/>
    <m/>
    <m/>
    <m/>
    <m/>
    <m/>
    <m/>
    <m/>
    <m/>
    <m/>
    <m/>
    <m/>
    <m/>
  </r>
  <r>
    <n v="796"/>
    <m/>
    <s v="W25003"/>
    <x v="320"/>
    <s v="K-US"/>
    <s v="美国"/>
    <s v="AN8KIT-WH_4X10K05_TZ"/>
    <n v="660"/>
    <x v="0"/>
    <s v="盐田海卡"/>
    <s v="GEU2"/>
    <s v="AN8KIT-WH_4X10K05_TZ"/>
    <s v="AN8KIT-WH_4X10K05_TZ AN8白色机器+4x10mL（天竺）酒店香氛油 机油套装"/>
    <s v="AN8"/>
    <n v="22"/>
    <n v="358.66055045871559"/>
    <s v="重量收费"/>
    <n v="6.3"/>
    <m/>
    <n v="28.94736842105263"/>
    <n v="2288.5088363109608"/>
    <n v="3.467437630774183"/>
    <n v="0.51752800459316162"/>
    <m/>
    <m/>
    <m/>
    <x v="45"/>
    <x v="88"/>
    <m/>
    <m/>
    <m/>
    <m/>
    <m/>
    <m/>
    <m/>
    <m/>
    <m/>
    <m/>
    <m/>
    <m/>
  </r>
  <r>
    <n v="797"/>
    <m/>
    <s v="W25005"/>
    <x v="321"/>
    <s v="V-US"/>
    <s v="美国"/>
    <s v="001000030"/>
    <n v="96"/>
    <x v="2"/>
    <s v="盐田海卡"/>
    <s v="TCY1"/>
    <s v="AN6B-NZB"/>
    <s v="AN6B-NZB 便携式扩香仪套装 黑机器+黑喷嘴"/>
    <s v="AN6"/>
    <n v="3"/>
    <n v="39.504827586206893"/>
    <s v="重量收费"/>
    <n v="5.3"/>
    <n v="200"/>
    <n v="5.9405940594059405"/>
    <n v="215.31618026630247"/>
    <n v="2.242876877773984"/>
    <n v="0.33475774295134086"/>
    <m/>
    <m/>
    <m/>
    <x v="45"/>
    <x v="88"/>
    <m/>
    <m/>
    <m/>
    <m/>
    <m/>
    <m/>
    <m/>
    <m/>
    <m/>
    <m/>
    <m/>
    <m/>
  </r>
  <r>
    <n v="798"/>
    <m/>
    <s v="W25005"/>
    <x v="321"/>
    <s v="V-US"/>
    <s v="美国"/>
    <s v="001000019"/>
    <n v="1600"/>
    <x v="2"/>
    <s v="盐田海卡"/>
    <s v="TCY1"/>
    <s v="AN6-B"/>
    <s v="AN6-B 便携式扩香仪 黑色"/>
    <s v="AN6"/>
    <n v="40"/>
    <n v="526.73103448275856"/>
    <s v="重量收费"/>
    <n v="5.3"/>
    <n v="200"/>
    <n v="79.207920792079207"/>
    <n v="2870.8824035506996"/>
    <n v="1.7943015022191873"/>
    <n v="0.26780619436107272"/>
    <m/>
    <m/>
    <m/>
    <x v="45"/>
    <x v="88"/>
    <m/>
    <m/>
    <m/>
    <m/>
    <m/>
    <m/>
    <m/>
    <m/>
    <m/>
    <m/>
    <m/>
    <m/>
  </r>
  <r>
    <n v="799"/>
    <m/>
    <s v="W25005"/>
    <x v="321"/>
    <s v="V-US"/>
    <s v="美国"/>
    <s v="001000020"/>
    <n v="600"/>
    <x v="2"/>
    <s v="盐田海卡"/>
    <s v="TCY1"/>
    <s v="AN6-W"/>
    <s v="AN6-W 便携式扩香仪 白色"/>
    <s v="AN6"/>
    <n v="15"/>
    <n v="197.52413793103449"/>
    <s v="重量收费"/>
    <n v="5.3"/>
    <m/>
    <n v="29.702970297029704"/>
    <n v="1076.5809013315125"/>
    <n v="1.7943015022191875"/>
    <n v="0.26780619436107278"/>
    <m/>
    <m/>
    <m/>
    <x v="45"/>
    <x v="88"/>
    <m/>
    <m/>
    <m/>
    <m/>
    <m/>
    <m/>
    <m/>
    <m/>
    <m/>
    <m/>
    <m/>
    <m/>
  </r>
  <r>
    <n v="800"/>
    <m/>
    <s v="W25002"/>
    <x v="322"/>
    <s v="E-US"/>
    <s v="美国"/>
    <s v="ANXKIT-B_4X10K04_TZ"/>
    <n v="30"/>
    <x v="0"/>
    <s v="盐田海卡"/>
    <s v="GEU3"/>
    <s v="ANXKIT-B_4X10K04_TZ"/>
    <s v="ANXKIT-B_4X10K04_TZ ANX黑色机器+4x10mL酒店（天竺）香氛油 机油套装"/>
    <s v="ANX"/>
    <n v="1"/>
    <n v="14.058823529411764"/>
    <s v="重量收费"/>
    <n v="6.8"/>
    <n v="200"/>
    <n v="3.7037037037037037"/>
    <n v="99.303703703703704"/>
    <n v="3.3101234567901234"/>
    <n v="0.49404827713285421"/>
    <m/>
    <m/>
    <m/>
    <x v="45"/>
    <x v="88"/>
    <m/>
    <m/>
    <m/>
    <m/>
    <m/>
    <m/>
    <m/>
    <m/>
    <m/>
    <m/>
    <m/>
    <m/>
  </r>
  <r>
    <n v="801"/>
    <m/>
    <s v="W25002"/>
    <x v="322"/>
    <s v="E-US"/>
    <s v="美国"/>
    <s v="AN6KIT-B_RZ30ml"/>
    <n v="480"/>
    <x v="0"/>
    <s v="盐田海卡"/>
    <s v="GEU3"/>
    <s v="AN6KIT-B_RZ30ml"/>
    <s v="AN6KIT-B_RZ30ml AN6黑色机器+30mL丽思香氛油 机油套装"/>
    <s v="AN6"/>
    <n v="16"/>
    <n v="224.94117647058823"/>
    <s v="重量收费"/>
    <n v="6.8"/>
    <n v="200"/>
    <n v="59.25925925925926"/>
    <n v="1588.8592592592593"/>
    <n v="3.3101234567901234"/>
    <n v="0.49404827713285421"/>
    <m/>
    <m/>
    <m/>
    <x v="45"/>
    <x v="88"/>
    <m/>
    <m/>
    <m/>
    <m/>
    <m/>
    <m/>
    <m/>
    <m/>
    <m/>
    <m/>
    <m/>
    <m/>
  </r>
  <r>
    <n v="802"/>
    <m/>
    <s v="W25004"/>
    <x v="323"/>
    <s v="K-US"/>
    <s v="美国"/>
    <s v="AN6KIT-B_2X20K01"/>
    <n v="600"/>
    <x v="2"/>
    <s v="盐田海卡"/>
    <s v="TCY1"/>
    <s v="AN6KIT-B_2X20K01"/>
    <s v="AN6KIT-B_2X20K01 AN6黑色机器+2X20mL酒店香氛油 机油套装"/>
    <s v="AN6"/>
    <n v="20"/>
    <n v="291"/>
    <s v="重量收费"/>
    <n v="5.3"/>
    <n v="200"/>
    <n v="200"/>
    <n v="1742.3"/>
    <n v="2.903833333333333"/>
    <n v="0.4334079601990049"/>
    <m/>
    <m/>
    <m/>
    <x v="45"/>
    <x v="88"/>
    <m/>
    <m/>
    <m/>
    <m/>
    <m/>
    <m/>
    <m/>
    <m/>
    <m/>
    <m/>
    <m/>
    <m/>
  </r>
  <r>
    <n v="803"/>
    <m/>
    <s v="W25001"/>
    <x v="324"/>
    <s v="W-US"/>
    <s v="美国"/>
    <s v="ANA-B_US"/>
    <n v="324"/>
    <x v="7"/>
    <s v="盐田海卡"/>
    <s v="TCY1"/>
    <s v="ANA-B_US"/>
    <s v="ANA-B_US 智能扩香仪 黑色"/>
    <s v="ANA"/>
    <n v="27"/>
    <n v="398.5"/>
    <s v="重量收费"/>
    <n v="6.1"/>
    <n v="200"/>
    <n v="57.446808510638299"/>
    <n v="2488.2968085106381"/>
    <n v="7.6799284213291301"/>
    <n v="1.1462579733327058"/>
    <m/>
    <m/>
    <m/>
    <x v="45"/>
    <x v="88"/>
    <m/>
    <m/>
    <m/>
    <m/>
    <m/>
    <m/>
    <m/>
    <m/>
    <m/>
    <m/>
    <m/>
    <m/>
  </r>
  <r>
    <n v="804"/>
    <m/>
    <s v="W25001"/>
    <x v="324"/>
    <s v="W-US"/>
    <s v="美国"/>
    <s v="ANA-W_US"/>
    <n v="324"/>
    <x v="7"/>
    <s v="盐田海卡"/>
    <s v="TCY1"/>
    <s v="ANA-W_US"/>
    <s v="ANA-W_US 智能扩香仪 白色"/>
    <s v="ANA"/>
    <n v="27"/>
    <n v="398.5"/>
    <s v="重量收费"/>
    <n v="6.1"/>
    <n v="200"/>
    <n v="57.446808510638299"/>
    <n v="2488.2968085106381"/>
    <n v="7.6799284213291301"/>
    <n v="1.1462579733327058"/>
    <m/>
    <m/>
    <m/>
    <x v="45"/>
    <x v="88"/>
    <m/>
    <m/>
    <m/>
    <m/>
    <m/>
    <m/>
    <m/>
    <m/>
    <m/>
    <m/>
    <m/>
    <m/>
  </r>
  <r>
    <n v="805"/>
    <m/>
    <s v="W25002"/>
    <x v="325"/>
    <s v="W-US"/>
    <s v="美国"/>
    <s v="ANAKIT-B_US_2X100K03"/>
    <n v="132"/>
    <x v="0"/>
    <s v="盐田海卡"/>
    <s v="TCY1"/>
    <s v="ANAKIT-B_US_2X100K03"/>
    <s v="ANAKIT-B_US_2X100K03 ANA黑色机器+2X100mL酒店香氛油（天竺） 机油套装"/>
    <s v="ANA"/>
    <n v="11"/>
    <n v="191.71428571428569"/>
    <s v="重量收费"/>
    <n v="6.8"/>
    <n v="200"/>
    <n v="40.74074074074074"/>
    <n v="1344.3978835978833"/>
    <n v="10.184832451499116"/>
    <n v="1.5201242464924052"/>
    <m/>
    <m/>
    <m/>
    <x v="45"/>
    <x v="88"/>
    <m/>
    <m/>
    <m/>
    <m/>
    <m/>
    <m/>
    <m/>
    <m/>
    <m/>
    <m/>
    <m/>
    <m/>
  </r>
  <r>
    <n v="806"/>
    <m/>
    <s v="W25002"/>
    <x v="325"/>
    <s v="W-US"/>
    <s v="美国"/>
    <s v="ANAKIT-WH_US_2X100K03"/>
    <n v="120"/>
    <x v="0"/>
    <s v="盐田海卡"/>
    <s v="TCY1"/>
    <s v="ANAKIT-WH_US_2X100K03"/>
    <s v="ANAKIT-WH_US_2X100K03 ANA白色机器+2X100mL酒店香氛油（天竺） 机油套装"/>
    <s v="ANA"/>
    <n v="10"/>
    <n v="174.28571428571428"/>
    <s v="重量收费"/>
    <n v="6.8"/>
    <n v="200"/>
    <n v="37.037037037037038"/>
    <n v="1222.1798941798941"/>
    <n v="10.184832451499117"/>
    <n v="1.5201242464924056"/>
    <m/>
    <m/>
    <m/>
    <x v="45"/>
    <x v="88"/>
    <m/>
    <m/>
    <m/>
    <m/>
    <m/>
    <m/>
    <m/>
    <m/>
    <m/>
    <m/>
    <m/>
    <m/>
  </r>
  <r>
    <n v="807"/>
    <m/>
    <s v="W25003"/>
    <x v="326"/>
    <s v="K-US"/>
    <s v="美国"/>
    <s v="ANPKIT-B_US_3X20K01_TZ"/>
    <n v="96"/>
    <x v="0"/>
    <s v="盐田海卡"/>
    <s v="GEU2"/>
    <s v="ANPKIT-B_US_3X20K01_TZ"/>
    <s v="ANPKIT-B_US_3X20K01_TZ ANP黑色机器+3X20mL酒店香氛油（天竺） 机油套装"/>
    <s v="ANP"/>
    <n v="3"/>
    <n v="50.441860465116278"/>
    <s v="重量收费"/>
    <n v="6.8"/>
    <n v="200"/>
    <n v="3.9473684210526314"/>
    <n v="346.95201958384337"/>
    <n v="3.6140835373317017"/>
    <n v="0.53941545333308982"/>
    <m/>
    <m/>
    <m/>
    <x v="45"/>
    <x v="88"/>
    <m/>
    <m/>
    <m/>
    <m/>
    <m/>
    <m/>
    <m/>
    <m/>
    <m/>
    <m/>
    <m/>
    <m/>
  </r>
  <r>
    <n v="808"/>
    <m/>
    <s v="W25003"/>
    <x v="326"/>
    <s v="K-US"/>
    <s v="美国"/>
    <s v="U1KIT-B_US_2X50K01_TZ"/>
    <n v="360"/>
    <x v="0"/>
    <s v="盐田海卡"/>
    <s v="GEU2"/>
    <s v="U1KIT-B_US_2X50K01_TZ"/>
    <s v="U1KIT-B_US_2X50K01_TZ U1黑色机器+2X50mL酒店香氛油（天竺） 机油套装"/>
    <s v="U1"/>
    <n v="40"/>
    <n v="672.55813953488371"/>
    <s v="重量收费"/>
    <n v="6.8"/>
    <n v="200"/>
    <n v="52.631578947368418"/>
    <n v="4626.0269277845773"/>
    <n v="12.850074799401604"/>
    <n v="1.9179216118509856"/>
    <m/>
    <m/>
    <m/>
    <x v="45"/>
    <x v="88"/>
    <m/>
    <m/>
    <m/>
    <m/>
    <m/>
    <m/>
    <m/>
    <m/>
    <m/>
    <m/>
    <m/>
    <m/>
  </r>
  <r>
    <n v="809"/>
    <m/>
    <s v="W25002"/>
    <x v="327"/>
    <s v="V-US"/>
    <s v="美国"/>
    <s v="ANWKIT-WH_US_2X100K03"/>
    <n v="192"/>
    <x v="0"/>
    <s v="盐田海卡"/>
    <s v="HLI2"/>
    <s v="ANWKIT-WH_US_2X100K03"/>
    <s v="ANWKIT-WH_US_2X100K03 ANW白色机器+2X100mL酒店香氛油（天竺） 机油套装"/>
    <s v="ANW"/>
    <n v="16"/>
    <n v="280"/>
    <s v="重量收费"/>
    <n v="6.8"/>
    <n v="200"/>
    <n v="59.25925925925926"/>
    <n v="1963.2592592592594"/>
    <n v="10.225308641975309"/>
    <n v="1.5261654689515385"/>
    <m/>
    <m/>
    <m/>
    <x v="45"/>
    <x v="88"/>
    <m/>
    <m/>
    <m/>
    <m/>
    <m/>
    <m/>
    <m/>
    <m/>
    <m/>
    <m/>
    <m/>
    <m/>
  </r>
  <r>
    <n v="810"/>
    <m/>
    <s v="W25001"/>
    <x v="328"/>
    <s v="V-US"/>
    <s v="美国"/>
    <s v="001000033"/>
    <n v="480"/>
    <x v="7"/>
    <s v="盐田海卡"/>
    <s v="HLI2"/>
    <s v="ANW-W"/>
    <s v="ANW-W 智能扩香仪 白色"/>
    <s v="ANW"/>
    <n v="40"/>
    <n v="580"/>
    <s v="重量收费"/>
    <n v="6.3"/>
    <m/>
    <n v="85.106382978723403"/>
    <n v="3739.1063829787236"/>
    <n v="7.7898049645390071"/>
    <n v="1.1626574573938817"/>
    <m/>
    <m/>
    <m/>
    <x v="45"/>
    <x v="88"/>
    <m/>
    <m/>
    <m/>
    <m/>
    <m/>
    <m/>
    <m/>
    <m/>
    <m/>
    <m/>
    <m/>
    <m/>
  </r>
  <r>
    <m/>
    <m/>
    <m/>
    <x v="329"/>
    <m/>
    <m/>
    <m/>
    <m/>
    <x v="11"/>
    <m/>
    <m/>
    <m/>
    <m/>
    <m/>
    <m/>
    <m/>
    <m/>
    <m/>
    <m/>
    <m/>
    <m/>
    <m/>
    <m/>
    <m/>
    <m/>
    <m/>
    <x v="46"/>
    <x v="88"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C718814-5543-4A36-8A75-519B203680B3}" name="数据透视表2" cacheId="1" applyNumberFormats="0" applyBorderFormats="0" applyFontFormats="0" applyPatternFormats="0" applyAlignmentFormats="0" applyWidthHeightFormats="1" dataCaption="值" updatedVersion="8" minRefreshableVersion="5" useAutoFormatting="1" createdVersion="8" indent="0" outline="1" outlineData="1" multipleFieldFilters="0">
  <location ref="B14:H37" firstHeaderRow="1" firstDataRow="2" firstDataCol="1"/>
  <pivotFields count="41">
    <pivotField showAll="0"/>
    <pivotField showAll="0"/>
    <pivotField showAll="0"/>
    <pivotField showAll="0"/>
    <pivotField showAll="0"/>
    <pivotField multipleItemSelectionAllowed="1" showAll="0">
      <items count="8">
        <item h="1" x="5"/>
        <item h="1" x="4"/>
        <item h="1" x="1"/>
        <item h="1" x="3"/>
        <item x="0"/>
        <item h="1" x="2"/>
        <item h="1" x="6"/>
        <item t="default"/>
      </items>
    </pivotField>
    <pivotField showAll="0"/>
    <pivotField showAll="0"/>
    <pivotField showAll="0"/>
    <pivotField axis="axisCol" showAll="0">
      <items count="14">
        <item x="7"/>
        <item x="5"/>
        <item x="1"/>
        <item x="11"/>
        <item x="4"/>
        <item x="0"/>
        <item x="12"/>
        <item x="3"/>
        <item x="6"/>
        <item x="8"/>
        <item x="9"/>
        <item x="10"/>
        <item x="2"/>
        <item t="default"/>
      </items>
    </pivotField>
    <pivotField axis="axisRow" showAll="0" sortType="ascending">
      <items count="41">
        <item x="17"/>
        <item x="13"/>
        <item x="14"/>
        <item x="38"/>
        <item x="22"/>
        <item x="35"/>
        <item x="4"/>
        <item x="5"/>
        <item x="10"/>
        <item x="7"/>
        <item x="6"/>
        <item x="15"/>
        <item x="32"/>
        <item x="23"/>
        <item x="31"/>
        <item x="2"/>
        <item x="11"/>
        <item x="25"/>
        <item x="1"/>
        <item x="0"/>
        <item x="9"/>
        <item x="12"/>
        <item x="33"/>
        <item x="39"/>
        <item x="8"/>
        <item x="29"/>
        <item x="3"/>
        <item x="16"/>
        <item x="18"/>
        <item x="19"/>
        <item x="20"/>
        <item x="21"/>
        <item x="24"/>
        <item x="26"/>
        <item x="27"/>
        <item x="28"/>
        <item x="30"/>
        <item x="34"/>
        <item x="36"/>
        <item x="37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axis="axisRow" showAll="0">
      <items count="4">
        <item sd="0" x="1"/>
        <item x="0"/>
        <item x="2"/>
        <item t="default"/>
      </items>
    </pivotField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28">
        <item x="0"/>
        <item x="1"/>
        <item x="2"/>
        <item x="4"/>
        <item x="3"/>
        <item x="5"/>
        <item x="6"/>
        <item x="8"/>
        <item x="7"/>
        <item x="9"/>
        <item x="10"/>
        <item x="11"/>
        <item x="15"/>
        <item x="12"/>
        <item x="13"/>
        <item x="14"/>
        <item x="17"/>
        <item x="18"/>
        <item x="16"/>
        <item x="21"/>
        <item x="20"/>
        <item x="19"/>
        <item x="23"/>
        <item x="22"/>
        <item x="25"/>
        <item x="24"/>
        <item x="26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2">
    <field x="16"/>
    <field x="10"/>
  </rowFields>
  <rowItems count="22">
    <i>
      <x/>
    </i>
    <i>
      <x v="1"/>
    </i>
    <i r="1">
      <x v="12"/>
    </i>
    <i r="1">
      <x v="14"/>
    </i>
    <i r="1">
      <x v="9"/>
    </i>
    <i r="1">
      <x v="16"/>
    </i>
    <i r="1">
      <x v="7"/>
    </i>
    <i r="1">
      <x v="11"/>
    </i>
    <i r="1">
      <x v="13"/>
    </i>
    <i r="1">
      <x v="18"/>
    </i>
    <i r="1">
      <x v="6"/>
    </i>
    <i r="1">
      <x v="19"/>
    </i>
    <i r="1">
      <x v="33"/>
    </i>
    <i r="1">
      <x v="17"/>
    </i>
    <i r="1">
      <x v="39"/>
    </i>
    <i r="1">
      <x v="32"/>
    </i>
    <i r="1">
      <x v="38"/>
    </i>
    <i r="1">
      <x v="35"/>
    </i>
    <i r="1">
      <x v="5"/>
    </i>
    <i r="1">
      <x v="3"/>
    </i>
    <i r="1">
      <x v="34"/>
    </i>
    <i t="grand">
      <x/>
    </i>
  </rowItems>
  <colFields count="1">
    <field x="9"/>
  </colFields>
  <colItems count="6">
    <i>
      <x v="3"/>
    </i>
    <i>
      <x v="5"/>
    </i>
    <i>
      <x v="8"/>
    </i>
    <i>
      <x v="9"/>
    </i>
    <i>
      <x v="10"/>
    </i>
    <i t="grand">
      <x/>
    </i>
  </colItems>
  <dataFields count="1">
    <dataField name="平均值项:物流单价" fld="17" subtotal="average" baseField="0" baseItem="0" numFmtId="185"/>
  </dataFields>
  <formats count="175">
    <format dxfId="872">
      <pivotArea type="all" dataOnly="0" outline="0" fieldPosition="0"/>
    </format>
    <format dxfId="871">
      <pivotArea outline="0" collapsedLevelsAreSubtotals="1" fieldPosition="0"/>
    </format>
    <format dxfId="870">
      <pivotArea type="origin" dataOnly="0" labelOnly="1" outline="0" fieldPosition="0"/>
    </format>
    <format dxfId="869">
      <pivotArea type="topRight" dataOnly="0" labelOnly="1" outline="0" fieldPosition="0"/>
    </format>
    <format dxfId="868">
      <pivotArea dataOnly="0" labelOnly="1" grandRow="1" outline="0" fieldPosition="0"/>
    </format>
    <format dxfId="867">
      <pivotArea dataOnly="0" labelOnly="1" grandCol="1" outline="0" fieldPosition="0"/>
    </format>
    <format dxfId="866">
      <pivotArea type="all" dataOnly="0" outline="0" fieldPosition="0"/>
    </format>
    <format dxfId="865">
      <pivotArea outline="0" collapsedLevelsAreSubtotals="1" fieldPosition="0"/>
    </format>
    <format dxfId="864">
      <pivotArea type="origin" dataOnly="0" labelOnly="1" outline="0" fieldPosition="0"/>
    </format>
    <format dxfId="863">
      <pivotArea type="topRight" dataOnly="0" labelOnly="1" outline="0" fieldPosition="0"/>
    </format>
    <format dxfId="862">
      <pivotArea dataOnly="0" labelOnly="1" grandRow="1" outline="0" fieldPosition="0"/>
    </format>
    <format dxfId="861">
      <pivotArea dataOnly="0" labelOnly="1" grandCol="1" outline="0" fieldPosition="0"/>
    </format>
    <format dxfId="860">
      <pivotArea type="all" dataOnly="0" outline="0" fieldPosition="0"/>
    </format>
    <format dxfId="859">
      <pivotArea outline="0" collapsedLevelsAreSubtotals="1" fieldPosition="0"/>
    </format>
    <format dxfId="858">
      <pivotArea type="origin" dataOnly="0" labelOnly="1" outline="0" fieldPosition="0"/>
    </format>
    <format dxfId="857">
      <pivotArea type="topRight" dataOnly="0" labelOnly="1" outline="0" fieldPosition="0"/>
    </format>
    <format dxfId="856">
      <pivotArea dataOnly="0" labelOnly="1" grandRow="1" outline="0" fieldPosition="0"/>
    </format>
    <format dxfId="855">
      <pivotArea dataOnly="0" labelOnly="1" grandCol="1" outline="0" fieldPosition="0"/>
    </format>
    <format dxfId="854">
      <pivotArea outline="0" collapsedLevelsAreSubtotals="1" fieldPosition="0"/>
    </format>
    <format dxfId="853">
      <pivotArea outline="0" collapsedLevelsAreSubtotals="1" fieldPosition="0"/>
    </format>
    <format dxfId="852">
      <pivotArea type="all" dataOnly="0" outline="0" fieldPosition="0"/>
    </format>
    <format dxfId="851">
      <pivotArea type="all" dataOnly="0" outline="0" fieldPosition="0"/>
    </format>
    <format dxfId="850">
      <pivotArea outline="0" collapsedLevelsAreSubtotals="1" fieldPosition="0"/>
    </format>
    <format dxfId="849">
      <pivotArea type="origin" dataOnly="0" labelOnly="1" outline="0" fieldPosition="0"/>
    </format>
    <format dxfId="848">
      <pivotArea type="topRight" dataOnly="0" labelOnly="1" outline="0" fieldPosition="0"/>
    </format>
    <format dxfId="847">
      <pivotArea field="16" type="button" dataOnly="0" labelOnly="1" outline="0" axis="axisRow" fieldPosition="0"/>
    </format>
    <format dxfId="846">
      <pivotArea dataOnly="0" labelOnly="1" fieldPosition="0">
        <references count="1">
          <reference field="16" count="2">
            <x v="0"/>
            <x v="1"/>
          </reference>
        </references>
      </pivotArea>
    </format>
    <format dxfId="845">
      <pivotArea dataOnly="0" labelOnly="1" grandRow="1" outline="0" fieldPosition="0"/>
    </format>
    <format dxfId="844">
      <pivotArea dataOnly="0" labelOnly="1" grandCol="1" outline="0" fieldPosition="0"/>
    </format>
    <format dxfId="843">
      <pivotArea type="all" dataOnly="0" outline="0" fieldPosition="0"/>
    </format>
    <format dxfId="842">
      <pivotArea outline="0" collapsedLevelsAreSubtotals="1" fieldPosition="0"/>
    </format>
    <format dxfId="841">
      <pivotArea type="origin" dataOnly="0" labelOnly="1" outline="0" fieldPosition="0"/>
    </format>
    <format dxfId="840">
      <pivotArea type="topRight" dataOnly="0" labelOnly="1" outline="0" fieldPosition="0"/>
    </format>
    <format dxfId="839">
      <pivotArea field="16" type="button" dataOnly="0" labelOnly="1" outline="0" axis="axisRow" fieldPosition="0"/>
    </format>
    <format dxfId="838">
      <pivotArea dataOnly="0" labelOnly="1" fieldPosition="0">
        <references count="1">
          <reference field="16" count="2">
            <x v="0"/>
            <x v="1"/>
          </reference>
        </references>
      </pivotArea>
    </format>
    <format dxfId="837">
      <pivotArea dataOnly="0" labelOnly="1" grandRow="1" outline="0" fieldPosition="0"/>
    </format>
    <format dxfId="836">
      <pivotArea dataOnly="0" labelOnly="1" grandCol="1" outline="0" fieldPosition="0"/>
    </format>
    <format dxfId="835">
      <pivotArea type="all" dataOnly="0" outline="0" fieldPosition="0"/>
    </format>
    <format dxfId="834">
      <pivotArea outline="0" collapsedLevelsAreSubtotals="1" fieldPosition="0"/>
    </format>
    <format dxfId="833">
      <pivotArea type="origin" dataOnly="0" labelOnly="1" outline="0" fieldPosition="0"/>
    </format>
    <format dxfId="832">
      <pivotArea type="topRight" dataOnly="0" labelOnly="1" outline="0" fieldPosition="0"/>
    </format>
    <format dxfId="831">
      <pivotArea field="16" type="button" dataOnly="0" labelOnly="1" outline="0" axis="axisRow" fieldPosition="0"/>
    </format>
    <format dxfId="830">
      <pivotArea dataOnly="0" labelOnly="1" fieldPosition="0">
        <references count="1">
          <reference field="16" count="2">
            <x v="0"/>
            <x v="1"/>
          </reference>
        </references>
      </pivotArea>
    </format>
    <format dxfId="829">
      <pivotArea dataOnly="0" labelOnly="1" grandRow="1" outline="0" fieldPosition="0"/>
    </format>
    <format dxfId="828">
      <pivotArea dataOnly="0" labelOnly="1" grandCol="1" outline="0" fieldPosition="0"/>
    </format>
    <format dxfId="827">
      <pivotArea type="all" dataOnly="0" outline="0" fieldPosition="0"/>
    </format>
    <format dxfId="826">
      <pivotArea type="all" dataOnly="0" outline="0" fieldPosition="0"/>
    </format>
    <format dxfId="825">
      <pivotArea type="all" dataOnly="0" outline="0" fieldPosition="0"/>
    </format>
    <format dxfId="824">
      <pivotArea type="all" dataOnly="0" outline="0" fieldPosition="0"/>
    </format>
    <format dxfId="823">
      <pivotArea type="all" dataOnly="0" outline="0" fieldPosition="0"/>
    </format>
    <format dxfId="822">
      <pivotArea type="all" dataOnly="0" outline="0" fieldPosition="0"/>
    </format>
    <format dxfId="821">
      <pivotArea type="all" dataOnly="0" outline="0" fieldPosition="0"/>
    </format>
    <format dxfId="820">
      <pivotArea type="all" dataOnly="0" outline="0" fieldPosition="0"/>
    </format>
    <format dxfId="819">
      <pivotArea type="all" dataOnly="0" outline="0" fieldPosition="0"/>
    </format>
    <format dxfId="818">
      <pivotArea type="all" dataOnly="0" outline="0" fieldPosition="0"/>
    </format>
    <format dxfId="817">
      <pivotArea type="all" dataOnly="0" outline="0" fieldPosition="0"/>
    </format>
    <format dxfId="816">
      <pivotArea type="all" dataOnly="0" outline="0" fieldPosition="0"/>
    </format>
    <format dxfId="815">
      <pivotArea collapsedLevelsAreSubtotals="1" fieldPosition="0">
        <references count="3">
          <reference field="9" count="2" selected="0">
            <x v="3"/>
            <x v="5"/>
          </reference>
          <reference field="10" count="6">
            <x v="6"/>
            <x v="7"/>
            <x v="8"/>
            <x v="11"/>
            <x v="15"/>
            <x v="19"/>
          </reference>
          <reference field="16" count="1" selected="0">
            <x v="0"/>
          </reference>
        </references>
      </pivotArea>
    </format>
    <format dxfId="814">
      <pivotArea grandCol="1" collapsedLevelsAreSubtotals="1" fieldPosition="0">
        <references count="2">
          <reference field="10" count="6">
            <x v="6"/>
            <x v="7"/>
            <x v="8"/>
            <x v="11"/>
            <x v="15"/>
            <x v="19"/>
          </reference>
          <reference field="16" count="1" selected="0">
            <x v="0"/>
          </reference>
        </references>
      </pivotArea>
    </format>
    <format dxfId="813">
      <pivotArea type="all" dataOnly="0" outline="0" fieldPosition="0"/>
    </format>
    <format dxfId="812">
      <pivotArea outline="0" collapsedLevelsAreSubtotals="1" fieldPosition="0"/>
    </format>
    <format dxfId="811">
      <pivotArea type="origin" dataOnly="0" labelOnly="1" outline="0" fieldPosition="0"/>
    </format>
    <format dxfId="810">
      <pivotArea field="9" type="button" dataOnly="0" labelOnly="1" outline="0" axis="axisCol" fieldPosition="0"/>
    </format>
    <format dxfId="809">
      <pivotArea type="topRight" dataOnly="0" labelOnly="1" outline="0" fieldPosition="0"/>
    </format>
    <format dxfId="808">
      <pivotArea field="16" type="button" dataOnly="0" labelOnly="1" outline="0" axis="axisRow" fieldPosition="0"/>
    </format>
    <format dxfId="807">
      <pivotArea dataOnly="0" labelOnly="1" fieldPosition="0">
        <references count="1">
          <reference field="16" count="2">
            <x v="0"/>
            <x v="1"/>
          </reference>
        </references>
      </pivotArea>
    </format>
    <format dxfId="806">
      <pivotArea dataOnly="0" labelOnly="1" grandRow="1" outline="0" fieldPosition="0"/>
    </format>
    <format dxfId="805">
      <pivotArea dataOnly="0" labelOnly="1" fieldPosition="0">
        <references count="2">
          <reference field="10" count="6">
            <x v="6"/>
            <x v="7"/>
            <x v="8"/>
            <x v="11"/>
            <x v="15"/>
            <x v="19"/>
          </reference>
          <reference field="16" count="1" selected="0">
            <x v="0"/>
          </reference>
        </references>
      </pivotArea>
    </format>
    <format dxfId="804">
      <pivotArea dataOnly="0" labelOnly="1" fieldPosition="0">
        <references count="2">
          <reference field="10" count="16">
            <x v="0"/>
            <x v="3"/>
            <x v="5"/>
            <x v="6"/>
            <x v="7"/>
            <x v="8"/>
            <x v="9"/>
            <x v="11"/>
            <x v="12"/>
            <x v="13"/>
            <x v="14"/>
            <x v="15"/>
            <x v="16"/>
            <x v="17"/>
            <x v="18"/>
            <x v="19"/>
          </reference>
          <reference field="16" count="1" selected="0">
            <x v="1"/>
          </reference>
        </references>
      </pivotArea>
    </format>
    <format dxfId="803">
      <pivotArea dataOnly="0" labelOnly="1" fieldPosition="0">
        <references count="1">
          <reference field="9" count="3">
            <x v="2"/>
            <x v="3"/>
            <x v="5"/>
          </reference>
        </references>
      </pivotArea>
    </format>
    <format dxfId="802">
      <pivotArea dataOnly="0" labelOnly="1" grandCol="1" outline="0" fieldPosition="0"/>
    </format>
    <format dxfId="801">
      <pivotArea type="all" dataOnly="0" outline="0" fieldPosition="0"/>
    </format>
    <format dxfId="800">
      <pivotArea outline="0" collapsedLevelsAreSubtotals="1" fieldPosition="0"/>
    </format>
    <format dxfId="799">
      <pivotArea type="origin" dataOnly="0" labelOnly="1" outline="0" fieldPosition="0"/>
    </format>
    <format dxfId="798">
      <pivotArea field="9" type="button" dataOnly="0" labelOnly="1" outline="0" axis="axisCol" fieldPosition="0"/>
    </format>
    <format dxfId="797">
      <pivotArea type="topRight" dataOnly="0" labelOnly="1" outline="0" fieldPosition="0"/>
    </format>
    <format dxfId="796">
      <pivotArea field="16" type="button" dataOnly="0" labelOnly="1" outline="0" axis="axisRow" fieldPosition="0"/>
    </format>
    <format dxfId="795">
      <pivotArea dataOnly="0" labelOnly="1" fieldPosition="0">
        <references count="1">
          <reference field="16" count="2">
            <x v="0"/>
            <x v="1"/>
          </reference>
        </references>
      </pivotArea>
    </format>
    <format dxfId="794">
      <pivotArea dataOnly="0" labelOnly="1" grandRow="1" outline="0" fieldPosition="0"/>
    </format>
    <format dxfId="793">
      <pivotArea dataOnly="0" labelOnly="1" fieldPosition="0">
        <references count="2">
          <reference field="10" count="6">
            <x v="6"/>
            <x v="7"/>
            <x v="8"/>
            <x v="11"/>
            <x v="15"/>
            <x v="19"/>
          </reference>
          <reference field="16" count="1" selected="0">
            <x v="0"/>
          </reference>
        </references>
      </pivotArea>
    </format>
    <format dxfId="792">
      <pivotArea dataOnly="0" labelOnly="1" fieldPosition="0">
        <references count="2">
          <reference field="10" count="16">
            <x v="0"/>
            <x v="3"/>
            <x v="5"/>
            <x v="6"/>
            <x v="7"/>
            <x v="8"/>
            <x v="9"/>
            <x v="11"/>
            <x v="12"/>
            <x v="13"/>
            <x v="14"/>
            <x v="15"/>
            <x v="16"/>
            <x v="17"/>
            <x v="18"/>
            <x v="19"/>
          </reference>
          <reference field="16" count="1" selected="0">
            <x v="1"/>
          </reference>
        </references>
      </pivotArea>
    </format>
    <format dxfId="791">
      <pivotArea dataOnly="0" labelOnly="1" fieldPosition="0">
        <references count="1">
          <reference field="9" count="3">
            <x v="2"/>
            <x v="3"/>
            <x v="5"/>
          </reference>
        </references>
      </pivotArea>
    </format>
    <format dxfId="790">
      <pivotArea dataOnly="0" labelOnly="1" grandCol="1" outline="0" fieldPosition="0"/>
    </format>
    <format dxfId="789">
      <pivotArea type="all" dataOnly="0" outline="0" fieldPosition="0"/>
    </format>
    <format dxfId="788">
      <pivotArea outline="0" collapsedLevelsAreSubtotals="1" fieldPosition="0"/>
    </format>
    <format dxfId="787">
      <pivotArea type="origin" dataOnly="0" labelOnly="1" outline="0" fieldPosition="0"/>
    </format>
    <format dxfId="786">
      <pivotArea field="9" type="button" dataOnly="0" labelOnly="1" outline="0" axis="axisCol" fieldPosition="0"/>
    </format>
    <format dxfId="785">
      <pivotArea type="topRight" dataOnly="0" labelOnly="1" outline="0" fieldPosition="0"/>
    </format>
    <format dxfId="784">
      <pivotArea field="16" type="button" dataOnly="0" labelOnly="1" outline="0" axis="axisRow" fieldPosition="0"/>
    </format>
    <format dxfId="783">
      <pivotArea dataOnly="0" labelOnly="1" fieldPosition="0">
        <references count="1">
          <reference field="16" count="2">
            <x v="0"/>
            <x v="1"/>
          </reference>
        </references>
      </pivotArea>
    </format>
    <format dxfId="782">
      <pivotArea dataOnly="0" labelOnly="1" grandRow="1" outline="0" fieldPosition="0"/>
    </format>
    <format dxfId="781">
      <pivotArea dataOnly="0" labelOnly="1" fieldPosition="0">
        <references count="2">
          <reference field="10" count="6">
            <x v="6"/>
            <x v="7"/>
            <x v="8"/>
            <x v="11"/>
            <x v="15"/>
            <x v="19"/>
          </reference>
          <reference field="16" count="1" selected="0">
            <x v="0"/>
          </reference>
        </references>
      </pivotArea>
    </format>
    <format dxfId="780">
      <pivotArea dataOnly="0" labelOnly="1" fieldPosition="0">
        <references count="2">
          <reference field="10" count="16">
            <x v="0"/>
            <x v="3"/>
            <x v="5"/>
            <x v="6"/>
            <x v="7"/>
            <x v="8"/>
            <x v="9"/>
            <x v="11"/>
            <x v="12"/>
            <x v="13"/>
            <x v="14"/>
            <x v="15"/>
            <x v="16"/>
            <x v="17"/>
            <x v="18"/>
            <x v="19"/>
          </reference>
          <reference field="16" count="1" selected="0">
            <x v="1"/>
          </reference>
        </references>
      </pivotArea>
    </format>
    <format dxfId="779">
      <pivotArea dataOnly="0" labelOnly="1" fieldPosition="0">
        <references count="1">
          <reference field="9" count="3">
            <x v="2"/>
            <x v="3"/>
            <x v="5"/>
          </reference>
        </references>
      </pivotArea>
    </format>
    <format dxfId="778">
      <pivotArea dataOnly="0" labelOnly="1" grandCol="1" outline="0" fieldPosition="0"/>
    </format>
    <format dxfId="777">
      <pivotArea type="all" dataOnly="0" outline="0" fieldPosition="0"/>
    </format>
    <format dxfId="776">
      <pivotArea outline="0" collapsedLevelsAreSubtotals="1" fieldPosition="0"/>
    </format>
    <format dxfId="775">
      <pivotArea type="origin" dataOnly="0" labelOnly="1" outline="0" fieldPosition="0"/>
    </format>
    <format dxfId="774">
      <pivotArea field="9" type="button" dataOnly="0" labelOnly="1" outline="0" axis="axisCol" fieldPosition="0"/>
    </format>
    <format dxfId="773">
      <pivotArea type="topRight" dataOnly="0" labelOnly="1" outline="0" fieldPosition="0"/>
    </format>
    <format dxfId="772">
      <pivotArea field="16" type="button" dataOnly="0" labelOnly="1" outline="0" axis="axisRow" fieldPosition="0"/>
    </format>
    <format dxfId="771">
      <pivotArea dataOnly="0" labelOnly="1" fieldPosition="0">
        <references count="1">
          <reference field="16" count="2">
            <x v="0"/>
            <x v="1"/>
          </reference>
        </references>
      </pivotArea>
    </format>
    <format dxfId="770">
      <pivotArea dataOnly="0" labelOnly="1" grandRow="1" outline="0" fieldPosition="0"/>
    </format>
    <format dxfId="769">
      <pivotArea dataOnly="0" labelOnly="1" fieldPosition="0">
        <references count="2">
          <reference field="10" count="6">
            <x v="6"/>
            <x v="7"/>
            <x v="8"/>
            <x v="11"/>
            <x v="15"/>
            <x v="19"/>
          </reference>
          <reference field="16" count="1" selected="0">
            <x v="0"/>
          </reference>
        </references>
      </pivotArea>
    </format>
    <format dxfId="768">
      <pivotArea dataOnly="0" labelOnly="1" fieldPosition="0">
        <references count="2">
          <reference field="10" count="16">
            <x v="0"/>
            <x v="3"/>
            <x v="5"/>
            <x v="6"/>
            <x v="7"/>
            <x v="8"/>
            <x v="9"/>
            <x v="11"/>
            <x v="12"/>
            <x v="13"/>
            <x v="14"/>
            <x v="15"/>
            <x v="16"/>
            <x v="17"/>
            <x v="18"/>
            <x v="19"/>
          </reference>
          <reference field="16" count="1" selected="0">
            <x v="1"/>
          </reference>
        </references>
      </pivotArea>
    </format>
    <format dxfId="767">
      <pivotArea dataOnly="0" labelOnly="1" fieldPosition="0">
        <references count="1">
          <reference field="9" count="6">
            <x v="2"/>
            <x v="3"/>
            <x v="5"/>
            <x v="8"/>
            <x v="9"/>
            <x v="10"/>
          </reference>
        </references>
      </pivotArea>
    </format>
    <format dxfId="766">
      <pivotArea dataOnly="0" labelOnly="1" grandCol="1" outline="0" fieldPosition="0"/>
    </format>
    <format dxfId="765">
      <pivotArea type="all" dataOnly="0" outline="0" fieldPosition="0"/>
    </format>
    <format dxfId="764">
      <pivotArea outline="0" collapsedLevelsAreSubtotals="1" fieldPosition="0"/>
    </format>
    <format dxfId="763">
      <pivotArea type="origin" dataOnly="0" labelOnly="1" outline="0" fieldPosition="0"/>
    </format>
    <format dxfId="762">
      <pivotArea field="9" type="button" dataOnly="0" labelOnly="1" outline="0" axis="axisCol" fieldPosition="0"/>
    </format>
    <format dxfId="761">
      <pivotArea type="topRight" dataOnly="0" labelOnly="1" outline="0" fieldPosition="0"/>
    </format>
    <format dxfId="760">
      <pivotArea field="16" type="button" dataOnly="0" labelOnly="1" outline="0" axis="axisRow" fieldPosition="0"/>
    </format>
    <format dxfId="759">
      <pivotArea dataOnly="0" labelOnly="1" fieldPosition="0">
        <references count="1">
          <reference field="16" count="2">
            <x v="0"/>
            <x v="1"/>
          </reference>
        </references>
      </pivotArea>
    </format>
    <format dxfId="758">
      <pivotArea dataOnly="0" labelOnly="1" grandRow="1" outline="0" fieldPosition="0"/>
    </format>
    <format dxfId="757">
      <pivotArea dataOnly="0" labelOnly="1" fieldPosition="0">
        <references count="2">
          <reference field="10" count="6">
            <x v="6"/>
            <x v="7"/>
            <x v="8"/>
            <x v="11"/>
            <x v="15"/>
            <x v="19"/>
          </reference>
          <reference field="16" count="1" selected="0">
            <x v="0"/>
          </reference>
        </references>
      </pivotArea>
    </format>
    <format dxfId="756">
      <pivotArea dataOnly="0" labelOnly="1" fieldPosition="0">
        <references count="2">
          <reference field="10" count="16">
            <x v="0"/>
            <x v="3"/>
            <x v="5"/>
            <x v="6"/>
            <x v="7"/>
            <x v="8"/>
            <x v="9"/>
            <x v="11"/>
            <x v="12"/>
            <x v="13"/>
            <x v="14"/>
            <x v="15"/>
            <x v="16"/>
            <x v="17"/>
            <x v="18"/>
            <x v="19"/>
          </reference>
          <reference field="16" count="1" selected="0">
            <x v="1"/>
          </reference>
        </references>
      </pivotArea>
    </format>
    <format dxfId="755">
      <pivotArea dataOnly="0" labelOnly="1" fieldPosition="0">
        <references count="1">
          <reference field="9" count="6">
            <x v="2"/>
            <x v="3"/>
            <x v="5"/>
            <x v="8"/>
            <x v="9"/>
            <x v="10"/>
          </reference>
        </references>
      </pivotArea>
    </format>
    <format dxfId="754">
      <pivotArea dataOnly="0" labelOnly="1" grandCol="1" outline="0" fieldPosition="0"/>
    </format>
    <format dxfId="753">
      <pivotArea type="all" dataOnly="0" outline="0" fieldPosition="0"/>
    </format>
    <format dxfId="752">
      <pivotArea outline="0" collapsedLevelsAreSubtotals="1" fieldPosition="0"/>
    </format>
    <format dxfId="751">
      <pivotArea type="origin" dataOnly="0" labelOnly="1" outline="0" fieldPosition="0"/>
    </format>
    <format dxfId="750">
      <pivotArea field="9" type="button" dataOnly="0" labelOnly="1" outline="0" axis="axisCol" fieldPosition="0"/>
    </format>
    <format dxfId="749">
      <pivotArea type="topRight" dataOnly="0" labelOnly="1" outline="0" fieldPosition="0"/>
    </format>
    <format dxfId="748">
      <pivotArea field="16" type="button" dataOnly="0" labelOnly="1" outline="0" axis="axisRow" fieldPosition="0"/>
    </format>
    <format dxfId="747">
      <pivotArea dataOnly="0" labelOnly="1" fieldPosition="0">
        <references count="1">
          <reference field="16" count="2">
            <x v="0"/>
            <x v="1"/>
          </reference>
        </references>
      </pivotArea>
    </format>
    <format dxfId="746">
      <pivotArea dataOnly="0" labelOnly="1" grandRow="1" outline="0" fieldPosition="0"/>
    </format>
    <format dxfId="745">
      <pivotArea dataOnly="0" labelOnly="1" fieldPosition="0">
        <references count="2">
          <reference field="10" count="6">
            <x v="6"/>
            <x v="7"/>
            <x v="8"/>
            <x v="11"/>
            <x v="15"/>
            <x v="19"/>
          </reference>
          <reference field="16" count="1" selected="0">
            <x v="0"/>
          </reference>
        </references>
      </pivotArea>
    </format>
    <format dxfId="744">
      <pivotArea dataOnly="0" labelOnly="1" fieldPosition="0">
        <references count="2">
          <reference field="10" count="16">
            <x v="0"/>
            <x v="3"/>
            <x v="5"/>
            <x v="6"/>
            <x v="7"/>
            <x v="8"/>
            <x v="9"/>
            <x v="11"/>
            <x v="12"/>
            <x v="13"/>
            <x v="14"/>
            <x v="15"/>
            <x v="16"/>
            <x v="17"/>
            <x v="18"/>
            <x v="19"/>
          </reference>
          <reference field="16" count="1" selected="0">
            <x v="1"/>
          </reference>
        </references>
      </pivotArea>
    </format>
    <format dxfId="743">
      <pivotArea dataOnly="0" labelOnly="1" fieldPosition="0">
        <references count="1">
          <reference field="9" count="6">
            <x v="2"/>
            <x v="3"/>
            <x v="5"/>
            <x v="8"/>
            <x v="9"/>
            <x v="10"/>
          </reference>
        </references>
      </pivotArea>
    </format>
    <format dxfId="742">
      <pivotArea dataOnly="0" labelOnly="1" grandCol="1" outline="0" fieldPosition="0"/>
    </format>
    <format dxfId="741">
      <pivotArea type="all" dataOnly="0" outline="0" fieldPosition="0"/>
    </format>
    <format dxfId="740">
      <pivotArea outline="0" collapsedLevelsAreSubtotals="1" fieldPosition="0"/>
    </format>
    <format dxfId="739">
      <pivotArea type="origin" dataOnly="0" labelOnly="1" outline="0" fieldPosition="0"/>
    </format>
    <format dxfId="738">
      <pivotArea field="9" type="button" dataOnly="0" labelOnly="1" outline="0" axis="axisCol" fieldPosition="0"/>
    </format>
    <format dxfId="737">
      <pivotArea type="topRight" dataOnly="0" labelOnly="1" outline="0" fieldPosition="0"/>
    </format>
    <format dxfId="736">
      <pivotArea field="16" type="button" dataOnly="0" labelOnly="1" outline="0" axis="axisRow" fieldPosition="0"/>
    </format>
    <format dxfId="735">
      <pivotArea dataOnly="0" labelOnly="1" fieldPosition="0">
        <references count="1">
          <reference field="16" count="2">
            <x v="0"/>
            <x v="1"/>
          </reference>
        </references>
      </pivotArea>
    </format>
    <format dxfId="734">
      <pivotArea dataOnly="0" labelOnly="1" grandRow="1" outline="0" fieldPosition="0"/>
    </format>
    <format dxfId="733">
      <pivotArea dataOnly="0" labelOnly="1" fieldPosition="0">
        <references count="2">
          <reference field="10" count="19">
            <x v="3"/>
            <x v="5"/>
            <x v="6"/>
            <x v="7"/>
            <x v="9"/>
            <x v="11"/>
            <x v="12"/>
            <x v="13"/>
            <x v="14"/>
            <x v="16"/>
            <x v="17"/>
            <x v="18"/>
            <x v="19"/>
            <x v="32"/>
            <x v="33"/>
            <x v="34"/>
            <x v="35"/>
            <x v="38"/>
            <x v="39"/>
          </reference>
          <reference field="16" count="1" selected="0">
            <x v="1"/>
          </reference>
        </references>
      </pivotArea>
    </format>
    <format dxfId="732">
      <pivotArea dataOnly="0" labelOnly="1" fieldPosition="0">
        <references count="1">
          <reference field="9" count="5">
            <x v="3"/>
            <x v="5"/>
            <x v="8"/>
            <x v="9"/>
            <x v="10"/>
          </reference>
        </references>
      </pivotArea>
    </format>
    <format dxfId="731">
      <pivotArea dataOnly="0" labelOnly="1" grandCol="1" outline="0" fieldPosition="0"/>
    </format>
    <format dxfId="730">
      <pivotArea type="all" dataOnly="0" outline="0" fieldPosition="0"/>
    </format>
    <format dxfId="729">
      <pivotArea outline="0" collapsedLevelsAreSubtotals="1" fieldPosition="0"/>
    </format>
    <format dxfId="728">
      <pivotArea type="origin" dataOnly="0" labelOnly="1" outline="0" fieldPosition="0"/>
    </format>
    <format dxfId="727">
      <pivotArea field="9" type="button" dataOnly="0" labelOnly="1" outline="0" axis="axisCol" fieldPosition="0"/>
    </format>
    <format dxfId="726">
      <pivotArea type="topRight" dataOnly="0" labelOnly="1" outline="0" fieldPosition="0"/>
    </format>
    <format dxfId="725">
      <pivotArea field="16" type="button" dataOnly="0" labelOnly="1" outline="0" axis="axisRow" fieldPosition="0"/>
    </format>
    <format dxfId="724">
      <pivotArea dataOnly="0" labelOnly="1" fieldPosition="0">
        <references count="1">
          <reference field="16" count="2">
            <x v="0"/>
            <x v="1"/>
          </reference>
        </references>
      </pivotArea>
    </format>
    <format dxfId="723">
      <pivotArea dataOnly="0" labelOnly="1" grandRow="1" outline="0" fieldPosition="0"/>
    </format>
    <format dxfId="722">
      <pivotArea dataOnly="0" labelOnly="1" fieldPosition="0">
        <references count="2">
          <reference field="10" count="19">
            <x v="3"/>
            <x v="5"/>
            <x v="6"/>
            <x v="7"/>
            <x v="9"/>
            <x v="11"/>
            <x v="12"/>
            <x v="13"/>
            <x v="14"/>
            <x v="16"/>
            <x v="17"/>
            <x v="18"/>
            <x v="19"/>
            <x v="32"/>
            <x v="33"/>
            <x v="34"/>
            <x v="35"/>
            <x v="38"/>
            <x v="39"/>
          </reference>
          <reference field="16" count="1" selected="0">
            <x v="1"/>
          </reference>
        </references>
      </pivotArea>
    </format>
    <format dxfId="721">
      <pivotArea dataOnly="0" labelOnly="1" fieldPosition="0">
        <references count="1">
          <reference field="9" count="5">
            <x v="3"/>
            <x v="5"/>
            <x v="8"/>
            <x v="9"/>
            <x v="10"/>
          </reference>
        </references>
      </pivotArea>
    </format>
    <format dxfId="720">
      <pivotArea dataOnly="0" labelOnly="1" grandCol="1" outline="0" fieldPosition="0"/>
    </format>
    <format dxfId="719">
      <pivotArea type="all" dataOnly="0" outline="0" fieldPosition="0"/>
    </format>
    <format dxfId="718">
      <pivotArea outline="0" collapsedLevelsAreSubtotals="1" fieldPosition="0"/>
    </format>
    <format dxfId="717">
      <pivotArea type="origin" dataOnly="0" labelOnly="1" outline="0" fieldPosition="0"/>
    </format>
    <format dxfId="716">
      <pivotArea field="9" type="button" dataOnly="0" labelOnly="1" outline="0" axis="axisCol" fieldPosition="0"/>
    </format>
    <format dxfId="715">
      <pivotArea type="topRight" dataOnly="0" labelOnly="1" outline="0" fieldPosition="0"/>
    </format>
    <format dxfId="714">
      <pivotArea field="16" type="button" dataOnly="0" labelOnly="1" outline="0" axis="axisRow" fieldPosition="0"/>
    </format>
    <format dxfId="713">
      <pivotArea dataOnly="0" labelOnly="1" fieldPosition="0">
        <references count="1">
          <reference field="16" count="2">
            <x v="0"/>
            <x v="1"/>
          </reference>
        </references>
      </pivotArea>
    </format>
    <format dxfId="712">
      <pivotArea dataOnly="0" labelOnly="1" grandRow="1" outline="0" fieldPosition="0"/>
    </format>
    <format dxfId="711">
      <pivotArea dataOnly="0" labelOnly="1" fieldPosition="0">
        <references count="2">
          <reference field="10" count="19">
            <x v="3"/>
            <x v="5"/>
            <x v="6"/>
            <x v="7"/>
            <x v="9"/>
            <x v="11"/>
            <x v="12"/>
            <x v="13"/>
            <x v="14"/>
            <x v="16"/>
            <x v="17"/>
            <x v="18"/>
            <x v="19"/>
            <x v="32"/>
            <x v="33"/>
            <x v="34"/>
            <x v="35"/>
            <x v="38"/>
            <x v="39"/>
          </reference>
          <reference field="16" count="1" selected="0">
            <x v="1"/>
          </reference>
        </references>
      </pivotArea>
    </format>
    <format dxfId="710">
      <pivotArea dataOnly="0" labelOnly="1" fieldPosition="0">
        <references count="1">
          <reference field="9" count="5">
            <x v="3"/>
            <x v="5"/>
            <x v="8"/>
            <x v="9"/>
            <x v="10"/>
          </reference>
        </references>
      </pivotArea>
    </format>
    <format dxfId="709">
      <pivotArea dataOnly="0" labelOnly="1" grandCol="1" outline="0" fieldPosition="0"/>
    </format>
    <format dxfId="708">
      <pivotArea type="all" dataOnly="0" outline="0" fieldPosition="0"/>
    </format>
    <format dxfId="707">
      <pivotArea outline="0" collapsedLevelsAreSubtotals="1" fieldPosition="0"/>
    </format>
    <format dxfId="706">
      <pivotArea type="origin" dataOnly="0" labelOnly="1" outline="0" fieldPosition="0"/>
    </format>
    <format dxfId="705">
      <pivotArea field="9" type="button" dataOnly="0" labelOnly="1" outline="0" axis="axisCol" fieldPosition="0"/>
    </format>
    <format dxfId="704">
      <pivotArea type="topRight" dataOnly="0" labelOnly="1" outline="0" fieldPosition="0"/>
    </format>
    <format dxfId="703">
      <pivotArea field="16" type="button" dataOnly="0" labelOnly="1" outline="0" axis="axisRow" fieldPosition="0"/>
    </format>
    <format dxfId="702">
      <pivotArea dataOnly="0" labelOnly="1" fieldPosition="0">
        <references count="1">
          <reference field="16" count="2">
            <x v="0"/>
            <x v="1"/>
          </reference>
        </references>
      </pivotArea>
    </format>
    <format dxfId="701">
      <pivotArea dataOnly="0" labelOnly="1" grandRow="1" outline="0" fieldPosition="0"/>
    </format>
    <format dxfId="700">
      <pivotArea dataOnly="0" labelOnly="1" fieldPosition="0">
        <references count="2">
          <reference field="10" count="19">
            <x v="3"/>
            <x v="5"/>
            <x v="6"/>
            <x v="7"/>
            <x v="9"/>
            <x v="11"/>
            <x v="12"/>
            <x v="13"/>
            <x v="14"/>
            <x v="16"/>
            <x v="17"/>
            <x v="18"/>
            <x v="19"/>
            <x v="32"/>
            <x v="33"/>
            <x v="34"/>
            <x v="35"/>
            <x v="38"/>
            <x v="39"/>
          </reference>
          <reference field="16" count="1" selected="0">
            <x v="1"/>
          </reference>
        </references>
      </pivotArea>
    </format>
    <format dxfId="699">
      <pivotArea dataOnly="0" labelOnly="1" fieldPosition="0">
        <references count="1">
          <reference field="9" count="5">
            <x v="3"/>
            <x v="5"/>
            <x v="8"/>
            <x v="9"/>
            <x v="10"/>
          </reference>
        </references>
      </pivotArea>
    </format>
    <format dxfId="698">
      <pivotArea dataOnly="0" labelOnly="1" grandCol="1" outline="0" fieldPosition="0"/>
    </format>
  </formats>
  <pivotTableStyleInfo name="PivotStyleMedium9" showRowHeaders="1" showColHeaders="1" showRowStripes="0" showColStripes="0" showLastColumn="1"/>
  <filters count="1">
    <filter fld="26" type="dateBetween" evalOrder="-1" id="4" name="提货时间">
      <autoFilter ref="A1">
        <filterColumn colId="0">
          <customFilters and="1">
            <customFilter operator="greaterThanOrEqual" val="46054"/>
            <customFilter operator="lessThanOrEqual" val="46387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E8F2822-DDCE-4D01-8F05-FCE3EA9B25CE}" name="数据透视表8" cacheId="0" applyNumberFormats="0" applyBorderFormats="0" applyFontFormats="0" applyPatternFormats="0" applyAlignmentFormats="0" applyWidthHeightFormats="1" dataCaption="值" updatedVersion="8" minRefreshableVersion="5" useAutoFormatting="1" createdVersion="8" indent="0" outline="1" outlineData="1" multipleFieldFilters="0">
  <location ref="B3:I19" firstHeaderRow="0" firstDataRow="1" firstDataCol="1"/>
  <pivotFields count="38">
    <pivotField showAll="0"/>
    <pivotField showAll="0"/>
    <pivotField showAll="0"/>
    <pivotField showAll="0"/>
    <pivotField showAll="0"/>
    <pivotField axis="axisRow" showAll="0">
      <items count="8">
        <item h="1" x="5"/>
        <item h="1" x="4"/>
        <item h="1" x="1"/>
        <item h="1" x="3"/>
        <item x="0"/>
        <item h="1" x="2"/>
        <item h="1" x="6"/>
        <item t="default"/>
      </items>
    </pivotField>
    <pivotField showAll="0"/>
    <pivotField dataField="1" showAll="0"/>
    <pivotField showAll="0"/>
    <pivotField showAll="0"/>
    <pivotField showAll="0"/>
    <pivotField axis="axisRow" showAll="0">
      <items count="139">
        <item x="26"/>
        <item x="28"/>
        <item x="27"/>
        <item x="25"/>
        <item x="5"/>
        <item x="54"/>
        <item x="55"/>
        <item x="49"/>
        <item x="87"/>
        <item x="50"/>
        <item x="16"/>
        <item x="17"/>
        <item x="118"/>
        <item x="35"/>
        <item x="6"/>
        <item x="74"/>
        <item x="7"/>
        <item x="8"/>
        <item x="75"/>
        <item x="29"/>
        <item x="9"/>
        <item x="56"/>
        <item x="100"/>
        <item x="68"/>
        <item x="69"/>
        <item x="99"/>
        <item x="18"/>
        <item x="19"/>
        <item x="31"/>
        <item x="14"/>
        <item x="57"/>
        <item x="10"/>
        <item x="11"/>
        <item x="117"/>
        <item x="32"/>
        <item x="94"/>
        <item x="15"/>
        <item x="12"/>
        <item x="111"/>
        <item x="34"/>
        <item x="33"/>
        <item x="42"/>
        <item x="43"/>
        <item x="39"/>
        <item x="20"/>
        <item x="21"/>
        <item x="113"/>
        <item x="58"/>
        <item x="59"/>
        <item x="121"/>
        <item x="122"/>
        <item x="123"/>
        <item x="115"/>
        <item x="40"/>
        <item x="120"/>
        <item x="44"/>
        <item x="41"/>
        <item x="124"/>
        <item x="52"/>
        <item x="2"/>
        <item x="1"/>
        <item x="37"/>
        <item x="36"/>
        <item x="70"/>
        <item x="93"/>
        <item x="13"/>
        <item x="71"/>
        <item x="30"/>
        <item x="3"/>
        <item x="4"/>
        <item x="92"/>
        <item x="0"/>
        <item x="38"/>
        <item x="119"/>
        <item x="22"/>
        <item x="109"/>
        <item x="114"/>
        <item x="53"/>
        <item x="73"/>
        <item x="72"/>
        <item x="91"/>
        <item x="96"/>
        <item x="46"/>
        <item x="105"/>
        <item x="88"/>
        <item x="47"/>
        <item x="62"/>
        <item x="116"/>
        <item x="48"/>
        <item x="63"/>
        <item x="64"/>
        <item x="65"/>
        <item x="66"/>
        <item x="67"/>
        <item x="61"/>
        <item x="45"/>
        <item x="106"/>
        <item x="107"/>
        <item x="108"/>
        <item x="79"/>
        <item x="95"/>
        <item x="80"/>
        <item x="81"/>
        <item x="82"/>
        <item x="83"/>
        <item x="84"/>
        <item x="85"/>
        <item x="86"/>
        <item x="101"/>
        <item x="110"/>
        <item x="98"/>
        <item x="97"/>
        <item x="112"/>
        <item x="60"/>
        <item x="23"/>
        <item x="102"/>
        <item x="104"/>
        <item x="24"/>
        <item x="51"/>
        <item x="90"/>
        <item x="76"/>
        <item x="77"/>
        <item x="78"/>
        <item x="89"/>
        <item x="103"/>
        <item x="137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t="default"/>
      </items>
    </pivotField>
    <pivotField showAll="0"/>
    <pivotField axis="axisRow" showAll="0">
      <items count="33">
        <item h="1" x="7"/>
        <item h="1" x="2"/>
        <item h="1" x="3"/>
        <item h="1" x="14"/>
        <item h="1" x="4"/>
        <item h="1" x="8"/>
        <item h="1" x="9"/>
        <item h="1" x="5"/>
        <item h="1" x="26"/>
        <item h="1" x="27"/>
        <item h="1" x="10"/>
        <item h="1" x="28"/>
        <item x="1"/>
        <item h="1" x="0"/>
        <item h="1" x="21"/>
        <item h="1" x="15"/>
        <item h="1" x="12"/>
        <item h="1" x="13"/>
        <item h="1" x="24"/>
        <item h="1" x="18"/>
        <item h="1" x="19"/>
        <item h="1" x="20"/>
        <item h="1" x="11"/>
        <item h="1" x="6"/>
        <item h="1" x="23"/>
        <item h="1" x="22"/>
        <item h="1" x="25"/>
        <item h="1" x="16"/>
        <item h="1" x="17"/>
        <item h="1" x="31"/>
        <item h="1" x="29"/>
        <item h="1" x="30"/>
        <item t="default"/>
      </items>
    </pivotField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>
      <items count="28">
        <item x="0"/>
        <item x="1"/>
        <item x="2"/>
        <item x="4"/>
        <item x="3"/>
        <item x="5"/>
        <item x="6"/>
        <item x="8"/>
        <item x="7"/>
        <item x="9"/>
        <item x="10"/>
        <item x="11"/>
        <item x="15"/>
        <item x="12"/>
        <item x="13"/>
        <item x="14"/>
        <item x="17"/>
        <item x="18"/>
        <item x="16"/>
        <item x="21"/>
        <item x="20"/>
        <item x="19"/>
        <item x="23"/>
        <item x="22"/>
        <item x="25"/>
        <item x="24"/>
        <item x="26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dragToRow="0" dragToCol="0" dragToPage="0" showAll="0" defaultSubtotal="0"/>
    <pivotField dataField="1" dragToRow="0" dragToCol="0" dragToPage="0" showAll="0" defaultSubtotal="0"/>
    <pivotField dataField="1" dragToRow="0" dragToCol="0" dragToPage="0" showAll="0" defaultSubtotal="0"/>
    <pivotField dataField="1" dragToRow="0" dragToCol="0" dragToPage="0" showAll="0" defaultSubtotal="0"/>
  </pivotFields>
  <rowFields count="3">
    <field x="5"/>
    <field x="13"/>
    <field x="11"/>
  </rowFields>
  <rowItems count="16">
    <i>
      <x v="4"/>
    </i>
    <i r="1">
      <x v="12"/>
    </i>
    <i r="2">
      <x v="58"/>
    </i>
    <i r="2">
      <x v="59"/>
    </i>
    <i r="2">
      <x v="60"/>
    </i>
    <i r="2">
      <x v="61"/>
    </i>
    <i r="2">
      <x v="62"/>
    </i>
    <i r="2">
      <x v="63"/>
    </i>
    <i r="2">
      <x v="64"/>
    </i>
    <i r="2">
      <x v="65"/>
    </i>
    <i r="2">
      <x v="66"/>
    </i>
    <i r="2">
      <x v="67"/>
    </i>
    <i r="2">
      <x v="68"/>
    </i>
    <i r="2">
      <x v="69"/>
    </i>
    <i r="2">
      <x v="70"/>
    </i>
    <i t="grand">
      <x/>
    </i>
  </rowItems>
  <colFields count="1">
    <field x="-2"/>
  </colFields>
  <colItems count="7">
    <i>
      <x/>
    </i>
    <i i="1">
      <x v="1"/>
    </i>
    <i i="2">
      <x v="2"/>
    </i>
    <i i="3">
      <x v="3"/>
    </i>
    <i i="4">
      <x v="4"/>
    </i>
    <i i="5">
      <x v="5"/>
    </i>
    <i i="6">
      <x v="6"/>
    </i>
  </colItems>
  <dataFields count="7">
    <dataField name="出货数量" fld="7" baseField="0" baseItem="0"/>
    <dataField name="运费总额" fld="20" baseField="0" baseItem="0" numFmtId="178"/>
    <dataField name="税金总额" fld="24" baseField="0" baseItem="0" numFmtId="178"/>
    <dataField name="单台运费（RMB不含税）" fld="34" baseField="0" baseItem="0" numFmtId="178"/>
    <dataField name="单台运费（RMB 含税）" fld="35" baseField="0" baseItem="0" numFmtId="178"/>
    <dataField name="单台运费（USD 含税 汇率7.0)）" fld="36" baseField="0" baseItem="0" numFmtId="178"/>
    <dataField name="C&amp;F 运费（汇率7.0*0.8)" fld="37" baseField="0" baseItem="0" numFmtId="178"/>
  </dataFields>
  <formats count="95">
    <format dxfId="697">
      <pivotArea type="all" dataOnly="0" outline="0" fieldPosition="0"/>
    </format>
    <format dxfId="696">
      <pivotArea field="5" type="button" dataOnly="0" labelOnly="1" outline="0" axis="axisRow" fieldPosition="0"/>
    </format>
    <format dxfId="69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94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693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692">
      <pivotArea dataOnly="0" labelOnly="1" outline="0" fieldPosition="0">
        <references count="1">
          <reference field="4294967294" count="1">
            <x v="3"/>
          </reference>
        </references>
      </pivotArea>
    </format>
    <format dxfId="691">
      <pivotArea dataOnly="0" labelOnly="1" outline="0" fieldPosition="0">
        <references count="1">
          <reference field="4294967294" count="3">
            <x v="4"/>
            <x v="5"/>
            <x v="6"/>
          </reference>
        </references>
      </pivotArea>
    </format>
    <format dxfId="690">
      <pivotArea outline="0" collapsedLevelsAreSubtotals="1" fieldPosition="0">
        <references count="1">
          <reference field="4294967294" count="4" selected="0">
            <x v="3"/>
            <x v="4"/>
            <x v="5"/>
            <x v="6"/>
          </reference>
        </references>
      </pivotArea>
    </format>
    <format dxfId="689">
      <pivotArea dataOnly="0" labelOnly="1" outline="0" fieldPosition="0">
        <references count="1">
          <reference field="4294967294" count="4">
            <x v="3"/>
            <x v="4"/>
            <x v="5"/>
            <x v="6"/>
          </reference>
        </references>
      </pivotArea>
    </format>
    <format dxfId="688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687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686">
      <pivotArea field="5" type="button" dataOnly="0" labelOnly="1" outline="0" axis="axisRow" fieldPosition="0"/>
    </format>
    <format dxfId="685">
      <pivotArea dataOnly="0" labelOnly="1" outline="0" fieldPosition="0">
        <references count="1">
          <reference field="4294967294" count="7">
            <x v="0"/>
            <x v="1"/>
            <x v="2"/>
            <x v="3"/>
            <x v="4"/>
            <x v="5"/>
            <x v="6"/>
          </reference>
        </references>
      </pivotArea>
    </format>
    <format dxfId="684">
      <pivotArea type="all" dataOnly="0" outline="0" fieldPosition="0"/>
    </format>
    <format dxfId="683">
      <pivotArea outline="0" collapsedLevelsAreSubtotals="1" fieldPosition="0"/>
    </format>
    <format dxfId="682">
      <pivotArea field="5" type="button" dataOnly="0" labelOnly="1" outline="0" axis="axisRow" fieldPosition="0"/>
    </format>
    <format dxfId="681">
      <pivotArea dataOnly="0" labelOnly="1" fieldPosition="0">
        <references count="1">
          <reference field="5" count="0"/>
        </references>
      </pivotArea>
    </format>
    <format dxfId="680">
      <pivotArea dataOnly="0" labelOnly="1" grandRow="1" outline="0" fieldPosition="0"/>
    </format>
    <format dxfId="679">
      <pivotArea dataOnly="0" labelOnly="1" outline="0" fieldPosition="0">
        <references count="1">
          <reference field="4294967294" count="7">
            <x v="0"/>
            <x v="1"/>
            <x v="2"/>
            <x v="3"/>
            <x v="4"/>
            <x v="5"/>
            <x v="6"/>
          </reference>
        </references>
      </pivotArea>
    </format>
    <format dxfId="678">
      <pivotArea type="all" dataOnly="0" outline="0" fieldPosition="0"/>
    </format>
    <format dxfId="677">
      <pivotArea outline="0" collapsedLevelsAreSubtotals="1" fieldPosition="0"/>
    </format>
    <format dxfId="676">
      <pivotArea field="5" type="button" dataOnly="0" labelOnly="1" outline="0" axis="axisRow" fieldPosition="0"/>
    </format>
    <format dxfId="675">
      <pivotArea dataOnly="0" labelOnly="1" fieldPosition="0">
        <references count="1">
          <reference field="5" count="0"/>
        </references>
      </pivotArea>
    </format>
    <format dxfId="674">
      <pivotArea dataOnly="0" labelOnly="1" grandRow="1" outline="0" fieldPosition="0"/>
    </format>
    <format dxfId="673">
      <pivotArea dataOnly="0" labelOnly="1" outline="0" fieldPosition="0">
        <references count="1">
          <reference field="4294967294" count="7">
            <x v="0"/>
            <x v="1"/>
            <x v="2"/>
            <x v="3"/>
            <x v="4"/>
            <x v="5"/>
            <x v="6"/>
          </reference>
        </references>
      </pivotArea>
    </format>
    <format dxfId="672">
      <pivotArea type="all" dataOnly="0" outline="0" fieldPosition="0"/>
    </format>
    <format dxfId="671">
      <pivotArea outline="0" collapsedLevelsAreSubtotals="1" fieldPosition="0"/>
    </format>
    <format dxfId="670">
      <pivotArea field="5" type="button" dataOnly="0" labelOnly="1" outline="0" axis="axisRow" fieldPosition="0"/>
    </format>
    <format dxfId="669">
      <pivotArea dataOnly="0" labelOnly="1" fieldPosition="0">
        <references count="1">
          <reference field="5" count="0"/>
        </references>
      </pivotArea>
    </format>
    <format dxfId="668">
      <pivotArea dataOnly="0" labelOnly="1" grandRow="1" outline="0" fieldPosition="0"/>
    </format>
    <format dxfId="667">
      <pivotArea dataOnly="0" labelOnly="1" outline="0" fieldPosition="0">
        <references count="1">
          <reference field="4294967294" count="7">
            <x v="0"/>
            <x v="1"/>
            <x v="2"/>
            <x v="3"/>
            <x v="4"/>
            <x v="5"/>
            <x v="6"/>
          </reference>
        </references>
      </pivotArea>
    </format>
    <format dxfId="666">
      <pivotArea type="all" dataOnly="0" outline="0" fieldPosition="0"/>
    </format>
    <format dxfId="665">
      <pivotArea outline="0" collapsedLevelsAreSubtotals="1" fieldPosition="0"/>
    </format>
    <format dxfId="664">
      <pivotArea field="5" type="button" dataOnly="0" labelOnly="1" outline="0" axis="axisRow" fieldPosition="0"/>
    </format>
    <format dxfId="663">
      <pivotArea dataOnly="0" labelOnly="1" fieldPosition="0">
        <references count="1">
          <reference field="5" count="0"/>
        </references>
      </pivotArea>
    </format>
    <format dxfId="662">
      <pivotArea dataOnly="0" labelOnly="1" grandRow="1" outline="0" fieldPosition="0"/>
    </format>
    <format dxfId="661">
      <pivotArea dataOnly="0" labelOnly="1" outline="0" fieldPosition="0">
        <references count="1">
          <reference field="4294967294" count="7">
            <x v="0"/>
            <x v="1"/>
            <x v="2"/>
            <x v="3"/>
            <x v="4"/>
            <x v="5"/>
            <x v="6"/>
          </reference>
        </references>
      </pivotArea>
    </format>
    <format dxfId="660">
      <pivotArea type="all" dataOnly="0" outline="0" fieldPosition="0"/>
    </format>
    <format dxfId="659">
      <pivotArea outline="0" collapsedLevelsAreSubtotals="1" fieldPosition="0"/>
    </format>
    <format dxfId="658">
      <pivotArea field="5" type="button" dataOnly="0" labelOnly="1" outline="0" axis="axisRow" fieldPosition="0"/>
    </format>
    <format dxfId="657">
      <pivotArea dataOnly="0" labelOnly="1" fieldPosition="0">
        <references count="1">
          <reference field="5" count="0"/>
        </references>
      </pivotArea>
    </format>
    <format dxfId="656">
      <pivotArea dataOnly="0" labelOnly="1" grandRow="1" outline="0" fieldPosition="0"/>
    </format>
    <format dxfId="655">
      <pivotArea dataOnly="0" labelOnly="1" outline="0" fieldPosition="0">
        <references count="1">
          <reference field="4294967294" count="7">
            <x v="0"/>
            <x v="1"/>
            <x v="2"/>
            <x v="3"/>
            <x v="4"/>
            <x v="5"/>
            <x v="6"/>
          </reference>
        </references>
      </pivotArea>
    </format>
    <format dxfId="654">
      <pivotArea type="all" dataOnly="0" outline="0" fieldPosition="0"/>
    </format>
    <format dxfId="653">
      <pivotArea outline="0" collapsedLevelsAreSubtotals="1" fieldPosition="0"/>
    </format>
    <format dxfId="652">
      <pivotArea field="5" type="button" dataOnly="0" labelOnly="1" outline="0" axis="axisRow" fieldPosition="0"/>
    </format>
    <format dxfId="651">
      <pivotArea dataOnly="0" labelOnly="1" fieldPosition="0">
        <references count="1">
          <reference field="5" count="0"/>
        </references>
      </pivotArea>
    </format>
    <format dxfId="650">
      <pivotArea dataOnly="0" labelOnly="1" grandRow="1" outline="0" fieldPosition="0"/>
    </format>
    <format dxfId="649">
      <pivotArea dataOnly="0" labelOnly="1" outline="0" fieldPosition="0">
        <references count="1">
          <reference field="4294967294" count="7">
            <x v="0"/>
            <x v="1"/>
            <x v="2"/>
            <x v="3"/>
            <x v="4"/>
            <x v="5"/>
            <x v="6"/>
          </reference>
        </references>
      </pivotArea>
    </format>
    <format dxfId="648">
      <pivotArea type="all" dataOnly="0" outline="0" fieldPosition="0"/>
    </format>
    <format dxfId="647">
      <pivotArea outline="0" collapsedLevelsAreSubtotals="1" fieldPosition="0"/>
    </format>
    <format dxfId="646">
      <pivotArea field="5" type="button" dataOnly="0" labelOnly="1" outline="0" axis="axisRow" fieldPosition="0"/>
    </format>
    <format dxfId="645">
      <pivotArea dataOnly="0" labelOnly="1" fieldPosition="0">
        <references count="1">
          <reference field="5" count="6">
            <x v="0"/>
            <x v="1"/>
            <x v="2"/>
            <x v="3"/>
            <x v="4"/>
            <x v="5"/>
          </reference>
        </references>
      </pivotArea>
    </format>
    <format dxfId="644">
      <pivotArea dataOnly="0" labelOnly="1" grandRow="1" outline="0" fieldPosition="0"/>
    </format>
    <format dxfId="643">
      <pivotArea dataOnly="0" labelOnly="1" outline="0" fieldPosition="0">
        <references count="1">
          <reference field="4294967294" count="7">
            <x v="0"/>
            <x v="1"/>
            <x v="2"/>
            <x v="3"/>
            <x v="4"/>
            <x v="5"/>
            <x v="6"/>
          </reference>
        </references>
      </pivotArea>
    </format>
    <format dxfId="642">
      <pivotArea type="all" dataOnly="0" outline="0" fieldPosition="0"/>
    </format>
    <format dxfId="641">
      <pivotArea outline="0" collapsedLevelsAreSubtotals="1" fieldPosition="0"/>
    </format>
    <format dxfId="640">
      <pivotArea field="5" type="button" dataOnly="0" labelOnly="1" outline="0" axis="axisRow" fieldPosition="0"/>
    </format>
    <format dxfId="639">
      <pivotArea dataOnly="0" labelOnly="1" fieldPosition="0">
        <references count="1">
          <reference field="5" count="6">
            <x v="0"/>
            <x v="1"/>
            <x v="2"/>
            <x v="3"/>
            <x v="4"/>
            <x v="5"/>
          </reference>
        </references>
      </pivotArea>
    </format>
    <format dxfId="638">
      <pivotArea dataOnly="0" labelOnly="1" grandRow="1" outline="0" fieldPosition="0"/>
    </format>
    <format dxfId="637">
      <pivotArea dataOnly="0" labelOnly="1" outline="0" fieldPosition="0">
        <references count="1">
          <reference field="4294967294" count="7">
            <x v="0"/>
            <x v="1"/>
            <x v="2"/>
            <x v="3"/>
            <x v="4"/>
            <x v="5"/>
            <x v="6"/>
          </reference>
        </references>
      </pivotArea>
    </format>
    <format dxfId="636">
      <pivotArea dataOnly="0" labelOnly="1" outline="0" fieldPosition="0">
        <references count="1">
          <reference field="4294967294" count="1">
            <x v="5"/>
          </reference>
        </references>
      </pivotArea>
    </format>
    <format dxfId="635">
      <pivotArea dataOnly="0" labelOnly="1" outline="0" fieldPosition="0">
        <references count="1">
          <reference field="4294967294" count="1">
            <x v="5"/>
          </reference>
        </references>
      </pivotArea>
    </format>
    <format dxfId="634">
      <pivotArea type="all" dataOnly="0" outline="0" fieldPosition="0"/>
    </format>
    <format dxfId="633">
      <pivotArea outline="0" collapsedLevelsAreSubtotals="1" fieldPosition="0"/>
    </format>
    <format dxfId="632">
      <pivotArea field="5" type="button" dataOnly="0" labelOnly="1" outline="0" axis="axisRow" fieldPosition="0"/>
    </format>
    <format dxfId="631">
      <pivotArea dataOnly="0" labelOnly="1" fieldPosition="0">
        <references count="1">
          <reference field="5" count="0"/>
        </references>
      </pivotArea>
    </format>
    <format dxfId="630">
      <pivotArea dataOnly="0" labelOnly="1" grandRow="1" outline="0" fieldPosition="0"/>
    </format>
    <format dxfId="629">
      <pivotArea dataOnly="0" labelOnly="1" fieldPosition="0">
        <references count="2">
          <reference field="5" count="0" selected="0"/>
          <reference field="13" count="0"/>
        </references>
      </pivotArea>
    </format>
    <format dxfId="628">
      <pivotArea dataOnly="0" labelOnly="1" fieldPosition="0">
        <references count="3">
          <reference field="5" count="0" selected="0"/>
          <reference field="11" count="13">
            <x v="58"/>
            <x v="59"/>
            <x v="60"/>
            <x v="61"/>
            <x v="62"/>
            <x v="63"/>
            <x v="64"/>
            <x v="65"/>
            <x v="66"/>
            <x v="67"/>
            <x v="68"/>
            <x v="69"/>
            <x v="70"/>
          </reference>
          <reference field="13" count="0" selected="0"/>
        </references>
      </pivotArea>
    </format>
    <format dxfId="627">
      <pivotArea dataOnly="0" labelOnly="1" outline="0" fieldPosition="0">
        <references count="1">
          <reference field="4294967294" count="7">
            <x v="0"/>
            <x v="1"/>
            <x v="2"/>
            <x v="3"/>
            <x v="4"/>
            <x v="5"/>
            <x v="6"/>
          </reference>
        </references>
      </pivotArea>
    </format>
    <format dxfId="626">
      <pivotArea type="all" dataOnly="0" outline="0" fieldPosition="0"/>
    </format>
    <format dxfId="625">
      <pivotArea outline="0" collapsedLevelsAreSubtotals="1" fieldPosition="0"/>
    </format>
    <format dxfId="624">
      <pivotArea field="5" type="button" dataOnly="0" labelOnly="1" outline="0" axis="axisRow" fieldPosition="0"/>
    </format>
    <format dxfId="623">
      <pivotArea dataOnly="0" labelOnly="1" fieldPosition="0">
        <references count="1">
          <reference field="5" count="0"/>
        </references>
      </pivotArea>
    </format>
    <format dxfId="622">
      <pivotArea dataOnly="0" labelOnly="1" grandRow="1" outline="0" fieldPosition="0"/>
    </format>
    <format dxfId="621">
      <pivotArea dataOnly="0" labelOnly="1" fieldPosition="0">
        <references count="2">
          <reference field="5" count="0" selected="0"/>
          <reference field="13" count="0"/>
        </references>
      </pivotArea>
    </format>
    <format dxfId="620">
      <pivotArea dataOnly="0" labelOnly="1" fieldPosition="0">
        <references count="3">
          <reference field="5" count="0" selected="0"/>
          <reference field="11" count="13">
            <x v="58"/>
            <x v="59"/>
            <x v="60"/>
            <x v="61"/>
            <x v="62"/>
            <x v="63"/>
            <x v="64"/>
            <x v="65"/>
            <x v="66"/>
            <x v="67"/>
            <x v="68"/>
            <x v="69"/>
            <x v="70"/>
          </reference>
          <reference field="13" count="0" selected="0"/>
        </references>
      </pivotArea>
    </format>
    <format dxfId="619">
      <pivotArea dataOnly="0" labelOnly="1" outline="0" fieldPosition="0">
        <references count="1">
          <reference field="4294967294" count="7">
            <x v="0"/>
            <x v="1"/>
            <x v="2"/>
            <x v="3"/>
            <x v="4"/>
            <x v="5"/>
            <x v="6"/>
          </reference>
        </references>
      </pivotArea>
    </format>
    <format dxfId="618">
      <pivotArea type="all" dataOnly="0" outline="0" fieldPosition="0"/>
    </format>
    <format dxfId="617">
      <pivotArea outline="0" collapsedLevelsAreSubtotals="1" fieldPosition="0"/>
    </format>
    <format dxfId="616">
      <pivotArea field="5" type="button" dataOnly="0" labelOnly="1" outline="0" axis="axisRow" fieldPosition="0"/>
    </format>
    <format dxfId="615">
      <pivotArea dataOnly="0" labelOnly="1" fieldPosition="0">
        <references count="1">
          <reference field="5" count="0"/>
        </references>
      </pivotArea>
    </format>
    <format dxfId="614">
      <pivotArea dataOnly="0" labelOnly="1" grandRow="1" outline="0" fieldPosition="0"/>
    </format>
    <format dxfId="613">
      <pivotArea dataOnly="0" labelOnly="1" fieldPosition="0">
        <references count="2">
          <reference field="5" count="0" selected="0"/>
          <reference field="13" count="0"/>
        </references>
      </pivotArea>
    </format>
    <format dxfId="612">
      <pivotArea dataOnly="0" labelOnly="1" fieldPosition="0">
        <references count="3">
          <reference field="5" count="0" selected="0"/>
          <reference field="11" count="13">
            <x v="58"/>
            <x v="59"/>
            <x v="60"/>
            <x v="61"/>
            <x v="62"/>
            <x v="63"/>
            <x v="64"/>
            <x v="65"/>
            <x v="66"/>
            <x v="67"/>
            <x v="68"/>
            <x v="69"/>
            <x v="70"/>
          </reference>
          <reference field="13" count="0" selected="0"/>
        </references>
      </pivotArea>
    </format>
    <format dxfId="611">
      <pivotArea dataOnly="0" labelOnly="1" outline="0" fieldPosition="0">
        <references count="1">
          <reference field="4294967294" count="7">
            <x v="0"/>
            <x v="1"/>
            <x v="2"/>
            <x v="3"/>
            <x v="4"/>
            <x v="5"/>
            <x v="6"/>
          </reference>
        </references>
      </pivotArea>
    </format>
    <format dxfId="610">
      <pivotArea type="all" dataOnly="0" outline="0" fieldPosition="0"/>
    </format>
    <format dxfId="609">
      <pivotArea outline="0" collapsedLevelsAreSubtotals="1" fieldPosition="0"/>
    </format>
    <format dxfId="608">
      <pivotArea field="5" type="button" dataOnly="0" labelOnly="1" outline="0" axis="axisRow" fieldPosition="0"/>
    </format>
    <format dxfId="607">
      <pivotArea dataOnly="0" labelOnly="1" fieldPosition="0">
        <references count="1">
          <reference field="5" count="0"/>
        </references>
      </pivotArea>
    </format>
    <format dxfId="606">
      <pivotArea dataOnly="0" labelOnly="1" grandRow="1" outline="0" fieldPosition="0"/>
    </format>
    <format dxfId="605">
      <pivotArea dataOnly="0" labelOnly="1" fieldPosition="0">
        <references count="2">
          <reference field="5" count="0" selected="0"/>
          <reference field="13" count="0"/>
        </references>
      </pivotArea>
    </format>
    <format dxfId="604">
      <pivotArea dataOnly="0" labelOnly="1" fieldPosition="0">
        <references count="3">
          <reference field="5" count="0" selected="0"/>
          <reference field="11" count="13">
            <x v="58"/>
            <x v="59"/>
            <x v="60"/>
            <x v="61"/>
            <x v="62"/>
            <x v="63"/>
            <x v="64"/>
            <x v="65"/>
            <x v="66"/>
            <x v="67"/>
            <x v="68"/>
            <x v="69"/>
            <x v="70"/>
          </reference>
          <reference field="13" count="0" selected="0"/>
        </references>
      </pivotArea>
    </format>
    <format dxfId="603">
      <pivotArea dataOnly="0" labelOnly="1" outline="0" fieldPosition="0">
        <references count="1">
          <reference field="4294967294" count="7">
            <x v="0"/>
            <x v="1"/>
            <x v="2"/>
            <x v="3"/>
            <x v="4"/>
            <x v="5"/>
            <x v="6"/>
          </reference>
        </references>
      </pivotArea>
    </format>
  </formats>
  <pivotTableStyleInfo name="PivotStyleMedium9" showRowHeaders="1" showColHeaders="1" showRowStripes="0" showColStripes="0" showLastColumn="1"/>
  <filters count="1">
    <filter fld="26" type="dateBetween" evalOrder="-1" id="6" name="提货时间">
      <autoFilter ref="A1">
        <filterColumn colId="0">
          <customFilters and="1">
            <customFilter operator="greaterThanOrEqual" val="46023"/>
            <customFilter operator="lessThanOrEqual" val="4611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49C13B6-8FC5-406B-A310-F68FA7FA4B7C}" name="数据透视表8" cacheId="2" applyNumberFormats="0" applyBorderFormats="0" applyFontFormats="0" applyPatternFormats="0" applyAlignmentFormats="0" applyWidthHeightFormats="1" dataCaption="值" updatedVersion="8" minRefreshableVersion="5" useAutoFormatting="1" createdVersion="8" indent="0" outline="1" outlineData="1" multipleFieldFilters="0">
  <location ref="A12:D198" firstHeaderRow="0" firstDataRow="1" firstDataCol="1" rowPageCount="1" colPageCount="1"/>
  <pivotFields count="44">
    <pivotField showAll="0"/>
    <pivotField showAll="0"/>
    <pivotField showAll="0"/>
    <pivotField showAll="0"/>
    <pivotField axis="axisPage" showAll="0">
      <items count="8">
        <item x="5"/>
        <item x="4"/>
        <item x="1"/>
        <item x="3"/>
        <item x="0"/>
        <item x="2"/>
        <item x="6"/>
        <item t="default"/>
      </items>
    </pivotField>
    <pivotField showAll="0"/>
    <pivotField dataField="1" showAll="0"/>
    <pivotField showAll="0"/>
    <pivotField showAll="0"/>
    <pivotField showAll="0"/>
    <pivotField axis="axisRow" showAll="0">
      <items count="170">
        <item x="26"/>
        <item x="28"/>
        <item x="27"/>
        <item x="25"/>
        <item x="5"/>
        <item x="54"/>
        <item x="55"/>
        <item x="49"/>
        <item x="87"/>
        <item x="50"/>
        <item x="16"/>
        <item x="17"/>
        <item x="35"/>
        <item x="6"/>
        <item x="74"/>
        <item x="7"/>
        <item x="8"/>
        <item x="75"/>
        <item x="29"/>
        <item x="9"/>
        <item x="56"/>
        <item x="68"/>
        <item x="69"/>
        <item x="18"/>
        <item x="19"/>
        <item x="31"/>
        <item x="14"/>
        <item x="57"/>
        <item x="10"/>
        <item x="11"/>
        <item x="32"/>
        <item x="94"/>
        <item x="15"/>
        <item x="12"/>
        <item x="34"/>
        <item x="33"/>
        <item x="42"/>
        <item x="43"/>
        <item x="39"/>
        <item x="20"/>
        <item x="21"/>
        <item x="58"/>
        <item x="59"/>
        <item x="40"/>
        <item x="44"/>
        <item x="41"/>
        <item x="52"/>
        <item x="2"/>
        <item x="1"/>
        <item x="37"/>
        <item x="36"/>
        <item x="70"/>
        <item x="93"/>
        <item x="13"/>
        <item x="71"/>
        <item x="30"/>
        <item x="3"/>
        <item x="4"/>
        <item x="92"/>
        <item x="0"/>
        <item x="38"/>
        <item x="22"/>
        <item x="53"/>
        <item x="73"/>
        <item x="72"/>
        <item x="91"/>
        <item x="96"/>
        <item x="46"/>
        <item x="88"/>
        <item x="47"/>
        <item x="62"/>
        <item x="48"/>
        <item x="63"/>
        <item x="64"/>
        <item x="65"/>
        <item x="66"/>
        <item x="67"/>
        <item x="61"/>
        <item x="45"/>
        <item x="79"/>
        <item x="95"/>
        <item x="80"/>
        <item x="81"/>
        <item x="82"/>
        <item x="83"/>
        <item x="84"/>
        <item x="85"/>
        <item x="86"/>
        <item x="60"/>
        <item x="23"/>
        <item x="24"/>
        <item x="51"/>
        <item x="90"/>
        <item x="76"/>
        <item x="77"/>
        <item x="78"/>
        <item x="89"/>
        <item x="168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t="default"/>
      </items>
    </pivotField>
    <pivotField showAll="0"/>
    <pivotField axis="axisRow" showAll="0">
      <items count="37">
        <item x="7"/>
        <item x="2"/>
        <item x="3"/>
        <item x="14"/>
        <item x="4"/>
        <item x="8"/>
        <item x="9"/>
        <item x="5"/>
        <item x="10"/>
        <item x="1"/>
        <item x="0"/>
        <item x="21"/>
        <item x="15"/>
        <item x="12"/>
        <item x="13"/>
        <item x="18"/>
        <item x="19"/>
        <item x="20"/>
        <item x="11"/>
        <item x="6"/>
        <item x="16"/>
        <item x="17"/>
        <item x="35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4" showAll="0">
      <items count="40">
        <item x="0"/>
        <item x="1"/>
        <item x="2"/>
        <item x="4"/>
        <item x="3"/>
        <item x="5"/>
        <item x="6"/>
        <item x="8"/>
        <item x="7"/>
        <item x="9"/>
        <item x="10"/>
        <item x="11"/>
        <item x="15"/>
        <item x="12"/>
        <item x="13"/>
        <item x="14"/>
        <item x="17"/>
        <item x="18"/>
        <item x="16"/>
        <item x="21"/>
        <item x="20"/>
        <item x="19"/>
        <item x="23"/>
        <item x="22"/>
        <item x="25"/>
        <item x="24"/>
        <item x="26"/>
        <item x="28"/>
        <item x="27"/>
        <item x="30"/>
        <item x="29"/>
        <item x="32"/>
        <item x="31"/>
        <item x="33"/>
        <item x="34"/>
        <item x="35"/>
        <item x="37"/>
        <item x="36"/>
        <item x="38"/>
        <item t="default"/>
      </items>
    </pivotField>
    <pivotField showAll="0"/>
    <pivotField showAll="0"/>
    <pivotField dataField="1" showAll="0"/>
    <pivotField dataField="1" numFmtId="176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2">
    <field x="12"/>
    <field x="10"/>
  </rowFields>
  <rowItems count="186">
    <i>
      <x/>
    </i>
    <i r="1">
      <x/>
    </i>
    <i r="1">
      <x v="3"/>
    </i>
    <i>
      <x v="1"/>
    </i>
    <i r="1">
      <x v="4"/>
    </i>
    <i r="1">
      <x v="5"/>
    </i>
    <i r="1">
      <x v="6"/>
    </i>
    <i r="1">
      <x v="134"/>
    </i>
    <i>
      <x v="2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3"/>
    </i>
    <i r="1">
      <x v="24"/>
    </i>
    <i r="1">
      <x v="119"/>
    </i>
    <i r="1">
      <x v="139"/>
    </i>
    <i>
      <x v="3"/>
    </i>
    <i r="1">
      <x v="22"/>
    </i>
    <i r="1">
      <x v="100"/>
    </i>
    <i>
      <x v="4"/>
    </i>
    <i r="1">
      <x v="25"/>
    </i>
    <i r="1">
      <x v="26"/>
    </i>
    <i r="1">
      <x v="27"/>
    </i>
    <i r="1">
      <x v="28"/>
    </i>
    <i r="1">
      <x v="29"/>
    </i>
    <i r="1">
      <x v="30"/>
    </i>
    <i r="1">
      <x v="31"/>
    </i>
    <i r="1">
      <x v="32"/>
    </i>
    <i r="1">
      <x v="33"/>
    </i>
    <i r="1">
      <x v="35"/>
    </i>
    <i r="1">
      <x v="112"/>
    </i>
    <i r="1">
      <x v="118"/>
    </i>
    <i>
      <x v="5"/>
    </i>
    <i r="1">
      <x v="34"/>
    </i>
    <i>
      <x v="6"/>
    </i>
    <i r="1">
      <x v="36"/>
    </i>
    <i r="1">
      <x v="37"/>
    </i>
    <i r="1">
      <x v="156"/>
    </i>
    <i>
      <x v="7"/>
    </i>
    <i r="1">
      <x v="39"/>
    </i>
    <i r="1">
      <x v="40"/>
    </i>
    <i r="1">
      <x v="41"/>
    </i>
    <i r="1">
      <x v="42"/>
    </i>
    <i>
      <x v="8"/>
    </i>
    <i r="1">
      <x v="43"/>
    </i>
    <i r="1">
      <x v="44"/>
    </i>
    <i r="1">
      <x v="45"/>
    </i>
    <i r="1">
      <x v="121"/>
    </i>
    <i>
      <x v="9"/>
    </i>
    <i r="1">
      <x v="46"/>
    </i>
    <i r="1">
      <x v="47"/>
    </i>
    <i r="1">
      <x v="48"/>
    </i>
    <i r="1">
      <x v="49"/>
    </i>
    <i r="1">
      <x v="50"/>
    </i>
    <i r="1">
      <x v="51"/>
    </i>
    <i r="1">
      <x v="52"/>
    </i>
    <i r="1">
      <x v="53"/>
    </i>
    <i r="1">
      <x v="54"/>
    </i>
    <i r="1">
      <x v="55"/>
    </i>
    <i r="1">
      <x v="56"/>
    </i>
    <i r="1">
      <x v="57"/>
    </i>
    <i r="1">
      <x v="58"/>
    </i>
    <i r="1">
      <x v="128"/>
    </i>
    <i r="1">
      <x v="161"/>
    </i>
    <i>
      <x v="10"/>
    </i>
    <i r="1">
      <x v="59"/>
    </i>
    <i r="1">
      <x v="60"/>
    </i>
    <i r="1">
      <x v="61"/>
    </i>
    <i r="1">
      <x v="62"/>
    </i>
    <i r="1">
      <x v="110"/>
    </i>
    <i r="1">
      <x v="115"/>
    </i>
    <i r="1">
      <x v="120"/>
    </i>
    <i r="1">
      <x v="143"/>
    </i>
    <i r="1">
      <x v="150"/>
    </i>
    <i r="1">
      <x v="151"/>
    </i>
    <i r="1">
      <x v="152"/>
    </i>
    <i r="1">
      <x v="153"/>
    </i>
    <i>
      <x v="11"/>
    </i>
    <i r="1">
      <x v="65"/>
    </i>
    <i r="1">
      <x v="66"/>
    </i>
    <i>
      <x v="12"/>
    </i>
    <i r="1">
      <x v="63"/>
    </i>
    <i r="1">
      <x v="64"/>
    </i>
    <i>
      <x v="13"/>
    </i>
    <i r="1">
      <x v="72"/>
    </i>
    <i r="1">
      <x v="73"/>
    </i>
    <i r="1">
      <x v="74"/>
    </i>
    <i>
      <x v="15"/>
    </i>
    <i r="1">
      <x v="79"/>
    </i>
    <i r="1">
      <x v="80"/>
    </i>
    <i r="1">
      <x v="81"/>
    </i>
    <i>
      <x v="16"/>
    </i>
    <i r="1">
      <x v="82"/>
    </i>
    <i r="1">
      <x v="83"/>
    </i>
    <i r="1">
      <x v="84"/>
    </i>
    <i>
      <x v="17"/>
    </i>
    <i r="1">
      <x v="85"/>
    </i>
    <i r="1">
      <x v="86"/>
    </i>
    <i r="1">
      <x v="87"/>
    </i>
    <i>
      <x v="18"/>
    </i>
    <i r="1">
      <x v="7"/>
    </i>
    <i r="1">
      <x v="8"/>
    </i>
    <i r="1">
      <x v="9"/>
    </i>
    <i r="1">
      <x v="67"/>
    </i>
    <i r="1">
      <x v="68"/>
    </i>
    <i r="1">
      <x v="69"/>
    </i>
    <i r="1">
      <x v="71"/>
    </i>
    <i r="1">
      <x v="78"/>
    </i>
    <i r="1">
      <x v="88"/>
    </i>
    <i r="1">
      <x v="91"/>
    </i>
    <i>
      <x v="19"/>
    </i>
    <i r="1">
      <x v="70"/>
    </i>
    <i r="1">
      <x v="77"/>
    </i>
    <i r="1">
      <x v="89"/>
    </i>
    <i r="1">
      <x v="90"/>
    </i>
    <i r="1">
      <x v="92"/>
    </i>
    <i r="1">
      <x v="96"/>
    </i>
    <i r="1">
      <x v="103"/>
    </i>
    <i r="1">
      <x v="104"/>
    </i>
    <i r="1">
      <x v="105"/>
    </i>
    <i r="1">
      <x v="106"/>
    </i>
    <i r="1">
      <x v="117"/>
    </i>
    <i r="1">
      <x v="137"/>
    </i>
    <i r="1">
      <x v="149"/>
    </i>
    <i r="1">
      <x v="157"/>
    </i>
    <i r="1">
      <x v="158"/>
    </i>
    <i r="1">
      <x v="159"/>
    </i>
    <i>
      <x v="20"/>
    </i>
    <i r="1">
      <x v="93"/>
    </i>
    <i r="1">
      <x v="94"/>
    </i>
    <i>
      <x v="21"/>
    </i>
    <i r="1">
      <x v="95"/>
    </i>
    <i>
      <x v="23"/>
    </i>
    <i r="1">
      <x v="98"/>
    </i>
    <i>
      <x v="24"/>
    </i>
    <i r="1">
      <x v="99"/>
    </i>
    <i r="1">
      <x v="102"/>
    </i>
    <i r="1">
      <x v="111"/>
    </i>
    <i r="1">
      <x v="144"/>
    </i>
    <i>
      <x v="26"/>
    </i>
    <i r="1">
      <x v="113"/>
    </i>
    <i r="1">
      <x v="126"/>
    </i>
    <i r="1">
      <x v="140"/>
    </i>
    <i r="1">
      <x v="141"/>
    </i>
    <i>
      <x v="27"/>
    </i>
    <i r="1">
      <x v="116"/>
    </i>
    <i r="1">
      <x v="122"/>
    </i>
    <i r="1">
      <x v="123"/>
    </i>
    <i r="1">
      <x v="136"/>
    </i>
    <i>
      <x v="28"/>
    </i>
    <i r="1">
      <x v="124"/>
    </i>
    <i>
      <x v="29"/>
    </i>
    <i r="1">
      <x v="125"/>
    </i>
    <i r="1">
      <x v="129"/>
    </i>
    <i>
      <x v="30"/>
    </i>
    <i r="1">
      <x v="130"/>
    </i>
    <i r="1">
      <x v="131"/>
    </i>
    <i r="1">
      <x v="132"/>
    </i>
    <i r="1">
      <x v="133"/>
    </i>
    <i>
      <x v="31"/>
    </i>
    <i r="1">
      <x v="135"/>
    </i>
    <i r="1">
      <x v="142"/>
    </i>
    <i r="1">
      <x v="145"/>
    </i>
    <i r="1">
      <x v="146"/>
    </i>
    <i>
      <x v="32"/>
    </i>
    <i r="1">
      <x v="147"/>
    </i>
    <i r="1">
      <x v="148"/>
    </i>
    <i r="1">
      <x v="154"/>
    </i>
    <i r="1">
      <x v="155"/>
    </i>
    <i>
      <x v="33"/>
    </i>
    <i r="1">
      <x v="160"/>
    </i>
    <i>
      <x v="34"/>
    </i>
    <i r="1">
      <x v="162"/>
    </i>
    <i>
      <x v="35"/>
    </i>
    <i r="1">
      <x v="165"/>
    </i>
    <i r="1">
      <x v="166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4" item="4" hier="0"/>
  </pageFields>
  <dataFields count="3">
    <dataField name=":申报量" fld="6" baseField="0" baseItem="0"/>
    <dataField name=":入库配置费/unit" fld="28" subtotal="average" baseField="0" baseItem="0" numFmtId="184"/>
    <dataField name=":总入库配置费 $" fld="29" baseField="0" baseItem="0" numFmtId="176"/>
  </dataFields>
  <formats count="165">
    <format dxfId="602">
      <pivotArea type="all" dataOnly="0" outline="0" fieldPosition="0"/>
    </format>
    <format dxfId="601">
      <pivotArea outline="0" collapsedLevelsAreSubtotals="1" fieldPosition="0"/>
    </format>
    <format dxfId="600">
      <pivotArea dataOnly="0" labelOnly="1" grandRow="1" outline="0" fieldPosition="0"/>
    </format>
    <format dxfId="599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598">
      <pivotArea type="all" dataOnly="0" outline="0" fieldPosition="0"/>
    </format>
    <format dxfId="597">
      <pivotArea outline="0" collapsedLevelsAreSubtotals="1" fieldPosition="0"/>
    </format>
    <format dxfId="596">
      <pivotArea dataOnly="0" labelOnly="1" grandRow="1" outline="0" fieldPosition="0"/>
    </format>
    <format dxfId="595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594">
      <pivotArea type="all" dataOnly="0" outline="0" fieldPosition="0"/>
    </format>
    <format dxfId="593">
      <pivotArea outline="0" collapsedLevelsAreSubtotals="1" fieldPosition="0"/>
    </format>
    <format dxfId="592">
      <pivotArea dataOnly="0" labelOnly="1" grandRow="1" outline="0" fieldPosition="0"/>
    </format>
    <format dxfId="591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590">
      <pivotArea type="all" dataOnly="0" outline="0" fieldPosition="0"/>
    </format>
    <format dxfId="589">
      <pivotArea outline="0" collapsedLevelsAreSubtotals="1" fieldPosition="0"/>
    </format>
    <format dxfId="588">
      <pivotArea dataOnly="0" labelOnly="1" grandRow="1" outline="0" fieldPosition="0"/>
    </format>
    <format dxfId="587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586">
      <pivotArea type="all" dataOnly="0" outline="0" fieldPosition="0"/>
    </format>
    <format dxfId="585">
      <pivotArea outline="0" collapsedLevelsAreSubtotals="1" fieldPosition="0"/>
    </format>
    <format dxfId="584">
      <pivotArea dataOnly="0" labelOnly="1" grandRow="1" outline="0" fieldPosition="0"/>
    </format>
    <format dxfId="583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582">
      <pivotArea type="all" dataOnly="0" outline="0" fieldPosition="0"/>
    </format>
    <format dxfId="581">
      <pivotArea outline="0" collapsedLevelsAreSubtotals="1" fieldPosition="0"/>
    </format>
    <format dxfId="580">
      <pivotArea dataOnly="0" labelOnly="1" grandRow="1" outline="0" fieldPosition="0"/>
    </format>
    <format dxfId="579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578">
      <pivotArea type="all" dataOnly="0" outline="0" fieldPosition="0"/>
    </format>
    <format dxfId="577">
      <pivotArea outline="0" collapsedLevelsAreSubtotals="1" fieldPosition="0"/>
    </format>
    <format dxfId="576">
      <pivotArea dataOnly="0" labelOnly="1" grandRow="1" outline="0" fieldPosition="0"/>
    </format>
    <format dxfId="575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574">
      <pivotArea type="all" dataOnly="0" outline="0" fieldPosition="0"/>
    </format>
    <format dxfId="573">
      <pivotArea outline="0" collapsedLevelsAreSubtotals="1" fieldPosition="0"/>
    </format>
    <format dxfId="572">
      <pivotArea dataOnly="0" labelOnly="1" grandRow="1" outline="0" fieldPosition="0"/>
    </format>
    <format dxfId="571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570">
      <pivotArea type="all" dataOnly="0" outline="0" fieldPosition="0"/>
    </format>
    <format dxfId="569">
      <pivotArea outline="0" collapsedLevelsAreSubtotals="1" fieldPosition="0"/>
    </format>
    <format dxfId="568">
      <pivotArea dataOnly="0" labelOnly="1" grandRow="1" outline="0" fieldPosition="0"/>
    </format>
    <format dxfId="567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566">
      <pivotArea type="all" dataOnly="0" outline="0" fieldPosition="0"/>
    </format>
    <format dxfId="565">
      <pivotArea outline="0" collapsedLevelsAreSubtotals="1" fieldPosition="0"/>
    </format>
    <format dxfId="564">
      <pivotArea dataOnly="0" labelOnly="1" grandRow="1" outline="0" fieldPosition="0"/>
    </format>
    <format dxfId="563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562">
      <pivotArea type="all" dataOnly="0" outline="0" fieldPosition="0"/>
    </format>
    <format dxfId="561">
      <pivotArea outline="0" collapsedLevelsAreSubtotals="1" fieldPosition="0"/>
    </format>
    <format dxfId="560">
      <pivotArea dataOnly="0" labelOnly="1" grandRow="1" outline="0" fieldPosition="0"/>
    </format>
    <format dxfId="559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558">
      <pivotArea type="all" dataOnly="0" outline="0" fieldPosition="0"/>
    </format>
    <format dxfId="557">
      <pivotArea outline="0" collapsedLevelsAreSubtotals="1" fieldPosition="0"/>
    </format>
    <format dxfId="556">
      <pivotArea dataOnly="0" labelOnly="1" grandRow="1" outline="0" fieldPosition="0"/>
    </format>
    <format dxfId="555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554">
      <pivotArea type="all" dataOnly="0" outline="0" fieldPosition="0"/>
    </format>
    <format dxfId="553">
      <pivotArea outline="0" collapsedLevelsAreSubtotals="1" fieldPosition="0"/>
    </format>
    <format dxfId="552">
      <pivotArea dataOnly="0" labelOnly="1" grandRow="1" outline="0" fieldPosition="0"/>
    </format>
    <format dxfId="551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550">
      <pivotArea type="all" dataOnly="0" outline="0" fieldPosition="0"/>
    </format>
    <format dxfId="549">
      <pivotArea outline="0" collapsedLevelsAreSubtotals="1" fieldPosition="0"/>
    </format>
    <format dxfId="548">
      <pivotArea dataOnly="0" labelOnly="1" grandRow="1" outline="0" fieldPosition="0"/>
    </format>
    <format dxfId="547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546">
      <pivotArea type="all" dataOnly="0" outline="0" fieldPosition="0"/>
    </format>
    <format dxfId="545">
      <pivotArea outline="0" collapsedLevelsAreSubtotals="1" fieldPosition="0"/>
    </format>
    <format dxfId="544">
      <pivotArea dataOnly="0" labelOnly="1" grandRow="1" outline="0" fieldPosition="0"/>
    </format>
    <format dxfId="543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542">
      <pivotArea type="all" dataOnly="0" outline="0" fieldPosition="0"/>
    </format>
    <format dxfId="541">
      <pivotArea type="all" dataOnly="0" outline="0" fieldPosition="0"/>
    </format>
    <format dxfId="540">
      <pivotArea type="all" dataOnly="0" outline="0" fieldPosition="0"/>
    </format>
    <format dxfId="539">
      <pivotArea type="all" dataOnly="0" outline="0" fieldPosition="0"/>
    </format>
    <format dxfId="538">
      <pivotArea type="all" dataOnly="0" outline="0" fieldPosition="0"/>
    </format>
    <format dxfId="537">
      <pivotArea type="all" dataOnly="0" outline="0" fieldPosition="0"/>
    </format>
    <format dxfId="536">
      <pivotArea type="all" dataOnly="0" outline="0" fieldPosition="0"/>
    </format>
    <format dxfId="535">
      <pivotArea type="all" dataOnly="0" outline="0" fieldPosition="0"/>
    </format>
    <format dxfId="534">
      <pivotArea type="all" dataOnly="0" outline="0" fieldPosition="0"/>
    </format>
    <format dxfId="533">
      <pivotArea type="all" dataOnly="0" outline="0" fieldPosition="0"/>
    </format>
    <format dxfId="532">
      <pivotArea type="all" dataOnly="0" outline="0" fieldPosition="0"/>
    </format>
    <format dxfId="531">
      <pivotArea type="all" dataOnly="0" outline="0" fieldPosition="0"/>
    </format>
    <format dxfId="530">
      <pivotArea type="all" dataOnly="0" outline="0" fieldPosition="0"/>
    </format>
    <format dxfId="529">
      <pivotArea type="all" dataOnly="0" outline="0" fieldPosition="0"/>
    </format>
    <format dxfId="528">
      <pivotArea outline="0" collapsedLevelsAreSubtotals="1" fieldPosition="0"/>
    </format>
    <format dxfId="52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26">
      <pivotArea type="all" dataOnly="0" outline="0" fieldPosition="0"/>
    </format>
    <format dxfId="525">
      <pivotArea outline="0" collapsedLevelsAreSubtotals="1" fieldPosition="0"/>
    </format>
    <format dxfId="52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23">
      <pivotArea type="all" dataOnly="0" outline="0" fieldPosition="0"/>
    </format>
    <format dxfId="522">
      <pivotArea outline="0" collapsedLevelsAreSubtotals="1" fieldPosition="0"/>
    </format>
    <format dxfId="52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20">
      <pivotArea type="all" dataOnly="0" outline="0" fieldPosition="0"/>
    </format>
    <format dxfId="519">
      <pivotArea outline="0" collapsedLevelsAreSubtotals="1" fieldPosition="0"/>
    </format>
    <format dxfId="518">
      <pivotArea field="12" type="button" dataOnly="0" labelOnly="1" outline="0" axis="axisRow" fieldPosition="0"/>
    </format>
    <format dxfId="517">
      <pivotArea dataOnly="0" labelOnly="1" fieldPosition="0">
        <references count="1">
          <reference field="12" count="25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5"/>
            <x v="16"/>
            <x v="17"/>
            <x v="18"/>
            <x v="19"/>
            <x v="20"/>
            <x v="21"/>
            <x v="23"/>
            <x v="24"/>
            <x v="26"/>
            <x v="27"/>
          </reference>
        </references>
      </pivotArea>
    </format>
    <format dxfId="516">
      <pivotArea dataOnly="0" labelOnly="1" grandRow="1" outline="0" fieldPosition="0"/>
    </format>
    <format dxfId="515">
      <pivotArea dataOnly="0" labelOnly="1" fieldPosition="0">
        <references count="2">
          <reference field="10" count="2">
            <x v="0"/>
            <x v="3"/>
          </reference>
          <reference field="12" count="1" selected="0">
            <x v="0"/>
          </reference>
        </references>
      </pivotArea>
    </format>
    <format dxfId="514">
      <pivotArea dataOnly="0" labelOnly="1" fieldPosition="0">
        <references count="2">
          <reference field="10" count="3">
            <x v="4"/>
            <x v="5"/>
            <x v="6"/>
          </reference>
          <reference field="12" count="1" selected="0">
            <x v="1"/>
          </reference>
        </references>
      </pivotArea>
    </format>
    <format dxfId="513">
      <pivotArea dataOnly="0" labelOnly="1" fieldPosition="0">
        <references count="2">
          <reference field="10" count="14"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3"/>
            <x v="24"/>
          </reference>
          <reference field="12" count="1" selected="0">
            <x v="2"/>
          </reference>
        </references>
      </pivotArea>
    </format>
    <format dxfId="512">
      <pivotArea dataOnly="0" labelOnly="1" fieldPosition="0">
        <references count="2">
          <reference field="10" count="1">
            <x v="22"/>
          </reference>
          <reference field="12" count="1" selected="0">
            <x v="3"/>
          </reference>
        </references>
      </pivotArea>
    </format>
    <format dxfId="511">
      <pivotArea dataOnly="0" labelOnly="1" fieldPosition="0">
        <references count="2">
          <reference field="10" count="11">
            <x v="25"/>
            <x v="26"/>
            <x v="27"/>
            <x v="28"/>
            <x v="29"/>
            <x v="30"/>
            <x v="31"/>
            <x v="32"/>
            <x v="33"/>
            <x v="35"/>
            <x v="112"/>
          </reference>
          <reference field="12" count="1" selected="0">
            <x v="4"/>
          </reference>
        </references>
      </pivotArea>
    </format>
    <format dxfId="510">
      <pivotArea dataOnly="0" labelOnly="1" fieldPosition="0">
        <references count="2">
          <reference field="10" count="1">
            <x v="34"/>
          </reference>
          <reference field="12" count="1" selected="0">
            <x v="5"/>
          </reference>
        </references>
      </pivotArea>
    </format>
    <format dxfId="509">
      <pivotArea dataOnly="0" labelOnly="1" fieldPosition="0">
        <references count="2">
          <reference field="10" count="2">
            <x v="36"/>
            <x v="37"/>
          </reference>
          <reference field="12" count="1" selected="0">
            <x v="6"/>
          </reference>
        </references>
      </pivotArea>
    </format>
    <format dxfId="508">
      <pivotArea dataOnly="0" labelOnly="1" fieldPosition="0">
        <references count="2">
          <reference field="10" count="4">
            <x v="39"/>
            <x v="40"/>
            <x v="41"/>
            <x v="42"/>
          </reference>
          <reference field="12" count="1" selected="0">
            <x v="7"/>
          </reference>
        </references>
      </pivotArea>
    </format>
    <format dxfId="507">
      <pivotArea dataOnly="0" labelOnly="1" fieldPosition="0">
        <references count="2">
          <reference field="10" count="3">
            <x v="43"/>
            <x v="44"/>
            <x v="45"/>
          </reference>
          <reference field="12" count="1" selected="0">
            <x v="8"/>
          </reference>
        </references>
      </pivotArea>
    </format>
    <format dxfId="506">
      <pivotArea dataOnly="0" labelOnly="1" fieldPosition="0">
        <references count="2">
          <reference field="10" count="13">
            <x v="46"/>
            <x v="47"/>
            <x v="48"/>
            <x v="49"/>
            <x v="50"/>
            <x v="51"/>
            <x v="52"/>
            <x v="53"/>
            <x v="54"/>
            <x v="55"/>
            <x v="56"/>
            <x v="57"/>
            <x v="58"/>
          </reference>
          <reference field="12" count="1" selected="0">
            <x v="9"/>
          </reference>
        </references>
      </pivotArea>
    </format>
    <format dxfId="505">
      <pivotArea dataOnly="0" labelOnly="1" fieldPosition="0">
        <references count="2">
          <reference field="10" count="6">
            <x v="59"/>
            <x v="60"/>
            <x v="61"/>
            <x v="62"/>
            <x v="110"/>
            <x v="115"/>
          </reference>
          <reference field="12" count="1" selected="0">
            <x v="10"/>
          </reference>
        </references>
      </pivotArea>
    </format>
    <format dxfId="504">
      <pivotArea dataOnly="0" labelOnly="1" fieldPosition="0">
        <references count="2">
          <reference field="10" count="2">
            <x v="65"/>
            <x v="66"/>
          </reference>
          <reference field="12" count="1" selected="0">
            <x v="11"/>
          </reference>
        </references>
      </pivotArea>
    </format>
    <format dxfId="503">
      <pivotArea dataOnly="0" labelOnly="1" fieldPosition="0">
        <references count="2">
          <reference field="10" count="2">
            <x v="63"/>
            <x v="64"/>
          </reference>
          <reference field="12" count="1" selected="0">
            <x v="12"/>
          </reference>
        </references>
      </pivotArea>
    </format>
    <format dxfId="502">
      <pivotArea dataOnly="0" labelOnly="1" fieldPosition="0">
        <references count="2">
          <reference field="10" count="3">
            <x v="72"/>
            <x v="73"/>
            <x v="74"/>
          </reference>
          <reference field="12" count="1" selected="0">
            <x v="13"/>
          </reference>
        </references>
      </pivotArea>
    </format>
    <format dxfId="501">
      <pivotArea dataOnly="0" labelOnly="1" fieldPosition="0">
        <references count="2">
          <reference field="10" count="3">
            <x v="79"/>
            <x v="80"/>
            <x v="81"/>
          </reference>
          <reference field="12" count="1" selected="0">
            <x v="15"/>
          </reference>
        </references>
      </pivotArea>
    </format>
    <format dxfId="500">
      <pivotArea dataOnly="0" labelOnly="1" fieldPosition="0">
        <references count="2">
          <reference field="10" count="3">
            <x v="82"/>
            <x v="83"/>
            <x v="84"/>
          </reference>
          <reference field="12" count="1" selected="0">
            <x v="16"/>
          </reference>
        </references>
      </pivotArea>
    </format>
    <format dxfId="499">
      <pivotArea dataOnly="0" labelOnly="1" fieldPosition="0">
        <references count="2">
          <reference field="10" count="3">
            <x v="85"/>
            <x v="86"/>
            <x v="87"/>
          </reference>
          <reference field="12" count="1" selected="0">
            <x v="17"/>
          </reference>
        </references>
      </pivotArea>
    </format>
    <format dxfId="498">
      <pivotArea dataOnly="0" labelOnly="1" fieldPosition="0">
        <references count="2">
          <reference field="10" count="10">
            <x v="7"/>
            <x v="8"/>
            <x v="9"/>
            <x v="67"/>
            <x v="68"/>
            <x v="69"/>
            <x v="71"/>
            <x v="78"/>
            <x v="88"/>
            <x v="91"/>
          </reference>
          <reference field="12" count="1" selected="0">
            <x v="18"/>
          </reference>
        </references>
      </pivotArea>
    </format>
    <format dxfId="497">
      <pivotArea dataOnly="0" labelOnly="1" fieldPosition="0">
        <references count="2">
          <reference field="10" count="11">
            <x v="70"/>
            <x v="77"/>
            <x v="89"/>
            <x v="90"/>
            <x v="92"/>
            <x v="96"/>
            <x v="103"/>
            <x v="104"/>
            <x v="105"/>
            <x v="106"/>
            <x v="117"/>
          </reference>
          <reference field="12" count="1" selected="0">
            <x v="19"/>
          </reference>
        </references>
      </pivotArea>
    </format>
    <format dxfId="496">
      <pivotArea dataOnly="0" labelOnly="1" fieldPosition="0">
        <references count="2">
          <reference field="10" count="2">
            <x v="93"/>
            <x v="94"/>
          </reference>
          <reference field="12" count="1" selected="0">
            <x v="20"/>
          </reference>
        </references>
      </pivotArea>
    </format>
    <format dxfId="495">
      <pivotArea dataOnly="0" labelOnly="1" fieldPosition="0">
        <references count="2">
          <reference field="10" count="1">
            <x v="95"/>
          </reference>
          <reference field="12" count="1" selected="0">
            <x v="21"/>
          </reference>
        </references>
      </pivotArea>
    </format>
    <format dxfId="494">
      <pivotArea dataOnly="0" labelOnly="1" fieldPosition="0">
        <references count="2">
          <reference field="10" count="1">
            <x v="98"/>
          </reference>
          <reference field="12" count="1" selected="0">
            <x v="23"/>
          </reference>
        </references>
      </pivotArea>
    </format>
    <format dxfId="493">
      <pivotArea dataOnly="0" labelOnly="1" fieldPosition="0">
        <references count="2">
          <reference field="10" count="3">
            <x v="99"/>
            <x v="102"/>
            <x v="111"/>
          </reference>
          <reference field="12" count="1" selected="0">
            <x v="24"/>
          </reference>
        </references>
      </pivotArea>
    </format>
    <format dxfId="492">
      <pivotArea dataOnly="0" labelOnly="1" fieldPosition="0">
        <references count="2">
          <reference field="10" count="1">
            <x v="113"/>
          </reference>
          <reference field="12" count="1" selected="0">
            <x v="26"/>
          </reference>
        </references>
      </pivotArea>
    </format>
    <format dxfId="491">
      <pivotArea dataOnly="0" labelOnly="1" fieldPosition="0">
        <references count="2">
          <reference field="10" count="1">
            <x v="116"/>
          </reference>
          <reference field="12" count="1" selected="0">
            <x v="27"/>
          </reference>
        </references>
      </pivotArea>
    </format>
    <format dxfId="49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89">
      <pivotArea type="all" dataOnly="0" outline="0" fieldPosition="0"/>
    </format>
    <format dxfId="488">
      <pivotArea outline="0" collapsedLevelsAreSubtotals="1" fieldPosition="0"/>
    </format>
    <format dxfId="487">
      <pivotArea field="12" type="button" dataOnly="0" labelOnly="1" outline="0" axis="axisRow" fieldPosition="0"/>
    </format>
    <format dxfId="486">
      <pivotArea dataOnly="0" labelOnly="1" fieldPosition="0">
        <references count="1">
          <reference field="12" count="25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5"/>
            <x v="16"/>
            <x v="17"/>
            <x v="18"/>
            <x v="19"/>
            <x v="20"/>
            <x v="21"/>
            <x v="23"/>
            <x v="24"/>
            <x v="26"/>
            <x v="27"/>
          </reference>
        </references>
      </pivotArea>
    </format>
    <format dxfId="485">
      <pivotArea dataOnly="0" labelOnly="1" grandRow="1" outline="0" fieldPosition="0"/>
    </format>
    <format dxfId="484">
      <pivotArea dataOnly="0" labelOnly="1" fieldPosition="0">
        <references count="2">
          <reference field="10" count="2">
            <x v="0"/>
            <x v="3"/>
          </reference>
          <reference field="12" count="1" selected="0">
            <x v="0"/>
          </reference>
        </references>
      </pivotArea>
    </format>
    <format dxfId="483">
      <pivotArea dataOnly="0" labelOnly="1" fieldPosition="0">
        <references count="2">
          <reference field="10" count="3">
            <x v="4"/>
            <x v="5"/>
            <x v="6"/>
          </reference>
          <reference field="12" count="1" selected="0">
            <x v="1"/>
          </reference>
        </references>
      </pivotArea>
    </format>
    <format dxfId="482">
      <pivotArea dataOnly="0" labelOnly="1" fieldPosition="0">
        <references count="2">
          <reference field="10" count="14"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3"/>
            <x v="24"/>
          </reference>
          <reference field="12" count="1" selected="0">
            <x v="2"/>
          </reference>
        </references>
      </pivotArea>
    </format>
    <format dxfId="481">
      <pivotArea dataOnly="0" labelOnly="1" fieldPosition="0">
        <references count="2">
          <reference field="10" count="1">
            <x v="22"/>
          </reference>
          <reference field="12" count="1" selected="0">
            <x v="3"/>
          </reference>
        </references>
      </pivotArea>
    </format>
    <format dxfId="480">
      <pivotArea dataOnly="0" labelOnly="1" fieldPosition="0">
        <references count="2">
          <reference field="10" count="11">
            <x v="25"/>
            <x v="26"/>
            <x v="27"/>
            <x v="28"/>
            <x v="29"/>
            <x v="30"/>
            <x v="31"/>
            <x v="32"/>
            <x v="33"/>
            <x v="35"/>
            <x v="112"/>
          </reference>
          <reference field="12" count="1" selected="0">
            <x v="4"/>
          </reference>
        </references>
      </pivotArea>
    </format>
    <format dxfId="479">
      <pivotArea dataOnly="0" labelOnly="1" fieldPosition="0">
        <references count="2">
          <reference field="10" count="1">
            <x v="34"/>
          </reference>
          <reference field="12" count="1" selected="0">
            <x v="5"/>
          </reference>
        </references>
      </pivotArea>
    </format>
    <format dxfId="478">
      <pivotArea dataOnly="0" labelOnly="1" fieldPosition="0">
        <references count="2">
          <reference field="10" count="2">
            <x v="36"/>
            <x v="37"/>
          </reference>
          <reference field="12" count="1" selected="0">
            <x v="6"/>
          </reference>
        </references>
      </pivotArea>
    </format>
    <format dxfId="477">
      <pivotArea dataOnly="0" labelOnly="1" fieldPosition="0">
        <references count="2">
          <reference field="10" count="4">
            <x v="39"/>
            <x v="40"/>
            <x v="41"/>
            <x v="42"/>
          </reference>
          <reference field="12" count="1" selected="0">
            <x v="7"/>
          </reference>
        </references>
      </pivotArea>
    </format>
    <format dxfId="476">
      <pivotArea dataOnly="0" labelOnly="1" fieldPosition="0">
        <references count="2">
          <reference field="10" count="3">
            <x v="43"/>
            <x v="44"/>
            <x v="45"/>
          </reference>
          <reference field="12" count="1" selected="0">
            <x v="8"/>
          </reference>
        </references>
      </pivotArea>
    </format>
    <format dxfId="475">
      <pivotArea dataOnly="0" labelOnly="1" fieldPosition="0">
        <references count="2">
          <reference field="10" count="13">
            <x v="46"/>
            <x v="47"/>
            <x v="48"/>
            <x v="49"/>
            <x v="50"/>
            <x v="51"/>
            <x v="52"/>
            <x v="53"/>
            <x v="54"/>
            <x v="55"/>
            <x v="56"/>
            <x v="57"/>
            <x v="58"/>
          </reference>
          <reference field="12" count="1" selected="0">
            <x v="9"/>
          </reference>
        </references>
      </pivotArea>
    </format>
    <format dxfId="474">
      <pivotArea dataOnly="0" labelOnly="1" fieldPosition="0">
        <references count="2">
          <reference field="10" count="6">
            <x v="59"/>
            <x v="60"/>
            <x v="61"/>
            <x v="62"/>
            <x v="110"/>
            <x v="115"/>
          </reference>
          <reference field="12" count="1" selected="0">
            <x v="10"/>
          </reference>
        </references>
      </pivotArea>
    </format>
    <format dxfId="473">
      <pivotArea dataOnly="0" labelOnly="1" fieldPosition="0">
        <references count="2">
          <reference field="10" count="2">
            <x v="65"/>
            <x v="66"/>
          </reference>
          <reference field="12" count="1" selected="0">
            <x v="11"/>
          </reference>
        </references>
      </pivotArea>
    </format>
    <format dxfId="472">
      <pivotArea dataOnly="0" labelOnly="1" fieldPosition="0">
        <references count="2">
          <reference field="10" count="2">
            <x v="63"/>
            <x v="64"/>
          </reference>
          <reference field="12" count="1" selected="0">
            <x v="12"/>
          </reference>
        </references>
      </pivotArea>
    </format>
    <format dxfId="471">
      <pivotArea dataOnly="0" labelOnly="1" fieldPosition="0">
        <references count="2">
          <reference field="10" count="3">
            <x v="72"/>
            <x v="73"/>
            <x v="74"/>
          </reference>
          <reference field="12" count="1" selected="0">
            <x v="13"/>
          </reference>
        </references>
      </pivotArea>
    </format>
    <format dxfId="470">
      <pivotArea dataOnly="0" labelOnly="1" fieldPosition="0">
        <references count="2">
          <reference field="10" count="3">
            <x v="79"/>
            <x v="80"/>
            <x v="81"/>
          </reference>
          <reference field="12" count="1" selected="0">
            <x v="15"/>
          </reference>
        </references>
      </pivotArea>
    </format>
    <format dxfId="469">
      <pivotArea dataOnly="0" labelOnly="1" fieldPosition="0">
        <references count="2">
          <reference field="10" count="3">
            <x v="82"/>
            <x v="83"/>
            <x v="84"/>
          </reference>
          <reference field="12" count="1" selected="0">
            <x v="16"/>
          </reference>
        </references>
      </pivotArea>
    </format>
    <format dxfId="468">
      <pivotArea dataOnly="0" labelOnly="1" fieldPosition="0">
        <references count="2">
          <reference field="10" count="3">
            <x v="85"/>
            <x v="86"/>
            <x v="87"/>
          </reference>
          <reference field="12" count="1" selected="0">
            <x v="17"/>
          </reference>
        </references>
      </pivotArea>
    </format>
    <format dxfId="467">
      <pivotArea dataOnly="0" labelOnly="1" fieldPosition="0">
        <references count="2">
          <reference field="10" count="10">
            <x v="7"/>
            <x v="8"/>
            <x v="9"/>
            <x v="67"/>
            <x v="68"/>
            <x v="69"/>
            <x v="71"/>
            <x v="78"/>
            <x v="88"/>
            <x v="91"/>
          </reference>
          <reference field="12" count="1" selected="0">
            <x v="18"/>
          </reference>
        </references>
      </pivotArea>
    </format>
    <format dxfId="466">
      <pivotArea dataOnly="0" labelOnly="1" fieldPosition="0">
        <references count="2">
          <reference field="10" count="11">
            <x v="70"/>
            <x v="77"/>
            <x v="89"/>
            <x v="90"/>
            <x v="92"/>
            <x v="96"/>
            <x v="103"/>
            <x v="104"/>
            <x v="105"/>
            <x v="106"/>
            <x v="117"/>
          </reference>
          <reference field="12" count="1" selected="0">
            <x v="19"/>
          </reference>
        </references>
      </pivotArea>
    </format>
    <format dxfId="465">
      <pivotArea dataOnly="0" labelOnly="1" fieldPosition="0">
        <references count="2">
          <reference field="10" count="2">
            <x v="93"/>
            <x v="94"/>
          </reference>
          <reference field="12" count="1" selected="0">
            <x v="20"/>
          </reference>
        </references>
      </pivotArea>
    </format>
    <format dxfId="464">
      <pivotArea dataOnly="0" labelOnly="1" fieldPosition="0">
        <references count="2">
          <reference field="10" count="1">
            <x v="95"/>
          </reference>
          <reference field="12" count="1" selected="0">
            <x v="21"/>
          </reference>
        </references>
      </pivotArea>
    </format>
    <format dxfId="463">
      <pivotArea dataOnly="0" labelOnly="1" fieldPosition="0">
        <references count="2">
          <reference field="10" count="1">
            <x v="98"/>
          </reference>
          <reference field="12" count="1" selected="0">
            <x v="23"/>
          </reference>
        </references>
      </pivotArea>
    </format>
    <format dxfId="462">
      <pivotArea dataOnly="0" labelOnly="1" fieldPosition="0">
        <references count="2">
          <reference field="10" count="3">
            <x v="99"/>
            <x v="102"/>
            <x v="111"/>
          </reference>
          <reference field="12" count="1" selected="0">
            <x v="24"/>
          </reference>
        </references>
      </pivotArea>
    </format>
    <format dxfId="461">
      <pivotArea dataOnly="0" labelOnly="1" fieldPosition="0">
        <references count="2">
          <reference field="10" count="1">
            <x v="113"/>
          </reference>
          <reference field="12" count="1" selected="0">
            <x v="26"/>
          </reference>
        </references>
      </pivotArea>
    </format>
    <format dxfId="460">
      <pivotArea dataOnly="0" labelOnly="1" fieldPosition="0">
        <references count="2">
          <reference field="10" count="1">
            <x v="116"/>
          </reference>
          <reference field="12" count="1" selected="0">
            <x v="27"/>
          </reference>
        </references>
      </pivotArea>
    </format>
    <format dxfId="45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58">
      <pivotArea type="all" dataOnly="0" outline="0" fieldPosition="0"/>
    </format>
    <format dxfId="457">
      <pivotArea outline="0" collapsedLevelsAreSubtotals="1" fieldPosition="0"/>
    </format>
    <format dxfId="456">
      <pivotArea field="12" type="button" dataOnly="0" labelOnly="1" outline="0" axis="axisRow" fieldPosition="0"/>
    </format>
    <format dxfId="455">
      <pivotArea dataOnly="0" labelOnly="1" fieldPosition="0">
        <references count="1">
          <reference field="12" count="0"/>
        </references>
      </pivotArea>
    </format>
    <format dxfId="454">
      <pivotArea dataOnly="0" labelOnly="1" grandRow="1" outline="0" fieldPosition="0"/>
    </format>
    <format dxfId="453">
      <pivotArea dataOnly="0" labelOnly="1" fieldPosition="0">
        <references count="2">
          <reference field="10" count="3">
            <x v="99"/>
            <x v="102"/>
            <x v="111"/>
          </reference>
          <reference field="12" count="0" selected="0"/>
        </references>
      </pivotArea>
    </format>
    <format dxfId="45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51">
      <pivotArea type="all" dataOnly="0" outline="0" fieldPosition="0"/>
    </format>
    <format dxfId="450">
      <pivotArea outline="0" collapsedLevelsAreSubtotals="1" fieldPosition="0"/>
    </format>
    <format dxfId="449">
      <pivotArea field="12" type="button" dataOnly="0" labelOnly="1" outline="0" axis="axisRow" fieldPosition="0"/>
    </format>
    <format dxfId="448">
      <pivotArea dataOnly="0" labelOnly="1" fieldPosition="0">
        <references count="1">
          <reference field="12" count="0"/>
        </references>
      </pivotArea>
    </format>
    <format dxfId="447">
      <pivotArea dataOnly="0" labelOnly="1" grandRow="1" outline="0" fieldPosition="0"/>
    </format>
    <format dxfId="446">
      <pivotArea dataOnly="0" labelOnly="1" fieldPosition="0">
        <references count="2">
          <reference field="10" count="3">
            <x v="99"/>
            <x v="102"/>
            <x v="111"/>
          </reference>
          <reference field="12" count="0" selected="0"/>
        </references>
      </pivotArea>
    </format>
    <format dxfId="44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44">
      <pivotArea type="all" dataOnly="0" outline="0" fieldPosition="0"/>
    </format>
    <format dxfId="443">
      <pivotArea outline="0" collapsedLevelsAreSubtotals="1" fieldPosition="0"/>
    </format>
    <format dxfId="442">
      <pivotArea field="12" type="button" dataOnly="0" labelOnly="1" outline="0" axis="axisRow" fieldPosition="0"/>
    </format>
    <format dxfId="441">
      <pivotArea dataOnly="0" labelOnly="1" fieldPosition="0">
        <references count="1">
          <reference field="12" count="0"/>
        </references>
      </pivotArea>
    </format>
    <format dxfId="440">
      <pivotArea dataOnly="0" labelOnly="1" grandRow="1" outline="0" fieldPosition="0"/>
    </format>
    <format dxfId="439">
      <pivotArea dataOnly="0" labelOnly="1" fieldPosition="0">
        <references count="2">
          <reference field="10" count="3">
            <x v="99"/>
            <x v="102"/>
            <x v="111"/>
          </reference>
          <reference field="12" count="0" selected="0"/>
        </references>
      </pivotArea>
    </format>
    <format dxfId="43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</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FCFE496-FB4A-4876-BE26-5086DD263CCF}" name="数据透视表1" cacheId="4" applyNumberFormats="0" applyBorderFormats="0" applyFontFormats="0" applyPatternFormats="0" applyAlignmentFormats="0" applyWidthHeightFormats="1" dataCaption="值" updatedVersion="8" minRefreshableVersion="3" useAutoFormatting="1" itemPrintTitles="1" createdVersion="8" indent="0" compact="0" compactData="0" multipleFieldFilters="0">
  <location ref="A3:C7" firstHeaderRow="1" firstDataRow="1" firstDataCol="3" rowPageCount="1" colPageCount="1"/>
  <pivotFields count="40"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330">
        <item x="8"/>
        <item x="0"/>
        <item x="6"/>
        <item x="1"/>
        <item x="4"/>
        <item x="3"/>
        <item x="2"/>
        <item x="5"/>
        <item x="7"/>
        <item x="329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12">
        <item h="1" x="1"/>
        <item h="1" x="0"/>
        <item h="1" x="11"/>
        <item x="2"/>
        <item h="1" x="3"/>
        <item h="1" x="4"/>
        <item h="1" x="5"/>
        <item h="1" x="6"/>
        <item h="1" x="7"/>
        <item h="1" x="8"/>
        <item h="1" x="9"/>
        <item h="1" x="10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ubtotalTop="0" showAll="0" defaultSubtotal="0"/>
    <pivotField compact="0" outline="0" subtotalTop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47">
        <item x="0"/>
        <item x="1"/>
        <item x="2"/>
        <item x="3"/>
        <item x="4"/>
        <item x="5"/>
        <item x="6"/>
        <item x="7"/>
        <item x="8"/>
        <item x="46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</items>
    </pivotField>
    <pivotField axis="axisPage" compact="0" outline="0" multipleItemSelectionAllowed="1" showAll="0" defaultSubtotal="0">
      <items count="109">
        <item x="88"/>
        <item h="1" x="0"/>
        <item h="1" x="1"/>
        <item h="1" x="2"/>
        <item h="1" x="3"/>
        <item h="1" m="1" x="106"/>
        <item h="1" x="13"/>
        <item h="1" x="7"/>
        <item h="1" x="8"/>
        <item h="1" x="9"/>
        <item h="1" x="12"/>
        <item h="1" x="11"/>
        <item h="1" m="1" x="104"/>
        <item h="1" m="1" x="107"/>
        <item h="1" x="14"/>
        <item h="1" x="15"/>
        <item h="1" m="1" x="105"/>
        <item h="1" x="19"/>
        <item h="1" x="21"/>
        <item h="1" x="23"/>
        <item h="1" m="1" x="108"/>
        <item h="1" x="10"/>
        <item h="1" x="20"/>
        <item h="1" x="5"/>
        <item h="1" x="6"/>
        <item h="1" x="16"/>
        <item h="1" x="24"/>
        <item h="1" x="4"/>
        <item h="1" x="18"/>
        <item h="1" x="25"/>
        <item h="1" x="26"/>
        <item h="1" x="17"/>
        <item h="1" x="22"/>
        <item h="1" x="27"/>
        <item h="1" x="32"/>
        <item h="1" x="33"/>
        <item h="1" x="28"/>
        <item h="1" x="29"/>
        <item h="1" x="31"/>
        <item h="1" x="30"/>
        <item h="1" x="34"/>
        <item h="1" x="37"/>
        <item h="1" x="36"/>
        <item h="1" x="35"/>
        <item h="1" x="38"/>
        <item h="1" x="41"/>
        <item h="1" m="1" x="103"/>
        <item h="1" x="44"/>
        <item h="1" x="39"/>
        <item h="1" x="40"/>
        <item h="1" x="52"/>
        <item h="1" x="45"/>
        <item h="1" x="46"/>
        <item h="1" x="47"/>
        <item h="1" m="1" x="102"/>
        <item h="1" x="51"/>
        <item h="1" x="48"/>
        <item h="1" x="49"/>
        <item h="1" x="53"/>
        <item h="1" x="43"/>
        <item h="1" x="55"/>
        <item h="1" x="56"/>
        <item h="1" x="57"/>
        <item h="1" x="58"/>
        <item h="1" x="60"/>
        <item h="1" x="54"/>
        <item h="1" x="64"/>
        <item h="1" m="1" x="101"/>
        <item h="1" x="65"/>
        <item h="1" x="42"/>
        <item h="1" x="61"/>
        <item h="1" x="66"/>
        <item h="1" x="62"/>
        <item h="1" m="1" x="100"/>
        <item h="1" x="69"/>
        <item h="1" x="59"/>
        <item h="1" x="68"/>
        <item h="1" x="71"/>
        <item h="1" m="1" x="96"/>
        <item h="1" x="50"/>
        <item h="1" x="67"/>
        <item h="1" x="76"/>
        <item h="1" x="73"/>
        <item h="1" m="1" x="98"/>
        <item h="1" m="1" x="99"/>
        <item h="1" x="79"/>
        <item h="1" x="75"/>
        <item h="1" x="81"/>
        <item h="1" x="70"/>
        <item h="1" x="80"/>
        <item h="1" x="82"/>
        <item h="1" x="83"/>
        <item h="1" m="1" x="97"/>
        <item h="1" x="78"/>
        <item h="1" x="85"/>
        <item h="1" x="63"/>
        <item h="1" x="72"/>
        <item h="1" x="74"/>
        <item h="1" x="77"/>
        <item h="1" x="87"/>
        <item h="1" x="89"/>
        <item h="1" x="84"/>
        <item h="1" x="91"/>
        <item h="1" x="92"/>
        <item h="1" x="86"/>
        <item h="1" x="93"/>
        <item h="1" x="94"/>
        <item h="1" x="95"/>
        <item h="1" x="90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177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</pivotFields>
  <rowFields count="3">
    <field x="26"/>
    <field x="8"/>
    <field x="3"/>
  </rowFields>
  <rowItems count="4">
    <i>
      <x v="46"/>
      <x v="3"/>
      <x v="320"/>
    </i>
    <i r="2">
      <x v="322"/>
    </i>
    <i r="2">
      <x v="324"/>
    </i>
    <i t="grand">
      <x/>
    </i>
  </rowItems>
  <colItems count="1">
    <i/>
  </colItems>
  <pageFields count="1">
    <pageField fld="27" hier="-1"/>
  </pageFields>
  <formats count="146">
    <format dxfId="437">
      <pivotArea type="all" dataOnly="0" outline="0" fieldPosition="0"/>
    </format>
    <format dxfId="436">
      <pivotArea field="8" type="button" dataOnly="0" labelOnly="1" outline="0" axis="axisRow" fieldPosition="1"/>
    </format>
    <format dxfId="435">
      <pivotArea dataOnly="0" labelOnly="1" fieldPosition="0">
        <references count="1">
          <reference field="8" count="1">
            <x v="1"/>
          </reference>
        </references>
      </pivotArea>
    </format>
    <format dxfId="434">
      <pivotArea dataOnly="0" labelOnly="1" grandRow="1" outline="0" fieldPosition="0"/>
    </format>
    <format dxfId="433">
      <pivotArea type="all" dataOnly="0" outline="0" fieldPosition="0"/>
    </format>
    <format dxfId="432">
      <pivotArea field="8" type="button" dataOnly="0" labelOnly="1" outline="0" axis="axisRow" fieldPosition="1"/>
    </format>
    <format dxfId="431">
      <pivotArea field="3" type="button" dataOnly="0" labelOnly="1" outline="0" axis="axisRow" fieldPosition="2"/>
    </format>
    <format dxfId="430">
      <pivotArea dataOnly="0" labelOnly="1" outline="0" fieldPosition="0">
        <references count="1">
          <reference field="8" count="0"/>
        </references>
      </pivotArea>
    </format>
    <format dxfId="429">
      <pivotArea dataOnly="0" labelOnly="1" grandRow="1" outline="0" fieldPosition="0"/>
    </format>
    <format dxfId="428">
      <pivotArea dataOnly="0" labelOnly="1" outline="0" fieldPosition="0">
        <references count="2">
          <reference field="3" count="5">
            <x v="2"/>
            <x v="7"/>
            <x v="18"/>
            <x v="19"/>
            <x v="20"/>
          </reference>
          <reference field="8" count="1" selected="0">
            <x v="0"/>
          </reference>
        </references>
      </pivotArea>
    </format>
    <format dxfId="427">
      <pivotArea dataOnly="0" labelOnly="1" outline="0" fieldPosition="0">
        <references count="2">
          <reference field="3" count="13">
            <x v="0"/>
            <x v="1"/>
            <x v="3"/>
            <x v="4"/>
            <x v="5"/>
            <x v="6"/>
            <x v="8"/>
            <x v="10"/>
            <x v="12"/>
            <x v="14"/>
            <x v="15"/>
            <x v="16"/>
            <x v="17"/>
          </reference>
          <reference field="8" count="1" selected="0">
            <x v="1"/>
          </reference>
        </references>
      </pivotArea>
    </format>
    <format dxfId="426">
      <pivotArea dataOnly="0" labelOnly="1" outline="0" fieldPosition="0">
        <references count="2">
          <reference field="3" count="1">
            <x v="9"/>
          </reference>
          <reference field="8" count="1" selected="0">
            <x v="2"/>
          </reference>
        </references>
      </pivotArea>
    </format>
    <format dxfId="425">
      <pivotArea dataOnly="0" labelOnly="1" outline="0" fieldPosition="0">
        <references count="2">
          <reference field="3" count="2">
            <x v="11"/>
            <x v="13"/>
          </reference>
          <reference field="8" count="1" selected="0">
            <x v="3"/>
          </reference>
        </references>
      </pivotArea>
    </format>
    <format dxfId="424">
      <pivotArea type="all" dataOnly="0" outline="0" fieldPosition="0"/>
    </format>
    <format dxfId="423">
      <pivotArea field="8" type="button" dataOnly="0" labelOnly="1" outline="0" axis="axisRow" fieldPosition="1"/>
    </format>
    <format dxfId="422">
      <pivotArea field="3" type="button" dataOnly="0" labelOnly="1" outline="0" axis="axisRow" fieldPosition="2"/>
    </format>
    <format dxfId="421">
      <pivotArea dataOnly="0" labelOnly="1" outline="0" fieldPosition="0">
        <references count="1">
          <reference field="8" count="0"/>
        </references>
      </pivotArea>
    </format>
    <format dxfId="420">
      <pivotArea dataOnly="0" labelOnly="1" grandRow="1" outline="0" fieldPosition="0"/>
    </format>
    <format dxfId="419">
      <pivotArea dataOnly="0" labelOnly="1" outline="0" fieldPosition="0">
        <references count="2">
          <reference field="3" count="5">
            <x v="2"/>
            <x v="7"/>
            <x v="18"/>
            <x v="19"/>
            <x v="20"/>
          </reference>
          <reference field="8" count="1" selected="0">
            <x v="0"/>
          </reference>
        </references>
      </pivotArea>
    </format>
    <format dxfId="418">
      <pivotArea dataOnly="0" labelOnly="1" outline="0" fieldPosition="0">
        <references count="2">
          <reference field="3" count="13">
            <x v="0"/>
            <x v="1"/>
            <x v="3"/>
            <x v="4"/>
            <x v="5"/>
            <x v="6"/>
            <x v="8"/>
            <x v="10"/>
            <x v="12"/>
            <x v="14"/>
            <x v="15"/>
            <x v="16"/>
            <x v="17"/>
          </reference>
          <reference field="8" count="1" selected="0">
            <x v="1"/>
          </reference>
        </references>
      </pivotArea>
    </format>
    <format dxfId="417">
      <pivotArea dataOnly="0" labelOnly="1" outline="0" fieldPosition="0">
        <references count="2">
          <reference field="3" count="1">
            <x v="9"/>
          </reference>
          <reference field="8" count="1" selected="0">
            <x v="2"/>
          </reference>
        </references>
      </pivotArea>
    </format>
    <format dxfId="416">
      <pivotArea dataOnly="0" labelOnly="1" outline="0" fieldPosition="0">
        <references count="2">
          <reference field="3" count="2">
            <x v="11"/>
            <x v="13"/>
          </reference>
          <reference field="8" count="1" selected="0">
            <x v="3"/>
          </reference>
        </references>
      </pivotArea>
    </format>
    <format dxfId="415">
      <pivotArea type="all" dataOnly="0" outline="0" fieldPosition="0"/>
    </format>
    <format dxfId="414">
      <pivotArea field="26" type="button" dataOnly="0" labelOnly="1" outline="0" axis="axisRow" fieldPosition="0"/>
    </format>
    <format dxfId="413">
      <pivotArea field="8" type="button" dataOnly="0" labelOnly="1" outline="0" axis="axisRow" fieldPosition="1"/>
    </format>
    <format dxfId="412">
      <pivotArea field="3" type="button" dataOnly="0" labelOnly="1" outline="0" axis="axisRow" fieldPosition="2"/>
    </format>
    <format dxfId="411">
      <pivotArea dataOnly="0" labelOnly="1" outline="0" fieldPosition="0">
        <references count="1">
          <reference field="26" count="4">
            <x v="2"/>
            <x v="3"/>
            <x v="6"/>
            <x v="8"/>
          </reference>
        </references>
      </pivotArea>
    </format>
    <format dxfId="410">
      <pivotArea dataOnly="0" labelOnly="1" grandRow="1" outline="0" fieldPosition="0"/>
    </format>
    <format dxfId="409">
      <pivotArea dataOnly="0" labelOnly="1" outline="0" fieldPosition="0">
        <references count="2">
          <reference field="8" count="0"/>
          <reference field="26" count="1" selected="0">
            <x v="2"/>
          </reference>
        </references>
      </pivotArea>
    </format>
    <format dxfId="408">
      <pivotArea dataOnly="0" labelOnly="1" outline="0" fieldPosition="0">
        <references count="3">
          <reference field="3" count="2">
            <x v="26"/>
            <x v="33"/>
          </reference>
          <reference field="8" count="0" selected="0"/>
          <reference field="26" count="1" selected="0">
            <x v="2"/>
          </reference>
        </references>
      </pivotArea>
    </format>
    <format dxfId="407">
      <pivotArea dataOnly="0" labelOnly="1" outline="0" fieldPosition="0">
        <references count="3">
          <reference field="3" count="12">
            <x v="34"/>
            <x v="35"/>
            <x v="36"/>
            <x v="37"/>
            <x v="38"/>
            <x v="43"/>
            <x v="44"/>
            <x v="51"/>
            <x v="52"/>
            <x v="53"/>
            <x v="54"/>
            <x v="55"/>
          </reference>
          <reference field="8" count="0" selected="0"/>
          <reference field="26" count="1" selected="0">
            <x v="3"/>
          </reference>
        </references>
      </pivotArea>
    </format>
    <format dxfId="406">
      <pivotArea dataOnly="0" labelOnly="1" outline="0" fieldPosition="0">
        <references count="3">
          <reference field="3" count="5">
            <x v="56"/>
            <x v="57"/>
            <x v="58"/>
            <x v="60"/>
            <x v="61"/>
          </reference>
          <reference field="8" count="0" selected="0"/>
          <reference field="26" count="1" selected="0">
            <x v="6"/>
          </reference>
        </references>
      </pivotArea>
    </format>
    <format dxfId="405">
      <pivotArea dataOnly="0" labelOnly="1" outline="0" fieldPosition="0">
        <references count="3">
          <reference field="3" count="1">
            <x v="67"/>
          </reference>
          <reference field="8" count="0" selected="0"/>
          <reference field="26" count="1" selected="0">
            <x v="8"/>
          </reference>
        </references>
      </pivotArea>
    </format>
    <format dxfId="404">
      <pivotArea type="all" dataOnly="0" outline="0" fieldPosition="0"/>
    </format>
    <format dxfId="403">
      <pivotArea field="26" type="button" dataOnly="0" labelOnly="1" outline="0" axis="axisRow" fieldPosition="0"/>
    </format>
    <format dxfId="402">
      <pivotArea field="8" type="button" dataOnly="0" labelOnly="1" outline="0" axis="axisRow" fieldPosition="1"/>
    </format>
    <format dxfId="401">
      <pivotArea field="3" type="button" dataOnly="0" labelOnly="1" outline="0" axis="axisRow" fieldPosition="2"/>
    </format>
    <format dxfId="400">
      <pivotArea dataOnly="0" labelOnly="1" outline="0" fieldPosition="0">
        <references count="1">
          <reference field="26" count="4">
            <x v="2"/>
            <x v="3"/>
            <x v="6"/>
            <x v="8"/>
          </reference>
        </references>
      </pivotArea>
    </format>
    <format dxfId="399">
      <pivotArea dataOnly="0" labelOnly="1" grandRow="1" outline="0" fieldPosition="0"/>
    </format>
    <format dxfId="398">
      <pivotArea dataOnly="0" labelOnly="1" outline="0" fieldPosition="0">
        <references count="2">
          <reference field="8" count="0"/>
          <reference field="26" count="1" selected="0">
            <x v="2"/>
          </reference>
        </references>
      </pivotArea>
    </format>
    <format dxfId="397">
      <pivotArea dataOnly="0" labelOnly="1" outline="0" fieldPosition="0">
        <references count="3">
          <reference field="3" count="2">
            <x v="26"/>
            <x v="33"/>
          </reference>
          <reference field="8" count="0" selected="0"/>
          <reference field="26" count="1" selected="0">
            <x v="2"/>
          </reference>
        </references>
      </pivotArea>
    </format>
    <format dxfId="396">
      <pivotArea dataOnly="0" labelOnly="1" outline="0" fieldPosition="0">
        <references count="3">
          <reference field="3" count="12">
            <x v="34"/>
            <x v="35"/>
            <x v="36"/>
            <x v="37"/>
            <x v="38"/>
            <x v="43"/>
            <x v="44"/>
            <x v="51"/>
            <x v="52"/>
            <x v="53"/>
            <x v="54"/>
            <x v="55"/>
          </reference>
          <reference field="8" count="0" selected="0"/>
          <reference field="26" count="1" selected="0">
            <x v="3"/>
          </reference>
        </references>
      </pivotArea>
    </format>
    <format dxfId="395">
      <pivotArea dataOnly="0" labelOnly="1" outline="0" fieldPosition="0">
        <references count="3">
          <reference field="3" count="5">
            <x v="56"/>
            <x v="57"/>
            <x v="58"/>
            <x v="60"/>
            <x v="61"/>
          </reference>
          <reference field="8" count="0" selected="0"/>
          <reference field="26" count="1" selected="0">
            <x v="6"/>
          </reference>
        </references>
      </pivotArea>
    </format>
    <format dxfId="394">
      <pivotArea dataOnly="0" labelOnly="1" outline="0" fieldPosition="0">
        <references count="3">
          <reference field="3" count="1">
            <x v="67"/>
          </reference>
          <reference field="8" count="0" selected="0"/>
          <reference field="26" count="1" selected="0">
            <x v="8"/>
          </reference>
        </references>
      </pivotArea>
    </format>
    <format dxfId="393">
      <pivotArea type="all" dataOnly="0" outline="0" fieldPosition="0"/>
    </format>
    <format dxfId="392">
      <pivotArea field="26" type="button" dataOnly="0" labelOnly="1" outline="0" axis="axisRow" fieldPosition="0"/>
    </format>
    <format dxfId="391">
      <pivotArea field="8" type="button" dataOnly="0" labelOnly="1" outline="0" axis="axisRow" fieldPosition="1"/>
    </format>
    <format dxfId="390">
      <pivotArea field="3" type="button" dataOnly="0" labelOnly="1" outline="0" axis="axisRow" fieldPosition="2"/>
    </format>
    <format dxfId="389">
      <pivotArea dataOnly="0" labelOnly="1" outline="0" fieldPosition="0">
        <references count="1">
          <reference field="26" count="4">
            <x v="2"/>
            <x v="3"/>
            <x v="6"/>
            <x v="8"/>
          </reference>
        </references>
      </pivotArea>
    </format>
    <format dxfId="388">
      <pivotArea dataOnly="0" labelOnly="1" grandRow="1" outline="0" fieldPosition="0"/>
    </format>
    <format dxfId="387">
      <pivotArea dataOnly="0" labelOnly="1" outline="0" fieldPosition="0">
        <references count="2">
          <reference field="8" count="0"/>
          <reference field="26" count="1" selected="0">
            <x v="2"/>
          </reference>
        </references>
      </pivotArea>
    </format>
    <format dxfId="386">
      <pivotArea dataOnly="0" labelOnly="1" outline="0" fieldPosition="0">
        <references count="3">
          <reference field="3" count="2">
            <x v="26"/>
            <x v="33"/>
          </reference>
          <reference field="8" count="0" selected="0"/>
          <reference field="26" count="1" selected="0">
            <x v="2"/>
          </reference>
        </references>
      </pivotArea>
    </format>
    <format dxfId="385">
      <pivotArea dataOnly="0" labelOnly="1" outline="0" fieldPosition="0">
        <references count="3">
          <reference field="3" count="12">
            <x v="34"/>
            <x v="35"/>
            <x v="36"/>
            <x v="37"/>
            <x v="38"/>
            <x v="43"/>
            <x v="44"/>
            <x v="51"/>
            <x v="52"/>
            <x v="53"/>
            <x v="54"/>
            <x v="55"/>
          </reference>
          <reference field="8" count="0" selected="0"/>
          <reference field="26" count="1" selected="0">
            <x v="3"/>
          </reference>
        </references>
      </pivotArea>
    </format>
    <format dxfId="384">
      <pivotArea dataOnly="0" labelOnly="1" outline="0" fieldPosition="0">
        <references count="3">
          <reference field="3" count="5">
            <x v="56"/>
            <x v="57"/>
            <x v="58"/>
            <x v="60"/>
            <x v="61"/>
          </reference>
          <reference field="8" count="0" selected="0"/>
          <reference field="26" count="1" selected="0">
            <x v="6"/>
          </reference>
        </references>
      </pivotArea>
    </format>
    <format dxfId="383">
      <pivotArea dataOnly="0" labelOnly="1" outline="0" fieldPosition="0">
        <references count="3">
          <reference field="3" count="1">
            <x v="67"/>
          </reference>
          <reference field="8" count="0" selected="0"/>
          <reference field="26" count="1" selected="0">
            <x v="8"/>
          </reference>
        </references>
      </pivotArea>
    </format>
    <format dxfId="382">
      <pivotArea type="all" dataOnly="0" outline="0" fieldPosition="0"/>
    </format>
    <format dxfId="381">
      <pivotArea dataOnly="0" labelOnly="1" outline="0" fieldPosition="0">
        <references count="1">
          <reference field="26" count="4">
            <x v="2"/>
            <x v="3"/>
            <x v="6"/>
            <x v="8"/>
          </reference>
        </references>
      </pivotArea>
    </format>
    <format dxfId="380">
      <pivotArea dataOnly="0" labelOnly="1" outline="0" fieldPosition="0">
        <references count="2">
          <reference field="8" count="0"/>
          <reference field="26" count="1" selected="0">
            <x v="2"/>
          </reference>
        </references>
      </pivotArea>
    </format>
    <format dxfId="379">
      <pivotArea dataOnly="0" labelOnly="1" outline="0" fieldPosition="0">
        <references count="3">
          <reference field="3" count="2">
            <x v="26"/>
            <x v="33"/>
          </reference>
          <reference field="8" count="0" selected="0"/>
          <reference field="26" count="1" selected="0">
            <x v="2"/>
          </reference>
        </references>
      </pivotArea>
    </format>
    <format dxfId="378">
      <pivotArea dataOnly="0" labelOnly="1" outline="0" fieldPosition="0">
        <references count="3">
          <reference field="3" count="12">
            <x v="34"/>
            <x v="35"/>
            <x v="36"/>
            <x v="37"/>
            <x v="38"/>
            <x v="43"/>
            <x v="44"/>
            <x v="51"/>
            <x v="52"/>
            <x v="53"/>
            <x v="54"/>
            <x v="55"/>
          </reference>
          <reference field="8" count="0" selected="0"/>
          <reference field="26" count="1" selected="0">
            <x v="3"/>
          </reference>
        </references>
      </pivotArea>
    </format>
    <format dxfId="377">
      <pivotArea dataOnly="0" labelOnly="1" outline="0" fieldPosition="0">
        <references count="3">
          <reference field="3" count="5">
            <x v="56"/>
            <x v="57"/>
            <x v="58"/>
            <x v="60"/>
            <x v="61"/>
          </reference>
          <reference field="8" count="0" selected="0"/>
          <reference field="26" count="1" selected="0">
            <x v="6"/>
          </reference>
        </references>
      </pivotArea>
    </format>
    <format dxfId="376">
      <pivotArea dataOnly="0" labelOnly="1" outline="0" fieldPosition="0">
        <references count="3">
          <reference field="3" count="1">
            <x v="67"/>
          </reference>
          <reference field="8" count="0" selected="0"/>
          <reference field="26" count="1" selected="0">
            <x v="8"/>
          </reference>
        </references>
      </pivotArea>
    </format>
    <format dxfId="375">
      <pivotArea dataOnly="0" labelOnly="1" outline="0" fieldPosition="0">
        <references count="1">
          <reference field="26" count="7">
            <x v="2"/>
            <x v="3"/>
            <x v="4"/>
            <x v="6"/>
            <x v="7"/>
            <x v="8"/>
            <x v="9"/>
          </reference>
        </references>
      </pivotArea>
    </format>
    <format dxfId="374">
      <pivotArea type="all" dataOnly="0" outline="0" fieldPosition="0"/>
    </format>
    <format dxfId="373">
      <pivotArea field="26" type="button" dataOnly="0" labelOnly="1" outline="0" axis="axisRow" fieldPosition="0"/>
    </format>
    <format dxfId="372">
      <pivotArea field="8" type="button" dataOnly="0" labelOnly="1" outline="0" axis="axisRow" fieldPosition="1"/>
    </format>
    <format dxfId="371">
      <pivotArea field="3" type="button" dataOnly="0" labelOnly="1" outline="0" axis="axisRow" fieldPosition="2"/>
    </format>
    <format dxfId="370">
      <pivotArea dataOnly="0" labelOnly="1" outline="0" fieldPosition="0">
        <references count="1">
          <reference field="26" count="2">
            <x v="13"/>
            <x v="16"/>
          </reference>
        </references>
      </pivotArea>
    </format>
    <format dxfId="369">
      <pivotArea dataOnly="0" labelOnly="1" grandRow="1" outline="0" fieldPosition="0"/>
    </format>
    <format dxfId="368">
      <pivotArea dataOnly="0" labelOnly="1" outline="0" fieldPosition="0">
        <references count="2">
          <reference field="8" count="0"/>
          <reference field="26" count="1" selected="0">
            <x v="13"/>
          </reference>
        </references>
      </pivotArea>
    </format>
    <format dxfId="367">
      <pivotArea dataOnly="0" labelOnly="1" outline="0" fieldPosition="0">
        <references count="3">
          <reference field="3" count="2">
            <x v="92"/>
            <x v="95"/>
          </reference>
          <reference field="8" count="0" selected="0"/>
          <reference field="26" count="1" selected="0">
            <x v="13"/>
          </reference>
        </references>
      </pivotArea>
    </format>
    <format dxfId="366">
      <pivotArea dataOnly="0" labelOnly="1" outline="0" fieldPosition="0">
        <references count="3">
          <reference field="3" count="3">
            <x v="103"/>
            <x v="107"/>
            <x v="108"/>
          </reference>
          <reference field="8" count="0" selected="0"/>
          <reference field="26" count="1" selected="0">
            <x v="16"/>
          </reference>
        </references>
      </pivotArea>
    </format>
    <format dxfId="365">
      <pivotArea type="all" dataOnly="0" outline="0" fieldPosition="0"/>
    </format>
    <format dxfId="364">
      <pivotArea field="26" type="button" dataOnly="0" labelOnly="1" outline="0" axis="axisRow" fieldPosition="0"/>
    </format>
    <format dxfId="363">
      <pivotArea field="8" type="button" dataOnly="0" labelOnly="1" outline="0" axis="axisRow" fieldPosition="1"/>
    </format>
    <format dxfId="362">
      <pivotArea field="3" type="button" dataOnly="0" labelOnly="1" outline="0" axis="axisRow" fieldPosition="2"/>
    </format>
    <format dxfId="361">
      <pivotArea dataOnly="0" labelOnly="1" outline="0" fieldPosition="0">
        <references count="1">
          <reference field="26" count="2">
            <x v="13"/>
            <x v="16"/>
          </reference>
        </references>
      </pivotArea>
    </format>
    <format dxfId="360">
      <pivotArea dataOnly="0" labelOnly="1" grandRow="1" outline="0" fieldPosition="0"/>
    </format>
    <format dxfId="359">
      <pivotArea dataOnly="0" labelOnly="1" outline="0" fieldPosition="0">
        <references count="2">
          <reference field="8" count="0"/>
          <reference field="26" count="1" selected="0">
            <x v="13"/>
          </reference>
        </references>
      </pivotArea>
    </format>
    <format dxfId="358">
      <pivotArea dataOnly="0" labelOnly="1" outline="0" fieldPosition="0">
        <references count="3">
          <reference field="3" count="2">
            <x v="92"/>
            <x v="95"/>
          </reference>
          <reference field="8" count="0" selected="0"/>
          <reference field="26" count="1" selected="0">
            <x v="13"/>
          </reference>
        </references>
      </pivotArea>
    </format>
    <format dxfId="357">
      <pivotArea dataOnly="0" labelOnly="1" outline="0" fieldPosition="0">
        <references count="3">
          <reference field="3" count="3">
            <x v="103"/>
            <x v="107"/>
            <x v="108"/>
          </reference>
          <reference field="8" count="0" selected="0"/>
          <reference field="26" count="1" selected="0">
            <x v="16"/>
          </reference>
        </references>
      </pivotArea>
    </format>
    <format dxfId="356">
      <pivotArea type="all" dataOnly="0" outline="0" fieldPosition="0"/>
    </format>
    <format dxfId="355">
      <pivotArea field="26" type="button" dataOnly="0" labelOnly="1" outline="0" axis="axisRow" fieldPosition="0"/>
    </format>
    <format dxfId="354">
      <pivotArea field="8" type="button" dataOnly="0" labelOnly="1" outline="0" axis="axisRow" fieldPosition="1"/>
    </format>
    <format dxfId="353">
      <pivotArea field="3" type="button" dataOnly="0" labelOnly="1" outline="0" axis="axisRow" fieldPosition="2"/>
    </format>
    <format dxfId="352">
      <pivotArea dataOnly="0" labelOnly="1" outline="0" fieldPosition="0">
        <references count="1">
          <reference field="26" count="2">
            <x v="13"/>
            <x v="16"/>
          </reference>
        </references>
      </pivotArea>
    </format>
    <format dxfId="351">
      <pivotArea dataOnly="0" labelOnly="1" grandRow="1" outline="0" fieldPosition="0"/>
    </format>
    <format dxfId="350">
      <pivotArea dataOnly="0" labelOnly="1" outline="0" fieldPosition="0">
        <references count="2">
          <reference field="8" count="0"/>
          <reference field="26" count="1" selected="0">
            <x v="13"/>
          </reference>
        </references>
      </pivotArea>
    </format>
    <format dxfId="349">
      <pivotArea dataOnly="0" labelOnly="1" outline="0" fieldPosition="0">
        <references count="3">
          <reference field="3" count="2">
            <x v="92"/>
            <x v="95"/>
          </reference>
          <reference field="8" count="0" selected="0"/>
          <reference field="26" count="1" selected="0">
            <x v="13"/>
          </reference>
        </references>
      </pivotArea>
    </format>
    <format dxfId="348">
      <pivotArea dataOnly="0" labelOnly="1" outline="0" fieldPosition="0">
        <references count="3">
          <reference field="3" count="3">
            <x v="103"/>
            <x v="107"/>
            <x v="108"/>
          </reference>
          <reference field="8" count="0" selected="0"/>
          <reference field="26" count="1" selected="0">
            <x v="16"/>
          </reference>
        </references>
      </pivotArea>
    </format>
    <format dxfId="347">
      <pivotArea type="all" dataOnly="0" outline="0" fieldPosition="0"/>
    </format>
    <format dxfId="346">
      <pivotArea field="26" type="button" dataOnly="0" labelOnly="1" outline="0" axis="axisRow" fieldPosition="0"/>
    </format>
    <format dxfId="345">
      <pivotArea field="8" type="button" dataOnly="0" labelOnly="1" outline="0" axis="axisRow" fieldPosition="1"/>
    </format>
    <format dxfId="344">
      <pivotArea field="3" type="button" dataOnly="0" labelOnly="1" outline="0" axis="axisRow" fieldPosition="2"/>
    </format>
    <format dxfId="343">
      <pivotArea dataOnly="0" labelOnly="1" outline="0" fieldPosition="0">
        <references count="1">
          <reference field="26" count="1">
            <x v="31"/>
          </reference>
        </references>
      </pivotArea>
    </format>
    <format dxfId="342">
      <pivotArea dataOnly="0" labelOnly="1" grandRow="1" outline="0" fieldPosition="0"/>
    </format>
    <format dxfId="341">
      <pivotArea dataOnly="0" labelOnly="1" outline="0" fieldPosition="0">
        <references count="2">
          <reference field="8" count="0"/>
          <reference field="26" count="1" selected="0">
            <x v="31"/>
          </reference>
        </references>
      </pivotArea>
    </format>
    <format dxfId="340">
      <pivotArea dataOnly="0" labelOnly="1" outline="0" fieldPosition="0">
        <references count="3">
          <reference field="3" count="2">
            <x v="220"/>
            <x v="221"/>
          </reference>
          <reference field="8" count="0" selected="0"/>
          <reference field="26" count="1" selected="0">
            <x v="31"/>
          </reference>
        </references>
      </pivotArea>
    </format>
    <format dxfId="339">
      <pivotArea type="all" dataOnly="0" outline="0" fieldPosition="0"/>
    </format>
    <format dxfId="338">
      <pivotArea field="26" type="button" dataOnly="0" labelOnly="1" outline="0" axis="axisRow" fieldPosition="0"/>
    </format>
    <format dxfId="337">
      <pivotArea field="8" type="button" dataOnly="0" labelOnly="1" outline="0" axis="axisRow" fieldPosition="1"/>
    </format>
    <format dxfId="336">
      <pivotArea field="3" type="button" dataOnly="0" labelOnly="1" outline="0" axis="axisRow" fieldPosition="2"/>
    </format>
    <format dxfId="335">
      <pivotArea dataOnly="0" labelOnly="1" outline="0" fieldPosition="0">
        <references count="1">
          <reference field="26" count="1">
            <x v="31"/>
          </reference>
        </references>
      </pivotArea>
    </format>
    <format dxfId="334">
      <pivotArea dataOnly="0" labelOnly="1" grandRow="1" outline="0" fieldPosition="0"/>
    </format>
    <format dxfId="333">
      <pivotArea dataOnly="0" labelOnly="1" outline="0" fieldPosition="0">
        <references count="2">
          <reference field="8" count="0"/>
          <reference field="26" count="1" selected="0">
            <x v="31"/>
          </reference>
        </references>
      </pivotArea>
    </format>
    <format dxfId="332">
      <pivotArea dataOnly="0" labelOnly="1" outline="0" fieldPosition="0">
        <references count="3">
          <reference field="3" count="2">
            <x v="220"/>
            <x v="221"/>
          </reference>
          <reference field="8" count="0" selected="0"/>
          <reference field="26" count="1" selected="0">
            <x v="31"/>
          </reference>
        </references>
      </pivotArea>
    </format>
    <format dxfId="331">
      <pivotArea type="all" dataOnly="0" outline="0" fieldPosition="0"/>
    </format>
    <format dxfId="330">
      <pivotArea field="26" type="button" dataOnly="0" labelOnly="1" outline="0" axis="axisRow" fieldPosition="0"/>
    </format>
    <format dxfId="329">
      <pivotArea field="8" type="button" dataOnly="0" labelOnly="1" outline="0" axis="axisRow" fieldPosition="1"/>
    </format>
    <format dxfId="328">
      <pivotArea field="3" type="button" dataOnly="0" labelOnly="1" outline="0" axis="axisRow" fieldPosition="2"/>
    </format>
    <format dxfId="327">
      <pivotArea dataOnly="0" labelOnly="1" outline="0" fieldPosition="0">
        <references count="1">
          <reference field="26" count="1">
            <x v="31"/>
          </reference>
        </references>
      </pivotArea>
    </format>
    <format dxfId="326">
      <pivotArea dataOnly="0" labelOnly="1" grandRow="1" outline="0" fieldPosition="0"/>
    </format>
    <format dxfId="325">
      <pivotArea dataOnly="0" labelOnly="1" outline="0" fieldPosition="0">
        <references count="2">
          <reference field="8" count="0"/>
          <reference field="26" count="1" selected="0">
            <x v="31"/>
          </reference>
        </references>
      </pivotArea>
    </format>
    <format dxfId="324">
      <pivotArea dataOnly="0" labelOnly="1" outline="0" fieldPosition="0">
        <references count="3">
          <reference field="3" count="2">
            <x v="220"/>
            <x v="221"/>
          </reference>
          <reference field="8" count="0" selected="0"/>
          <reference field="26" count="1" selected="0">
            <x v="31"/>
          </reference>
        </references>
      </pivotArea>
    </format>
    <format dxfId="323">
      <pivotArea type="all" dataOnly="0" outline="0" fieldPosition="0"/>
    </format>
    <format dxfId="322">
      <pivotArea field="26" type="button" dataOnly="0" labelOnly="1" outline="0" axis="axisRow" fieldPosition="0"/>
    </format>
    <format dxfId="321">
      <pivotArea field="8" type="button" dataOnly="0" labelOnly="1" outline="0" axis="axisRow" fieldPosition="1"/>
    </format>
    <format dxfId="320">
      <pivotArea field="3" type="button" dataOnly="0" labelOnly="1" outline="0" axis="axisRow" fieldPosition="2"/>
    </format>
    <format dxfId="319">
      <pivotArea dataOnly="0" labelOnly="1" outline="0" fieldPosition="0">
        <references count="1">
          <reference field="26" count="1">
            <x v="32"/>
          </reference>
        </references>
      </pivotArea>
    </format>
    <format dxfId="318">
      <pivotArea dataOnly="0" labelOnly="1" grandRow="1" outline="0" fieldPosition="0"/>
    </format>
    <format dxfId="317">
      <pivotArea dataOnly="0" labelOnly="1" outline="0" fieldPosition="0">
        <references count="2">
          <reference field="8" count="0"/>
          <reference field="26" count="1" selected="0">
            <x v="32"/>
          </reference>
        </references>
      </pivotArea>
    </format>
    <format dxfId="316">
      <pivotArea dataOnly="0" labelOnly="1" outline="0" fieldPosition="0">
        <references count="3">
          <reference field="3" count="4">
            <x v="222"/>
            <x v="225"/>
            <x v="230"/>
            <x v="234"/>
          </reference>
          <reference field="8" count="0" selected="0"/>
          <reference field="26" count="1" selected="0">
            <x v="32"/>
          </reference>
        </references>
      </pivotArea>
    </format>
    <format dxfId="315">
      <pivotArea type="all" dataOnly="0" outline="0" fieldPosition="0"/>
    </format>
    <format dxfId="314">
      <pivotArea field="26" type="button" dataOnly="0" labelOnly="1" outline="0" axis="axisRow" fieldPosition="0"/>
    </format>
    <format dxfId="313">
      <pivotArea field="8" type="button" dataOnly="0" labelOnly="1" outline="0" axis="axisRow" fieldPosition="1"/>
    </format>
    <format dxfId="312">
      <pivotArea field="3" type="button" dataOnly="0" labelOnly="1" outline="0" axis="axisRow" fieldPosition="2"/>
    </format>
    <format dxfId="311">
      <pivotArea dataOnly="0" labelOnly="1" outline="0" fieldPosition="0">
        <references count="1">
          <reference field="26" count="1">
            <x v="32"/>
          </reference>
        </references>
      </pivotArea>
    </format>
    <format dxfId="310">
      <pivotArea dataOnly="0" labelOnly="1" grandRow="1" outline="0" fieldPosition="0"/>
    </format>
    <format dxfId="309">
      <pivotArea dataOnly="0" labelOnly="1" outline="0" fieldPosition="0">
        <references count="2">
          <reference field="8" count="0"/>
          <reference field="26" count="1" selected="0">
            <x v="32"/>
          </reference>
        </references>
      </pivotArea>
    </format>
    <format dxfId="308">
      <pivotArea dataOnly="0" labelOnly="1" outline="0" fieldPosition="0">
        <references count="3">
          <reference field="3" count="4">
            <x v="222"/>
            <x v="225"/>
            <x v="230"/>
            <x v="234"/>
          </reference>
          <reference field="8" count="0" selected="0"/>
          <reference field="26" count="1" selected="0">
            <x v="32"/>
          </reference>
        </references>
      </pivotArea>
    </format>
    <format dxfId="307">
      <pivotArea type="all" dataOnly="0" outline="0" fieldPosition="0"/>
    </format>
    <format dxfId="306">
      <pivotArea field="26" type="button" dataOnly="0" labelOnly="1" outline="0" axis="axisRow" fieldPosition="0"/>
    </format>
    <format dxfId="305">
      <pivotArea field="8" type="button" dataOnly="0" labelOnly="1" outline="0" axis="axisRow" fieldPosition="1"/>
    </format>
    <format dxfId="304">
      <pivotArea field="3" type="button" dataOnly="0" labelOnly="1" outline="0" axis="axisRow" fieldPosition="2"/>
    </format>
    <format dxfId="303">
      <pivotArea dataOnly="0" labelOnly="1" outline="0" fieldPosition="0">
        <references count="1">
          <reference field="26" count="1">
            <x v="32"/>
          </reference>
        </references>
      </pivotArea>
    </format>
    <format dxfId="302">
      <pivotArea dataOnly="0" labelOnly="1" grandRow="1" outline="0" fieldPosition="0"/>
    </format>
    <format dxfId="301">
      <pivotArea dataOnly="0" labelOnly="1" outline="0" fieldPosition="0">
        <references count="2">
          <reference field="8" count="0"/>
          <reference field="26" count="1" selected="0">
            <x v="32"/>
          </reference>
        </references>
      </pivotArea>
    </format>
    <format dxfId="300">
      <pivotArea dataOnly="0" labelOnly="1" outline="0" fieldPosition="0">
        <references count="3">
          <reference field="3" count="4">
            <x v="222"/>
            <x v="225"/>
            <x v="230"/>
            <x v="234"/>
          </reference>
          <reference field="8" count="0" selected="0"/>
          <reference field="26" count="1" selected="0">
            <x v="32"/>
          </reference>
        </references>
      </pivotArea>
    </format>
    <format dxfId="299">
      <pivotArea type="all" dataOnly="0" outline="0" fieldPosition="0"/>
    </format>
    <format dxfId="298">
      <pivotArea field="26" type="button" dataOnly="0" labelOnly="1" outline="0" axis="axisRow" fieldPosition="0"/>
    </format>
    <format dxfId="297">
      <pivotArea field="8" type="button" dataOnly="0" labelOnly="1" outline="0" axis="axisRow" fieldPosition="1"/>
    </format>
    <format dxfId="296">
      <pivotArea field="3" type="button" dataOnly="0" labelOnly="1" outline="0" axis="axisRow" fieldPosition="2"/>
    </format>
    <format dxfId="295">
      <pivotArea dataOnly="0" labelOnly="1" outline="0" fieldPosition="0">
        <references count="1">
          <reference field="26" count="1">
            <x v="32"/>
          </reference>
        </references>
      </pivotArea>
    </format>
    <format dxfId="294">
      <pivotArea dataOnly="0" labelOnly="1" grandRow="1" outline="0" fieldPosition="0"/>
    </format>
    <format dxfId="293">
      <pivotArea dataOnly="0" labelOnly="1" outline="0" fieldPosition="0">
        <references count="2">
          <reference field="8" count="0"/>
          <reference field="26" count="1" selected="0">
            <x v="32"/>
          </reference>
        </references>
      </pivotArea>
    </format>
    <format dxfId="292">
      <pivotArea dataOnly="0" labelOnly="1" outline="0" fieldPosition="0">
        <references count="3">
          <reference field="3" count="4">
            <x v="222"/>
            <x v="225"/>
            <x v="230"/>
            <x v="234"/>
          </reference>
          <reference field="8" count="0" selected="0"/>
          <reference field="26" count="1" selected="0">
            <x v="32"/>
          </reference>
        </references>
      </pivotArea>
    </format>
  </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BCAD58C-931F-45DD-A00C-04531881C4D6}" name="数据透视表1" cacheId="3" applyNumberFormats="0" applyBorderFormats="0" applyFontFormats="0" applyPatternFormats="0" applyAlignmentFormats="0" applyWidthHeightFormats="1" dataCaption="值" updatedVersion="8" minRefreshableVersion="3" useAutoFormatting="1" createdVersion="8" indent="0" outline="1" outlineData="1" multipleFieldFilters="0" rowHeaderCaption="FBA单号">
  <location ref="A1:C332" firstHeaderRow="0" firstDataRow="1" firstDataCol="1"/>
  <pivotFields count="16">
    <pivotField showAll="0"/>
    <pivotField showAll="0"/>
    <pivotField showAll="0"/>
    <pivotField axis="axisRow" multipleItemSelectionAllowed="1" showAll="0">
      <items count="331">
        <item x="329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</pivotFields>
  <rowFields count="1">
    <field x="3"/>
  </rowFields>
  <rowItems count="33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6"/>
    </i>
    <i>
      <x v="247"/>
    </i>
    <i>
      <x v="248"/>
    </i>
    <i>
      <x v="249"/>
    </i>
    <i>
      <x v="250"/>
    </i>
    <i>
      <x v="251"/>
    </i>
    <i>
      <x v="252"/>
    </i>
    <i>
      <x v="253"/>
    </i>
    <i>
      <x v="254"/>
    </i>
    <i>
      <x v="255"/>
    </i>
    <i>
      <x v="256"/>
    </i>
    <i>
      <x v="257"/>
    </i>
    <i>
      <x v="258"/>
    </i>
    <i>
      <x v="259"/>
    </i>
    <i>
      <x v="260"/>
    </i>
    <i>
      <x v="261"/>
    </i>
    <i>
      <x v="262"/>
    </i>
    <i>
      <x v="263"/>
    </i>
    <i>
      <x v="264"/>
    </i>
    <i>
      <x v="265"/>
    </i>
    <i>
      <x v="266"/>
    </i>
    <i>
      <x v="267"/>
    </i>
    <i>
      <x v="268"/>
    </i>
    <i>
      <x v="269"/>
    </i>
    <i>
      <x v="270"/>
    </i>
    <i>
      <x v="271"/>
    </i>
    <i>
      <x v="272"/>
    </i>
    <i>
      <x v="273"/>
    </i>
    <i>
      <x v="274"/>
    </i>
    <i>
      <x v="275"/>
    </i>
    <i>
      <x v="276"/>
    </i>
    <i>
      <x v="277"/>
    </i>
    <i>
      <x v="278"/>
    </i>
    <i>
      <x v="279"/>
    </i>
    <i>
      <x v="280"/>
    </i>
    <i>
      <x v="281"/>
    </i>
    <i>
      <x v="282"/>
    </i>
    <i>
      <x v="283"/>
    </i>
    <i>
      <x v="284"/>
    </i>
    <i>
      <x v="285"/>
    </i>
    <i>
      <x v="286"/>
    </i>
    <i>
      <x v="287"/>
    </i>
    <i>
      <x v="288"/>
    </i>
    <i>
      <x v="289"/>
    </i>
    <i>
      <x v="290"/>
    </i>
    <i>
      <x v="291"/>
    </i>
    <i>
      <x v="292"/>
    </i>
    <i>
      <x v="293"/>
    </i>
    <i>
      <x v="294"/>
    </i>
    <i>
      <x v="295"/>
    </i>
    <i>
      <x v="296"/>
    </i>
    <i>
      <x v="297"/>
    </i>
    <i>
      <x v="298"/>
    </i>
    <i>
      <x v="299"/>
    </i>
    <i>
      <x v="300"/>
    </i>
    <i>
      <x v="301"/>
    </i>
    <i>
      <x v="302"/>
    </i>
    <i>
      <x v="303"/>
    </i>
    <i>
      <x v="304"/>
    </i>
    <i>
      <x v="305"/>
    </i>
    <i>
      <x v="306"/>
    </i>
    <i>
      <x v="307"/>
    </i>
    <i>
      <x v="308"/>
    </i>
    <i>
      <x v="309"/>
    </i>
    <i>
      <x v="310"/>
    </i>
    <i>
      <x v="311"/>
    </i>
    <i>
      <x v="312"/>
    </i>
    <i>
      <x v="313"/>
    </i>
    <i>
      <x v="314"/>
    </i>
    <i>
      <x v="315"/>
    </i>
    <i>
      <x v="316"/>
    </i>
    <i>
      <x v="317"/>
    </i>
    <i>
      <x v="318"/>
    </i>
    <i>
      <x v="319"/>
    </i>
    <i>
      <x v="320"/>
    </i>
    <i>
      <x v="321"/>
    </i>
    <i>
      <x v="322"/>
    </i>
    <i>
      <x v="323"/>
    </i>
    <i>
      <x v="324"/>
    </i>
    <i>
      <x v="325"/>
    </i>
    <i>
      <x v="326"/>
    </i>
    <i>
      <x v="327"/>
    </i>
    <i>
      <x v="328"/>
    </i>
    <i>
      <x v="329"/>
    </i>
    <i t="grand">
      <x/>
    </i>
  </rowItems>
  <colFields count="1">
    <field x="-2"/>
  </colFields>
  <colItems count="2">
    <i>
      <x/>
    </i>
    <i i="1">
      <x v="1"/>
    </i>
  </colItems>
  <dataFields count="2">
    <dataField name="货件箱数" fld="14" baseField="0" baseItem="0"/>
    <dataField name=":货件计费重" fld="15" baseField="0" baseItem="0"/>
  </dataFields>
  <formats count="167">
    <format dxfId="209">
      <pivotArea type="all" dataOnly="0" outline="0" fieldPosition="0"/>
    </format>
    <format dxfId="208">
      <pivotArea dataOnly="0" labelOnly="1" fieldPosition="0">
        <references count="1">
          <reference field="3" count="1">
            <x v="0"/>
          </reference>
        </references>
      </pivotArea>
    </format>
    <format dxfId="207">
      <pivotArea dataOnly="0" labelOnly="1" outline="0" fieldPosition="0"/>
    </format>
    <format dxfId="206">
      <pivotArea type="all" dataOnly="0" outline="0" fieldPosition="0"/>
    </format>
    <format dxfId="205">
      <pivotArea type="all" dataOnly="0" outline="0" fieldPosition="0"/>
    </format>
    <format dxfId="204">
      <pivotArea type="all" dataOnly="0" outline="0" fieldPosition="0"/>
    </format>
    <format dxfId="203">
      <pivotArea type="all" dataOnly="0" outline="0" fieldPosition="0"/>
    </format>
    <format dxfId="202">
      <pivotArea type="all" dataOnly="0" outline="0" fieldPosition="0"/>
    </format>
    <format dxfId="201">
      <pivotArea outline="0" collapsedLevelsAreSubtotals="1" fieldPosition="0"/>
    </format>
    <format dxfId="200">
      <pivotArea field="3" type="button" dataOnly="0" labelOnly="1" outline="0" axis="axisRow" fieldPosition="0"/>
    </format>
    <format dxfId="199">
      <pivotArea dataOnly="0" labelOnly="1" fieldPosition="0">
        <references count="1">
          <reference field="3" count="1">
            <x v="0"/>
          </reference>
        </references>
      </pivotArea>
    </format>
    <format dxfId="198">
      <pivotArea dataOnly="0" labelOnly="1" grandRow="1" outline="0" fieldPosition="0"/>
    </format>
    <format dxfId="197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196">
      <pivotArea type="all" dataOnly="0" outline="0" fieldPosition="0"/>
    </format>
    <format dxfId="195">
      <pivotArea outline="0" collapsedLevelsAreSubtotals="1" fieldPosition="0"/>
    </format>
    <format dxfId="194">
      <pivotArea field="3" type="button" dataOnly="0" labelOnly="1" outline="0" axis="axisRow" fieldPosition="0"/>
    </format>
    <format dxfId="193">
      <pivotArea dataOnly="0" labelOnly="1" fieldPosition="0">
        <references count="1">
          <reference field="3" count="1">
            <x v="0"/>
          </reference>
        </references>
      </pivotArea>
    </format>
    <format dxfId="192">
      <pivotArea dataOnly="0" labelOnly="1" grandRow="1" outline="0" fieldPosition="0"/>
    </format>
    <format dxfId="191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190">
      <pivotArea type="all" dataOnly="0" outline="0" fieldPosition="0"/>
    </format>
    <format dxfId="189">
      <pivotArea outline="0" collapsedLevelsAreSubtotals="1" fieldPosition="0"/>
    </format>
    <format dxfId="188">
      <pivotArea field="3" type="button" dataOnly="0" labelOnly="1" outline="0" axis="axisRow" fieldPosition="0"/>
    </format>
    <format dxfId="187">
      <pivotArea dataOnly="0" labelOnly="1" fieldPosition="0">
        <references count="1">
          <reference field="3" count="1">
            <x v="0"/>
          </reference>
        </references>
      </pivotArea>
    </format>
    <format dxfId="186">
      <pivotArea dataOnly="0" labelOnly="1" grandRow="1" outline="0" fieldPosition="0"/>
    </format>
    <format dxfId="185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184">
      <pivotArea collapsedLevelsAreSubtotals="1" fieldPosition="0">
        <references count="2">
          <reference field="4294967294" count="1" selected="0">
            <x v="1"/>
          </reference>
          <reference field="3" count="0"/>
        </references>
      </pivotArea>
    </format>
    <format dxfId="183">
      <pivotArea type="all" dataOnly="0" outline="0" fieldPosition="0"/>
    </format>
    <format dxfId="182">
      <pivotArea outline="0" collapsedLevelsAreSubtotals="1" fieldPosition="0"/>
    </format>
    <format dxfId="181">
      <pivotArea field="3" type="button" dataOnly="0" labelOnly="1" outline="0" axis="axisRow" fieldPosition="0"/>
    </format>
    <format dxfId="180">
      <pivotArea dataOnly="0" labelOnly="1" fieldPosition="0">
        <references count="1">
          <reference field="3" count="5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</reference>
        </references>
      </pivotArea>
    </format>
    <format dxfId="179">
      <pivotArea dataOnly="0" labelOnly="1" fieldPosition="0">
        <references count="1">
          <reference field="3" count="20"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66"/>
            <x v="67"/>
            <x v="68"/>
            <x v="69"/>
          </reference>
        </references>
      </pivotArea>
    </format>
    <format dxfId="178">
      <pivotArea dataOnly="0" labelOnly="1" grandRow="1" outline="0" fieldPosition="0"/>
    </format>
    <format dxfId="177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176">
      <pivotArea type="all" dataOnly="0" outline="0" fieldPosition="0"/>
    </format>
    <format dxfId="175">
      <pivotArea outline="0" collapsedLevelsAreSubtotals="1" fieldPosition="0"/>
    </format>
    <format dxfId="174">
      <pivotArea field="3" type="button" dataOnly="0" labelOnly="1" outline="0" axis="axisRow" fieldPosition="0"/>
    </format>
    <format dxfId="173">
      <pivotArea dataOnly="0" labelOnly="1" fieldPosition="0">
        <references count="1">
          <reference field="3" count="5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</reference>
        </references>
      </pivotArea>
    </format>
    <format dxfId="172">
      <pivotArea dataOnly="0" labelOnly="1" fieldPosition="0">
        <references count="1">
          <reference field="3" count="20"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66"/>
            <x v="67"/>
            <x v="68"/>
            <x v="69"/>
          </reference>
        </references>
      </pivotArea>
    </format>
    <format dxfId="171">
      <pivotArea dataOnly="0" labelOnly="1" grandRow="1" outline="0" fieldPosition="0"/>
    </format>
    <format dxfId="170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169">
      <pivotArea type="all" dataOnly="0" outline="0" fieldPosition="0"/>
    </format>
    <format dxfId="168">
      <pivotArea outline="0" collapsedLevelsAreSubtotals="1" fieldPosition="0"/>
    </format>
    <format dxfId="167">
      <pivotArea field="3" type="button" dataOnly="0" labelOnly="1" outline="0" axis="axisRow" fieldPosition="0"/>
    </format>
    <format dxfId="166">
      <pivotArea dataOnly="0" labelOnly="1" fieldPosition="0">
        <references count="1">
          <reference field="3" count="5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</reference>
        </references>
      </pivotArea>
    </format>
    <format dxfId="165">
      <pivotArea dataOnly="0" labelOnly="1" fieldPosition="0">
        <references count="1">
          <reference field="3" count="20"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66"/>
            <x v="67"/>
            <x v="68"/>
            <x v="69"/>
          </reference>
        </references>
      </pivotArea>
    </format>
    <format dxfId="164">
      <pivotArea dataOnly="0" labelOnly="1" grandRow="1" outline="0" fieldPosition="0"/>
    </format>
    <format dxfId="163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162">
      <pivotArea type="all" dataOnly="0" outline="0" fieldPosition="0"/>
    </format>
    <format dxfId="161">
      <pivotArea outline="0" collapsedLevelsAreSubtotals="1" fieldPosition="0"/>
    </format>
    <format dxfId="160">
      <pivotArea field="3" type="button" dataOnly="0" labelOnly="1" outline="0" axis="axisRow" fieldPosition="0"/>
    </format>
    <format dxfId="159">
      <pivotArea dataOnly="0" labelOnly="1" fieldPosition="0">
        <references count="1">
          <reference field="3" count="5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</reference>
        </references>
      </pivotArea>
    </format>
    <format dxfId="158">
      <pivotArea dataOnly="0" labelOnly="1" fieldPosition="0">
        <references count="1">
          <reference field="3" count="50"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  <x v="80"/>
            <x v="81"/>
            <x v="82"/>
            <x v="83"/>
            <x v="84"/>
            <x v="85"/>
            <x v="86"/>
            <x v="87"/>
            <x v="88"/>
            <x v="89"/>
            <x v="90"/>
            <x v="91"/>
            <x v="92"/>
            <x v="93"/>
            <x v="94"/>
            <x v="95"/>
            <x v="96"/>
            <x v="97"/>
            <x v="98"/>
            <x v="99"/>
          </reference>
        </references>
      </pivotArea>
    </format>
    <format dxfId="157">
      <pivotArea dataOnly="0" labelOnly="1" fieldPosition="0">
        <references count="1">
          <reference field="3" count="10">
            <x v="100"/>
            <x v="101"/>
            <x v="102"/>
            <x v="103"/>
            <x v="104"/>
            <x v="105"/>
            <x v="106"/>
            <x v="107"/>
            <x v="108"/>
            <x v="109"/>
          </reference>
        </references>
      </pivotArea>
    </format>
    <format dxfId="156">
      <pivotArea dataOnly="0" labelOnly="1" grandRow="1" outline="0" fieldPosition="0"/>
    </format>
    <format dxfId="155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154">
      <pivotArea type="all" dataOnly="0" outline="0" fieldPosition="0"/>
    </format>
    <format dxfId="153">
      <pivotArea outline="0" collapsedLevelsAreSubtotals="1" fieldPosition="0"/>
    </format>
    <format dxfId="152">
      <pivotArea field="3" type="button" dataOnly="0" labelOnly="1" outline="0" axis="axisRow" fieldPosition="0"/>
    </format>
    <format dxfId="151">
      <pivotArea dataOnly="0" labelOnly="1" fieldPosition="0">
        <references count="1">
          <reference field="3" count="5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</reference>
        </references>
      </pivotArea>
    </format>
    <format dxfId="150">
      <pivotArea dataOnly="0" labelOnly="1" fieldPosition="0">
        <references count="1">
          <reference field="3" count="50"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  <x v="80"/>
            <x v="81"/>
            <x v="82"/>
            <x v="83"/>
            <x v="84"/>
            <x v="85"/>
            <x v="86"/>
            <x v="87"/>
            <x v="88"/>
            <x v="89"/>
            <x v="90"/>
            <x v="91"/>
            <x v="92"/>
            <x v="93"/>
            <x v="94"/>
            <x v="95"/>
            <x v="96"/>
            <x v="97"/>
            <x v="98"/>
            <x v="99"/>
          </reference>
        </references>
      </pivotArea>
    </format>
    <format dxfId="149">
      <pivotArea dataOnly="0" labelOnly="1" fieldPosition="0">
        <references count="1">
          <reference field="3" count="10">
            <x v="100"/>
            <x v="101"/>
            <x v="102"/>
            <x v="103"/>
            <x v="104"/>
            <x v="105"/>
            <x v="106"/>
            <x v="107"/>
            <x v="108"/>
            <x v="109"/>
          </reference>
        </references>
      </pivotArea>
    </format>
    <format dxfId="148">
      <pivotArea dataOnly="0" labelOnly="1" grandRow="1" outline="0" fieldPosition="0"/>
    </format>
    <format dxfId="147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146">
      <pivotArea type="all" dataOnly="0" outline="0" fieldPosition="0"/>
    </format>
    <format dxfId="145">
      <pivotArea outline="0" collapsedLevelsAreSubtotals="1" fieldPosition="0"/>
    </format>
    <format dxfId="144">
      <pivotArea field="3" type="button" dataOnly="0" labelOnly="1" outline="0" axis="axisRow" fieldPosition="0"/>
    </format>
    <format dxfId="143">
      <pivotArea dataOnly="0" labelOnly="1" fieldPosition="0">
        <references count="1">
          <reference field="3" count="5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</reference>
        </references>
      </pivotArea>
    </format>
    <format dxfId="142">
      <pivotArea dataOnly="0" labelOnly="1" fieldPosition="0">
        <references count="1">
          <reference field="3" count="50"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  <x v="80"/>
            <x v="81"/>
            <x v="82"/>
            <x v="83"/>
            <x v="84"/>
            <x v="85"/>
            <x v="86"/>
            <x v="87"/>
            <x v="88"/>
            <x v="89"/>
            <x v="90"/>
            <x v="91"/>
            <x v="92"/>
            <x v="93"/>
            <x v="94"/>
            <x v="95"/>
            <x v="96"/>
            <x v="97"/>
            <x v="98"/>
            <x v="99"/>
          </reference>
        </references>
      </pivotArea>
    </format>
    <format dxfId="141">
      <pivotArea dataOnly="0" labelOnly="1" fieldPosition="0">
        <references count="1">
          <reference field="3" count="10">
            <x v="100"/>
            <x v="101"/>
            <x v="102"/>
            <x v="103"/>
            <x v="104"/>
            <x v="105"/>
            <x v="106"/>
            <x v="107"/>
            <x v="108"/>
            <x v="109"/>
          </reference>
        </references>
      </pivotArea>
    </format>
    <format dxfId="140">
      <pivotArea dataOnly="0" labelOnly="1" grandRow="1" outline="0" fieldPosition="0"/>
    </format>
    <format dxfId="139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138">
      <pivotArea type="all" dataOnly="0" outline="0" fieldPosition="0"/>
    </format>
    <format dxfId="137">
      <pivotArea outline="0" collapsedLevelsAreSubtotals="1" fieldPosition="0"/>
    </format>
    <format dxfId="136">
      <pivotArea field="3" type="button" dataOnly="0" labelOnly="1" outline="0" axis="axisRow" fieldPosition="0"/>
    </format>
    <format dxfId="135">
      <pivotArea dataOnly="0" labelOnly="1" fieldPosition="0">
        <references count="1">
          <reference field="3" count="5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</reference>
        </references>
      </pivotArea>
    </format>
    <format dxfId="134">
      <pivotArea dataOnly="0" labelOnly="1" fieldPosition="0">
        <references count="1">
          <reference field="3" count="50"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  <x v="80"/>
            <x v="81"/>
            <x v="82"/>
            <x v="83"/>
            <x v="84"/>
            <x v="85"/>
            <x v="86"/>
            <x v="87"/>
            <x v="88"/>
            <x v="89"/>
            <x v="90"/>
            <x v="91"/>
            <x v="92"/>
            <x v="93"/>
            <x v="94"/>
            <x v="95"/>
            <x v="96"/>
            <x v="97"/>
            <x v="98"/>
            <x v="99"/>
          </reference>
        </references>
      </pivotArea>
    </format>
    <format dxfId="133">
      <pivotArea dataOnly="0" labelOnly="1" fieldPosition="0">
        <references count="1">
          <reference field="3" count="50">
            <x v="100"/>
            <x v="101"/>
            <x v="102"/>
            <x v="103"/>
            <x v="104"/>
            <x v="105"/>
            <x v="106"/>
            <x v="107"/>
            <x v="108"/>
            <x v="109"/>
            <x v="110"/>
            <x v="111"/>
            <x v="112"/>
            <x v="113"/>
            <x v="114"/>
            <x v="115"/>
            <x v="116"/>
            <x v="117"/>
            <x v="118"/>
            <x v="119"/>
            <x v="120"/>
            <x v="121"/>
            <x v="122"/>
            <x v="123"/>
            <x v="124"/>
            <x v="125"/>
            <x v="126"/>
            <x v="127"/>
            <x v="128"/>
            <x v="129"/>
            <x v="130"/>
            <x v="131"/>
            <x v="132"/>
            <x v="133"/>
            <x v="134"/>
            <x v="135"/>
            <x v="136"/>
            <x v="137"/>
            <x v="138"/>
            <x v="139"/>
            <x v="140"/>
            <x v="141"/>
            <x v="142"/>
            <x v="143"/>
            <x v="144"/>
            <x v="145"/>
            <x v="146"/>
            <x v="147"/>
            <x v="148"/>
            <x v="149"/>
          </reference>
        </references>
      </pivotArea>
    </format>
    <format dxfId="132">
      <pivotArea dataOnly="0" labelOnly="1" fieldPosition="0">
        <references count="1">
          <reference field="3" count="50">
            <x v="150"/>
            <x v="151"/>
            <x v="152"/>
            <x v="153"/>
            <x v="154"/>
            <x v="155"/>
            <x v="156"/>
            <x v="157"/>
            <x v="158"/>
            <x v="159"/>
            <x v="160"/>
            <x v="161"/>
            <x v="162"/>
            <x v="163"/>
            <x v="164"/>
            <x v="165"/>
            <x v="166"/>
            <x v="167"/>
            <x v="168"/>
            <x v="169"/>
            <x v="170"/>
            <x v="171"/>
            <x v="172"/>
            <x v="173"/>
            <x v="174"/>
            <x v="175"/>
            <x v="176"/>
            <x v="177"/>
            <x v="178"/>
            <x v="179"/>
            <x v="180"/>
            <x v="181"/>
            <x v="182"/>
            <x v="183"/>
            <x v="184"/>
            <x v="185"/>
            <x v="186"/>
            <x v="187"/>
            <x v="188"/>
            <x v="189"/>
            <x v="190"/>
            <x v="191"/>
            <x v="192"/>
            <x v="193"/>
            <x v="194"/>
            <x v="195"/>
            <x v="196"/>
            <x v="197"/>
            <x v="198"/>
            <x v="199"/>
          </reference>
        </references>
      </pivotArea>
    </format>
    <format dxfId="131">
      <pivotArea dataOnly="0" labelOnly="1" fieldPosition="0">
        <references count="1">
          <reference field="3" count="22">
            <x v="200"/>
            <x v="201"/>
            <x v="202"/>
            <x v="203"/>
            <x v="204"/>
            <x v="205"/>
            <x v="206"/>
            <x v="207"/>
            <x v="208"/>
            <x v="209"/>
            <x v="210"/>
            <x v="211"/>
            <x v="212"/>
            <x v="213"/>
            <x v="214"/>
            <x v="215"/>
            <x v="216"/>
            <x v="217"/>
            <x v="218"/>
            <x v="219"/>
            <x v="220"/>
            <x v="221"/>
          </reference>
        </references>
      </pivotArea>
    </format>
    <format dxfId="130">
      <pivotArea dataOnly="0" labelOnly="1" grandRow="1" outline="0" fieldPosition="0"/>
    </format>
    <format dxfId="129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128">
      <pivotArea type="all" dataOnly="0" outline="0" fieldPosition="0"/>
    </format>
    <format dxfId="127">
      <pivotArea outline="0" collapsedLevelsAreSubtotals="1" fieldPosition="0"/>
    </format>
    <format dxfId="126">
      <pivotArea field="3" type="button" dataOnly="0" labelOnly="1" outline="0" axis="axisRow" fieldPosition="0"/>
    </format>
    <format dxfId="125">
      <pivotArea dataOnly="0" labelOnly="1" fieldPosition="0">
        <references count="1">
          <reference field="3" count="5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</reference>
        </references>
      </pivotArea>
    </format>
    <format dxfId="124">
      <pivotArea dataOnly="0" labelOnly="1" fieldPosition="0">
        <references count="1">
          <reference field="3" count="50"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  <x v="80"/>
            <x v="81"/>
            <x v="82"/>
            <x v="83"/>
            <x v="84"/>
            <x v="85"/>
            <x v="86"/>
            <x v="87"/>
            <x v="88"/>
            <x v="89"/>
            <x v="90"/>
            <x v="91"/>
            <x v="92"/>
            <x v="93"/>
            <x v="94"/>
            <x v="95"/>
            <x v="96"/>
            <x v="97"/>
            <x v="98"/>
            <x v="99"/>
          </reference>
        </references>
      </pivotArea>
    </format>
    <format dxfId="123">
      <pivotArea dataOnly="0" labelOnly="1" fieldPosition="0">
        <references count="1">
          <reference field="3" count="50">
            <x v="100"/>
            <x v="101"/>
            <x v="102"/>
            <x v="103"/>
            <x v="104"/>
            <x v="105"/>
            <x v="106"/>
            <x v="107"/>
            <x v="108"/>
            <x v="109"/>
            <x v="110"/>
            <x v="111"/>
            <x v="112"/>
            <x v="113"/>
            <x v="114"/>
            <x v="115"/>
            <x v="116"/>
            <x v="117"/>
            <x v="118"/>
            <x v="119"/>
            <x v="120"/>
            <x v="121"/>
            <x v="122"/>
            <x v="123"/>
            <x v="124"/>
            <x v="125"/>
            <x v="126"/>
            <x v="127"/>
            <x v="128"/>
            <x v="129"/>
            <x v="130"/>
            <x v="131"/>
            <x v="132"/>
            <x v="133"/>
            <x v="134"/>
            <x v="135"/>
            <x v="136"/>
            <x v="137"/>
            <x v="138"/>
            <x v="139"/>
            <x v="140"/>
            <x v="141"/>
            <x v="142"/>
            <x v="143"/>
            <x v="144"/>
            <x v="145"/>
            <x v="146"/>
            <x v="147"/>
            <x v="148"/>
            <x v="149"/>
          </reference>
        </references>
      </pivotArea>
    </format>
    <format dxfId="122">
      <pivotArea dataOnly="0" labelOnly="1" fieldPosition="0">
        <references count="1">
          <reference field="3" count="50">
            <x v="150"/>
            <x v="151"/>
            <x v="152"/>
            <x v="153"/>
            <x v="154"/>
            <x v="155"/>
            <x v="156"/>
            <x v="157"/>
            <x v="158"/>
            <x v="159"/>
            <x v="160"/>
            <x v="161"/>
            <x v="162"/>
            <x v="163"/>
            <x v="164"/>
            <x v="165"/>
            <x v="166"/>
            <x v="167"/>
            <x v="168"/>
            <x v="169"/>
            <x v="170"/>
            <x v="171"/>
            <x v="172"/>
            <x v="173"/>
            <x v="174"/>
            <x v="175"/>
            <x v="176"/>
            <x v="177"/>
            <x v="178"/>
            <x v="179"/>
            <x v="180"/>
            <x v="181"/>
            <x v="182"/>
            <x v="183"/>
            <x v="184"/>
            <x v="185"/>
            <x v="186"/>
            <x v="187"/>
            <x v="188"/>
            <x v="189"/>
            <x v="190"/>
            <x v="191"/>
            <x v="192"/>
            <x v="193"/>
            <x v="194"/>
            <x v="195"/>
            <x v="196"/>
            <x v="197"/>
            <x v="198"/>
            <x v="199"/>
          </reference>
        </references>
      </pivotArea>
    </format>
    <format dxfId="121">
      <pivotArea dataOnly="0" labelOnly="1" fieldPosition="0">
        <references count="1">
          <reference field="3" count="22">
            <x v="200"/>
            <x v="201"/>
            <x v="202"/>
            <x v="203"/>
            <x v="204"/>
            <x v="205"/>
            <x v="206"/>
            <x v="207"/>
            <x v="208"/>
            <x v="209"/>
            <x v="210"/>
            <x v="211"/>
            <x v="212"/>
            <x v="213"/>
            <x v="214"/>
            <x v="215"/>
            <x v="216"/>
            <x v="217"/>
            <x v="218"/>
            <x v="219"/>
            <x v="220"/>
            <x v="221"/>
          </reference>
        </references>
      </pivotArea>
    </format>
    <format dxfId="120">
      <pivotArea dataOnly="0" labelOnly="1" grandRow="1" outline="0" fieldPosition="0"/>
    </format>
    <format dxfId="119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118">
      <pivotArea type="all" dataOnly="0" outline="0" fieldPosition="0"/>
    </format>
    <format dxfId="117">
      <pivotArea outline="0" collapsedLevelsAreSubtotals="1" fieldPosition="0"/>
    </format>
    <format dxfId="116">
      <pivotArea field="3" type="button" dataOnly="0" labelOnly="1" outline="0" axis="axisRow" fieldPosition="0"/>
    </format>
    <format dxfId="115">
      <pivotArea dataOnly="0" labelOnly="1" fieldPosition="0">
        <references count="1">
          <reference field="3" count="5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</reference>
        </references>
      </pivotArea>
    </format>
    <format dxfId="114">
      <pivotArea dataOnly="0" labelOnly="1" fieldPosition="0">
        <references count="1">
          <reference field="3" count="50"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  <x v="80"/>
            <x v="81"/>
            <x v="82"/>
            <x v="83"/>
            <x v="84"/>
            <x v="85"/>
            <x v="86"/>
            <x v="87"/>
            <x v="88"/>
            <x v="89"/>
            <x v="90"/>
            <x v="91"/>
            <x v="92"/>
            <x v="93"/>
            <x v="94"/>
            <x v="95"/>
            <x v="96"/>
            <x v="97"/>
            <x v="98"/>
            <x v="99"/>
          </reference>
        </references>
      </pivotArea>
    </format>
    <format dxfId="113">
      <pivotArea dataOnly="0" labelOnly="1" fieldPosition="0">
        <references count="1">
          <reference field="3" count="50">
            <x v="100"/>
            <x v="101"/>
            <x v="102"/>
            <x v="103"/>
            <x v="104"/>
            <x v="105"/>
            <x v="106"/>
            <x v="107"/>
            <x v="108"/>
            <x v="109"/>
            <x v="110"/>
            <x v="111"/>
            <x v="112"/>
            <x v="113"/>
            <x v="114"/>
            <x v="115"/>
            <x v="116"/>
            <x v="117"/>
            <x v="118"/>
            <x v="119"/>
            <x v="120"/>
            <x v="121"/>
            <x v="122"/>
            <x v="123"/>
            <x v="124"/>
            <x v="125"/>
            <x v="126"/>
            <x v="127"/>
            <x v="128"/>
            <x v="129"/>
            <x v="130"/>
            <x v="131"/>
            <x v="132"/>
            <x v="133"/>
            <x v="134"/>
            <x v="135"/>
            <x v="136"/>
            <x v="137"/>
            <x v="138"/>
            <x v="139"/>
            <x v="140"/>
            <x v="141"/>
            <x v="142"/>
            <x v="143"/>
            <x v="144"/>
            <x v="145"/>
            <x v="146"/>
            <x v="147"/>
            <x v="148"/>
            <x v="149"/>
          </reference>
        </references>
      </pivotArea>
    </format>
    <format dxfId="112">
      <pivotArea dataOnly="0" labelOnly="1" fieldPosition="0">
        <references count="1">
          <reference field="3" count="50">
            <x v="150"/>
            <x v="151"/>
            <x v="152"/>
            <x v="153"/>
            <x v="154"/>
            <x v="155"/>
            <x v="156"/>
            <x v="157"/>
            <x v="158"/>
            <x v="159"/>
            <x v="160"/>
            <x v="161"/>
            <x v="162"/>
            <x v="163"/>
            <x v="164"/>
            <x v="165"/>
            <x v="166"/>
            <x v="167"/>
            <x v="168"/>
            <x v="169"/>
            <x v="170"/>
            <x v="171"/>
            <x v="172"/>
            <x v="173"/>
            <x v="174"/>
            <x v="175"/>
            <x v="176"/>
            <x v="177"/>
            <x v="178"/>
            <x v="179"/>
            <x v="180"/>
            <x v="181"/>
            <x v="182"/>
            <x v="183"/>
            <x v="184"/>
            <x v="185"/>
            <x v="186"/>
            <x v="187"/>
            <x v="188"/>
            <x v="189"/>
            <x v="190"/>
            <x v="191"/>
            <x v="192"/>
            <x v="193"/>
            <x v="194"/>
            <x v="195"/>
            <x v="196"/>
            <x v="197"/>
            <x v="198"/>
            <x v="199"/>
          </reference>
        </references>
      </pivotArea>
    </format>
    <format dxfId="111">
      <pivotArea dataOnly="0" labelOnly="1" fieldPosition="0">
        <references count="1">
          <reference field="3" count="22">
            <x v="200"/>
            <x v="201"/>
            <x v="202"/>
            <x v="203"/>
            <x v="204"/>
            <x v="205"/>
            <x v="206"/>
            <x v="207"/>
            <x v="208"/>
            <x v="209"/>
            <x v="210"/>
            <x v="211"/>
            <x v="212"/>
            <x v="213"/>
            <x v="214"/>
            <x v="215"/>
            <x v="216"/>
            <x v="217"/>
            <x v="218"/>
            <x v="219"/>
            <x v="220"/>
            <x v="221"/>
          </reference>
        </references>
      </pivotArea>
    </format>
    <format dxfId="110">
      <pivotArea dataOnly="0" labelOnly="1" grandRow="1" outline="0" fieldPosition="0"/>
    </format>
    <format dxfId="109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108">
      <pivotArea type="all" dataOnly="0" outline="0" fieldPosition="0"/>
    </format>
    <format dxfId="107">
      <pivotArea outline="0" collapsedLevelsAreSubtotals="1" fieldPosition="0"/>
    </format>
    <format dxfId="106">
      <pivotArea field="3" type="button" dataOnly="0" labelOnly="1" outline="0" axis="axisRow" fieldPosition="0"/>
    </format>
    <format dxfId="105">
      <pivotArea dataOnly="0" labelOnly="1" fieldPosition="0">
        <references count="1">
          <reference field="3" count="5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</reference>
        </references>
      </pivotArea>
    </format>
    <format dxfId="104">
      <pivotArea dataOnly="0" labelOnly="1" fieldPosition="0">
        <references count="1">
          <reference field="3" count="50"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  <x v="80"/>
            <x v="81"/>
            <x v="82"/>
            <x v="83"/>
            <x v="84"/>
            <x v="85"/>
            <x v="86"/>
            <x v="87"/>
            <x v="88"/>
            <x v="89"/>
            <x v="90"/>
            <x v="91"/>
            <x v="92"/>
            <x v="93"/>
            <x v="94"/>
            <x v="95"/>
            <x v="96"/>
            <x v="97"/>
            <x v="98"/>
            <x v="99"/>
          </reference>
        </references>
      </pivotArea>
    </format>
    <format dxfId="103">
      <pivotArea dataOnly="0" labelOnly="1" fieldPosition="0">
        <references count="1">
          <reference field="3" count="50">
            <x v="100"/>
            <x v="101"/>
            <x v="102"/>
            <x v="103"/>
            <x v="104"/>
            <x v="105"/>
            <x v="106"/>
            <x v="107"/>
            <x v="108"/>
            <x v="109"/>
            <x v="110"/>
            <x v="111"/>
            <x v="112"/>
            <x v="113"/>
            <x v="114"/>
            <x v="115"/>
            <x v="116"/>
            <x v="117"/>
            <x v="118"/>
            <x v="119"/>
            <x v="120"/>
            <x v="121"/>
            <x v="122"/>
            <x v="123"/>
            <x v="124"/>
            <x v="125"/>
            <x v="126"/>
            <x v="127"/>
            <x v="128"/>
            <x v="129"/>
            <x v="130"/>
            <x v="131"/>
            <x v="132"/>
            <x v="133"/>
            <x v="134"/>
            <x v="135"/>
            <x v="136"/>
            <x v="137"/>
            <x v="138"/>
            <x v="139"/>
            <x v="140"/>
            <x v="141"/>
            <x v="142"/>
            <x v="143"/>
            <x v="144"/>
            <x v="145"/>
            <x v="146"/>
            <x v="147"/>
            <x v="148"/>
            <x v="149"/>
          </reference>
        </references>
      </pivotArea>
    </format>
    <format dxfId="102">
      <pivotArea dataOnly="0" labelOnly="1" fieldPosition="0">
        <references count="1">
          <reference field="3" count="50">
            <x v="150"/>
            <x v="151"/>
            <x v="152"/>
            <x v="153"/>
            <x v="154"/>
            <x v="155"/>
            <x v="156"/>
            <x v="157"/>
            <x v="158"/>
            <x v="159"/>
            <x v="160"/>
            <x v="161"/>
            <x v="162"/>
            <x v="163"/>
            <x v="164"/>
            <x v="165"/>
            <x v="166"/>
            <x v="167"/>
            <x v="168"/>
            <x v="169"/>
            <x v="170"/>
            <x v="171"/>
            <x v="172"/>
            <x v="173"/>
            <x v="174"/>
            <x v="175"/>
            <x v="176"/>
            <x v="177"/>
            <x v="178"/>
            <x v="179"/>
            <x v="180"/>
            <x v="181"/>
            <x v="182"/>
            <x v="183"/>
            <x v="184"/>
            <x v="185"/>
            <x v="186"/>
            <x v="187"/>
            <x v="188"/>
            <x v="189"/>
            <x v="190"/>
            <x v="191"/>
            <x v="192"/>
            <x v="193"/>
            <x v="194"/>
            <x v="195"/>
            <x v="196"/>
            <x v="197"/>
            <x v="198"/>
            <x v="199"/>
          </reference>
        </references>
      </pivotArea>
    </format>
    <format dxfId="101">
      <pivotArea dataOnly="0" labelOnly="1" fieldPosition="0">
        <references count="1">
          <reference field="3" count="35">
            <x v="200"/>
            <x v="201"/>
            <x v="202"/>
            <x v="203"/>
            <x v="204"/>
            <x v="205"/>
            <x v="206"/>
            <x v="207"/>
            <x v="208"/>
            <x v="209"/>
            <x v="210"/>
            <x v="211"/>
            <x v="212"/>
            <x v="213"/>
            <x v="214"/>
            <x v="215"/>
            <x v="216"/>
            <x v="217"/>
            <x v="218"/>
            <x v="219"/>
            <x v="220"/>
            <x v="221"/>
            <x v="222"/>
            <x v="223"/>
            <x v="224"/>
            <x v="225"/>
            <x v="226"/>
            <x v="227"/>
            <x v="228"/>
            <x v="229"/>
            <x v="230"/>
            <x v="231"/>
            <x v="232"/>
            <x v="233"/>
            <x v="234"/>
          </reference>
        </references>
      </pivotArea>
    </format>
    <format dxfId="100">
      <pivotArea dataOnly="0" labelOnly="1" grandRow="1" outline="0" fieldPosition="0"/>
    </format>
    <format dxfId="99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98">
      <pivotArea type="all" dataOnly="0" outline="0" fieldPosition="0"/>
    </format>
    <format dxfId="97">
      <pivotArea outline="0" collapsedLevelsAreSubtotals="1" fieldPosition="0"/>
    </format>
    <format dxfId="96">
      <pivotArea field="3" type="button" dataOnly="0" labelOnly="1" outline="0" axis="axisRow" fieldPosition="0"/>
    </format>
    <format dxfId="95">
      <pivotArea dataOnly="0" labelOnly="1" fieldPosition="0">
        <references count="1">
          <reference field="3" count="5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</reference>
        </references>
      </pivotArea>
    </format>
    <format dxfId="94">
      <pivotArea dataOnly="0" labelOnly="1" fieldPosition="0">
        <references count="1">
          <reference field="3" count="50"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  <x v="80"/>
            <x v="81"/>
            <x v="82"/>
            <x v="83"/>
            <x v="84"/>
            <x v="85"/>
            <x v="86"/>
            <x v="87"/>
            <x v="88"/>
            <x v="89"/>
            <x v="90"/>
            <x v="91"/>
            <x v="92"/>
            <x v="93"/>
            <x v="94"/>
            <x v="95"/>
            <x v="96"/>
            <x v="97"/>
            <x v="98"/>
            <x v="99"/>
          </reference>
        </references>
      </pivotArea>
    </format>
    <format dxfId="93">
      <pivotArea dataOnly="0" labelOnly="1" fieldPosition="0">
        <references count="1">
          <reference field="3" count="50">
            <x v="100"/>
            <x v="101"/>
            <x v="102"/>
            <x v="103"/>
            <x v="104"/>
            <x v="105"/>
            <x v="106"/>
            <x v="107"/>
            <x v="108"/>
            <x v="109"/>
            <x v="110"/>
            <x v="111"/>
            <x v="112"/>
            <x v="113"/>
            <x v="114"/>
            <x v="115"/>
            <x v="116"/>
            <x v="117"/>
            <x v="118"/>
            <x v="119"/>
            <x v="120"/>
            <x v="121"/>
            <x v="122"/>
            <x v="123"/>
            <x v="124"/>
            <x v="125"/>
            <x v="126"/>
            <x v="127"/>
            <x v="128"/>
            <x v="129"/>
            <x v="130"/>
            <x v="131"/>
            <x v="132"/>
            <x v="133"/>
            <x v="134"/>
            <x v="135"/>
            <x v="136"/>
            <x v="137"/>
            <x v="138"/>
            <x v="139"/>
            <x v="140"/>
            <x v="141"/>
            <x v="142"/>
            <x v="143"/>
            <x v="144"/>
            <x v="145"/>
            <x v="146"/>
            <x v="147"/>
            <x v="148"/>
            <x v="149"/>
          </reference>
        </references>
      </pivotArea>
    </format>
    <format dxfId="92">
      <pivotArea dataOnly="0" labelOnly="1" fieldPosition="0">
        <references count="1">
          <reference field="3" count="50">
            <x v="150"/>
            <x v="151"/>
            <x v="152"/>
            <x v="153"/>
            <x v="154"/>
            <x v="155"/>
            <x v="156"/>
            <x v="157"/>
            <x v="158"/>
            <x v="159"/>
            <x v="160"/>
            <x v="161"/>
            <x v="162"/>
            <x v="163"/>
            <x v="164"/>
            <x v="165"/>
            <x v="166"/>
            <x v="167"/>
            <x v="168"/>
            <x v="169"/>
            <x v="170"/>
            <x v="171"/>
            <x v="172"/>
            <x v="173"/>
            <x v="174"/>
            <x v="175"/>
            <x v="176"/>
            <x v="177"/>
            <x v="178"/>
            <x v="179"/>
            <x v="180"/>
            <x v="181"/>
            <x v="182"/>
            <x v="183"/>
            <x v="184"/>
            <x v="185"/>
            <x v="186"/>
            <x v="187"/>
            <x v="188"/>
            <x v="189"/>
            <x v="190"/>
            <x v="191"/>
            <x v="192"/>
            <x v="193"/>
            <x v="194"/>
            <x v="195"/>
            <x v="196"/>
            <x v="197"/>
            <x v="198"/>
            <x v="199"/>
          </reference>
        </references>
      </pivotArea>
    </format>
    <format dxfId="91">
      <pivotArea dataOnly="0" labelOnly="1" fieldPosition="0">
        <references count="1">
          <reference field="3" count="35">
            <x v="200"/>
            <x v="201"/>
            <x v="202"/>
            <x v="203"/>
            <x v="204"/>
            <x v="205"/>
            <x v="206"/>
            <x v="207"/>
            <x v="208"/>
            <x v="209"/>
            <x v="210"/>
            <x v="211"/>
            <x v="212"/>
            <x v="213"/>
            <x v="214"/>
            <x v="215"/>
            <x v="216"/>
            <x v="217"/>
            <x v="218"/>
            <x v="219"/>
            <x v="220"/>
            <x v="221"/>
            <x v="222"/>
            <x v="223"/>
            <x v="224"/>
            <x v="225"/>
            <x v="226"/>
            <x v="227"/>
            <x v="228"/>
            <x v="229"/>
            <x v="230"/>
            <x v="231"/>
            <x v="232"/>
            <x v="233"/>
            <x v="234"/>
          </reference>
        </references>
      </pivotArea>
    </format>
    <format dxfId="90">
      <pivotArea dataOnly="0" labelOnly="1" grandRow="1" outline="0" fieldPosition="0"/>
    </format>
    <format dxfId="89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88">
      <pivotArea type="all" dataOnly="0" outline="0" fieldPosition="0"/>
    </format>
    <format dxfId="87">
      <pivotArea outline="0" collapsedLevelsAreSubtotals="1" fieldPosition="0"/>
    </format>
    <format dxfId="86">
      <pivotArea field="3" type="button" dataOnly="0" labelOnly="1" outline="0" axis="axisRow" fieldPosition="0"/>
    </format>
    <format dxfId="85">
      <pivotArea dataOnly="0" labelOnly="1" fieldPosition="0">
        <references count="1">
          <reference field="3" count="5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</reference>
        </references>
      </pivotArea>
    </format>
    <format dxfId="84">
      <pivotArea dataOnly="0" labelOnly="1" fieldPosition="0">
        <references count="1">
          <reference field="3" count="50"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  <x v="80"/>
            <x v="81"/>
            <x v="82"/>
            <x v="83"/>
            <x v="84"/>
            <x v="85"/>
            <x v="86"/>
            <x v="87"/>
            <x v="88"/>
            <x v="89"/>
            <x v="90"/>
            <x v="91"/>
            <x v="92"/>
            <x v="93"/>
            <x v="94"/>
            <x v="95"/>
            <x v="96"/>
            <x v="97"/>
            <x v="98"/>
            <x v="99"/>
          </reference>
        </references>
      </pivotArea>
    </format>
    <format dxfId="83">
      <pivotArea dataOnly="0" labelOnly="1" fieldPosition="0">
        <references count="1">
          <reference field="3" count="50">
            <x v="100"/>
            <x v="101"/>
            <x v="102"/>
            <x v="103"/>
            <x v="104"/>
            <x v="105"/>
            <x v="106"/>
            <x v="107"/>
            <x v="108"/>
            <x v="109"/>
            <x v="110"/>
            <x v="111"/>
            <x v="112"/>
            <x v="113"/>
            <x v="114"/>
            <x v="115"/>
            <x v="116"/>
            <x v="117"/>
            <x v="118"/>
            <x v="119"/>
            <x v="120"/>
            <x v="121"/>
            <x v="122"/>
            <x v="123"/>
            <x v="124"/>
            <x v="125"/>
            <x v="126"/>
            <x v="127"/>
            <x v="128"/>
            <x v="129"/>
            <x v="130"/>
            <x v="131"/>
            <x v="132"/>
            <x v="133"/>
            <x v="134"/>
            <x v="135"/>
            <x v="136"/>
            <x v="137"/>
            <x v="138"/>
            <x v="139"/>
            <x v="140"/>
            <x v="141"/>
            <x v="142"/>
            <x v="143"/>
            <x v="144"/>
            <x v="145"/>
            <x v="146"/>
            <x v="147"/>
            <x v="148"/>
            <x v="149"/>
          </reference>
        </references>
      </pivotArea>
    </format>
    <format dxfId="82">
      <pivotArea dataOnly="0" labelOnly="1" fieldPosition="0">
        <references count="1">
          <reference field="3" count="50">
            <x v="150"/>
            <x v="151"/>
            <x v="152"/>
            <x v="153"/>
            <x v="154"/>
            <x v="155"/>
            <x v="156"/>
            <x v="157"/>
            <x v="158"/>
            <x v="159"/>
            <x v="160"/>
            <x v="161"/>
            <x v="162"/>
            <x v="163"/>
            <x v="164"/>
            <x v="165"/>
            <x v="166"/>
            <x v="167"/>
            <x v="168"/>
            <x v="169"/>
            <x v="170"/>
            <x v="171"/>
            <x v="172"/>
            <x v="173"/>
            <x v="174"/>
            <x v="175"/>
            <x v="176"/>
            <x v="177"/>
            <x v="178"/>
            <x v="179"/>
            <x v="180"/>
            <x v="181"/>
            <x v="182"/>
            <x v="183"/>
            <x v="184"/>
            <x v="185"/>
            <x v="186"/>
            <x v="187"/>
            <x v="188"/>
            <x v="189"/>
            <x v="190"/>
            <x v="191"/>
            <x v="192"/>
            <x v="193"/>
            <x v="194"/>
            <x v="195"/>
            <x v="196"/>
            <x v="197"/>
            <x v="198"/>
            <x v="199"/>
          </reference>
        </references>
      </pivotArea>
    </format>
    <format dxfId="81">
      <pivotArea dataOnly="0" labelOnly="1" fieldPosition="0">
        <references count="1">
          <reference field="3" count="35">
            <x v="200"/>
            <x v="201"/>
            <x v="202"/>
            <x v="203"/>
            <x v="204"/>
            <x v="205"/>
            <x v="206"/>
            <x v="207"/>
            <x v="208"/>
            <x v="209"/>
            <x v="210"/>
            <x v="211"/>
            <x v="212"/>
            <x v="213"/>
            <x v="214"/>
            <x v="215"/>
            <x v="216"/>
            <x v="217"/>
            <x v="218"/>
            <x v="219"/>
            <x v="220"/>
            <x v="221"/>
            <x v="222"/>
            <x v="223"/>
            <x v="224"/>
            <x v="225"/>
            <x v="226"/>
            <x v="227"/>
            <x v="228"/>
            <x v="229"/>
            <x v="230"/>
            <x v="231"/>
            <x v="232"/>
            <x v="233"/>
            <x v="234"/>
          </reference>
        </references>
      </pivotArea>
    </format>
    <format dxfId="80">
      <pivotArea dataOnly="0" labelOnly="1" grandRow="1" outline="0" fieldPosition="0"/>
    </format>
    <format dxfId="79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78">
      <pivotArea type="all" dataOnly="0" outline="0" fieldPosition="0"/>
    </format>
    <format dxfId="77">
      <pivotArea outline="0" collapsedLevelsAreSubtotals="1" fieldPosition="0"/>
    </format>
    <format dxfId="76">
      <pivotArea field="3" type="button" dataOnly="0" labelOnly="1" outline="0" axis="axisRow" fieldPosition="0"/>
    </format>
    <format dxfId="75">
      <pivotArea dataOnly="0" labelOnly="1" fieldPosition="0">
        <references count="1">
          <reference field="3" count="5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</reference>
        </references>
      </pivotArea>
    </format>
    <format dxfId="74">
      <pivotArea dataOnly="0" labelOnly="1" fieldPosition="0">
        <references count="1">
          <reference field="3" count="50"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  <x v="80"/>
            <x v="81"/>
            <x v="82"/>
            <x v="83"/>
            <x v="84"/>
            <x v="85"/>
            <x v="86"/>
            <x v="87"/>
            <x v="88"/>
            <x v="89"/>
            <x v="90"/>
            <x v="91"/>
            <x v="92"/>
            <x v="93"/>
            <x v="94"/>
            <x v="95"/>
            <x v="96"/>
            <x v="97"/>
            <x v="98"/>
            <x v="99"/>
          </reference>
        </references>
      </pivotArea>
    </format>
    <format dxfId="73">
      <pivotArea dataOnly="0" labelOnly="1" fieldPosition="0">
        <references count="1">
          <reference field="3" count="50">
            <x v="100"/>
            <x v="101"/>
            <x v="102"/>
            <x v="103"/>
            <x v="104"/>
            <x v="105"/>
            <x v="106"/>
            <x v="107"/>
            <x v="108"/>
            <x v="109"/>
            <x v="110"/>
            <x v="111"/>
            <x v="112"/>
            <x v="113"/>
            <x v="114"/>
            <x v="115"/>
            <x v="116"/>
            <x v="117"/>
            <x v="118"/>
            <x v="119"/>
            <x v="120"/>
            <x v="121"/>
            <x v="122"/>
            <x v="123"/>
            <x v="124"/>
            <x v="125"/>
            <x v="126"/>
            <x v="127"/>
            <x v="128"/>
            <x v="129"/>
            <x v="130"/>
            <x v="131"/>
            <x v="132"/>
            <x v="133"/>
            <x v="134"/>
            <x v="135"/>
            <x v="136"/>
            <x v="137"/>
            <x v="138"/>
            <x v="139"/>
            <x v="140"/>
            <x v="141"/>
            <x v="142"/>
            <x v="143"/>
            <x v="144"/>
            <x v="145"/>
            <x v="146"/>
            <x v="147"/>
            <x v="148"/>
            <x v="149"/>
          </reference>
        </references>
      </pivotArea>
    </format>
    <format dxfId="72">
      <pivotArea dataOnly="0" labelOnly="1" fieldPosition="0">
        <references count="1">
          <reference field="3" count="50">
            <x v="150"/>
            <x v="151"/>
            <x v="152"/>
            <x v="153"/>
            <x v="154"/>
            <x v="155"/>
            <x v="156"/>
            <x v="157"/>
            <x v="158"/>
            <x v="159"/>
            <x v="160"/>
            <x v="161"/>
            <x v="162"/>
            <x v="163"/>
            <x v="164"/>
            <x v="165"/>
            <x v="166"/>
            <x v="167"/>
            <x v="168"/>
            <x v="169"/>
            <x v="170"/>
            <x v="171"/>
            <x v="172"/>
            <x v="173"/>
            <x v="174"/>
            <x v="175"/>
            <x v="176"/>
            <x v="177"/>
            <x v="178"/>
            <x v="179"/>
            <x v="180"/>
            <x v="181"/>
            <x v="182"/>
            <x v="183"/>
            <x v="184"/>
            <x v="185"/>
            <x v="186"/>
            <x v="187"/>
            <x v="188"/>
            <x v="189"/>
            <x v="190"/>
            <x v="191"/>
            <x v="192"/>
            <x v="193"/>
            <x v="194"/>
            <x v="195"/>
            <x v="196"/>
            <x v="197"/>
            <x v="198"/>
            <x v="199"/>
          </reference>
        </references>
      </pivotArea>
    </format>
    <format dxfId="71">
      <pivotArea dataOnly="0" labelOnly="1" fieldPosition="0">
        <references count="1">
          <reference field="3" count="50">
            <x v="200"/>
            <x v="201"/>
            <x v="202"/>
            <x v="203"/>
            <x v="204"/>
            <x v="205"/>
            <x v="206"/>
            <x v="207"/>
            <x v="208"/>
            <x v="209"/>
            <x v="210"/>
            <x v="211"/>
            <x v="212"/>
            <x v="213"/>
            <x v="214"/>
            <x v="215"/>
            <x v="216"/>
            <x v="217"/>
            <x v="218"/>
            <x v="219"/>
            <x v="220"/>
            <x v="221"/>
            <x v="222"/>
            <x v="223"/>
            <x v="224"/>
            <x v="225"/>
            <x v="226"/>
            <x v="227"/>
            <x v="228"/>
            <x v="229"/>
            <x v="230"/>
            <x v="231"/>
            <x v="232"/>
            <x v="233"/>
            <x v="234"/>
            <x v="235"/>
            <x v="236"/>
            <x v="237"/>
            <x v="238"/>
            <x v="239"/>
            <x v="240"/>
            <x v="241"/>
            <x v="242"/>
            <x v="243"/>
            <x v="244"/>
            <x v="245"/>
            <x v="246"/>
            <x v="247"/>
            <x v="248"/>
            <x v="249"/>
          </reference>
        </references>
      </pivotArea>
    </format>
    <format dxfId="70">
      <pivotArea dataOnly="0" labelOnly="1" fieldPosition="0">
        <references count="1">
          <reference field="3" count="50">
            <x v="250"/>
            <x v="251"/>
            <x v="252"/>
            <x v="253"/>
            <x v="254"/>
            <x v="255"/>
            <x v="256"/>
            <x v="257"/>
            <x v="258"/>
            <x v="259"/>
            <x v="260"/>
            <x v="261"/>
            <x v="262"/>
            <x v="263"/>
            <x v="264"/>
            <x v="265"/>
            <x v="266"/>
            <x v="267"/>
            <x v="268"/>
            <x v="269"/>
            <x v="270"/>
            <x v="271"/>
            <x v="272"/>
            <x v="273"/>
            <x v="274"/>
            <x v="275"/>
            <x v="276"/>
            <x v="277"/>
            <x v="278"/>
            <x v="279"/>
            <x v="280"/>
            <x v="281"/>
            <x v="282"/>
            <x v="283"/>
            <x v="284"/>
            <x v="285"/>
            <x v="286"/>
            <x v="287"/>
            <x v="288"/>
            <x v="289"/>
            <x v="290"/>
            <x v="291"/>
            <x v="292"/>
            <x v="293"/>
            <x v="294"/>
            <x v="295"/>
            <x v="296"/>
            <x v="297"/>
            <x v="298"/>
            <x v="299"/>
          </reference>
        </references>
      </pivotArea>
    </format>
    <format dxfId="69">
      <pivotArea dataOnly="0" labelOnly="1" fieldPosition="0">
        <references count="1">
          <reference field="3" count="20">
            <x v="300"/>
            <x v="301"/>
            <x v="302"/>
            <x v="303"/>
            <x v="304"/>
            <x v="305"/>
            <x v="306"/>
            <x v="307"/>
            <x v="308"/>
            <x v="309"/>
            <x v="310"/>
            <x v="311"/>
            <x v="312"/>
            <x v="313"/>
            <x v="314"/>
            <x v="315"/>
            <x v="316"/>
            <x v="317"/>
            <x v="318"/>
            <x v="319"/>
          </reference>
        </references>
      </pivotArea>
    </format>
    <format dxfId="68">
      <pivotArea dataOnly="0" labelOnly="1" grandRow="1" outline="0" fieldPosition="0"/>
    </format>
    <format dxfId="67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66">
      <pivotArea type="all" dataOnly="0" outline="0" fieldPosition="0"/>
    </format>
    <format dxfId="65">
      <pivotArea outline="0" collapsedLevelsAreSubtotals="1" fieldPosition="0"/>
    </format>
    <format dxfId="64">
      <pivotArea field="3" type="button" dataOnly="0" labelOnly="1" outline="0" axis="axisRow" fieldPosition="0"/>
    </format>
    <format dxfId="63">
      <pivotArea dataOnly="0" labelOnly="1" fieldPosition="0">
        <references count="1">
          <reference field="3" count="5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</reference>
        </references>
      </pivotArea>
    </format>
    <format dxfId="62">
      <pivotArea dataOnly="0" labelOnly="1" fieldPosition="0">
        <references count="1">
          <reference field="3" count="50"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  <x v="80"/>
            <x v="81"/>
            <x v="82"/>
            <x v="83"/>
            <x v="84"/>
            <x v="85"/>
            <x v="86"/>
            <x v="87"/>
            <x v="88"/>
            <x v="89"/>
            <x v="90"/>
            <x v="91"/>
            <x v="92"/>
            <x v="93"/>
            <x v="94"/>
            <x v="95"/>
            <x v="96"/>
            <x v="97"/>
            <x v="98"/>
            <x v="99"/>
          </reference>
        </references>
      </pivotArea>
    </format>
    <format dxfId="61">
      <pivotArea dataOnly="0" labelOnly="1" fieldPosition="0">
        <references count="1">
          <reference field="3" count="50">
            <x v="100"/>
            <x v="101"/>
            <x v="102"/>
            <x v="103"/>
            <x v="104"/>
            <x v="105"/>
            <x v="106"/>
            <x v="107"/>
            <x v="108"/>
            <x v="109"/>
            <x v="110"/>
            <x v="111"/>
            <x v="112"/>
            <x v="113"/>
            <x v="114"/>
            <x v="115"/>
            <x v="116"/>
            <x v="117"/>
            <x v="118"/>
            <x v="119"/>
            <x v="120"/>
            <x v="121"/>
            <x v="122"/>
            <x v="123"/>
            <x v="124"/>
            <x v="125"/>
            <x v="126"/>
            <x v="127"/>
            <x v="128"/>
            <x v="129"/>
            <x v="130"/>
            <x v="131"/>
            <x v="132"/>
            <x v="133"/>
            <x v="134"/>
            <x v="135"/>
            <x v="136"/>
            <x v="137"/>
            <x v="138"/>
            <x v="139"/>
            <x v="140"/>
            <x v="141"/>
            <x v="142"/>
            <x v="143"/>
            <x v="144"/>
            <x v="145"/>
            <x v="146"/>
            <x v="147"/>
            <x v="148"/>
            <x v="149"/>
          </reference>
        </references>
      </pivotArea>
    </format>
    <format dxfId="60">
      <pivotArea dataOnly="0" labelOnly="1" fieldPosition="0">
        <references count="1">
          <reference field="3" count="50">
            <x v="150"/>
            <x v="151"/>
            <x v="152"/>
            <x v="153"/>
            <x v="154"/>
            <x v="155"/>
            <x v="156"/>
            <x v="157"/>
            <x v="158"/>
            <x v="159"/>
            <x v="160"/>
            <x v="161"/>
            <x v="162"/>
            <x v="163"/>
            <x v="164"/>
            <x v="165"/>
            <x v="166"/>
            <x v="167"/>
            <x v="168"/>
            <x v="169"/>
            <x v="170"/>
            <x v="171"/>
            <x v="172"/>
            <x v="173"/>
            <x v="174"/>
            <x v="175"/>
            <x v="176"/>
            <x v="177"/>
            <x v="178"/>
            <x v="179"/>
            <x v="180"/>
            <x v="181"/>
            <x v="182"/>
            <x v="183"/>
            <x v="184"/>
            <x v="185"/>
            <x v="186"/>
            <x v="187"/>
            <x v="188"/>
            <x v="189"/>
            <x v="190"/>
            <x v="191"/>
            <x v="192"/>
            <x v="193"/>
            <x v="194"/>
            <x v="195"/>
            <x v="196"/>
            <x v="197"/>
            <x v="198"/>
            <x v="199"/>
          </reference>
        </references>
      </pivotArea>
    </format>
    <format dxfId="59">
      <pivotArea dataOnly="0" labelOnly="1" fieldPosition="0">
        <references count="1">
          <reference field="3" count="50">
            <x v="200"/>
            <x v="201"/>
            <x v="202"/>
            <x v="203"/>
            <x v="204"/>
            <x v="205"/>
            <x v="206"/>
            <x v="207"/>
            <x v="208"/>
            <x v="209"/>
            <x v="210"/>
            <x v="211"/>
            <x v="212"/>
            <x v="213"/>
            <x v="214"/>
            <x v="215"/>
            <x v="216"/>
            <x v="217"/>
            <x v="218"/>
            <x v="219"/>
            <x v="220"/>
            <x v="221"/>
            <x v="222"/>
            <x v="223"/>
            <x v="224"/>
            <x v="225"/>
            <x v="226"/>
            <x v="227"/>
            <x v="228"/>
            <x v="229"/>
            <x v="230"/>
            <x v="231"/>
            <x v="232"/>
            <x v="233"/>
            <x v="234"/>
            <x v="235"/>
            <x v="236"/>
            <x v="237"/>
            <x v="238"/>
            <x v="239"/>
            <x v="240"/>
            <x v="241"/>
            <x v="242"/>
            <x v="243"/>
            <x v="244"/>
            <x v="245"/>
            <x v="246"/>
            <x v="247"/>
            <x v="248"/>
            <x v="249"/>
          </reference>
        </references>
      </pivotArea>
    </format>
    <format dxfId="58">
      <pivotArea dataOnly="0" labelOnly="1" fieldPosition="0">
        <references count="1">
          <reference field="3" count="50">
            <x v="250"/>
            <x v="251"/>
            <x v="252"/>
            <x v="253"/>
            <x v="254"/>
            <x v="255"/>
            <x v="256"/>
            <x v="257"/>
            <x v="258"/>
            <x v="259"/>
            <x v="260"/>
            <x v="261"/>
            <x v="262"/>
            <x v="263"/>
            <x v="264"/>
            <x v="265"/>
            <x v="266"/>
            <x v="267"/>
            <x v="268"/>
            <x v="269"/>
            <x v="270"/>
            <x v="271"/>
            <x v="272"/>
            <x v="273"/>
            <x v="274"/>
            <x v="275"/>
            <x v="276"/>
            <x v="277"/>
            <x v="278"/>
            <x v="279"/>
            <x v="280"/>
            <x v="281"/>
            <x v="282"/>
            <x v="283"/>
            <x v="284"/>
            <x v="285"/>
            <x v="286"/>
            <x v="287"/>
            <x v="288"/>
            <x v="289"/>
            <x v="290"/>
            <x v="291"/>
            <x v="292"/>
            <x v="293"/>
            <x v="294"/>
            <x v="295"/>
            <x v="296"/>
            <x v="297"/>
            <x v="298"/>
            <x v="299"/>
          </reference>
        </references>
      </pivotArea>
    </format>
    <format dxfId="57">
      <pivotArea dataOnly="0" labelOnly="1" fieldPosition="0">
        <references count="1">
          <reference field="3" count="20">
            <x v="300"/>
            <x v="301"/>
            <x v="302"/>
            <x v="303"/>
            <x v="304"/>
            <x v="305"/>
            <x v="306"/>
            <x v="307"/>
            <x v="308"/>
            <x v="309"/>
            <x v="310"/>
            <x v="311"/>
            <x v="312"/>
            <x v="313"/>
            <x v="314"/>
            <x v="315"/>
            <x v="316"/>
            <x v="317"/>
            <x v="318"/>
            <x v="319"/>
          </reference>
        </references>
      </pivotArea>
    </format>
    <format dxfId="56">
      <pivotArea dataOnly="0" labelOnly="1" grandRow="1" outline="0" fieldPosition="0"/>
    </format>
    <format dxfId="55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54">
      <pivotArea type="all" dataOnly="0" outline="0" fieldPosition="0"/>
    </format>
    <format dxfId="53">
      <pivotArea outline="0" collapsedLevelsAreSubtotals="1" fieldPosition="0"/>
    </format>
    <format dxfId="52">
      <pivotArea field="3" type="button" dataOnly="0" labelOnly="1" outline="0" axis="axisRow" fieldPosition="0"/>
    </format>
    <format dxfId="51">
      <pivotArea dataOnly="0" labelOnly="1" fieldPosition="0">
        <references count="1">
          <reference field="3" count="5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</reference>
        </references>
      </pivotArea>
    </format>
    <format dxfId="50">
      <pivotArea dataOnly="0" labelOnly="1" fieldPosition="0">
        <references count="1">
          <reference field="3" count="50"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  <x v="80"/>
            <x v="81"/>
            <x v="82"/>
            <x v="83"/>
            <x v="84"/>
            <x v="85"/>
            <x v="86"/>
            <x v="87"/>
            <x v="88"/>
            <x v="89"/>
            <x v="90"/>
            <x v="91"/>
            <x v="92"/>
            <x v="93"/>
            <x v="94"/>
            <x v="95"/>
            <x v="96"/>
            <x v="97"/>
            <x v="98"/>
            <x v="99"/>
          </reference>
        </references>
      </pivotArea>
    </format>
    <format dxfId="49">
      <pivotArea dataOnly="0" labelOnly="1" fieldPosition="0">
        <references count="1">
          <reference field="3" count="50">
            <x v="100"/>
            <x v="101"/>
            <x v="102"/>
            <x v="103"/>
            <x v="104"/>
            <x v="105"/>
            <x v="106"/>
            <x v="107"/>
            <x v="108"/>
            <x v="109"/>
            <x v="110"/>
            <x v="111"/>
            <x v="112"/>
            <x v="113"/>
            <x v="114"/>
            <x v="115"/>
            <x v="116"/>
            <x v="117"/>
            <x v="118"/>
            <x v="119"/>
            <x v="120"/>
            <x v="121"/>
            <x v="122"/>
            <x v="123"/>
            <x v="124"/>
            <x v="125"/>
            <x v="126"/>
            <x v="127"/>
            <x v="128"/>
            <x v="129"/>
            <x v="130"/>
            <x v="131"/>
            <x v="132"/>
            <x v="133"/>
            <x v="134"/>
            <x v="135"/>
            <x v="136"/>
            <x v="137"/>
            <x v="138"/>
            <x v="139"/>
            <x v="140"/>
            <x v="141"/>
            <x v="142"/>
            <x v="143"/>
            <x v="144"/>
            <x v="145"/>
            <x v="146"/>
            <x v="147"/>
            <x v="148"/>
            <x v="149"/>
          </reference>
        </references>
      </pivotArea>
    </format>
    <format dxfId="48">
      <pivotArea dataOnly="0" labelOnly="1" fieldPosition="0">
        <references count="1">
          <reference field="3" count="50">
            <x v="150"/>
            <x v="151"/>
            <x v="152"/>
            <x v="153"/>
            <x v="154"/>
            <x v="155"/>
            <x v="156"/>
            <x v="157"/>
            <x v="158"/>
            <x v="159"/>
            <x v="160"/>
            <x v="161"/>
            <x v="162"/>
            <x v="163"/>
            <x v="164"/>
            <x v="165"/>
            <x v="166"/>
            <x v="167"/>
            <x v="168"/>
            <x v="169"/>
            <x v="170"/>
            <x v="171"/>
            <x v="172"/>
            <x v="173"/>
            <x v="174"/>
            <x v="175"/>
            <x v="176"/>
            <x v="177"/>
            <x v="178"/>
            <x v="179"/>
            <x v="180"/>
            <x v="181"/>
            <x v="182"/>
            <x v="183"/>
            <x v="184"/>
            <x v="185"/>
            <x v="186"/>
            <x v="187"/>
            <x v="188"/>
            <x v="189"/>
            <x v="190"/>
            <x v="191"/>
            <x v="192"/>
            <x v="193"/>
            <x v="194"/>
            <x v="195"/>
            <x v="196"/>
            <x v="197"/>
            <x v="198"/>
            <x v="199"/>
          </reference>
        </references>
      </pivotArea>
    </format>
    <format dxfId="47">
      <pivotArea dataOnly="0" labelOnly="1" fieldPosition="0">
        <references count="1">
          <reference field="3" count="50">
            <x v="200"/>
            <x v="201"/>
            <x v="202"/>
            <x v="203"/>
            <x v="204"/>
            <x v="205"/>
            <x v="206"/>
            <x v="207"/>
            <x v="208"/>
            <x v="209"/>
            <x v="210"/>
            <x v="211"/>
            <x v="212"/>
            <x v="213"/>
            <x v="214"/>
            <x v="215"/>
            <x v="216"/>
            <x v="217"/>
            <x v="218"/>
            <x v="219"/>
            <x v="220"/>
            <x v="221"/>
            <x v="222"/>
            <x v="223"/>
            <x v="224"/>
            <x v="225"/>
            <x v="226"/>
            <x v="227"/>
            <x v="228"/>
            <x v="229"/>
            <x v="230"/>
            <x v="231"/>
            <x v="232"/>
            <x v="233"/>
            <x v="234"/>
            <x v="235"/>
            <x v="236"/>
            <x v="237"/>
            <x v="238"/>
            <x v="239"/>
            <x v="240"/>
            <x v="241"/>
            <x v="242"/>
            <x v="243"/>
            <x v="244"/>
            <x v="245"/>
            <x v="246"/>
            <x v="247"/>
            <x v="248"/>
            <x v="249"/>
          </reference>
        </references>
      </pivotArea>
    </format>
    <format dxfId="46">
      <pivotArea dataOnly="0" labelOnly="1" fieldPosition="0">
        <references count="1">
          <reference field="3" count="50">
            <x v="250"/>
            <x v="251"/>
            <x v="252"/>
            <x v="253"/>
            <x v="254"/>
            <x v="255"/>
            <x v="256"/>
            <x v="257"/>
            <x v="258"/>
            <x v="259"/>
            <x v="260"/>
            <x v="261"/>
            <x v="262"/>
            <x v="263"/>
            <x v="264"/>
            <x v="265"/>
            <x v="266"/>
            <x v="267"/>
            <x v="268"/>
            <x v="269"/>
            <x v="270"/>
            <x v="271"/>
            <x v="272"/>
            <x v="273"/>
            <x v="274"/>
            <x v="275"/>
            <x v="276"/>
            <x v="277"/>
            <x v="278"/>
            <x v="279"/>
            <x v="280"/>
            <x v="281"/>
            <x v="282"/>
            <x v="283"/>
            <x v="284"/>
            <x v="285"/>
            <x v="286"/>
            <x v="287"/>
            <x v="288"/>
            <x v="289"/>
            <x v="290"/>
            <x v="291"/>
            <x v="292"/>
            <x v="293"/>
            <x v="294"/>
            <x v="295"/>
            <x v="296"/>
            <x v="297"/>
            <x v="298"/>
            <x v="299"/>
          </reference>
        </references>
      </pivotArea>
    </format>
    <format dxfId="45">
      <pivotArea dataOnly="0" labelOnly="1" fieldPosition="0">
        <references count="1">
          <reference field="3" count="20">
            <x v="300"/>
            <x v="301"/>
            <x v="302"/>
            <x v="303"/>
            <x v="304"/>
            <x v="305"/>
            <x v="306"/>
            <x v="307"/>
            <x v="308"/>
            <x v="309"/>
            <x v="310"/>
            <x v="311"/>
            <x v="312"/>
            <x v="313"/>
            <x v="314"/>
            <x v="315"/>
            <x v="316"/>
            <x v="317"/>
            <x v="318"/>
            <x v="319"/>
          </reference>
        </references>
      </pivotArea>
    </format>
    <format dxfId="44">
      <pivotArea dataOnly="0" labelOnly="1" grandRow="1" outline="0" fieldPosition="0"/>
    </format>
    <format dxfId="43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</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00B51B3-EF34-4F83-8C8B-367F8F6452A0}" name="数据透视表2" cacheId="3" applyNumberFormats="0" applyBorderFormats="0" applyFontFormats="0" applyPatternFormats="0" applyAlignmentFormats="0" applyWidthHeightFormats="1" dataCaption="值" updatedVersion="8" minRefreshableVersion="3" useAutoFormatting="1" createdVersion="8" indent="0" compact="0" outline="1" outlineData="1" compactData="0" multipleFieldFilters="0" rowHeaderCaption="FBA单号">
  <location ref="P3:Q4" firstHeaderRow="1" firstDataRow="1" firstDataCol="2" rowPageCount="1" colPageCount="1"/>
  <pivotFields count="16">
    <pivotField compact="0" showAll="0"/>
    <pivotField compact="0" showAll="0"/>
    <pivotField compact="0" showAll="0"/>
    <pivotField axis="axisRow" compact="0" multipleItemSelectionAllowed="1" showAll="0">
      <items count="331">
        <item x="329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t="default"/>
      </items>
    </pivotField>
    <pivotField compact="0" showAll="0"/>
    <pivotField compact="0" showAll="0"/>
    <pivotField compact="0" showAll="0"/>
    <pivotField compact="0" showAll="0"/>
    <pivotField axis="axisRow" compact="0" showAll="0">
      <items count="13">
        <item h="1" x="2"/>
        <item h="1" x="1"/>
        <item x="0"/>
        <item h="1" x="11"/>
        <item h="1" x="3"/>
        <item h="1" x="4"/>
        <item h="1" x="5"/>
        <item h="1" x="6"/>
        <item h="1" x="7"/>
        <item h="1" x="8"/>
        <item h="1" x="9"/>
        <item h="1" x="10"/>
        <item t="default"/>
      </items>
    </pivotField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Page" compact="0" multipleItemSelectionAllowed="1" showAll="0">
      <items count="727">
        <item h="1" m="1" x="701"/>
        <item h="1" m="1" x="702"/>
        <item h="1" x="24"/>
        <item h="1" m="1" x="707"/>
        <item h="1" m="1" x="691"/>
        <item h="1" x="22"/>
        <item h="1" m="1" x="706"/>
        <item h="1" m="1" x="709"/>
        <item h="1" x="21"/>
        <item h="1" m="1" x="703"/>
        <item h="1" m="1" x="689"/>
        <item h="1" m="1" x="698"/>
        <item h="1" m="1" x="699"/>
        <item h="1" m="1" x="700"/>
        <item h="1" m="1" x="690"/>
        <item h="1" m="1" x="705"/>
        <item h="1" m="1" x="708"/>
        <item h="1" m="1" x="696"/>
        <item h="1" m="1" x="694"/>
        <item h="1" m="1" x="688"/>
        <item h="1" m="1" x="704"/>
        <item h="1" m="1" x="692"/>
        <item h="1" m="1" x="693"/>
        <item h="1" m="1" x="695"/>
        <item h="1" m="1" x="697"/>
        <item x="684"/>
        <item h="1" x="25"/>
        <item h="1" x="26"/>
        <item h="1" x="27"/>
        <item h="1" x="28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38"/>
        <item h="1" x="39"/>
        <item h="1" x="4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x="54"/>
        <item h="1" m="1" x="710"/>
        <item h="1" m="1" x="711"/>
        <item h="1" m="1" x="712"/>
        <item h="1" m="1" x="713"/>
        <item h="1" m="1" x="714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m="1" x="716"/>
        <item h="1" m="1" x="717"/>
        <item h="1" m="1" x="718"/>
        <item h="1" m="1" x="719"/>
        <item h="1" m="1" x="720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m="1" x="723"/>
        <item h="1" m="1" x="724"/>
        <item h="1" m="1" x="725"/>
        <item h="1" x="141"/>
        <item h="1" x="142"/>
        <item h="1" x="143"/>
        <item h="1" x="144"/>
        <item h="1" x="145"/>
        <item h="1" x="146"/>
        <item h="1" x="147"/>
        <item h="1" x="148"/>
        <item h="1" x="149"/>
        <item h="1" x="150"/>
        <item h="1" x="151"/>
        <item h="1" x="152"/>
        <item h="1" x="153"/>
        <item h="1" x="154"/>
        <item h="1" x="155"/>
        <item h="1" m="1" x="721"/>
        <item h="1" m="1" x="722"/>
        <item h="1" x="624"/>
        <item h="1" x="117"/>
        <item h="1" x="118"/>
        <item h="1" x="119"/>
        <item h="1" x="120"/>
        <item h="1" x="121"/>
        <item h="1" x="138"/>
        <item h="1" m="1" x="715"/>
        <item h="1" x="140"/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  <item h="1" x="14"/>
        <item h="1" x="15"/>
        <item h="1" x="16"/>
        <item h="1" x="17"/>
        <item h="1" x="18"/>
        <item h="1" x="19"/>
        <item h="1" x="20"/>
        <item h="1" x="23"/>
        <item h="1" x="55"/>
        <item h="1" x="56"/>
        <item h="1" x="57"/>
        <item h="1" x="58"/>
        <item h="1" x="59"/>
        <item h="1" x="60"/>
        <item h="1" x="61"/>
        <item h="1" x="139"/>
        <item h="1" x="156"/>
        <item h="1" x="157"/>
        <item h="1" x="158"/>
        <item h="1" x="159"/>
        <item h="1" x="160"/>
        <item h="1" x="161"/>
        <item h="1" x="162"/>
        <item h="1" x="163"/>
        <item h="1" x="164"/>
        <item h="1" x="165"/>
        <item h="1" x="166"/>
        <item h="1" x="167"/>
        <item h="1" x="168"/>
        <item h="1" x="169"/>
        <item h="1" x="170"/>
        <item h="1" x="171"/>
        <item h="1" x="172"/>
        <item h="1" x="173"/>
        <item h="1" x="174"/>
        <item h="1" x="175"/>
        <item h="1" x="176"/>
        <item h="1" x="404"/>
        <item h="1" x="178"/>
        <item h="1" x="179"/>
        <item h="1" x="180"/>
        <item h="1" x="181"/>
        <item h="1" x="182"/>
        <item h="1" x="183"/>
        <item h="1" x="184"/>
        <item h="1" x="185"/>
        <item h="1" x="186"/>
        <item h="1" x="187"/>
        <item h="1" x="188"/>
        <item h="1" x="189"/>
        <item h="1" x="190"/>
        <item h="1" x="191"/>
        <item h="1" x="192"/>
        <item h="1" x="193"/>
        <item h="1" x="194"/>
        <item h="1" x="195"/>
        <item h="1" x="196"/>
        <item h="1" x="197"/>
        <item h="1" x="198"/>
        <item h="1" x="199"/>
        <item h="1" x="200"/>
        <item h="1" x="201"/>
        <item h="1" x="202"/>
        <item h="1" x="203"/>
        <item h="1" x="204"/>
        <item h="1" x="205"/>
        <item h="1" m="1" x="685"/>
        <item h="1" x="207"/>
        <item h="1" x="208"/>
        <item h="1" x="209"/>
        <item h="1" m="1" x="686"/>
        <item h="1" m="1" x="687"/>
        <item h="1" x="212"/>
        <item h="1" x="213"/>
        <item h="1" x="214"/>
        <item h="1" x="215"/>
        <item h="1" x="216"/>
        <item h="1" x="217"/>
        <item h="1" x="218"/>
        <item h="1" x="219"/>
        <item h="1" x="220"/>
        <item h="1" x="221"/>
        <item h="1" x="222"/>
        <item h="1" x="223"/>
        <item h="1" x="224"/>
        <item h="1" x="225"/>
        <item h="1" x="226"/>
        <item h="1" x="227"/>
        <item h="1" x="228"/>
        <item h="1" x="229"/>
        <item h="1" x="230"/>
        <item h="1" x="231"/>
        <item h="1" x="232"/>
        <item h="1" x="233"/>
        <item h="1" x="234"/>
        <item h="1" x="235"/>
        <item h="1" x="236"/>
        <item h="1" x="237"/>
        <item h="1" x="238"/>
        <item h="1" x="239"/>
        <item h="1" x="240"/>
        <item h="1" x="241"/>
        <item h="1" x="242"/>
        <item h="1" x="243"/>
        <item h="1" x="244"/>
        <item h="1" x="245"/>
        <item h="1" x="246"/>
        <item h="1" x="247"/>
        <item h="1" x="248"/>
        <item h="1" x="249"/>
        <item h="1" x="250"/>
        <item h="1" x="251"/>
        <item h="1" x="252"/>
        <item h="1" x="253"/>
        <item h="1" x="254"/>
        <item h="1" x="255"/>
        <item h="1" x="256"/>
        <item h="1" x="257"/>
        <item h="1" x="258"/>
        <item h="1" x="259"/>
        <item h="1" x="260"/>
        <item h="1" x="261"/>
        <item h="1" x="262"/>
        <item h="1" x="263"/>
        <item h="1" x="264"/>
        <item h="1" x="265"/>
        <item h="1" x="266"/>
        <item h="1" x="267"/>
        <item h="1" x="268"/>
        <item h="1" x="269"/>
        <item h="1" x="270"/>
        <item h="1" x="271"/>
        <item h="1" x="272"/>
        <item h="1" x="273"/>
        <item h="1" x="274"/>
        <item h="1" x="275"/>
        <item h="1" x="276"/>
        <item h="1" x="277"/>
        <item h="1" x="278"/>
        <item h="1" x="279"/>
        <item h="1" x="280"/>
        <item h="1" x="281"/>
        <item h="1" x="282"/>
        <item h="1" x="283"/>
        <item h="1" x="284"/>
        <item h="1" x="285"/>
        <item h="1" x="286"/>
        <item h="1" x="287"/>
        <item h="1" x="288"/>
        <item h="1" x="289"/>
        <item h="1" x="290"/>
        <item h="1" x="291"/>
        <item h="1" x="292"/>
        <item h="1" x="293"/>
        <item h="1" x="294"/>
        <item h="1" x="295"/>
        <item h="1" x="296"/>
        <item h="1" x="297"/>
        <item h="1" x="298"/>
        <item h="1" x="299"/>
        <item h="1" x="300"/>
        <item h="1" x="301"/>
        <item h="1" x="302"/>
        <item h="1" x="303"/>
        <item h="1" x="304"/>
        <item h="1" x="305"/>
        <item h="1" x="306"/>
        <item h="1" x="307"/>
        <item h="1" x="308"/>
        <item h="1" x="309"/>
        <item h="1" x="310"/>
        <item h="1" x="311"/>
        <item h="1" x="312"/>
        <item h="1" x="313"/>
        <item h="1" x="314"/>
        <item h="1" x="315"/>
        <item h="1" x="316"/>
        <item h="1" x="317"/>
        <item h="1" x="318"/>
        <item h="1" x="319"/>
        <item h="1" x="320"/>
        <item h="1" x="321"/>
        <item h="1" x="322"/>
        <item h="1" x="323"/>
        <item h="1" x="324"/>
        <item h="1" x="325"/>
        <item h="1" x="326"/>
        <item h="1" x="327"/>
        <item h="1" x="328"/>
        <item h="1" x="329"/>
        <item h="1" x="330"/>
        <item h="1" x="331"/>
        <item h="1" x="332"/>
        <item h="1" x="333"/>
        <item h="1" x="334"/>
        <item h="1" x="335"/>
        <item h="1" x="336"/>
        <item h="1" x="337"/>
        <item h="1" x="338"/>
        <item h="1" x="339"/>
        <item h="1" x="340"/>
        <item h="1" x="341"/>
        <item h="1" x="342"/>
        <item h="1" x="343"/>
        <item h="1" x="344"/>
        <item h="1" x="345"/>
        <item h="1" x="346"/>
        <item h="1" x="347"/>
        <item h="1" x="348"/>
        <item h="1" x="349"/>
        <item h="1" x="350"/>
        <item h="1" x="351"/>
        <item h="1" x="352"/>
        <item h="1" x="353"/>
        <item h="1" x="354"/>
        <item h="1" x="355"/>
        <item h="1" x="356"/>
        <item h="1" x="357"/>
        <item h="1" x="358"/>
        <item h="1" x="359"/>
        <item h="1" x="360"/>
        <item h="1" x="361"/>
        <item h="1" x="362"/>
        <item h="1" x="363"/>
        <item h="1" x="364"/>
        <item h="1" x="365"/>
        <item h="1" x="366"/>
        <item h="1" x="367"/>
        <item h="1" x="368"/>
        <item h="1" x="369"/>
        <item h="1" x="370"/>
        <item h="1" x="371"/>
        <item h="1" x="372"/>
        <item h="1" x="373"/>
        <item h="1" x="374"/>
        <item h="1" x="375"/>
        <item h="1" x="376"/>
        <item h="1" x="377"/>
        <item h="1" x="378"/>
        <item h="1" x="379"/>
        <item h="1" x="380"/>
        <item h="1" x="381"/>
        <item h="1" x="382"/>
        <item h="1" x="383"/>
        <item h="1" x="384"/>
        <item h="1" x="385"/>
        <item h="1" x="386"/>
        <item h="1" x="387"/>
        <item h="1" x="388"/>
        <item h="1" x="389"/>
        <item h="1" x="390"/>
        <item h="1" x="391"/>
        <item h="1" x="392"/>
        <item h="1" x="393"/>
        <item h="1" x="394"/>
        <item h="1" x="395"/>
        <item h="1" x="396"/>
        <item h="1" x="397"/>
        <item h="1" x="398"/>
        <item h="1" x="399"/>
        <item h="1" x="400"/>
        <item h="1" x="401"/>
        <item h="1" x="402"/>
        <item h="1" x="403"/>
        <item h="1" x="405"/>
        <item h="1" x="406"/>
        <item h="1" x="407"/>
        <item h="1" x="408"/>
        <item h="1" x="177"/>
        <item h="1" x="409"/>
        <item h="1" x="410"/>
        <item h="1" x="411"/>
        <item h="1" x="412"/>
        <item h="1" x="413"/>
        <item h="1" x="414"/>
        <item h="1" x="415"/>
        <item h="1" x="416"/>
        <item h="1" x="417"/>
        <item h="1" x="418"/>
        <item h="1" x="419"/>
        <item h="1" x="420"/>
        <item h="1" x="421"/>
        <item h="1" x="422"/>
        <item h="1" x="423"/>
        <item h="1" x="424"/>
        <item h="1" x="425"/>
        <item h="1" x="426"/>
        <item h="1" x="427"/>
        <item h="1" x="428"/>
        <item h="1" x="429"/>
        <item h="1" x="430"/>
        <item h="1" x="431"/>
        <item h="1" x="432"/>
        <item h="1" x="433"/>
        <item h="1" x="434"/>
        <item h="1" x="435"/>
        <item h="1" x="436"/>
        <item h="1" x="437"/>
        <item h="1" x="438"/>
        <item h="1" x="439"/>
        <item h="1" x="440"/>
        <item h="1" x="441"/>
        <item h="1" x="442"/>
        <item h="1" x="443"/>
        <item h="1" x="444"/>
        <item h="1" x="445"/>
        <item h="1" x="446"/>
        <item h="1" x="206"/>
        <item h="1" x="210"/>
        <item h="1" x="211"/>
        <item h="1" x="447"/>
        <item h="1" x="448"/>
        <item h="1" x="449"/>
        <item h="1" x="450"/>
        <item h="1" x="451"/>
        <item h="1" x="452"/>
        <item h="1" x="453"/>
        <item h="1" x="454"/>
        <item h="1" x="455"/>
        <item h="1" x="456"/>
        <item h="1" x="457"/>
        <item h="1" x="458"/>
        <item h="1" x="459"/>
        <item h="1" x="460"/>
        <item h="1" x="461"/>
        <item h="1" x="462"/>
        <item h="1" x="463"/>
        <item h="1" x="464"/>
        <item h="1" x="465"/>
        <item h="1" x="466"/>
        <item h="1" x="467"/>
        <item h="1" x="468"/>
        <item h="1" x="469"/>
        <item h="1" x="470"/>
        <item h="1" x="471"/>
        <item h="1" x="472"/>
        <item h="1" x="473"/>
        <item h="1" x="474"/>
        <item h="1" x="475"/>
        <item h="1" x="476"/>
        <item h="1" x="477"/>
        <item h="1" x="478"/>
        <item h="1" x="479"/>
        <item h="1" x="480"/>
        <item h="1" x="481"/>
        <item h="1" x="482"/>
        <item h="1" x="483"/>
        <item h="1" x="484"/>
        <item h="1" x="485"/>
        <item h="1" x="486"/>
        <item h="1" x="488"/>
        <item h="1" x="489"/>
        <item h="1" x="490"/>
        <item h="1" x="491"/>
        <item h="1" x="492"/>
        <item h="1" x="487"/>
        <item h="1" x="493"/>
        <item h="1" x="494"/>
        <item h="1" x="495"/>
        <item h="1" x="496"/>
        <item h="1" x="497"/>
        <item h="1" x="498"/>
        <item h="1" x="499"/>
        <item h="1" x="500"/>
        <item h="1" x="501"/>
        <item h="1" x="502"/>
        <item h="1" x="503"/>
        <item h="1" x="504"/>
        <item h="1" x="505"/>
        <item h="1" x="506"/>
        <item h="1" x="507"/>
        <item h="1" x="508"/>
        <item h="1" x="509"/>
        <item h="1" x="510"/>
        <item h="1" x="511"/>
        <item h="1" x="512"/>
        <item h="1" x="513"/>
        <item h="1" x="514"/>
        <item h="1" x="515"/>
        <item h="1" x="516"/>
        <item h="1" x="517"/>
        <item h="1" x="518"/>
        <item h="1" x="519"/>
        <item h="1" x="520"/>
        <item h="1" x="521"/>
        <item h="1" x="522"/>
        <item h="1" x="523"/>
        <item h="1" x="524"/>
        <item h="1" x="525"/>
        <item h="1" x="526"/>
        <item h="1" x="527"/>
        <item h="1" x="528"/>
        <item h="1" x="529"/>
        <item h="1" x="530"/>
        <item h="1" x="531"/>
        <item h="1" x="532"/>
        <item h="1" x="533"/>
        <item h="1" x="534"/>
        <item h="1" x="535"/>
        <item h="1" x="536"/>
        <item h="1" x="537"/>
        <item h="1" x="538"/>
        <item h="1" x="539"/>
        <item h="1" x="540"/>
        <item h="1" x="541"/>
        <item h="1" x="542"/>
        <item h="1" x="543"/>
        <item h="1" x="544"/>
        <item h="1" x="545"/>
        <item h="1" x="546"/>
        <item h="1" x="547"/>
        <item h="1" x="548"/>
        <item h="1" x="549"/>
        <item h="1" x="550"/>
        <item h="1" x="551"/>
        <item h="1" x="552"/>
        <item h="1" x="553"/>
        <item h="1" x="554"/>
        <item h="1" x="555"/>
        <item h="1" x="556"/>
        <item h="1" x="557"/>
        <item h="1" x="558"/>
        <item h="1" x="559"/>
        <item h="1" x="560"/>
        <item h="1" x="561"/>
        <item h="1" x="562"/>
        <item h="1" x="563"/>
        <item h="1" x="564"/>
        <item h="1" x="565"/>
        <item h="1" x="566"/>
        <item h="1" x="567"/>
        <item h="1" x="568"/>
        <item h="1" x="569"/>
        <item h="1" x="570"/>
        <item h="1" x="571"/>
        <item h="1" x="572"/>
        <item h="1" x="573"/>
        <item h="1" x="574"/>
        <item h="1" x="575"/>
        <item h="1" x="576"/>
        <item h="1" x="577"/>
        <item h="1" x="578"/>
        <item h="1" x="579"/>
        <item h="1" x="580"/>
        <item h="1" x="581"/>
        <item h="1" x="582"/>
        <item h="1" x="583"/>
        <item h="1" x="584"/>
        <item h="1" x="585"/>
        <item h="1" x="586"/>
        <item h="1" x="587"/>
        <item h="1" x="588"/>
        <item h="1" x="589"/>
        <item h="1" x="596"/>
        <item h="1" x="597"/>
        <item h="1" x="598"/>
        <item h="1" x="599"/>
        <item h="1" x="600"/>
        <item h="1" x="601"/>
        <item h="1" x="602"/>
        <item h="1" x="603"/>
        <item h="1" x="604"/>
        <item h="1" x="605"/>
        <item h="1" x="606"/>
        <item h="1" x="607"/>
        <item h="1" x="608"/>
        <item h="1" x="609"/>
        <item h="1" x="610"/>
        <item h="1" x="611"/>
        <item h="1" x="612"/>
        <item h="1" x="613"/>
        <item h="1" x="614"/>
        <item h="1" x="615"/>
        <item h="1" x="616"/>
        <item h="1" x="617"/>
        <item h="1" x="618"/>
        <item h="1" x="619"/>
        <item h="1" x="620"/>
        <item h="1" x="621"/>
        <item h="1" x="590"/>
        <item h="1" x="591"/>
        <item h="1" x="592"/>
        <item h="1" x="593"/>
        <item h="1" x="594"/>
        <item h="1" x="595"/>
        <item h="1" x="622"/>
        <item h="1" x="623"/>
        <item h="1" x="625"/>
        <item h="1" x="626"/>
        <item h="1" x="627"/>
        <item h="1" x="628"/>
        <item h="1" x="629"/>
        <item h="1" x="630"/>
        <item h="1" x="631"/>
        <item h="1" x="632"/>
        <item h="1" x="633"/>
        <item h="1" x="634"/>
        <item h="1" x="635"/>
        <item h="1" x="636"/>
        <item h="1" x="637"/>
        <item h="1" x="638"/>
        <item h="1" x="639"/>
        <item h="1" x="640"/>
        <item h="1" x="641"/>
        <item h="1" x="642"/>
        <item h="1" x="643"/>
        <item h="1" x="644"/>
        <item h="1" x="645"/>
        <item h="1" x="646"/>
        <item h="1" x="647"/>
        <item h="1" x="648"/>
        <item h="1" x="649"/>
        <item h="1" x="650"/>
        <item h="1" x="651"/>
        <item h="1" x="652"/>
        <item h="1" x="653"/>
        <item h="1" x="654"/>
        <item h="1" x="655"/>
        <item h="1" x="656"/>
        <item h="1" x="657"/>
        <item h="1" x="658"/>
        <item h="1" x="659"/>
        <item h="1" x="660"/>
        <item h="1" x="661"/>
        <item h="1" x="662"/>
        <item h="1" x="663"/>
        <item h="1" x="664"/>
        <item h="1" x="665"/>
        <item h="1" x="666"/>
        <item h="1" x="667"/>
        <item h="1" x="668"/>
        <item h="1" x="669"/>
        <item h="1" x="670"/>
        <item h="1" x="671"/>
        <item h="1" x="672"/>
        <item h="1" x="673"/>
        <item h="1" x="674"/>
        <item h="1" x="675"/>
        <item h="1" x="676"/>
        <item h="1" x="677"/>
        <item h="1" x="678"/>
        <item h="1" x="679"/>
        <item h="1" x="680"/>
        <item h="1" x="681"/>
        <item h="1" x="682"/>
        <item h="1" x="683"/>
        <item t="default"/>
      </items>
    </pivotField>
  </pivotFields>
  <rowFields count="2">
    <field x="8"/>
    <field x="3"/>
  </rowFields>
  <rowItems count="1">
    <i t="grand">
      <x/>
    </i>
  </rowItems>
  <colItems count="1">
    <i/>
  </colItems>
  <pageFields count="1">
    <pageField fld="15" hier="-1"/>
  </pageFields>
  <formats count="82">
    <format dxfId="291">
      <pivotArea type="all" dataOnly="0" outline="0" fieldPosition="0"/>
    </format>
    <format dxfId="290">
      <pivotArea dataOnly="0" labelOnly="1" fieldPosition="0">
        <references count="1">
          <reference field="3" count="1">
            <x v="0"/>
          </reference>
        </references>
      </pivotArea>
    </format>
    <format dxfId="289">
      <pivotArea dataOnly="0" labelOnly="1" outline="0" fieldPosition="0"/>
    </format>
    <format dxfId="288">
      <pivotArea type="all" dataOnly="0" outline="0" fieldPosition="0"/>
    </format>
    <format dxfId="287">
      <pivotArea type="all" dataOnly="0" outline="0" fieldPosition="0"/>
    </format>
    <format dxfId="286">
      <pivotArea type="all" dataOnly="0" outline="0" fieldPosition="0"/>
    </format>
    <format dxfId="285">
      <pivotArea type="all" dataOnly="0" outline="0" fieldPosition="0"/>
    </format>
    <format dxfId="284">
      <pivotArea type="all" dataOnly="0" outline="0" fieldPosition="0"/>
    </format>
    <format dxfId="283">
      <pivotArea outline="0" collapsedLevelsAreSubtotals="1" fieldPosition="0"/>
    </format>
    <format dxfId="282">
      <pivotArea field="3" type="button" dataOnly="0" labelOnly="1" outline="0" axis="axisRow" fieldPosition="1"/>
    </format>
    <format dxfId="281">
      <pivotArea dataOnly="0" labelOnly="1" fieldPosition="0">
        <references count="1">
          <reference field="3" count="1">
            <x v="0"/>
          </reference>
        </references>
      </pivotArea>
    </format>
    <format dxfId="280">
      <pivotArea dataOnly="0" labelOnly="1" grandRow="1" outline="0" fieldPosition="0"/>
    </format>
    <format dxfId="279">
      <pivotArea type="all" dataOnly="0" outline="0" fieldPosition="0"/>
    </format>
    <format dxfId="278">
      <pivotArea outline="0" collapsedLevelsAreSubtotals="1" fieldPosition="0"/>
    </format>
    <format dxfId="277">
      <pivotArea field="3" type="button" dataOnly="0" labelOnly="1" outline="0" axis="axisRow" fieldPosition="1"/>
    </format>
    <format dxfId="276">
      <pivotArea dataOnly="0" labelOnly="1" fieldPosition="0">
        <references count="1">
          <reference field="3" count="1">
            <x v="0"/>
          </reference>
        </references>
      </pivotArea>
    </format>
    <format dxfId="275">
      <pivotArea dataOnly="0" labelOnly="1" grandRow="1" outline="0" fieldPosition="0"/>
    </format>
    <format dxfId="274">
      <pivotArea type="all" dataOnly="0" outline="0" fieldPosition="0"/>
    </format>
    <format dxfId="273">
      <pivotArea outline="0" collapsedLevelsAreSubtotals="1" fieldPosition="0"/>
    </format>
    <format dxfId="272">
      <pivotArea field="3" type="button" dataOnly="0" labelOnly="1" outline="0" axis="axisRow" fieldPosition="1"/>
    </format>
    <format dxfId="271">
      <pivotArea dataOnly="0" labelOnly="1" fieldPosition="0">
        <references count="1">
          <reference field="3" count="1">
            <x v="0"/>
          </reference>
        </references>
      </pivotArea>
    </format>
    <format dxfId="270">
      <pivotArea dataOnly="0" labelOnly="1" grandRow="1" outline="0" fieldPosition="0"/>
    </format>
    <format dxfId="269">
      <pivotArea type="all" dataOnly="0" outline="0" fieldPosition="0"/>
    </format>
    <format dxfId="268">
      <pivotArea field="8" type="button" dataOnly="0" labelOnly="1" outline="0" axis="axisRow" fieldPosition="0"/>
    </format>
    <format dxfId="267">
      <pivotArea field="3" type="button" dataOnly="0" labelOnly="1" outline="0" axis="axisRow" fieldPosition="1"/>
    </format>
    <format dxfId="266">
      <pivotArea dataOnly="0" labelOnly="1" grandRow="1" outline="0" fieldPosition="0"/>
    </format>
    <format dxfId="265">
      <pivotArea type="all" dataOnly="0" outline="0" fieldPosition="0"/>
    </format>
    <format dxfId="264">
      <pivotArea field="8" type="button" dataOnly="0" labelOnly="1" outline="0" axis="axisRow" fieldPosition="0"/>
    </format>
    <format dxfId="263">
      <pivotArea field="3" type="button" dataOnly="0" labelOnly="1" outline="0" axis="axisRow" fieldPosition="1"/>
    </format>
    <format dxfId="262">
      <pivotArea dataOnly="0" labelOnly="1" grandRow="1" outline="0" fieldPosition="0"/>
    </format>
    <format dxfId="261">
      <pivotArea type="all" dataOnly="0" outline="0" fieldPosition="0"/>
    </format>
    <format dxfId="260">
      <pivotArea field="8" type="button" dataOnly="0" labelOnly="1" outline="0" axis="axisRow" fieldPosition="0"/>
    </format>
    <format dxfId="259">
      <pivotArea field="3" type="button" dataOnly="0" labelOnly="1" outline="0" axis="axisRow" fieldPosition="1"/>
    </format>
    <format dxfId="258">
      <pivotArea dataOnly="0" labelOnly="1" grandRow="1" outline="0" fieldPosition="0"/>
    </format>
    <format dxfId="257">
      <pivotArea type="all" dataOnly="0" outline="0" fieldPosition="0"/>
    </format>
    <format dxfId="256">
      <pivotArea field="8" type="button" dataOnly="0" labelOnly="1" outline="0" axis="axisRow" fieldPosition="0"/>
    </format>
    <format dxfId="255">
      <pivotArea field="3" type="button" dataOnly="0" labelOnly="1" outline="0" axis="axisRow" fieldPosition="1"/>
    </format>
    <format dxfId="254">
      <pivotArea dataOnly="0" labelOnly="1" grandRow="1" outline="0" fieldPosition="0"/>
    </format>
    <format dxfId="253">
      <pivotArea type="all" dataOnly="0" outline="0" fieldPosition="0"/>
    </format>
    <format dxfId="252">
      <pivotArea field="8" type="button" dataOnly="0" labelOnly="1" outline="0" axis="axisRow" fieldPosition="0"/>
    </format>
    <format dxfId="251">
      <pivotArea field="3" type="button" dataOnly="0" labelOnly="1" outline="0" axis="axisRow" fieldPosition="1"/>
    </format>
    <format dxfId="250">
      <pivotArea dataOnly="0" labelOnly="1" grandRow="1" outline="0" fieldPosition="0"/>
    </format>
    <format dxfId="249">
      <pivotArea type="all" dataOnly="0" outline="0" fieldPosition="0"/>
    </format>
    <format dxfId="248">
      <pivotArea field="8" type="button" dataOnly="0" labelOnly="1" outline="0" axis="axisRow" fieldPosition="0"/>
    </format>
    <format dxfId="247">
      <pivotArea field="3" type="button" dataOnly="0" labelOnly="1" outline="0" axis="axisRow" fieldPosition="1"/>
    </format>
    <format dxfId="246">
      <pivotArea dataOnly="0" labelOnly="1" grandRow="1" outline="0" fieldPosition="0"/>
    </format>
    <format dxfId="245">
      <pivotArea type="all" dataOnly="0" outline="0" fieldPosition="0"/>
    </format>
    <format dxfId="244">
      <pivotArea field="8" type="button" dataOnly="0" labelOnly="1" outline="0" axis="axisRow" fieldPosition="0"/>
    </format>
    <format dxfId="243">
      <pivotArea field="3" type="button" dataOnly="0" labelOnly="1" outline="0" axis="axisRow" fieldPosition="1"/>
    </format>
    <format dxfId="242">
      <pivotArea dataOnly="0" labelOnly="1" grandRow="1" outline="0" fieldPosition="0"/>
    </format>
    <format dxfId="241">
      <pivotArea type="all" dataOnly="0" outline="0" fieldPosition="0"/>
    </format>
    <format dxfId="240">
      <pivotArea field="8" type="button" dataOnly="0" labelOnly="1" outline="0" axis="axisRow" fieldPosition="0"/>
    </format>
    <format dxfId="239">
      <pivotArea field="3" type="button" dataOnly="0" labelOnly="1" outline="0" axis="axisRow" fieldPosition="1"/>
    </format>
    <format dxfId="238">
      <pivotArea dataOnly="0" labelOnly="1" grandRow="1" outline="0" fieldPosition="0"/>
    </format>
    <format dxfId="237">
      <pivotArea type="all" dataOnly="0" outline="0" fieldPosition="0"/>
    </format>
    <format dxfId="236">
      <pivotArea field="8" type="button" dataOnly="0" labelOnly="1" outline="0" axis="axisRow" fieldPosition="0"/>
    </format>
    <format dxfId="235">
      <pivotArea field="3" type="button" dataOnly="0" labelOnly="1" outline="0" axis="axisRow" fieldPosition="1"/>
    </format>
    <format dxfId="234">
      <pivotArea dataOnly="0" labelOnly="1" grandRow="1" outline="0" fieldPosition="0"/>
    </format>
    <format dxfId="233">
      <pivotArea type="all" dataOnly="0" outline="0" fieldPosition="0"/>
    </format>
    <format dxfId="232">
      <pivotArea field="8" type="button" dataOnly="0" labelOnly="1" outline="0" axis="axisRow" fieldPosition="0"/>
    </format>
    <format dxfId="231">
      <pivotArea field="3" type="button" dataOnly="0" labelOnly="1" outline="0" axis="axisRow" fieldPosition="1"/>
    </format>
    <format dxfId="230">
      <pivotArea dataOnly="0" labelOnly="1" grandRow="1" outline="0" fieldPosition="0"/>
    </format>
    <format dxfId="229">
      <pivotArea type="all" dataOnly="0" outline="0" fieldPosition="0"/>
    </format>
    <format dxfId="228">
      <pivotArea field="8" type="button" dataOnly="0" labelOnly="1" outline="0" axis="axisRow" fieldPosition="0"/>
    </format>
    <format dxfId="227">
      <pivotArea field="3" type="button" dataOnly="0" labelOnly="1" outline="0" axis="axisRow" fieldPosition="1"/>
    </format>
    <format dxfId="226">
      <pivotArea dataOnly="0" labelOnly="1" grandRow="1" outline="0" fieldPosition="0"/>
    </format>
    <format dxfId="225">
      <pivotArea type="all" dataOnly="0" outline="0" fieldPosition="0"/>
    </format>
    <format dxfId="224">
      <pivotArea field="8" type="button" dataOnly="0" labelOnly="1" outline="0" axis="axisRow" fieldPosition="0"/>
    </format>
    <format dxfId="223">
      <pivotArea field="3" type="button" dataOnly="0" labelOnly="1" outline="0" axis="axisRow" fieldPosition="1"/>
    </format>
    <format dxfId="222">
      <pivotArea dataOnly="0" labelOnly="1" grandRow="1" outline="0" fieldPosition="0"/>
    </format>
    <format dxfId="221">
      <pivotArea type="all" dataOnly="0" outline="0" fieldPosition="0"/>
    </format>
    <format dxfId="220">
      <pivotArea field="8" type="button" dataOnly="0" labelOnly="1" outline="0" axis="axisRow" fieldPosition="0"/>
    </format>
    <format dxfId="219">
      <pivotArea field="3" type="button" dataOnly="0" labelOnly="1" outline="0" axis="axisRow" fieldPosition="1"/>
    </format>
    <format dxfId="218">
      <pivotArea dataOnly="0" labelOnly="1" grandRow="1" outline="0" fieldPosition="0"/>
    </format>
    <format dxfId="217">
      <pivotArea type="all" dataOnly="0" outline="0" fieldPosition="0"/>
    </format>
    <format dxfId="216">
      <pivotArea field="8" type="button" dataOnly="0" labelOnly="1" outline="0" axis="axisRow" fieldPosition="0"/>
    </format>
    <format dxfId="215">
      <pivotArea field="3" type="button" dataOnly="0" labelOnly="1" outline="0" axis="axisRow" fieldPosition="1"/>
    </format>
    <format dxfId="214">
      <pivotArea dataOnly="0" labelOnly="1" grandRow="1" outline="0" fieldPosition="0"/>
    </format>
    <format dxfId="213">
      <pivotArea type="all" dataOnly="0" outline="0" fieldPosition="0"/>
    </format>
    <format dxfId="212">
      <pivotArea field="8" type="button" dataOnly="0" labelOnly="1" outline="0" axis="axisRow" fieldPosition="0"/>
    </format>
    <format dxfId="211">
      <pivotArea field="3" type="button" dataOnly="0" labelOnly="1" outline="0" axis="axisRow" fieldPosition="1"/>
    </format>
    <format dxfId="210">
      <pivotArea dataOnly="0" labelOnly="1" grandRow="1" outline="0" fieldPosition="0"/>
    </format>
  </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切片器_国家1" xr10:uid="{00000000-0013-0000-FFFF-FFFF02000000}" sourceName="国家">
  <pivotTables>
    <pivotTable tabId="66" name="数据透视表8"/>
  </pivotTables>
  <data>
    <tabular pivotCacheId="1869035553">
      <items count="7">
        <i x="5"/>
        <i x="4"/>
        <i x="0" s="1"/>
        <i x="2"/>
        <i x="1" nd="1"/>
        <i x="3" nd="1"/>
        <i x="6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切片器_货代名称" xr10:uid="{8B356EB4-C6A5-49C3-888E-D058BE7E330F}" sourceName="货代名称">
  <pivotTables>
    <pivotTable tabId="68" name="数据透视表1"/>
  </pivotTables>
  <data>
    <tabular pivotCacheId="630297928" showMissing="0">
      <items count="12">
        <i x="2" s="1"/>
        <i x="7"/>
        <i x="9"/>
        <i x="3"/>
        <i x="0"/>
        <i x="11"/>
        <i x="4" nd="1"/>
        <i x="6" nd="1"/>
        <i x="1" nd="1"/>
        <i x="8" nd="1"/>
        <i x="10" nd="1"/>
        <i x="5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切片器_国家" xr10:uid="{D6C60C85-090E-41F6-93C5-E3C0159D8952}" sourceName="国家">
  <pivotTables>
    <pivotTable tabId="64" name="数据透视表2"/>
  </pivotTables>
  <data>
    <tabular pivotCacheId="1263523688">
      <items count="7">
        <i x="5"/>
        <i x="4"/>
        <i x="1"/>
        <i x="3"/>
        <i x="0" s="1"/>
        <i x="2"/>
        <i x="6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切片器_货代名称1" xr10:uid="{5283CBA4-6DB4-49BA-90A0-2FCB97B70BA1}" sourceName="货代名称">
  <pivotTables>
    <pivotTable tabId="65" name="数据透视表2"/>
  </pivotTables>
  <data>
    <tabular pivotCacheId="1541059757">
      <items count="12">
        <i x="11"/>
        <i x="4" nd="1"/>
        <i x="6" nd="1"/>
        <i x="2" nd="1"/>
        <i x="7" nd="1"/>
        <i x="9" nd="1"/>
        <i x="1" nd="1"/>
        <i x="8" nd="1"/>
        <i x="10" nd="1"/>
        <i x="3" nd="1"/>
        <i x="0" s="1" nd="1"/>
        <i x="5" nd="1"/>
      </items>
    </tabular>
  </data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切片器_父型号_有公式" xr10:uid="{0DB86CEF-4C37-467E-B38B-5689D81FEC35}" sourceName="父型号-有公式">
  <pivotTables>
    <pivotTable tabId="66" name="数据透视表8"/>
  </pivotTables>
  <data>
    <tabular pivotCacheId="1869035553">
      <items count="32">
        <i x="7"/>
        <i x="2"/>
        <i x="3"/>
        <i x="14"/>
        <i x="4"/>
        <i x="8"/>
        <i x="9"/>
        <i x="5"/>
        <i x="26"/>
        <i x="27"/>
        <i x="10"/>
        <i x="28"/>
        <i x="1" s="1"/>
        <i x="0"/>
        <i x="21"/>
        <i x="15"/>
        <i x="12"/>
        <i x="18"/>
        <i x="19"/>
        <i x="20"/>
        <i x="11"/>
        <i x="6"/>
        <i x="23"/>
        <i x="22"/>
        <i x="25"/>
        <i x="16"/>
        <i x="17"/>
        <i x="29" nd="1"/>
        <i x="13" nd="1"/>
        <i x="24" nd="1"/>
        <i x="30" nd="1"/>
        <i x="31" nd="1"/>
      </items>
    </tabular>
  </data>
</slicerCacheDefinition>
</file>

<file path=xl/slicerCaches/slicerCache6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切片器_父型号_有公式1" xr10:uid="{520C68F6-9353-4F53-A97F-ACAE3427DD04}" sourceName="父型号-有公式">
  <pivotTables>
    <pivotTable tabId="62" name="数据透视表8"/>
  </pivotTables>
  <data>
    <tabular pivotCacheId="1872381180">
      <items count="36">
        <i x="7" s="1"/>
        <i x="2" s="1"/>
        <i x="32" s="1"/>
        <i x="3" s="1"/>
        <i x="14" s="1"/>
        <i x="4" s="1"/>
        <i x="8" s="1"/>
        <i x="9" s="1"/>
        <i x="34" s="1"/>
        <i x="5" s="1"/>
        <i x="26" s="1"/>
        <i x="27" s="1"/>
        <i x="10" s="1"/>
        <i x="28" s="1"/>
        <i x="1" s="1"/>
        <i x="0" s="1"/>
        <i x="21" s="1"/>
        <i x="15" s="1"/>
        <i x="29" s="1"/>
        <i x="12" s="1"/>
        <i x="33" s="1"/>
        <i x="18" s="1"/>
        <i x="19" s="1"/>
        <i x="20" s="1"/>
        <i x="11" s="1"/>
        <i x="6" s="1"/>
        <i x="23" s="1"/>
        <i x="22" s="1"/>
        <i x="30" s="1"/>
        <i x="25" s="1"/>
        <i x="31" s="1"/>
        <i x="16" s="1"/>
        <i x="17" s="1"/>
        <i x="13" s="1" nd="1"/>
        <i x="24" s="1" nd="1"/>
        <i x="35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国家" xr10:uid="{FA2817BE-B052-4695-A7D1-D573C19D0447}" cache="切片器_国家" caption="国家" columnCount="2" style="SlicerStyleLight1 2" rowHeight="220133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国家 1" xr10:uid="{00000000-0014-0000-FFFF-FFFF01000000}" cache="切片器_国家1" caption="国家" columnCount="2" style="SlicerStyleLight1 2" rowHeight="217488"/>
  <slicer name="父型号-有公式" xr10:uid="{6877B69C-91E4-4BBE-9EE0-08EA835407A8}" cache="切片器_父型号_有公式" caption="父型号-有公式" columnCount="3" style="SlicerStyleLight1 2" rowHeight="209550"/>
</slicers>
</file>

<file path=xl/slicers/slicer3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父型号-有公式 1" xr10:uid="{4D2250DF-A341-42C4-B499-20FF325F8626}" cache="切片器_父型号_有公式1" caption="父型号-有公式" columnCount="3" style="SlicerStyleLight1 2" rowHeight="209550"/>
</slicers>
</file>

<file path=xl/slicers/slicer4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货代名称" xr10:uid="{301822CC-DAE6-44F3-A1A7-DC63CB317F1E}" cache="切片器_货代名称" caption="货代名称" columnCount="2" style="SlicerStyleLight1 2" rowHeight="220133"/>
</slicers>
</file>

<file path=xl/slicers/slicer5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货代名称 1" xr10:uid="{230BEC65-CFE1-4C37-8C76-DD751559D4CB}" cache="切片器_货代名称1" caption="货代名称" style="SlicerStyleLight1 2" rowHeight="220133"/>
</slicer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提货时间12" xr10:uid="{95838E43-16A3-45D7-9F14-A647C25CC873}" sourceName="提货时间">
  <pivotTables>
    <pivotTable tabId="66" name="数据透视表8"/>
  </pivotTables>
  <state minimalRefreshVersion="6" lastRefreshVersion="6" pivotCacheId="1869035553" filterType="dateBetween">
    <selection startDate="2026-01-01T00:00:00" endDate="2026-03-31T00:00:00"/>
    <bounds startDate="2026-01-01T00:00:00" endDate="2027-01-01T00:00:00"/>
  </state>
</timelineCacheDefinition>
</file>

<file path=xl/timelineCaches/timelineCache2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提货时间13" xr10:uid="{27EE68E6-7ABA-4EA7-A446-D6BD3AC225EF}" sourceName="提货时间">
  <pivotTables>
    <pivotTable tabId="64" name="数据透视表2"/>
  </pivotTables>
  <state minimalRefreshVersion="6" lastRefreshVersion="6" pivotCacheId="1263523688" filterType="dateBetween">
    <selection startDate="2026-02-01T00:00:00" endDate="2026-12-31T00:00:00"/>
    <bounds startDate="2026-01-01T00:00:00" endDate="2027-01-01T00:00:00"/>
  </state>
</timelineCacheDefinition>
</file>

<file path=xl/timelineCaches/timelineCache3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提货时间14" xr10:uid="{C2F5F675-D735-4ACE-89B7-21EDC4C38840}" sourceName="提货时间">
  <pivotTables>
    <pivotTable tabId="62" name="数据透视表8"/>
  </pivotTables>
  <state minimalRefreshVersion="6" lastRefreshVersion="6" pivotCacheId="1872381180" filterType="unknown">
    <bounds startDate="2026-01-01T00:00:00" endDate="2027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提货时间 1" xr10:uid="{C8FA5D36-BBFF-4B18-B270-8F6A829331BD}" cache="NativeTimeline_提货时间13" caption="提货时间" level="2" selectionLevel="2" scrollPosition="2026-01-01T00:00:00"/>
</timelines>
</file>

<file path=xl/timelines/timeline2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提货时间" xr10:uid="{76ECDA05-4033-4772-AE47-C0356F5E07D3}" cache="NativeTimeline_提货时间12" caption="提货时间" level="2" selectionLevel="1" scrollPosition="2026-01-01T00:00:00"/>
</timelines>
</file>

<file path=xl/timelines/timeline3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提货时间 2" xr10:uid="{E2D397BA-9798-4B95-ADD4-5D86E8D68BF1}" cache="NativeTimeline_提货时间14" caption="提货时间" level="2" selectionLevel="2" scrollPosition="2026-04-30T00:00:00"/>
</timelines>
</file>

<file path=xl/worksheets/_rels/sheet1.xml.rels><?xml version="1.0" encoding="UTF-8" standalone="yes"?>
<Relationships xmlns="http://schemas.openxmlformats.org/package/2006/relationships"><Relationship Id="rId3" Type="http://schemas.microsoft.com/office/2007/relationships/slicer" Target="../slicers/slicer1.xml"/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Relationship Id="rId4" Type="http://schemas.microsoft.com/office/2011/relationships/timeline" Target="../timelines/timeline1.xml"/></Relationships>
</file>

<file path=xl/worksheets/_rels/sheet2.xml.rels><?xml version="1.0" encoding="UTF-8" standalone="yes"?>
<Relationships xmlns="http://schemas.openxmlformats.org/package/2006/relationships"><Relationship Id="rId3" Type="http://schemas.microsoft.com/office/2007/relationships/slicer" Target="../slicers/slicer2.xml"/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2.xml"/><Relationship Id="rId4" Type="http://schemas.microsoft.com/office/2011/relationships/timeline" Target="../timelines/timeline2.xml"/></Relationships>
</file>

<file path=xl/worksheets/_rels/sheet3.xml.rels><?xml version="1.0" encoding="UTF-8" standalone="yes"?>
<Relationships xmlns="http://schemas.openxmlformats.org/package/2006/relationships"><Relationship Id="rId3" Type="http://schemas.microsoft.com/office/2007/relationships/slicer" Target="../slicers/slicer3.xml"/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3.xml"/><Relationship Id="rId4" Type="http://schemas.microsoft.com/office/2011/relationships/timeline" Target="../timelines/timeline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4.xml"/><Relationship Id="rId4" Type="http://schemas.microsoft.com/office/2007/relationships/slicer" Target="../slicers/slicer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pivotTable" Target="../pivotTables/pivotTable6.xml"/><Relationship Id="rId1" Type="http://schemas.openxmlformats.org/officeDocument/2006/relationships/pivotTable" Target="../pivotTables/pivotTable5.xml"/><Relationship Id="rId5" Type="http://schemas.microsoft.com/office/2007/relationships/slicer" Target="../slicers/slicer5.xml"/><Relationship Id="rId4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wwwapps.ups.com/WebTracking/track?loc=zh_CN&amp;track.x=Track&amp;trackNums=1ZK6B4420302040938" TargetMode="External"/><Relationship Id="rId4" Type="http://schemas.openxmlformats.org/officeDocument/2006/relationships/comments" Target="../comments2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5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3">
    <tabColor theme="0"/>
    <pageSetUpPr fitToPage="1"/>
  </sheetPr>
  <dimension ref="A1:S69"/>
  <sheetViews>
    <sheetView showGridLines="0" topLeftCell="A7" zoomScale="90" zoomScaleNormal="90" workbookViewId="0">
      <selection activeCell="D25" sqref="D25"/>
    </sheetView>
  </sheetViews>
  <sheetFormatPr defaultColWidth="9" defaultRowHeight="14" x14ac:dyDescent="0.25"/>
  <cols>
    <col min="2" max="2" width="17.81640625" bestFit="1" customWidth="1"/>
    <col min="3" max="3" width="9.54296875" bestFit="1" customWidth="1"/>
    <col min="4" max="4" width="9.36328125" bestFit="1" customWidth="1"/>
    <col min="5" max="7" width="9.1796875" bestFit="1" customWidth="1"/>
    <col min="8" max="8" width="9.36328125" bestFit="1" customWidth="1"/>
    <col min="9" max="9" width="8.36328125" bestFit="1" customWidth="1"/>
    <col min="10" max="14" width="8.54296875" customWidth="1"/>
    <col min="15" max="15" width="9.1796875" customWidth="1"/>
    <col min="16" max="18" width="8.54296875" bestFit="1" customWidth="1"/>
    <col min="19" max="19" width="9.36328125" bestFit="1" customWidth="1"/>
    <col min="20" max="20" width="9.81640625" customWidth="1"/>
    <col min="21" max="21" width="8.81640625" customWidth="1"/>
    <col min="22" max="25" width="9.81640625" customWidth="1"/>
    <col min="26" max="26" width="8.81640625" customWidth="1"/>
    <col min="27" max="29" width="9.81640625" customWidth="1"/>
    <col min="30" max="30" width="8.81640625" customWidth="1"/>
    <col min="31" max="33" width="9.81640625" customWidth="1"/>
    <col min="34" max="35" width="8.81640625" customWidth="1"/>
    <col min="36" max="38" width="9.81640625" customWidth="1"/>
    <col min="39" max="39" width="8.81640625" customWidth="1"/>
    <col min="40" max="42" width="9.81640625" customWidth="1"/>
    <col min="43" max="43" width="8.54296875" customWidth="1"/>
  </cols>
  <sheetData>
    <row r="1" spans="1:19" x14ac:dyDescent="0.25">
      <c r="A1" s="61"/>
      <c r="B1" s="61"/>
      <c r="C1" s="61"/>
      <c r="D1" s="61"/>
      <c r="E1" s="61"/>
      <c r="F1" s="61"/>
      <c r="G1" s="61"/>
      <c r="H1" s="61"/>
      <c r="I1" s="61"/>
      <c r="J1" s="61"/>
      <c r="K1" s="61"/>
      <c r="L1" s="61"/>
      <c r="M1" s="61"/>
      <c r="N1" s="61"/>
      <c r="O1" s="61"/>
      <c r="P1" s="61"/>
      <c r="Q1" s="61"/>
      <c r="R1" s="61"/>
      <c r="S1" s="61"/>
    </row>
    <row r="2" spans="1:19" x14ac:dyDescent="0.25">
      <c r="A2" s="61"/>
      <c r="B2" s="61"/>
      <c r="C2" s="61"/>
      <c r="D2" s="61"/>
      <c r="E2" s="61"/>
      <c r="F2" s="61"/>
      <c r="G2" s="61"/>
      <c r="H2" s="61"/>
      <c r="I2" s="61"/>
      <c r="J2" s="61"/>
      <c r="K2" s="61"/>
      <c r="L2" s="61"/>
      <c r="M2" s="61"/>
      <c r="N2" s="61"/>
      <c r="O2" s="61"/>
      <c r="P2" s="61"/>
      <c r="Q2" s="61"/>
      <c r="R2" s="61"/>
      <c r="S2" s="61"/>
    </row>
    <row r="3" spans="1:19" x14ac:dyDescent="0.25">
      <c r="A3" s="61"/>
      <c r="B3" s="61"/>
      <c r="C3" s="61"/>
      <c r="D3" s="61"/>
      <c r="E3" s="61"/>
      <c r="F3" s="61"/>
      <c r="G3" s="61"/>
      <c r="H3" s="61"/>
      <c r="I3" s="61"/>
      <c r="J3" s="61"/>
      <c r="K3" s="61"/>
      <c r="L3" s="61"/>
      <c r="M3" s="61"/>
      <c r="N3" s="61"/>
      <c r="O3" s="61"/>
      <c r="P3" s="61"/>
      <c r="Q3" s="61"/>
      <c r="R3" s="61"/>
      <c r="S3" s="61"/>
    </row>
    <row r="4" spans="1:19" x14ac:dyDescent="0.25">
      <c r="A4" s="61"/>
      <c r="B4" s="61"/>
      <c r="C4" s="61"/>
      <c r="D4" s="61"/>
      <c r="E4" s="61"/>
      <c r="F4" s="61"/>
      <c r="G4" s="61"/>
      <c r="H4" s="61"/>
      <c r="I4" s="61"/>
      <c r="J4" s="61"/>
      <c r="K4" s="61"/>
      <c r="L4" s="61"/>
      <c r="M4" s="61"/>
      <c r="N4" s="61"/>
      <c r="O4" s="61"/>
      <c r="P4" s="61"/>
      <c r="Q4" s="61"/>
      <c r="R4" s="61"/>
      <c r="S4" s="61"/>
    </row>
    <row r="5" spans="1:19" x14ac:dyDescent="0.25">
      <c r="A5" s="61"/>
      <c r="B5" s="61"/>
      <c r="C5" s="61"/>
      <c r="D5" s="61"/>
      <c r="E5" s="61"/>
      <c r="F5" s="61"/>
      <c r="G5" s="61"/>
      <c r="H5" s="61"/>
      <c r="I5" s="61"/>
      <c r="J5" s="61"/>
      <c r="K5" s="61"/>
      <c r="L5" s="61"/>
      <c r="M5" s="61"/>
      <c r="N5" s="61"/>
      <c r="O5" s="61"/>
      <c r="P5" s="61"/>
      <c r="Q5" s="61"/>
      <c r="R5" s="61"/>
      <c r="S5" s="61"/>
    </row>
    <row r="6" spans="1:19" x14ac:dyDescent="0.25">
      <c r="A6" s="61"/>
      <c r="B6" s="61"/>
      <c r="C6" s="61"/>
      <c r="D6" s="61"/>
      <c r="E6" s="61"/>
      <c r="F6" s="61"/>
      <c r="G6" s="61"/>
      <c r="H6" s="61"/>
      <c r="I6" s="61"/>
      <c r="J6" s="61"/>
      <c r="K6" s="61"/>
      <c r="L6" s="61"/>
      <c r="M6" s="61"/>
      <c r="N6" s="61"/>
      <c r="O6" s="61"/>
      <c r="P6" s="61"/>
      <c r="Q6" s="61"/>
      <c r="R6" s="61"/>
      <c r="S6" s="61"/>
    </row>
    <row r="7" spans="1:19" x14ac:dyDescent="0.25">
      <c r="A7" s="61"/>
      <c r="B7" s="61"/>
      <c r="C7" s="61"/>
      <c r="D7" s="61"/>
      <c r="E7" s="61"/>
      <c r="F7" s="61"/>
      <c r="G7" s="61"/>
      <c r="H7" s="61"/>
      <c r="I7" s="61"/>
      <c r="J7" s="61"/>
      <c r="K7" s="61"/>
      <c r="L7" s="61"/>
      <c r="M7" s="61"/>
      <c r="N7" s="61"/>
      <c r="O7" s="61"/>
      <c r="P7" s="61"/>
      <c r="Q7" s="61"/>
      <c r="R7" s="61"/>
      <c r="S7" s="61"/>
    </row>
    <row r="8" spans="1:19" x14ac:dyDescent="0.25">
      <c r="A8" s="61"/>
      <c r="B8" s="61"/>
      <c r="C8" s="61"/>
      <c r="D8" s="61"/>
      <c r="E8" s="61"/>
      <c r="F8" s="61"/>
      <c r="G8" s="61"/>
      <c r="H8" s="61"/>
      <c r="I8" s="61"/>
      <c r="J8" s="61"/>
      <c r="K8" s="61"/>
      <c r="L8" s="61"/>
      <c r="M8" s="61"/>
      <c r="N8" s="61"/>
      <c r="O8" s="61"/>
      <c r="P8" s="61"/>
      <c r="Q8" s="61"/>
      <c r="R8" s="61"/>
      <c r="S8" s="61"/>
    </row>
    <row r="9" spans="1:19" x14ac:dyDescent="0.25">
      <c r="A9" s="61"/>
      <c r="B9" s="61"/>
      <c r="C9" s="61"/>
      <c r="D9" s="61"/>
      <c r="E9" s="61"/>
      <c r="F9" s="61"/>
      <c r="G9" s="61"/>
      <c r="H9" s="61"/>
      <c r="I9" s="61"/>
      <c r="J9" s="61"/>
      <c r="K9" s="61"/>
      <c r="L9" s="61"/>
      <c r="M9" s="61"/>
      <c r="N9" s="61"/>
      <c r="O9" s="61"/>
      <c r="P9" s="61"/>
      <c r="Q9" s="61"/>
      <c r="R9" s="61"/>
      <c r="S9" s="61"/>
    </row>
    <row r="10" spans="1:19" x14ac:dyDescent="0.25">
      <c r="A10" s="61"/>
      <c r="B10" s="61"/>
      <c r="C10" s="61"/>
      <c r="D10" s="61"/>
      <c r="E10" s="61"/>
      <c r="F10" s="61"/>
      <c r="G10" s="61"/>
      <c r="H10" s="61"/>
      <c r="I10" s="61"/>
      <c r="J10" s="61"/>
      <c r="K10" s="61"/>
      <c r="L10" s="61"/>
      <c r="M10" s="61"/>
      <c r="N10" s="61"/>
      <c r="O10" s="61"/>
      <c r="P10" s="61"/>
      <c r="Q10" s="61"/>
      <c r="R10" s="61"/>
      <c r="S10" s="61"/>
    </row>
    <row r="11" spans="1:19" x14ac:dyDescent="0.25">
      <c r="A11" s="61"/>
      <c r="B11" s="61"/>
      <c r="C11" s="61"/>
      <c r="D11" s="61"/>
      <c r="E11" s="61"/>
      <c r="F11" s="61"/>
      <c r="G11" s="61"/>
      <c r="H11" s="61"/>
      <c r="I11" s="61"/>
      <c r="J11" s="61"/>
      <c r="K11" s="61"/>
      <c r="L11" s="61"/>
      <c r="M11" s="61"/>
      <c r="N11" s="61"/>
      <c r="O11" s="61"/>
      <c r="P11" s="61"/>
      <c r="Q11" s="61"/>
      <c r="R11" s="61"/>
      <c r="S11" s="61"/>
    </row>
    <row r="12" spans="1:19" x14ac:dyDescent="0.25">
      <c r="A12" s="61"/>
      <c r="B12" s="61"/>
      <c r="C12" s="61"/>
      <c r="D12" s="61"/>
      <c r="E12" s="61"/>
      <c r="F12" s="61"/>
      <c r="G12" s="61"/>
      <c r="H12" s="61"/>
      <c r="I12" s="61"/>
      <c r="J12" s="61"/>
      <c r="K12" s="61"/>
      <c r="L12" s="61"/>
      <c r="M12" s="61"/>
      <c r="N12" s="61"/>
      <c r="O12" s="61"/>
      <c r="P12" s="61"/>
      <c r="Q12" s="61"/>
      <c r="R12" s="61"/>
      <c r="S12" s="61"/>
    </row>
    <row r="13" spans="1:19" x14ac:dyDescent="0.25">
      <c r="A13" s="61"/>
      <c r="B13" s="61"/>
      <c r="C13" s="61"/>
      <c r="D13" s="61"/>
      <c r="E13" s="61"/>
      <c r="F13" s="61"/>
      <c r="G13" s="61"/>
      <c r="H13" s="61"/>
      <c r="I13" s="61"/>
      <c r="J13" s="61"/>
      <c r="K13" s="61"/>
      <c r="L13" s="61"/>
      <c r="M13" s="61"/>
      <c r="N13" s="61"/>
      <c r="O13" s="61"/>
      <c r="P13" s="61"/>
      <c r="Q13" s="61"/>
      <c r="R13" s="61"/>
      <c r="S13" s="61"/>
    </row>
    <row r="14" spans="1:19" ht="14.5" x14ac:dyDescent="0.25">
      <c r="A14" s="61"/>
      <c r="B14" s="62" t="s">
        <v>4534</v>
      </c>
      <c r="C14" s="62" t="s">
        <v>4535</v>
      </c>
      <c r="D14" s="61"/>
      <c r="E14" s="61"/>
      <c r="F14" s="61"/>
      <c r="G14" s="61"/>
      <c r="H14" s="61"/>
      <c r="I14" s="61"/>
      <c r="J14" s="61"/>
      <c r="K14" s="61"/>
      <c r="L14" s="61"/>
      <c r="M14" s="61"/>
      <c r="N14" s="61"/>
      <c r="O14" s="61"/>
      <c r="P14" s="61"/>
      <c r="Q14" s="61"/>
      <c r="R14" s="61"/>
      <c r="S14" s="61"/>
    </row>
    <row r="15" spans="1:19" ht="14.5" x14ac:dyDescent="0.25">
      <c r="A15" s="61"/>
      <c r="B15" s="62" t="s">
        <v>4536</v>
      </c>
      <c r="C15" s="61" t="s">
        <v>4</v>
      </c>
      <c r="D15" s="61" t="s">
        <v>8</v>
      </c>
      <c r="E15" s="61" t="s">
        <v>2412</v>
      </c>
      <c r="F15" s="61" t="s">
        <v>2421</v>
      </c>
      <c r="G15" s="61" t="s">
        <v>2431</v>
      </c>
      <c r="H15" s="61" t="s">
        <v>4537</v>
      </c>
      <c r="I15" s="61"/>
      <c r="J15" s="61"/>
      <c r="K15" s="61"/>
      <c r="L15" s="61"/>
      <c r="M15" s="61"/>
      <c r="N15" s="61"/>
      <c r="O15" s="61"/>
      <c r="P15" s="61"/>
      <c r="Q15" s="61"/>
      <c r="R15" s="61"/>
      <c r="S15" s="61"/>
    </row>
    <row r="16" spans="1:19" ht="14.5" x14ac:dyDescent="0.25">
      <c r="A16" s="61"/>
      <c r="B16" s="50" t="s">
        <v>3264</v>
      </c>
      <c r="C16" s="63">
        <v>1932.8571428571429</v>
      </c>
      <c r="D16" s="63">
        <v>1166.8085106382978</v>
      </c>
      <c r="E16" s="63"/>
      <c r="F16" s="63"/>
      <c r="G16" s="63"/>
      <c r="H16" s="63">
        <v>1266.1111111111111</v>
      </c>
      <c r="I16" s="61"/>
      <c r="J16" s="61"/>
      <c r="K16" s="61"/>
      <c r="L16" s="61"/>
      <c r="M16" s="61"/>
      <c r="N16" s="61"/>
      <c r="O16" s="61"/>
      <c r="P16" s="61"/>
      <c r="Q16" s="61"/>
      <c r="R16" s="61"/>
      <c r="S16" s="61"/>
    </row>
    <row r="17" spans="1:19" ht="14.5" x14ac:dyDescent="0.25">
      <c r="A17" s="61"/>
      <c r="B17" s="50" t="s">
        <v>16</v>
      </c>
      <c r="C17" s="63">
        <v>7.95</v>
      </c>
      <c r="D17" s="63">
        <v>3.973604060913706</v>
      </c>
      <c r="E17" s="63">
        <v>4.6000000000000005</v>
      </c>
      <c r="F17" s="63">
        <v>4.6500000000000004</v>
      </c>
      <c r="G17" s="63">
        <v>5.85</v>
      </c>
      <c r="H17" s="63">
        <v>4.1995412844036695</v>
      </c>
      <c r="I17" s="61"/>
      <c r="J17" s="61"/>
      <c r="K17" s="61"/>
      <c r="L17" s="61"/>
      <c r="M17" s="61"/>
      <c r="N17" s="61"/>
      <c r="O17" s="61"/>
      <c r="P17" s="61"/>
      <c r="Q17" s="61"/>
      <c r="R17" s="61"/>
      <c r="S17" s="61"/>
    </row>
    <row r="18" spans="1:19" x14ac:dyDescent="0.25">
      <c r="A18" s="61"/>
      <c r="B18" s="50" t="s">
        <v>42</v>
      </c>
      <c r="C18" s="63"/>
      <c r="D18" s="63">
        <v>3.0666666666666664</v>
      </c>
      <c r="E18" s="63"/>
      <c r="F18" s="63"/>
      <c r="G18" s="63"/>
      <c r="H18" s="63">
        <v>3.0666666666666664</v>
      </c>
      <c r="I18" s="61"/>
      <c r="J18" s="61"/>
      <c r="K18" s="61"/>
      <c r="L18" s="61"/>
      <c r="M18" s="61"/>
      <c r="N18" s="61"/>
      <c r="O18" s="61"/>
      <c r="P18" s="61"/>
      <c r="Q18" s="61"/>
      <c r="R18" s="61"/>
      <c r="S18" s="61"/>
    </row>
    <row r="19" spans="1:19" x14ac:dyDescent="0.25">
      <c r="A19" s="61"/>
      <c r="B19" s="50" t="s">
        <v>44</v>
      </c>
      <c r="C19" s="63"/>
      <c r="D19" s="63">
        <v>2.9749999999999996</v>
      </c>
      <c r="E19" s="63">
        <v>4.25</v>
      </c>
      <c r="F19" s="63"/>
      <c r="G19" s="63"/>
      <c r="H19" s="63">
        <v>3.4</v>
      </c>
      <c r="I19" s="61"/>
      <c r="J19" s="61"/>
      <c r="K19" s="61"/>
      <c r="L19" s="61"/>
      <c r="M19" s="61"/>
      <c r="N19" s="61"/>
      <c r="O19" s="61"/>
      <c r="P19" s="61"/>
      <c r="Q19" s="61"/>
      <c r="R19" s="61"/>
      <c r="S19" s="61"/>
    </row>
    <row r="20" spans="1:19" x14ac:dyDescent="0.25">
      <c r="A20" s="61"/>
      <c r="B20" s="50" t="s">
        <v>32</v>
      </c>
      <c r="C20" s="63"/>
      <c r="D20" s="63">
        <v>3.6533333333333338</v>
      </c>
      <c r="E20" s="63"/>
      <c r="F20" s="63"/>
      <c r="G20" s="63"/>
      <c r="H20" s="63">
        <v>3.6533333333333338</v>
      </c>
      <c r="I20" s="61"/>
      <c r="J20" s="61"/>
      <c r="K20" s="61"/>
      <c r="L20" s="61"/>
      <c r="M20" s="61"/>
      <c r="N20" s="61"/>
      <c r="O20" s="61"/>
      <c r="P20" s="61"/>
      <c r="Q20" s="61"/>
      <c r="R20" s="61"/>
      <c r="S20" s="61"/>
    </row>
    <row r="21" spans="1:19" x14ac:dyDescent="0.25">
      <c r="A21" s="61"/>
      <c r="B21" s="50" t="s">
        <v>46</v>
      </c>
      <c r="C21" s="63"/>
      <c r="D21" s="63">
        <v>3.7800000000000002</v>
      </c>
      <c r="E21" s="63"/>
      <c r="F21" s="63"/>
      <c r="G21" s="63"/>
      <c r="H21" s="63">
        <v>3.7800000000000002</v>
      </c>
      <c r="I21" s="61"/>
      <c r="J21" s="61"/>
      <c r="K21" s="61"/>
      <c r="L21" s="61"/>
      <c r="M21" s="61"/>
      <c r="N21" s="61"/>
      <c r="O21" s="61"/>
      <c r="P21" s="61"/>
      <c r="Q21" s="61"/>
      <c r="R21" s="61"/>
      <c r="S21" s="61"/>
    </row>
    <row r="22" spans="1:19" x14ac:dyDescent="0.25">
      <c r="A22" s="61"/>
      <c r="B22" s="50" t="s">
        <v>10</v>
      </c>
      <c r="C22" s="63"/>
      <c r="D22" s="63">
        <v>3.9800000000000009</v>
      </c>
      <c r="E22" s="63">
        <v>4.9000000000000004</v>
      </c>
      <c r="F22" s="63"/>
      <c r="G22" s="63"/>
      <c r="H22" s="63">
        <v>4.0882352941176476</v>
      </c>
      <c r="I22" s="61"/>
      <c r="J22" s="61"/>
      <c r="K22" s="61"/>
      <c r="L22" s="61"/>
      <c r="M22" s="61"/>
      <c r="N22" s="61"/>
      <c r="O22" s="61"/>
      <c r="P22" s="61"/>
      <c r="Q22" s="61"/>
      <c r="R22" s="61"/>
      <c r="S22" s="61"/>
    </row>
    <row r="23" spans="1:19" x14ac:dyDescent="0.25">
      <c r="A23" s="61"/>
      <c r="B23" s="50" t="s">
        <v>13</v>
      </c>
      <c r="C23" s="63">
        <v>7.9</v>
      </c>
      <c r="D23" s="63">
        <v>3.8884615384615406</v>
      </c>
      <c r="E23" s="63"/>
      <c r="F23" s="63"/>
      <c r="G23" s="63"/>
      <c r="H23" s="63">
        <v>4.1750000000000025</v>
      </c>
      <c r="I23" s="61"/>
      <c r="J23" s="61"/>
      <c r="K23" s="61"/>
      <c r="L23" s="61"/>
      <c r="M23" s="61"/>
      <c r="N23" s="61"/>
      <c r="O23" s="61"/>
      <c r="P23" s="61"/>
      <c r="Q23" s="61"/>
      <c r="R23" s="61"/>
      <c r="S23" s="61"/>
    </row>
    <row r="24" spans="1:19" x14ac:dyDescent="0.25">
      <c r="A24" s="61"/>
      <c r="B24" s="50" t="s">
        <v>43</v>
      </c>
      <c r="C24" s="63">
        <v>8.1</v>
      </c>
      <c r="D24" s="63">
        <v>3.1727272727272724</v>
      </c>
      <c r="E24" s="63"/>
      <c r="F24" s="63"/>
      <c r="G24" s="63"/>
      <c r="H24" s="63">
        <v>4.2285714285714278</v>
      </c>
      <c r="I24" s="61"/>
      <c r="J24" s="61"/>
      <c r="K24" s="61"/>
      <c r="L24" s="61"/>
      <c r="M24" s="61"/>
      <c r="N24" s="61"/>
      <c r="O24" s="61"/>
      <c r="P24" s="61"/>
      <c r="Q24" s="61"/>
      <c r="R24" s="61"/>
      <c r="S24" s="61"/>
    </row>
    <row r="25" spans="1:19" x14ac:dyDescent="0.25">
      <c r="A25" s="61"/>
      <c r="B25" s="50" t="s">
        <v>50</v>
      </c>
      <c r="C25" s="63"/>
      <c r="D25" s="63">
        <v>4.2882352941176478</v>
      </c>
      <c r="E25" s="63">
        <v>4.2</v>
      </c>
      <c r="F25" s="63"/>
      <c r="G25" s="63"/>
      <c r="H25" s="63">
        <v>4.2857142857142856</v>
      </c>
      <c r="I25" s="61"/>
      <c r="J25" s="61"/>
      <c r="K25" s="61"/>
      <c r="L25" s="61"/>
      <c r="M25" s="61"/>
      <c r="N25" s="61"/>
      <c r="O25" s="61"/>
      <c r="P25" s="61"/>
      <c r="Q25" s="61"/>
      <c r="R25" s="61"/>
      <c r="S25" s="61"/>
    </row>
    <row r="26" spans="1:19" x14ac:dyDescent="0.25">
      <c r="A26" s="61"/>
      <c r="B26" s="50" t="s">
        <v>9</v>
      </c>
      <c r="C26" s="63">
        <v>9.4</v>
      </c>
      <c r="D26" s="63">
        <v>4.2022727272727245</v>
      </c>
      <c r="E26" s="63">
        <v>4.8499999999999996</v>
      </c>
      <c r="F26" s="63"/>
      <c r="G26" s="63"/>
      <c r="H26" s="63">
        <v>4.3404255319148914</v>
      </c>
      <c r="I26" s="61"/>
      <c r="J26" s="61"/>
      <c r="K26" s="61"/>
      <c r="L26" s="61"/>
      <c r="M26" s="61"/>
      <c r="N26" s="61"/>
      <c r="O26" s="61"/>
      <c r="P26" s="61"/>
      <c r="Q26" s="61"/>
      <c r="R26" s="61"/>
      <c r="S26" s="61"/>
    </row>
    <row r="27" spans="1:19" x14ac:dyDescent="0.25">
      <c r="A27" s="61"/>
      <c r="B27" s="50" t="s">
        <v>15</v>
      </c>
      <c r="C27" s="63">
        <v>8.1</v>
      </c>
      <c r="D27" s="63">
        <v>3.9360000000000013</v>
      </c>
      <c r="E27" s="63"/>
      <c r="F27" s="63"/>
      <c r="G27" s="63"/>
      <c r="H27" s="63">
        <v>4.3821428571428562</v>
      </c>
      <c r="I27" s="61"/>
      <c r="J27" s="61"/>
      <c r="K27" s="61"/>
      <c r="L27" s="61"/>
      <c r="M27" s="61"/>
      <c r="N27" s="61"/>
      <c r="O27" s="61"/>
      <c r="P27" s="61"/>
      <c r="Q27" s="61"/>
      <c r="R27" s="61"/>
      <c r="S27" s="61"/>
    </row>
    <row r="28" spans="1:19" x14ac:dyDescent="0.25">
      <c r="A28" s="61"/>
      <c r="B28" s="50" t="s">
        <v>3173</v>
      </c>
      <c r="C28" s="63"/>
      <c r="D28" s="63"/>
      <c r="E28" s="63"/>
      <c r="F28" s="63">
        <v>4.4000000000000004</v>
      </c>
      <c r="G28" s="63"/>
      <c r="H28" s="63">
        <v>4.4000000000000004</v>
      </c>
      <c r="I28" s="61"/>
      <c r="J28" s="61"/>
      <c r="K28" s="61"/>
      <c r="L28" s="61"/>
      <c r="M28" s="61"/>
      <c r="N28" s="61"/>
      <c r="O28" s="61"/>
      <c r="P28" s="61"/>
      <c r="Q28" s="61"/>
      <c r="R28" s="61"/>
      <c r="S28" s="61"/>
    </row>
    <row r="29" spans="1:19" x14ac:dyDescent="0.25">
      <c r="A29" s="61"/>
      <c r="B29" s="50" t="s">
        <v>49</v>
      </c>
      <c r="C29" s="63"/>
      <c r="D29" s="63">
        <v>4.7</v>
      </c>
      <c r="E29" s="63"/>
      <c r="F29" s="63"/>
      <c r="G29" s="63"/>
      <c r="H29" s="63">
        <v>4.7</v>
      </c>
      <c r="I29" s="61"/>
      <c r="J29" s="61"/>
      <c r="K29" s="61"/>
      <c r="L29" s="61"/>
      <c r="M29" s="61"/>
      <c r="N29" s="61"/>
      <c r="O29" s="61"/>
      <c r="P29" s="61"/>
      <c r="Q29" s="61"/>
      <c r="R29" s="61"/>
      <c r="S29" s="61"/>
    </row>
    <row r="30" spans="1:19" x14ac:dyDescent="0.25">
      <c r="A30" s="61"/>
      <c r="B30" s="50" t="s">
        <v>4452</v>
      </c>
      <c r="C30" s="63"/>
      <c r="D30" s="63">
        <v>4.7</v>
      </c>
      <c r="E30" s="63"/>
      <c r="F30" s="63"/>
      <c r="G30" s="63"/>
      <c r="H30" s="63">
        <v>4.7</v>
      </c>
      <c r="I30" s="61"/>
      <c r="J30" s="61"/>
      <c r="K30" s="61"/>
      <c r="L30" s="61"/>
      <c r="M30" s="61"/>
      <c r="N30" s="61"/>
      <c r="O30" s="61"/>
      <c r="P30" s="61"/>
      <c r="Q30" s="61"/>
      <c r="R30" s="61"/>
      <c r="S30" s="61"/>
    </row>
    <row r="31" spans="1:19" x14ac:dyDescent="0.25">
      <c r="A31" s="61"/>
      <c r="B31" s="50" t="s">
        <v>3168</v>
      </c>
      <c r="C31" s="63"/>
      <c r="D31" s="63">
        <v>5</v>
      </c>
      <c r="E31" s="63"/>
      <c r="F31" s="63">
        <v>4.9000000000000004</v>
      </c>
      <c r="G31" s="63"/>
      <c r="H31" s="63">
        <v>4.95</v>
      </c>
      <c r="I31" s="61"/>
      <c r="J31" s="61"/>
      <c r="K31" s="61"/>
      <c r="L31" s="61"/>
      <c r="M31" s="61"/>
      <c r="N31" s="61"/>
      <c r="O31" s="61"/>
      <c r="P31" s="61"/>
      <c r="Q31" s="61"/>
      <c r="R31" s="61"/>
      <c r="S31" s="61"/>
    </row>
    <row r="32" spans="1:19" x14ac:dyDescent="0.25">
      <c r="A32" s="61"/>
      <c r="B32" s="50" t="s">
        <v>4448</v>
      </c>
      <c r="C32" s="63"/>
      <c r="D32" s="63">
        <v>5.2</v>
      </c>
      <c r="E32" s="63"/>
      <c r="F32" s="63"/>
      <c r="G32" s="63"/>
      <c r="H32" s="63">
        <v>5.2</v>
      </c>
      <c r="I32" s="61"/>
      <c r="J32" s="61"/>
      <c r="K32" s="61"/>
      <c r="L32" s="61"/>
      <c r="M32" s="61"/>
      <c r="N32" s="61"/>
      <c r="O32" s="61"/>
      <c r="P32" s="61"/>
      <c r="Q32" s="61"/>
      <c r="R32" s="61"/>
      <c r="S32" s="61"/>
    </row>
    <row r="33" spans="1:19" x14ac:dyDescent="0.25">
      <c r="A33" s="61"/>
      <c r="B33" s="50" t="s">
        <v>3179</v>
      </c>
      <c r="C33" s="63">
        <v>5.7</v>
      </c>
      <c r="D33" s="63"/>
      <c r="E33" s="63"/>
      <c r="F33" s="63"/>
      <c r="G33" s="63"/>
      <c r="H33" s="63">
        <v>5.7</v>
      </c>
      <c r="I33" s="61"/>
      <c r="J33" s="61"/>
      <c r="K33" s="61"/>
      <c r="L33" s="61"/>
      <c r="M33" s="61"/>
      <c r="N33" s="61"/>
      <c r="O33" s="61"/>
      <c r="P33" s="61"/>
      <c r="Q33" s="61"/>
      <c r="R33" s="61"/>
      <c r="S33" s="61"/>
    </row>
    <row r="34" spans="1:19" x14ac:dyDescent="0.25">
      <c r="A34" s="61"/>
      <c r="B34" s="50" t="s">
        <v>30</v>
      </c>
      <c r="C34" s="63"/>
      <c r="D34" s="63"/>
      <c r="E34" s="63"/>
      <c r="F34" s="63"/>
      <c r="G34" s="63">
        <v>5.7</v>
      </c>
      <c r="H34" s="63">
        <v>5.7</v>
      </c>
      <c r="I34" s="61"/>
      <c r="J34" s="61"/>
      <c r="K34" s="61"/>
      <c r="L34" s="61"/>
      <c r="M34" s="61"/>
      <c r="N34" s="61"/>
      <c r="O34" s="61"/>
      <c r="P34" s="61"/>
      <c r="Q34" s="61"/>
      <c r="R34" s="61"/>
      <c r="S34" s="61"/>
    </row>
    <row r="35" spans="1:19" x14ac:dyDescent="0.25">
      <c r="A35" s="61"/>
      <c r="B35" s="50" t="s">
        <v>29</v>
      </c>
      <c r="C35" s="63"/>
      <c r="D35" s="63">
        <v>5.8</v>
      </c>
      <c r="E35" s="63"/>
      <c r="F35" s="63"/>
      <c r="G35" s="63"/>
      <c r="H35" s="63">
        <v>5.8</v>
      </c>
      <c r="I35" s="61"/>
      <c r="J35" s="61"/>
      <c r="K35" s="61"/>
      <c r="L35" s="61"/>
      <c r="M35" s="61"/>
      <c r="N35" s="61"/>
      <c r="O35" s="61"/>
      <c r="P35" s="61"/>
      <c r="Q35" s="61"/>
      <c r="R35" s="61"/>
      <c r="S35" s="61"/>
    </row>
    <row r="36" spans="1:19" x14ac:dyDescent="0.25">
      <c r="A36" s="61"/>
      <c r="B36" s="50" t="s">
        <v>3176</v>
      </c>
      <c r="C36" s="63"/>
      <c r="D36" s="63"/>
      <c r="E36" s="63"/>
      <c r="F36" s="63"/>
      <c r="G36" s="63">
        <v>6</v>
      </c>
      <c r="H36" s="63">
        <v>6</v>
      </c>
      <c r="I36" s="61"/>
      <c r="J36" s="61"/>
      <c r="K36" s="61"/>
      <c r="L36" s="61"/>
      <c r="M36" s="61"/>
      <c r="N36" s="61"/>
      <c r="O36" s="61"/>
      <c r="P36" s="61"/>
      <c r="Q36" s="61"/>
      <c r="R36" s="61"/>
      <c r="S36" s="61"/>
    </row>
    <row r="37" spans="1:19" ht="14.5" x14ac:dyDescent="0.25">
      <c r="A37" s="61"/>
      <c r="B37" s="50" t="s">
        <v>4537</v>
      </c>
      <c r="C37" s="63">
        <v>800.55882352941171</v>
      </c>
      <c r="D37" s="63">
        <v>227.96229508196714</v>
      </c>
      <c r="E37" s="63">
        <v>4.6000000000000005</v>
      </c>
      <c r="F37" s="63">
        <v>4.6500000000000004</v>
      </c>
      <c r="G37" s="63">
        <v>5.85</v>
      </c>
      <c r="H37" s="63">
        <v>254.72610294117632</v>
      </c>
      <c r="I37" s="61"/>
      <c r="J37" s="61"/>
      <c r="K37" s="61"/>
      <c r="L37" s="61"/>
      <c r="M37" s="61"/>
      <c r="N37" s="61"/>
      <c r="O37" s="61"/>
      <c r="P37" s="61"/>
      <c r="Q37" s="61"/>
      <c r="R37" s="61"/>
      <c r="S37" s="61"/>
    </row>
    <row r="38" spans="1:19" x14ac:dyDescent="0.25">
      <c r="A38" s="61"/>
      <c r="B38" s="61"/>
      <c r="C38" s="61"/>
      <c r="D38" s="61"/>
      <c r="E38" s="61"/>
      <c r="F38" s="61"/>
      <c r="G38" s="61"/>
      <c r="H38" s="61"/>
      <c r="I38" s="61"/>
      <c r="J38" s="61"/>
      <c r="K38" s="61"/>
      <c r="L38" s="61"/>
      <c r="M38" s="61"/>
      <c r="N38" s="61"/>
      <c r="O38" s="61"/>
      <c r="P38" s="61"/>
      <c r="Q38" s="61"/>
      <c r="R38" s="61"/>
      <c r="S38" s="61"/>
    </row>
    <row r="39" spans="1:19" x14ac:dyDescent="0.25">
      <c r="A39" s="61"/>
      <c r="B39" s="61"/>
      <c r="C39" s="61"/>
      <c r="D39" s="61"/>
      <c r="E39" s="61"/>
      <c r="F39" s="61"/>
      <c r="G39" s="61"/>
      <c r="H39" s="61"/>
      <c r="I39" s="61"/>
      <c r="J39" s="61"/>
      <c r="K39" s="61"/>
      <c r="L39" s="61"/>
      <c r="M39" s="61"/>
      <c r="N39" s="61"/>
      <c r="O39" s="61"/>
      <c r="P39" s="61"/>
      <c r="Q39" s="61"/>
      <c r="R39" s="61"/>
      <c r="S39" s="61"/>
    </row>
    <row r="40" spans="1:19" x14ac:dyDescent="0.25">
      <c r="A40" s="61"/>
      <c r="B40" s="61"/>
      <c r="C40" s="61"/>
      <c r="D40" s="61"/>
      <c r="E40" s="61"/>
      <c r="F40" s="61"/>
      <c r="G40" s="61"/>
      <c r="H40" s="61"/>
      <c r="I40" s="61"/>
      <c r="J40" s="61"/>
      <c r="K40" s="61"/>
      <c r="L40" s="61"/>
      <c r="M40" s="61"/>
      <c r="N40" s="61"/>
      <c r="O40" s="61"/>
      <c r="P40" s="61"/>
      <c r="Q40" s="61"/>
      <c r="R40" s="61"/>
      <c r="S40" s="61"/>
    </row>
    <row r="41" spans="1:19" x14ac:dyDescent="0.25">
      <c r="A41" s="61"/>
      <c r="B41" s="61"/>
      <c r="C41" s="61"/>
      <c r="D41" s="61"/>
      <c r="E41" s="61"/>
      <c r="F41" s="61"/>
      <c r="G41" s="61"/>
      <c r="H41" s="61"/>
      <c r="I41" s="61"/>
      <c r="J41" s="61"/>
      <c r="K41" s="61"/>
      <c r="L41" s="61"/>
      <c r="M41" s="61"/>
      <c r="N41" s="61"/>
      <c r="O41" s="61"/>
      <c r="P41" s="61"/>
      <c r="Q41" s="61"/>
      <c r="R41" s="61"/>
      <c r="S41" s="61"/>
    </row>
    <row r="42" spans="1:19" x14ac:dyDescent="0.25">
      <c r="A42" s="61"/>
      <c r="B42" s="61"/>
      <c r="C42" s="61"/>
      <c r="D42" s="61"/>
      <c r="E42" s="61"/>
      <c r="F42" s="61"/>
      <c r="G42" s="61"/>
      <c r="H42" s="61"/>
      <c r="I42" s="61"/>
      <c r="J42" s="61"/>
      <c r="K42" s="61"/>
      <c r="L42" s="61"/>
      <c r="M42" s="61"/>
      <c r="N42" s="61"/>
      <c r="O42" s="61"/>
      <c r="P42" s="61"/>
      <c r="Q42" s="61"/>
      <c r="R42" s="61"/>
      <c r="S42" s="61"/>
    </row>
    <row r="43" spans="1:19" x14ac:dyDescent="0.25">
      <c r="A43" s="61"/>
      <c r="B43" s="61"/>
      <c r="C43" s="61"/>
      <c r="D43" s="61"/>
      <c r="E43" s="61"/>
      <c r="F43" s="61"/>
      <c r="G43" s="61"/>
      <c r="H43" s="61"/>
      <c r="I43" s="61"/>
      <c r="J43" s="61"/>
      <c r="K43" s="61"/>
      <c r="L43" s="61"/>
      <c r="M43" s="61"/>
      <c r="N43" s="61"/>
      <c r="O43" s="61"/>
      <c r="P43" s="61"/>
      <c r="Q43" s="61"/>
      <c r="R43" s="61"/>
      <c r="S43" s="61"/>
    </row>
    <row r="44" spans="1:19" x14ac:dyDescent="0.25">
      <c r="A44" s="61"/>
      <c r="B44" s="61"/>
      <c r="C44" s="61"/>
      <c r="D44" s="61"/>
      <c r="E44" s="61"/>
      <c r="F44" s="61"/>
      <c r="G44" s="61"/>
      <c r="H44" s="61"/>
      <c r="I44" s="61"/>
      <c r="J44" s="61"/>
      <c r="K44" s="61"/>
      <c r="L44" s="61"/>
      <c r="M44" s="61"/>
      <c r="N44" s="61"/>
      <c r="O44" s="61"/>
      <c r="P44" s="61"/>
      <c r="Q44" s="61"/>
      <c r="R44" s="61"/>
      <c r="S44" s="61"/>
    </row>
    <row r="45" spans="1:19" x14ac:dyDescent="0.25">
      <c r="A45" s="61"/>
      <c r="B45" s="61"/>
      <c r="C45" s="61"/>
      <c r="D45" s="61"/>
      <c r="E45" s="61"/>
      <c r="F45" s="61"/>
      <c r="G45" s="61"/>
      <c r="H45" s="61"/>
      <c r="I45" s="61"/>
      <c r="J45" s="61"/>
      <c r="K45" s="61"/>
      <c r="L45" s="61"/>
      <c r="M45" s="61"/>
      <c r="N45" s="61"/>
      <c r="O45" s="61"/>
      <c r="P45" s="61"/>
      <c r="Q45" s="61"/>
      <c r="R45" s="61"/>
      <c r="S45" s="61"/>
    </row>
    <row r="46" spans="1:19" x14ac:dyDescent="0.25">
      <c r="A46" s="61"/>
      <c r="B46" s="61"/>
      <c r="C46" s="61"/>
      <c r="D46" s="61"/>
      <c r="E46" s="61"/>
      <c r="F46" s="61"/>
      <c r="G46" s="61"/>
      <c r="H46" s="61"/>
      <c r="I46" s="61"/>
      <c r="J46" s="61"/>
      <c r="K46" s="61"/>
      <c r="L46" s="61"/>
      <c r="M46" s="61"/>
      <c r="N46" s="61"/>
      <c r="O46" s="61"/>
      <c r="P46" s="61"/>
      <c r="Q46" s="61"/>
      <c r="R46" s="61"/>
      <c r="S46" s="61"/>
    </row>
    <row r="47" spans="1:19" x14ac:dyDescent="0.25">
      <c r="A47" s="61"/>
      <c r="B47" s="61"/>
      <c r="C47" s="61"/>
      <c r="D47" s="61"/>
      <c r="E47" s="61"/>
      <c r="F47" s="61"/>
      <c r="G47" s="61"/>
      <c r="H47" s="61"/>
      <c r="I47" s="61"/>
      <c r="J47" s="61"/>
      <c r="K47" s="61"/>
      <c r="L47" s="61"/>
      <c r="M47" s="61"/>
      <c r="N47" s="61"/>
      <c r="O47" s="61"/>
      <c r="P47" s="61"/>
      <c r="Q47" s="61"/>
      <c r="R47" s="61"/>
      <c r="S47" s="61"/>
    </row>
    <row r="48" spans="1:19" x14ac:dyDescent="0.25">
      <c r="A48" s="61"/>
      <c r="B48" s="61"/>
      <c r="C48" s="61"/>
      <c r="D48" s="61"/>
      <c r="E48" s="61"/>
      <c r="F48" s="61"/>
      <c r="G48" s="61"/>
      <c r="H48" s="61"/>
      <c r="I48" s="61"/>
      <c r="J48" s="61"/>
      <c r="K48" s="61"/>
      <c r="L48" s="61"/>
      <c r="M48" s="61"/>
      <c r="N48" s="61"/>
      <c r="O48" s="61"/>
      <c r="P48" s="61"/>
      <c r="Q48" s="61"/>
      <c r="R48" s="61"/>
      <c r="S48" s="61"/>
    </row>
    <row r="49" spans="1:19" x14ac:dyDescent="0.25">
      <c r="A49" s="61"/>
      <c r="B49" s="61"/>
      <c r="C49" s="61"/>
      <c r="D49" s="61"/>
      <c r="E49" s="61"/>
      <c r="F49" s="61"/>
      <c r="G49" s="61"/>
      <c r="H49" s="61"/>
      <c r="I49" s="61"/>
      <c r="J49" s="61"/>
      <c r="K49" s="61"/>
      <c r="L49" s="61"/>
      <c r="M49" s="61"/>
      <c r="N49" s="61"/>
      <c r="O49" s="61"/>
      <c r="P49" s="61"/>
      <c r="Q49" s="61"/>
      <c r="R49" s="61"/>
      <c r="S49" s="61"/>
    </row>
    <row r="50" spans="1:19" x14ac:dyDescent="0.25">
      <c r="A50" s="61"/>
      <c r="B50" s="61"/>
      <c r="C50" s="61"/>
      <c r="D50" s="61"/>
      <c r="E50" s="61"/>
      <c r="F50" s="61"/>
      <c r="G50" s="61"/>
      <c r="H50" s="61"/>
      <c r="I50" s="61"/>
      <c r="J50" s="61"/>
      <c r="K50" s="61"/>
      <c r="L50" s="61"/>
      <c r="M50" s="61"/>
      <c r="N50" s="61"/>
      <c r="O50" s="61"/>
      <c r="P50" s="61"/>
      <c r="Q50" s="61"/>
      <c r="R50" s="61"/>
      <c r="S50" s="61"/>
    </row>
    <row r="51" spans="1:19" x14ac:dyDescent="0.25">
      <c r="A51" s="61"/>
      <c r="B51" s="61"/>
      <c r="C51" s="61"/>
      <c r="D51" s="61"/>
      <c r="E51" s="61"/>
      <c r="F51" s="61"/>
      <c r="G51" s="61"/>
      <c r="H51" s="61"/>
      <c r="I51" s="61"/>
      <c r="J51" s="61"/>
      <c r="K51" s="61"/>
      <c r="L51" s="61"/>
      <c r="M51" s="61"/>
      <c r="N51" s="61"/>
      <c r="O51" s="61"/>
      <c r="P51" s="61"/>
      <c r="Q51" s="61"/>
      <c r="R51" s="61"/>
      <c r="S51" s="61"/>
    </row>
    <row r="52" spans="1:19" x14ac:dyDescent="0.25">
      <c r="A52" s="61"/>
      <c r="B52" s="61"/>
      <c r="C52" s="61"/>
      <c r="D52" s="61"/>
      <c r="E52" s="61"/>
      <c r="F52" s="61"/>
      <c r="G52" s="61"/>
      <c r="H52" s="61"/>
      <c r="I52" s="61"/>
      <c r="J52" s="61"/>
      <c r="K52" s="61"/>
      <c r="L52" s="61"/>
      <c r="M52" s="61"/>
      <c r="N52" s="61"/>
      <c r="O52" s="61"/>
      <c r="P52" s="61"/>
      <c r="Q52" s="61"/>
      <c r="R52" s="61"/>
      <c r="S52" s="61"/>
    </row>
    <row r="53" spans="1:19" x14ac:dyDescent="0.25">
      <c r="A53" s="61"/>
      <c r="B53" s="61"/>
      <c r="C53" s="61"/>
      <c r="D53" s="61"/>
      <c r="E53" s="61"/>
      <c r="F53" s="61"/>
      <c r="G53" s="61"/>
      <c r="H53" s="61"/>
      <c r="I53" s="61"/>
      <c r="J53" s="61"/>
      <c r="K53" s="61"/>
      <c r="L53" s="61"/>
      <c r="M53" s="61"/>
      <c r="N53" s="61"/>
      <c r="O53" s="61"/>
      <c r="P53" s="61"/>
      <c r="Q53" s="61"/>
      <c r="R53" s="61"/>
      <c r="S53" s="61"/>
    </row>
    <row r="54" spans="1:19" x14ac:dyDescent="0.25">
      <c r="A54" s="61"/>
      <c r="B54" s="61"/>
      <c r="C54" s="61"/>
      <c r="D54" s="61"/>
      <c r="E54" s="61"/>
      <c r="F54" s="61"/>
      <c r="G54" s="61"/>
      <c r="H54" s="61"/>
      <c r="I54" s="61"/>
      <c r="J54" s="61"/>
      <c r="K54" s="61"/>
      <c r="L54" s="61"/>
      <c r="M54" s="61"/>
      <c r="N54" s="61"/>
      <c r="O54" s="61"/>
      <c r="P54" s="61"/>
      <c r="Q54" s="61"/>
      <c r="R54" s="61"/>
      <c r="S54" s="61"/>
    </row>
    <row r="55" spans="1:19" x14ac:dyDescent="0.25">
      <c r="A55" s="61"/>
      <c r="B55" s="61"/>
      <c r="C55" s="61"/>
      <c r="D55" s="61"/>
      <c r="E55" s="61"/>
      <c r="F55" s="61"/>
      <c r="G55" s="61"/>
      <c r="H55" s="61"/>
      <c r="I55" s="61"/>
      <c r="J55" s="61"/>
      <c r="K55" s="61"/>
      <c r="L55" s="61"/>
      <c r="M55" s="61"/>
      <c r="N55" s="61"/>
      <c r="O55" s="61"/>
      <c r="P55" s="61"/>
      <c r="Q55" s="61"/>
      <c r="R55" s="61"/>
      <c r="S55" s="61"/>
    </row>
    <row r="56" spans="1:19" x14ac:dyDescent="0.25">
      <c r="A56" s="61"/>
      <c r="B56" s="61"/>
      <c r="C56" s="61"/>
      <c r="D56" s="61"/>
      <c r="E56" s="61"/>
      <c r="F56" s="61"/>
      <c r="G56" s="61"/>
      <c r="H56" s="61"/>
      <c r="I56" s="61"/>
      <c r="J56" s="61"/>
      <c r="K56" s="61"/>
      <c r="L56" s="61"/>
      <c r="M56" s="61"/>
      <c r="N56" s="61"/>
      <c r="O56" s="61"/>
      <c r="P56" s="61"/>
      <c r="Q56" s="61"/>
      <c r="R56" s="61"/>
      <c r="S56" s="61"/>
    </row>
    <row r="57" spans="1:19" x14ac:dyDescent="0.25">
      <c r="A57" s="61"/>
      <c r="B57" s="61"/>
      <c r="C57" s="61"/>
      <c r="D57" s="61"/>
      <c r="E57" s="61"/>
      <c r="F57" s="61"/>
      <c r="G57" s="61"/>
      <c r="H57" s="61"/>
      <c r="I57" s="61"/>
      <c r="J57" s="61"/>
      <c r="K57" s="61"/>
      <c r="L57" s="61"/>
      <c r="M57" s="61"/>
      <c r="N57" s="61"/>
      <c r="O57" s="61"/>
      <c r="P57" s="61"/>
      <c r="Q57" s="61"/>
      <c r="R57" s="61"/>
      <c r="S57" s="61"/>
    </row>
    <row r="58" spans="1:19" x14ac:dyDescent="0.25">
      <c r="A58" s="61"/>
      <c r="B58" s="61"/>
      <c r="C58" s="61"/>
      <c r="D58" s="61"/>
      <c r="E58" s="61"/>
      <c r="F58" s="61"/>
      <c r="G58" s="61"/>
      <c r="H58" s="61"/>
      <c r="I58" s="61"/>
      <c r="J58" s="61"/>
      <c r="K58" s="61"/>
      <c r="L58" s="61"/>
      <c r="M58" s="61"/>
      <c r="N58" s="61"/>
      <c r="O58" s="61"/>
      <c r="P58" s="61"/>
      <c r="Q58" s="61"/>
      <c r="R58" s="61"/>
      <c r="S58" s="61"/>
    </row>
    <row r="59" spans="1:19" x14ac:dyDescent="0.25">
      <c r="A59" s="61"/>
      <c r="B59" s="61"/>
      <c r="C59" s="61"/>
      <c r="D59" s="61"/>
      <c r="E59" s="61"/>
      <c r="F59" s="61"/>
      <c r="G59" s="61"/>
      <c r="H59" s="61"/>
      <c r="I59" s="61"/>
      <c r="J59" s="61"/>
      <c r="K59" s="61"/>
      <c r="L59" s="61"/>
      <c r="M59" s="61"/>
      <c r="N59" s="61"/>
      <c r="O59" s="61"/>
      <c r="P59" s="61"/>
      <c r="Q59" s="61"/>
      <c r="R59" s="61"/>
      <c r="S59" s="61"/>
    </row>
    <row r="60" spans="1:19" x14ac:dyDescent="0.25">
      <c r="A60" s="61"/>
      <c r="B60" s="61"/>
      <c r="C60" s="61"/>
      <c r="D60" s="61"/>
      <c r="E60" s="61"/>
      <c r="F60" s="61"/>
      <c r="G60" s="61"/>
      <c r="H60" s="61"/>
      <c r="I60" s="61"/>
      <c r="J60" s="61"/>
      <c r="K60" s="61"/>
      <c r="L60" s="61"/>
      <c r="M60" s="61"/>
      <c r="N60" s="61"/>
      <c r="O60" s="61"/>
      <c r="P60" s="61"/>
      <c r="Q60" s="61"/>
      <c r="R60" s="61"/>
      <c r="S60" s="61"/>
    </row>
    <row r="61" spans="1:19" x14ac:dyDescent="0.25">
      <c r="A61" s="61"/>
      <c r="B61" s="61"/>
      <c r="C61" s="61"/>
      <c r="D61" s="61"/>
      <c r="E61" s="61"/>
      <c r="F61" s="61"/>
      <c r="G61" s="61"/>
      <c r="H61" s="61"/>
      <c r="I61" s="61"/>
      <c r="J61" s="61"/>
      <c r="K61" s="61"/>
      <c r="L61" s="61"/>
      <c r="M61" s="61"/>
      <c r="N61" s="61"/>
      <c r="O61" s="61"/>
      <c r="P61" s="61"/>
      <c r="Q61" s="61"/>
      <c r="R61" s="61"/>
      <c r="S61" s="61"/>
    </row>
    <row r="62" spans="1:19" x14ac:dyDescent="0.25">
      <c r="A62" s="61"/>
      <c r="B62" s="61"/>
      <c r="C62" s="61"/>
      <c r="D62" s="61"/>
      <c r="E62" s="61"/>
      <c r="F62" s="61"/>
      <c r="G62" s="61"/>
      <c r="H62" s="61"/>
      <c r="I62" s="61"/>
      <c r="J62" s="61"/>
      <c r="K62" s="61"/>
      <c r="L62" s="61"/>
      <c r="M62" s="61"/>
      <c r="N62" s="61"/>
      <c r="O62" s="61"/>
      <c r="P62" s="61"/>
      <c r="Q62" s="61"/>
      <c r="R62" s="61"/>
      <c r="S62" s="61"/>
    </row>
    <row r="63" spans="1:19" x14ac:dyDescent="0.25">
      <c r="A63" s="61"/>
      <c r="B63" s="61"/>
      <c r="C63" s="61"/>
      <c r="D63" s="61"/>
      <c r="E63" s="61"/>
      <c r="F63" s="61"/>
      <c r="G63" s="61"/>
      <c r="H63" s="61"/>
      <c r="I63" s="61"/>
      <c r="J63" s="61"/>
      <c r="K63" s="61"/>
      <c r="L63" s="61"/>
      <c r="M63" s="61"/>
      <c r="N63" s="61"/>
      <c r="O63" s="61"/>
      <c r="P63" s="61"/>
      <c r="Q63" s="61"/>
      <c r="R63" s="61"/>
      <c r="S63" s="61"/>
    </row>
    <row r="64" spans="1:19" x14ac:dyDescent="0.25">
      <c r="A64" s="61"/>
      <c r="B64" s="61"/>
      <c r="C64" s="61"/>
      <c r="D64" s="61"/>
      <c r="E64" s="61"/>
      <c r="F64" s="61"/>
      <c r="G64" s="61"/>
      <c r="H64" s="61"/>
      <c r="I64" s="61"/>
      <c r="J64" s="61"/>
      <c r="K64" s="61"/>
      <c r="L64" s="61"/>
      <c r="M64" s="61"/>
      <c r="N64" s="61"/>
      <c r="O64" s="61"/>
      <c r="P64" s="61"/>
      <c r="Q64" s="61"/>
      <c r="R64" s="61"/>
      <c r="S64" s="61"/>
    </row>
    <row r="65" spans="1:19" x14ac:dyDescent="0.25">
      <c r="A65" s="61"/>
      <c r="B65" s="61"/>
      <c r="C65" s="61"/>
      <c r="D65" s="61"/>
      <c r="E65" s="61"/>
      <c r="F65" s="61"/>
      <c r="G65" s="61"/>
      <c r="H65" s="61"/>
      <c r="I65" s="61"/>
      <c r="J65" s="61"/>
      <c r="K65" s="61"/>
      <c r="L65" s="61"/>
      <c r="M65" s="61"/>
      <c r="N65" s="61"/>
      <c r="O65" s="61"/>
      <c r="P65" s="61"/>
      <c r="Q65" s="61"/>
      <c r="R65" s="61"/>
      <c r="S65" s="61"/>
    </row>
    <row r="66" spans="1:19" x14ac:dyDescent="0.25">
      <c r="A66" s="61"/>
      <c r="B66" s="61"/>
      <c r="C66" s="61"/>
      <c r="D66" s="61"/>
      <c r="E66" s="61"/>
      <c r="F66" s="61"/>
      <c r="G66" s="61"/>
      <c r="H66" s="61"/>
      <c r="I66" s="61"/>
      <c r="J66" s="61"/>
      <c r="K66" s="61"/>
      <c r="L66" s="61"/>
      <c r="M66" s="61"/>
      <c r="N66" s="61"/>
      <c r="O66" s="61"/>
      <c r="P66" s="61"/>
      <c r="Q66" s="61"/>
      <c r="R66" s="61"/>
      <c r="S66" s="61"/>
    </row>
    <row r="67" spans="1:19" x14ac:dyDescent="0.25">
      <c r="A67" s="61"/>
      <c r="B67" s="61"/>
      <c r="C67" s="61"/>
      <c r="D67" s="61"/>
      <c r="E67" s="61"/>
      <c r="F67" s="61"/>
      <c r="G67" s="61"/>
      <c r="H67" s="61"/>
      <c r="I67" s="61"/>
      <c r="J67" s="61"/>
      <c r="K67" s="61"/>
      <c r="L67" s="61"/>
      <c r="M67" s="61"/>
      <c r="N67" s="61"/>
      <c r="O67" s="61"/>
      <c r="P67" s="61"/>
      <c r="Q67" s="61"/>
      <c r="R67" s="61"/>
      <c r="S67" s="61"/>
    </row>
    <row r="68" spans="1:19" x14ac:dyDescent="0.25">
      <c r="A68" s="61"/>
      <c r="B68" s="61"/>
      <c r="C68" s="61"/>
      <c r="D68" s="61"/>
      <c r="E68" s="61"/>
      <c r="F68" s="61"/>
      <c r="G68" s="61"/>
      <c r="H68" s="61"/>
      <c r="I68" s="61"/>
      <c r="J68" s="61"/>
      <c r="K68" s="61"/>
      <c r="L68" s="61"/>
      <c r="M68" s="61"/>
      <c r="N68" s="61"/>
      <c r="O68" s="61"/>
      <c r="P68" s="61"/>
      <c r="Q68" s="61"/>
      <c r="R68" s="61"/>
      <c r="S68" s="61"/>
    </row>
    <row r="69" spans="1:19" x14ac:dyDescent="0.25">
      <c r="A69" s="61"/>
      <c r="B69" s="61"/>
      <c r="C69" s="61"/>
      <c r="D69" s="61"/>
      <c r="E69" s="61"/>
      <c r="F69" s="61"/>
      <c r="G69" s="61"/>
      <c r="H69" s="61"/>
      <c r="I69" s="61"/>
      <c r="J69" s="61"/>
      <c r="K69" s="61"/>
      <c r="L69" s="61"/>
      <c r="M69" s="61"/>
      <c r="N69" s="61"/>
      <c r="O69" s="61"/>
      <c r="P69" s="61"/>
      <c r="Q69" s="61"/>
      <c r="R69" s="61"/>
      <c r="S69" s="61"/>
    </row>
  </sheetData>
  <phoneticPr fontId="25" type="noConversion"/>
  <pageMargins left="0.7" right="0.7" top="0.17" bottom="0.28000000000000003" header="0.3" footer="0.17"/>
  <pageSetup paperSize="9" orientation="portrait"/>
  <drawing r:id="rId2"/>
  <extLst>
    <ext xmlns:x14="http://schemas.microsoft.com/office/spreadsheetml/2009/9/main" uri="{A8765BA9-456A-4dab-B4F3-ACF838C121DE}">
      <x14:slicerList>
        <x14:slicer r:id="rId3"/>
      </x14:slicerList>
    </ext>
    <ext xmlns:x15="http://schemas.microsoft.com/office/spreadsheetml/2010/11/main" uri="{7E03D99C-DC04-49d9-9315-930204A7B6E9}">
      <x15:timelineRefs>
        <x15:timelineRef r:id="rId4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theme="7" tint="-0.249977111117893"/>
  </sheetPr>
  <dimension ref="B1:I359"/>
  <sheetViews>
    <sheetView showGridLines="0" workbookViewId="0">
      <selection activeCell="G9" sqref="G9"/>
    </sheetView>
  </sheetViews>
  <sheetFormatPr defaultColWidth="9.08984375" defaultRowHeight="14.5" x14ac:dyDescent="0.35"/>
  <cols>
    <col min="1" max="1" width="9.08984375" style="35"/>
    <col min="2" max="2" width="23" style="35" bestFit="1" customWidth="1"/>
    <col min="3" max="3" width="9.1796875" style="35" bestFit="1" customWidth="1"/>
    <col min="4" max="4" width="9.54296875" style="36" bestFit="1" customWidth="1"/>
    <col min="5" max="5" width="9.08984375" style="36" bestFit="1" customWidth="1"/>
    <col min="6" max="6" width="15.54296875" style="37" bestFit="1" customWidth="1"/>
    <col min="7" max="7" width="13.81640625" style="37" bestFit="1" customWidth="1"/>
    <col min="8" max="8" width="15.36328125" style="37" bestFit="1" customWidth="1"/>
    <col min="9" max="9" width="13.54296875" style="37" bestFit="1" customWidth="1"/>
    <col min="10" max="16384" width="9.08984375" style="35"/>
  </cols>
  <sheetData>
    <row r="1" spans="2:9" ht="74" customHeight="1" x14ac:dyDescent="0.35">
      <c r="B1" s="61"/>
      <c r="C1" s="61"/>
      <c r="D1" s="64"/>
      <c r="E1" s="64"/>
      <c r="F1" s="65"/>
      <c r="G1" s="65"/>
      <c r="H1" s="65"/>
      <c r="I1" s="65"/>
    </row>
    <row r="2" spans="2:9" ht="74" customHeight="1" x14ac:dyDescent="0.35">
      <c r="B2" s="61"/>
      <c r="C2" s="61"/>
      <c r="D2" s="64"/>
      <c r="E2" s="64"/>
      <c r="F2" s="65"/>
      <c r="G2" s="65"/>
      <c r="H2" s="65"/>
      <c r="I2" s="65"/>
    </row>
    <row r="3" spans="2:9" s="34" customFormat="1" ht="29" x14ac:dyDescent="0.25">
      <c r="B3" s="62" t="s">
        <v>4536</v>
      </c>
      <c r="C3" s="61" t="s">
        <v>4538</v>
      </c>
      <c r="D3" s="65" t="s">
        <v>4539</v>
      </c>
      <c r="E3" s="65" t="s">
        <v>4540</v>
      </c>
      <c r="F3" s="66" t="s">
        <v>4541</v>
      </c>
      <c r="G3" s="66" t="s">
        <v>4542</v>
      </c>
      <c r="H3" s="482" t="s">
        <v>4543</v>
      </c>
      <c r="I3" s="66" t="s">
        <v>4544</v>
      </c>
    </row>
    <row r="4" spans="2:9" x14ac:dyDescent="0.35">
      <c r="B4" s="50" t="s">
        <v>0</v>
      </c>
      <c r="C4" s="61">
        <v>4754</v>
      </c>
      <c r="D4" s="65">
        <v>8536.183134142766</v>
      </c>
      <c r="E4" s="65"/>
      <c r="F4" s="65">
        <v>1.7955791195083648</v>
      </c>
      <c r="G4" s="65">
        <v>1.7955791195083648</v>
      </c>
      <c r="H4" s="65">
        <v>0.25651130278690926</v>
      </c>
      <c r="I4" s="65">
        <v>0.20520904222952741</v>
      </c>
    </row>
    <row r="5" spans="2:9" x14ac:dyDescent="0.35">
      <c r="B5" s="50" t="s">
        <v>2869</v>
      </c>
      <c r="C5" s="61">
        <v>4754</v>
      </c>
      <c r="D5" s="65">
        <v>8536.183134142766</v>
      </c>
      <c r="E5" s="65"/>
      <c r="F5" s="65">
        <v>1.7955791195083648</v>
      </c>
      <c r="G5" s="65">
        <v>1.7955791195083648</v>
      </c>
      <c r="H5" s="65">
        <v>0.25651130278690926</v>
      </c>
      <c r="I5" s="65">
        <v>0.20520904222952741</v>
      </c>
    </row>
    <row r="6" spans="2:9" x14ac:dyDescent="0.35">
      <c r="B6" s="50" t="s">
        <v>3033</v>
      </c>
      <c r="C6" s="61">
        <v>256</v>
      </c>
      <c r="D6" s="65">
        <v>680.22901833807759</v>
      </c>
      <c r="E6" s="65"/>
      <c r="F6" s="65">
        <v>2.6571446028831156</v>
      </c>
      <c r="G6" s="65">
        <v>2.6571446028831156</v>
      </c>
      <c r="H6" s="65">
        <v>0.37959208612615936</v>
      </c>
      <c r="I6" s="65">
        <v>0.30367366890092751</v>
      </c>
    </row>
    <row r="7" spans="2:9" x14ac:dyDescent="0.35">
      <c r="B7" s="50" t="s">
        <v>3082</v>
      </c>
      <c r="C7" s="61">
        <v>208</v>
      </c>
      <c r="D7" s="65">
        <v>595.07000000000005</v>
      </c>
      <c r="E7" s="65"/>
      <c r="F7" s="65">
        <v>2.8609134615384617</v>
      </c>
      <c r="G7" s="65">
        <v>2.8609134615384617</v>
      </c>
      <c r="H7" s="65">
        <v>0.4087019230769231</v>
      </c>
      <c r="I7" s="65">
        <v>0.32696153846153853</v>
      </c>
    </row>
    <row r="8" spans="2:9" x14ac:dyDescent="0.35">
      <c r="B8" s="50" t="s">
        <v>3034</v>
      </c>
      <c r="C8" s="61">
        <v>1800</v>
      </c>
      <c r="D8" s="65">
        <v>2996.598034371887</v>
      </c>
      <c r="E8" s="65"/>
      <c r="F8" s="65">
        <v>1.6647766857621595</v>
      </c>
      <c r="G8" s="65">
        <v>1.6647766857621595</v>
      </c>
      <c r="H8" s="65">
        <v>0.23782524082316564</v>
      </c>
      <c r="I8" s="65">
        <v>0.19026019265853253</v>
      </c>
    </row>
    <row r="9" spans="2:9" x14ac:dyDescent="0.35">
      <c r="B9" s="50" t="s">
        <v>3035</v>
      </c>
      <c r="C9" s="61">
        <v>750</v>
      </c>
      <c r="D9" s="65">
        <v>1226.9085697940504</v>
      </c>
      <c r="E9" s="65"/>
      <c r="F9" s="65">
        <v>1.635878093058734</v>
      </c>
      <c r="G9" s="65">
        <v>1.635878093058734</v>
      </c>
      <c r="H9" s="65">
        <v>0.233696870436962</v>
      </c>
      <c r="I9" s="65">
        <v>0.1869574963495696</v>
      </c>
    </row>
    <row r="10" spans="2:9" x14ac:dyDescent="0.35">
      <c r="B10" s="50" t="s">
        <v>3075</v>
      </c>
      <c r="C10" s="61">
        <v>270</v>
      </c>
      <c r="D10" s="65">
        <v>429.24430532853876</v>
      </c>
      <c r="E10" s="65"/>
      <c r="F10" s="65">
        <v>1.5897937234390325</v>
      </c>
      <c r="G10" s="65">
        <v>1.5897937234390325</v>
      </c>
      <c r="H10" s="65">
        <v>0.22711338906271891</v>
      </c>
      <c r="I10" s="65">
        <v>0.18169071125017514</v>
      </c>
    </row>
    <row r="11" spans="2:9" x14ac:dyDescent="0.35">
      <c r="B11" s="50" t="s">
        <v>3116</v>
      </c>
      <c r="C11" s="61">
        <v>300</v>
      </c>
      <c r="D11" s="65">
        <v>533.34192982456148</v>
      </c>
      <c r="E11" s="65"/>
      <c r="F11" s="65">
        <v>1.7778064327485383</v>
      </c>
      <c r="G11" s="65">
        <v>1.7778064327485383</v>
      </c>
      <c r="H11" s="65">
        <v>0.25397234753550546</v>
      </c>
      <c r="I11" s="65">
        <v>0.20317787802840437</v>
      </c>
    </row>
    <row r="12" spans="2:9" x14ac:dyDescent="0.35">
      <c r="B12" s="50" t="s">
        <v>1186</v>
      </c>
      <c r="C12" s="61">
        <v>90</v>
      </c>
      <c r="D12" s="65">
        <v>186.88173913043477</v>
      </c>
      <c r="E12" s="65"/>
      <c r="F12" s="65">
        <v>2.0764637681159419</v>
      </c>
      <c r="G12" s="65">
        <v>2.0764637681159419</v>
      </c>
      <c r="H12" s="65">
        <v>0.2966376811594203</v>
      </c>
      <c r="I12" s="65">
        <v>0.23731014492753624</v>
      </c>
    </row>
    <row r="13" spans="2:9" x14ac:dyDescent="0.35">
      <c r="B13" s="50" t="s">
        <v>864</v>
      </c>
      <c r="C13" s="61">
        <v>300</v>
      </c>
      <c r="D13" s="65">
        <v>531.22271062271068</v>
      </c>
      <c r="E13" s="65"/>
      <c r="F13" s="65">
        <v>1.7707423687423689</v>
      </c>
      <c r="G13" s="65">
        <v>1.7707423687423689</v>
      </c>
      <c r="H13" s="65">
        <v>0.25296319553462415</v>
      </c>
      <c r="I13" s="65">
        <v>0.20237055642769933</v>
      </c>
    </row>
    <row r="14" spans="2:9" x14ac:dyDescent="0.35">
      <c r="B14" s="50" t="s">
        <v>3117</v>
      </c>
      <c r="C14" s="61">
        <v>180</v>
      </c>
      <c r="D14" s="65">
        <v>320.00515789473684</v>
      </c>
      <c r="E14" s="65"/>
      <c r="F14" s="65">
        <v>1.7778064327485379</v>
      </c>
      <c r="G14" s="65">
        <v>1.7778064327485379</v>
      </c>
      <c r="H14" s="65">
        <v>0.2539723475355054</v>
      </c>
      <c r="I14" s="65">
        <v>0.20317787802840434</v>
      </c>
    </row>
    <row r="15" spans="2:9" x14ac:dyDescent="0.35">
      <c r="B15" s="50" t="s">
        <v>1190</v>
      </c>
      <c r="C15" s="61">
        <v>120</v>
      </c>
      <c r="D15" s="65">
        <v>240.22716417309627</v>
      </c>
      <c r="E15" s="65"/>
      <c r="F15" s="65">
        <v>2.0018930347758022</v>
      </c>
      <c r="G15" s="65">
        <v>2.0018930347758022</v>
      </c>
      <c r="H15" s="65">
        <v>0.28598471925368601</v>
      </c>
      <c r="I15" s="65">
        <v>0.22878777540294881</v>
      </c>
    </row>
    <row r="16" spans="2:9" x14ac:dyDescent="0.35">
      <c r="B16" s="50" t="s">
        <v>3094</v>
      </c>
      <c r="C16" s="61">
        <v>180</v>
      </c>
      <c r="D16" s="65">
        <v>297.32707727512758</v>
      </c>
      <c r="E16" s="65"/>
      <c r="F16" s="65">
        <v>1.651817095972931</v>
      </c>
      <c r="G16" s="65">
        <v>1.651817095972931</v>
      </c>
      <c r="H16" s="65">
        <v>0.23597387085327587</v>
      </c>
      <c r="I16" s="65">
        <v>0.18877909668262072</v>
      </c>
    </row>
    <row r="17" spans="2:9" x14ac:dyDescent="0.35">
      <c r="B17" s="50" t="s">
        <v>3076</v>
      </c>
      <c r="C17" s="61">
        <v>210</v>
      </c>
      <c r="D17" s="65">
        <v>351.62384615384616</v>
      </c>
      <c r="E17" s="65"/>
      <c r="F17" s="65">
        <v>1.6743992673992674</v>
      </c>
      <c r="G17" s="65">
        <v>1.6743992673992674</v>
      </c>
      <c r="H17" s="65">
        <v>0.23919989534275249</v>
      </c>
      <c r="I17" s="65">
        <v>0.19135991627420201</v>
      </c>
    </row>
    <row r="18" spans="2:9" x14ac:dyDescent="0.35">
      <c r="B18" s="50" t="s">
        <v>3064</v>
      </c>
      <c r="C18" s="61">
        <v>90</v>
      </c>
      <c r="D18" s="65">
        <v>147.50358123569794</v>
      </c>
      <c r="E18" s="65"/>
      <c r="F18" s="65">
        <v>1.6389286803966436</v>
      </c>
      <c r="G18" s="65">
        <v>1.6389286803966436</v>
      </c>
      <c r="H18" s="65">
        <v>0.23413266862809196</v>
      </c>
      <c r="I18" s="65">
        <v>0.18730613490247358</v>
      </c>
    </row>
    <row r="19" spans="2:9" x14ac:dyDescent="0.35">
      <c r="B19" s="50" t="s">
        <v>4537</v>
      </c>
      <c r="C19" s="61">
        <v>4754</v>
      </c>
      <c r="D19" s="65">
        <v>8536.183134142766</v>
      </c>
      <c r="E19" s="65"/>
      <c r="F19" s="65">
        <v>1.7955791195083648</v>
      </c>
      <c r="G19" s="65">
        <v>1.7955791195083648</v>
      </c>
      <c r="H19" s="65">
        <v>0.25651130278690926</v>
      </c>
      <c r="I19" s="65">
        <v>0.20520904222952741</v>
      </c>
    </row>
    <row r="20" spans="2:9" x14ac:dyDescent="0.35">
      <c r="B20" s="61"/>
      <c r="C20" s="61"/>
      <c r="D20" s="61"/>
      <c r="E20" s="61"/>
      <c r="F20" s="61"/>
      <c r="G20" s="61"/>
      <c r="H20" s="61"/>
      <c r="I20" s="61"/>
    </row>
    <row r="21" spans="2:9" x14ac:dyDescent="0.35">
      <c r="B21" s="61"/>
      <c r="C21" s="61"/>
      <c r="D21" s="61"/>
      <c r="E21" s="61"/>
      <c r="F21" s="61"/>
      <c r="G21" s="61"/>
      <c r="H21" s="61"/>
      <c r="I21" s="61"/>
    </row>
    <row r="22" spans="2:9" x14ac:dyDescent="0.35">
      <c r="B22" s="61"/>
      <c r="C22" s="61"/>
      <c r="D22" s="61"/>
      <c r="E22" s="61"/>
      <c r="F22" s="61"/>
      <c r="G22" s="61"/>
      <c r="H22" s="61"/>
      <c r="I22" s="61"/>
    </row>
    <row r="23" spans="2:9" x14ac:dyDescent="0.35">
      <c r="B23" s="61"/>
      <c r="C23" s="61"/>
      <c r="D23" s="61"/>
      <c r="E23" s="61"/>
      <c r="F23" s="61"/>
      <c r="G23" s="61"/>
      <c r="H23" s="61"/>
      <c r="I23" s="61"/>
    </row>
    <row r="24" spans="2:9" x14ac:dyDescent="0.35">
      <c r="B24" s="61"/>
      <c r="C24" s="61"/>
      <c r="D24" s="61"/>
      <c r="E24" s="61"/>
      <c r="F24" s="61"/>
      <c r="G24" s="61"/>
      <c r="H24" s="61"/>
      <c r="I24" s="61"/>
    </row>
    <row r="25" spans="2:9" x14ac:dyDescent="0.35">
      <c r="B25" s="61"/>
      <c r="C25" s="61"/>
      <c r="D25" s="61"/>
      <c r="E25" s="61"/>
      <c r="F25" s="61"/>
      <c r="G25" s="61"/>
      <c r="H25" s="61"/>
      <c r="I25" s="61"/>
    </row>
    <row r="26" spans="2:9" x14ac:dyDescent="0.35">
      <c r="B26" s="61"/>
      <c r="C26" s="61"/>
      <c r="D26" s="61"/>
      <c r="E26" s="61"/>
      <c r="F26" s="61"/>
      <c r="G26" s="61"/>
      <c r="H26" s="61"/>
      <c r="I26" s="61"/>
    </row>
    <row r="27" spans="2:9" x14ac:dyDescent="0.35">
      <c r="B27" s="61"/>
      <c r="C27" s="61"/>
      <c r="D27" s="61"/>
      <c r="E27" s="61"/>
      <c r="F27" s="61"/>
      <c r="G27" s="61"/>
      <c r="H27" s="61"/>
      <c r="I27" s="61"/>
    </row>
    <row r="28" spans="2:9" x14ac:dyDescent="0.35">
      <c r="B28" s="61"/>
      <c r="C28" s="61"/>
      <c r="D28" s="61"/>
      <c r="E28" s="61"/>
      <c r="F28" s="61"/>
      <c r="G28" s="61"/>
      <c r="H28" s="61"/>
      <c r="I28" s="61"/>
    </row>
    <row r="29" spans="2:9" x14ac:dyDescent="0.35">
      <c r="B29" s="61"/>
      <c r="C29" s="61"/>
      <c r="D29" s="61"/>
      <c r="E29" s="61"/>
      <c r="F29" s="61"/>
      <c r="G29" s="61"/>
      <c r="H29" s="61"/>
      <c r="I29" s="61"/>
    </row>
    <row r="30" spans="2:9" x14ac:dyDescent="0.35">
      <c r="B30" s="61"/>
      <c r="C30" s="61"/>
      <c r="D30" s="61"/>
      <c r="E30" s="61"/>
      <c r="F30" s="61"/>
      <c r="G30" s="61"/>
      <c r="H30" s="61"/>
      <c r="I30" s="61"/>
    </row>
    <row r="31" spans="2:9" x14ac:dyDescent="0.35">
      <c r="B31" s="61"/>
      <c r="C31" s="61"/>
      <c r="D31" s="61"/>
      <c r="E31" s="61"/>
      <c r="F31" s="61"/>
      <c r="G31" s="61"/>
      <c r="H31" s="61"/>
      <c r="I31" s="61"/>
    </row>
    <row r="32" spans="2:9" x14ac:dyDescent="0.35">
      <c r="B32" s="61"/>
      <c r="C32" s="61"/>
      <c r="D32" s="61"/>
      <c r="E32" s="61"/>
      <c r="F32" s="61"/>
      <c r="G32" s="61"/>
      <c r="H32" s="61"/>
      <c r="I32" s="61"/>
    </row>
    <row r="33" spans="2:9" x14ac:dyDescent="0.35">
      <c r="B33" s="61"/>
      <c r="C33" s="61"/>
      <c r="D33" s="61"/>
      <c r="E33" s="61"/>
      <c r="F33" s="61"/>
      <c r="G33" s="61"/>
      <c r="H33" s="61"/>
      <c r="I33" s="61"/>
    </row>
    <row r="34" spans="2:9" x14ac:dyDescent="0.35">
      <c r="B34" s="61"/>
      <c r="C34" s="61"/>
      <c r="D34" s="61"/>
      <c r="E34" s="61"/>
      <c r="F34" s="61"/>
      <c r="G34" s="61"/>
      <c r="H34" s="61"/>
      <c r="I34" s="61"/>
    </row>
    <row r="35" spans="2:9" x14ac:dyDescent="0.35">
      <c r="B35" s="61"/>
      <c r="C35" s="61"/>
      <c r="D35" s="61"/>
      <c r="E35" s="61"/>
      <c r="F35" s="61"/>
      <c r="G35" s="61"/>
      <c r="H35" s="61"/>
      <c r="I35" s="61"/>
    </row>
    <row r="36" spans="2:9" x14ac:dyDescent="0.35">
      <c r="B36" s="61"/>
      <c r="C36" s="61"/>
      <c r="D36" s="61"/>
      <c r="E36" s="61"/>
      <c r="F36" s="61"/>
      <c r="G36" s="61"/>
      <c r="H36" s="61"/>
      <c r="I36" s="61"/>
    </row>
    <row r="37" spans="2:9" x14ac:dyDescent="0.35">
      <c r="B37" s="61"/>
      <c r="C37" s="61"/>
      <c r="D37" s="61"/>
      <c r="E37" s="61"/>
      <c r="F37" s="61"/>
      <c r="G37" s="61"/>
      <c r="H37" s="61"/>
      <c r="I37" s="61"/>
    </row>
    <row r="38" spans="2:9" x14ac:dyDescent="0.35">
      <c r="B38" s="61"/>
      <c r="C38" s="61"/>
      <c r="D38" s="61"/>
      <c r="E38" s="61"/>
      <c r="F38" s="61"/>
      <c r="G38" s="61"/>
      <c r="H38" s="61"/>
      <c r="I38" s="61"/>
    </row>
    <row r="39" spans="2:9" x14ac:dyDescent="0.35">
      <c r="B39" s="61"/>
      <c r="C39" s="61"/>
      <c r="D39" s="61"/>
      <c r="E39" s="61"/>
      <c r="F39" s="61"/>
      <c r="G39" s="61"/>
      <c r="H39" s="61"/>
      <c r="I39" s="61"/>
    </row>
    <row r="40" spans="2:9" x14ac:dyDescent="0.35">
      <c r="B40" s="61"/>
      <c r="C40" s="61"/>
      <c r="D40" s="61"/>
      <c r="E40" s="61"/>
      <c r="F40" s="61"/>
      <c r="G40" s="61"/>
      <c r="H40" s="61"/>
      <c r="I40" s="61"/>
    </row>
    <row r="41" spans="2:9" x14ac:dyDescent="0.35">
      <c r="B41" s="61"/>
      <c r="C41" s="61"/>
      <c r="D41" s="61"/>
      <c r="E41" s="61"/>
      <c r="F41" s="61"/>
      <c r="G41" s="61"/>
      <c r="H41" s="61"/>
      <c r="I41" s="61"/>
    </row>
    <row r="42" spans="2:9" x14ac:dyDescent="0.35">
      <c r="B42" s="61"/>
      <c r="C42" s="61"/>
      <c r="D42" s="61"/>
      <c r="E42" s="61"/>
      <c r="F42" s="61"/>
      <c r="G42" s="61"/>
      <c r="H42" s="61"/>
      <c r="I42" s="61"/>
    </row>
    <row r="43" spans="2:9" x14ac:dyDescent="0.35">
      <c r="B43" s="61"/>
      <c r="C43" s="61"/>
      <c r="D43" s="61"/>
      <c r="E43" s="61"/>
      <c r="F43" s="61"/>
      <c r="G43" s="61"/>
      <c r="H43" s="61"/>
      <c r="I43" s="61"/>
    </row>
    <row r="44" spans="2:9" x14ac:dyDescent="0.35">
      <c r="B44" s="61"/>
      <c r="C44" s="61"/>
      <c r="D44" s="61"/>
      <c r="E44" s="61"/>
      <c r="F44" s="61"/>
      <c r="G44" s="61"/>
      <c r="H44" s="61"/>
      <c r="I44" s="61"/>
    </row>
    <row r="45" spans="2:9" x14ac:dyDescent="0.35">
      <c r="B45" s="61"/>
      <c r="C45" s="61"/>
      <c r="D45" s="61"/>
      <c r="E45" s="61"/>
      <c r="F45" s="61"/>
      <c r="G45" s="61"/>
      <c r="H45" s="61"/>
      <c r="I45" s="61"/>
    </row>
    <row r="46" spans="2:9" x14ac:dyDescent="0.35">
      <c r="B46" s="61"/>
      <c r="C46" s="61"/>
      <c r="D46" s="61"/>
      <c r="E46" s="61"/>
      <c r="F46" s="61"/>
      <c r="G46" s="61"/>
      <c r="H46" s="61"/>
      <c r="I46" s="61"/>
    </row>
    <row r="47" spans="2:9" x14ac:dyDescent="0.35">
      <c r="B47" s="61"/>
      <c r="C47" s="61"/>
      <c r="D47" s="61"/>
      <c r="E47" s="61"/>
      <c r="F47" s="61"/>
      <c r="G47" s="61"/>
      <c r="H47" s="61"/>
      <c r="I47" s="61"/>
    </row>
    <row r="48" spans="2:9" x14ac:dyDescent="0.35">
      <c r="B48" s="61"/>
      <c r="C48" s="61"/>
      <c r="D48" s="61"/>
      <c r="E48" s="61"/>
      <c r="F48" s="61"/>
      <c r="G48" s="61"/>
      <c r="H48" s="61"/>
      <c r="I48" s="61"/>
    </row>
    <row r="49" spans="2:9" x14ac:dyDescent="0.35">
      <c r="B49" s="61"/>
      <c r="C49" s="61"/>
      <c r="D49" s="61"/>
      <c r="E49" s="61"/>
      <c r="F49" s="61"/>
      <c r="G49" s="61"/>
      <c r="H49" s="61"/>
      <c r="I49" s="61"/>
    </row>
    <row r="50" spans="2:9" x14ac:dyDescent="0.35">
      <c r="B50" s="61"/>
      <c r="C50" s="61"/>
      <c r="D50" s="61"/>
      <c r="E50" s="61"/>
      <c r="F50" s="61"/>
      <c r="G50" s="61"/>
      <c r="H50" s="61"/>
      <c r="I50" s="61"/>
    </row>
    <row r="51" spans="2:9" x14ac:dyDescent="0.35">
      <c r="B51" s="61"/>
      <c r="C51" s="61"/>
      <c r="D51" s="61"/>
      <c r="E51" s="61"/>
      <c r="F51" s="61"/>
      <c r="G51" s="61"/>
      <c r="H51" s="61"/>
      <c r="I51" s="61"/>
    </row>
    <row r="52" spans="2:9" x14ac:dyDescent="0.35">
      <c r="B52" s="61"/>
      <c r="C52" s="61"/>
      <c r="D52" s="61"/>
      <c r="E52" s="61"/>
      <c r="F52" s="61"/>
      <c r="G52" s="61"/>
      <c r="H52" s="61"/>
      <c r="I52" s="61"/>
    </row>
    <row r="53" spans="2:9" x14ac:dyDescent="0.35">
      <c r="B53" s="61"/>
      <c r="C53" s="61"/>
      <c r="D53" s="61"/>
      <c r="E53" s="61"/>
      <c r="F53" s="61"/>
      <c r="G53" s="61"/>
      <c r="H53" s="61"/>
      <c r="I53" s="61"/>
    </row>
    <row r="54" spans="2:9" x14ac:dyDescent="0.35">
      <c r="B54" s="61"/>
      <c r="C54" s="61"/>
      <c r="D54" s="61"/>
      <c r="E54" s="61"/>
      <c r="F54" s="61"/>
      <c r="G54" s="61"/>
      <c r="H54" s="61"/>
      <c r="I54" s="61"/>
    </row>
    <row r="55" spans="2:9" x14ac:dyDescent="0.35">
      <c r="B55" s="61"/>
      <c r="C55" s="61"/>
      <c r="D55" s="61"/>
      <c r="E55" s="61"/>
      <c r="F55" s="61"/>
      <c r="G55" s="61"/>
      <c r="H55" s="61"/>
      <c r="I55" s="61"/>
    </row>
    <row r="56" spans="2:9" x14ac:dyDescent="0.35">
      <c r="B56" s="61"/>
      <c r="C56" s="61"/>
      <c r="D56" s="61"/>
      <c r="E56" s="61"/>
      <c r="F56" s="61"/>
      <c r="G56" s="61"/>
      <c r="H56" s="61"/>
      <c r="I56" s="61"/>
    </row>
    <row r="57" spans="2:9" x14ac:dyDescent="0.35">
      <c r="B57" s="61"/>
      <c r="C57" s="61"/>
      <c r="D57" s="61"/>
      <c r="E57" s="61"/>
      <c r="F57" s="61"/>
      <c r="G57" s="61"/>
      <c r="H57" s="61"/>
      <c r="I57" s="61"/>
    </row>
    <row r="58" spans="2:9" x14ac:dyDescent="0.35">
      <c r="B58" s="61"/>
      <c r="C58" s="61"/>
      <c r="D58" s="61"/>
      <c r="E58" s="61"/>
      <c r="F58" s="61"/>
      <c r="G58" s="61"/>
      <c r="H58" s="61"/>
      <c r="I58" s="61"/>
    </row>
    <row r="59" spans="2:9" x14ac:dyDescent="0.35">
      <c r="B59" s="61"/>
      <c r="C59" s="61"/>
      <c r="D59" s="61"/>
      <c r="E59" s="61"/>
      <c r="F59" s="61"/>
      <c r="G59" s="61"/>
      <c r="H59" s="61"/>
      <c r="I59" s="61"/>
    </row>
    <row r="60" spans="2:9" x14ac:dyDescent="0.35">
      <c r="B60" s="61"/>
      <c r="C60" s="61"/>
      <c r="D60" s="61"/>
      <c r="E60" s="61"/>
      <c r="F60" s="61"/>
      <c r="G60" s="61"/>
      <c r="H60" s="61"/>
      <c r="I60" s="61"/>
    </row>
    <row r="61" spans="2:9" x14ac:dyDescent="0.35">
      <c r="B61" s="61"/>
      <c r="C61" s="61"/>
      <c r="D61" s="61"/>
      <c r="E61" s="61"/>
      <c r="F61" s="61"/>
      <c r="G61" s="61"/>
      <c r="H61" s="61"/>
      <c r="I61" s="61"/>
    </row>
    <row r="62" spans="2:9" x14ac:dyDescent="0.35">
      <c r="B62" s="61"/>
      <c r="C62" s="61"/>
      <c r="D62" s="61"/>
      <c r="E62" s="61"/>
      <c r="F62" s="61"/>
      <c r="G62" s="61"/>
      <c r="H62" s="61"/>
      <c r="I62" s="61"/>
    </row>
    <row r="63" spans="2:9" x14ac:dyDescent="0.35">
      <c r="B63" s="61"/>
      <c r="C63" s="61"/>
      <c r="D63" s="61"/>
      <c r="E63" s="61"/>
      <c r="F63" s="61"/>
      <c r="G63" s="61"/>
      <c r="H63" s="61"/>
      <c r="I63" s="61"/>
    </row>
    <row r="64" spans="2:9" x14ac:dyDescent="0.35">
      <c r="B64" s="61"/>
      <c r="C64" s="61"/>
      <c r="D64" s="61"/>
      <c r="E64" s="61"/>
      <c r="F64" s="61"/>
      <c r="G64" s="61"/>
      <c r="H64" s="61"/>
      <c r="I64" s="61"/>
    </row>
    <row r="65" spans="2:9" x14ac:dyDescent="0.35">
      <c r="B65" s="61"/>
      <c r="C65" s="61"/>
      <c r="D65" s="61"/>
      <c r="E65" s="61"/>
      <c r="F65" s="61"/>
      <c r="G65" s="61"/>
      <c r="H65" s="61"/>
      <c r="I65" s="61"/>
    </row>
    <row r="66" spans="2:9" x14ac:dyDescent="0.35">
      <c r="B66" s="61"/>
      <c r="C66" s="61"/>
      <c r="D66" s="61"/>
      <c r="E66" s="61"/>
      <c r="F66" s="61"/>
      <c r="G66" s="61"/>
      <c r="H66" s="61"/>
      <c r="I66" s="61"/>
    </row>
    <row r="67" spans="2:9" x14ac:dyDescent="0.35">
      <c r="B67" s="61"/>
      <c r="C67" s="61"/>
      <c r="D67" s="61"/>
      <c r="E67" s="61"/>
      <c r="F67" s="61"/>
      <c r="G67" s="61"/>
      <c r="H67" s="61"/>
      <c r="I67" s="61"/>
    </row>
    <row r="68" spans="2:9" x14ac:dyDescent="0.35">
      <c r="B68" s="61"/>
      <c r="C68" s="61"/>
      <c r="D68" s="61"/>
      <c r="E68" s="61"/>
      <c r="F68" s="61"/>
      <c r="G68" s="61"/>
      <c r="H68" s="61"/>
      <c r="I68" s="61"/>
    </row>
    <row r="69" spans="2:9" x14ac:dyDescent="0.35">
      <c r="B69" s="61"/>
      <c r="C69" s="61"/>
      <c r="D69" s="61"/>
      <c r="E69" s="61"/>
      <c r="F69" s="61"/>
      <c r="G69" s="61"/>
      <c r="H69" s="61"/>
      <c r="I69" s="61"/>
    </row>
    <row r="70" spans="2:9" x14ac:dyDescent="0.35">
      <c r="B70" s="61"/>
      <c r="C70" s="61"/>
      <c r="D70" s="61"/>
      <c r="E70" s="61"/>
      <c r="F70" s="61"/>
      <c r="G70" s="61"/>
      <c r="H70" s="61"/>
      <c r="I70" s="61"/>
    </row>
    <row r="71" spans="2:9" x14ac:dyDescent="0.35">
      <c r="B71" s="61"/>
      <c r="C71" s="61"/>
      <c r="D71" s="61"/>
      <c r="E71" s="61"/>
      <c r="F71" s="61"/>
      <c r="G71" s="61"/>
      <c r="H71" s="61"/>
      <c r="I71" s="61"/>
    </row>
    <row r="72" spans="2:9" x14ac:dyDescent="0.35">
      <c r="B72" s="61"/>
      <c r="C72" s="61"/>
      <c r="D72" s="61"/>
      <c r="E72" s="61"/>
      <c r="F72" s="61"/>
      <c r="G72" s="61"/>
      <c r="H72" s="61"/>
      <c r="I72" s="61"/>
    </row>
    <row r="73" spans="2:9" x14ac:dyDescent="0.35">
      <c r="B73" s="61"/>
      <c r="C73" s="61"/>
      <c r="D73" s="61"/>
      <c r="E73" s="61"/>
      <c r="F73" s="61"/>
      <c r="G73" s="61"/>
      <c r="H73" s="61"/>
      <c r="I73" s="61"/>
    </row>
    <row r="74" spans="2:9" x14ac:dyDescent="0.35">
      <c r="B74" s="61"/>
      <c r="C74" s="61"/>
      <c r="D74" s="61"/>
      <c r="E74" s="61"/>
      <c r="F74" s="61"/>
      <c r="G74" s="61"/>
      <c r="H74" s="61"/>
      <c r="I74" s="61"/>
    </row>
    <row r="75" spans="2:9" x14ac:dyDescent="0.35">
      <c r="B75" s="61"/>
      <c r="C75" s="61"/>
      <c r="D75" s="61"/>
      <c r="E75" s="61"/>
      <c r="F75" s="61"/>
      <c r="G75" s="61"/>
      <c r="H75" s="61"/>
      <c r="I75" s="61"/>
    </row>
    <row r="76" spans="2:9" x14ac:dyDescent="0.35">
      <c r="B76" s="61"/>
      <c r="C76" s="61"/>
      <c r="D76" s="61"/>
      <c r="E76" s="61"/>
      <c r="F76" s="61"/>
      <c r="G76" s="61"/>
      <c r="H76" s="61"/>
      <c r="I76" s="61"/>
    </row>
    <row r="77" spans="2:9" x14ac:dyDescent="0.35">
      <c r="B77" s="61"/>
      <c r="C77" s="61"/>
      <c r="D77" s="61"/>
      <c r="E77" s="61"/>
      <c r="F77" s="61"/>
      <c r="G77" s="61"/>
      <c r="H77" s="61"/>
      <c r="I77" s="61"/>
    </row>
    <row r="78" spans="2:9" x14ac:dyDescent="0.35">
      <c r="B78" s="61"/>
      <c r="C78" s="61"/>
      <c r="D78" s="61"/>
      <c r="E78" s="61"/>
      <c r="F78" s="61"/>
      <c r="G78" s="61"/>
      <c r="H78" s="61"/>
      <c r="I78" s="61"/>
    </row>
    <row r="79" spans="2:9" x14ac:dyDescent="0.35">
      <c r="B79" s="61"/>
      <c r="C79" s="61"/>
      <c r="D79" s="61"/>
      <c r="E79" s="61"/>
      <c r="F79" s="61"/>
      <c r="G79" s="61"/>
      <c r="H79" s="61"/>
      <c r="I79" s="61"/>
    </row>
    <row r="80" spans="2:9" x14ac:dyDescent="0.35">
      <c r="B80" s="61"/>
      <c r="C80" s="61"/>
      <c r="D80" s="61"/>
      <c r="E80" s="61"/>
      <c r="F80" s="61"/>
      <c r="G80" s="61"/>
      <c r="H80" s="61"/>
      <c r="I80" s="61"/>
    </row>
    <row r="81" spans="2:9" x14ac:dyDescent="0.35">
      <c r="B81" s="61"/>
      <c r="C81" s="61"/>
      <c r="D81" s="61"/>
      <c r="E81" s="61"/>
      <c r="F81" s="61"/>
      <c r="G81" s="61"/>
      <c r="H81" s="61"/>
      <c r="I81" s="61"/>
    </row>
    <row r="82" spans="2:9" x14ac:dyDescent="0.35">
      <c r="B82" s="61"/>
      <c r="C82" s="61"/>
      <c r="D82" s="61"/>
      <c r="E82" s="61"/>
      <c r="F82" s="61"/>
      <c r="G82" s="61"/>
      <c r="H82" s="61"/>
      <c r="I82" s="61"/>
    </row>
    <row r="83" spans="2:9" x14ac:dyDescent="0.35">
      <c r="B83" s="61"/>
      <c r="C83" s="61"/>
      <c r="D83" s="61"/>
      <c r="E83" s="61"/>
      <c r="F83" s="61"/>
      <c r="G83" s="61"/>
      <c r="H83" s="61"/>
      <c r="I83" s="61"/>
    </row>
    <row r="84" spans="2:9" x14ac:dyDescent="0.35">
      <c r="B84" s="61"/>
      <c r="C84" s="61"/>
      <c r="D84" s="61"/>
      <c r="E84" s="61"/>
      <c r="F84" s="61"/>
      <c r="G84" s="61"/>
      <c r="H84" s="61"/>
      <c r="I84" s="61"/>
    </row>
    <row r="85" spans="2:9" x14ac:dyDescent="0.35">
      <c r="B85" s="61"/>
      <c r="C85" s="61"/>
      <c r="D85" s="61"/>
      <c r="E85" s="61"/>
      <c r="F85" s="61"/>
      <c r="G85" s="61"/>
      <c r="H85" s="61"/>
      <c r="I85" s="61"/>
    </row>
    <row r="86" spans="2:9" x14ac:dyDescent="0.35">
      <c r="B86" s="61"/>
      <c r="C86" s="61"/>
      <c r="D86" s="61"/>
      <c r="E86" s="61"/>
      <c r="F86" s="61"/>
      <c r="G86" s="61"/>
      <c r="H86" s="61"/>
      <c r="I86" s="61"/>
    </row>
    <row r="87" spans="2:9" x14ac:dyDescent="0.35">
      <c r="B87" s="61"/>
      <c r="C87" s="61"/>
      <c r="D87" s="61"/>
      <c r="E87" s="61"/>
      <c r="F87" s="61"/>
      <c r="G87" s="61"/>
      <c r="H87" s="61"/>
      <c r="I87" s="61"/>
    </row>
    <row r="88" spans="2:9" x14ac:dyDescent="0.35">
      <c r="B88" s="61"/>
      <c r="C88" s="61"/>
      <c r="D88" s="61"/>
      <c r="E88" s="61"/>
      <c r="F88" s="61"/>
      <c r="G88" s="61"/>
      <c r="H88" s="61"/>
      <c r="I88" s="61"/>
    </row>
    <row r="89" spans="2:9" x14ac:dyDescent="0.35">
      <c r="B89" s="61"/>
      <c r="C89" s="61"/>
      <c r="D89" s="61"/>
      <c r="E89" s="61"/>
      <c r="F89" s="61"/>
      <c r="G89" s="61"/>
      <c r="H89" s="61"/>
      <c r="I89" s="61"/>
    </row>
    <row r="90" spans="2:9" x14ac:dyDescent="0.35">
      <c r="B90" s="61"/>
      <c r="C90" s="61"/>
      <c r="D90" s="61"/>
      <c r="E90" s="61"/>
      <c r="F90" s="61"/>
      <c r="G90" s="61"/>
      <c r="H90" s="61"/>
      <c r="I90" s="61"/>
    </row>
    <row r="91" spans="2:9" x14ac:dyDescent="0.35">
      <c r="B91" s="61"/>
      <c r="C91" s="61"/>
      <c r="D91" s="61"/>
      <c r="E91" s="61"/>
      <c r="F91" s="61"/>
      <c r="G91" s="61"/>
      <c r="H91" s="61"/>
      <c r="I91" s="61"/>
    </row>
    <row r="92" spans="2:9" x14ac:dyDescent="0.35">
      <c r="B92" s="61"/>
      <c r="C92" s="61"/>
      <c r="D92" s="61"/>
      <c r="E92" s="61"/>
      <c r="F92" s="61"/>
      <c r="G92" s="61"/>
      <c r="H92" s="61"/>
      <c r="I92" s="61"/>
    </row>
    <row r="93" spans="2:9" x14ac:dyDescent="0.35">
      <c r="B93" s="61"/>
      <c r="C93" s="61"/>
      <c r="D93" s="61"/>
      <c r="E93" s="61"/>
      <c r="F93" s="61"/>
      <c r="G93" s="61"/>
      <c r="H93" s="61"/>
      <c r="I93" s="61"/>
    </row>
    <row r="94" spans="2:9" x14ac:dyDescent="0.35">
      <c r="B94" s="61"/>
      <c r="C94" s="61"/>
      <c r="D94" s="61"/>
      <c r="E94" s="61"/>
      <c r="F94" s="61"/>
      <c r="G94" s="61"/>
      <c r="H94" s="61"/>
      <c r="I94" s="61"/>
    </row>
    <row r="95" spans="2:9" x14ac:dyDescent="0.35">
      <c r="B95" s="61"/>
      <c r="C95" s="61"/>
      <c r="D95" s="61"/>
      <c r="E95" s="61"/>
      <c r="F95" s="61"/>
      <c r="G95" s="61"/>
      <c r="H95" s="61"/>
      <c r="I95" s="61"/>
    </row>
    <row r="96" spans="2:9" x14ac:dyDescent="0.35">
      <c r="B96" s="61"/>
      <c r="C96" s="61"/>
      <c r="D96" s="61"/>
      <c r="E96" s="61"/>
      <c r="F96" s="61"/>
      <c r="G96" s="61"/>
      <c r="H96" s="61"/>
      <c r="I96" s="61"/>
    </row>
    <row r="97" spans="2:9" x14ac:dyDescent="0.35">
      <c r="B97" s="61"/>
      <c r="C97" s="61"/>
      <c r="D97" s="61"/>
      <c r="E97" s="61"/>
      <c r="F97" s="61"/>
      <c r="G97" s="61"/>
      <c r="H97" s="61"/>
      <c r="I97" s="61"/>
    </row>
    <row r="98" spans="2:9" x14ac:dyDescent="0.35">
      <c r="B98" s="61"/>
      <c r="C98" s="61"/>
      <c r="D98" s="61"/>
      <c r="E98" s="61"/>
      <c r="F98" s="61"/>
      <c r="G98" s="61"/>
      <c r="H98" s="61"/>
      <c r="I98" s="61"/>
    </row>
    <row r="99" spans="2:9" x14ac:dyDescent="0.35">
      <c r="B99" s="61"/>
      <c r="C99" s="61"/>
      <c r="D99" s="61"/>
      <c r="E99" s="61"/>
      <c r="F99" s="61"/>
      <c r="G99" s="61"/>
      <c r="H99" s="61"/>
      <c r="I99" s="61"/>
    </row>
    <row r="100" spans="2:9" x14ac:dyDescent="0.35">
      <c r="B100" s="61"/>
      <c r="C100" s="61"/>
      <c r="D100" s="61"/>
      <c r="E100" s="61"/>
      <c r="F100" s="61"/>
      <c r="G100" s="61"/>
      <c r="H100" s="61"/>
      <c r="I100" s="61"/>
    </row>
    <row r="101" spans="2:9" x14ac:dyDescent="0.35">
      <c r="B101" s="61"/>
      <c r="C101" s="61"/>
      <c r="D101" s="61"/>
      <c r="E101" s="61"/>
      <c r="F101" s="61"/>
      <c r="G101" s="61"/>
      <c r="H101" s="61"/>
      <c r="I101" s="61"/>
    </row>
    <row r="102" spans="2:9" x14ac:dyDescent="0.35">
      <c r="B102" s="61"/>
      <c r="C102" s="61"/>
      <c r="D102" s="61"/>
      <c r="E102" s="61"/>
      <c r="F102" s="61"/>
      <c r="G102" s="61"/>
      <c r="H102" s="61"/>
      <c r="I102" s="61"/>
    </row>
    <row r="103" spans="2:9" x14ac:dyDescent="0.35">
      <c r="B103" s="61"/>
      <c r="C103" s="61"/>
      <c r="D103" s="61"/>
      <c r="E103" s="61"/>
      <c r="F103" s="61"/>
      <c r="G103" s="61"/>
      <c r="H103" s="61"/>
      <c r="I103" s="61"/>
    </row>
    <row r="104" spans="2:9" x14ac:dyDescent="0.35">
      <c r="B104" s="61"/>
      <c r="C104" s="61"/>
      <c r="D104" s="61"/>
      <c r="E104" s="61"/>
      <c r="F104" s="61"/>
      <c r="G104" s="61"/>
      <c r="H104" s="61"/>
      <c r="I104" s="61"/>
    </row>
    <row r="105" spans="2:9" x14ac:dyDescent="0.35">
      <c r="B105" s="61"/>
      <c r="C105" s="61"/>
      <c r="D105" s="61"/>
      <c r="E105" s="61"/>
      <c r="F105" s="61"/>
      <c r="G105" s="61"/>
      <c r="H105" s="61"/>
      <c r="I105" s="61"/>
    </row>
    <row r="106" spans="2:9" x14ac:dyDescent="0.35">
      <c r="B106" s="61"/>
      <c r="C106" s="61"/>
      <c r="D106" s="61"/>
      <c r="E106" s="61"/>
      <c r="F106" s="61"/>
      <c r="G106" s="61"/>
      <c r="H106" s="61"/>
      <c r="I106" s="61"/>
    </row>
    <row r="107" spans="2:9" x14ac:dyDescent="0.35">
      <c r="B107" s="61"/>
      <c r="C107" s="61"/>
      <c r="D107" s="61"/>
      <c r="E107" s="61"/>
      <c r="F107" s="61"/>
      <c r="G107" s="61"/>
      <c r="H107" s="61"/>
      <c r="I107" s="61"/>
    </row>
    <row r="108" spans="2:9" x14ac:dyDescent="0.35">
      <c r="B108" s="61"/>
      <c r="C108" s="61"/>
      <c r="D108" s="61"/>
      <c r="E108" s="61"/>
      <c r="F108" s="61"/>
      <c r="G108" s="61"/>
      <c r="H108" s="61"/>
      <c r="I108" s="61"/>
    </row>
    <row r="109" spans="2:9" x14ac:dyDescent="0.35">
      <c r="B109" s="61"/>
      <c r="C109" s="61"/>
      <c r="D109" s="61"/>
      <c r="E109" s="61"/>
      <c r="F109" s="61"/>
      <c r="G109" s="61"/>
      <c r="H109" s="61"/>
      <c r="I109" s="61"/>
    </row>
    <row r="110" spans="2:9" x14ac:dyDescent="0.35">
      <c r="B110" s="61"/>
      <c r="C110" s="61"/>
      <c r="D110" s="61"/>
      <c r="E110" s="61"/>
      <c r="F110" s="61"/>
      <c r="G110" s="61"/>
      <c r="H110" s="61"/>
      <c r="I110" s="61"/>
    </row>
    <row r="111" spans="2:9" x14ac:dyDescent="0.35">
      <c r="B111" s="61"/>
      <c r="C111" s="61"/>
      <c r="D111" s="61"/>
      <c r="E111" s="61"/>
      <c r="F111" s="61"/>
      <c r="G111" s="61"/>
      <c r="H111" s="61"/>
      <c r="I111" s="61"/>
    </row>
    <row r="112" spans="2:9" x14ac:dyDescent="0.35">
      <c r="B112" s="61"/>
      <c r="C112" s="61"/>
      <c r="D112" s="61"/>
      <c r="E112" s="61"/>
      <c r="F112" s="61"/>
      <c r="G112" s="61"/>
      <c r="H112" s="61"/>
      <c r="I112" s="61"/>
    </row>
    <row r="113" spans="2:9" x14ac:dyDescent="0.35">
      <c r="B113" s="61"/>
      <c r="C113" s="61"/>
      <c r="D113" s="61"/>
      <c r="E113" s="61"/>
      <c r="F113" s="61"/>
      <c r="G113" s="61"/>
      <c r="H113" s="61"/>
      <c r="I113" s="61"/>
    </row>
    <row r="114" spans="2:9" x14ac:dyDescent="0.35">
      <c r="B114" s="61"/>
      <c r="C114" s="61"/>
      <c r="D114" s="61"/>
      <c r="E114" s="61"/>
      <c r="F114" s="61"/>
      <c r="G114" s="61"/>
      <c r="H114" s="61"/>
      <c r="I114" s="61"/>
    </row>
    <row r="115" spans="2:9" x14ac:dyDescent="0.35">
      <c r="B115" s="61"/>
      <c r="C115" s="61"/>
      <c r="D115" s="61"/>
      <c r="E115" s="61"/>
      <c r="F115" s="61"/>
      <c r="G115" s="61"/>
      <c r="H115" s="61"/>
      <c r="I115" s="61"/>
    </row>
    <row r="116" spans="2:9" x14ac:dyDescent="0.35">
      <c r="B116" s="61"/>
      <c r="C116" s="61"/>
      <c r="D116" s="61"/>
      <c r="E116" s="61"/>
      <c r="F116" s="61"/>
      <c r="G116" s="61"/>
      <c r="H116" s="61"/>
      <c r="I116" s="61"/>
    </row>
    <row r="117" spans="2:9" x14ac:dyDescent="0.35">
      <c r="B117" s="61"/>
      <c r="C117" s="61"/>
      <c r="D117" s="61"/>
      <c r="E117" s="61"/>
      <c r="F117" s="61"/>
      <c r="G117" s="61"/>
      <c r="H117" s="61"/>
      <c r="I117" s="61"/>
    </row>
    <row r="118" spans="2:9" x14ac:dyDescent="0.35">
      <c r="B118" s="61"/>
      <c r="C118" s="61"/>
      <c r="D118" s="61"/>
      <c r="E118" s="61"/>
      <c r="F118" s="61"/>
      <c r="G118" s="61"/>
      <c r="H118" s="61"/>
      <c r="I118" s="61"/>
    </row>
    <row r="119" spans="2:9" x14ac:dyDescent="0.35">
      <c r="B119" s="61"/>
      <c r="C119" s="61"/>
      <c r="D119" s="61"/>
      <c r="E119" s="61"/>
      <c r="F119" s="61"/>
      <c r="G119" s="61"/>
      <c r="H119" s="61"/>
      <c r="I119" s="61"/>
    </row>
    <row r="120" spans="2:9" x14ac:dyDescent="0.35">
      <c r="B120" s="61"/>
      <c r="C120" s="61"/>
      <c r="D120" s="61"/>
      <c r="E120" s="61"/>
      <c r="F120" s="61"/>
      <c r="G120" s="61"/>
      <c r="H120" s="61"/>
      <c r="I120" s="61"/>
    </row>
    <row r="121" spans="2:9" x14ac:dyDescent="0.35">
      <c r="B121" s="61"/>
      <c r="C121" s="61"/>
      <c r="D121" s="61"/>
      <c r="E121" s="61"/>
      <c r="F121" s="61"/>
      <c r="G121" s="61"/>
      <c r="H121" s="61"/>
      <c r="I121" s="61"/>
    </row>
    <row r="122" spans="2:9" x14ac:dyDescent="0.35">
      <c r="B122" s="61"/>
      <c r="C122" s="61"/>
      <c r="D122" s="61"/>
      <c r="E122" s="61"/>
      <c r="F122" s="61"/>
      <c r="G122" s="61"/>
      <c r="H122" s="61"/>
      <c r="I122" s="61"/>
    </row>
    <row r="123" spans="2:9" x14ac:dyDescent="0.35">
      <c r="B123" s="61"/>
      <c r="C123" s="61"/>
      <c r="D123" s="61"/>
      <c r="E123" s="61"/>
      <c r="F123" s="61"/>
      <c r="G123" s="61"/>
      <c r="H123" s="61"/>
      <c r="I123" s="61"/>
    </row>
    <row r="124" spans="2:9" x14ac:dyDescent="0.35">
      <c r="B124" s="61"/>
      <c r="C124" s="61"/>
      <c r="D124" s="61"/>
      <c r="E124" s="61"/>
      <c r="F124" s="61"/>
      <c r="G124" s="61"/>
      <c r="H124" s="61"/>
      <c r="I124" s="61"/>
    </row>
    <row r="125" spans="2:9" x14ac:dyDescent="0.35">
      <c r="B125" s="61"/>
      <c r="C125" s="61"/>
      <c r="D125" s="61"/>
      <c r="E125" s="61"/>
      <c r="F125" s="61"/>
      <c r="G125" s="61"/>
      <c r="H125" s="61"/>
      <c r="I125" s="61"/>
    </row>
    <row r="126" spans="2:9" x14ac:dyDescent="0.35">
      <c r="B126" s="61"/>
      <c r="C126" s="61"/>
      <c r="D126" s="61"/>
      <c r="E126" s="61"/>
      <c r="F126" s="61"/>
      <c r="G126" s="61"/>
      <c r="H126" s="61"/>
      <c r="I126" s="61"/>
    </row>
    <row r="127" spans="2:9" x14ac:dyDescent="0.35">
      <c r="B127" s="61"/>
      <c r="C127" s="61"/>
      <c r="D127" s="61"/>
      <c r="E127" s="61"/>
      <c r="F127" s="61"/>
      <c r="G127" s="61"/>
      <c r="H127" s="61"/>
      <c r="I127" s="61"/>
    </row>
    <row r="128" spans="2:9" x14ac:dyDescent="0.35">
      <c r="B128" s="61"/>
      <c r="C128" s="61"/>
      <c r="D128" s="61"/>
      <c r="E128" s="61"/>
      <c r="F128" s="61"/>
      <c r="G128" s="61"/>
      <c r="H128" s="61"/>
      <c r="I128" s="61"/>
    </row>
    <row r="129" spans="2:9" x14ac:dyDescent="0.35">
      <c r="B129" s="61"/>
      <c r="C129" s="61"/>
      <c r="D129" s="61"/>
      <c r="E129" s="61"/>
      <c r="F129" s="61"/>
      <c r="G129" s="61"/>
      <c r="H129" s="61"/>
      <c r="I129" s="61"/>
    </row>
    <row r="130" spans="2:9" x14ac:dyDescent="0.35">
      <c r="B130" s="61"/>
      <c r="C130" s="61"/>
      <c r="D130" s="61"/>
      <c r="E130" s="61"/>
      <c r="F130" s="61"/>
      <c r="G130" s="61"/>
      <c r="H130" s="61"/>
      <c r="I130" s="61"/>
    </row>
    <row r="131" spans="2:9" x14ac:dyDescent="0.35">
      <c r="B131" s="61"/>
      <c r="C131" s="61"/>
      <c r="D131" s="61"/>
      <c r="E131" s="61"/>
      <c r="F131" s="61"/>
      <c r="G131" s="61"/>
      <c r="H131" s="61"/>
      <c r="I131" s="61"/>
    </row>
    <row r="132" spans="2:9" x14ac:dyDescent="0.35">
      <c r="B132" s="61"/>
      <c r="C132" s="61"/>
      <c r="D132" s="61"/>
      <c r="E132" s="61"/>
      <c r="F132" s="61"/>
      <c r="G132" s="61"/>
      <c r="H132" s="61"/>
      <c r="I132" s="61"/>
    </row>
    <row r="133" spans="2:9" x14ac:dyDescent="0.35">
      <c r="B133" s="61"/>
      <c r="C133" s="61"/>
      <c r="D133" s="61"/>
      <c r="E133" s="61"/>
      <c r="F133" s="61"/>
      <c r="G133" s="61"/>
      <c r="H133" s="61"/>
      <c r="I133" s="61"/>
    </row>
    <row r="134" spans="2:9" x14ac:dyDescent="0.35">
      <c r="B134" s="61"/>
      <c r="C134" s="61"/>
      <c r="D134" s="61"/>
      <c r="E134" s="61"/>
      <c r="F134" s="61"/>
      <c r="G134" s="61"/>
      <c r="H134" s="61"/>
      <c r="I134" s="61"/>
    </row>
    <row r="135" spans="2:9" x14ac:dyDescent="0.35">
      <c r="B135" s="61"/>
      <c r="C135" s="61"/>
      <c r="D135" s="61"/>
      <c r="E135" s="61"/>
      <c r="F135" s="61"/>
      <c r="G135" s="61"/>
      <c r="H135" s="61"/>
      <c r="I135" s="61"/>
    </row>
    <row r="136" spans="2:9" x14ac:dyDescent="0.35">
      <c r="B136" s="61"/>
      <c r="C136" s="61"/>
      <c r="D136" s="61"/>
      <c r="E136" s="61"/>
      <c r="F136" s="61"/>
      <c r="G136" s="61"/>
      <c r="H136" s="61"/>
      <c r="I136" s="61"/>
    </row>
    <row r="137" spans="2:9" x14ac:dyDescent="0.35">
      <c r="B137" s="61"/>
      <c r="C137" s="61"/>
      <c r="D137" s="61"/>
      <c r="E137" s="61"/>
      <c r="F137" s="61"/>
      <c r="G137" s="61"/>
      <c r="H137" s="61"/>
      <c r="I137" s="61"/>
    </row>
    <row r="138" spans="2:9" x14ac:dyDescent="0.35">
      <c r="B138" s="61"/>
      <c r="C138" s="61"/>
      <c r="D138" s="61"/>
      <c r="E138" s="61"/>
      <c r="F138" s="61"/>
      <c r="G138" s="61"/>
      <c r="H138" s="61"/>
      <c r="I138" s="61"/>
    </row>
    <row r="139" spans="2:9" x14ac:dyDescent="0.35">
      <c r="B139" s="61"/>
      <c r="C139" s="61"/>
      <c r="D139" s="61"/>
      <c r="E139" s="61"/>
      <c r="F139" s="61"/>
      <c r="G139" s="61"/>
      <c r="H139" s="61"/>
      <c r="I139" s="61"/>
    </row>
    <row r="140" spans="2:9" x14ac:dyDescent="0.35">
      <c r="B140" s="61"/>
      <c r="C140" s="61"/>
      <c r="D140" s="61"/>
      <c r="E140" s="61"/>
      <c r="F140" s="61"/>
      <c r="G140" s="61"/>
      <c r="H140" s="61"/>
      <c r="I140" s="61"/>
    </row>
    <row r="141" spans="2:9" x14ac:dyDescent="0.35">
      <c r="B141" s="61"/>
      <c r="C141" s="61"/>
      <c r="D141" s="61"/>
      <c r="E141" s="61"/>
      <c r="F141" s="61"/>
      <c r="G141" s="61"/>
      <c r="H141" s="61"/>
      <c r="I141" s="61"/>
    </row>
    <row r="142" spans="2:9" x14ac:dyDescent="0.35">
      <c r="B142" s="61"/>
      <c r="C142" s="61"/>
      <c r="D142" s="61"/>
      <c r="E142" s="61"/>
      <c r="F142" s="61"/>
      <c r="G142" s="61"/>
      <c r="H142" s="61"/>
      <c r="I142" s="61"/>
    </row>
    <row r="143" spans="2:9" x14ac:dyDescent="0.35">
      <c r="B143" s="61"/>
      <c r="C143" s="61"/>
      <c r="D143" s="61"/>
      <c r="E143" s="61"/>
      <c r="F143" s="61"/>
      <c r="G143" s="61"/>
      <c r="H143" s="61"/>
      <c r="I143" s="61"/>
    </row>
    <row r="144" spans="2:9" x14ac:dyDescent="0.35">
      <c r="B144" s="61"/>
      <c r="C144" s="61"/>
      <c r="D144" s="61"/>
      <c r="E144" s="61"/>
      <c r="F144" s="61"/>
      <c r="G144" s="61"/>
      <c r="H144" s="61"/>
      <c r="I144" s="61"/>
    </row>
    <row r="145" spans="2:9" x14ac:dyDescent="0.35">
      <c r="B145" s="61"/>
      <c r="C145" s="61"/>
      <c r="D145" s="61"/>
      <c r="E145" s="61"/>
      <c r="F145" s="61"/>
      <c r="G145" s="61"/>
      <c r="H145" s="61"/>
      <c r="I145" s="61"/>
    </row>
    <row r="146" spans="2:9" x14ac:dyDescent="0.35">
      <c r="B146" s="61"/>
      <c r="C146" s="61"/>
      <c r="D146" s="61"/>
      <c r="E146" s="61"/>
      <c r="F146" s="61"/>
      <c r="G146" s="61"/>
      <c r="H146" s="61"/>
      <c r="I146" s="61"/>
    </row>
    <row r="147" spans="2:9" x14ac:dyDescent="0.35">
      <c r="B147" s="61"/>
      <c r="C147" s="61"/>
      <c r="D147" s="61"/>
      <c r="E147" s="61"/>
      <c r="F147" s="61"/>
      <c r="G147" s="61"/>
      <c r="H147" s="61"/>
      <c r="I147" s="61"/>
    </row>
    <row r="148" spans="2:9" x14ac:dyDescent="0.35">
      <c r="B148" s="61"/>
      <c r="C148" s="61"/>
      <c r="D148" s="61"/>
      <c r="E148" s="61"/>
      <c r="F148" s="61"/>
      <c r="G148" s="61"/>
      <c r="H148" s="61"/>
      <c r="I148" s="61"/>
    </row>
    <row r="149" spans="2:9" x14ac:dyDescent="0.35">
      <c r="B149" s="61"/>
      <c r="C149" s="61"/>
      <c r="D149" s="61"/>
      <c r="E149" s="61"/>
      <c r="F149" s="61"/>
      <c r="G149" s="61"/>
      <c r="H149" s="61"/>
      <c r="I149" s="61"/>
    </row>
    <row r="150" spans="2:9" x14ac:dyDescent="0.35">
      <c r="B150" s="61"/>
      <c r="C150" s="61"/>
      <c r="D150" s="61"/>
      <c r="E150" s="61"/>
      <c r="F150" s="61"/>
      <c r="G150" s="61"/>
      <c r="H150" s="61"/>
      <c r="I150" s="61"/>
    </row>
    <row r="151" spans="2:9" x14ac:dyDescent="0.35">
      <c r="B151" s="61"/>
      <c r="C151" s="61"/>
      <c r="D151" s="61"/>
      <c r="E151" s="61"/>
      <c r="F151" s="61"/>
      <c r="G151" s="61"/>
      <c r="H151" s="61"/>
      <c r="I151" s="61"/>
    </row>
    <row r="152" spans="2:9" x14ac:dyDescent="0.35">
      <c r="B152" s="61"/>
      <c r="C152" s="61"/>
      <c r="D152" s="61"/>
      <c r="E152" s="61"/>
      <c r="F152" s="61"/>
      <c r="G152" s="61"/>
      <c r="H152" s="61"/>
      <c r="I152" s="61"/>
    </row>
    <row r="153" spans="2:9" x14ac:dyDescent="0.35">
      <c r="B153" s="61"/>
      <c r="C153" s="61"/>
      <c r="D153" s="61"/>
      <c r="E153" s="61"/>
      <c r="F153" s="61"/>
      <c r="G153" s="61"/>
      <c r="H153" s="61"/>
      <c r="I153" s="61"/>
    </row>
    <row r="154" spans="2:9" x14ac:dyDescent="0.35">
      <c r="B154" s="61"/>
      <c r="C154" s="61"/>
      <c r="D154" s="61"/>
      <c r="E154" s="61"/>
      <c r="F154" s="61"/>
      <c r="G154" s="61"/>
      <c r="H154" s="61"/>
      <c r="I154" s="61"/>
    </row>
    <row r="155" spans="2:9" x14ac:dyDescent="0.35">
      <c r="B155" s="61"/>
      <c r="C155" s="61"/>
      <c r="D155" s="61"/>
      <c r="E155" s="61"/>
      <c r="F155" s="61"/>
      <c r="G155" s="61"/>
      <c r="H155" s="61"/>
      <c r="I155" s="61"/>
    </row>
    <row r="156" spans="2:9" x14ac:dyDescent="0.35">
      <c r="B156" s="61"/>
      <c r="C156" s="61"/>
      <c r="D156" s="61"/>
      <c r="E156" s="61"/>
      <c r="F156" s="61"/>
      <c r="G156" s="61"/>
      <c r="H156" s="61"/>
      <c r="I156" s="61"/>
    </row>
    <row r="157" spans="2:9" x14ac:dyDescent="0.35">
      <c r="B157" s="61"/>
      <c r="C157" s="61"/>
      <c r="D157" s="61"/>
      <c r="E157" s="61"/>
      <c r="F157" s="61"/>
      <c r="G157" s="61"/>
      <c r="H157" s="61"/>
      <c r="I157" s="61"/>
    </row>
    <row r="158" spans="2:9" x14ac:dyDescent="0.35">
      <c r="B158" s="61"/>
      <c r="C158" s="61"/>
      <c r="D158" s="61"/>
      <c r="E158" s="61"/>
      <c r="F158" s="61"/>
      <c r="G158" s="61"/>
      <c r="H158" s="61"/>
      <c r="I158" s="61"/>
    </row>
    <row r="159" spans="2:9" x14ac:dyDescent="0.35">
      <c r="B159" s="61"/>
      <c r="C159" s="61"/>
      <c r="D159" s="61"/>
      <c r="E159" s="61"/>
      <c r="F159" s="61"/>
      <c r="G159" s="61"/>
      <c r="H159" s="61"/>
      <c r="I159" s="61"/>
    </row>
    <row r="160" spans="2:9" x14ac:dyDescent="0.35">
      <c r="B160" s="61"/>
      <c r="C160" s="61"/>
      <c r="D160" s="61"/>
      <c r="E160" s="61"/>
      <c r="F160" s="61"/>
      <c r="G160" s="61"/>
      <c r="H160" s="61"/>
      <c r="I160" s="61"/>
    </row>
    <row r="161" spans="2:9" x14ac:dyDescent="0.35">
      <c r="B161" s="61"/>
      <c r="C161" s="61"/>
      <c r="D161" s="61"/>
      <c r="E161" s="61"/>
      <c r="F161" s="61"/>
      <c r="G161" s="61"/>
      <c r="H161" s="61"/>
      <c r="I161" s="61"/>
    </row>
    <row r="162" spans="2:9" x14ac:dyDescent="0.35">
      <c r="B162" s="61"/>
      <c r="C162" s="61"/>
      <c r="D162" s="61"/>
      <c r="E162" s="61"/>
      <c r="F162" s="61"/>
      <c r="G162" s="61"/>
      <c r="H162" s="61"/>
      <c r="I162" s="61"/>
    </row>
    <row r="163" spans="2:9" x14ac:dyDescent="0.35">
      <c r="B163" s="61"/>
      <c r="C163" s="61"/>
      <c r="D163" s="61"/>
      <c r="E163" s="61"/>
      <c r="F163" s="61"/>
      <c r="G163" s="61"/>
      <c r="H163" s="61"/>
      <c r="I163" s="61"/>
    </row>
    <row r="164" spans="2:9" x14ac:dyDescent="0.35">
      <c r="B164" s="61"/>
      <c r="C164" s="61"/>
      <c r="D164" s="61"/>
      <c r="E164" s="61"/>
      <c r="F164" s="61"/>
      <c r="G164" s="61"/>
      <c r="H164" s="61"/>
      <c r="I164" s="61"/>
    </row>
    <row r="165" spans="2:9" x14ac:dyDescent="0.35">
      <c r="B165" s="61"/>
      <c r="C165" s="61"/>
      <c r="D165" s="61"/>
      <c r="E165" s="61"/>
      <c r="F165" s="61"/>
      <c r="G165" s="61"/>
      <c r="H165" s="61"/>
      <c r="I165" s="61"/>
    </row>
    <row r="166" spans="2:9" x14ac:dyDescent="0.35">
      <c r="B166" s="61"/>
      <c r="C166" s="61"/>
      <c r="D166" s="61"/>
      <c r="E166" s="61"/>
      <c r="F166" s="61"/>
      <c r="G166" s="61"/>
      <c r="H166" s="61"/>
      <c r="I166" s="61"/>
    </row>
    <row r="167" spans="2:9" x14ac:dyDescent="0.35">
      <c r="B167" s="61"/>
      <c r="C167" s="61"/>
      <c r="D167" s="61"/>
      <c r="E167" s="61"/>
      <c r="F167" s="61"/>
      <c r="G167" s="61"/>
      <c r="H167" s="61"/>
      <c r="I167" s="61"/>
    </row>
    <row r="168" spans="2:9" x14ac:dyDescent="0.35">
      <c r="B168" s="61"/>
      <c r="C168" s="61"/>
      <c r="D168" s="61"/>
      <c r="E168" s="61"/>
      <c r="F168" s="61"/>
      <c r="G168" s="61"/>
      <c r="H168" s="61"/>
      <c r="I168" s="61"/>
    </row>
    <row r="169" spans="2:9" x14ac:dyDescent="0.35">
      <c r="B169" s="61"/>
      <c r="C169" s="61"/>
      <c r="D169" s="61"/>
      <c r="E169" s="61"/>
      <c r="F169" s="61"/>
      <c r="G169" s="61"/>
      <c r="H169" s="61"/>
      <c r="I169" s="61"/>
    </row>
    <row r="170" spans="2:9" x14ac:dyDescent="0.35">
      <c r="B170" s="61"/>
      <c r="C170" s="61"/>
      <c r="D170" s="61"/>
      <c r="E170" s="61"/>
      <c r="F170" s="61"/>
      <c r="G170" s="61"/>
      <c r="H170" s="61"/>
      <c r="I170" s="61"/>
    </row>
    <row r="171" spans="2:9" x14ac:dyDescent="0.35">
      <c r="B171" s="61"/>
      <c r="C171" s="61"/>
      <c r="D171" s="61"/>
      <c r="E171" s="61"/>
      <c r="F171" s="61"/>
      <c r="G171" s="61"/>
      <c r="H171" s="61"/>
      <c r="I171" s="61"/>
    </row>
    <row r="172" spans="2:9" x14ac:dyDescent="0.35">
      <c r="B172" s="61"/>
      <c r="C172" s="61"/>
      <c r="D172" s="61"/>
      <c r="E172" s="61"/>
      <c r="F172" s="61"/>
      <c r="G172" s="61"/>
      <c r="H172" s="61"/>
      <c r="I172" s="61"/>
    </row>
    <row r="173" spans="2:9" x14ac:dyDescent="0.35">
      <c r="B173" s="61"/>
      <c r="C173" s="61"/>
      <c r="D173" s="61"/>
      <c r="E173" s="61"/>
      <c r="F173" s="61"/>
      <c r="G173" s="61"/>
      <c r="H173" s="61"/>
      <c r="I173" s="61"/>
    </row>
    <row r="174" spans="2:9" x14ac:dyDescent="0.35">
      <c r="B174" s="61"/>
      <c r="C174" s="61"/>
      <c r="D174" s="61"/>
      <c r="E174" s="61"/>
      <c r="F174" s="61"/>
      <c r="G174" s="61"/>
      <c r="H174" s="61"/>
      <c r="I174" s="61"/>
    </row>
    <row r="175" spans="2:9" x14ac:dyDescent="0.35">
      <c r="B175" s="61"/>
      <c r="C175" s="61"/>
      <c r="D175" s="61"/>
      <c r="E175" s="61"/>
      <c r="F175" s="61"/>
      <c r="G175" s="61"/>
      <c r="H175" s="61"/>
      <c r="I175" s="61"/>
    </row>
    <row r="176" spans="2:9" x14ac:dyDescent="0.35">
      <c r="B176" s="61"/>
      <c r="C176" s="61"/>
      <c r="D176" s="61"/>
      <c r="E176" s="61"/>
      <c r="F176" s="61"/>
      <c r="G176" s="61"/>
      <c r="H176" s="61"/>
      <c r="I176" s="61"/>
    </row>
    <row r="177" spans="2:9" x14ac:dyDescent="0.35">
      <c r="B177" s="61"/>
      <c r="C177" s="61"/>
      <c r="D177" s="61"/>
      <c r="E177" s="61"/>
      <c r="F177" s="61"/>
      <c r="G177" s="61"/>
      <c r="H177" s="61"/>
      <c r="I177" s="61"/>
    </row>
    <row r="178" spans="2:9" x14ac:dyDescent="0.35">
      <c r="B178" s="61"/>
      <c r="C178" s="61"/>
      <c r="D178" s="61"/>
      <c r="E178" s="61"/>
      <c r="F178" s="61"/>
      <c r="G178" s="61"/>
      <c r="H178" s="61"/>
      <c r="I178" s="61"/>
    </row>
    <row r="179" spans="2:9" x14ac:dyDescent="0.35">
      <c r="B179" s="61"/>
      <c r="C179" s="61"/>
      <c r="D179" s="61"/>
      <c r="E179" s="61"/>
      <c r="F179" s="61"/>
      <c r="G179" s="61"/>
      <c r="H179" s="61"/>
      <c r="I179" s="61"/>
    </row>
    <row r="180" spans="2:9" x14ac:dyDescent="0.35">
      <c r="B180" s="61"/>
      <c r="C180" s="61"/>
      <c r="D180" s="61"/>
      <c r="E180" s="61"/>
      <c r="F180" s="61"/>
      <c r="G180" s="61"/>
      <c r="H180" s="61"/>
      <c r="I180" s="61"/>
    </row>
    <row r="181" spans="2:9" x14ac:dyDescent="0.35">
      <c r="B181" s="61"/>
      <c r="C181" s="61"/>
      <c r="D181" s="61"/>
      <c r="E181" s="61"/>
      <c r="F181" s="61"/>
      <c r="G181" s="61"/>
      <c r="H181" s="61"/>
      <c r="I181" s="61"/>
    </row>
    <row r="182" spans="2:9" x14ac:dyDescent="0.35">
      <c r="B182" s="61"/>
      <c r="C182" s="61"/>
      <c r="D182" s="61"/>
      <c r="E182" s="61"/>
      <c r="F182" s="61"/>
      <c r="G182" s="61"/>
      <c r="H182" s="61"/>
      <c r="I182" s="61"/>
    </row>
    <row r="183" spans="2:9" x14ac:dyDescent="0.35">
      <c r="B183" s="61"/>
      <c r="C183" s="61"/>
      <c r="D183" s="61"/>
      <c r="E183" s="61"/>
      <c r="F183" s="61"/>
      <c r="G183" s="61"/>
      <c r="H183" s="61"/>
      <c r="I183" s="61"/>
    </row>
    <row r="184" spans="2:9" x14ac:dyDescent="0.35">
      <c r="B184" s="61"/>
      <c r="C184" s="61"/>
      <c r="D184" s="61"/>
      <c r="E184" s="61"/>
      <c r="F184" s="61"/>
      <c r="G184" s="61"/>
      <c r="H184" s="61"/>
      <c r="I184" s="61"/>
    </row>
    <row r="185" spans="2:9" x14ac:dyDescent="0.35">
      <c r="B185" s="61"/>
      <c r="C185" s="61"/>
      <c r="D185" s="61"/>
      <c r="E185" s="61"/>
      <c r="F185" s="61"/>
      <c r="G185" s="61"/>
      <c r="H185" s="61"/>
      <c r="I185" s="61"/>
    </row>
    <row r="186" spans="2:9" x14ac:dyDescent="0.35">
      <c r="B186" s="61"/>
      <c r="C186" s="61"/>
      <c r="D186" s="61"/>
      <c r="E186" s="61"/>
      <c r="F186" s="61"/>
      <c r="G186" s="61"/>
      <c r="H186" s="61"/>
      <c r="I186" s="61"/>
    </row>
    <row r="187" spans="2:9" x14ac:dyDescent="0.35">
      <c r="B187" s="61"/>
      <c r="C187" s="61"/>
      <c r="D187" s="61"/>
      <c r="E187" s="61"/>
      <c r="F187" s="61"/>
      <c r="G187" s="61"/>
      <c r="H187" s="61"/>
      <c r="I187" s="61"/>
    </row>
    <row r="188" spans="2:9" x14ac:dyDescent="0.35">
      <c r="B188" s="61"/>
      <c r="C188" s="61"/>
      <c r="D188" s="61"/>
      <c r="E188" s="61"/>
      <c r="F188" s="61"/>
      <c r="G188" s="61"/>
      <c r="H188" s="61"/>
      <c r="I188" s="61"/>
    </row>
    <row r="189" spans="2:9" x14ac:dyDescent="0.35">
      <c r="B189" s="61"/>
      <c r="C189" s="61"/>
      <c r="D189" s="61"/>
      <c r="E189" s="61"/>
      <c r="F189" s="61"/>
      <c r="G189" s="61"/>
      <c r="H189" s="61"/>
      <c r="I189" s="61"/>
    </row>
    <row r="190" spans="2:9" x14ac:dyDescent="0.35">
      <c r="B190" s="61"/>
      <c r="C190" s="61"/>
      <c r="D190" s="61"/>
      <c r="E190" s="61"/>
      <c r="F190" s="61"/>
      <c r="G190" s="61"/>
      <c r="H190" s="61"/>
      <c r="I190" s="61"/>
    </row>
    <row r="191" spans="2:9" x14ac:dyDescent="0.35">
      <c r="B191" s="61"/>
      <c r="C191" s="61"/>
      <c r="D191" s="61"/>
      <c r="E191" s="61"/>
      <c r="F191" s="61"/>
      <c r="G191" s="61"/>
      <c r="H191" s="61"/>
      <c r="I191" s="61"/>
    </row>
    <row r="192" spans="2:9" x14ac:dyDescent="0.35">
      <c r="B192" s="61"/>
      <c r="C192" s="61"/>
      <c r="D192" s="61"/>
      <c r="E192" s="61"/>
      <c r="F192" s="61"/>
      <c r="G192" s="61"/>
      <c r="H192" s="61"/>
      <c r="I192" s="61"/>
    </row>
    <row r="193" spans="2:9" x14ac:dyDescent="0.35">
      <c r="B193" s="61"/>
      <c r="C193" s="61"/>
      <c r="D193" s="61"/>
      <c r="E193" s="61"/>
      <c r="F193" s="61"/>
      <c r="G193" s="61"/>
      <c r="H193" s="61"/>
      <c r="I193" s="61"/>
    </row>
    <row r="194" spans="2:9" x14ac:dyDescent="0.35">
      <c r="B194" s="61"/>
      <c r="C194" s="61"/>
      <c r="D194" s="61"/>
      <c r="E194" s="61"/>
      <c r="F194" s="61"/>
      <c r="G194" s="61"/>
      <c r="H194" s="61"/>
      <c r="I194" s="61"/>
    </row>
    <row r="195" spans="2:9" x14ac:dyDescent="0.35">
      <c r="B195" s="61"/>
      <c r="C195" s="61"/>
      <c r="D195" s="61"/>
      <c r="E195" s="61"/>
      <c r="F195" s="61"/>
      <c r="G195" s="61"/>
      <c r="H195" s="61"/>
      <c r="I195" s="61"/>
    </row>
    <row r="196" spans="2:9" x14ac:dyDescent="0.35">
      <c r="B196" s="61"/>
      <c r="C196" s="61"/>
      <c r="D196" s="61"/>
      <c r="E196" s="61"/>
      <c r="F196" s="61"/>
      <c r="G196" s="61"/>
      <c r="H196" s="61"/>
      <c r="I196" s="61"/>
    </row>
    <row r="197" spans="2:9" x14ac:dyDescent="0.35">
      <c r="B197" s="61"/>
      <c r="C197" s="61"/>
      <c r="D197" s="61"/>
      <c r="E197" s="61"/>
      <c r="F197" s="61"/>
      <c r="G197" s="61"/>
      <c r="H197" s="61"/>
      <c r="I197" s="61"/>
    </row>
    <row r="198" spans="2:9" x14ac:dyDescent="0.35">
      <c r="B198" s="61"/>
      <c r="C198" s="61"/>
      <c r="D198" s="61"/>
      <c r="E198" s="61"/>
      <c r="F198" s="61"/>
      <c r="G198" s="61"/>
      <c r="H198" s="61"/>
      <c r="I198" s="61"/>
    </row>
    <row r="199" spans="2:9" x14ac:dyDescent="0.35">
      <c r="B199" s="61"/>
      <c r="C199" s="61"/>
      <c r="D199" s="61"/>
      <c r="E199" s="61"/>
      <c r="F199" s="61"/>
      <c r="G199" s="61"/>
      <c r="H199" s="61"/>
      <c r="I199" s="61"/>
    </row>
    <row r="200" spans="2:9" x14ac:dyDescent="0.35">
      <c r="B200" s="61"/>
      <c r="C200" s="61"/>
      <c r="D200" s="61"/>
      <c r="E200" s="61"/>
      <c r="F200" s="61"/>
      <c r="G200" s="61"/>
      <c r="H200" s="61"/>
      <c r="I200" s="61"/>
    </row>
    <row r="201" spans="2:9" x14ac:dyDescent="0.35">
      <c r="B201" s="61"/>
      <c r="C201" s="61"/>
      <c r="D201" s="61"/>
      <c r="E201" s="61"/>
      <c r="F201" s="61"/>
      <c r="G201" s="61"/>
      <c r="H201" s="61"/>
      <c r="I201" s="61"/>
    </row>
    <row r="202" spans="2:9" x14ac:dyDescent="0.35">
      <c r="B202" s="61"/>
      <c r="C202" s="61"/>
      <c r="D202" s="61"/>
      <c r="E202" s="61"/>
      <c r="F202" s="61"/>
      <c r="G202" s="61"/>
      <c r="H202" s="61"/>
      <c r="I202" s="61"/>
    </row>
    <row r="203" spans="2:9" x14ac:dyDescent="0.35">
      <c r="B203" s="61"/>
      <c r="C203" s="61"/>
      <c r="D203" s="61"/>
      <c r="E203" s="61"/>
      <c r="F203" s="61"/>
      <c r="G203" s="61"/>
      <c r="H203" s="61"/>
      <c r="I203" s="61"/>
    </row>
    <row r="204" spans="2:9" x14ac:dyDescent="0.35">
      <c r="B204" s="61"/>
      <c r="C204" s="61"/>
      <c r="D204" s="61"/>
      <c r="E204" s="61"/>
      <c r="F204" s="61"/>
      <c r="G204" s="61"/>
      <c r="H204" s="61"/>
      <c r="I204" s="61"/>
    </row>
    <row r="205" spans="2:9" x14ac:dyDescent="0.35">
      <c r="B205" s="61"/>
      <c r="C205" s="61"/>
      <c r="D205" s="61"/>
      <c r="E205" s="61"/>
      <c r="F205" s="61"/>
      <c r="G205" s="61"/>
      <c r="H205" s="61"/>
      <c r="I205" s="61"/>
    </row>
    <row r="206" spans="2:9" x14ac:dyDescent="0.35">
      <c r="B206" s="61"/>
      <c r="C206" s="61"/>
      <c r="D206" s="61"/>
      <c r="E206" s="61"/>
      <c r="F206" s="61"/>
      <c r="G206" s="61"/>
      <c r="H206" s="61"/>
      <c r="I206" s="61"/>
    </row>
    <row r="207" spans="2:9" x14ac:dyDescent="0.35">
      <c r="B207" s="61"/>
      <c r="C207" s="61"/>
      <c r="D207" s="61"/>
      <c r="E207" s="61"/>
      <c r="F207" s="61"/>
      <c r="G207" s="61"/>
      <c r="H207" s="61"/>
      <c r="I207" s="61"/>
    </row>
    <row r="208" spans="2:9" x14ac:dyDescent="0.35">
      <c r="B208" s="61"/>
      <c r="C208" s="61"/>
      <c r="D208" s="61"/>
      <c r="E208" s="61"/>
      <c r="F208" s="61"/>
      <c r="G208" s="61"/>
      <c r="H208" s="61"/>
      <c r="I208" s="61"/>
    </row>
    <row r="209" spans="2:9" x14ac:dyDescent="0.35">
      <c r="B209" s="61"/>
      <c r="C209" s="61"/>
      <c r="D209" s="61"/>
      <c r="E209" s="61"/>
      <c r="F209" s="61"/>
      <c r="G209" s="61"/>
      <c r="H209" s="61"/>
      <c r="I209" s="61"/>
    </row>
    <row r="210" spans="2:9" x14ac:dyDescent="0.35">
      <c r="B210" s="61"/>
      <c r="C210" s="61"/>
      <c r="D210" s="61"/>
      <c r="E210" s="61"/>
      <c r="F210" s="61"/>
      <c r="G210" s="61"/>
      <c r="H210" s="61"/>
      <c r="I210" s="61"/>
    </row>
    <row r="211" spans="2:9" x14ac:dyDescent="0.35">
      <c r="B211" s="61"/>
      <c r="C211" s="61"/>
      <c r="D211" s="61"/>
      <c r="E211" s="61"/>
      <c r="F211" s="61"/>
      <c r="G211" s="61"/>
      <c r="H211" s="61"/>
      <c r="I211" s="61"/>
    </row>
    <row r="212" spans="2:9" x14ac:dyDescent="0.35">
      <c r="B212" s="61"/>
      <c r="C212" s="61"/>
      <c r="D212" s="61"/>
      <c r="E212" s="61"/>
      <c r="F212" s="61"/>
      <c r="G212" s="61"/>
      <c r="H212" s="61"/>
      <c r="I212" s="61"/>
    </row>
    <row r="213" spans="2:9" x14ac:dyDescent="0.35">
      <c r="B213" s="61"/>
      <c r="C213" s="61"/>
      <c r="D213" s="61"/>
      <c r="E213" s="61"/>
      <c r="F213" s="61"/>
      <c r="G213" s="61"/>
      <c r="H213" s="61"/>
      <c r="I213" s="61"/>
    </row>
    <row r="214" spans="2:9" x14ac:dyDescent="0.35">
      <c r="B214" s="61"/>
      <c r="C214" s="61"/>
      <c r="D214" s="61"/>
      <c r="E214" s="61"/>
      <c r="F214" s="61"/>
      <c r="G214" s="61"/>
      <c r="H214" s="61"/>
      <c r="I214" s="61"/>
    </row>
    <row r="215" spans="2:9" x14ac:dyDescent="0.35">
      <c r="B215" s="61"/>
      <c r="C215" s="61"/>
      <c r="D215" s="61"/>
      <c r="E215" s="61"/>
      <c r="F215" s="61"/>
      <c r="G215" s="61"/>
      <c r="H215" s="61"/>
      <c r="I215" s="61"/>
    </row>
    <row r="216" spans="2:9" x14ac:dyDescent="0.35">
      <c r="B216" s="61"/>
      <c r="C216" s="61"/>
      <c r="D216" s="61"/>
      <c r="E216" s="61"/>
      <c r="F216" s="61"/>
      <c r="G216" s="61"/>
      <c r="H216" s="61"/>
      <c r="I216" s="61"/>
    </row>
    <row r="217" spans="2:9" x14ac:dyDescent="0.35">
      <c r="B217" s="61"/>
      <c r="C217" s="61"/>
      <c r="D217" s="61"/>
      <c r="E217" s="61"/>
      <c r="F217" s="61"/>
      <c r="G217" s="61"/>
      <c r="H217" s="61"/>
      <c r="I217" s="61"/>
    </row>
    <row r="218" spans="2:9" x14ac:dyDescent="0.35">
      <c r="B218" s="61"/>
      <c r="C218" s="61"/>
      <c r="D218" s="61"/>
      <c r="E218" s="61"/>
      <c r="F218" s="61"/>
      <c r="G218" s="61"/>
      <c r="H218" s="61"/>
      <c r="I218" s="61"/>
    </row>
    <row r="219" spans="2:9" x14ac:dyDescent="0.35">
      <c r="B219" s="61"/>
      <c r="C219" s="61"/>
      <c r="D219" s="61"/>
      <c r="E219" s="61"/>
      <c r="F219" s="61"/>
      <c r="G219" s="61"/>
      <c r="H219" s="61"/>
      <c r="I219" s="61"/>
    </row>
    <row r="220" spans="2:9" x14ac:dyDescent="0.35">
      <c r="B220" s="61"/>
      <c r="C220" s="61"/>
      <c r="D220" s="61"/>
      <c r="E220" s="61"/>
      <c r="F220" s="61"/>
      <c r="G220" s="61"/>
      <c r="H220" s="61"/>
      <c r="I220" s="61"/>
    </row>
    <row r="221" spans="2:9" x14ac:dyDescent="0.35">
      <c r="B221" s="61"/>
      <c r="C221" s="61"/>
      <c r="D221" s="61"/>
      <c r="E221" s="61"/>
      <c r="F221" s="61"/>
      <c r="G221" s="61"/>
      <c r="H221" s="61"/>
      <c r="I221" s="61"/>
    </row>
    <row r="222" spans="2:9" x14ac:dyDescent="0.35">
      <c r="B222" s="61"/>
      <c r="C222" s="61"/>
      <c r="D222" s="61"/>
      <c r="E222" s="61"/>
      <c r="F222" s="61"/>
      <c r="G222" s="61"/>
      <c r="H222" s="61"/>
      <c r="I222" s="61"/>
    </row>
    <row r="223" spans="2:9" x14ac:dyDescent="0.35">
      <c r="B223" s="61"/>
      <c r="C223" s="61"/>
      <c r="D223" s="61"/>
      <c r="E223" s="61"/>
      <c r="F223" s="61"/>
      <c r="G223" s="61"/>
      <c r="H223" s="61"/>
      <c r="I223" s="61"/>
    </row>
    <row r="224" spans="2:9" x14ac:dyDescent="0.35">
      <c r="B224" s="61"/>
      <c r="C224" s="61"/>
      <c r="D224" s="61"/>
      <c r="E224" s="61"/>
      <c r="F224" s="61"/>
      <c r="G224" s="61"/>
      <c r="H224" s="61"/>
      <c r="I224" s="61"/>
    </row>
    <row r="225" spans="2:9" x14ac:dyDescent="0.35">
      <c r="B225" s="61"/>
      <c r="C225" s="61"/>
      <c r="D225" s="61"/>
      <c r="E225" s="61"/>
      <c r="F225" s="61"/>
      <c r="G225" s="61"/>
      <c r="H225" s="61"/>
      <c r="I225" s="61"/>
    </row>
    <row r="226" spans="2:9" x14ac:dyDescent="0.35">
      <c r="B226" s="61"/>
      <c r="C226" s="61"/>
      <c r="D226" s="61"/>
      <c r="E226" s="61"/>
      <c r="F226" s="61"/>
      <c r="G226" s="61"/>
      <c r="H226" s="61"/>
      <c r="I226" s="61"/>
    </row>
    <row r="227" spans="2:9" x14ac:dyDescent="0.35">
      <c r="B227" s="61"/>
      <c r="C227" s="61"/>
      <c r="D227" s="61"/>
      <c r="E227" s="61"/>
      <c r="F227" s="61"/>
      <c r="G227" s="61"/>
      <c r="H227" s="61"/>
      <c r="I227" s="61"/>
    </row>
    <row r="228" spans="2:9" x14ac:dyDescent="0.35">
      <c r="B228" s="61"/>
      <c r="C228" s="61"/>
      <c r="D228" s="61"/>
      <c r="E228" s="61"/>
      <c r="F228" s="61"/>
      <c r="G228" s="61"/>
      <c r="H228" s="61"/>
      <c r="I228" s="61"/>
    </row>
    <row r="229" spans="2:9" x14ac:dyDescent="0.35">
      <c r="B229" s="61"/>
      <c r="C229" s="61"/>
      <c r="D229" s="61"/>
      <c r="E229" s="61"/>
      <c r="F229" s="61"/>
      <c r="G229" s="61"/>
      <c r="H229" s="61"/>
      <c r="I229" s="61"/>
    </row>
    <row r="230" spans="2:9" x14ac:dyDescent="0.35">
      <c r="B230" s="61"/>
      <c r="C230" s="61"/>
      <c r="D230" s="61"/>
      <c r="E230" s="61"/>
      <c r="F230" s="61"/>
      <c r="G230" s="61"/>
      <c r="H230" s="61"/>
      <c r="I230" s="61"/>
    </row>
    <row r="231" spans="2:9" x14ac:dyDescent="0.35">
      <c r="B231" s="61"/>
      <c r="C231" s="61"/>
      <c r="D231" s="61"/>
      <c r="E231" s="61"/>
      <c r="F231" s="61"/>
      <c r="G231" s="61"/>
      <c r="H231" s="61"/>
      <c r="I231" s="61"/>
    </row>
    <row r="232" spans="2:9" x14ac:dyDescent="0.35">
      <c r="B232" s="61"/>
      <c r="C232" s="61"/>
      <c r="D232" s="61"/>
      <c r="E232" s="61"/>
      <c r="F232" s="61"/>
      <c r="G232" s="61"/>
      <c r="H232" s="61"/>
      <c r="I232" s="61"/>
    </row>
    <row r="233" spans="2:9" x14ac:dyDescent="0.35">
      <c r="B233" s="61"/>
      <c r="C233" s="61"/>
      <c r="D233" s="61"/>
      <c r="E233" s="61"/>
      <c r="F233" s="61"/>
      <c r="G233" s="61"/>
      <c r="H233" s="61"/>
      <c r="I233" s="61"/>
    </row>
    <row r="234" spans="2:9" x14ac:dyDescent="0.35">
      <c r="B234" s="61"/>
      <c r="C234" s="61"/>
      <c r="D234" s="61"/>
      <c r="E234" s="61"/>
      <c r="F234" s="61"/>
      <c r="G234" s="61"/>
      <c r="H234" s="61"/>
      <c r="I234" s="61"/>
    </row>
    <row r="235" spans="2:9" x14ac:dyDescent="0.35">
      <c r="B235" s="61"/>
      <c r="C235" s="61"/>
      <c r="D235" s="61"/>
      <c r="E235" s="61"/>
      <c r="F235" s="61"/>
      <c r="G235" s="61"/>
      <c r="H235" s="61"/>
      <c r="I235" s="61"/>
    </row>
    <row r="236" spans="2:9" x14ac:dyDescent="0.35">
      <c r="B236" s="61"/>
      <c r="C236" s="61"/>
      <c r="D236" s="61"/>
      <c r="E236" s="61"/>
      <c r="F236" s="61"/>
      <c r="G236" s="61"/>
      <c r="H236" s="61"/>
      <c r="I236" s="61"/>
    </row>
    <row r="237" spans="2:9" x14ac:dyDescent="0.35">
      <c r="B237" s="61"/>
      <c r="C237" s="61"/>
      <c r="D237" s="61"/>
      <c r="E237" s="61"/>
      <c r="F237" s="61"/>
      <c r="G237" s="61"/>
      <c r="H237" s="61"/>
      <c r="I237" s="61"/>
    </row>
    <row r="238" spans="2:9" x14ac:dyDescent="0.35">
      <c r="B238" s="61"/>
      <c r="C238" s="61"/>
      <c r="D238" s="61"/>
      <c r="E238" s="61"/>
      <c r="F238" s="61"/>
      <c r="G238" s="61"/>
      <c r="H238" s="61"/>
      <c r="I238" s="61"/>
    </row>
    <row r="239" spans="2:9" x14ac:dyDescent="0.35">
      <c r="B239" s="61"/>
      <c r="C239" s="61"/>
      <c r="D239" s="61"/>
      <c r="E239" s="61"/>
      <c r="F239" s="61"/>
      <c r="G239" s="61"/>
      <c r="H239" s="61"/>
      <c r="I239" s="61"/>
    </row>
    <row r="240" spans="2:9" x14ac:dyDescent="0.35">
      <c r="B240" s="61"/>
      <c r="C240" s="61"/>
      <c r="D240" s="61"/>
      <c r="E240" s="61"/>
      <c r="F240" s="61"/>
      <c r="G240" s="61"/>
      <c r="H240" s="61"/>
      <c r="I240" s="61"/>
    </row>
    <row r="241" spans="2:9" x14ac:dyDescent="0.35">
      <c r="B241" s="61"/>
      <c r="C241" s="61"/>
      <c r="D241" s="61"/>
      <c r="E241" s="61"/>
      <c r="F241" s="61"/>
      <c r="G241" s="61"/>
      <c r="H241" s="61"/>
      <c r="I241" s="61"/>
    </row>
    <row r="242" spans="2:9" x14ac:dyDescent="0.35">
      <c r="B242" s="61"/>
      <c r="C242" s="61"/>
      <c r="D242" s="61"/>
      <c r="E242" s="61"/>
      <c r="F242" s="61"/>
      <c r="G242" s="61"/>
      <c r="H242" s="61"/>
      <c r="I242" s="61"/>
    </row>
    <row r="243" spans="2:9" x14ac:dyDescent="0.35">
      <c r="B243" s="61"/>
      <c r="C243" s="61"/>
      <c r="D243" s="61"/>
      <c r="E243" s="61"/>
      <c r="F243" s="61"/>
      <c r="G243" s="61"/>
      <c r="H243" s="61"/>
      <c r="I243" s="61"/>
    </row>
    <row r="244" spans="2:9" x14ac:dyDescent="0.35">
      <c r="B244" s="61"/>
      <c r="C244" s="61"/>
      <c r="D244" s="61"/>
      <c r="E244" s="61"/>
      <c r="F244" s="61"/>
      <c r="G244" s="61"/>
      <c r="H244" s="61"/>
      <c r="I244" s="61"/>
    </row>
    <row r="245" spans="2:9" x14ac:dyDescent="0.35">
      <c r="B245" s="61"/>
      <c r="C245" s="61"/>
      <c r="D245" s="61"/>
      <c r="E245" s="61"/>
      <c r="F245" s="61"/>
      <c r="G245" s="61"/>
      <c r="H245" s="61"/>
      <c r="I245" s="61"/>
    </row>
    <row r="246" spans="2:9" x14ac:dyDescent="0.35">
      <c r="B246" s="61"/>
      <c r="C246" s="61"/>
      <c r="D246" s="61"/>
      <c r="E246" s="61"/>
      <c r="F246" s="61"/>
      <c r="G246" s="61"/>
      <c r="H246" s="61"/>
      <c r="I246" s="61"/>
    </row>
    <row r="247" spans="2:9" x14ac:dyDescent="0.35">
      <c r="B247" s="61"/>
      <c r="C247" s="61"/>
      <c r="D247" s="61"/>
      <c r="E247" s="61"/>
      <c r="F247" s="61"/>
      <c r="G247" s="61"/>
      <c r="H247" s="61"/>
      <c r="I247" s="61"/>
    </row>
    <row r="248" spans="2:9" x14ac:dyDescent="0.35">
      <c r="B248" s="61"/>
      <c r="C248" s="61"/>
      <c r="D248" s="61"/>
      <c r="E248" s="61"/>
      <c r="F248" s="61"/>
      <c r="G248" s="61"/>
      <c r="H248" s="61"/>
      <c r="I248" s="61"/>
    </row>
    <row r="249" spans="2:9" x14ac:dyDescent="0.35">
      <c r="B249" s="61"/>
      <c r="C249" s="61"/>
      <c r="D249" s="61"/>
      <c r="E249" s="61"/>
      <c r="F249" s="61"/>
      <c r="G249" s="61"/>
      <c r="H249" s="61"/>
      <c r="I249" s="61"/>
    </row>
    <row r="250" spans="2:9" x14ac:dyDescent="0.35">
      <c r="B250" s="61"/>
      <c r="C250" s="61"/>
      <c r="D250" s="61"/>
      <c r="E250" s="61"/>
      <c r="F250" s="61"/>
      <c r="G250" s="61"/>
      <c r="H250" s="61"/>
      <c r="I250" s="61"/>
    </row>
    <row r="251" spans="2:9" x14ac:dyDescent="0.35">
      <c r="B251" s="61"/>
      <c r="C251" s="61"/>
      <c r="D251" s="61"/>
      <c r="E251" s="61"/>
      <c r="F251" s="61"/>
      <c r="G251" s="61"/>
      <c r="H251" s="61"/>
      <c r="I251" s="61"/>
    </row>
    <row r="252" spans="2:9" x14ac:dyDescent="0.35">
      <c r="B252" s="61"/>
      <c r="C252" s="61"/>
      <c r="D252" s="61"/>
      <c r="E252" s="61"/>
      <c r="F252" s="61"/>
      <c r="G252" s="61"/>
      <c r="H252" s="61"/>
      <c r="I252" s="61"/>
    </row>
    <row r="253" spans="2:9" x14ac:dyDescent="0.35">
      <c r="B253" s="61"/>
      <c r="C253" s="61"/>
      <c r="D253" s="61"/>
      <c r="E253" s="61"/>
      <c r="F253" s="61"/>
      <c r="G253" s="61"/>
      <c r="H253" s="61"/>
      <c r="I253" s="61"/>
    </row>
    <row r="254" spans="2:9" x14ac:dyDescent="0.35">
      <c r="B254" s="61"/>
      <c r="C254" s="61"/>
      <c r="D254" s="61"/>
      <c r="E254" s="61"/>
      <c r="F254" s="61"/>
      <c r="G254" s="61"/>
      <c r="H254" s="61"/>
      <c r="I254" s="61"/>
    </row>
    <row r="255" spans="2:9" x14ac:dyDescent="0.35">
      <c r="B255" s="61"/>
      <c r="C255" s="61"/>
      <c r="D255" s="61"/>
      <c r="E255" s="61"/>
      <c r="F255" s="61"/>
      <c r="G255" s="61"/>
      <c r="H255" s="61"/>
      <c r="I255" s="61"/>
    </row>
    <row r="256" spans="2:9" x14ac:dyDescent="0.35">
      <c r="B256" s="61"/>
      <c r="C256" s="61"/>
      <c r="D256" s="61"/>
      <c r="E256" s="61"/>
      <c r="F256" s="61"/>
      <c r="G256" s="61"/>
      <c r="H256" s="61"/>
      <c r="I256" s="61"/>
    </row>
    <row r="257" spans="2:9" x14ac:dyDescent="0.35">
      <c r="B257" s="61"/>
      <c r="C257" s="61"/>
      <c r="D257" s="61"/>
      <c r="E257" s="61"/>
      <c r="F257" s="61"/>
      <c r="G257" s="61"/>
      <c r="H257" s="61"/>
      <c r="I257" s="61"/>
    </row>
    <row r="258" spans="2:9" x14ac:dyDescent="0.35">
      <c r="B258" s="61"/>
      <c r="C258" s="61"/>
      <c r="D258" s="61"/>
      <c r="E258" s="61"/>
      <c r="F258" s="61"/>
      <c r="G258" s="61"/>
      <c r="H258" s="61"/>
      <c r="I258" s="61"/>
    </row>
    <row r="259" spans="2:9" x14ac:dyDescent="0.35">
      <c r="B259" s="61"/>
      <c r="C259" s="61"/>
      <c r="D259" s="61"/>
      <c r="E259" s="61"/>
      <c r="F259" s="61"/>
      <c r="G259" s="61"/>
      <c r="H259" s="61"/>
      <c r="I259" s="61"/>
    </row>
    <row r="260" spans="2:9" x14ac:dyDescent="0.35">
      <c r="B260" s="61"/>
      <c r="C260" s="61"/>
      <c r="D260" s="61"/>
      <c r="E260" s="61"/>
      <c r="F260" s="61"/>
      <c r="G260" s="61"/>
      <c r="H260" s="61"/>
      <c r="I260" s="61"/>
    </row>
    <row r="261" spans="2:9" x14ac:dyDescent="0.35">
      <c r="B261" s="61"/>
      <c r="C261" s="61"/>
      <c r="D261" s="61"/>
      <c r="E261" s="61"/>
      <c r="F261" s="61"/>
      <c r="G261" s="61"/>
      <c r="H261" s="61"/>
      <c r="I261" s="61"/>
    </row>
    <row r="262" spans="2:9" x14ac:dyDescent="0.35">
      <c r="B262" s="61"/>
      <c r="C262" s="61"/>
      <c r="D262" s="61"/>
      <c r="E262" s="61"/>
      <c r="F262" s="61"/>
      <c r="G262" s="61"/>
      <c r="H262" s="61"/>
      <c r="I262" s="61"/>
    </row>
    <row r="263" spans="2:9" x14ac:dyDescent="0.35">
      <c r="B263" s="61"/>
      <c r="C263" s="61"/>
      <c r="D263" s="61"/>
      <c r="E263" s="61"/>
      <c r="F263" s="61"/>
      <c r="G263" s="61"/>
      <c r="H263" s="61"/>
      <c r="I263" s="61"/>
    </row>
    <row r="264" spans="2:9" x14ac:dyDescent="0.35">
      <c r="B264" s="61"/>
      <c r="C264" s="61"/>
      <c r="D264" s="61"/>
      <c r="E264" s="61"/>
      <c r="F264" s="61"/>
      <c r="G264" s="61"/>
      <c r="H264" s="61"/>
      <c r="I264" s="61"/>
    </row>
    <row r="265" spans="2:9" x14ac:dyDescent="0.35">
      <c r="B265" s="61"/>
      <c r="C265" s="61"/>
      <c r="D265" s="61"/>
      <c r="E265" s="61"/>
      <c r="F265" s="61"/>
      <c r="G265" s="61"/>
      <c r="H265" s="61"/>
      <c r="I265" s="61"/>
    </row>
    <row r="266" spans="2:9" x14ac:dyDescent="0.35">
      <c r="B266" s="61"/>
      <c r="C266" s="61"/>
      <c r="D266" s="61"/>
      <c r="E266" s="61"/>
      <c r="F266" s="61"/>
      <c r="G266" s="61"/>
      <c r="H266" s="61"/>
      <c r="I266" s="61"/>
    </row>
    <row r="267" spans="2:9" x14ac:dyDescent="0.35">
      <c r="B267" s="61"/>
      <c r="C267" s="61"/>
      <c r="D267" s="61"/>
      <c r="E267" s="61"/>
      <c r="F267" s="61"/>
      <c r="G267" s="61"/>
      <c r="H267" s="61"/>
      <c r="I267" s="61"/>
    </row>
    <row r="268" spans="2:9" x14ac:dyDescent="0.35">
      <c r="B268" s="61"/>
      <c r="C268" s="61"/>
      <c r="D268" s="61"/>
      <c r="E268" s="61"/>
      <c r="F268" s="61"/>
      <c r="G268" s="61"/>
      <c r="H268" s="61"/>
      <c r="I268" s="61"/>
    </row>
    <row r="269" spans="2:9" x14ac:dyDescent="0.35">
      <c r="B269" s="61"/>
      <c r="C269" s="61"/>
      <c r="D269" s="61"/>
      <c r="E269" s="61"/>
      <c r="F269" s="61"/>
      <c r="G269" s="61"/>
      <c r="H269" s="61"/>
      <c r="I269" s="61"/>
    </row>
    <row r="270" spans="2:9" x14ac:dyDescent="0.35">
      <c r="B270" s="61"/>
      <c r="C270" s="61"/>
      <c r="D270" s="61"/>
      <c r="E270" s="61"/>
      <c r="F270" s="61"/>
      <c r="G270" s="61"/>
      <c r="H270" s="61"/>
      <c r="I270" s="61"/>
    </row>
    <row r="271" spans="2:9" x14ac:dyDescent="0.35">
      <c r="B271" s="61"/>
      <c r="C271" s="61"/>
      <c r="D271" s="61"/>
      <c r="E271" s="61"/>
      <c r="F271" s="61"/>
      <c r="G271" s="61"/>
      <c r="H271" s="61"/>
      <c r="I271" s="61"/>
    </row>
    <row r="272" spans="2:9" x14ac:dyDescent="0.35">
      <c r="B272" s="61"/>
      <c r="C272" s="61"/>
      <c r="D272" s="61"/>
      <c r="E272" s="61"/>
      <c r="F272" s="61"/>
      <c r="G272" s="61"/>
      <c r="H272" s="61"/>
      <c r="I272" s="61"/>
    </row>
    <row r="273" spans="2:9" x14ac:dyDescent="0.35">
      <c r="B273" s="61"/>
      <c r="C273" s="61"/>
      <c r="D273" s="61"/>
      <c r="E273" s="61"/>
      <c r="F273" s="61"/>
      <c r="G273" s="61"/>
      <c r="H273" s="61"/>
      <c r="I273" s="61"/>
    </row>
    <row r="274" spans="2:9" x14ac:dyDescent="0.35">
      <c r="B274" s="61"/>
      <c r="C274" s="61"/>
      <c r="D274" s="61"/>
      <c r="E274" s="61"/>
      <c r="F274" s="61"/>
      <c r="G274" s="61"/>
      <c r="H274" s="61"/>
      <c r="I274" s="61"/>
    </row>
    <row r="275" spans="2:9" x14ac:dyDescent="0.35">
      <c r="B275" s="61"/>
      <c r="C275" s="61"/>
      <c r="D275" s="61"/>
      <c r="E275" s="61"/>
      <c r="F275" s="61"/>
      <c r="G275" s="61"/>
      <c r="H275" s="61"/>
      <c r="I275" s="61"/>
    </row>
    <row r="276" spans="2:9" x14ac:dyDescent="0.35">
      <c r="B276" s="61"/>
      <c r="C276" s="61"/>
      <c r="D276" s="61"/>
      <c r="E276" s="61"/>
      <c r="F276" s="61"/>
      <c r="G276" s="61"/>
      <c r="H276" s="61"/>
      <c r="I276" s="61"/>
    </row>
    <row r="277" spans="2:9" x14ac:dyDescent="0.35">
      <c r="B277" s="61"/>
      <c r="C277" s="61"/>
      <c r="D277" s="61"/>
      <c r="E277" s="61"/>
      <c r="F277" s="61"/>
      <c r="G277" s="61"/>
      <c r="H277" s="61"/>
      <c r="I277" s="61"/>
    </row>
    <row r="278" spans="2:9" x14ac:dyDescent="0.35">
      <c r="B278" s="61"/>
      <c r="C278" s="61"/>
      <c r="D278" s="61"/>
      <c r="E278" s="61"/>
      <c r="F278" s="61"/>
      <c r="G278" s="61"/>
      <c r="H278" s="61"/>
      <c r="I278" s="61"/>
    </row>
    <row r="279" spans="2:9" x14ac:dyDescent="0.35">
      <c r="B279" s="61"/>
      <c r="C279" s="61"/>
      <c r="D279" s="61"/>
      <c r="E279" s="61"/>
      <c r="F279" s="61"/>
      <c r="G279" s="61"/>
      <c r="H279" s="61"/>
      <c r="I279" s="61"/>
    </row>
    <row r="280" spans="2:9" x14ac:dyDescent="0.35">
      <c r="B280" s="61"/>
      <c r="C280" s="61"/>
      <c r="D280" s="61"/>
      <c r="E280" s="61"/>
      <c r="F280" s="61"/>
      <c r="G280" s="61"/>
      <c r="H280" s="61"/>
      <c r="I280" s="61"/>
    </row>
    <row r="281" spans="2:9" x14ac:dyDescent="0.35">
      <c r="B281" s="61"/>
      <c r="C281" s="61"/>
      <c r="D281" s="61"/>
      <c r="E281" s="61"/>
      <c r="F281" s="61"/>
      <c r="G281" s="61"/>
      <c r="H281" s="61"/>
      <c r="I281" s="61"/>
    </row>
    <row r="282" spans="2:9" x14ac:dyDescent="0.35">
      <c r="B282" s="61"/>
      <c r="C282" s="61"/>
      <c r="D282" s="61"/>
      <c r="E282" s="61"/>
      <c r="F282" s="61"/>
      <c r="G282" s="61"/>
      <c r="H282" s="61"/>
      <c r="I282" s="61"/>
    </row>
    <row r="283" spans="2:9" x14ac:dyDescent="0.35">
      <c r="B283" s="61"/>
      <c r="C283" s="61"/>
      <c r="D283" s="61"/>
      <c r="E283" s="61"/>
      <c r="F283" s="61"/>
      <c r="G283" s="61"/>
      <c r="H283" s="61"/>
      <c r="I283" s="61"/>
    </row>
    <row r="284" spans="2:9" x14ac:dyDescent="0.35">
      <c r="B284" s="61"/>
      <c r="C284" s="61"/>
      <c r="D284" s="61"/>
      <c r="E284" s="61"/>
      <c r="F284" s="61"/>
      <c r="G284" s="61"/>
      <c r="H284" s="61"/>
      <c r="I284" s="61"/>
    </row>
    <row r="285" spans="2:9" x14ac:dyDescent="0.35">
      <c r="B285" s="61"/>
      <c r="C285" s="61"/>
      <c r="D285" s="61"/>
      <c r="E285" s="61"/>
      <c r="F285" s="61"/>
      <c r="G285" s="61"/>
      <c r="H285" s="61"/>
      <c r="I285" s="61"/>
    </row>
    <row r="286" spans="2:9" x14ac:dyDescent="0.35">
      <c r="B286" s="61"/>
      <c r="C286" s="61"/>
      <c r="D286" s="61"/>
      <c r="E286" s="61"/>
      <c r="F286" s="61"/>
      <c r="G286" s="61"/>
      <c r="H286" s="61"/>
      <c r="I286" s="61"/>
    </row>
    <row r="287" spans="2:9" x14ac:dyDescent="0.35">
      <c r="B287" s="61"/>
      <c r="C287" s="61"/>
      <c r="D287" s="61"/>
      <c r="E287" s="61"/>
      <c r="F287" s="61"/>
      <c r="G287" s="61"/>
      <c r="H287" s="61"/>
      <c r="I287" s="61"/>
    </row>
    <row r="288" spans="2:9" x14ac:dyDescent="0.35">
      <c r="B288" s="61"/>
      <c r="C288" s="61"/>
      <c r="D288" s="61"/>
      <c r="E288" s="61"/>
      <c r="F288" s="61"/>
      <c r="G288" s="61"/>
      <c r="H288" s="61"/>
      <c r="I288" s="61"/>
    </row>
    <row r="289" spans="2:9" x14ac:dyDescent="0.35">
      <c r="B289" s="61"/>
      <c r="C289" s="61"/>
      <c r="D289" s="61"/>
      <c r="E289" s="61"/>
      <c r="F289" s="61"/>
      <c r="G289" s="61"/>
      <c r="H289" s="61"/>
      <c r="I289" s="61"/>
    </row>
    <row r="290" spans="2:9" x14ac:dyDescent="0.35">
      <c r="B290" s="61"/>
      <c r="C290" s="61"/>
      <c r="D290" s="61"/>
      <c r="E290" s="61"/>
      <c r="F290" s="61"/>
      <c r="G290" s="61"/>
      <c r="H290" s="61"/>
      <c r="I290" s="61"/>
    </row>
    <row r="291" spans="2:9" x14ac:dyDescent="0.35">
      <c r="B291" s="61"/>
      <c r="C291" s="61"/>
      <c r="D291" s="61"/>
      <c r="E291" s="61"/>
      <c r="F291" s="61"/>
      <c r="G291" s="61"/>
      <c r="H291" s="61"/>
      <c r="I291" s="61"/>
    </row>
    <row r="292" spans="2:9" x14ac:dyDescent="0.35">
      <c r="B292" s="61"/>
      <c r="C292" s="61"/>
      <c r="D292" s="61"/>
      <c r="E292" s="61"/>
      <c r="F292" s="61"/>
      <c r="G292" s="61"/>
      <c r="H292" s="61"/>
      <c r="I292" s="61"/>
    </row>
    <row r="293" spans="2:9" x14ac:dyDescent="0.35">
      <c r="B293" s="61"/>
      <c r="C293" s="61"/>
      <c r="D293" s="61"/>
      <c r="E293" s="61"/>
      <c r="F293" s="61"/>
      <c r="G293" s="61"/>
      <c r="H293" s="61"/>
      <c r="I293" s="61"/>
    </row>
    <row r="294" spans="2:9" x14ac:dyDescent="0.35">
      <c r="B294" s="61"/>
      <c r="C294" s="61"/>
      <c r="D294" s="61"/>
      <c r="E294" s="61"/>
      <c r="F294" s="61"/>
      <c r="G294" s="61"/>
      <c r="H294" s="61"/>
      <c r="I294" s="61"/>
    </row>
    <row r="295" spans="2:9" x14ac:dyDescent="0.35">
      <c r="B295" s="61"/>
      <c r="C295" s="61"/>
      <c r="D295" s="61"/>
      <c r="E295" s="61"/>
      <c r="F295" s="61"/>
      <c r="G295" s="61"/>
      <c r="H295" s="61"/>
      <c r="I295" s="61"/>
    </row>
    <row r="296" spans="2:9" x14ac:dyDescent="0.35">
      <c r="B296" s="61"/>
      <c r="C296" s="61"/>
      <c r="D296" s="61"/>
      <c r="E296" s="61"/>
      <c r="F296" s="61"/>
      <c r="G296" s="61"/>
      <c r="H296" s="61"/>
      <c r="I296" s="61"/>
    </row>
    <row r="297" spans="2:9" x14ac:dyDescent="0.35">
      <c r="B297" s="61"/>
      <c r="C297" s="61"/>
      <c r="D297" s="61"/>
      <c r="E297" s="61"/>
      <c r="F297" s="61"/>
      <c r="G297" s="61"/>
      <c r="H297" s="61"/>
      <c r="I297" s="61"/>
    </row>
    <row r="298" spans="2:9" x14ac:dyDescent="0.35">
      <c r="B298" s="61"/>
      <c r="C298" s="61"/>
      <c r="D298" s="61"/>
      <c r="E298" s="61"/>
      <c r="F298" s="61"/>
      <c r="G298" s="61"/>
      <c r="H298" s="61"/>
      <c r="I298" s="61"/>
    </row>
    <row r="299" spans="2:9" x14ac:dyDescent="0.35">
      <c r="B299" s="61"/>
      <c r="C299" s="61"/>
      <c r="D299" s="61"/>
      <c r="E299" s="61"/>
      <c r="F299" s="61"/>
      <c r="G299" s="61"/>
      <c r="H299" s="61"/>
      <c r="I299" s="61"/>
    </row>
    <row r="300" spans="2:9" x14ac:dyDescent="0.35">
      <c r="B300" s="61"/>
      <c r="C300" s="61"/>
      <c r="D300" s="61"/>
      <c r="E300" s="61"/>
      <c r="F300" s="61"/>
      <c r="G300" s="61"/>
      <c r="H300" s="61"/>
      <c r="I300" s="61"/>
    </row>
    <row r="301" spans="2:9" x14ac:dyDescent="0.35">
      <c r="B301" s="61"/>
      <c r="C301" s="61"/>
      <c r="D301" s="61"/>
      <c r="E301" s="61"/>
      <c r="F301" s="61"/>
      <c r="G301" s="61"/>
      <c r="H301" s="61"/>
      <c r="I301" s="61"/>
    </row>
    <row r="302" spans="2:9" x14ac:dyDescent="0.35">
      <c r="B302" s="61"/>
      <c r="C302" s="61"/>
      <c r="D302" s="61"/>
      <c r="E302" s="61"/>
      <c r="F302" s="61"/>
      <c r="G302" s="61"/>
      <c r="H302" s="61"/>
      <c r="I302" s="61"/>
    </row>
    <row r="303" spans="2:9" x14ac:dyDescent="0.35">
      <c r="B303" s="61"/>
      <c r="C303" s="61"/>
      <c r="D303" s="61"/>
      <c r="E303" s="61"/>
      <c r="F303" s="61"/>
      <c r="G303" s="61"/>
      <c r="H303" s="61"/>
      <c r="I303" s="61"/>
    </row>
    <row r="304" spans="2:9" x14ac:dyDescent="0.35">
      <c r="B304" s="61"/>
      <c r="C304" s="61"/>
      <c r="D304" s="61"/>
      <c r="E304" s="61"/>
      <c r="F304" s="61"/>
      <c r="G304" s="61"/>
      <c r="H304" s="61"/>
      <c r="I304" s="61"/>
    </row>
    <row r="305" spans="2:9" x14ac:dyDescent="0.35">
      <c r="B305" s="61"/>
      <c r="C305" s="61"/>
      <c r="D305" s="61"/>
      <c r="E305" s="61"/>
      <c r="F305" s="61"/>
      <c r="G305" s="61"/>
      <c r="H305" s="61"/>
      <c r="I305" s="61"/>
    </row>
    <row r="306" spans="2:9" x14ac:dyDescent="0.35">
      <c r="B306" s="61"/>
      <c r="C306" s="61"/>
      <c r="D306" s="61"/>
      <c r="E306" s="61"/>
      <c r="F306" s="61"/>
      <c r="G306" s="61"/>
      <c r="H306" s="61"/>
      <c r="I306" s="61"/>
    </row>
    <row r="307" spans="2:9" x14ac:dyDescent="0.35">
      <c r="B307" s="61"/>
      <c r="C307" s="61"/>
      <c r="D307" s="61"/>
      <c r="E307" s="61"/>
      <c r="F307" s="61"/>
      <c r="G307" s="61"/>
      <c r="H307" s="61"/>
      <c r="I307" s="61"/>
    </row>
    <row r="308" spans="2:9" x14ac:dyDescent="0.35">
      <c r="B308" s="61"/>
      <c r="C308" s="61"/>
      <c r="D308" s="61"/>
      <c r="E308" s="61"/>
      <c r="F308" s="61"/>
      <c r="G308" s="61"/>
      <c r="H308" s="61"/>
      <c r="I308" s="61"/>
    </row>
    <row r="309" spans="2:9" x14ac:dyDescent="0.35">
      <c r="B309" s="61"/>
      <c r="C309" s="61"/>
      <c r="D309" s="61"/>
      <c r="E309" s="61"/>
      <c r="F309" s="61"/>
      <c r="G309" s="61"/>
      <c r="H309" s="61"/>
      <c r="I309" s="61"/>
    </row>
    <row r="310" spans="2:9" x14ac:dyDescent="0.35">
      <c r="B310" s="61"/>
      <c r="C310" s="61"/>
      <c r="D310" s="61"/>
      <c r="E310" s="61"/>
      <c r="F310" s="61"/>
      <c r="G310" s="61"/>
      <c r="H310" s="61"/>
      <c r="I310" s="61"/>
    </row>
    <row r="311" spans="2:9" x14ac:dyDescent="0.35">
      <c r="B311" s="61"/>
      <c r="C311" s="61"/>
      <c r="D311" s="61"/>
      <c r="E311" s="61"/>
      <c r="F311" s="61"/>
      <c r="G311" s="61"/>
      <c r="H311" s="61"/>
      <c r="I311" s="61"/>
    </row>
    <row r="312" spans="2:9" x14ac:dyDescent="0.35">
      <c r="B312" s="61"/>
      <c r="C312" s="61"/>
      <c r="D312" s="61"/>
      <c r="E312" s="61"/>
      <c r="F312" s="61"/>
      <c r="G312" s="61"/>
      <c r="H312" s="61"/>
      <c r="I312" s="61"/>
    </row>
    <row r="313" spans="2:9" x14ac:dyDescent="0.35">
      <c r="B313" s="61"/>
      <c r="C313" s="61"/>
      <c r="D313" s="61"/>
      <c r="E313" s="61"/>
      <c r="F313" s="61"/>
      <c r="G313" s="61"/>
      <c r="H313" s="61"/>
      <c r="I313" s="61"/>
    </row>
    <row r="314" spans="2:9" x14ac:dyDescent="0.35">
      <c r="B314" s="61"/>
      <c r="C314" s="61"/>
      <c r="D314" s="61"/>
      <c r="E314" s="61"/>
      <c r="F314" s="61"/>
      <c r="G314" s="61"/>
      <c r="H314" s="61"/>
      <c r="I314" s="61"/>
    </row>
    <row r="315" spans="2:9" x14ac:dyDescent="0.35">
      <c r="B315" s="61"/>
      <c r="C315" s="61"/>
      <c r="D315" s="61"/>
      <c r="E315" s="61"/>
      <c r="F315" s="61"/>
      <c r="G315" s="61"/>
      <c r="H315" s="61"/>
      <c r="I315" s="61"/>
    </row>
    <row r="316" spans="2:9" x14ac:dyDescent="0.35">
      <c r="B316" s="61"/>
      <c r="C316" s="61"/>
      <c r="D316" s="61"/>
      <c r="E316" s="61"/>
      <c r="F316" s="61"/>
      <c r="G316" s="61"/>
      <c r="H316" s="61"/>
      <c r="I316" s="61"/>
    </row>
    <row r="317" spans="2:9" x14ac:dyDescent="0.35">
      <c r="B317" s="61"/>
      <c r="C317" s="61"/>
      <c r="D317" s="61"/>
      <c r="E317" s="61"/>
      <c r="F317" s="61"/>
      <c r="G317" s="61"/>
      <c r="H317" s="61"/>
      <c r="I317" s="61"/>
    </row>
    <row r="318" spans="2:9" x14ac:dyDescent="0.35">
      <c r="B318" s="61"/>
      <c r="C318" s="61"/>
      <c r="D318" s="61"/>
      <c r="E318" s="61"/>
      <c r="F318" s="61"/>
      <c r="G318" s="61"/>
      <c r="H318" s="61"/>
      <c r="I318" s="61"/>
    </row>
    <row r="319" spans="2:9" x14ac:dyDescent="0.35">
      <c r="B319" s="61"/>
      <c r="C319" s="61"/>
      <c r="D319" s="61"/>
      <c r="E319" s="61"/>
      <c r="F319" s="61"/>
      <c r="G319" s="61"/>
      <c r="H319" s="61"/>
      <c r="I319" s="61"/>
    </row>
    <row r="320" spans="2:9" x14ac:dyDescent="0.35">
      <c r="B320" s="61"/>
      <c r="C320" s="61"/>
      <c r="D320" s="61"/>
      <c r="E320" s="61"/>
      <c r="F320" s="61"/>
      <c r="G320" s="61"/>
      <c r="H320" s="61"/>
      <c r="I320" s="61"/>
    </row>
    <row r="321" spans="2:9" x14ac:dyDescent="0.35">
      <c r="B321" s="61"/>
      <c r="C321" s="61"/>
      <c r="D321" s="61"/>
      <c r="E321" s="61"/>
      <c r="F321" s="61"/>
      <c r="G321" s="61"/>
      <c r="H321" s="61"/>
      <c r="I321" s="61"/>
    </row>
    <row r="322" spans="2:9" x14ac:dyDescent="0.35">
      <c r="B322" s="61"/>
      <c r="C322" s="61"/>
      <c r="D322" s="61"/>
      <c r="E322" s="61"/>
      <c r="F322" s="61"/>
      <c r="G322" s="61"/>
      <c r="H322" s="61"/>
      <c r="I322" s="61"/>
    </row>
    <row r="323" spans="2:9" x14ac:dyDescent="0.35">
      <c r="B323" s="61"/>
      <c r="C323" s="61"/>
      <c r="D323" s="61"/>
      <c r="E323" s="61"/>
      <c r="F323" s="61"/>
      <c r="G323" s="61"/>
      <c r="H323" s="61"/>
      <c r="I323" s="61"/>
    </row>
    <row r="324" spans="2:9" x14ac:dyDescent="0.35">
      <c r="B324" s="61"/>
      <c r="C324" s="61"/>
      <c r="D324" s="61"/>
      <c r="E324" s="61"/>
      <c r="F324" s="61"/>
      <c r="G324" s="61"/>
      <c r="H324" s="61"/>
      <c r="I324" s="61"/>
    </row>
    <row r="325" spans="2:9" x14ac:dyDescent="0.35">
      <c r="B325" s="61"/>
      <c r="C325" s="61"/>
      <c r="D325" s="61"/>
      <c r="E325" s="61"/>
      <c r="F325" s="61"/>
      <c r="G325" s="61"/>
      <c r="H325" s="61"/>
      <c r="I325" s="61"/>
    </row>
    <row r="326" spans="2:9" x14ac:dyDescent="0.35">
      <c r="B326" s="61"/>
      <c r="C326" s="61"/>
      <c r="D326" s="61"/>
      <c r="E326" s="61"/>
      <c r="F326" s="61"/>
      <c r="G326" s="61"/>
      <c r="H326" s="61"/>
      <c r="I326" s="61"/>
    </row>
    <row r="327" spans="2:9" x14ac:dyDescent="0.35">
      <c r="B327" s="61"/>
      <c r="C327" s="61"/>
      <c r="D327" s="61"/>
      <c r="E327" s="61"/>
      <c r="F327" s="61"/>
      <c r="G327" s="61"/>
      <c r="H327" s="61"/>
      <c r="I327" s="61"/>
    </row>
    <row r="328" spans="2:9" x14ac:dyDescent="0.35">
      <c r="B328" s="61"/>
      <c r="C328" s="61"/>
      <c r="D328" s="61"/>
      <c r="E328" s="61"/>
      <c r="F328" s="61"/>
      <c r="G328" s="61"/>
      <c r="H328" s="61"/>
      <c r="I328" s="61"/>
    </row>
    <row r="329" spans="2:9" x14ac:dyDescent="0.35">
      <c r="B329" s="61"/>
      <c r="C329" s="61"/>
      <c r="D329" s="61"/>
      <c r="E329" s="61"/>
      <c r="F329" s="61"/>
      <c r="G329" s="61"/>
      <c r="H329" s="61"/>
      <c r="I329" s="61"/>
    </row>
    <row r="330" spans="2:9" x14ac:dyDescent="0.35">
      <c r="B330" s="61"/>
      <c r="C330" s="61"/>
      <c r="D330" s="61"/>
      <c r="E330" s="61"/>
      <c r="F330" s="61"/>
      <c r="G330" s="61"/>
      <c r="H330" s="61"/>
      <c r="I330" s="61"/>
    </row>
    <row r="331" spans="2:9" x14ac:dyDescent="0.35">
      <c r="B331" s="61"/>
      <c r="C331" s="61"/>
      <c r="D331" s="61"/>
      <c r="E331" s="61"/>
      <c r="F331" s="61"/>
      <c r="G331" s="61"/>
      <c r="H331" s="61"/>
      <c r="I331" s="61"/>
    </row>
    <row r="332" spans="2:9" x14ac:dyDescent="0.35">
      <c r="B332" s="61"/>
      <c r="C332" s="61"/>
      <c r="D332" s="61"/>
      <c r="E332" s="61"/>
      <c r="F332" s="61"/>
      <c r="G332" s="61"/>
      <c r="H332" s="61"/>
      <c r="I332" s="61"/>
    </row>
    <row r="333" spans="2:9" x14ac:dyDescent="0.35">
      <c r="B333" s="61"/>
      <c r="C333" s="61"/>
      <c r="D333" s="61"/>
      <c r="E333" s="61"/>
      <c r="F333" s="61"/>
      <c r="G333" s="61"/>
      <c r="H333" s="61"/>
      <c r="I333" s="61"/>
    </row>
    <row r="334" spans="2:9" x14ac:dyDescent="0.35">
      <c r="B334" s="61"/>
      <c r="C334" s="61"/>
      <c r="D334" s="61"/>
      <c r="E334" s="61"/>
      <c r="F334" s="61"/>
      <c r="G334" s="61"/>
      <c r="H334" s="61"/>
      <c r="I334" s="61"/>
    </row>
    <row r="335" spans="2:9" x14ac:dyDescent="0.35">
      <c r="B335" s="61"/>
      <c r="C335" s="61"/>
      <c r="D335" s="61"/>
      <c r="E335" s="61"/>
      <c r="F335" s="61"/>
      <c r="G335" s="61"/>
      <c r="H335" s="61"/>
      <c r="I335" s="61"/>
    </row>
    <row r="336" spans="2:9" x14ac:dyDescent="0.35">
      <c r="B336" s="61"/>
      <c r="C336" s="61"/>
      <c r="D336" s="61"/>
      <c r="E336" s="61"/>
      <c r="F336" s="61"/>
      <c r="G336" s="61"/>
      <c r="H336" s="61"/>
      <c r="I336" s="61"/>
    </row>
    <row r="337" spans="2:9" x14ac:dyDescent="0.35">
      <c r="B337" s="61"/>
      <c r="C337" s="61"/>
      <c r="D337" s="61"/>
      <c r="E337" s="61"/>
      <c r="F337" s="61"/>
      <c r="G337" s="61"/>
      <c r="H337" s="61"/>
      <c r="I337" s="61"/>
    </row>
    <row r="338" spans="2:9" x14ac:dyDescent="0.35">
      <c r="B338" s="61"/>
      <c r="C338" s="61"/>
      <c r="D338" s="64"/>
      <c r="E338" s="64"/>
      <c r="F338" s="65"/>
      <c r="G338" s="65"/>
      <c r="H338" s="65"/>
      <c r="I338" s="65"/>
    </row>
    <row r="339" spans="2:9" x14ac:dyDescent="0.35">
      <c r="B339" s="61"/>
      <c r="C339" s="61"/>
      <c r="D339" s="64"/>
      <c r="E339" s="64"/>
      <c r="F339" s="65"/>
      <c r="G339" s="65"/>
      <c r="H339" s="65"/>
      <c r="I339" s="65"/>
    </row>
    <row r="340" spans="2:9" x14ac:dyDescent="0.35">
      <c r="B340" s="61"/>
      <c r="C340" s="61"/>
      <c r="D340" s="64"/>
      <c r="E340" s="64"/>
      <c r="F340" s="65"/>
      <c r="G340" s="65"/>
      <c r="H340" s="65"/>
      <c r="I340" s="65"/>
    </row>
    <row r="341" spans="2:9" x14ac:dyDescent="0.35">
      <c r="B341" s="61"/>
      <c r="C341" s="61"/>
      <c r="D341" s="64"/>
      <c r="E341" s="64"/>
      <c r="F341" s="65"/>
      <c r="G341" s="65"/>
      <c r="H341" s="65"/>
      <c r="I341" s="65"/>
    </row>
    <row r="342" spans="2:9" x14ac:dyDescent="0.35">
      <c r="B342" s="61"/>
      <c r="C342" s="61"/>
      <c r="D342" s="64"/>
      <c r="E342" s="64"/>
      <c r="F342" s="65"/>
      <c r="G342" s="65"/>
      <c r="H342" s="65"/>
      <c r="I342" s="65"/>
    </row>
    <row r="343" spans="2:9" x14ac:dyDescent="0.35">
      <c r="B343" s="61"/>
      <c r="C343" s="61"/>
      <c r="D343" s="64"/>
      <c r="E343" s="64"/>
      <c r="F343" s="65"/>
      <c r="G343" s="65"/>
      <c r="H343" s="65"/>
      <c r="I343" s="65"/>
    </row>
    <row r="344" spans="2:9" x14ac:dyDescent="0.35">
      <c r="B344" s="61"/>
      <c r="C344" s="61"/>
      <c r="D344" s="64"/>
      <c r="E344" s="64"/>
      <c r="F344" s="65"/>
      <c r="G344" s="65"/>
      <c r="H344" s="65"/>
      <c r="I344" s="65"/>
    </row>
    <row r="345" spans="2:9" x14ac:dyDescent="0.35">
      <c r="B345" s="61"/>
      <c r="C345" s="61"/>
      <c r="D345" s="64"/>
      <c r="E345" s="64"/>
      <c r="F345" s="65"/>
      <c r="G345" s="65"/>
      <c r="H345" s="65"/>
      <c r="I345" s="65"/>
    </row>
    <row r="346" spans="2:9" x14ac:dyDescent="0.35">
      <c r="B346" s="61"/>
      <c r="C346" s="61"/>
      <c r="D346" s="64"/>
      <c r="E346" s="64"/>
      <c r="F346" s="65"/>
      <c r="G346" s="65"/>
      <c r="H346" s="65"/>
      <c r="I346" s="65"/>
    </row>
    <row r="347" spans="2:9" x14ac:dyDescent="0.35">
      <c r="B347" s="61"/>
      <c r="C347" s="61"/>
      <c r="D347" s="64"/>
      <c r="E347" s="64"/>
      <c r="F347" s="65"/>
      <c r="G347" s="65"/>
      <c r="H347" s="65"/>
      <c r="I347" s="65"/>
    </row>
    <row r="348" spans="2:9" x14ac:dyDescent="0.35">
      <c r="B348" s="61"/>
      <c r="C348" s="61"/>
      <c r="D348" s="64"/>
      <c r="E348" s="64"/>
      <c r="F348" s="65"/>
      <c r="G348" s="65"/>
      <c r="H348" s="65"/>
      <c r="I348" s="65"/>
    </row>
    <row r="349" spans="2:9" x14ac:dyDescent="0.35">
      <c r="B349" s="61"/>
      <c r="C349" s="61"/>
      <c r="D349" s="64"/>
      <c r="E349" s="64"/>
      <c r="F349" s="65"/>
      <c r="G349" s="65"/>
      <c r="H349" s="65"/>
      <c r="I349" s="65"/>
    </row>
    <row r="350" spans="2:9" x14ac:dyDescent="0.35">
      <c r="B350" s="61"/>
      <c r="C350" s="61"/>
      <c r="D350" s="64"/>
      <c r="E350" s="64"/>
      <c r="F350" s="65"/>
      <c r="G350" s="65"/>
      <c r="H350" s="65"/>
      <c r="I350" s="65"/>
    </row>
    <row r="351" spans="2:9" x14ac:dyDescent="0.35">
      <c r="B351" s="61"/>
      <c r="C351" s="61"/>
      <c r="D351" s="64"/>
      <c r="E351" s="64"/>
      <c r="F351" s="65"/>
      <c r="G351" s="65"/>
      <c r="H351" s="65"/>
      <c r="I351" s="65"/>
    </row>
    <row r="352" spans="2:9" x14ac:dyDescent="0.35">
      <c r="B352" s="61"/>
      <c r="C352" s="61"/>
      <c r="D352" s="64"/>
      <c r="E352" s="64"/>
      <c r="F352" s="65"/>
      <c r="G352" s="65"/>
      <c r="H352" s="65"/>
      <c r="I352" s="65"/>
    </row>
    <row r="353" spans="2:9" x14ac:dyDescent="0.35">
      <c r="B353" s="61"/>
      <c r="C353" s="61"/>
      <c r="D353" s="64"/>
      <c r="E353" s="64"/>
      <c r="F353" s="65"/>
      <c r="G353" s="65"/>
      <c r="H353" s="65"/>
      <c r="I353" s="65"/>
    </row>
    <row r="354" spans="2:9" x14ac:dyDescent="0.35">
      <c r="B354" s="61"/>
      <c r="C354" s="61"/>
      <c r="D354" s="64"/>
      <c r="E354" s="64"/>
      <c r="F354" s="65"/>
      <c r="G354" s="65"/>
      <c r="H354" s="65"/>
      <c r="I354" s="65"/>
    </row>
    <row r="355" spans="2:9" x14ac:dyDescent="0.35">
      <c r="B355" s="61"/>
      <c r="C355" s="61"/>
      <c r="D355" s="64"/>
      <c r="E355" s="64"/>
      <c r="F355" s="65"/>
      <c r="G355" s="65"/>
      <c r="H355" s="65"/>
      <c r="I355" s="65"/>
    </row>
    <row r="356" spans="2:9" x14ac:dyDescent="0.35">
      <c r="B356" s="61"/>
      <c r="C356" s="61"/>
      <c r="D356" s="64"/>
      <c r="E356" s="64"/>
      <c r="F356" s="65"/>
      <c r="G356" s="65"/>
      <c r="H356" s="65"/>
      <c r="I356" s="65"/>
    </row>
    <row r="357" spans="2:9" x14ac:dyDescent="0.35">
      <c r="B357" s="61"/>
      <c r="C357" s="61"/>
      <c r="D357" s="64"/>
      <c r="E357" s="64"/>
      <c r="F357" s="65"/>
      <c r="G357" s="65"/>
      <c r="H357" s="65"/>
      <c r="I357" s="65"/>
    </row>
    <row r="358" spans="2:9" x14ac:dyDescent="0.35">
      <c r="B358" s="61"/>
      <c r="C358" s="61"/>
      <c r="D358" s="64"/>
      <c r="E358" s="64"/>
      <c r="F358" s="65"/>
      <c r="G358" s="65"/>
      <c r="H358" s="65"/>
      <c r="I358" s="65"/>
    </row>
    <row r="359" spans="2:9" x14ac:dyDescent="0.35">
      <c r="B359" s="61"/>
      <c r="C359" s="61"/>
      <c r="D359" s="64"/>
      <c r="E359" s="64"/>
      <c r="F359" s="65"/>
      <c r="G359" s="65"/>
      <c r="H359" s="65"/>
      <c r="I359" s="65"/>
    </row>
  </sheetData>
  <phoneticPr fontId="25" type="noConversion"/>
  <pageMargins left="0.7" right="0.7" top="0.75" bottom="0.75" header="0.3" footer="0.3"/>
  <drawing r:id="rId2"/>
  <extLst>
    <ext xmlns:x14="http://schemas.microsoft.com/office/spreadsheetml/2009/9/main" uri="{A8765BA9-456A-4dab-B4F3-ACF838C121DE}">
      <x14:slicerList>
        <x14:slicer r:id="rId3"/>
      </x14:slicerList>
    </ext>
    <ext xmlns:x15="http://schemas.microsoft.com/office/spreadsheetml/2010/11/main" uri="{7E03D99C-DC04-49d9-9315-930204A7B6E9}">
      <x15:timelineRefs>
        <x15:timelineRef r:id="rId4"/>
      </x15:timelineRef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theme="7" tint="-0.249977111117893"/>
  </sheetPr>
  <dimension ref="A10:D198"/>
  <sheetViews>
    <sheetView showGridLines="0" topLeftCell="A89" workbookViewId="0">
      <selection activeCell="C171" sqref="C171"/>
    </sheetView>
  </sheetViews>
  <sheetFormatPr defaultColWidth="9" defaultRowHeight="14" x14ac:dyDescent="0.25"/>
  <cols>
    <col min="1" max="1" width="27.1796875" bestFit="1" customWidth="1"/>
    <col min="2" max="2" width="7.1796875" bestFit="1" customWidth="1"/>
    <col min="3" max="3" width="15.1796875" bestFit="1" customWidth="1"/>
    <col min="4" max="4" width="14.453125" bestFit="1" customWidth="1"/>
  </cols>
  <sheetData>
    <row r="10" spans="1:4" x14ac:dyDescent="0.25">
      <c r="A10" s="62" t="s">
        <v>4663</v>
      </c>
      <c r="B10" s="61" t="s">
        <v>4664</v>
      </c>
      <c r="C10" s="61"/>
      <c r="D10" s="61"/>
    </row>
    <row r="11" spans="1:4" x14ac:dyDescent="0.25">
      <c r="A11" s="61"/>
      <c r="B11" s="61"/>
      <c r="C11" s="61"/>
      <c r="D11" s="61"/>
    </row>
    <row r="12" spans="1:4" x14ac:dyDescent="0.25">
      <c r="A12" s="62" t="s">
        <v>4655</v>
      </c>
      <c r="B12" s="61" t="s">
        <v>4656</v>
      </c>
      <c r="C12" s="61" t="s">
        <v>4657</v>
      </c>
      <c r="D12" s="61" t="s">
        <v>4658</v>
      </c>
    </row>
    <row r="13" spans="1:4" x14ac:dyDescent="0.25">
      <c r="A13" s="50" t="s">
        <v>4659</v>
      </c>
      <c r="B13" s="61">
        <v>720</v>
      </c>
      <c r="C13" s="67">
        <v>0.3</v>
      </c>
      <c r="D13" s="467">
        <v>216</v>
      </c>
    </row>
    <row r="14" spans="1:4" x14ac:dyDescent="0.25">
      <c r="A14" s="50" t="s">
        <v>2892</v>
      </c>
      <c r="B14" s="61">
        <v>360</v>
      </c>
      <c r="C14" s="67">
        <v>0.3</v>
      </c>
      <c r="D14" s="467">
        <v>108</v>
      </c>
    </row>
    <row r="15" spans="1:4" x14ac:dyDescent="0.25">
      <c r="A15" s="50" t="s">
        <v>2889</v>
      </c>
      <c r="B15" s="61">
        <v>360</v>
      </c>
      <c r="C15" s="67">
        <v>0.3</v>
      </c>
      <c r="D15" s="467">
        <v>108</v>
      </c>
    </row>
    <row r="16" spans="1:4" x14ac:dyDescent="0.25">
      <c r="A16" s="50" t="s">
        <v>2868</v>
      </c>
      <c r="B16" s="61">
        <v>5942</v>
      </c>
      <c r="C16" s="67">
        <v>0.43482390314108083</v>
      </c>
      <c r="D16" s="467">
        <v>2591.1517446941593</v>
      </c>
    </row>
    <row r="17" spans="1:4" x14ac:dyDescent="0.25">
      <c r="A17" s="50" t="s">
        <v>1843</v>
      </c>
      <c r="B17" s="61">
        <v>990</v>
      </c>
      <c r="C17" s="67">
        <v>0.41</v>
      </c>
      <c r="D17" s="467">
        <v>405.9</v>
      </c>
    </row>
    <row r="18" spans="1:4" x14ac:dyDescent="0.25">
      <c r="A18" s="50" t="s">
        <v>2888</v>
      </c>
      <c r="B18" s="61">
        <v>3690</v>
      </c>
      <c r="C18" s="67">
        <v>0.44080508474576269</v>
      </c>
      <c r="D18" s="467">
        <v>1629.9762711864407</v>
      </c>
    </row>
    <row r="19" spans="1:4" x14ac:dyDescent="0.25">
      <c r="A19" s="50" t="s">
        <v>2887</v>
      </c>
      <c r="B19" s="61">
        <v>1230</v>
      </c>
      <c r="C19" s="67">
        <v>0.44128813559322033</v>
      </c>
      <c r="D19" s="467">
        <v>543.13220338983047</v>
      </c>
    </row>
    <row r="20" spans="1:4" x14ac:dyDescent="0.25">
      <c r="A20" s="50" t="s">
        <v>1825</v>
      </c>
      <c r="B20" s="61">
        <v>32</v>
      </c>
      <c r="C20" s="67">
        <v>0.37947719118400819</v>
      </c>
      <c r="D20" s="467">
        <v>12.143270117888262</v>
      </c>
    </row>
    <row r="21" spans="1:4" x14ac:dyDescent="0.25">
      <c r="A21" s="50" t="s">
        <v>2870</v>
      </c>
      <c r="B21" s="61">
        <v>42810</v>
      </c>
      <c r="C21" s="67">
        <v>0.388205531609921</v>
      </c>
      <c r="D21" s="467">
        <v>16438.485711812729</v>
      </c>
    </row>
    <row r="22" spans="1:4" x14ac:dyDescent="0.25">
      <c r="A22" s="50" t="s">
        <v>3036</v>
      </c>
      <c r="B22" s="61">
        <v>400</v>
      </c>
      <c r="C22" s="67">
        <v>0.36096742281323335</v>
      </c>
      <c r="D22" s="467">
        <v>146.52358165002533</v>
      </c>
    </row>
    <row r="23" spans="1:4" x14ac:dyDescent="0.25">
      <c r="A23" s="50" t="s">
        <v>2881</v>
      </c>
      <c r="B23" s="61">
        <v>21200</v>
      </c>
      <c r="C23" s="67">
        <v>0.37025093096477713</v>
      </c>
      <c r="D23" s="467">
        <v>7820.2013798025246</v>
      </c>
    </row>
    <row r="24" spans="1:4" x14ac:dyDescent="0.25">
      <c r="A24" s="50" t="s">
        <v>3048</v>
      </c>
      <c r="B24" s="61">
        <v>1600</v>
      </c>
      <c r="C24" s="67">
        <v>0.37517681704343281</v>
      </c>
      <c r="D24" s="467">
        <v>602.03122535643593</v>
      </c>
    </row>
    <row r="25" spans="1:4" x14ac:dyDescent="0.25">
      <c r="A25" s="50" t="s">
        <v>2228</v>
      </c>
      <c r="B25" s="61">
        <v>1200</v>
      </c>
      <c r="C25" s="67">
        <v>0.41</v>
      </c>
      <c r="D25" s="467">
        <v>491.99999999999994</v>
      </c>
    </row>
    <row r="26" spans="1:4" x14ac:dyDescent="0.25">
      <c r="A26" s="50" t="s">
        <v>2962</v>
      </c>
      <c r="B26" s="61">
        <v>1800</v>
      </c>
      <c r="C26" s="67">
        <v>0.43999999999999995</v>
      </c>
      <c r="D26" s="467">
        <v>792</v>
      </c>
    </row>
    <row r="27" spans="1:4" x14ac:dyDescent="0.25">
      <c r="A27" s="50" t="s">
        <v>1195</v>
      </c>
      <c r="B27" s="61">
        <v>1590</v>
      </c>
      <c r="C27" s="67">
        <v>0.4325</v>
      </c>
      <c r="D27" s="467">
        <v>681.6</v>
      </c>
    </row>
    <row r="28" spans="1:4" x14ac:dyDescent="0.25">
      <c r="A28" s="50" t="s">
        <v>872</v>
      </c>
      <c r="B28" s="61">
        <v>4530</v>
      </c>
      <c r="C28" s="67">
        <v>0.42499999999999999</v>
      </c>
      <c r="D28" s="467">
        <v>1885.2</v>
      </c>
    </row>
    <row r="29" spans="1:4" x14ac:dyDescent="0.25">
      <c r="A29" s="50" t="s">
        <v>2963</v>
      </c>
      <c r="B29" s="61">
        <v>750</v>
      </c>
      <c r="C29" s="67">
        <v>0.46604651162790695</v>
      </c>
      <c r="D29" s="467">
        <v>341.72093023255815</v>
      </c>
    </row>
    <row r="30" spans="1:4" x14ac:dyDescent="0.25">
      <c r="A30" s="50" t="s">
        <v>1198</v>
      </c>
      <c r="B30" s="61">
        <v>480</v>
      </c>
      <c r="C30" s="67">
        <v>0.42499999999999993</v>
      </c>
      <c r="D30" s="467">
        <v>199.49999999999997</v>
      </c>
    </row>
    <row r="31" spans="1:4" x14ac:dyDescent="0.25">
      <c r="A31" s="50" t="s">
        <v>1409</v>
      </c>
      <c r="B31" s="61">
        <v>450</v>
      </c>
      <c r="C31" s="67">
        <v>0.41</v>
      </c>
      <c r="D31" s="467">
        <v>184.5</v>
      </c>
    </row>
    <row r="32" spans="1:4" x14ac:dyDescent="0.25">
      <c r="A32" s="50" t="s">
        <v>2886</v>
      </c>
      <c r="B32" s="61">
        <v>450</v>
      </c>
      <c r="C32" s="67">
        <v>0.44</v>
      </c>
      <c r="D32" s="467">
        <v>198</v>
      </c>
    </row>
    <row r="33" spans="1:4" x14ac:dyDescent="0.25">
      <c r="A33" s="50" t="s">
        <v>876</v>
      </c>
      <c r="B33" s="61">
        <v>1000</v>
      </c>
      <c r="C33" s="67">
        <v>0.36934528716803466</v>
      </c>
      <c r="D33" s="467">
        <v>370.85038616223267</v>
      </c>
    </row>
    <row r="34" spans="1:4" x14ac:dyDescent="0.25">
      <c r="A34" s="50" t="s">
        <v>2880</v>
      </c>
      <c r="B34" s="61">
        <v>6000</v>
      </c>
      <c r="C34" s="67">
        <v>0.37042972522426604</v>
      </c>
      <c r="D34" s="467">
        <v>2220.5490803761431</v>
      </c>
    </row>
    <row r="35" spans="1:4" x14ac:dyDescent="0.25">
      <c r="A35" s="50" t="s">
        <v>786</v>
      </c>
      <c r="B35" s="61">
        <v>840</v>
      </c>
      <c r="C35" s="67">
        <v>0.3654681438603779</v>
      </c>
      <c r="D35" s="467">
        <v>306.4878206836803</v>
      </c>
    </row>
    <row r="36" spans="1:4" x14ac:dyDescent="0.25">
      <c r="A36" s="50" t="s">
        <v>853</v>
      </c>
      <c r="B36" s="61">
        <v>40</v>
      </c>
      <c r="C36" s="67">
        <v>0.36</v>
      </c>
      <c r="D36" s="467">
        <v>14.399999999999999</v>
      </c>
    </row>
    <row r="37" spans="1:4" x14ac:dyDescent="0.25">
      <c r="A37" s="50" t="s">
        <v>3024</v>
      </c>
      <c r="B37" s="61">
        <v>480</v>
      </c>
      <c r="C37" s="67">
        <v>0.38067091797074692</v>
      </c>
      <c r="D37" s="467">
        <v>182.92130754912273</v>
      </c>
    </row>
    <row r="38" spans="1:4" x14ac:dyDescent="0.25">
      <c r="A38" s="50" t="s">
        <v>3050</v>
      </c>
      <c r="B38" s="61">
        <v>1000</v>
      </c>
      <c r="C38" s="67">
        <v>0.36411507936507936</v>
      </c>
      <c r="D38" s="467">
        <v>364.10476190476197</v>
      </c>
    </row>
    <row r="39" spans="1:4" x14ac:dyDescent="0.25">
      <c r="A39" s="50" t="s">
        <v>2712</v>
      </c>
      <c r="B39" s="61">
        <v>900</v>
      </c>
      <c r="C39" s="67">
        <v>0.36410476190476193</v>
      </c>
      <c r="D39" s="467">
        <v>327.68809523809529</v>
      </c>
    </row>
    <row r="40" spans="1:4" x14ac:dyDescent="0.25">
      <c r="A40" s="50" t="s">
        <v>3051</v>
      </c>
      <c r="B40" s="61">
        <v>100</v>
      </c>
      <c r="C40" s="67">
        <v>0.36416666666666669</v>
      </c>
      <c r="D40" s="467">
        <v>36.416666666666671</v>
      </c>
    </row>
    <row r="41" spans="1:4" x14ac:dyDescent="0.25">
      <c r="A41" s="50" t="s">
        <v>2867</v>
      </c>
      <c r="B41" s="61">
        <v>33390</v>
      </c>
      <c r="C41" s="67">
        <v>0.41775747510432665</v>
      </c>
      <c r="D41" s="467">
        <v>14350.180538278601</v>
      </c>
    </row>
    <row r="42" spans="1:4" x14ac:dyDescent="0.25">
      <c r="A42" s="50" t="s">
        <v>1213</v>
      </c>
      <c r="B42" s="61">
        <v>1440</v>
      </c>
      <c r="C42" s="67">
        <v>0.3651776799887328</v>
      </c>
      <c r="D42" s="467">
        <v>523.73825623594064</v>
      </c>
    </row>
    <row r="43" spans="1:4" x14ac:dyDescent="0.25">
      <c r="A43" s="50" t="s">
        <v>2242</v>
      </c>
      <c r="B43" s="61">
        <v>10</v>
      </c>
      <c r="C43" s="67">
        <v>0.41</v>
      </c>
      <c r="D43" s="467">
        <v>4.0999999999999996</v>
      </c>
    </row>
    <row r="44" spans="1:4" x14ac:dyDescent="0.25">
      <c r="A44" s="50" t="s">
        <v>2593</v>
      </c>
      <c r="B44" s="61">
        <v>600</v>
      </c>
      <c r="C44" s="67">
        <v>0.44</v>
      </c>
      <c r="D44" s="467">
        <v>264</v>
      </c>
    </row>
    <row r="45" spans="1:4" x14ac:dyDescent="0.25">
      <c r="A45" s="50" t="s">
        <v>1215</v>
      </c>
      <c r="B45" s="61">
        <v>13770</v>
      </c>
      <c r="C45" s="67">
        <v>0.43412587412587411</v>
      </c>
      <c r="D45" s="467">
        <v>5922.9461538461546</v>
      </c>
    </row>
    <row r="46" spans="1:4" x14ac:dyDescent="0.25">
      <c r="A46" s="50" t="s">
        <v>1851</v>
      </c>
      <c r="B46" s="61">
        <v>1020</v>
      </c>
      <c r="C46" s="67">
        <v>0.43411016949152542</v>
      </c>
      <c r="D46" s="467">
        <v>444.43220338983053</v>
      </c>
    </row>
    <row r="47" spans="1:4" x14ac:dyDescent="0.25">
      <c r="A47" s="50" t="s">
        <v>1217</v>
      </c>
      <c r="B47" s="61">
        <v>1040</v>
      </c>
      <c r="C47" s="67">
        <v>0.36884274665126909</v>
      </c>
      <c r="D47" s="467">
        <v>381.38818931703446</v>
      </c>
    </row>
    <row r="48" spans="1:4" x14ac:dyDescent="0.25">
      <c r="A48" s="50" t="s">
        <v>1941</v>
      </c>
      <c r="B48" s="61">
        <v>500</v>
      </c>
      <c r="C48" s="67">
        <v>0.47486007094994087</v>
      </c>
      <c r="D48" s="467">
        <v>244.10957824201813</v>
      </c>
    </row>
    <row r="49" spans="1:4" x14ac:dyDescent="0.25">
      <c r="A49" s="50" t="s">
        <v>2245</v>
      </c>
      <c r="B49" s="61">
        <v>20</v>
      </c>
      <c r="C49" s="67">
        <v>0.41</v>
      </c>
      <c r="D49" s="467">
        <v>8.1999999999999993</v>
      </c>
    </row>
    <row r="50" spans="1:4" x14ac:dyDescent="0.25">
      <c r="A50" s="50" t="s">
        <v>1902</v>
      </c>
      <c r="B50" s="61">
        <v>1230</v>
      </c>
      <c r="C50" s="67">
        <v>0.4325</v>
      </c>
      <c r="D50" s="467">
        <v>534</v>
      </c>
    </row>
    <row r="51" spans="1:4" x14ac:dyDescent="0.25">
      <c r="A51" s="50" t="s">
        <v>2136</v>
      </c>
      <c r="B51" s="61">
        <v>560</v>
      </c>
      <c r="C51" s="67">
        <v>0.36610840536469075</v>
      </c>
      <c r="D51" s="467">
        <v>207.53734368829799</v>
      </c>
    </row>
    <row r="52" spans="1:4" x14ac:dyDescent="0.25">
      <c r="A52" s="50" t="s">
        <v>4230</v>
      </c>
      <c r="B52" s="61">
        <v>2100</v>
      </c>
      <c r="C52" s="67">
        <v>0.43999999999999995</v>
      </c>
      <c r="D52" s="467">
        <v>923.99999999999989</v>
      </c>
    </row>
    <row r="53" spans="1:4" x14ac:dyDescent="0.25">
      <c r="A53" s="50" t="s">
        <v>4291</v>
      </c>
      <c r="B53" s="61">
        <v>11100</v>
      </c>
      <c r="C53" s="67">
        <v>0.44107344632768358</v>
      </c>
      <c r="D53" s="467">
        <v>4891.7288135593217</v>
      </c>
    </row>
    <row r="54" spans="1:4" x14ac:dyDescent="0.25">
      <c r="A54" s="50" t="s">
        <v>3102</v>
      </c>
      <c r="B54" s="61">
        <v>600</v>
      </c>
      <c r="C54" s="67">
        <v>0.35950523076151608</v>
      </c>
      <c r="D54" s="467">
        <v>215.7031384569097</v>
      </c>
    </row>
    <row r="55" spans="1:4" x14ac:dyDescent="0.25">
      <c r="A55" s="50" t="s">
        <v>1487</v>
      </c>
      <c r="B55" s="61">
        <v>600</v>
      </c>
      <c r="C55" s="67">
        <v>0.35950523076151608</v>
      </c>
      <c r="D55" s="467">
        <v>215.7031384569097</v>
      </c>
    </row>
    <row r="56" spans="1:4" x14ac:dyDescent="0.25">
      <c r="A56" s="50" t="s">
        <v>3099</v>
      </c>
      <c r="B56" s="61">
        <v>2964</v>
      </c>
      <c r="C56" s="67">
        <v>0.53536713286713289</v>
      </c>
      <c r="D56" s="467">
        <v>1553.744895104895</v>
      </c>
    </row>
    <row r="57" spans="1:4" x14ac:dyDescent="0.25">
      <c r="A57" s="50" t="s">
        <v>2355</v>
      </c>
      <c r="B57" s="61">
        <v>900</v>
      </c>
      <c r="C57" s="67">
        <v>0.52499999999999991</v>
      </c>
      <c r="D57" s="467">
        <v>457.79999999999995</v>
      </c>
    </row>
    <row r="58" spans="1:4" x14ac:dyDescent="0.25">
      <c r="A58" s="50" t="s">
        <v>2357</v>
      </c>
      <c r="B58" s="61">
        <v>1824</v>
      </c>
      <c r="C58" s="67">
        <v>0.54600000000000004</v>
      </c>
      <c r="D58" s="467">
        <v>975.24</v>
      </c>
    </row>
    <row r="59" spans="1:4" x14ac:dyDescent="0.25">
      <c r="A59" s="50" t="s">
        <v>1330</v>
      </c>
      <c r="B59" s="61">
        <v>240</v>
      </c>
      <c r="C59" s="67">
        <v>0.50293706293706297</v>
      </c>
      <c r="D59" s="467">
        <v>120.70489510489512</v>
      </c>
    </row>
    <row r="60" spans="1:4" x14ac:dyDescent="0.25">
      <c r="A60" s="50" t="s">
        <v>3086</v>
      </c>
      <c r="B60" s="61">
        <v>630</v>
      </c>
      <c r="C60" s="67">
        <v>0.3792851584379669</v>
      </c>
      <c r="D60" s="467">
        <v>238.09892883790846</v>
      </c>
    </row>
    <row r="61" spans="1:4" x14ac:dyDescent="0.25">
      <c r="A61" s="50" t="s">
        <v>953</v>
      </c>
      <c r="B61" s="61">
        <v>270</v>
      </c>
      <c r="C61" s="67">
        <v>0.36926289065103918</v>
      </c>
      <c r="D61" s="467">
        <v>100.54089019408785</v>
      </c>
    </row>
    <row r="62" spans="1:4" x14ac:dyDescent="0.25">
      <c r="A62" s="50" t="s">
        <v>957</v>
      </c>
      <c r="B62" s="61">
        <v>150</v>
      </c>
      <c r="C62" s="67">
        <v>0.35028436018957348</v>
      </c>
      <c r="D62" s="467">
        <v>52.542654028436026</v>
      </c>
    </row>
    <row r="63" spans="1:4" x14ac:dyDescent="0.25">
      <c r="A63" s="50" t="s">
        <v>965</v>
      </c>
      <c r="B63" s="61">
        <v>60</v>
      </c>
      <c r="C63" s="67">
        <v>0.37846153846153846</v>
      </c>
      <c r="D63" s="467">
        <v>22.707692307692309</v>
      </c>
    </row>
    <row r="64" spans="1:4" x14ac:dyDescent="0.25">
      <c r="A64" s="50" t="s">
        <v>967</v>
      </c>
      <c r="B64" s="61">
        <v>150</v>
      </c>
      <c r="C64" s="67">
        <v>0.40923076923076923</v>
      </c>
      <c r="D64" s="467">
        <v>62.307692307692307</v>
      </c>
    </row>
    <row r="65" spans="1:4" x14ac:dyDescent="0.25">
      <c r="A65" s="50" t="s">
        <v>2821</v>
      </c>
      <c r="B65" s="61">
        <v>11292</v>
      </c>
      <c r="C65" s="67">
        <v>0.55051619396657592</v>
      </c>
      <c r="D65" s="467">
        <v>6158.2550467963456</v>
      </c>
    </row>
    <row r="66" spans="1:4" x14ac:dyDescent="0.25">
      <c r="A66" s="50" t="s">
        <v>3014</v>
      </c>
      <c r="B66" s="61">
        <v>1836</v>
      </c>
      <c r="C66" s="67">
        <v>0.52907974955770232</v>
      </c>
      <c r="D66" s="467">
        <v>966.44442495156443</v>
      </c>
    </row>
    <row r="67" spans="1:4" x14ac:dyDescent="0.25">
      <c r="A67" s="50" t="s">
        <v>2179</v>
      </c>
      <c r="B67" s="61">
        <v>1992</v>
      </c>
      <c r="C67" s="67">
        <v>0.57166666666666666</v>
      </c>
      <c r="D67" s="467">
        <v>1100.3999999999999</v>
      </c>
    </row>
    <row r="68" spans="1:4" x14ac:dyDescent="0.25">
      <c r="A68" s="50" t="s">
        <v>3015</v>
      </c>
      <c r="B68" s="61">
        <v>6624</v>
      </c>
      <c r="C68" s="67">
        <v>0.54917228946911001</v>
      </c>
      <c r="D68" s="467">
        <v>3621.0106218447795</v>
      </c>
    </row>
    <row r="69" spans="1:4" x14ac:dyDescent="0.25">
      <c r="A69" s="50" t="s">
        <v>2177</v>
      </c>
      <c r="B69" s="61">
        <v>840</v>
      </c>
      <c r="C69" s="67">
        <v>0.56000000000000005</v>
      </c>
      <c r="D69" s="467">
        <v>470.40000000000003</v>
      </c>
    </row>
    <row r="70" spans="1:4" x14ac:dyDescent="0.25">
      <c r="A70" s="50" t="s">
        <v>2869</v>
      </c>
      <c r="B70" s="61">
        <v>7954</v>
      </c>
      <c r="C70" s="67">
        <v>0.420969902769531</v>
      </c>
      <c r="D70" s="467">
        <v>3298.4041989929465</v>
      </c>
    </row>
    <row r="71" spans="1:4" x14ac:dyDescent="0.25">
      <c r="A71" s="50" t="s">
        <v>3033</v>
      </c>
      <c r="B71" s="61">
        <v>544</v>
      </c>
      <c r="C71" s="67">
        <v>0.44494529146281336</v>
      </c>
      <c r="D71" s="467">
        <v>240.46140099366633</v>
      </c>
    </row>
    <row r="72" spans="1:4" x14ac:dyDescent="0.25">
      <c r="A72" s="50" t="s">
        <v>3082</v>
      </c>
      <c r="B72" s="61">
        <v>208</v>
      </c>
      <c r="C72" s="67">
        <v>0.43782608695652175</v>
      </c>
      <c r="D72" s="467">
        <v>91.067826086956529</v>
      </c>
    </row>
    <row r="73" spans="1:4" x14ac:dyDescent="0.25">
      <c r="A73" s="50" t="s">
        <v>3034</v>
      </c>
      <c r="B73" s="61">
        <v>3540</v>
      </c>
      <c r="C73" s="67">
        <v>0.40435554170045102</v>
      </c>
      <c r="D73" s="467">
        <v>1441.2597248461964</v>
      </c>
    </row>
    <row r="74" spans="1:4" x14ac:dyDescent="0.25">
      <c r="A74" s="50" t="s">
        <v>3035</v>
      </c>
      <c r="B74" s="61">
        <v>1170</v>
      </c>
      <c r="C74" s="67">
        <v>0.40764804188851333</v>
      </c>
      <c r="D74" s="467">
        <v>471.86148965129217</v>
      </c>
    </row>
    <row r="75" spans="1:4" x14ac:dyDescent="0.25">
      <c r="A75" s="50" t="s">
        <v>3075</v>
      </c>
      <c r="B75" s="61">
        <v>360</v>
      </c>
      <c r="C75" s="67">
        <v>0.40168794326241136</v>
      </c>
      <c r="D75" s="467">
        <v>145.45148936170213</v>
      </c>
    </row>
    <row r="76" spans="1:4" x14ac:dyDescent="0.25">
      <c r="A76" s="50" t="s">
        <v>3116</v>
      </c>
      <c r="B76" s="61">
        <v>300</v>
      </c>
      <c r="C76" s="67">
        <v>0.44</v>
      </c>
      <c r="D76" s="467">
        <v>132</v>
      </c>
    </row>
    <row r="77" spans="1:4" x14ac:dyDescent="0.25">
      <c r="A77" s="50" t="s">
        <v>1186</v>
      </c>
      <c r="B77" s="61">
        <v>90</v>
      </c>
      <c r="C77" s="67">
        <v>0.44</v>
      </c>
      <c r="D77" s="467">
        <v>39.6</v>
      </c>
    </row>
    <row r="78" spans="1:4" x14ac:dyDescent="0.25">
      <c r="A78" s="50" t="s">
        <v>864</v>
      </c>
      <c r="B78" s="61">
        <v>300</v>
      </c>
      <c r="C78" s="67">
        <v>0.41</v>
      </c>
      <c r="D78" s="467">
        <v>122.99999999999999</v>
      </c>
    </row>
    <row r="79" spans="1:4" x14ac:dyDescent="0.25">
      <c r="A79" s="50" t="s">
        <v>3117</v>
      </c>
      <c r="B79" s="61">
        <v>180</v>
      </c>
      <c r="C79" s="67">
        <v>0.44</v>
      </c>
      <c r="D79" s="467">
        <v>79.2</v>
      </c>
    </row>
    <row r="80" spans="1:4" x14ac:dyDescent="0.25">
      <c r="A80" s="50" t="s">
        <v>1190</v>
      </c>
      <c r="B80" s="61">
        <v>120</v>
      </c>
      <c r="C80" s="67">
        <v>0.41</v>
      </c>
      <c r="D80" s="467">
        <v>49.199999999999996</v>
      </c>
    </row>
    <row r="81" spans="1:4" x14ac:dyDescent="0.25">
      <c r="A81" s="50" t="s">
        <v>3094</v>
      </c>
      <c r="B81" s="61">
        <v>240</v>
      </c>
      <c r="C81" s="67">
        <v>0.44094046286385097</v>
      </c>
      <c r="D81" s="467">
        <v>104.72451320853386</v>
      </c>
    </row>
    <row r="82" spans="1:4" x14ac:dyDescent="0.25">
      <c r="A82" s="50" t="s">
        <v>3076</v>
      </c>
      <c r="B82" s="61">
        <v>510</v>
      </c>
      <c r="C82" s="67">
        <v>0.40735262563523433</v>
      </c>
      <c r="D82" s="467">
        <v>206.86201016374929</v>
      </c>
    </row>
    <row r="83" spans="1:4" x14ac:dyDescent="0.25">
      <c r="A83" s="50" t="s">
        <v>3064</v>
      </c>
      <c r="B83" s="61">
        <v>270</v>
      </c>
      <c r="C83" s="67">
        <v>0.42553191489361697</v>
      </c>
      <c r="D83" s="467">
        <v>116.19574468085106</v>
      </c>
    </row>
    <row r="84" spans="1:4" x14ac:dyDescent="0.25">
      <c r="A84" s="50" t="s">
        <v>866</v>
      </c>
      <c r="B84" s="61">
        <v>90</v>
      </c>
      <c r="C84" s="67">
        <v>0.44</v>
      </c>
      <c r="D84" s="467">
        <v>39.6</v>
      </c>
    </row>
    <row r="85" spans="1:4" x14ac:dyDescent="0.25">
      <c r="A85" s="50" t="s">
        <v>3081</v>
      </c>
      <c r="B85" s="61">
        <v>32</v>
      </c>
      <c r="C85" s="67">
        <v>0.56000000000000005</v>
      </c>
      <c r="D85" s="467">
        <v>17.920000000000002</v>
      </c>
    </row>
    <row r="86" spans="1:4" x14ac:dyDescent="0.25">
      <c r="A86" s="50" t="s">
        <v>3104</v>
      </c>
      <c r="B86" s="61">
        <v>28080</v>
      </c>
      <c r="C86" s="67">
        <v>0.40454001418525876</v>
      </c>
      <c r="D86" s="467">
        <v>10929.312286630055</v>
      </c>
    </row>
    <row r="87" spans="1:4" x14ac:dyDescent="0.25">
      <c r="A87" s="50" t="s">
        <v>2195</v>
      </c>
      <c r="B87" s="61">
        <v>15760</v>
      </c>
      <c r="C87" s="67">
        <v>0.36977059713908911</v>
      </c>
      <c r="D87" s="467">
        <v>5805.2112611800139</v>
      </c>
    </row>
    <row r="88" spans="1:4" x14ac:dyDescent="0.25">
      <c r="A88" s="50" t="s">
        <v>2885</v>
      </c>
      <c r="B88" s="61">
        <v>4410</v>
      </c>
      <c r="C88" s="67">
        <v>0.434</v>
      </c>
      <c r="D88" s="467">
        <v>1910.6999999999998</v>
      </c>
    </row>
    <row r="89" spans="1:4" x14ac:dyDescent="0.25">
      <c r="A89" s="50" t="s">
        <v>2518</v>
      </c>
      <c r="B89" s="61">
        <v>510</v>
      </c>
      <c r="C89" s="67">
        <v>0.42500000000000004</v>
      </c>
      <c r="D89" s="467">
        <v>212.7</v>
      </c>
    </row>
    <row r="90" spans="1:4" x14ac:dyDescent="0.25">
      <c r="A90" s="50" t="s">
        <v>2197</v>
      </c>
      <c r="B90" s="61">
        <v>4240</v>
      </c>
      <c r="C90" s="67">
        <v>0.37540594345465306</v>
      </c>
      <c r="D90" s="467">
        <v>1600.7010254500426</v>
      </c>
    </row>
    <row r="91" spans="1:4" x14ac:dyDescent="0.25">
      <c r="A91" s="50" t="s">
        <v>4131</v>
      </c>
      <c r="B91" s="61">
        <v>900</v>
      </c>
      <c r="C91" s="67">
        <v>0.43999999999999995</v>
      </c>
      <c r="D91" s="467">
        <v>396</v>
      </c>
    </row>
    <row r="92" spans="1:4" x14ac:dyDescent="0.25">
      <c r="A92" s="50" t="s">
        <v>4133</v>
      </c>
      <c r="B92" s="61">
        <v>300</v>
      </c>
      <c r="C92" s="67">
        <v>0.44</v>
      </c>
      <c r="D92" s="467">
        <v>132</v>
      </c>
    </row>
    <row r="93" spans="1:4" x14ac:dyDescent="0.25">
      <c r="A93" s="50" t="s">
        <v>2866</v>
      </c>
      <c r="B93" s="61">
        <v>680</v>
      </c>
      <c r="C93" s="67">
        <v>0.44000000000000006</v>
      </c>
      <c r="D93" s="467">
        <v>299.2</v>
      </c>
    </row>
    <row r="94" spans="1:4" x14ac:dyDescent="0.25">
      <c r="A94" s="50" t="s">
        <v>1879</v>
      </c>
      <c r="B94" s="61">
        <v>80</v>
      </c>
      <c r="C94" s="67">
        <v>0.55999999999999994</v>
      </c>
      <c r="D94" s="467">
        <v>44.8</v>
      </c>
    </row>
    <row r="95" spans="1:4" x14ac:dyDescent="0.25">
      <c r="A95" s="50" t="s">
        <v>4212</v>
      </c>
      <c r="B95" s="61">
        <v>600</v>
      </c>
      <c r="C95" s="67">
        <v>0.44</v>
      </c>
      <c r="D95" s="467">
        <v>264</v>
      </c>
    </row>
    <row r="96" spans="1:4" x14ac:dyDescent="0.25">
      <c r="A96" s="50" t="s">
        <v>4209</v>
      </c>
      <c r="B96" s="61">
        <v>150</v>
      </c>
      <c r="C96" s="67">
        <v>0.44</v>
      </c>
      <c r="D96" s="467">
        <v>66</v>
      </c>
    </row>
    <row r="97" spans="1:4" x14ac:dyDescent="0.25">
      <c r="A97" s="50" t="s">
        <v>4411</v>
      </c>
      <c r="B97" s="61">
        <v>300</v>
      </c>
      <c r="C97" s="67">
        <v>0.44</v>
      </c>
      <c r="D97" s="467">
        <v>132</v>
      </c>
    </row>
    <row r="98" spans="1:4" x14ac:dyDescent="0.25">
      <c r="A98" s="50" t="s">
        <v>4414</v>
      </c>
      <c r="B98" s="61">
        <v>150</v>
      </c>
      <c r="C98" s="67">
        <v>0.44</v>
      </c>
      <c r="D98" s="467">
        <v>66</v>
      </c>
    </row>
    <row r="99" spans="1:4" x14ac:dyDescent="0.25">
      <c r="A99" s="50" t="s">
        <v>2823</v>
      </c>
      <c r="B99" s="61">
        <v>1016</v>
      </c>
      <c r="C99" s="67">
        <v>0</v>
      </c>
      <c r="D99" s="467">
        <v>0</v>
      </c>
    </row>
    <row r="100" spans="1:4" x14ac:dyDescent="0.25">
      <c r="A100" s="50" t="s">
        <v>3047</v>
      </c>
      <c r="B100" s="61">
        <v>256</v>
      </c>
      <c r="C100" s="67">
        <v>0</v>
      </c>
      <c r="D100" s="467">
        <v>0</v>
      </c>
    </row>
    <row r="101" spans="1:4" x14ac:dyDescent="0.25">
      <c r="A101" s="50" t="s">
        <v>2824</v>
      </c>
      <c r="B101" s="61">
        <v>760</v>
      </c>
      <c r="C101" s="67">
        <v>0</v>
      </c>
      <c r="D101" s="467">
        <v>0</v>
      </c>
    </row>
    <row r="102" spans="1:4" x14ac:dyDescent="0.25">
      <c r="A102" s="50" t="s">
        <v>2822</v>
      </c>
      <c r="B102" s="61">
        <v>936</v>
      </c>
      <c r="C102" s="67">
        <v>0.46840894568690095</v>
      </c>
      <c r="D102" s="467">
        <v>447.22351437699683</v>
      </c>
    </row>
    <row r="103" spans="1:4" x14ac:dyDescent="0.25">
      <c r="A103" s="50" t="s">
        <v>2694</v>
      </c>
      <c r="B103" s="61">
        <v>252</v>
      </c>
      <c r="C103" s="67">
        <v>0.40734824281150162</v>
      </c>
      <c r="D103" s="467">
        <v>102.65175718849841</v>
      </c>
    </row>
    <row r="104" spans="1:4" x14ac:dyDescent="0.25">
      <c r="A104" s="50" t="s">
        <v>2695</v>
      </c>
      <c r="B104" s="61">
        <v>684</v>
      </c>
      <c r="C104" s="67">
        <v>0.48367412140575083</v>
      </c>
      <c r="D104" s="467">
        <v>344.5717571884984</v>
      </c>
    </row>
    <row r="105" spans="1:4" x14ac:dyDescent="0.25">
      <c r="A105" s="50" t="s">
        <v>3109</v>
      </c>
      <c r="B105" s="61">
        <v>4640</v>
      </c>
      <c r="C105" s="67">
        <v>0.56604545454545463</v>
      </c>
      <c r="D105" s="467">
        <v>2640.9599999999996</v>
      </c>
    </row>
    <row r="106" spans="1:4" x14ac:dyDescent="0.25">
      <c r="A106" s="50" t="s">
        <v>2439</v>
      </c>
      <c r="B106" s="61">
        <v>3360</v>
      </c>
      <c r="C106" s="67">
        <v>0.56431818181818183</v>
      </c>
      <c r="D106" s="467">
        <v>1914.4872727272725</v>
      </c>
    </row>
    <row r="107" spans="1:4" x14ac:dyDescent="0.25">
      <c r="A107" s="50" t="s">
        <v>2441</v>
      </c>
      <c r="B107" s="61">
        <v>304</v>
      </c>
      <c r="C107" s="67">
        <v>0.57511363636363644</v>
      </c>
      <c r="D107" s="467">
        <v>175.07636363636365</v>
      </c>
    </row>
    <row r="108" spans="1:4" x14ac:dyDescent="0.25">
      <c r="A108" s="50" t="s">
        <v>2443</v>
      </c>
      <c r="B108" s="61">
        <v>976</v>
      </c>
      <c r="C108" s="67">
        <v>0.56503787878787881</v>
      </c>
      <c r="D108" s="467">
        <v>551.39636363636362</v>
      </c>
    </row>
    <row r="109" spans="1:4" x14ac:dyDescent="0.25">
      <c r="A109" s="50" t="s">
        <v>2785</v>
      </c>
      <c r="B109" s="61">
        <v>1712</v>
      </c>
      <c r="C109" s="67">
        <v>0.56000000000000005</v>
      </c>
      <c r="D109" s="467">
        <v>958.72</v>
      </c>
    </row>
    <row r="110" spans="1:4" x14ac:dyDescent="0.25">
      <c r="A110" s="50" t="s">
        <v>2783</v>
      </c>
      <c r="B110" s="61">
        <v>688</v>
      </c>
      <c r="C110" s="67">
        <v>0.56000000000000005</v>
      </c>
      <c r="D110" s="467">
        <v>385.28</v>
      </c>
    </row>
    <row r="111" spans="1:4" x14ac:dyDescent="0.25">
      <c r="A111" s="50" t="s">
        <v>3040</v>
      </c>
      <c r="B111" s="61">
        <v>288</v>
      </c>
      <c r="C111" s="67">
        <v>0.56000000000000005</v>
      </c>
      <c r="D111" s="467">
        <v>161.28</v>
      </c>
    </row>
    <row r="112" spans="1:4" x14ac:dyDescent="0.25">
      <c r="A112" s="50" t="s">
        <v>3038</v>
      </c>
      <c r="B112" s="61">
        <v>736</v>
      </c>
      <c r="C112" s="67">
        <v>0.56000000000000005</v>
      </c>
      <c r="D112" s="467">
        <v>412.16</v>
      </c>
    </row>
    <row r="113" spans="1:4" x14ac:dyDescent="0.25">
      <c r="A113" s="50" t="s">
        <v>2915</v>
      </c>
      <c r="B113" s="61">
        <v>4800</v>
      </c>
      <c r="C113" s="67">
        <v>0.56000000000000005</v>
      </c>
      <c r="D113" s="467">
        <v>2688</v>
      </c>
    </row>
    <row r="114" spans="1:4" x14ac:dyDescent="0.25">
      <c r="A114" s="50" t="s">
        <v>3039</v>
      </c>
      <c r="B114" s="61">
        <v>2960</v>
      </c>
      <c r="C114" s="67">
        <v>0.56000000000000005</v>
      </c>
      <c r="D114" s="467">
        <v>1657.5999999999997</v>
      </c>
    </row>
    <row r="115" spans="1:4" x14ac:dyDescent="0.25">
      <c r="A115" s="50" t="s">
        <v>3080</v>
      </c>
      <c r="B115" s="61">
        <v>1360</v>
      </c>
      <c r="C115" s="67">
        <v>0.56000000000000005</v>
      </c>
      <c r="D115" s="467">
        <v>761.59999999999991</v>
      </c>
    </row>
    <row r="116" spans="1:4" x14ac:dyDescent="0.25">
      <c r="A116" s="50" t="s">
        <v>3073</v>
      </c>
      <c r="B116" s="61">
        <v>480</v>
      </c>
      <c r="C116" s="67">
        <v>0.56000000000000005</v>
      </c>
      <c r="D116" s="467">
        <v>268.8</v>
      </c>
    </row>
    <row r="117" spans="1:4" x14ac:dyDescent="0.25">
      <c r="A117" s="50" t="s">
        <v>2793</v>
      </c>
      <c r="B117" s="61">
        <v>1008</v>
      </c>
      <c r="C117" s="67">
        <v>0.55999999999999994</v>
      </c>
      <c r="D117" s="467">
        <v>564.48000000000013</v>
      </c>
    </row>
    <row r="118" spans="1:4" x14ac:dyDescent="0.25">
      <c r="A118" s="50" t="s">
        <v>3083</v>
      </c>
      <c r="B118" s="61">
        <v>656</v>
      </c>
      <c r="C118" s="67">
        <v>0.56000000000000005</v>
      </c>
      <c r="D118" s="467">
        <v>367.36</v>
      </c>
    </row>
    <row r="119" spans="1:4" x14ac:dyDescent="0.25">
      <c r="A119" s="50" t="s">
        <v>3071</v>
      </c>
      <c r="B119" s="61">
        <v>160</v>
      </c>
      <c r="C119" s="67">
        <v>0.56000000000000005</v>
      </c>
      <c r="D119" s="467">
        <v>89.600000000000009</v>
      </c>
    </row>
    <row r="120" spans="1:4" x14ac:dyDescent="0.25">
      <c r="A120" s="50" t="s">
        <v>3072</v>
      </c>
      <c r="B120" s="61">
        <v>192</v>
      </c>
      <c r="C120" s="67">
        <v>0.56000000000000005</v>
      </c>
      <c r="D120" s="467">
        <v>107.51999999999998</v>
      </c>
    </row>
    <row r="121" spans="1:4" x14ac:dyDescent="0.25">
      <c r="A121" s="50" t="s">
        <v>3042</v>
      </c>
      <c r="B121" s="61">
        <v>17630</v>
      </c>
      <c r="C121" s="67">
        <v>0.34715911364603325</v>
      </c>
      <c r="D121" s="467">
        <v>6228.4615000000013</v>
      </c>
    </row>
    <row r="122" spans="1:4" x14ac:dyDescent="0.25">
      <c r="A122" s="50" t="s">
        <v>3090</v>
      </c>
      <c r="B122" s="61">
        <v>810</v>
      </c>
      <c r="C122" s="67">
        <v>0.33429166666666665</v>
      </c>
      <c r="D122" s="467">
        <v>277.71750000000003</v>
      </c>
    </row>
    <row r="123" spans="1:4" x14ac:dyDescent="0.25">
      <c r="A123" s="50" t="s">
        <v>3078</v>
      </c>
      <c r="B123" s="61">
        <v>900</v>
      </c>
      <c r="C123" s="67">
        <v>0.32643750000000005</v>
      </c>
      <c r="D123" s="467">
        <v>299.83499999999998</v>
      </c>
    </row>
    <row r="124" spans="1:4" x14ac:dyDescent="0.25">
      <c r="A124" s="50" t="s">
        <v>3091</v>
      </c>
      <c r="B124" s="61">
        <v>720</v>
      </c>
      <c r="C124" s="67">
        <v>0.35599999999999998</v>
      </c>
      <c r="D124" s="467">
        <v>255.60000000000002</v>
      </c>
    </row>
    <row r="125" spans="1:4" x14ac:dyDescent="0.25">
      <c r="A125" s="50" t="s">
        <v>3046</v>
      </c>
      <c r="B125" s="61">
        <v>8530</v>
      </c>
      <c r="C125" s="67">
        <v>0.36203187275048004</v>
      </c>
      <c r="D125" s="467">
        <v>3071.9095460138219</v>
      </c>
    </row>
    <row r="126" spans="1:4" x14ac:dyDescent="0.25">
      <c r="A126" s="50" t="s">
        <v>3093</v>
      </c>
      <c r="B126" s="61">
        <v>90</v>
      </c>
      <c r="C126" s="67">
        <v>0.36</v>
      </c>
      <c r="D126" s="467">
        <v>32.4</v>
      </c>
    </row>
    <row r="127" spans="1:4" x14ac:dyDescent="0.25">
      <c r="A127" s="50" t="s">
        <v>2201</v>
      </c>
      <c r="B127" s="61">
        <v>90</v>
      </c>
      <c r="C127" s="67">
        <v>0.34</v>
      </c>
      <c r="D127" s="467">
        <v>30.6</v>
      </c>
    </row>
    <row r="128" spans="1:4" x14ac:dyDescent="0.25">
      <c r="A128" s="50" t="s">
        <v>2203</v>
      </c>
      <c r="B128" s="61">
        <v>900</v>
      </c>
      <c r="C128" s="67">
        <v>0.32915</v>
      </c>
      <c r="D128" s="467">
        <v>298.03500000000003</v>
      </c>
    </row>
    <row r="129" spans="1:4" x14ac:dyDescent="0.25">
      <c r="A129" s="50" t="s">
        <v>2981</v>
      </c>
      <c r="B129" s="61">
        <v>4940</v>
      </c>
      <c r="C129" s="67">
        <v>0.34257499999999996</v>
      </c>
      <c r="D129" s="467">
        <v>1726.0740000000003</v>
      </c>
    </row>
    <row r="130" spans="1:4" x14ac:dyDescent="0.25">
      <c r="A130" s="50" t="s">
        <v>1312</v>
      </c>
      <c r="B130" s="61">
        <v>380</v>
      </c>
      <c r="C130" s="67">
        <v>0.37007968187620022</v>
      </c>
      <c r="D130" s="467">
        <v>140.89045398617804</v>
      </c>
    </row>
    <row r="131" spans="1:4" x14ac:dyDescent="0.25">
      <c r="A131" s="50" t="s">
        <v>2207</v>
      </c>
      <c r="B131" s="61">
        <v>270</v>
      </c>
      <c r="C131" s="67">
        <v>0.35</v>
      </c>
      <c r="D131" s="467">
        <v>95.4</v>
      </c>
    </row>
    <row r="132" spans="1:4" x14ac:dyDescent="0.25">
      <c r="A132" s="50" t="s">
        <v>3105</v>
      </c>
      <c r="B132" s="61">
        <v>16068</v>
      </c>
      <c r="C132" s="67">
        <v>0.38029669488582035</v>
      </c>
      <c r="D132" s="467">
        <v>6045.3629235880398</v>
      </c>
    </row>
    <row r="133" spans="1:4" x14ac:dyDescent="0.25">
      <c r="A133" s="50" t="s">
        <v>2864</v>
      </c>
      <c r="B133" s="61">
        <v>1088</v>
      </c>
      <c r="C133" s="67">
        <v>0.41352159468438543</v>
      </c>
      <c r="D133" s="467">
        <v>446.48611295681064</v>
      </c>
    </row>
    <row r="134" spans="1:4" x14ac:dyDescent="0.25">
      <c r="A134" s="50" t="s">
        <v>2295</v>
      </c>
      <c r="B134" s="61">
        <v>3392</v>
      </c>
      <c r="C134" s="67">
        <v>0.38415774578565276</v>
      </c>
      <c r="D134" s="467">
        <v>1262.8645847176081</v>
      </c>
    </row>
    <row r="135" spans="1:4" x14ac:dyDescent="0.25">
      <c r="A135" s="50" t="s">
        <v>2937</v>
      </c>
      <c r="B135" s="61">
        <v>2432</v>
      </c>
      <c r="C135" s="67">
        <v>0.38467746400885938</v>
      </c>
      <c r="D135" s="467">
        <v>910.86458471760784</v>
      </c>
    </row>
    <row r="136" spans="1:4" x14ac:dyDescent="0.25">
      <c r="A136" s="50" t="s">
        <v>2863</v>
      </c>
      <c r="B136" s="61">
        <v>2560</v>
      </c>
      <c r="C136" s="67">
        <v>0.38664451827242519</v>
      </c>
      <c r="D136" s="467">
        <v>995.04478405315604</v>
      </c>
    </row>
    <row r="137" spans="1:4" x14ac:dyDescent="0.25">
      <c r="A137" s="50" t="s">
        <v>2862</v>
      </c>
      <c r="B137" s="61">
        <v>512</v>
      </c>
      <c r="C137" s="67">
        <v>0.36000000000000004</v>
      </c>
      <c r="D137" s="467">
        <v>184.32000000000002</v>
      </c>
    </row>
    <row r="138" spans="1:4" x14ac:dyDescent="0.25">
      <c r="A138" s="50" t="s">
        <v>2297</v>
      </c>
      <c r="B138" s="61">
        <v>512</v>
      </c>
      <c r="C138" s="67">
        <v>0.37226190476190468</v>
      </c>
      <c r="D138" s="467">
        <v>196.23619047619047</v>
      </c>
    </row>
    <row r="139" spans="1:4" x14ac:dyDescent="0.25">
      <c r="A139" s="50" t="s">
        <v>1925</v>
      </c>
      <c r="B139" s="61">
        <v>896</v>
      </c>
      <c r="C139" s="67">
        <v>0.36111111111111116</v>
      </c>
      <c r="D139" s="467">
        <v>324.69333333333333</v>
      </c>
    </row>
    <row r="140" spans="1:4" x14ac:dyDescent="0.25">
      <c r="A140" s="50" t="s">
        <v>1929</v>
      </c>
      <c r="B140" s="61">
        <v>448</v>
      </c>
      <c r="C140" s="67">
        <v>0.36111111111111116</v>
      </c>
      <c r="D140" s="467">
        <v>162.13333333333333</v>
      </c>
    </row>
    <row r="141" spans="1:4" x14ac:dyDescent="0.25">
      <c r="A141" s="50" t="s">
        <v>1927</v>
      </c>
      <c r="B141" s="61">
        <v>320</v>
      </c>
      <c r="C141" s="67">
        <v>0.36111111111111116</v>
      </c>
      <c r="D141" s="467">
        <v>115.84</v>
      </c>
    </row>
    <row r="142" spans="1:4" x14ac:dyDescent="0.25">
      <c r="A142" s="50" t="s">
        <v>4135</v>
      </c>
      <c r="B142" s="61">
        <v>128</v>
      </c>
      <c r="C142" s="67">
        <v>0.36</v>
      </c>
      <c r="D142" s="467">
        <v>46.08</v>
      </c>
    </row>
    <row r="143" spans="1:4" x14ac:dyDescent="0.25">
      <c r="A143" s="50" t="s">
        <v>4249</v>
      </c>
      <c r="B143" s="61">
        <v>320</v>
      </c>
      <c r="C143" s="67">
        <v>0.38040816326530613</v>
      </c>
      <c r="D143" s="467">
        <v>123.03673469387756</v>
      </c>
    </row>
    <row r="144" spans="1:4" x14ac:dyDescent="0.25">
      <c r="A144" s="50" t="s">
        <v>4442</v>
      </c>
      <c r="B144" s="61">
        <v>300</v>
      </c>
      <c r="C144" s="67">
        <v>0.39111475708686538</v>
      </c>
      <c r="D144" s="467">
        <v>117.33442712605961</v>
      </c>
    </row>
    <row r="145" spans="1:4" x14ac:dyDescent="0.25">
      <c r="A145" s="50" t="s">
        <v>4214</v>
      </c>
      <c r="B145" s="61">
        <v>2240</v>
      </c>
      <c r="C145" s="67">
        <v>0.3666721356302981</v>
      </c>
      <c r="D145" s="467">
        <v>821.06557287394048</v>
      </c>
    </row>
    <row r="146" spans="1:4" x14ac:dyDescent="0.25">
      <c r="A146" s="50" t="s">
        <v>4613</v>
      </c>
      <c r="B146" s="61">
        <v>720</v>
      </c>
      <c r="C146" s="67">
        <v>0.36</v>
      </c>
      <c r="D146" s="467">
        <v>259.2</v>
      </c>
    </row>
    <row r="147" spans="1:4" x14ac:dyDescent="0.25">
      <c r="A147" s="50" t="s">
        <v>4471</v>
      </c>
      <c r="B147" s="61">
        <v>100</v>
      </c>
      <c r="C147" s="67">
        <v>0.40081632653061228</v>
      </c>
      <c r="D147" s="467">
        <v>40.081632653061227</v>
      </c>
    </row>
    <row r="148" spans="1:4" x14ac:dyDescent="0.25">
      <c r="A148" s="50" t="s">
        <v>4464</v>
      </c>
      <c r="B148" s="61">
        <v>100</v>
      </c>
      <c r="C148" s="67">
        <v>0.40081632653061228</v>
      </c>
      <c r="D148" s="467">
        <v>40.081632653061227</v>
      </c>
    </row>
    <row r="149" spans="1:4" x14ac:dyDescent="0.25">
      <c r="A149" s="50" t="s">
        <v>51</v>
      </c>
      <c r="B149" s="61">
        <v>1200</v>
      </c>
      <c r="C149" s="67">
        <v>0.55999999999999994</v>
      </c>
      <c r="D149" s="467">
        <v>672</v>
      </c>
    </row>
    <row r="150" spans="1:4" x14ac:dyDescent="0.25">
      <c r="A150" s="50" t="s">
        <v>3084</v>
      </c>
      <c r="B150" s="61">
        <v>816</v>
      </c>
      <c r="C150" s="67">
        <v>0.55999999999999994</v>
      </c>
      <c r="D150" s="467">
        <v>456.96</v>
      </c>
    </row>
    <row r="151" spans="1:4" x14ac:dyDescent="0.25">
      <c r="A151" s="50" t="s">
        <v>3087</v>
      </c>
      <c r="B151" s="61">
        <v>384</v>
      </c>
      <c r="C151" s="67">
        <v>0.55999999999999994</v>
      </c>
      <c r="D151" s="467">
        <v>215.03999999999996</v>
      </c>
    </row>
    <row r="152" spans="1:4" x14ac:dyDescent="0.25">
      <c r="A152" s="50" t="s">
        <v>3107</v>
      </c>
      <c r="B152" s="61">
        <v>96</v>
      </c>
      <c r="C152" s="67">
        <v>0.55999999999999994</v>
      </c>
      <c r="D152" s="467">
        <v>53.759999999999991</v>
      </c>
    </row>
    <row r="153" spans="1:4" x14ac:dyDescent="0.25">
      <c r="A153" s="50" t="s">
        <v>1997</v>
      </c>
      <c r="B153" s="61">
        <v>96</v>
      </c>
      <c r="C153" s="67">
        <v>0.55999999999999994</v>
      </c>
      <c r="D153" s="467">
        <v>53.759999999999991</v>
      </c>
    </row>
    <row r="154" spans="1:4" x14ac:dyDescent="0.25">
      <c r="A154" s="50" t="s">
        <v>4660</v>
      </c>
      <c r="B154" s="61">
        <v>120</v>
      </c>
      <c r="C154" s="67">
        <v>0.37528229857343781</v>
      </c>
      <c r="D154" s="467">
        <v>45.03387582881254</v>
      </c>
    </row>
    <row r="155" spans="1:4" x14ac:dyDescent="0.25">
      <c r="A155" s="50" t="s">
        <v>2964</v>
      </c>
      <c r="B155" s="61">
        <v>120</v>
      </c>
      <c r="C155" s="67">
        <v>0.37528229857343781</v>
      </c>
      <c r="D155" s="467">
        <v>45.03387582881254</v>
      </c>
    </row>
    <row r="156" spans="1:4" x14ac:dyDescent="0.25">
      <c r="A156" s="50" t="s">
        <v>2971</v>
      </c>
      <c r="B156" s="61">
        <v>4670</v>
      </c>
      <c r="C156" s="67">
        <v>0.39218301580884662</v>
      </c>
      <c r="D156" s="467">
        <v>1845.0613001861282</v>
      </c>
    </row>
    <row r="157" spans="1:4" x14ac:dyDescent="0.25">
      <c r="A157" s="50" t="s">
        <v>2342</v>
      </c>
      <c r="B157" s="61">
        <v>320</v>
      </c>
      <c r="C157" s="67">
        <v>0.44</v>
      </c>
      <c r="D157" s="467">
        <v>140.80000000000001</v>
      </c>
    </row>
    <row r="158" spans="1:4" x14ac:dyDescent="0.25">
      <c r="A158" s="50" t="s">
        <v>2279</v>
      </c>
      <c r="B158" s="61">
        <v>2820</v>
      </c>
      <c r="C158" s="67">
        <v>0.38205919580495201</v>
      </c>
      <c r="D158" s="467">
        <v>1097.6463262905952</v>
      </c>
    </row>
    <row r="159" spans="1:4" x14ac:dyDescent="0.25">
      <c r="A159" s="50" t="s">
        <v>2281</v>
      </c>
      <c r="B159" s="61">
        <v>1230</v>
      </c>
      <c r="C159" s="67">
        <v>0.39992426593213976</v>
      </c>
      <c r="D159" s="467">
        <v>492.94224662280584</v>
      </c>
    </row>
    <row r="160" spans="1:4" x14ac:dyDescent="0.25">
      <c r="A160" s="50" t="s">
        <v>4514</v>
      </c>
      <c r="B160" s="61">
        <v>300</v>
      </c>
      <c r="C160" s="67">
        <v>0.37890909090909092</v>
      </c>
      <c r="D160" s="467">
        <v>113.67272727272727</v>
      </c>
    </row>
    <row r="161" spans="1:4" x14ac:dyDescent="0.25">
      <c r="A161" s="50" t="s">
        <v>3182</v>
      </c>
      <c r="B161" s="61">
        <v>2664</v>
      </c>
      <c r="C161" s="67">
        <v>0.70000000000000007</v>
      </c>
      <c r="D161" s="467">
        <v>1864.8</v>
      </c>
    </row>
    <row r="162" spans="1:4" x14ac:dyDescent="0.25">
      <c r="A162" s="50" t="s">
        <v>2938</v>
      </c>
      <c r="B162" s="61">
        <v>1764</v>
      </c>
      <c r="C162" s="67">
        <v>0.70000000000000007</v>
      </c>
      <c r="D162" s="467">
        <v>1234.8</v>
      </c>
    </row>
    <row r="163" spans="1:4" x14ac:dyDescent="0.25">
      <c r="A163" s="50" t="s">
        <v>2932</v>
      </c>
      <c r="B163" s="61">
        <v>360</v>
      </c>
      <c r="C163" s="67">
        <v>0.7</v>
      </c>
      <c r="D163" s="467">
        <v>252</v>
      </c>
    </row>
    <row r="164" spans="1:4" x14ac:dyDescent="0.25">
      <c r="A164" s="50" t="s">
        <v>3183</v>
      </c>
      <c r="B164" s="61">
        <v>360</v>
      </c>
      <c r="C164" s="67">
        <v>0.7</v>
      </c>
      <c r="D164" s="467">
        <v>251.99999999999997</v>
      </c>
    </row>
    <row r="165" spans="1:4" x14ac:dyDescent="0.25">
      <c r="A165" s="50" t="s">
        <v>3150</v>
      </c>
      <c r="B165" s="61">
        <v>180</v>
      </c>
      <c r="C165" s="67">
        <v>0.70000000000000007</v>
      </c>
      <c r="D165" s="467">
        <v>126.00000000000001</v>
      </c>
    </row>
    <row r="166" spans="1:4" x14ac:dyDescent="0.25">
      <c r="A166" s="50" t="s">
        <v>2985</v>
      </c>
      <c r="B166" s="61">
        <v>3744</v>
      </c>
      <c r="C166" s="67">
        <v>0.4747738216229675</v>
      </c>
      <c r="D166" s="467">
        <v>1773.6499259692448</v>
      </c>
    </row>
    <row r="167" spans="1:4" x14ac:dyDescent="0.25">
      <c r="A167" s="50" t="s">
        <v>2172</v>
      </c>
      <c r="B167" s="61">
        <v>1984</v>
      </c>
      <c r="C167" s="67">
        <v>0.48458915343956549</v>
      </c>
      <c r="D167" s="467">
        <v>952.65874810755849</v>
      </c>
    </row>
    <row r="168" spans="1:4" x14ac:dyDescent="0.25">
      <c r="A168" s="50" t="s">
        <v>2984</v>
      </c>
      <c r="B168" s="61">
        <v>192</v>
      </c>
      <c r="C168" s="67">
        <v>0.42870056497175141</v>
      </c>
      <c r="D168" s="467">
        <v>82.310508474576267</v>
      </c>
    </row>
    <row r="169" spans="1:4" x14ac:dyDescent="0.25">
      <c r="A169" s="50" t="s">
        <v>2986</v>
      </c>
      <c r="B169" s="61">
        <v>896</v>
      </c>
      <c r="C169" s="67">
        <v>0.43623352165725054</v>
      </c>
      <c r="D169" s="467">
        <v>389.53943502824859</v>
      </c>
    </row>
    <row r="170" spans="1:4" x14ac:dyDescent="0.25">
      <c r="A170" s="50" t="s">
        <v>2170</v>
      </c>
      <c r="B170" s="61">
        <v>672</v>
      </c>
      <c r="C170" s="67">
        <v>0.51635957263075904</v>
      </c>
      <c r="D170" s="467">
        <v>349.14123435886154</v>
      </c>
    </row>
    <row r="171" spans="1:4" x14ac:dyDescent="0.25">
      <c r="A171" s="50" t="s">
        <v>4661</v>
      </c>
      <c r="B171" s="61">
        <v>100</v>
      </c>
      <c r="C171" s="67">
        <v>0.42870056497175141</v>
      </c>
      <c r="D171" s="467">
        <v>42.870056497175142</v>
      </c>
    </row>
    <row r="172" spans="1:4" x14ac:dyDescent="0.25">
      <c r="A172" s="50" t="s">
        <v>2965</v>
      </c>
      <c r="B172" s="61">
        <v>100</v>
      </c>
      <c r="C172" s="67">
        <v>0.42870056497175141</v>
      </c>
      <c r="D172" s="467">
        <v>42.870056497175142</v>
      </c>
    </row>
    <row r="173" spans="1:4" x14ac:dyDescent="0.25">
      <c r="A173" s="50" t="s">
        <v>3016</v>
      </c>
      <c r="B173" s="61">
        <v>270</v>
      </c>
      <c r="C173" s="67">
        <v>0.50196324308274354</v>
      </c>
      <c r="D173" s="467">
        <v>135.53007563234075</v>
      </c>
    </row>
    <row r="174" spans="1:4" x14ac:dyDescent="0.25">
      <c r="A174" s="50" t="s">
        <v>2820</v>
      </c>
      <c r="B174" s="61">
        <v>180</v>
      </c>
      <c r="C174" s="67">
        <v>0.51710908749801565</v>
      </c>
      <c r="D174" s="467">
        <v>93.079635749642819</v>
      </c>
    </row>
    <row r="175" spans="1:4" x14ac:dyDescent="0.25">
      <c r="A175" s="50" t="s">
        <v>2819</v>
      </c>
      <c r="B175" s="61">
        <v>90</v>
      </c>
      <c r="C175" s="67">
        <v>0.47167155425219942</v>
      </c>
      <c r="D175" s="467">
        <v>42.45043988269795</v>
      </c>
    </row>
    <row r="176" spans="1:4" x14ac:dyDescent="0.25">
      <c r="A176" s="50" t="s">
        <v>2865</v>
      </c>
      <c r="B176" s="61">
        <v>1018</v>
      </c>
      <c r="C176" s="67">
        <v>0.39428571428571424</v>
      </c>
      <c r="D176" s="467">
        <v>392.4</v>
      </c>
    </row>
    <row r="177" spans="1:4" x14ac:dyDescent="0.25">
      <c r="A177" s="50" t="s">
        <v>3056</v>
      </c>
      <c r="B177" s="61">
        <v>99</v>
      </c>
      <c r="C177" s="67">
        <v>0.40799999999999997</v>
      </c>
      <c r="D177" s="467">
        <v>40.391999999999996</v>
      </c>
    </row>
    <row r="178" spans="1:4" x14ac:dyDescent="0.25">
      <c r="A178" s="50" t="s">
        <v>3057</v>
      </c>
      <c r="B178" s="61">
        <v>288</v>
      </c>
      <c r="C178" s="67">
        <v>0.40799999999999997</v>
      </c>
      <c r="D178" s="467">
        <v>117.50399999999999</v>
      </c>
    </row>
    <row r="179" spans="1:4" x14ac:dyDescent="0.25">
      <c r="A179" s="50" t="s">
        <v>4406</v>
      </c>
      <c r="B179" s="61">
        <v>528</v>
      </c>
      <c r="C179" s="67">
        <v>0.38400000000000001</v>
      </c>
      <c r="D179" s="467">
        <v>195.83999999999997</v>
      </c>
    </row>
    <row r="180" spans="1:4" x14ac:dyDescent="0.25">
      <c r="A180" s="50" t="s">
        <v>3058</v>
      </c>
      <c r="B180" s="61">
        <v>103</v>
      </c>
      <c r="C180" s="67">
        <v>0.38400000000000001</v>
      </c>
      <c r="D180" s="467">
        <v>38.664000000000001</v>
      </c>
    </row>
    <row r="181" spans="1:4" x14ac:dyDescent="0.25">
      <c r="A181" s="50" t="s">
        <v>4662</v>
      </c>
      <c r="B181" s="61">
        <v>1700</v>
      </c>
      <c r="C181" s="67">
        <v>0.54393162393162398</v>
      </c>
      <c r="D181" s="467">
        <v>1013.5999999999999</v>
      </c>
    </row>
    <row r="182" spans="1:4" x14ac:dyDescent="0.25">
      <c r="A182" s="50" t="s">
        <v>4129</v>
      </c>
      <c r="B182" s="61">
        <v>1080</v>
      </c>
      <c r="C182" s="67">
        <v>0.60786324786324786</v>
      </c>
      <c r="D182" s="467">
        <v>716.8</v>
      </c>
    </row>
    <row r="183" spans="1:4" x14ac:dyDescent="0.25">
      <c r="A183" s="50" t="s">
        <v>4124</v>
      </c>
      <c r="B183" s="61">
        <v>300</v>
      </c>
      <c r="C183" s="67">
        <v>0.44</v>
      </c>
      <c r="D183" s="467">
        <v>132</v>
      </c>
    </row>
    <row r="184" spans="1:4" x14ac:dyDescent="0.25">
      <c r="A184" s="50" t="s">
        <v>4130</v>
      </c>
      <c r="B184" s="61">
        <v>200</v>
      </c>
      <c r="C184" s="67">
        <v>0.56000000000000005</v>
      </c>
      <c r="D184" s="467">
        <v>112.00000000000001</v>
      </c>
    </row>
    <row r="185" spans="1:4" x14ac:dyDescent="0.25">
      <c r="A185" s="50" t="s">
        <v>4127</v>
      </c>
      <c r="B185" s="61">
        <v>120</v>
      </c>
      <c r="C185" s="67">
        <v>0.44</v>
      </c>
      <c r="D185" s="467">
        <v>52.8</v>
      </c>
    </row>
    <row r="186" spans="1:4" x14ac:dyDescent="0.25">
      <c r="A186" s="50" t="s">
        <v>4665</v>
      </c>
      <c r="B186" s="61">
        <v>2961</v>
      </c>
      <c r="C186" s="67">
        <v>0.52500000000000002</v>
      </c>
      <c r="D186" s="467">
        <v>1626.03</v>
      </c>
    </row>
    <row r="187" spans="1:4" x14ac:dyDescent="0.25">
      <c r="A187" s="50" t="s">
        <v>4526</v>
      </c>
      <c r="B187" s="61">
        <v>1305</v>
      </c>
      <c r="C187" s="67">
        <v>0.56000000000000005</v>
      </c>
      <c r="D187" s="467">
        <v>730.80000000000018</v>
      </c>
    </row>
    <row r="188" spans="1:4" x14ac:dyDescent="0.25">
      <c r="A188" s="50" t="s">
        <v>4528</v>
      </c>
      <c r="B188" s="61">
        <v>666</v>
      </c>
      <c r="C188" s="67">
        <v>0.45499999999999996</v>
      </c>
      <c r="D188" s="467">
        <v>340.83</v>
      </c>
    </row>
    <row r="189" spans="1:4" x14ac:dyDescent="0.25">
      <c r="A189" s="50" t="s">
        <v>4609</v>
      </c>
      <c r="B189" s="61">
        <v>630</v>
      </c>
      <c r="C189" s="67">
        <v>0.56000000000000005</v>
      </c>
      <c r="D189" s="467">
        <v>352.8</v>
      </c>
    </row>
    <row r="190" spans="1:4" x14ac:dyDescent="0.25">
      <c r="A190" s="50" t="s">
        <v>4611</v>
      </c>
      <c r="B190" s="61">
        <v>360</v>
      </c>
      <c r="C190" s="67">
        <v>0.55999999999999994</v>
      </c>
      <c r="D190" s="467">
        <v>201.59999999999997</v>
      </c>
    </row>
    <row r="191" spans="1:4" x14ac:dyDescent="0.25">
      <c r="A191" s="50" t="s">
        <v>2829</v>
      </c>
      <c r="B191" s="61">
        <v>300</v>
      </c>
      <c r="C191" s="67">
        <v>0</v>
      </c>
      <c r="D191" s="467">
        <v>0</v>
      </c>
    </row>
    <row r="192" spans="1:4" x14ac:dyDescent="0.25">
      <c r="A192" s="50" t="s">
        <v>2828</v>
      </c>
      <c r="B192" s="61">
        <v>300</v>
      </c>
      <c r="C192" s="67">
        <v>0</v>
      </c>
      <c r="D192" s="467">
        <v>0</v>
      </c>
    </row>
    <row r="193" spans="1:4" x14ac:dyDescent="0.25">
      <c r="A193" s="50" t="s">
        <v>4666</v>
      </c>
      <c r="B193" s="61">
        <v>480</v>
      </c>
      <c r="C193" s="67">
        <v>0.56000000000000005</v>
      </c>
      <c r="D193" s="467">
        <v>268.8</v>
      </c>
    </row>
    <row r="194" spans="1:4" x14ac:dyDescent="0.25">
      <c r="A194" s="50" t="s">
        <v>2913</v>
      </c>
      <c r="B194" s="61">
        <v>480</v>
      </c>
      <c r="C194" s="67">
        <v>0.56000000000000005</v>
      </c>
      <c r="D194" s="467">
        <v>268.8</v>
      </c>
    </row>
    <row r="195" spans="1:4" x14ac:dyDescent="0.25">
      <c r="A195" s="50" t="s">
        <v>3106</v>
      </c>
      <c r="B195" s="61">
        <v>180</v>
      </c>
      <c r="C195" s="67">
        <v>0.4975</v>
      </c>
      <c r="D195" s="467">
        <v>89.55</v>
      </c>
    </row>
    <row r="196" spans="1:4" x14ac:dyDescent="0.25">
      <c r="A196" s="50" t="s">
        <v>1984</v>
      </c>
      <c r="B196" s="61">
        <v>90</v>
      </c>
      <c r="C196" s="67">
        <v>0.4975</v>
      </c>
      <c r="D196" s="467">
        <v>44.774999999999999</v>
      </c>
    </row>
    <row r="197" spans="1:4" x14ac:dyDescent="0.25">
      <c r="A197" s="50" t="s">
        <v>1986</v>
      </c>
      <c r="B197" s="61">
        <v>90</v>
      </c>
      <c r="C197" s="67">
        <v>0.4975</v>
      </c>
      <c r="D197" s="467">
        <v>44.774999999999999</v>
      </c>
    </row>
    <row r="198" spans="1:4" x14ac:dyDescent="0.25">
      <c r="A198" s="50" t="s">
        <v>4599</v>
      </c>
      <c r="B198" s="61">
        <v>202695</v>
      </c>
      <c r="C198" s="67">
        <v>0.4206588911912435</v>
      </c>
      <c r="D198" s="467">
        <v>85749.734423588088</v>
      </c>
    </row>
  </sheetData>
  <phoneticPr fontId="25" type="noConversion"/>
  <pageMargins left="0.7" right="0.7" top="0.75" bottom="0.75" header="0.3" footer="0.3"/>
  <drawing r:id="rId2"/>
  <extLst>
    <ext xmlns:x14="http://schemas.microsoft.com/office/spreadsheetml/2009/9/main" uri="{A8765BA9-456A-4dab-B4F3-ACF838C121DE}">
      <x14:slicerList>
        <x14:slicer r:id="rId3"/>
      </x14:slicerList>
    </ext>
    <ext xmlns:x15="http://schemas.microsoft.com/office/spreadsheetml/2010/11/main" uri="{7E03D99C-DC04-49d9-9315-930204A7B6E9}">
      <x15:timelineRefs>
        <x15:timelineRef r:id="rId4"/>
      </x15:timelineRef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2C9B6E-EB0F-4646-9287-66288D3C4499}">
  <sheetPr codeName="Sheet1">
    <tabColor theme="6" tint="0.39997558519241921"/>
  </sheetPr>
  <dimension ref="A1:S84"/>
  <sheetViews>
    <sheetView showGridLines="0" workbookViewId="0">
      <selection activeCell="G12" sqref="G12"/>
    </sheetView>
  </sheetViews>
  <sheetFormatPr defaultColWidth="8.81640625" defaultRowHeight="13" x14ac:dyDescent="0.3"/>
  <cols>
    <col min="1" max="1" width="13.1796875" style="41" bestFit="1" customWidth="1"/>
    <col min="2" max="2" width="14.453125" style="41" bestFit="1" customWidth="1"/>
    <col min="3" max="3" width="14" style="41" bestFit="1" customWidth="1"/>
    <col min="4" max="4" width="12.54296875" style="41" customWidth="1"/>
    <col min="5" max="5" width="16" style="41" customWidth="1"/>
    <col min="6" max="10" width="8.81640625" style="41"/>
    <col min="11" max="11" width="14.1796875" style="41" bestFit="1" customWidth="1"/>
    <col min="12" max="12" width="10.54296875" style="41" bestFit="1" customWidth="1"/>
    <col min="13" max="13" width="15.81640625" style="41" customWidth="1"/>
    <col min="14" max="14" width="11.08984375" style="46" bestFit="1" customWidth="1"/>
    <col min="15" max="15" width="8.81640625" style="46"/>
    <col min="16" max="16384" width="8.81640625" style="41"/>
  </cols>
  <sheetData>
    <row r="1" spans="1:19" x14ac:dyDescent="0.3">
      <c r="A1" s="62" t="s">
        <v>4598</v>
      </c>
      <c r="B1" s="61" t="s">
        <v>4600</v>
      </c>
      <c r="C1" s="61"/>
      <c r="D1" s="61"/>
      <c r="E1" s="61"/>
      <c r="F1" s="61"/>
      <c r="G1" s="61"/>
      <c r="H1" s="61"/>
      <c r="I1" s="61"/>
      <c r="J1" s="61"/>
      <c r="K1" s="61"/>
      <c r="L1" s="61"/>
      <c r="M1" s="614" t="s">
        <v>3266</v>
      </c>
      <c r="N1" s="615"/>
      <c r="O1" s="615"/>
      <c r="P1" s="615"/>
      <c r="Q1" s="615"/>
      <c r="R1" s="616"/>
      <c r="S1" s="68"/>
    </row>
    <row r="2" spans="1:19" x14ac:dyDescent="0.3">
      <c r="A2" s="61"/>
      <c r="B2" s="61"/>
      <c r="C2" s="61"/>
      <c r="D2" s="61"/>
      <c r="E2" s="61"/>
      <c r="F2" s="61"/>
      <c r="G2" s="61"/>
      <c r="H2" s="61"/>
      <c r="I2" s="61"/>
      <c r="J2" s="61"/>
      <c r="K2" s="61"/>
      <c r="L2" s="61"/>
      <c r="M2" s="617"/>
      <c r="N2" s="618"/>
      <c r="O2" s="618"/>
      <c r="P2" s="618"/>
      <c r="Q2" s="618"/>
      <c r="R2" s="619"/>
      <c r="S2" s="68"/>
    </row>
    <row r="3" spans="1:19" x14ac:dyDescent="0.3">
      <c r="A3" s="62" t="s">
        <v>4597</v>
      </c>
      <c r="B3" s="62" t="s">
        <v>4596</v>
      </c>
      <c r="C3" s="62" t="s">
        <v>4595</v>
      </c>
      <c r="D3" s="62"/>
      <c r="E3" s="61"/>
      <c r="F3" s="61"/>
      <c r="G3" s="61"/>
      <c r="H3" s="61"/>
      <c r="I3" s="61"/>
      <c r="J3" s="61"/>
      <c r="K3" s="61"/>
      <c r="L3" s="61"/>
      <c r="M3" s="617"/>
      <c r="N3" s="618"/>
      <c r="O3" s="618"/>
      <c r="P3" s="618"/>
      <c r="Q3" s="618"/>
      <c r="R3" s="619"/>
      <c r="S3" s="68"/>
    </row>
    <row r="4" spans="1:19" x14ac:dyDescent="0.3">
      <c r="A4" s="69">
        <v>46191</v>
      </c>
      <c r="B4" s="61" t="s">
        <v>4750</v>
      </c>
      <c r="C4" s="61" t="s">
        <v>4782</v>
      </c>
      <c r="D4" s="61"/>
      <c r="E4" s="61"/>
      <c r="F4" s="61"/>
      <c r="G4" s="61"/>
      <c r="H4" s="61"/>
      <c r="I4" s="61"/>
      <c r="J4" s="61"/>
      <c r="K4" s="61"/>
      <c r="L4" s="61"/>
      <c r="M4" s="617"/>
      <c r="N4" s="618"/>
      <c r="O4" s="618"/>
      <c r="P4" s="618"/>
      <c r="Q4" s="618"/>
      <c r="R4" s="619"/>
      <c r="S4" s="68"/>
    </row>
    <row r="5" spans="1:19" x14ac:dyDescent="0.3">
      <c r="A5" s="61"/>
      <c r="B5" s="61"/>
      <c r="C5" s="61" t="s">
        <v>4784</v>
      </c>
      <c r="D5" s="61"/>
      <c r="E5" s="61"/>
      <c r="F5" s="61"/>
      <c r="G5" s="61"/>
      <c r="H5" s="61"/>
      <c r="I5" s="61"/>
      <c r="J5" s="61"/>
      <c r="K5" s="61"/>
      <c r="L5" s="61"/>
      <c r="M5" s="617"/>
      <c r="N5" s="618"/>
      <c r="O5" s="618"/>
      <c r="P5" s="618"/>
      <c r="Q5" s="618"/>
      <c r="R5" s="619"/>
      <c r="S5" s="68"/>
    </row>
    <row r="6" spans="1:19" x14ac:dyDescent="0.3">
      <c r="A6" s="61"/>
      <c r="B6" s="61"/>
      <c r="C6" s="61" t="s">
        <v>4787</v>
      </c>
      <c r="D6" s="61"/>
      <c r="E6" s="61"/>
      <c r="F6" s="61"/>
      <c r="G6" s="61"/>
      <c r="H6" s="61"/>
      <c r="I6" s="61"/>
      <c r="J6" s="61"/>
      <c r="K6" s="61"/>
      <c r="L6" s="61"/>
      <c r="M6" s="617"/>
      <c r="N6" s="618"/>
      <c r="O6" s="618"/>
      <c r="P6" s="618"/>
      <c r="Q6" s="618"/>
      <c r="R6" s="619"/>
      <c r="S6" s="68"/>
    </row>
    <row r="7" spans="1:19" x14ac:dyDescent="0.3">
      <c r="A7" s="61" t="s">
        <v>4599</v>
      </c>
      <c r="B7" s="61"/>
      <c r="C7" s="61"/>
      <c r="D7" s="61"/>
      <c r="E7" s="61"/>
      <c r="F7" s="61"/>
      <c r="G7" s="61"/>
      <c r="H7" s="61"/>
      <c r="I7" s="61"/>
      <c r="J7" s="61"/>
      <c r="K7" s="61"/>
      <c r="L7" s="61"/>
      <c r="M7" s="617"/>
      <c r="N7" s="618"/>
      <c r="O7" s="618"/>
      <c r="P7" s="618"/>
      <c r="Q7" s="618"/>
      <c r="R7" s="619"/>
      <c r="S7" s="68"/>
    </row>
    <row r="8" spans="1:19" ht="14.5" x14ac:dyDescent="0.3">
      <c r="A8"/>
      <c r="B8"/>
      <c r="C8"/>
      <c r="D8" s="61"/>
      <c r="E8" s="61"/>
      <c r="F8" s="61"/>
      <c r="G8" s="61"/>
      <c r="H8" s="61"/>
      <c r="I8" s="61"/>
      <c r="J8" s="61"/>
      <c r="K8" s="61"/>
      <c r="L8" s="61"/>
      <c r="M8" s="617"/>
      <c r="N8" s="618"/>
      <c r="O8" s="618"/>
      <c r="P8" s="618"/>
      <c r="Q8" s="618"/>
      <c r="R8" s="619"/>
      <c r="S8" s="68"/>
    </row>
    <row r="9" spans="1:19" ht="14.5" x14ac:dyDescent="0.3">
      <c r="A9"/>
      <c r="B9"/>
      <c r="C9"/>
      <c r="D9" s="61"/>
      <c r="E9" s="61"/>
      <c r="F9" s="61"/>
      <c r="G9" s="61"/>
      <c r="H9" s="61"/>
      <c r="I9" s="61"/>
      <c r="J9" s="61"/>
      <c r="K9" s="61"/>
      <c r="L9" s="61"/>
      <c r="M9" s="617"/>
      <c r="N9" s="618"/>
      <c r="O9" s="618"/>
      <c r="P9" s="618"/>
      <c r="Q9" s="618"/>
      <c r="R9" s="619"/>
      <c r="S9" s="68"/>
    </row>
    <row r="10" spans="1:19" ht="14.5" x14ac:dyDescent="0.3">
      <c r="A10"/>
      <c r="B10"/>
      <c r="C10"/>
      <c r="D10" s="61"/>
      <c r="E10" s="61"/>
      <c r="F10" s="61"/>
      <c r="G10" s="61"/>
      <c r="H10" s="61"/>
      <c r="I10" s="61"/>
      <c r="J10" s="61"/>
      <c r="K10" s="61"/>
      <c r="L10" s="61"/>
      <c r="M10" s="617"/>
      <c r="N10" s="618"/>
      <c r="O10" s="618"/>
      <c r="P10" s="618"/>
      <c r="Q10" s="618"/>
      <c r="R10" s="619"/>
      <c r="S10" s="68"/>
    </row>
    <row r="11" spans="1:19" ht="14.5" x14ac:dyDescent="0.3">
      <c r="A11"/>
      <c r="B11"/>
      <c r="C11"/>
      <c r="D11" s="61"/>
      <c r="E11" s="61"/>
      <c r="F11" s="61"/>
      <c r="G11" s="61"/>
      <c r="H11" s="61"/>
      <c r="I11" s="61"/>
      <c r="J11" s="61"/>
      <c r="K11" s="61"/>
      <c r="L11" s="61"/>
      <c r="M11" s="617"/>
      <c r="N11" s="618"/>
      <c r="O11" s="618"/>
      <c r="P11" s="618"/>
      <c r="Q11" s="618"/>
      <c r="R11" s="619"/>
      <c r="S11" s="68"/>
    </row>
    <row r="12" spans="1:19" ht="14.5" x14ac:dyDescent="0.3">
      <c r="A12"/>
      <c r="B12"/>
      <c r="C12"/>
      <c r="D12" s="61"/>
      <c r="E12" s="61"/>
      <c r="F12" s="61"/>
      <c r="G12" s="61"/>
      <c r="H12" s="61"/>
      <c r="I12" s="61"/>
      <c r="J12" s="61"/>
      <c r="K12" s="61"/>
      <c r="L12" s="61"/>
      <c r="M12" s="617"/>
      <c r="N12" s="618"/>
      <c r="O12" s="618"/>
      <c r="P12" s="618"/>
      <c r="Q12" s="618"/>
      <c r="R12" s="619"/>
      <c r="S12" s="68"/>
    </row>
    <row r="13" spans="1:19" ht="14.5" x14ac:dyDescent="0.3">
      <c r="A13"/>
      <c r="B13"/>
      <c r="C13"/>
      <c r="D13" s="61"/>
      <c r="E13" s="61"/>
      <c r="F13" s="61"/>
      <c r="G13" s="61"/>
      <c r="H13" s="61"/>
      <c r="I13" s="61"/>
      <c r="J13" s="61"/>
      <c r="K13" s="61"/>
      <c r="L13" s="61"/>
      <c r="M13" s="617"/>
      <c r="N13" s="618"/>
      <c r="O13" s="618"/>
      <c r="P13" s="618"/>
      <c r="Q13" s="618"/>
      <c r="R13" s="619"/>
      <c r="S13" s="68"/>
    </row>
    <row r="14" spans="1:19" ht="14.5" x14ac:dyDescent="0.3">
      <c r="A14"/>
      <c r="B14"/>
      <c r="C14"/>
      <c r="D14" s="61"/>
      <c r="E14" s="61"/>
      <c r="F14" s="61"/>
      <c r="G14" s="61"/>
      <c r="H14" s="61"/>
      <c r="I14" s="61"/>
      <c r="J14" s="61"/>
      <c r="K14" s="61"/>
      <c r="L14" s="61"/>
      <c r="M14" s="617"/>
      <c r="N14" s="618"/>
      <c r="O14" s="618"/>
      <c r="P14" s="618"/>
      <c r="Q14" s="618"/>
      <c r="R14" s="619"/>
      <c r="S14" s="68"/>
    </row>
    <row r="15" spans="1:19" ht="14.5" x14ac:dyDescent="0.3">
      <c r="A15"/>
      <c r="B15"/>
      <c r="C15"/>
      <c r="D15" s="61"/>
      <c r="E15" s="61"/>
      <c r="F15" s="61"/>
      <c r="G15" s="61"/>
      <c r="H15" s="61"/>
      <c r="I15" s="61"/>
      <c r="J15" s="61"/>
      <c r="K15" s="61"/>
      <c r="L15" s="61"/>
      <c r="M15" s="617"/>
      <c r="N15" s="618"/>
      <c r="O15" s="618"/>
      <c r="P15" s="618"/>
      <c r="Q15" s="618"/>
      <c r="R15" s="619"/>
      <c r="S15" s="68"/>
    </row>
    <row r="16" spans="1:19" ht="14.5" x14ac:dyDescent="0.3">
      <c r="A16"/>
      <c r="B16"/>
      <c r="C16"/>
      <c r="D16" s="61"/>
      <c r="E16" s="61"/>
      <c r="F16" s="61"/>
      <c r="G16" s="61"/>
      <c r="H16" s="61"/>
      <c r="I16" s="61"/>
      <c r="J16" s="61"/>
      <c r="K16" s="61"/>
      <c r="L16" s="61"/>
      <c r="M16" s="617"/>
      <c r="N16" s="618"/>
      <c r="O16" s="618"/>
      <c r="P16" s="618"/>
      <c r="Q16" s="618"/>
      <c r="R16" s="619"/>
      <c r="S16" s="68"/>
    </row>
    <row r="17" spans="1:19" ht="14.5" x14ac:dyDescent="0.3">
      <c r="A17"/>
      <c r="B17"/>
      <c r="C17"/>
      <c r="D17" s="61"/>
      <c r="E17" s="61"/>
      <c r="F17" s="61"/>
      <c r="G17" s="61"/>
      <c r="H17" s="61"/>
      <c r="I17" s="61"/>
      <c r="J17" s="61"/>
      <c r="K17" s="61"/>
      <c r="L17" s="61"/>
      <c r="M17" s="617"/>
      <c r="N17" s="618"/>
      <c r="O17" s="618"/>
      <c r="P17" s="618"/>
      <c r="Q17" s="618"/>
      <c r="R17" s="619"/>
      <c r="S17" s="68"/>
    </row>
    <row r="18" spans="1:19" ht="15" thickBot="1" x14ac:dyDescent="0.35">
      <c r="A18"/>
      <c r="B18"/>
      <c r="C18"/>
      <c r="D18" s="61"/>
      <c r="E18" s="61"/>
      <c r="F18" s="61"/>
      <c r="G18" s="61"/>
      <c r="H18" s="61"/>
      <c r="I18" s="61"/>
      <c r="J18" s="61"/>
      <c r="K18" s="61"/>
      <c r="L18" s="61"/>
      <c r="M18" s="617"/>
      <c r="N18" s="618"/>
      <c r="O18" s="618"/>
      <c r="P18" s="618"/>
      <c r="Q18" s="618"/>
      <c r="R18" s="619"/>
      <c r="S18" s="68"/>
    </row>
    <row r="19" spans="1:19" ht="14.5" x14ac:dyDescent="0.3">
      <c r="A19"/>
      <c r="B19"/>
      <c r="C19"/>
      <c r="D19" s="61"/>
      <c r="E19" s="623" t="str">
        <f>_xlfn.TEXTJOIN(",",TRUE,C4:C40)</f>
        <v>FBA19FYYN3FG,FBA19FZ47Y4S,FBA19G690J88</v>
      </c>
      <c r="F19" s="624"/>
      <c r="G19" s="624"/>
      <c r="H19" s="624"/>
      <c r="I19" s="624"/>
      <c r="J19" s="624"/>
      <c r="K19" s="625"/>
      <c r="L19" s="61"/>
      <c r="M19" s="617"/>
      <c r="N19" s="618"/>
      <c r="O19" s="618"/>
      <c r="P19" s="618"/>
      <c r="Q19" s="618"/>
      <c r="R19" s="619"/>
      <c r="S19" s="68"/>
    </row>
    <row r="20" spans="1:19" ht="14.5" x14ac:dyDescent="0.3">
      <c r="A20"/>
      <c r="B20"/>
      <c r="C20"/>
      <c r="D20" s="61"/>
      <c r="E20" s="626"/>
      <c r="F20" s="627"/>
      <c r="G20" s="627"/>
      <c r="H20" s="627"/>
      <c r="I20" s="627"/>
      <c r="J20" s="627"/>
      <c r="K20" s="628"/>
      <c r="L20" s="61"/>
      <c r="M20" s="617"/>
      <c r="N20" s="618"/>
      <c r="O20" s="618"/>
      <c r="P20" s="618"/>
      <c r="Q20" s="618"/>
      <c r="R20" s="619"/>
      <c r="S20" s="68"/>
    </row>
    <row r="21" spans="1:19" ht="14.5" x14ac:dyDescent="0.3">
      <c r="A21"/>
      <c r="B21"/>
      <c r="C21"/>
      <c r="D21" s="61"/>
      <c r="E21" s="626"/>
      <c r="F21" s="627"/>
      <c r="G21" s="627"/>
      <c r="H21" s="627"/>
      <c r="I21" s="627"/>
      <c r="J21" s="627"/>
      <c r="K21" s="628"/>
      <c r="L21" s="61"/>
      <c r="M21" s="617"/>
      <c r="N21" s="618"/>
      <c r="O21" s="618"/>
      <c r="P21" s="618"/>
      <c r="Q21" s="618"/>
      <c r="R21" s="619"/>
      <c r="S21" s="68"/>
    </row>
    <row r="22" spans="1:19" ht="14.5" x14ac:dyDescent="0.3">
      <c r="A22"/>
      <c r="B22"/>
      <c r="C22"/>
      <c r="D22" s="61"/>
      <c r="E22" s="626"/>
      <c r="F22" s="627"/>
      <c r="G22" s="627"/>
      <c r="H22" s="627"/>
      <c r="I22" s="627"/>
      <c r="J22" s="627"/>
      <c r="K22" s="628"/>
      <c r="L22" s="61"/>
      <c r="M22" s="617"/>
      <c r="N22" s="618"/>
      <c r="O22" s="618"/>
      <c r="P22" s="618"/>
      <c r="Q22" s="618"/>
      <c r="R22" s="619"/>
      <c r="S22" s="68"/>
    </row>
    <row r="23" spans="1:19" ht="14.5" x14ac:dyDescent="0.3">
      <c r="A23"/>
      <c r="B23"/>
      <c r="C23"/>
      <c r="D23" s="61"/>
      <c r="E23" s="626"/>
      <c r="F23" s="627"/>
      <c r="G23" s="627"/>
      <c r="H23" s="627"/>
      <c r="I23" s="627"/>
      <c r="J23" s="627"/>
      <c r="K23" s="628"/>
      <c r="L23" s="61"/>
      <c r="M23" s="617"/>
      <c r="N23" s="618"/>
      <c r="O23" s="618"/>
      <c r="P23" s="618"/>
      <c r="Q23" s="618"/>
      <c r="R23" s="619"/>
      <c r="S23" s="68"/>
    </row>
    <row r="24" spans="1:19" ht="14.5" x14ac:dyDescent="0.3">
      <c r="A24"/>
      <c r="B24"/>
      <c r="C24"/>
      <c r="D24" s="61"/>
      <c r="E24" s="626"/>
      <c r="F24" s="627"/>
      <c r="G24" s="627"/>
      <c r="H24" s="627"/>
      <c r="I24" s="627"/>
      <c r="J24" s="627"/>
      <c r="K24" s="628"/>
      <c r="L24" s="61"/>
      <c r="M24" s="620"/>
      <c r="N24" s="621"/>
      <c r="O24" s="621"/>
      <c r="P24" s="621"/>
      <c r="Q24" s="621"/>
      <c r="R24" s="622"/>
      <c r="S24" s="68"/>
    </row>
    <row r="25" spans="1:19" ht="15" thickBot="1" x14ac:dyDescent="0.35">
      <c r="A25"/>
      <c r="B25"/>
      <c r="C25"/>
      <c r="D25" s="61"/>
      <c r="E25" s="629"/>
      <c r="F25" s="630"/>
      <c r="G25" s="630"/>
      <c r="H25" s="630"/>
      <c r="I25" s="630"/>
      <c r="J25" s="630"/>
      <c r="K25" s="631"/>
      <c r="L25" s="61"/>
      <c r="M25" s="68"/>
      <c r="N25" s="70"/>
      <c r="O25" s="70"/>
      <c r="P25" s="68"/>
      <c r="Q25" s="68"/>
      <c r="R25" s="68"/>
      <c r="S25" s="68"/>
    </row>
    <row r="26" spans="1:19" ht="14.5" x14ac:dyDescent="0.3">
      <c r="A26"/>
      <c r="B26"/>
      <c r="C26"/>
      <c r="D26" s="61"/>
      <c r="E26" s="61"/>
      <c r="F26" s="61"/>
      <c r="G26" s="61"/>
      <c r="H26" s="61"/>
      <c r="I26" s="61"/>
      <c r="J26" s="61"/>
      <c r="K26" s="61"/>
      <c r="L26" s="61"/>
      <c r="M26" s="68"/>
      <c r="N26" s="70"/>
      <c r="O26" s="70"/>
      <c r="P26" s="68"/>
      <c r="Q26" s="68"/>
      <c r="R26" s="68"/>
      <c r="S26" s="68"/>
    </row>
    <row r="27" spans="1:19" ht="14.5" x14ac:dyDescent="0.3">
      <c r="A27"/>
      <c r="B27"/>
      <c r="C27"/>
      <c r="D27" s="61"/>
      <c r="E27" s="61"/>
      <c r="F27" s="61"/>
      <c r="G27" s="61"/>
      <c r="H27" s="61"/>
      <c r="I27" s="61"/>
      <c r="J27" s="61"/>
      <c r="K27" s="61"/>
      <c r="L27" s="61"/>
      <c r="M27" s="61"/>
      <c r="N27" s="60"/>
      <c r="O27" s="60"/>
      <c r="P27" s="68"/>
      <c r="Q27" s="68"/>
      <c r="R27" s="68"/>
      <c r="S27" s="68"/>
    </row>
    <row r="28" spans="1:19" ht="14.5" x14ac:dyDescent="0.3">
      <c r="A28"/>
      <c r="B28"/>
      <c r="C28"/>
      <c r="D28" s="61"/>
      <c r="E28" s="61"/>
      <c r="F28" s="61"/>
      <c r="G28" s="61"/>
      <c r="H28" s="61"/>
      <c r="I28" s="61"/>
      <c r="J28" s="61"/>
      <c r="K28" s="61"/>
      <c r="L28" s="61"/>
      <c r="M28" s="61" t="s">
        <v>3267</v>
      </c>
      <c r="N28" s="71" t="s">
        <v>3265</v>
      </c>
      <c r="O28" s="60" t="s">
        <v>3268</v>
      </c>
      <c r="P28" s="68"/>
      <c r="Q28" s="68"/>
      <c r="R28" s="68"/>
      <c r="S28" s="68"/>
    </row>
    <row r="29" spans="1:19" ht="14.5" x14ac:dyDescent="0.3">
      <c r="A29"/>
      <c r="B29"/>
      <c r="C29"/>
      <c r="D29" s="61"/>
      <c r="E29" s="61"/>
      <c r="F29" s="61"/>
      <c r="G29" s="61"/>
      <c r="H29" s="61"/>
      <c r="I29" s="61"/>
      <c r="J29" s="61"/>
      <c r="K29" s="61"/>
      <c r="L29" s="61"/>
      <c r="M29" s="61" t="s">
        <v>4601</v>
      </c>
      <c r="N29" s="71">
        <v>46197</v>
      </c>
      <c r="O29" s="60" t="s">
        <v>3269</v>
      </c>
      <c r="P29" s="68"/>
      <c r="Q29" s="68"/>
      <c r="R29" s="68"/>
      <c r="S29" s="68"/>
    </row>
    <row r="30" spans="1:19" ht="14.5" x14ac:dyDescent="0.3">
      <c r="A30"/>
      <c r="B30"/>
      <c r="C30"/>
      <c r="D30" s="61"/>
      <c r="E30" s="61"/>
      <c r="F30" s="61"/>
      <c r="G30" s="61"/>
      <c r="H30" s="61"/>
      <c r="I30" s="61"/>
      <c r="J30" s="61"/>
      <c r="K30" s="61"/>
      <c r="L30" s="61"/>
      <c r="M30" s="61"/>
      <c r="N30" s="71"/>
      <c r="O30" s="60"/>
      <c r="P30" s="61"/>
      <c r="Q30" s="68"/>
      <c r="R30" s="68"/>
      <c r="S30" s="68"/>
    </row>
    <row r="31" spans="1:19" ht="14.5" x14ac:dyDescent="0.3">
      <c r="A31"/>
      <c r="B31"/>
      <c r="C31"/>
      <c r="D31" s="61"/>
      <c r="E31" s="61"/>
      <c r="F31" s="61"/>
      <c r="G31" s="61"/>
      <c r="H31" s="61"/>
      <c r="I31" s="61"/>
      <c r="J31" s="61"/>
      <c r="K31" s="61"/>
      <c r="L31" s="61"/>
      <c r="M31" s="570"/>
      <c r="N31" s="571"/>
      <c r="O31" s="571"/>
      <c r="P31" s="61"/>
      <c r="Q31" s="68"/>
      <c r="R31" s="68"/>
      <c r="S31" s="68"/>
    </row>
    <row r="32" spans="1:19" ht="14.5" x14ac:dyDescent="0.3">
      <c r="A32"/>
      <c r="B32"/>
      <c r="C32"/>
      <c r="D32" s="61"/>
      <c r="E32" s="61"/>
      <c r="F32" s="61"/>
      <c r="G32" s="61"/>
      <c r="H32" s="61"/>
      <c r="I32" s="61"/>
      <c r="J32" s="61"/>
      <c r="K32" s="61"/>
      <c r="L32" s="61"/>
      <c r="N32" s="572"/>
      <c r="O32" s="571"/>
      <c r="P32" s="61"/>
      <c r="Q32" s="68"/>
      <c r="R32" s="68"/>
      <c r="S32" s="68"/>
    </row>
    <row r="33" spans="1:19" ht="13.5" customHeight="1" x14ac:dyDescent="0.3">
      <c r="A33"/>
      <c r="B33"/>
      <c r="C33"/>
      <c r="D33" s="61"/>
      <c r="E33" s="61"/>
      <c r="F33" s="61"/>
      <c r="G33" s="61"/>
      <c r="H33" s="61"/>
      <c r="I33" s="61"/>
      <c r="J33" s="61"/>
      <c r="K33" s="61"/>
      <c r="L33" s="61"/>
      <c r="M33" s="570" t="s">
        <v>4595</v>
      </c>
      <c r="N33" s="581" t="s">
        <v>4598</v>
      </c>
      <c r="O33" s="571" t="s">
        <v>4685</v>
      </c>
      <c r="P33" s="61"/>
      <c r="Q33" s="68"/>
      <c r="R33" s="68"/>
      <c r="S33" s="68"/>
    </row>
    <row r="34" spans="1:19" ht="13" customHeight="1" x14ac:dyDescent="0.3">
      <c r="A34"/>
      <c r="B34"/>
      <c r="C34"/>
      <c r="D34" s="61"/>
      <c r="E34" s="61"/>
      <c r="F34" s="61"/>
      <c r="G34" s="61"/>
      <c r="H34" s="61"/>
      <c r="I34" s="61"/>
      <c r="J34" s="61"/>
      <c r="K34" s="61"/>
      <c r="L34" s="61"/>
      <c r="M34" s="488" t="s">
        <v>4709</v>
      </c>
      <c r="N34" s="489">
        <v>46204</v>
      </c>
      <c r="O34" s="490" t="s">
        <v>4686</v>
      </c>
      <c r="P34" s="61"/>
      <c r="Q34" s="61"/>
      <c r="R34" s="61"/>
      <c r="S34" s="61"/>
    </row>
    <row r="35" spans="1:19" ht="13" customHeight="1" x14ac:dyDescent="0.3">
      <c r="A35"/>
      <c r="B35"/>
      <c r="C35"/>
      <c r="D35" s="61"/>
      <c r="E35" s="61"/>
      <c r="F35" s="61"/>
      <c r="G35" s="61"/>
      <c r="H35" s="61"/>
      <c r="I35" s="61"/>
      <c r="J35" s="61"/>
      <c r="K35" s="61"/>
      <c r="L35" s="61"/>
      <c r="M35" s="61"/>
      <c r="N35" s="71"/>
      <c r="O35" s="490"/>
      <c r="P35" s="61"/>
      <c r="Q35" s="61"/>
      <c r="R35" s="61"/>
      <c r="S35" s="61"/>
    </row>
    <row r="36" spans="1:19" ht="13" customHeight="1" x14ac:dyDescent="0.3">
      <c r="A36"/>
      <c r="B36"/>
      <c r="C36"/>
      <c r="D36" s="61"/>
      <c r="E36" s="61"/>
      <c r="F36" s="61"/>
      <c r="G36" s="61"/>
      <c r="H36" s="61"/>
      <c r="I36" s="61"/>
      <c r="J36" s="61"/>
      <c r="K36" s="61"/>
      <c r="L36" s="61"/>
      <c r="M36" s="61"/>
      <c r="N36" s="71"/>
      <c r="O36" s="490"/>
      <c r="P36" s="61"/>
      <c r="Q36" s="61"/>
      <c r="R36" s="61"/>
      <c r="S36" s="61"/>
    </row>
    <row r="37" spans="1:19" ht="13" customHeight="1" x14ac:dyDescent="0.3">
      <c r="A37"/>
      <c r="B37"/>
      <c r="C37"/>
      <c r="D37" s="61"/>
      <c r="E37" s="61"/>
      <c r="F37" s="61"/>
      <c r="G37" s="61"/>
      <c r="H37" s="61"/>
      <c r="I37" s="61"/>
      <c r="J37" s="61"/>
      <c r="K37" s="61"/>
      <c r="L37" s="61"/>
      <c r="M37" s="493"/>
      <c r="N37" s="71"/>
      <c r="O37" s="492"/>
      <c r="P37" s="61"/>
      <c r="Q37" s="61"/>
      <c r="R37" s="61"/>
      <c r="S37" s="61"/>
    </row>
    <row r="38" spans="1:19" ht="13" customHeight="1" x14ac:dyDescent="0.3">
      <c r="A38"/>
      <c r="B38"/>
      <c r="C38"/>
      <c r="D38" s="61"/>
      <c r="E38" s="61"/>
      <c r="F38" s="61"/>
      <c r="G38" s="61"/>
      <c r="H38" s="61"/>
      <c r="I38" s="61"/>
      <c r="J38" s="61"/>
      <c r="K38" s="61"/>
      <c r="L38" s="61"/>
      <c r="M38" s="493"/>
      <c r="N38" s="71"/>
      <c r="O38" s="492"/>
      <c r="P38" s="61"/>
      <c r="Q38" s="61"/>
      <c r="R38" s="61"/>
      <c r="S38" s="61"/>
    </row>
    <row r="39" spans="1:19" ht="13" customHeight="1" x14ac:dyDescent="0.3">
      <c r="A39"/>
      <c r="B39"/>
      <c r="C39"/>
      <c r="D39" s="61"/>
      <c r="E39" s="61"/>
      <c r="F39" s="61"/>
      <c r="G39" s="61"/>
      <c r="H39" s="61"/>
      <c r="I39" s="61"/>
      <c r="J39" s="61"/>
      <c r="K39" s="61"/>
      <c r="L39" s="61"/>
      <c r="M39" s="493"/>
      <c r="N39" s="489"/>
      <c r="O39" s="490"/>
      <c r="P39" s="61"/>
      <c r="Q39" s="61"/>
      <c r="R39" s="61"/>
      <c r="S39" s="61"/>
    </row>
    <row r="40" spans="1:19" x14ac:dyDescent="0.3">
      <c r="A40" s="61"/>
      <c r="B40" s="61"/>
      <c r="C40" s="61"/>
      <c r="D40" s="61"/>
      <c r="E40" s="61"/>
      <c r="F40" s="61"/>
      <c r="G40" s="61"/>
      <c r="H40" s="61"/>
      <c r="I40" s="61"/>
      <c r="J40" s="61"/>
      <c r="K40" s="61"/>
      <c r="L40" s="61"/>
      <c r="M40" s="61"/>
      <c r="N40" s="71"/>
      <c r="O40" s="490"/>
      <c r="P40" s="61"/>
      <c r="Q40" s="61"/>
      <c r="R40" s="61"/>
      <c r="S40" s="61"/>
    </row>
    <row r="41" spans="1:19" x14ac:dyDescent="0.3">
      <c r="A41" s="61"/>
      <c r="B41" s="61"/>
      <c r="C41" s="61"/>
      <c r="D41" s="61"/>
      <c r="E41" s="61"/>
      <c r="F41" s="61"/>
      <c r="G41" s="61"/>
      <c r="H41" s="61"/>
      <c r="I41" s="61"/>
      <c r="J41" s="61"/>
      <c r="K41" s="61"/>
      <c r="L41" s="61"/>
      <c r="M41" s="61"/>
      <c r="N41" s="71"/>
      <c r="O41" s="490"/>
      <c r="P41" s="61"/>
      <c r="Q41" s="61"/>
      <c r="R41" s="61"/>
      <c r="S41" s="61"/>
    </row>
    <row r="42" spans="1:19" x14ac:dyDescent="0.3">
      <c r="A42" s="61"/>
      <c r="B42" s="61"/>
      <c r="C42" s="61"/>
      <c r="D42" s="61"/>
      <c r="E42" s="61"/>
      <c r="F42" s="61"/>
      <c r="G42" s="61"/>
      <c r="H42" s="61"/>
      <c r="I42" s="61"/>
      <c r="J42" s="61"/>
      <c r="K42" s="61"/>
      <c r="L42" s="61"/>
      <c r="M42" s="61"/>
      <c r="N42" s="71"/>
      <c r="O42" s="490"/>
      <c r="P42" s="61"/>
      <c r="Q42" s="61"/>
      <c r="R42" s="61"/>
      <c r="S42" s="61"/>
    </row>
    <row r="43" spans="1:19" x14ac:dyDescent="0.3">
      <c r="A43" s="61"/>
      <c r="B43" s="61"/>
      <c r="C43" s="61"/>
      <c r="D43" s="61"/>
      <c r="E43" s="61"/>
      <c r="F43" s="61"/>
      <c r="G43" s="61"/>
      <c r="H43" s="61"/>
      <c r="I43" s="61"/>
      <c r="J43" s="61"/>
      <c r="K43" s="61"/>
      <c r="L43" s="61"/>
      <c r="M43" s="61"/>
      <c r="N43" s="71"/>
      <c r="O43" s="490"/>
      <c r="P43" s="61"/>
      <c r="Q43" s="61"/>
      <c r="R43" s="61"/>
      <c r="S43" s="61"/>
    </row>
    <row r="44" spans="1:19" x14ac:dyDescent="0.3">
      <c r="A44" s="61"/>
      <c r="B44" s="61"/>
      <c r="C44" s="61"/>
      <c r="D44" s="61"/>
      <c r="E44" s="61"/>
      <c r="F44" s="61"/>
      <c r="G44" s="61"/>
      <c r="H44" s="61"/>
      <c r="I44" s="61"/>
      <c r="J44" s="61"/>
      <c r="K44" s="61"/>
      <c r="L44" s="61"/>
      <c r="M44" s="61"/>
      <c r="N44" s="71"/>
      <c r="O44" s="490"/>
      <c r="P44" s="61"/>
      <c r="Q44" s="61"/>
      <c r="R44" s="61"/>
      <c r="S44" s="61"/>
    </row>
    <row r="45" spans="1:19" x14ac:dyDescent="0.3">
      <c r="A45" s="61"/>
      <c r="B45" s="61"/>
      <c r="C45" s="61"/>
      <c r="D45" s="61"/>
      <c r="E45" s="61"/>
      <c r="F45" s="61"/>
      <c r="G45" s="61"/>
      <c r="H45" s="61"/>
      <c r="I45" s="61"/>
      <c r="J45" s="61"/>
      <c r="K45" s="61"/>
      <c r="L45" s="61"/>
      <c r="M45" s="61"/>
      <c r="N45" s="71"/>
      <c r="O45" s="490"/>
      <c r="P45" s="61"/>
      <c r="Q45" s="61"/>
      <c r="R45" s="61"/>
      <c r="S45" s="61"/>
    </row>
    <row r="46" spans="1:19" ht="12.75" customHeight="1" x14ac:dyDescent="0.3">
      <c r="A46" s="61"/>
      <c r="B46" s="61"/>
      <c r="C46" s="61"/>
      <c r="D46" s="61"/>
      <c r="E46" s="61"/>
      <c r="F46" s="61"/>
      <c r="G46" s="61"/>
      <c r="H46" s="61"/>
      <c r="I46" s="61"/>
      <c r="J46" s="61"/>
      <c r="K46" s="61"/>
      <c r="L46" s="61"/>
      <c r="M46" s="61"/>
      <c r="N46" s="71"/>
      <c r="O46" s="490"/>
      <c r="P46" s="61"/>
      <c r="Q46" s="61"/>
      <c r="R46" s="61"/>
      <c r="S46" s="61"/>
    </row>
    <row r="47" spans="1:19" ht="12.75" customHeight="1" x14ac:dyDescent="0.3">
      <c r="A47" s="61"/>
      <c r="B47" s="61"/>
      <c r="C47" s="61"/>
      <c r="D47" s="61"/>
      <c r="E47" s="61"/>
      <c r="F47" s="61"/>
      <c r="G47" s="61"/>
      <c r="H47" s="61"/>
      <c r="I47" s="61"/>
      <c r="J47" s="61"/>
      <c r="K47" s="61"/>
      <c r="L47" s="61"/>
      <c r="M47" s="61"/>
      <c r="N47" s="71"/>
      <c r="O47" s="490"/>
      <c r="P47" s="61"/>
      <c r="Q47" s="61"/>
      <c r="R47" s="61"/>
      <c r="S47" s="61"/>
    </row>
    <row r="48" spans="1:19" ht="12.75" customHeight="1" x14ac:dyDescent="0.3">
      <c r="A48" s="61"/>
      <c r="B48" s="61"/>
      <c r="C48" s="61"/>
      <c r="D48" s="61"/>
      <c r="E48" s="61"/>
      <c r="F48" s="61"/>
      <c r="G48" s="61"/>
      <c r="H48" s="61"/>
      <c r="I48" s="61"/>
      <c r="J48" s="61"/>
      <c r="K48" s="61"/>
      <c r="L48" s="61"/>
      <c r="M48" s="61"/>
      <c r="N48" s="71"/>
      <c r="O48" s="490"/>
      <c r="P48" s="61"/>
      <c r="Q48" s="61"/>
      <c r="R48" s="61"/>
      <c r="S48" s="61"/>
    </row>
    <row r="49" spans="1:19" ht="12.75" customHeight="1" x14ac:dyDescent="0.3">
      <c r="A49" s="61"/>
      <c r="B49" s="61"/>
      <c r="C49" s="61"/>
      <c r="D49" s="61"/>
      <c r="E49" s="61"/>
      <c r="F49" s="61"/>
      <c r="G49" s="61"/>
      <c r="H49" s="61"/>
      <c r="I49" s="61"/>
      <c r="J49" s="61"/>
      <c r="K49" s="61"/>
      <c r="L49" s="61"/>
      <c r="M49" s="61"/>
      <c r="N49" s="71"/>
      <c r="O49" s="490"/>
      <c r="P49" s="61"/>
      <c r="Q49" s="61"/>
      <c r="R49" s="61"/>
      <c r="S49" s="61"/>
    </row>
    <row r="50" spans="1:19" ht="12.75" customHeight="1" x14ac:dyDescent="0.3">
      <c r="A50" s="61"/>
      <c r="B50" s="61"/>
      <c r="C50" s="61"/>
      <c r="D50" s="61"/>
      <c r="E50" s="61"/>
      <c r="F50" s="61"/>
      <c r="G50" s="61"/>
      <c r="H50" s="61"/>
      <c r="I50" s="61"/>
      <c r="J50" s="61"/>
      <c r="K50" s="61"/>
      <c r="L50" s="61"/>
      <c r="M50" s="61"/>
      <c r="N50" s="71"/>
      <c r="O50" s="490"/>
      <c r="P50" s="61"/>
      <c r="Q50" s="61"/>
      <c r="R50" s="61"/>
      <c r="S50" s="61"/>
    </row>
    <row r="51" spans="1:19" ht="12.75" customHeight="1" x14ac:dyDescent="0.3">
      <c r="A51" s="61"/>
      <c r="B51" s="61"/>
      <c r="C51" s="61"/>
      <c r="D51" s="61"/>
      <c r="E51" s="61"/>
      <c r="F51" s="61"/>
      <c r="G51" s="61"/>
      <c r="H51" s="61"/>
      <c r="I51" s="61"/>
      <c r="J51" s="61"/>
      <c r="K51" s="61"/>
      <c r="L51" s="61"/>
      <c r="M51" s="61"/>
      <c r="N51" s="71"/>
      <c r="O51" s="490"/>
      <c r="P51" s="61"/>
      <c r="Q51" s="61"/>
      <c r="R51" s="61"/>
      <c r="S51" s="61"/>
    </row>
    <row r="52" spans="1:19" ht="12.75" customHeight="1" x14ac:dyDescent="0.3">
      <c r="A52" s="61"/>
      <c r="B52" s="61"/>
      <c r="C52" s="61"/>
      <c r="D52" s="61"/>
      <c r="E52" s="61"/>
      <c r="F52" s="61"/>
      <c r="G52" s="61"/>
      <c r="H52" s="61"/>
      <c r="I52" s="61"/>
      <c r="J52" s="61"/>
      <c r="K52" s="61"/>
      <c r="L52" s="61"/>
      <c r="M52" s="61"/>
      <c r="N52" s="71"/>
      <c r="O52" s="490"/>
      <c r="P52" s="61"/>
      <c r="Q52" s="61"/>
      <c r="R52" s="61"/>
      <c r="S52" s="61"/>
    </row>
    <row r="53" spans="1:19" ht="12.75" customHeight="1" x14ac:dyDescent="0.3">
      <c r="A53" s="61"/>
      <c r="B53" s="61"/>
      <c r="C53" s="61"/>
      <c r="D53" s="61"/>
      <c r="E53" s="61"/>
      <c r="F53" s="61"/>
      <c r="G53" s="61"/>
      <c r="H53" s="61"/>
      <c r="I53" s="61"/>
      <c r="J53" s="61"/>
      <c r="K53" s="61"/>
      <c r="L53" s="61"/>
      <c r="M53" s="61"/>
      <c r="N53" s="71"/>
      <c r="O53" s="60"/>
      <c r="P53" s="61"/>
      <c r="Q53" s="61"/>
      <c r="R53" s="61"/>
      <c r="S53" s="61"/>
    </row>
    <row r="54" spans="1:19" ht="12.75" customHeight="1" x14ac:dyDescent="0.3">
      <c r="A54" s="61"/>
      <c r="B54" s="61"/>
      <c r="C54" s="61"/>
      <c r="D54" s="61"/>
      <c r="E54" s="61"/>
      <c r="F54" s="61"/>
      <c r="G54" s="61"/>
      <c r="H54" s="61"/>
      <c r="I54" s="61"/>
      <c r="J54" s="61"/>
      <c r="K54" s="61"/>
      <c r="L54" s="61"/>
      <c r="M54" s="61"/>
      <c r="N54" s="71"/>
      <c r="O54" s="60"/>
      <c r="P54" s="61"/>
      <c r="Q54" s="61"/>
      <c r="R54" s="61"/>
      <c r="S54" s="61"/>
    </row>
    <row r="55" spans="1:19" ht="12.75" customHeight="1" x14ac:dyDescent="0.3">
      <c r="A55" s="61"/>
      <c r="B55" s="61"/>
      <c r="C55" s="61"/>
      <c r="D55" s="61"/>
      <c r="E55" s="61"/>
      <c r="F55" s="61"/>
      <c r="G55" s="61"/>
      <c r="H55" s="61"/>
      <c r="I55" s="61"/>
      <c r="J55" s="61"/>
      <c r="K55" s="61"/>
      <c r="L55" s="61"/>
      <c r="M55" s="61"/>
      <c r="N55" s="71"/>
      <c r="O55" s="60"/>
      <c r="P55" s="61"/>
      <c r="Q55" s="61"/>
      <c r="R55" s="61"/>
      <c r="S55" s="61"/>
    </row>
    <row r="56" spans="1:19" x14ac:dyDescent="0.3">
      <c r="A56" s="61"/>
      <c r="B56" s="61"/>
      <c r="C56" s="61"/>
      <c r="D56" s="61"/>
      <c r="E56" s="61"/>
      <c r="F56" s="61"/>
      <c r="G56" s="61"/>
      <c r="H56" s="61"/>
      <c r="I56" s="61"/>
      <c r="J56" s="61"/>
      <c r="K56" s="61"/>
      <c r="L56" s="61"/>
      <c r="M56" s="61"/>
      <c r="N56" s="71"/>
      <c r="O56" s="60"/>
      <c r="P56" s="61"/>
      <c r="Q56" s="61"/>
      <c r="R56" s="61"/>
      <c r="S56" s="61"/>
    </row>
    <row r="57" spans="1:19" x14ac:dyDescent="0.3">
      <c r="A57" s="61"/>
      <c r="B57" s="61"/>
      <c r="C57" s="61"/>
      <c r="D57" s="61"/>
      <c r="E57" s="61"/>
      <c r="F57" s="61"/>
      <c r="G57" s="61"/>
      <c r="H57" s="61"/>
      <c r="I57" s="61"/>
      <c r="J57" s="61"/>
      <c r="K57" s="61"/>
      <c r="L57" s="61"/>
      <c r="M57" s="61"/>
      <c r="N57" s="71"/>
      <c r="O57" s="60"/>
      <c r="P57" s="61"/>
      <c r="Q57" s="61"/>
      <c r="R57" s="61"/>
      <c r="S57" s="61"/>
    </row>
    <row r="58" spans="1:19" x14ac:dyDescent="0.3">
      <c r="A58" s="61"/>
      <c r="B58" s="61"/>
      <c r="C58" s="61"/>
      <c r="D58" s="61"/>
      <c r="E58" s="61"/>
      <c r="F58" s="61"/>
      <c r="G58" s="61"/>
      <c r="H58" s="61"/>
      <c r="I58" s="61"/>
      <c r="J58" s="61"/>
      <c r="K58" s="61"/>
      <c r="L58" s="61"/>
      <c r="M58" s="61"/>
      <c r="N58" s="71"/>
      <c r="O58" s="60"/>
      <c r="P58" s="61"/>
      <c r="Q58" s="61"/>
      <c r="R58" s="61"/>
      <c r="S58" s="61"/>
    </row>
    <row r="59" spans="1:19" x14ac:dyDescent="0.3">
      <c r="A59" s="61"/>
      <c r="B59" s="61"/>
      <c r="C59" s="61"/>
      <c r="D59" s="61"/>
      <c r="E59" s="61"/>
      <c r="F59" s="61"/>
      <c r="G59" s="61"/>
      <c r="H59" s="61"/>
      <c r="I59" s="61"/>
      <c r="J59" s="61"/>
      <c r="K59" s="61"/>
      <c r="L59" s="61"/>
      <c r="M59" s="61"/>
      <c r="N59" s="71"/>
      <c r="O59" s="60"/>
      <c r="P59" s="61"/>
      <c r="Q59" s="61"/>
      <c r="R59" s="61"/>
      <c r="S59" s="61"/>
    </row>
    <row r="60" spans="1:19" x14ac:dyDescent="0.3">
      <c r="A60" s="61"/>
      <c r="B60" s="61"/>
      <c r="C60" s="61"/>
      <c r="D60" s="61"/>
      <c r="E60" s="61"/>
      <c r="F60" s="61"/>
      <c r="G60" s="61"/>
      <c r="H60" s="61"/>
      <c r="I60" s="61"/>
      <c r="J60" s="61"/>
      <c r="K60" s="61"/>
      <c r="L60" s="61"/>
      <c r="M60" s="61"/>
      <c r="N60" s="71"/>
      <c r="O60" s="60"/>
      <c r="P60" s="61"/>
      <c r="Q60" s="61"/>
      <c r="R60" s="61"/>
      <c r="S60" s="61"/>
    </row>
    <row r="61" spans="1:19" x14ac:dyDescent="0.3">
      <c r="A61" s="61"/>
      <c r="B61" s="61"/>
      <c r="C61" s="61"/>
      <c r="D61" s="61"/>
      <c r="E61" s="61"/>
      <c r="F61" s="61"/>
      <c r="G61" s="61"/>
      <c r="H61" s="61"/>
      <c r="I61" s="61"/>
      <c r="J61" s="61"/>
      <c r="K61" s="61"/>
      <c r="L61" s="61"/>
      <c r="M61" s="61"/>
      <c r="N61" s="71"/>
      <c r="O61" s="60"/>
      <c r="P61" s="61"/>
      <c r="Q61" s="61"/>
      <c r="R61" s="61"/>
      <c r="S61" s="61"/>
    </row>
    <row r="62" spans="1:19" x14ac:dyDescent="0.3">
      <c r="A62" s="61"/>
      <c r="B62" s="61"/>
      <c r="C62" s="61"/>
      <c r="D62" s="61"/>
      <c r="E62" s="61"/>
      <c r="F62" s="61"/>
      <c r="G62" s="61"/>
      <c r="H62" s="61"/>
      <c r="I62" s="61"/>
      <c r="J62" s="61"/>
      <c r="K62" s="61"/>
      <c r="L62" s="61"/>
      <c r="M62" s="61"/>
      <c r="N62" s="71"/>
      <c r="O62" s="60"/>
      <c r="P62" s="61"/>
      <c r="Q62" s="61"/>
      <c r="R62" s="61"/>
      <c r="S62" s="61"/>
    </row>
    <row r="63" spans="1:19" x14ac:dyDescent="0.3">
      <c r="A63" s="61"/>
      <c r="B63" s="61"/>
      <c r="C63" s="61"/>
      <c r="D63" s="61"/>
      <c r="E63" s="61"/>
      <c r="F63" s="61"/>
      <c r="G63" s="61"/>
      <c r="H63" s="61"/>
      <c r="I63" s="61"/>
      <c r="J63" s="61"/>
      <c r="K63" s="61"/>
      <c r="L63" s="61"/>
      <c r="M63" s="61"/>
      <c r="N63" s="71"/>
      <c r="O63" s="60"/>
      <c r="P63" s="61"/>
      <c r="Q63" s="61"/>
      <c r="R63" s="61"/>
      <c r="S63" s="61"/>
    </row>
    <row r="64" spans="1:19" x14ac:dyDescent="0.3">
      <c r="A64" s="61"/>
      <c r="B64" s="61"/>
      <c r="C64" s="61"/>
      <c r="D64" s="61"/>
      <c r="E64" s="61"/>
      <c r="F64" s="61"/>
      <c r="G64" s="61"/>
      <c r="H64" s="61"/>
      <c r="I64" s="61"/>
      <c r="J64" s="61"/>
      <c r="K64" s="61"/>
      <c r="L64" s="61"/>
      <c r="M64" s="61"/>
      <c r="N64" s="60"/>
      <c r="O64" s="60"/>
      <c r="P64" s="61"/>
      <c r="Q64" s="61"/>
      <c r="R64" s="61"/>
      <c r="S64" s="61"/>
    </row>
    <row r="65" spans="1:19" x14ac:dyDescent="0.3">
      <c r="A65" s="61"/>
      <c r="B65" s="61"/>
      <c r="C65" s="61"/>
      <c r="D65" s="61"/>
      <c r="E65" s="61"/>
      <c r="F65" s="61"/>
      <c r="G65" s="61"/>
      <c r="H65" s="61"/>
      <c r="I65" s="61"/>
      <c r="J65" s="61"/>
      <c r="K65" s="61"/>
      <c r="L65" s="61"/>
      <c r="M65" s="61"/>
      <c r="N65" s="60"/>
      <c r="O65" s="60"/>
      <c r="P65" s="61"/>
      <c r="Q65" s="61"/>
      <c r="R65" s="61"/>
      <c r="S65" s="61"/>
    </row>
    <row r="66" spans="1:19" x14ac:dyDescent="0.3">
      <c r="A66" s="61"/>
      <c r="B66" s="61"/>
      <c r="C66" s="61"/>
      <c r="D66" s="61"/>
      <c r="E66" s="61"/>
      <c r="F66" s="61"/>
      <c r="G66" s="61"/>
      <c r="H66" s="61"/>
      <c r="I66" s="61"/>
      <c r="J66" s="61"/>
      <c r="K66" s="61"/>
      <c r="L66" s="61"/>
      <c r="M66" s="61"/>
      <c r="N66" s="60"/>
      <c r="O66" s="60"/>
      <c r="P66" s="61"/>
      <c r="Q66" s="61"/>
      <c r="R66" s="61"/>
      <c r="S66" s="61"/>
    </row>
    <row r="67" spans="1:19" x14ac:dyDescent="0.3">
      <c r="A67" s="61"/>
      <c r="B67" s="61"/>
      <c r="C67" s="61"/>
      <c r="D67" s="61"/>
      <c r="E67" s="61"/>
      <c r="F67" s="61"/>
      <c r="G67" s="61"/>
      <c r="H67" s="61"/>
      <c r="I67" s="61"/>
      <c r="J67" s="61"/>
      <c r="K67" s="61"/>
      <c r="L67" s="61"/>
      <c r="M67" s="61"/>
      <c r="N67" s="60"/>
      <c r="O67" s="60"/>
      <c r="P67" s="61"/>
      <c r="Q67" s="61"/>
      <c r="R67" s="61"/>
      <c r="S67" s="61"/>
    </row>
    <row r="68" spans="1:19" x14ac:dyDescent="0.3">
      <c r="A68" s="61"/>
      <c r="B68" s="61"/>
      <c r="C68" s="61"/>
      <c r="D68" s="61"/>
      <c r="E68" s="61"/>
      <c r="F68" s="61"/>
      <c r="G68" s="61"/>
      <c r="H68" s="61"/>
      <c r="I68" s="61"/>
      <c r="J68" s="61"/>
      <c r="K68" s="61"/>
      <c r="L68" s="61"/>
      <c r="M68" s="61"/>
      <c r="N68" s="60"/>
      <c r="O68" s="60"/>
      <c r="P68" s="61"/>
      <c r="Q68" s="61"/>
      <c r="R68" s="61"/>
      <c r="S68" s="61"/>
    </row>
    <row r="69" spans="1:19" x14ac:dyDescent="0.3">
      <c r="A69" s="61"/>
      <c r="B69" s="61"/>
      <c r="C69" s="61"/>
      <c r="D69" s="61"/>
      <c r="E69" s="61"/>
      <c r="F69" s="61"/>
      <c r="G69" s="61"/>
      <c r="H69" s="61"/>
      <c r="I69" s="61"/>
      <c r="J69" s="61"/>
      <c r="K69" s="61"/>
      <c r="L69" s="61"/>
      <c r="M69" s="61"/>
      <c r="N69" s="60"/>
      <c r="O69" s="60"/>
      <c r="P69" s="61"/>
      <c r="Q69" s="61"/>
      <c r="R69" s="61"/>
      <c r="S69" s="61"/>
    </row>
    <row r="70" spans="1:19" x14ac:dyDescent="0.3">
      <c r="A70" s="61"/>
      <c r="B70" s="61"/>
      <c r="C70" s="61"/>
      <c r="D70" s="61"/>
      <c r="E70" s="61"/>
      <c r="F70" s="61"/>
      <c r="G70" s="61"/>
      <c r="H70" s="61"/>
      <c r="I70" s="61"/>
      <c r="J70" s="61"/>
      <c r="K70" s="61"/>
      <c r="L70" s="61"/>
      <c r="M70" s="61"/>
      <c r="N70" s="60"/>
      <c r="O70" s="60"/>
      <c r="P70" s="61"/>
      <c r="Q70" s="61"/>
      <c r="R70" s="61"/>
      <c r="S70" s="61"/>
    </row>
    <row r="71" spans="1:19" x14ac:dyDescent="0.3">
      <c r="A71" s="61"/>
      <c r="B71" s="61"/>
      <c r="C71" s="61"/>
      <c r="D71" s="61"/>
      <c r="E71" s="61"/>
      <c r="F71" s="61"/>
      <c r="G71" s="61"/>
      <c r="H71" s="61"/>
      <c r="I71" s="61"/>
      <c r="J71" s="61"/>
      <c r="K71" s="61"/>
      <c r="L71" s="61"/>
      <c r="M71" s="61"/>
      <c r="N71" s="60"/>
      <c r="O71" s="60"/>
      <c r="P71" s="61"/>
      <c r="Q71" s="61"/>
      <c r="R71" s="61"/>
      <c r="S71" s="61"/>
    </row>
    <row r="72" spans="1:19" x14ac:dyDescent="0.3">
      <c r="A72" s="61"/>
      <c r="B72" s="61"/>
      <c r="C72" s="61"/>
      <c r="D72" s="61"/>
      <c r="E72" s="61"/>
      <c r="F72" s="61"/>
      <c r="G72" s="61"/>
      <c r="H72" s="61"/>
      <c r="I72" s="61"/>
      <c r="J72" s="61"/>
      <c r="K72" s="61"/>
      <c r="L72" s="61"/>
      <c r="M72" s="61"/>
      <c r="N72" s="60"/>
      <c r="O72" s="60"/>
      <c r="P72" s="61"/>
      <c r="Q72" s="61"/>
      <c r="R72" s="61"/>
      <c r="S72" s="61"/>
    </row>
    <row r="73" spans="1:19" x14ac:dyDescent="0.3">
      <c r="A73" s="61"/>
      <c r="B73" s="61"/>
      <c r="C73" s="61"/>
      <c r="D73" s="61"/>
      <c r="E73" s="61"/>
      <c r="F73" s="61"/>
      <c r="G73" s="61"/>
      <c r="H73" s="61"/>
      <c r="I73" s="61"/>
      <c r="J73" s="61"/>
      <c r="K73" s="61"/>
      <c r="L73" s="61"/>
      <c r="M73" s="61"/>
      <c r="N73" s="60"/>
      <c r="O73" s="60"/>
      <c r="P73" s="61"/>
      <c r="Q73" s="61"/>
      <c r="R73" s="61"/>
      <c r="S73" s="61"/>
    </row>
    <row r="74" spans="1:19" x14ac:dyDescent="0.3">
      <c r="A74" s="61"/>
      <c r="B74" s="61"/>
      <c r="C74" s="61"/>
      <c r="D74" s="61"/>
      <c r="E74" s="61"/>
      <c r="F74" s="61"/>
      <c r="G74" s="61"/>
      <c r="H74" s="61"/>
      <c r="I74" s="61"/>
      <c r="J74" s="61"/>
      <c r="K74" s="61"/>
      <c r="L74" s="61"/>
      <c r="M74" s="61"/>
      <c r="N74" s="60"/>
      <c r="O74" s="60"/>
      <c r="P74" s="61"/>
      <c r="Q74" s="61"/>
      <c r="R74" s="61"/>
      <c r="S74" s="61"/>
    </row>
    <row r="75" spans="1:19" x14ac:dyDescent="0.3">
      <c r="A75" s="61"/>
      <c r="B75" s="61"/>
      <c r="C75" s="61"/>
      <c r="D75" s="61"/>
      <c r="E75" s="61"/>
      <c r="F75" s="61"/>
      <c r="G75" s="61"/>
      <c r="H75" s="61"/>
      <c r="I75" s="61"/>
      <c r="J75" s="61"/>
      <c r="K75" s="61"/>
      <c r="L75" s="61"/>
      <c r="M75" s="61"/>
      <c r="N75" s="60"/>
      <c r="O75" s="60"/>
      <c r="P75" s="61"/>
      <c r="Q75" s="61"/>
      <c r="R75" s="61"/>
      <c r="S75" s="61"/>
    </row>
    <row r="76" spans="1:19" x14ac:dyDescent="0.3">
      <c r="A76" s="61"/>
      <c r="B76" s="61"/>
      <c r="C76" s="61"/>
      <c r="D76" s="61"/>
      <c r="E76" s="61"/>
      <c r="F76" s="61"/>
      <c r="G76" s="61"/>
      <c r="H76" s="61"/>
      <c r="I76" s="61"/>
      <c r="J76" s="61"/>
      <c r="K76" s="61"/>
      <c r="L76" s="61"/>
      <c r="M76" s="61"/>
      <c r="N76" s="60"/>
      <c r="O76" s="60"/>
      <c r="P76" s="61"/>
      <c r="Q76" s="61"/>
      <c r="R76" s="61"/>
      <c r="S76" s="61"/>
    </row>
    <row r="77" spans="1:19" x14ac:dyDescent="0.3">
      <c r="A77" s="61"/>
      <c r="B77" s="61"/>
      <c r="C77" s="61"/>
      <c r="D77" s="61"/>
      <c r="E77" s="61"/>
      <c r="F77" s="61"/>
      <c r="G77" s="61"/>
      <c r="H77" s="61"/>
      <c r="I77" s="61"/>
      <c r="J77" s="61"/>
      <c r="K77" s="61"/>
      <c r="L77" s="61"/>
      <c r="M77" s="61"/>
      <c r="N77" s="60"/>
      <c r="O77" s="60"/>
      <c r="P77" s="61"/>
      <c r="Q77" s="61"/>
      <c r="R77" s="61"/>
      <c r="S77" s="61"/>
    </row>
    <row r="78" spans="1:19" x14ac:dyDescent="0.3">
      <c r="A78" s="61"/>
      <c r="B78" s="61"/>
      <c r="C78" s="61"/>
      <c r="D78" s="61"/>
      <c r="E78" s="61"/>
      <c r="F78" s="61"/>
      <c r="G78" s="61"/>
      <c r="H78" s="61"/>
      <c r="I78" s="61"/>
      <c r="J78" s="61"/>
      <c r="K78" s="61"/>
      <c r="L78" s="61"/>
      <c r="M78" s="61"/>
      <c r="N78" s="60"/>
      <c r="O78" s="60"/>
      <c r="P78" s="61"/>
      <c r="Q78" s="61"/>
      <c r="R78" s="61"/>
      <c r="S78" s="61"/>
    </row>
    <row r="79" spans="1:19" x14ac:dyDescent="0.3">
      <c r="A79" s="61"/>
      <c r="B79" s="61"/>
      <c r="C79" s="61"/>
      <c r="D79" s="61"/>
      <c r="E79" s="61"/>
      <c r="F79" s="61"/>
      <c r="G79" s="61"/>
      <c r="H79" s="61"/>
      <c r="I79" s="61"/>
      <c r="J79" s="61"/>
      <c r="K79" s="61"/>
      <c r="L79" s="61"/>
      <c r="M79" s="61"/>
      <c r="N79" s="60"/>
      <c r="O79" s="60"/>
      <c r="P79" s="61"/>
      <c r="Q79" s="61"/>
      <c r="R79" s="61"/>
      <c r="S79" s="61"/>
    </row>
    <row r="80" spans="1:19" x14ac:dyDescent="0.3">
      <c r="A80" s="61"/>
      <c r="B80" s="61"/>
      <c r="C80" s="61"/>
      <c r="D80" s="61"/>
      <c r="E80" s="61"/>
      <c r="F80" s="61"/>
      <c r="G80" s="61"/>
      <c r="H80" s="61"/>
      <c r="I80" s="61"/>
      <c r="J80" s="61"/>
      <c r="K80" s="61"/>
      <c r="L80" s="61"/>
      <c r="M80" s="61"/>
      <c r="N80" s="60"/>
      <c r="O80" s="60"/>
      <c r="P80" s="61"/>
      <c r="Q80" s="61"/>
      <c r="R80" s="61"/>
      <c r="S80" s="61"/>
    </row>
    <row r="81" spans="1:19" x14ac:dyDescent="0.3">
      <c r="A81" s="61"/>
      <c r="B81" s="61"/>
      <c r="C81" s="61"/>
      <c r="D81" s="61"/>
      <c r="E81" s="61"/>
      <c r="F81" s="61"/>
      <c r="G81" s="61"/>
      <c r="H81" s="61"/>
      <c r="I81" s="61"/>
      <c r="J81" s="61"/>
      <c r="K81" s="61"/>
      <c r="L81" s="61"/>
      <c r="M81" s="61"/>
      <c r="N81" s="60"/>
      <c r="O81" s="60"/>
      <c r="P81" s="61"/>
      <c r="Q81" s="61"/>
      <c r="R81" s="61"/>
      <c r="S81" s="61"/>
    </row>
    <row r="82" spans="1:19" x14ac:dyDescent="0.3">
      <c r="A82" s="61"/>
      <c r="B82" s="61"/>
      <c r="C82" s="61"/>
      <c r="D82" s="61"/>
      <c r="E82" s="61"/>
      <c r="F82" s="61"/>
      <c r="G82" s="61"/>
      <c r="H82" s="61"/>
      <c r="I82" s="61"/>
      <c r="J82" s="61"/>
      <c r="K82" s="61"/>
      <c r="L82" s="61"/>
      <c r="M82" s="61"/>
      <c r="N82" s="60"/>
      <c r="O82" s="60"/>
      <c r="P82" s="61"/>
      <c r="Q82" s="61"/>
      <c r="R82" s="61"/>
      <c r="S82" s="61"/>
    </row>
    <row r="83" spans="1:19" x14ac:dyDescent="0.3">
      <c r="A83" s="61"/>
      <c r="B83" s="61"/>
      <c r="C83" s="61"/>
      <c r="D83" s="61"/>
      <c r="E83" s="61"/>
      <c r="F83" s="61"/>
      <c r="G83" s="61"/>
      <c r="H83" s="61"/>
      <c r="I83" s="61"/>
      <c r="J83" s="61"/>
      <c r="K83" s="61"/>
      <c r="L83" s="61"/>
      <c r="M83" s="61"/>
      <c r="N83" s="60"/>
      <c r="O83" s="60"/>
      <c r="P83" s="61"/>
      <c r="Q83" s="61"/>
      <c r="R83" s="61"/>
      <c r="S83" s="61"/>
    </row>
    <row r="84" spans="1:19" ht="13" customHeight="1" x14ac:dyDescent="0.3">
      <c r="A84" s="61"/>
      <c r="B84" s="61"/>
      <c r="C84" s="61"/>
      <c r="D84" s="61"/>
      <c r="E84" s="61"/>
      <c r="F84" s="61"/>
      <c r="G84" s="61"/>
      <c r="H84" s="61"/>
      <c r="I84" s="61"/>
      <c r="J84" s="61"/>
      <c r="K84" s="61"/>
      <c r="L84" s="61"/>
      <c r="M84" s="61"/>
      <c r="N84" s="60"/>
      <c r="O84" s="60"/>
      <c r="P84" s="61"/>
      <c r="Q84" s="61"/>
      <c r="R84" s="61"/>
      <c r="S84" s="61"/>
    </row>
  </sheetData>
  <mergeCells count="2">
    <mergeCell ref="M1:R24"/>
    <mergeCell ref="E19:K25"/>
  </mergeCells>
  <phoneticPr fontId="25" type="noConversion"/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4">
    <tabColor theme="6" tint="0.39997558519241921"/>
  </sheetPr>
  <dimension ref="A1:T448"/>
  <sheetViews>
    <sheetView workbookViewId="0">
      <selection activeCell="J22" sqref="J22"/>
    </sheetView>
  </sheetViews>
  <sheetFormatPr defaultColWidth="8.81640625" defaultRowHeight="14" x14ac:dyDescent="0.3"/>
  <cols>
    <col min="1" max="1" width="15.54296875" style="28" bestFit="1" customWidth="1"/>
    <col min="2" max="2" width="8.54296875" style="28" bestFit="1" customWidth="1"/>
    <col min="3" max="3" width="12.453125" style="42" bestFit="1" customWidth="1"/>
    <col min="4" max="4" width="16.81640625" style="28" customWidth="1"/>
    <col min="5" max="15" width="8.81640625" style="28"/>
    <col min="16" max="16" width="21" style="28" bestFit="1" customWidth="1"/>
    <col min="17" max="17" width="10.81640625" style="28" bestFit="1" customWidth="1"/>
    <col min="18" max="18" width="8.08984375" style="28" customWidth="1"/>
    <col min="19" max="19" width="8.81640625" style="28"/>
    <col min="20" max="20" width="10.36328125" style="28" customWidth="1"/>
    <col min="21" max="16384" width="8.81640625" style="28"/>
  </cols>
  <sheetData>
    <row r="1" spans="1:20" ht="14.5" x14ac:dyDescent="0.3">
      <c r="A1" s="62" t="s">
        <v>4793</v>
      </c>
      <c r="B1" s="61" t="s">
        <v>4794</v>
      </c>
      <c r="C1" s="61" t="s">
        <v>4795</v>
      </c>
      <c r="D1" s="61"/>
      <c r="E1" s="72" t="s">
        <v>2625</v>
      </c>
      <c r="F1" s="61"/>
      <c r="G1" s="61"/>
      <c r="H1" s="61"/>
      <c r="I1" s="61"/>
      <c r="J1" s="61"/>
      <c r="K1" s="61"/>
      <c r="L1" s="61"/>
      <c r="M1" s="61"/>
      <c r="N1" s="61"/>
      <c r="O1" s="61"/>
      <c r="P1" s="62" t="s">
        <v>4796</v>
      </c>
      <c r="Q1" s="61" t="s">
        <v>4600</v>
      </c>
      <c r="R1" s="61"/>
      <c r="S1" s="61"/>
      <c r="T1" s="61"/>
    </row>
    <row r="2" spans="1:20" x14ac:dyDescent="0.3">
      <c r="A2" s="50" t="s">
        <v>4600</v>
      </c>
      <c r="B2" s="61"/>
      <c r="C2" s="468"/>
      <c r="D2" s="61"/>
      <c r="E2" s="61"/>
      <c r="F2" s="61"/>
      <c r="G2" s="61"/>
      <c r="H2" s="61"/>
      <c r="I2" s="61"/>
      <c r="J2" s="61"/>
      <c r="K2" s="61"/>
      <c r="L2" s="61"/>
      <c r="M2" s="61"/>
      <c r="N2" s="61"/>
      <c r="O2" s="61"/>
      <c r="P2" s="61"/>
      <c r="Q2" s="61"/>
      <c r="R2" s="61"/>
      <c r="S2" s="61"/>
      <c r="T2" s="61"/>
    </row>
    <row r="3" spans="1:20" x14ac:dyDescent="0.3">
      <c r="A3" s="50" t="s">
        <v>2940</v>
      </c>
      <c r="B3" s="61">
        <v>25</v>
      </c>
      <c r="C3" s="468">
        <v>326.95999999999998</v>
      </c>
      <c r="D3" s="61"/>
      <c r="E3" s="61"/>
      <c r="F3" s="61"/>
      <c r="G3" s="61"/>
      <c r="H3" s="61"/>
      <c r="I3" s="61"/>
      <c r="J3" s="61"/>
      <c r="K3" s="61"/>
      <c r="L3" s="61"/>
      <c r="M3" s="61"/>
      <c r="N3" s="61"/>
      <c r="O3" s="61"/>
      <c r="P3" s="62" t="s">
        <v>4596</v>
      </c>
      <c r="Q3" s="62" t="s">
        <v>4595</v>
      </c>
      <c r="R3" s="61"/>
      <c r="S3" s="632" t="str">
        <f>_xlfn.TEXTJOIN(",",TRUE,Q4:Q30)</f>
        <v/>
      </c>
      <c r="T3" s="632"/>
    </row>
    <row r="4" spans="1:20" ht="14.5" x14ac:dyDescent="0.3">
      <c r="A4" s="50" t="s">
        <v>2941</v>
      </c>
      <c r="B4" s="61">
        <v>26</v>
      </c>
      <c r="C4" s="468">
        <v>340.04000000000008</v>
      </c>
      <c r="D4" s="61"/>
      <c r="E4" s="73" t="s">
        <v>3270</v>
      </c>
      <c r="F4" s="73" t="s">
        <v>2626</v>
      </c>
      <c r="G4" s="61"/>
      <c r="H4" s="61"/>
      <c r="I4" s="61"/>
      <c r="J4" s="61"/>
      <c r="K4" s="61"/>
      <c r="L4" s="61"/>
      <c r="M4" s="61"/>
      <c r="N4" s="61"/>
      <c r="O4" s="61"/>
      <c r="P4" s="61" t="s">
        <v>4599</v>
      </c>
      <c r="Q4" s="61"/>
      <c r="R4" s="61"/>
      <c r="S4" s="632"/>
      <c r="T4" s="632"/>
    </row>
    <row r="5" spans="1:20" ht="14.5" x14ac:dyDescent="0.3">
      <c r="A5" s="50" t="s">
        <v>2942</v>
      </c>
      <c r="B5" s="61">
        <v>294</v>
      </c>
      <c r="C5" s="468">
        <v>4393.04</v>
      </c>
      <c r="D5" s="61"/>
      <c r="E5" s="61"/>
      <c r="F5" s="61"/>
      <c r="G5" s="61"/>
      <c r="H5" s="61"/>
      <c r="I5" s="61"/>
      <c r="J5" s="61"/>
      <c r="K5" s="61"/>
      <c r="L5" s="61"/>
      <c r="M5" s="61"/>
      <c r="N5" s="61"/>
      <c r="O5" s="61"/>
      <c r="P5"/>
      <c r="Q5"/>
      <c r="R5" s="61"/>
      <c r="S5" s="632"/>
      <c r="T5" s="632"/>
    </row>
    <row r="6" spans="1:20" ht="14.5" x14ac:dyDescent="0.3">
      <c r="A6" s="50" t="s">
        <v>2943</v>
      </c>
      <c r="B6" s="61">
        <v>57</v>
      </c>
      <c r="C6" s="468">
        <v>851.71</v>
      </c>
      <c r="D6" s="61"/>
      <c r="E6" s="61"/>
      <c r="F6" s="61"/>
      <c r="G6" s="61"/>
      <c r="H6" s="61"/>
      <c r="I6" s="61"/>
      <c r="J6" s="61"/>
      <c r="K6" s="61"/>
      <c r="L6" s="61"/>
      <c r="M6" s="61"/>
      <c r="N6" s="61"/>
      <c r="O6" s="61"/>
      <c r="P6"/>
      <c r="Q6"/>
      <c r="R6" s="61"/>
      <c r="S6" s="632"/>
      <c r="T6" s="632"/>
    </row>
    <row r="7" spans="1:20" ht="14.5" x14ac:dyDescent="0.3">
      <c r="A7" s="50" t="s">
        <v>2944</v>
      </c>
      <c r="B7" s="61">
        <v>13</v>
      </c>
      <c r="C7" s="468">
        <v>194.25</v>
      </c>
      <c r="D7" s="61"/>
      <c r="E7" s="72" t="s">
        <v>2627</v>
      </c>
      <c r="F7" s="61"/>
      <c r="G7" s="61"/>
      <c r="H7" s="61"/>
      <c r="I7" s="61"/>
      <c r="J7" s="61"/>
      <c r="K7" s="61"/>
      <c r="L7" s="61"/>
      <c r="M7" s="61"/>
      <c r="N7" s="61"/>
      <c r="O7" s="61"/>
      <c r="P7"/>
      <c r="Q7"/>
      <c r="R7" s="61"/>
      <c r="S7" s="632"/>
      <c r="T7" s="632"/>
    </row>
    <row r="8" spans="1:20" ht="14.5" x14ac:dyDescent="0.3">
      <c r="A8" s="50" t="s">
        <v>2945</v>
      </c>
      <c r="B8" s="61">
        <v>5</v>
      </c>
      <c r="C8" s="468">
        <v>71.25</v>
      </c>
      <c r="D8" s="61"/>
      <c r="E8" s="61"/>
      <c r="F8" s="61"/>
      <c r="G8" s="61"/>
      <c r="H8" s="61"/>
      <c r="I8" s="61"/>
      <c r="J8" s="61"/>
      <c r="K8" s="61"/>
      <c r="L8" s="61"/>
      <c r="M8" s="61"/>
      <c r="N8" s="61"/>
      <c r="O8" s="61"/>
      <c r="P8"/>
      <c r="Q8"/>
      <c r="R8" s="61"/>
      <c r="S8" s="632"/>
      <c r="T8" s="632"/>
    </row>
    <row r="9" spans="1:20" ht="14.5" x14ac:dyDescent="0.3">
      <c r="A9" s="50" t="s">
        <v>2946</v>
      </c>
      <c r="B9" s="61">
        <v>3</v>
      </c>
      <c r="C9" s="468">
        <v>42.75</v>
      </c>
      <c r="D9" s="61"/>
      <c r="E9" s="61"/>
      <c r="F9" s="61"/>
      <c r="G9" s="61"/>
      <c r="H9" s="61"/>
      <c r="I9" s="61"/>
      <c r="J9" s="61"/>
      <c r="K9" s="61"/>
      <c r="L9" s="61"/>
      <c r="M9" s="61"/>
      <c r="N9" s="61"/>
      <c r="O9" s="61"/>
      <c r="P9"/>
      <c r="Q9"/>
      <c r="R9" s="61"/>
      <c r="S9" s="632"/>
      <c r="T9" s="632"/>
    </row>
    <row r="10" spans="1:20" ht="14.5" x14ac:dyDescent="0.3">
      <c r="A10" s="50" t="s">
        <v>2947</v>
      </c>
      <c r="B10" s="61">
        <v>6</v>
      </c>
      <c r="C10" s="468">
        <v>107</v>
      </c>
      <c r="D10" s="61"/>
      <c r="E10" s="61"/>
      <c r="F10" s="61"/>
      <c r="G10" s="61"/>
      <c r="H10" s="61"/>
      <c r="I10" s="61"/>
      <c r="J10" s="61"/>
      <c r="K10" s="61"/>
      <c r="L10" s="61"/>
      <c r="M10" s="61"/>
      <c r="N10" s="61"/>
      <c r="O10" s="61"/>
      <c r="P10"/>
      <c r="Q10"/>
      <c r="R10" s="61"/>
      <c r="S10" s="632"/>
      <c r="T10" s="632"/>
    </row>
    <row r="11" spans="1:20" ht="14.5" x14ac:dyDescent="0.3">
      <c r="A11" s="50" t="s">
        <v>2953</v>
      </c>
      <c r="B11" s="61">
        <v>2</v>
      </c>
      <c r="C11" s="468">
        <v>35</v>
      </c>
      <c r="D11" s="61"/>
      <c r="E11" s="633" t="s">
        <v>3271</v>
      </c>
      <c r="F11" s="633"/>
      <c r="G11" s="61"/>
      <c r="H11" s="61"/>
      <c r="I11" s="61"/>
      <c r="J11" s="61"/>
      <c r="K11" s="61"/>
      <c r="L11" s="61"/>
      <c r="M11" s="61"/>
      <c r="N11" s="61"/>
      <c r="O11" s="61"/>
      <c r="P11" s="61"/>
      <c r="Q11" s="61"/>
      <c r="R11" s="61"/>
      <c r="S11" s="632"/>
      <c r="T11" s="632"/>
    </row>
    <row r="12" spans="1:20" ht="14.5" x14ac:dyDescent="0.3">
      <c r="A12" s="50" t="s">
        <v>2972</v>
      </c>
      <c r="B12" s="61">
        <v>110</v>
      </c>
      <c r="C12" s="468">
        <v>1667.89</v>
      </c>
      <c r="D12" s="61"/>
      <c r="E12" s="72" t="s">
        <v>3272</v>
      </c>
      <c r="F12" s="61"/>
      <c r="G12" s="61"/>
      <c r="H12" s="61"/>
      <c r="I12" s="61"/>
      <c r="J12" s="61"/>
      <c r="K12" s="61"/>
      <c r="L12" s="61"/>
      <c r="M12" s="61"/>
      <c r="N12" s="61"/>
      <c r="O12" s="61"/>
      <c r="P12" s="61"/>
      <c r="Q12" s="61"/>
      <c r="R12" s="61"/>
      <c r="S12" s="632"/>
      <c r="T12" s="632"/>
    </row>
    <row r="13" spans="1:20" x14ac:dyDescent="0.3">
      <c r="A13" s="50" t="s">
        <v>2973</v>
      </c>
      <c r="B13" s="61">
        <v>72</v>
      </c>
      <c r="C13" s="468">
        <v>982</v>
      </c>
      <c r="D13" s="61"/>
      <c r="E13" s="61"/>
      <c r="F13" s="61"/>
      <c r="G13" s="61"/>
      <c r="H13" s="61"/>
      <c r="I13" s="61"/>
      <c r="J13" s="61"/>
      <c r="K13" s="61"/>
      <c r="L13" s="61"/>
      <c r="M13" s="61"/>
      <c r="N13" s="61"/>
      <c r="O13" s="61"/>
      <c r="P13" s="61"/>
      <c r="Q13" s="61"/>
      <c r="R13" s="61"/>
      <c r="S13" s="632"/>
      <c r="T13" s="632"/>
    </row>
    <row r="14" spans="1:20" x14ac:dyDescent="0.3">
      <c r="A14" s="50" t="s">
        <v>2974</v>
      </c>
      <c r="B14" s="61">
        <v>10</v>
      </c>
      <c r="C14" s="468">
        <v>137</v>
      </c>
      <c r="D14" s="61"/>
      <c r="E14" s="61"/>
      <c r="F14" s="61"/>
      <c r="G14" s="61"/>
      <c r="H14" s="61"/>
      <c r="I14" s="61"/>
      <c r="J14" s="61"/>
      <c r="K14" s="61"/>
      <c r="L14" s="61"/>
      <c r="M14" s="61"/>
      <c r="N14" s="61"/>
      <c r="O14" s="61"/>
      <c r="P14" s="61"/>
      <c r="Q14" s="61"/>
      <c r="R14" s="61"/>
      <c r="S14" s="632"/>
      <c r="T14" s="632"/>
    </row>
    <row r="15" spans="1:20" x14ac:dyDescent="0.3">
      <c r="A15" s="50" t="s">
        <v>2975</v>
      </c>
      <c r="B15" s="61">
        <v>40</v>
      </c>
      <c r="C15" s="468">
        <v>537</v>
      </c>
      <c r="D15" s="61"/>
      <c r="E15" s="61"/>
      <c r="F15" s="61"/>
      <c r="G15" s="61"/>
      <c r="H15" s="61"/>
      <c r="I15" s="61"/>
      <c r="J15" s="61"/>
      <c r="K15" s="61"/>
      <c r="L15" s="61"/>
      <c r="M15" s="61"/>
      <c r="N15" s="61"/>
      <c r="O15" s="61"/>
      <c r="P15" s="61"/>
      <c r="Q15" s="61"/>
      <c r="R15" s="61"/>
      <c r="S15" s="632"/>
      <c r="T15" s="632"/>
    </row>
    <row r="16" spans="1:20" x14ac:dyDescent="0.3">
      <c r="A16" s="50" t="s">
        <v>2976</v>
      </c>
      <c r="B16" s="61">
        <v>13</v>
      </c>
      <c r="C16" s="468">
        <v>197.11</v>
      </c>
      <c r="D16" s="61"/>
      <c r="E16" s="61"/>
      <c r="F16" s="61"/>
      <c r="G16" s="61"/>
      <c r="H16" s="61"/>
      <c r="I16" s="61"/>
      <c r="J16" s="61"/>
      <c r="K16" s="61"/>
      <c r="L16" s="61"/>
      <c r="M16" s="61"/>
      <c r="N16" s="61"/>
      <c r="O16" s="61"/>
      <c r="P16" s="61"/>
      <c r="Q16" s="61"/>
      <c r="R16" s="61"/>
      <c r="S16" s="632"/>
      <c r="T16" s="632"/>
    </row>
    <row r="17" spans="1:20" x14ac:dyDescent="0.3">
      <c r="A17" s="50" t="s">
        <v>2977</v>
      </c>
      <c r="B17" s="61">
        <v>12</v>
      </c>
      <c r="C17" s="468">
        <v>177</v>
      </c>
      <c r="D17" s="61"/>
      <c r="E17" s="61"/>
      <c r="F17" s="61"/>
      <c r="G17" s="61"/>
      <c r="H17" s="61"/>
      <c r="I17" s="61"/>
      <c r="J17" s="61"/>
      <c r="K17" s="61"/>
      <c r="L17" s="61"/>
      <c r="M17" s="61"/>
      <c r="N17" s="61"/>
      <c r="O17" s="61"/>
      <c r="P17" s="61"/>
      <c r="Q17" s="61"/>
      <c r="R17" s="61"/>
      <c r="S17" s="632"/>
      <c r="T17" s="632"/>
    </row>
    <row r="18" spans="1:20" x14ac:dyDescent="0.3">
      <c r="A18" s="50" t="s">
        <v>2978</v>
      </c>
      <c r="B18" s="61">
        <v>10</v>
      </c>
      <c r="C18" s="468">
        <v>146</v>
      </c>
      <c r="D18" s="61"/>
      <c r="E18" s="61"/>
      <c r="F18" s="61"/>
      <c r="G18" s="61"/>
      <c r="H18" s="61"/>
      <c r="I18" s="61"/>
      <c r="J18" s="61"/>
      <c r="K18" s="61"/>
      <c r="L18" s="61"/>
      <c r="M18" s="61"/>
      <c r="N18" s="61"/>
      <c r="O18" s="61"/>
      <c r="P18" s="61"/>
      <c r="Q18" s="61"/>
      <c r="R18" s="61"/>
      <c r="S18" s="61"/>
      <c r="T18" s="61"/>
    </row>
    <row r="19" spans="1:20" x14ac:dyDescent="0.3">
      <c r="A19" s="50" t="s">
        <v>2979</v>
      </c>
      <c r="B19" s="61">
        <v>148</v>
      </c>
      <c r="C19" s="468">
        <v>2573</v>
      </c>
      <c r="D19" s="61"/>
      <c r="E19" s="61"/>
      <c r="F19" s="61"/>
      <c r="G19" s="61"/>
      <c r="H19" s="61"/>
      <c r="I19" s="61"/>
      <c r="J19" s="61"/>
      <c r="K19" s="61"/>
      <c r="L19" s="61"/>
      <c r="M19" s="61"/>
      <c r="N19" s="61"/>
      <c r="O19" s="61"/>
      <c r="P19" s="61"/>
      <c r="Q19" s="61"/>
      <c r="R19" s="61"/>
      <c r="S19" s="61"/>
      <c r="T19" s="61"/>
    </row>
    <row r="20" spans="1:20" x14ac:dyDescent="0.3">
      <c r="A20" s="50" t="s">
        <v>2980</v>
      </c>
      <c r="B20" s="61">
        <v>7</v>
      </c>
      <c r="C20" s="468">
        <v>152</v>
      </c>
      <c r="D20" s="61"/>
      <c r="E20" s="61"/>
      <c r="F20" s="61"/>
      <c r="G20" s="61"/>
      <c r="H20" s="61"/>
      <c r="I20" s="61"/>
      <c r="J20" s="61"/>
      <c r="K20" s="61"/>
      <c r="L20" s="61"/>
      <c r="M20" s="61"/>
      <c r="N20" s="61"/>
      <c r="O20" s="61"/>
      <c r="P20" s="61"/>
      <c r="Q20" s="61"/>
      <c r="R20" s="61"/>
      <c r="S20" s="61"/>
      <c r="T20" s="61"/>
    </row>
    <row r="21" spans="1:20" x14ac:dyDescent="0.3">
      <c r="A21" s="50" t="s">
        <v>2982</v>
      </c>
      <c r="B21" s="61">
        <v>14</v>
      </c>
      <c r="C21" s="468">
        <v>286.58999999999997</v>
      </c>
      <c r="D21" s="61"/>
      <c r="E21" s="61"/>
      <c r="F21" s="61"/>
      <c r="G21" s="61"/>
      <c r="H21" s="61"/>
      <c r="I21" s="61"/>
      <c r="J21" s="61"/>
      <c r="K21" s="61"/>
      <c r="L21" s="61"/>
      <c r="M21" s="61"/>
      <c r="N21" s="61"/>
      <c r="O21" s="61"/>
      <c r="P21" s="61"/>
      <c r="Q21" s="61"/>
      <c r="R21" s="61"/>
      <c r="S21" s="61"/>
      <c r="T21" s="61"/>
    </row>
    <row r="22" spans="1:20" x14ac:dyDescent="0.3">
      <c r="A22" s="50" t="s">
        <v>2983</v>
      </c>
      <c r="B22" s="61">
        <v>20</v>
      </c>
      <c r="C22" s="468">
        <v>409.41000000000008</v>
      </c>
      <c r="D22" s="61"/>
      <c r="E22" s="61"/>
      <c r="F22" s="61"/>
      <c r="G22" s="61"/>
      <c r="H22" s="61"/>
      <c r="I22" s="61"/>
      <c r="J22" s="61"/>
      <c r="K22" s="61"/>
      <c r="L22" s="61"/>
      <c r="M22" s="61"/>
      <c r="N22" s="61"/>
      <c r="O22" s="61"/>
      <c r="P22" s="61"/>
      <c r="Q22" s="61"/>
      <c r="R22" s="61"/>
      <c r="S22" s="61"/>
      <c r="T22" s="61"/>
    </row>
    <row r="23" spans="1:20" x14ac:dyDescent="0.3">
      <c r="A23" s="50" t="s">
        <v>3001</v>
      </c>
      <c r="B23" s="61">
        <v>59</v>
      </c>
      <c r="C23" s="468">
        <v>786</v>
      </c>
      <c r="D23" s="61"/>
      <c r="E23" s="61"/>
      <c r="F23" s="61"/>
      <c r="G23" s="61"/>
      <c r="H23" s="61"/>
      <c r="I23" s="61"/>
      <c r="J23" s="61"/>
      <c r="K23" s="61"/>
      <c r="L23" s="61"/>
      <c r="M23" s="61"/>
      <c r="N23" s="61"/>
      <c r="O23" s="61"/>
      <c r="P23" s="61"/>
      <c r="Q23" s="61"/>
      <c r="R23" s="61"/>
      <c r="S23" s="61"/>
      <c r="T23" s="61"/>
    </row>
    <row r="24" spans="1:20" x14ac:dyDescent="0.3">
      <c r="A24" s="50" t="s">
        <v>3002</v>
      </c>
      <c r="B24" s="61">
        <v>20</v>
      </c>
      <c r="C24" s="468">
        <v>319.62</v>
      </c>
      <c r="D24" s="61"/>
      <c r="E24" s="61"/>
      <c r="F24" s="61"/>
      <c r="G24" s="61"/>
      <c r="H24" s="61"/>
      <c r="I24" s="61"/>
      <c r="J24" s="61"/>
      <c r="K24" s="61"/>
      <c r="L24" s="61"/>
      <c r="M24" s="61"/>
      <c r="N24" s="61"/>
      <c r="O24" s="61"/>
      <c r="P24" s="61"/>
      <c r="Q24" s="61"/>
      <c r="R24" s="61"/>
      <c r="S24" s="61"/>
      <c r="T24" s="61"/>
    </row>
    <row r="25" spans="1:20" x14ac:dyDescent="0.3">
      <c r="A25" s="50" t="s">
        <v>3003</v>
      </c>
      <c r="B25" s="61">
        <v>71</v>
      </c>
      <c r="C25" s="468">
        <v>1134.6500000000001</v>
      </c>
      <c r="D25" s="61"/>
      <c r="E25" s="61"/>
      <c r="F25" s="61"/>
      <c r="G25" s="61"/>
      <c r="H25" s="61"/>
      <c r="I25" s="61"/>
      <c r="J25" s="61"/>
      <c r="K25" s="61"/>
      <c r="L25" s="61"/>
      <c r="M25" s="61"/>
      <c r="N25" s="61"/>
      <c r="O25" s="61"/>
      <c r="P25" s="61"/>
      <c r="Q25" s="61"/>
      <c r="R25" s="61"/>
      <c r="S25" s="61"/>
      <c r="T25" s="61"/>
    </row>
    <row r="26" spans="1:20" x14ac:dyDescent="0.3">
      <c r="A26" s="50" t="s">
        <v>3004</v>
      </c>
      <c r="B26" s="61">
        <v>14</v>
      </c>
      <c r="C26" s="468">
        <v>223.73</v>
      </c>
      <c r="D26" s="61"/>
      <c r="E26" s="61"/>
      <c r="F26" s="61"/>
      <c r="G26" s="61"/>
      <c r="H26" s="61"/>
      <c r="I26" s="61"/>
      <c r="J26" s="61"/>
      <c r="K26" s="61"/>
      <c r="L26" s="61"/>
      <c r="M26" s="61"/>
      <c r="N26" s="61"/>
      <c r="O26" s="61"/>
      <c r="P26" s="61"/>
      <c r="Q26" s="61"/>
      <c r="R26" s="61"/>
      <c r="S26" s="61"/>
      <c r="T26" s="61"/>
    </row>
    <row r="27" spans="1:20" x14ac:dyDescent="0.3">
      <c r="A27" s="50" t="s">
        <v>3005</v>
      </c>
      <c r="B27" s="61">
        <v>4</v>
      </c>
      <c r="C27" s="468">
        <v>56</v>
      </c>
      <c r="D27" s="61"/>
      <c r="E27" s="61"/>
      <c r="F27" s="61"/>
      <c r="G27" s="61"/>
      <c r="H27" s="61"/>
      <c r="I27" s="61"/>
      <c r="J27" s="61"/>
      <c r="K27" s="61"/>
      <c r="L27" s="61"/>
      <c r="M27" s="61"/>
      <c r="N27" s="61"/>
      <c r="O27" s="61"/>
      <c r="P27" s="61"/>
      <c r="Q27" s="61"/>
      <c r="R27" s="61"/>
      <c r="S27" s="61"/>
      <c r="T27" s="61"/>
    </row>
    <row r="28" spans="1:20" x14ac:dyDescent="0.3">
      <c r="A28" s="50" t="s">
        <v>3006</v>
      </c>
      <c r="B28" s="61">
        <v>6</v>
      </c>
      <c r="C28" s="468">
        <v>83</v>
      </c>
      <c r="D28" s="61"/>
      <c r="E28" s="61"/>
      <c r="F28" s="61"/>
      <c r="G28" s="61"/>
      <c r="H28" s="61"/>
      <c r="I28" s="61"/>
      <c r="J28" s="61"/>
      <c r="K28" s="61"/>
      <c r="L28" s="61"/>
      <c r="M28" s="61"/>
      <c r="N28" s="61"/>
      <c r="O28" s="61"/>
      <c r="P28" s="61"/>
      <c r="Q28" s="61"/>
      <c r="R28" s="61"/>
      <c r="S28" s="61"/>
      <c r="T28" s="61"/>
    </row>
    <row r="29" spans="1:20" x14ac:dyDescent="0.3">
      <c r="A29" s="50" t="s">
        <v>3007</v>
      </c>
      <c r="B29" s="61">
        <v>8</v>
      </c>
      <c r="C29" s="468">
        <v>157</v>
      </c>
      <c r="D29" s="61"/>
      <c r="E29" s="61"/>
      <c r="F29" s="61"/>
      <c r="G29" s="61"/>
      <c r="H29" s="61"/>
      <c r="I29" s="61"/>
      <c r="J29" s="61"/>
      <c r="K29" s="61"/>
      <c r="L29" s="61"/>
      <c r="M29" s="61"/>
      <c r="N29" s="61"/>
      <c r="O29" s="61"/>
      <c r="P29" s="61"/>
      <c r="Q29" s="61"/>
      <c r="R29" s="61"/>
      <c r="S29" s="61"/>
      <c r="T29" s="61"/>
    </row>
    <row r="30" spans="1:20" x14ac:dyDescent="0.3">
      <c r="A30" s="50" t="s">
        <v>3008</v>
      </c>
      <c r="B30" s="61">
        <v>26</v>
      </c>
      <c r="C30" s="468">
        <v>1.340625</v>
      </c>
      <c r="D30" s="61"/>
      <c r="E30" s="61"/>
      <c r="F30" s="61"/>
      <c r="G30" s="61"/>
      <c r="H30" s="61"/>
      <c r="I30" s="61"/>
      <c r="J30" s="61"/>
      <c r="K30" s="61"/>
      <c r="L30" s="61"/>
      <c r="M30" s="61"/>
      <c r="N30" s="61"/>
      <c r="O30" s="61"/>
      <c r="P30" s="61"/>
      <c r="Q30" s="61"/>
      <c r="R30" s="61"/>
      <c r="S30" s="61"/>
      <c r="T30" s="61"/>
    </row>
    <row r="31" spans="1:20" x14ac:dyDescent="0.3">
      <c r="A31" s="50" t="s">
        <v>3009</v>
      </c>
      <c r="B31" s="61">
        <v>6</v>
      </c>
      <c r="C31" s="468">
        <v>0.30937499999999996</v>
      </c>
      <c r="D31" s="61"/>
      <c r="E31" s="61"/>
      <c r="F31" s="61"/>
      <c r="G31" s="61"/>
      <c r="H31" s="61"/>
      <c r="I31" s="61"/>
      <c r="J31" s="61"/>
      <c r="K31" s="61"/>
      <c r="L31" s="61"/>
      <c r="M31" s="61"/>
      <c r="N31" s="61"/>
      <c r="O31" s="61"/>
      <c r="P31" s="61"/>
      <c r="Q31" s="61"/>
      <c r="R31" s="61"/>
      <c r="S31" s="61"/>
      <c r="T31" s="61"/>
    </row>
    <row r="32" spans="1:20" x14ac:dyDescent="0.3">
      <c r="A32" s="50" t="s">
        <v>3010</v>
      </c>
      <c r="B32" s="61">
        <v>9</v>
      </c>
      <c r="C32" s="468">
        <v>130</v>
      </c>
      <c r="D32" s="61"/>
      <c r="E32" s="61"/>
      <c r="F32" s="61"/>
      <c r="G32" s="61"/>
      <c r="H32" s="61"/>
      <c r="I32" s="61"/>
      <c r="J32" s="61"/>
      <c r="K32" s="61"/>
      <c r="L32" s="61"/>
      <c r="M32" s="61"/>
      <c r="N32" s="61"/>
      <c r="O32" s="61"/>
      <c r="P32" s="61"/>
      <c r="Q32" s="61"/>
      <c r="R32" s="61"/>
      <c r="S32" s="61"/>
      <c r="T32" s="61"/>
    </row>
    <row r="33" spans="1:20" x14ac:dyDescent="0.3">
      <c r="A33" s="50" t="s">
        <v>3011</v>
      </c>
      <c r="B33" s="61">
        <v>19</v>
      </c>
      <c r="C33" s="468">
        <v>275</v>
      </c>
      <c r="D33" s="61"/>
      <c r="E33" s="61"/>
      <c r="F33" s="61"/>
      <c r="G33" s="61"/>
      <c r="H33" s="61"/>
      <c r="I33" s="61"/>
      <c r="J33" s="61"/>
      <c r="K33" s="61"/>
      <c r="L33" s="61"/>
      <c r="M33" s="61"/>
      <c r="N33" s="61"/>
      <c r="O33" s="61"/>
      <c r="P33" s="61"/>
      <c r="Q33" s="61"/>
      <c r="R33" s="61"/>
      <c r="S33" s="61"/>
      <c r="T33" s="61"/>
    </row>
    <row r="34" spans="1:20" x14ac:dyDescent="0.3">
      <c r="A34" s="50" t="s">
        <v>3012</v>
      </c>
      <c r="B34" s="61">
        <v>88</v>
      </c>
      <c r="C34" s="468">
        <v>1179.9999999999998</v>
      </c>
      <c r="D34" s="61"/>
      <c r="E34" s="61"/>
      <c r="F34" s="61"/>
      <c r="G34" s="61"/>
      <c r="H34" s="61"/>
      <c r="I34" s="61"/>
      <c r="J34" s="61"/>
      <c r="K34" s="61"/>
      <c r="L34" s="61"/>
      <c r="M34" s="61"/>
      <c r="N34" s="61"/>
      <c r="O34" s="61"/>
      <c r="P34" s="61"/>
      <c r="Q34" s="61"/>
      <c r="R34" s="61"/>
      <c r="S34" s="61"/>
      <c r="T34" s="61"/>
    </row>
    <row r="35" spans="1:20" x14ac:dyDescent="0.3">
      <c r="A35" s="50" t="s">
        <v>3013</v>
      </c>
      <c r="B35" s="61">
        <v>29</v>
      </c>
      <c r="C35" s="468">
        <v>407.00000000000006</v>
      </c>
      <c r="D35" s="61"/>
      <c r="E35" s="61"/>
      <c r="F35" s="61"/>
      <c r="G35" s="61"/>
      <c r="H35" s="61"/>
      <c r="I35" s="61"/>
      <c r="J35" s="61"/>
      <c r="K35" s="61"/>
      <c r="L35" s="61"/>
      <c r="M35" s="61"/>
      <c r="N35" s="61"/>
      <c r="O35" s="61"/>
      <c r="P35" s="61"/>
      <c r="Q35" s="61"/>
      <c r="R35" s="61"/>
      <c r="S35" s="61"/>
      <c r="T35" s="61"/>
    </row>
    <row r="36" spans="1:20" x14ac:dyDescent="0.3">
      <c r="A36" s="50" t="s">
        <v>3111</v>
      </c>
      <c r="B36" s="61">
        <v>30</v>
      </c>
      <c r="C36" s="468">
        <v>1.43</v>
      </c>
      <c r="D36" s="61"/>
      <c r="E36" s="67"/>
      <c r="F36" s="61"/>
      <c r="G36" s="61"/>
      <c r="H36" s="61"/>
      <c r="I36" s="61"/>
      <c r="J36" s="61"/>
      <c r="K36" s="61"/>
      <c r="L36" s="61"/>
      <c r="M36" s="61"/>
      <c r="N36" s="61"/>
      <c r="O36" s="61"/>
      <c r="P36" s="61"/>
      <c r="Q36" s="61"/>
      <c r="R36" s="61"/>
      <c r="S36" s="61"/>
      <c r="T36" s="61"/>
    </row>
    <row r="37" spans="1:20" x14ac:dyDescent="0.3">
      <c r="A37" s="50" t="s">
        <v>3113</v>
      </c>
      <c r="B37" s="61">
        <v>13</v>
      </c>
      <c r="C37" s="468">
        <v>194.69</v>
      </c>
      <c r="D37" s="61"/>
      <c r="E37" s="67"/>
      <c r="F37" s="61"/>
      <c r="G37" s="61"/>
      <c r="H37" s="61"/>
      <c r="I37" s="61"/>
      <c r="J37" s="61"/>
      <c r="K37" s="61"/>
      <c r="L37" s="61"/>
      <c r="M37" s="61"/>
      <c r="N37" s="61"/>
      <c r="O37" s="61"/>
      <c r="P37" s="61"/>
      <c r="Q37" s="61"/>
      <c r="R37" s="61"/>
      <c r="S37" s="61"/>
      <c r="T37" s="61"/>
    </row>
    <row r="38" spans="1:20" x14ac:dyDescent="0.3">
      <c r="A38" s="50" t="s">
        <v>3114</v>
      </c>
      <c r="B38" s="61">
        <v>29</v>
      </c>
      <c r="C38" s="468">
        <v>434.31000000000006</v>
      </c>
      <c r="D38" s="61"/>
      <c r="E38" s="67"/>
      <c r="F38" s="61"/>
      <c r="G38" s="61"/>
      <c r="H38" s="61"/>
      <c r="I38" s="61"/>
      <c r="J38" s="61"/>
      <c r="K38" s="61"/>
      <c r="L38" s="61"/>
      <c r="M38" s="61"/>
      <c r="N38" s="61"/>
      <c r="O38" s="61"/>
      <c r="P38" s="61"/>
      <c r="Q38" s="61"/>
      <c r="R38" s="61"/>
      <c r="S38" s="61"/>
      <c r="T38" s="61"/>
    </row>
    <row r="39" spans="1:20" x14ac:dyDescent="0.3">
      <c r="A39" s="50" t="s">
        <v>3115</v>
      </c>
      <c r="B39" s="61">
        <v>36</v>
      </c>
      <c r="C39" s="468">
        <v>524.57000000000005</v>
      </c>
      <c r="D39" s="61"/>
      <c r="E39" s="67"/>
      <c r="F39" s="61"/>
      <c r="G39" s="61"/>
      <c r="H39" s="61"/>
      <c r="I39" s="61"/>
      <c r="J39" s="61"/>
      <c r="K39" s="61"/>
      <c r="L39" s="61"/>
      <c r="M39" s="61"/>
      <c r="N39" s="61"/>
      <c r="O39" s="61"/>
      <c r="P39" s="61"/>
      <c r="Q39" s="61"/>
      <c r="R39" s="61"/>
      <c r="S39" s="61"/>
      <c r="T39" s="61"/>
    </row>
    <row r="40" spans="1:20" x14ac:dyDescent="0.3">
      <c r="A40" s="50" t="s">
        <v>3118</v>
      </c>
      <c r="B40" s="61">
        <v>69</v>
      </c>
      <c r="C40" s="468">
        <v>1005.43</v>
      </c>
      <c r="D40" s="61"/>
      <c r="E40" s="67"/>
      <c r="F40" s="61"/>
      <c r="G40" s="61"/>
      <c r="H40" s="61"/>
      <c r="I40" s="61"/>
      <c r="J40" s="61"/>
      <c r="K40" s="61"/>
      <c r="L40" s="61"/>
      <c r="M40" s="61"/>
      <c r="N40" s="61"/>
      <c r="O40" s="61"/>
      <c r="P40" s="61"/>
      <c r="Q40" s="61"/>
      <c r="R40" s="61"/>
      <c r="S40" s="61"/>
      <c r="T40" s="61"/>
    </row>
    <row r="41" spans="1:20" x14ac:dyDescent="0.3">
      <c r="A41" s="50" t="s">
        <v>3120</v>
      </c>
      <c r="B41" s="61">
        <v>11</v>
      </c>
      <c r="C41" s="468">
        <v>138</v>
      </c>
      <c r="D41" s="61"/>
      <c r="E41" s="67"/>
      <c r="F41" s="61"/>
      <c r="G41" s="61"/>
      <c r="H41" s="61"/>
      <c r="I41" s="61"/>
      <c r="J41" s="61"/>
      <c r="K41" s="61"/>
      <c r="L41" s="61"/>
      <c r="M41" s="61"/>
      <c r="N41" s="61"/>
      <c r="O41" s="61"/>
      <c r="P41" s="61"/>
      <c r="Q41" s="61"/>
      <c r="R41" s="61"/>
      <c r="S41" s="61"/>
      <c r="T41" s="61"/>
    </row>
    <row r="42" spans="1:20" x14ac:dyDescent="0.3">
      <c r="A42" s="50" t="s">
        <v>3122</v>
      </c>
      <c r="B42" s="61">
        <v>44</v>
      </c>
      <c r="C42" s="468">
        <v>724</v>
      </c>
      <c r="D42" s="61"/>
      <c r="E42" s="67"/>
      <c r="F42" s="61"/>
      <c r="G42" s="61"/>
      <c r="H42" s="61"/>
      <c r="I42" s="61"/>
      <c r="J42" s="61"/>
      <c r="K42" s="61"/>
      <c r="L42" s="61"/>
      <c r="M42" s="61"/>
      <c r="N42" s="61"/>
      <c r="O42" s="61"/>
      <c r="P42" s="61"/>
      <c r="Q42" s="61"/>
      <c r="R42" s="61"/>
      <c r="S42" s="61"/>
      <c r="T42" s="61"/>
    </row>
    <row r="43" spans="1:20" x14ac:dyDescent="0.3">
      <c r="A43" s="50" t="s">
        <v>3123</v>
      </c>
      <c r="B43" s="61">
        <v>112</v>
      </c>
      <c r="C43" s="468">
        <v>1704.55</v>
      </c>
      <c r="D43" s="61"/>
      <c r="E43" s="67"/>
      <c r="F43" s="61"/>
      <c r="G43" s="61"/>
      <c r="H43" s="61"/>
      <c r="I43" s="61"/>
      <c r="J43" s="61"/>
      <c r="K43" s="61"/>
      <c r="L43" s="61"/>
      <c r="M43" s="61"/>
      <c r="N43" s="61"/>
      <c r="O43" s="61"/>
      <c r="P43" s="61"/>
      <c r="Q43" s="61"/>
      <c r="R43" s="61"/>
      <c r="S43" s="61"/>
      <c r="T43" s="61"/>
    </row>
    <row r="44" spans="1:20" x14ac:dyDescent="0.3">
      <c r="A44" s="50" t="s">
        <v>3124</v>
      </c>
      <c r="B44" s="61">
        <v>34</v>
      </c>
      <c r="C44" s="468">
        <v>517.45000000000005</v>
      </c>
      <c r="D44" s="61"/>
      <c r="E44" s="67"/>
      <c r="F44" s="61"/>
      <c r="G44" s="61"/>
      <c r="H44" s="61"/>
      <c r="I44" s="61"/>
      <c r="J44" s="61"/>
      <c r="K44" s="61"/>
      <c r="L44" s="61"/>
      <c r="M44" s="61"/>
      <c r="N44" s="61"/>
      <c r="O44" s="61"/>
      <c r="P44" s="61"/>
      <c r="Q44" s="61"/>
      <c r="R44" s="61"/>
      <c r="S44" s="61"/>
      <c r="T44" s="61"/>
    </row>
    <row r="45" spans="1:20" x14ac:dyDescent="0.3">
      <c r="A45" s="50" t="s">
        <v>3126</v>
      </c>
      <c r="B45" s="61">
        <v>4</v>
      </c>
      <c r="C45" s="468">
        <v>69</v>
      </c>
      <c r="D45" s="61"/>
      <c r="E45" s="67"/>
      <c r="F45" s="61"/>
      <c r="G45" s="61"/>
      <c r="H45" s="61"/>
      <c r="I45" s="61"/>
      <c r="J45" s="61"/>
      <c r="K45" s="61"/>
      <c r="L45" s="61"/>
      <c r="M45" s="61"/>
      <c r="N45" s="61"/>
      <c r="O45" s="61"/>
      <c r="P45" s="61"/>
      <c r="Q45" s="61"/>
      <c r="R45" s="61"/>
      <c r="S45" s="61"/>
      <c r="T45" s="61"/>
    </row>
    <row r="46" spans="1:20" x14ac:dyDescent="0.3">
      <c r="A46" s="50" t="s">
        <v>3127</v>
      </c>
      <c r="B46" s="61">
        <v>81</v>
      </c>
      <c r="C46" s="468">
        <v>1386.9999999999998</v>
      </c>
      <c r="D46" s="61"/>
      <c r="E46" s="67"/>
      <c r="F46" s="61"/>
      <c r="G46" s="61"/>
      <c r="H46" s="61"/>
      <c r="I46" s="61"/>
      <c r="J46" s="61"/>
      <c r="K46" s="61"/>
      <c r="L46" s="61"/>
      <c r="M46" s="61"/>
      <c r="N46" s="61"/>
      <c r="O46" s="61"/>
      <c r="P46" s="61"/>
      <c r="Q46" s="61"/>
      <c r="R46" s="61"/>
      <c r="S46" s="61"/>
      <c r="T46" s="61"/>
    </row>
    <row r="47" spans="1:20" x14ac:dyDescent="0.3">
      <c r="A47" s="50" t="s">
        <v>3128</v>
      </c>
      <c r="B47" s="61">
        <v>126</v>
      </c>
      <c r="C47" s="468">
        <v>1891.0000000000005</v>
      </c>
      <c r="D47" s="61"/>
      <c r="E47" s="67"/>
      <c r="F47" s="61"/>
      <c r="G47" s="61"/>
      <c r="H47" s="61"/>
      <c r="I47" s="61"/>
      <c r="J47" s="61"/>
      <c r="K47" s="61"/>
      <c r="L47" s="61"/>
      <c r="M47" s="61"/>
      <c r="N47" s="61"/>
      <c r="O47" s="61"/>
      <c r="P47" s="61"/>
      <c r="Q47" s="61"/>
      <c r="R47" s="61"/>
      <c r="S47" s="61"/>
      <c r="T47" s="61"/>
    </row>
    <row r="48" spans="1:20" x14ac:dyDescent="0.3">
      <c r="A48" s="50" t="s">
        <v>3130</v>
      </c>
      <c r="B48" s="61">
        <v>11</v>
      </c>
      <c r="C48" s="468">
        <v>176</v>
      </c>
      <c r="D48" s="61"/>
      <c r="E48" s="67"/>
      <c r="F48" s="61"/>
      <c r="G48" s="61"/>
      <c r="H48" s="61"/>
      <c r="I48" s="61"/>
      <c r="J48" s="61"/>
      <c r="K48" s="61"/>
      <c r="L48" s="61"/>
      <c r="M48" s="61"/>
      <c r="N48" s="61"/>
      <c r="O48" s="61"/>
      <c r="P48" s="61"/>
      <c r="Q48" s="61"/>
      <c r="R48" s="61"/>
      <c r="S48" s="61"/>
      <c r="T48" s="61"/>
    </row>
    <row r="49" spans="1:20" x14ac:dyDescent="0.3">
      <c r="A49" s="50" t="s">
        <v>3132</v>
      </c>
      <c r="B49" s="61">
        <v>12</v>
      </c>
      <c r="C49" s="468">
        <v>1</v>
      </c>
      <c r="D49" s="61"/>
      <c r="E49" s="67"/>
      <c r="F49" s="61"/>
      <c r="G49" s="61"/>
      <c r="H49" s="61"/>
      <c r="I49" s="61"/>
      <c r="J49" s="61"/>
      <c r="K49" s="61"/>
      <c r="L49" s="61"/>
      <c r="M49" s="61"/>
      <c r="N49" s="61"/>
      <c r="O49" s="61"/>
      <c r="P49" s="61"/>
      <c r="Q49" s="61"/>
      <c r="R49" s="61"/>
      <c r="S49" s="61"/>
      <c r="T49" s="61"/>
    </row>
    <row r="50" spans="1:20" x14ac:dyDescent="0.3">
      <c r="A50" s="50" t="s">
        <v>3133</v>
      </c>
      <c r="B50" s="61">
        <v>6</v>
      </c>
      <c r="C50" s="468">
        <v>115</v>
      </c>
      <c r="D50" s="61"/>
      <c r="E50" s="67"/>
      <c r="F50" s="61"/>
      <c r="G50" s="61"/>
      <c r="H50" s="61"/>
      <c r="I50" s="61"/>
      <c r="J50" s="61"/>
      <c r="K50" s="61"/>
      <c r="L50" s="61"/>
      <c r="M50" s="61"/>
      <c r="N50" s="61"/>
      <c r="O50" s="61"/>
      <c r="P50" s="61"/>
      <c r="Q50" s="61"/>
      <c r="R50" s="61"/>
      <c r="S50" s="61"/>
      <c r="T50" s="61"/>
    </row>
    <row r="51" spans="1:20" x14ac:dyDescent="0.3">
      <c r="A51" s="50" t="s">
        <v>3135</v>
      </c>
      <c r="B51" s="61">
        <v>7</v>
      </c>
      <c r="C51" s="468">
        <v>102.07999999999998</v>
      </c>
      <c r="D51" s="61"/>
      <c r="E51" s="67"/>
      <c r="F51" s="61"/>
      <c r="G51" s="61"/>
      <c r="H51" s="61"/>
      <c r="I51" s="61"/>
      <c r="J51" s="61"/>
      <c r="K51" s="61"/>
      <c r="L51" s="61"/>
      <c r="M51" s="61"/>
      <c r="N51" s="61"/>
      <c r="O51" s="61"/>
      <c r="P51" s="61"/>
      <c r="Q51" s="61"/>
      <c r="R51" s="61"/>
      <c r="S51" s="61"/>
      <c r="T51" s="61"/>
    </row>
    <row r="52" spans="1:20" x14ac:dyDescent="0.3">
      <c r="A52" s="50" t="s">
        <v>3136</v>
      </c>
      <c r="B52" s="61">
        <v>5</v>
      </c>
      <c r="C52" s="468">
        <v>72.919999999999987</v>
      </c>
      <c r="D52" s="61"/>
      <c r="E52" s="67"/>
      <c r="F52" s="61"/>
      <c r="G52" s="61"/>
      <c r="H52" s="61"/>
      <c r="I52" s="61"/>
      <c r="J52" s="61"/>
      <c r="K52" s="61"/>
      <c r="L52" s="61"/>
      <c r="M52" s="61"/>
      <c r="N52" s="61"/>
      <c r="O52" s="61"/>
      <c r="P52" s="61"/>
      <c r="Q52" s="61"/>
      <c r="R52" s="61"/>
      <c r="S52" s="61"/>
      <c r="T52" s="61"/>
    </row>
    <row r="53" spans="1:20" x14ac:dyDescent="0.3">
      <c r="A53" s="50" t="s">
        <v>3138</v>
      </c>
      <c r="B53" s="61">
        <v>13</v>
      </c>
      <c r="C53" s="468">
        <v>302</v>
      </c>
      <c r="D53" s="61"/>
      <c r="E53" s="67"/>
      <c r="F53" s="61"/>
      <c r="G53" s="61"/>
      <c r="H53" s="61"/>
      <c r="I53" s="61"/>
      <c r="J53" s="61"/>
      <c r="K53" s="61"/>
      <c r="L53" s="61"/>
      <c r="M53" s="61"/>
      <c r="N53" s="61"/>
      <c r="O53" s="61"/>
      <c r="P53" s="61"/>
      <c r="Q53" s="61"/>
      <c r="R53" s="61"/>
      <c r="S53" s="61"/>
      <c r="T53" s="61"/>
    </row>
    <row r="54" spans="1:20" x14ac:dyDescent="0.3">
      <c r="A54" s="50" t="s">
        <v>3141</v>
      </c>
      <c r="B54" s="61">
        <v>12</v>
      </c>
      <c r="C54" s="468">
        <v>280</v>
      </c>
      <c r="D54" s="61"/>
      <c r="E54" s="67"/>
      <c r="F54" s="61"/>
      <c r="G54" s="61"/>
      <c r="H54" s="61"/>
      <c r="I54" s="61"/>
      <c r="J54" s="61"/>
      <c r="K54" s="61"/>
      <c r="L54" s="61"/>
      <c r="M54" s="61"/>
      <c r="N54" s="61"/>
      <c r="O54" s="61"/>
      <c r="P54" s="61"/>
      <c r="Q54" s="61"/>
      <c r="R54" s="61"/>
      <c r="S54" s="61"/>
      <c r="T54" s="61"/>
    </row>
    <row r="55" spans="1:20" x14ac:dyDescent="0.3">
      <c r="A55" s="50" t="s">
        <v>3143</v>
      </c>
      <c r="B55" s="61">
        <v>13</v>
      </c>
      <c r="C55" s="468">
        <v>303</v>
      </c>
      <c r="D55" s="61"/>
      <c r="E55" s="67"/>
      <c r="F55" s="61"/>
      <c r="G55" s="61"/>
      <c r="H55" s="61"/>
      <c r="I55" s="61"/>
      <c r="J55" s="61"/>
      <c r="K55" s="61"/>
      <c r="L55" s="61"/>
      <c r="M55" s="61"/>
      <c r="N55" s="61"/>
      <c r="O55" s="61"/>
      <c r="P55" s="61"/>
      <c r="Q55" s="61"/>
      <c r="R55" s="61"/>
      <c r="S55" s="61"/>
      <c r="T55" s="61"/>
    </row>
    <row r="56" spans="1:20" x14ac:dyDescent="0.3">
      <c r="A56" s="50" t="s">
        <v>3145</v>
      </c>
      <c r="B56" s="61">
        <v>13</v>
      </c>
      <c r="C56" s="468">
        <v>303</v>
      </c>
      <c r="D56" s="61"/>
      <c r="E56" s="67"/>
      <c r="F56" s="61"/>
      <c r="G56" s="61"/>
      <c r="H56" s="61"/>
      <c r="I56" s="61"/>
      <c r="J56" s="61"/>
      <c r="K56" s="61"/>
      <c r="L56" s="61"/>
      <c r="M56" s="61"/>
      <c r="N56" s="61"/>
      <c r="O56" s="61"/>
      <c r="P56" s="61"/>
      <c r="Q56" s="61"/>
      <c r="R56" s="61"/>
      <c r="S56" s="61"/>
      <c r="T56" s="61"/>
    </row>
    <row r="57" spans="1:20" x14ac:dyDescent="0.3">
      <c r="A57" s="50" t="s">
        <v>3148</v>
      </c>
      <c r="B57" s="61">
        <v>13</v>
      </c>
      <c r="C57" s="468">
        <v>302</v>
      </c>
      <c r="D57" s="61"/>
      <c r="E57" s="67"/>
      <c r="F57" s="61"/>
      <c r="G57" s="61"/>
      <c r="H57" s="61"/>
      <c r="I57" s="61"/>
      <c r="J57" s="61"/>
      <c r="K57" s="61"/>
      <c r="L57" s="61"/>
      <c r="M57" s="61"/>
      <c r="N57" s="61"/>
      <c r="O57" s="61"/>
      <c r="P57" s="61"/>
      <c r="Q57" s="61"/>
      <c r="R57" s="61"/>
      <c r="S57" s="61"/>
      <c r="T57" s="61"/>
    </row>
    <row r="58" spans="1:20" x14ac:dyDescent="0.3">
      <c r="A58" s="50" t="s">
        <v>3152</v>
      </c>
      <c r="B58" s="61">
        <v>57</v>
      </c>
      <c r="C58" s="468">
        <v>765.33</v>
      </c>
      <c r="D58" s="61"/>
      <c r="E58" s="67"/>
      <c r="F58" s="61"/>
      <c r="G58" s="61"/>
      <c r="H58" s="61"/>
      <c r="I58" s="61"/>
      <c r="J58" s="61"/>
      <c r="K58" s="61"/>
      <c r="L58" s="61"/>
      <c r="M58" s="61"/>
      <c r="N58" s="61"/>
      <c r="O58" s="61"/>
      <c r="P58" s="61"/>
      <c r="Q58" s="61"/>
      <c r="R58" s="61"/>
      <c r="S58" s="61"/>
      <c r="T58" s="61"/>
    </row>
    <row r="59" spans="1:20" x14ac:dyDescent="0.3">
      <c r="A59" s="50" t="s">
        <v>3153</v>
      </c>
      <c r="B59" s="61">
        <v>10</v>
      </c>
      <c r="C59" s="468">
        <v>167</v>
      </c>
      <c r="D59" s="61"/>
      <c r="E59" s="67"/>
      <c r="F59" s="61"/>
      <c r="G59" s="61"/>
      <c r="H59" s="61"/>
      <c r="I59" s="61"/>
      <c r="J59" s="61"/>
      <c r="K59" s="61"/>
      <c r="L59" s="61"/>
      <c r="M59" s="61"/>
      <c r="N59" s="61"/>
      <c r="O59" s="61"/>
      <c r="P59" s="61"/>
      <c r="Q59" s="61"/>
      <c r="R59" s="61"/>
      <c r="S59" s="61"/>
      <c r="T59" s="61"/>
    </row>
    <row r="60" spans="1:20" x14ac:dyDescent="0.3">
      <c r="A60" s="50" t="s">
        <v>3155</v>
      </c>
      <c r="B60" s="61">
        <v>13</v>
      </c>
      <c r="C60" s="468">
        <v>179</v>
      </c>
      <c r="D60" s="61"/>
      <c r="E60" s="67"/>
      <c r="F60" s="61"/>
      <c r="G60" s="61"/>
      <c r="H60" s="61"/>
      <c r="I60" s="61"/>
      <c r="J60" s="61"/>
      <c r="K60" s="61"/>
      <c r="L60" s="61"/>
      <c r="M60" s="61"/>
      <c r="N60" s="61"/>
      <c r="O60" s="61"/>
      <c r="P60" s="61"/>
      <c r="Q60" s="61"/>
      <c r="R60" s="61"/>
      <c r="S60" s="61"/>
      <c r="T60" s="61"/>
    </row>
    <row r="61" spans="1:20" x14ac:dyDescent="0.3">
      <c r="A61" s="50" t="s">
        <v>3158</v>
      </c>
      <c r="B61" s="61">
        <v>11</v>
      </c>
      <c r="C61" s="468">
        <v>0.59545454545454546</v>
      </c>
      <c r="D61" s="61"/>
      <c r="E61" s="67"/>
      <c r="F61" s="61"/>
      <c r="G61" s="61"/>
      <c r="H61" s="61"/>
      <c r="I61" s="61"/>
      <c r="J61" s="61"/>
      <c r="K61" s="61"/>
      <c r="L61" s="61"/>
      <c r="M61" s="61"/>
      <c r="N61" s="61"/>
      <c r="O61" s="61"/>
      <c r="P61" s="61"/>
      <c r="Q61" s="61"/>
      <c r="R61" s="61"/>
      <c r="S61" s="61"/>
      <c r="T61" s="61"/>
    </row>
    <row r="62" spans="1:20" x14ac:dyDescent="0.3">
      <c r="A62" s="50" t="s">
        <v>3160</v>
      </c>
      <c r="B62" s="61">
        <v>13</v>
      </c>
      <c r="C62" s="468">
        <v>174.55</v>
      </c>
      <c r="D62" s="61"/>
      <c r="E62" s="67"/>
      <c r="F62" s="61"/>
      <c r="G62" s="61"/>
      <c r="H62" s="61"/>
      <c r="I62" s="61"/>
      <c r="J62" s="61"/>
      <c r="K62" s="61"/>
      <c r="L62" s="61"/>
      <c r="M62" s="61"/>
      <c r="N62" s="61"/>
      <c r="O62" s="61"/>
      <c r="P62" s="61"/>
      <c r="Q62" s="61"/>
      <c r="R62" s="61"/>
      <c r="S62" s="61"/>
      <c r="T62" s="61"/>
    </row>
    <row r="63" spans="1:20" x14ac:dyDescent="0.3">
      <c r="A63" s="50" t="s">
        <v>3161</v>
      </c>
      <c r="B63" s="61">
        <v>12</v>
      </c>
      <c r="C63" s="468">
        <v>161.12</v>
      </c>
      <c r="D63" s="61"/>
      <c r="E63" s="67"/>
      <c r="F63" s="61"/>
      <c r="G63" s="61"/>
      <c r="H63" s="61"/>
      <c r="I63" s="61"/>
      <c r="J63" s="61"/>
      <c r="K63" s="61"/>
      <c r="L63" s="61"/>
      <c r="M63" s="61"/>
      <c r="N63" s="61"/>
      <c r="O63" s="61"/>
      <c r="P63" s="61"/>
      <c r="Q63" s="61"/>
      <c r="R63" s="61"/>
      <c r="S63" s="61"/>
      <c r="T63" s="61"/>
    </row>
    <row r="64" spans="1:20" x14ac:dyDescent="0.3">
      <c r="A64" s="50" t="s">
        <v>3163</v>
      </c>
      <c r="B64" s="61">
        <v>77</v>
      </c>
      <c r="C64" s="468">
        <v>1148</v>
      </c>
      <c r="D64" s="61"/>
      <c r="E64" s="67"/>
      <c r="F64" s="61"/>
      <c r="G64" s="61"/>
      <c r="H64" s="61"/>
      <c r="I64" s="61"/>
      <c r="J64" s="61"/>
      <c r="K64" s="61"/>
      <c r="L64" s="61"/>
      <c r="M64" s="61"/>
      <c r="N64" s="61"/>
      <c r="O64" s="61"/>
      <c r="P64" s="61"/>
      <c r="Q64" s="61"/>
      <c r="R64" s="61"/>
      <c r="S64" s="61"/>
      <c r="T64" s="61"/>
    </row>
    <row r="65" spans="1:20" x14ac:dyDescent="0.3">
      <c r="A65" s="50" t="s">
        <v>3165</v>
      </c>
      <c r="B65" s="61">
        <v>18</v>
      </c>
      <c r="C65" s="468">
        <v>243</v>
      </c>
      <c r="D65" s="61"/>
      <c r="E65" s="67"/>
      <c r="F65" s="61"/>
      <c r="G65" s="61"/>
      <c r="H65" s="61"/>
      <c r="I65" s="61"/>
      <c r="J65" s="61"/>
      <c r="K65" s="61"/>
      <c r="L65" s="61"/>
      <c r="M65" s="61"/>
      <c r="N65" s="61"/>
      <c r="O65" s="61"/>
      <c r="P65" s="61"/>
      <c r="Q65" s="61"/>
      <c r="R65" s="61"/>
      <c r="S65" s="61"/>
      <c r="T65" s="61"/>
    </row>
    <row r="66" spans="1:20" x14ac:dyDescent="0.3">
      <c r="A66" s="50" t="s">
        <v>3167</v>
      </c>
      <c r="B66" s="61">
        <v>20</v>
      </c>
      <c r="C66" s="468">
        <v>476</v>
      </c>
      <c r="D66" s="61"/>
      <c r="E66" s="67"/>
      <c r="F66" s="61"/>
      <c r="G66" s="61"/>
      <c r="H66" s="61"/>
      <c r="I66" s="61"/>
      <c r="J66" s="61"/>
      <c r="K66" s="61"/>
      <c r="L66" s="61"/>
      <c r="M66" s="61"/>
      <c r="N66" s="61"/>
      <c r="O66" s="61"/>
      <c r="P66" s="61"/>
      <c r="Q66" s="61"/>
      <c r="R66" s="61"/>
      <c r="S66" s="61"/>
      <c r="T66" s="61"/>
    </row>
    <row r="67" spans="1:20" x14ac:dyDescent="0.3">
      <c r="A67" s="50" t="s">
        <v>3170</v>
      </c>
      <c r="B67" s="61">
        <v>20</v>
      </c>
      <c r="C67" s="468">
        <v>474</v>
      </c>
      <c r="D67" s="61"/>
      <c r="E67" s="67"/>
      <c r="F67" s="61"/>
      <c r="G67" s="61"/>
      <c r="H67" s="61"/>
      <c r="I67" s="61"/>
      <c r="J67" s="61"/>
      <c r="K67" s="61"/>
      <c r="L67" s="61"/>
      <c r="M67" s="61"/>
      <c r="N67" s="61"/>
      <c r="O67" s="61"/>
      <c r="P67" s="61"/>
      <c r="Q67" s="61"/>
      <c r="R67" s="61"/>
      <c r="S67" s="61"/>
      <c r="T67" s="61"/>
    </row>
    <row r="68" spans="1:20" x14ac:dyDescent="0.3">
      <c r="A68" s="50" t="s">
        <v>3172</v>
      </c>
      <c r="B68" s="61">
        <v>20</v>
      </c>
      <c r="C68" s="468">
        <v>478</v>
      </c>
      <c r="D68" s="61"/>
      <c r="E68" s="67"/>
      <c r="F68" s="61"/>
      <c r="G68" s="61"/>
      <c r="H68" s="61"/>
      <c r="I68" s="61"/>
      <c r="J68" s="61"/>
      <c r="K68" s="61"/>
      <c r="L68" s="61"/>
      <c r="M68" s="61"/>
      <c r="N68" s="61"/>
      <c r="O68" s="61"/>
      <c r="P68" s="61"/>
      <c r="Q68" s="61"/>
      <c r="R68" s="61"/>
      <c r="S68" s="61"/>
      <c r="T68" s="61"/>
    </row>
    <row r="69" spans="1:20" x14ac:dyDescent="0.3">
      <c r="A69" s="50" t="s">
        <v>3175</v>
      </c>
      <c r="B69" s="61">
        <v>20</v>
      </c>
      <c r="C69" s="468">
        <v>474</v>
      </c>
      <c r="D69" s="61"/>
      <c r="E69" s="67"/>
      <c r="F69" s="61"/>
      <c r="G69" s="61"/>
      <c r="H69" s="61"/>
      <c r="I69" s="61"/>
      <c r="J69" s="61"/>
      <c r="K69" s="61"/>
      <c r="L69" s="61"/>
      <c r="M69" s="61"/>
      <c r="N69" s="61"/>
      <c r="O69" s="61"/>
      <c r="P69" s="61"/>
      <c r="Q69" s="61"/>
      <c r="R69" s="61"/>
      <c r="S69" s="61"/>
      <c r="T69" s="61"/>
    </row>
    <row r="70" spans="1:20" x14ac:dyDescent="0.3">
      <c r="A70" s="50" t="s">
        <v>3178</v>
      </c>
      <c r="B70" s="61">
        <v>20</v>
      </c>
      <c r="C70" s="468">
        <v>474</v>
      </c>
      <c r="D70" s="61"/>
      <c r="E70" s="67"/>
      <c r="F70" s="61"/>
      <c r="G70" s="61"/>
      <c r="H70" s="61"/>
      <c r="I70" s="61"/>
      <c r="J70" s="61"/>
      <c r="K70" s="61"/>
      <c r="L70" s="61"/>
      <c r="M70" s="61"/>
      <c r="N70" s="61"/>
      <c r="O70" s="61"/>
      <c r="P70" s="61"/>
      <c r="Q70" s="61"/>
      <c r="R70" s="61"/>
      <c r="S70" s="61"/>
      <c r="T70" s="61"/>
    </row>
    <row r="71" spans="1:20" x14ac:dyDescent="0.3">
      <c r="A71" s="50" t="s">
        <v>3181</v>
      </c>
      <c r="B71" s="61">
        <v>10</v>
      </c>
      <c r="C71" s="468">
        <v>142</v>
      </c>
      <c r="D71" s="61"/>
      <c r="E71" s="67"/>
      <c r="F71" s="61"/>
      <c r="G71" s="61"/>
      <c r="H71" s="61"/>
      <c r="I71" s="61"/>
      <c r="J71" s="61"/>
      <c r="K71" s="61"/>
      <c r="L71" s="61"/>
      <c r="M71" s="61"/>
      <c r="N71" s="61"/>
      <c r="O71" s="61"/>
      <c r="P71" s="61"/>
      <c r="Q71" s="61"/>
      <c r="R71" s="61"/>
      <c r="S71" s="61"/>
      <c r="T71" s="61"/>
    </row>
    <row r="72" spans="1:20" x14ac:dyDescent="0.3">
      <c r="A72" s="50" t="s">
        <v>4170</v>
      </c>
      <c r="B72" s="61">
        <v>5</v>
      </c>
      <c r="C72" s="468">
        <v>73.849999999999994</v>
      </c>
      <c r="D72" s="61"/>
      <c r="E72" s="67"/>
      <c r="F72" s="61"/>
      <c r="G72" s="61"/>
      <c r="H72" s="61"/>
      <c r="I72" s="61"/>
      <c r="J72" s="61"/>
      <c r="K72" s="61"/>
      <c r="L72" s="61"/>
      <c r="M72" s="61"/>
      <c r="N72" s="61"/>
      <c r="O72" s="61"/>
      <c r="P72" s="61"/>
      <c r="Q72" s="61"/>
      <c r="R72" s="61"/>
      <c r="S72" s="61"/>
      <c r="T72" s="61"/>
    </row>
    <row r="73" spans="1:20" x14ac:dyDescent="0.3">
      <c r="A73" s="50" t="s">
        <v>4171</v>
      </c>
      <c r="B73" s="61">
        <v>15</v>
      </c>
      <c r="C73" s="468">
        <v>202</v>
      </c>
      <c r="D73" s="61"/>
      <c r="E73" s="61"/>
      <c r="F73" s="61"/>
      <c r="G73" s="61"/>
      <c r="H73" s="61"/>
      <c r="I73" s="61"/>
      <c r="J73" s="61"/>
      <c r="K73" s="61"/>
      <c r="L73" s="61"/>
      <c r="M73" s="61"/>
      <c r="N73" s="61"/>
      <c r="O73" s="61"/>
      <c r="P73" s="61"/>
      <c r="Q73" s="61"/>
      <c r="R73" s="61"/>
      <c r="S73" s="61"/>
      <c r="T73" s="61"/>
    </row>
    <row r="74" spans="1:20" x14ac:dyDescent="0.3">
      <c r="A74" s="50" t="s">
        <v>4172</v>
      </c>
      <c r="B74" s="61">
        <v>45</v>
      </c>
      <c r="C74" s="468">
        <v>664.6400000000001</v>
      </c>
      <c r="D74" s="61"/>
      <c r="E74" s="61"/>
      <c r="F74" s="61"/>
      <c r="G74" s="61"/>
      <c r="H74" s="61"/>
      <c r="I74" s="61"/>
      <c r="J74" s="61"/>
      <c r="K74" s="61"/>
      <c r="L74" s="61"/>
      <c r="M74" s="61"/>
      <c r="N74" s="61"/>
      <c r="O74" s="61"/>
      <c r="P74" s="61"/>
      <c r="Q74" s="61"/>
      <c r="R74" s="61"/>
      <c r="S74" s="61"/>
      <c r="T74" s="61"/>
    </row>
    <row r="75" spans="1:20" x14ac:dyDescent="0.3">
      <c r="A75" s="50" t="s">
        <v>4173</v>
      </c>
      <c r="B75" s="61">
        <v>81</v>
      </c>
      <c r="C75" s="468">
        <v>1196.3499999999999</v>
      </c>
      <c r="D75" s="61"/>
      <c r="E75" s="61"/>
      <c r="F75" s="61"/>
      <c r="G75" s="61"/>
      <c r="H75" s="61"/>
      <c r="I75" s="61"/>
      <c r="J75" s="61"/>
      <c r="K75" s="61"/>
      <c r="L75" s="61"/>
      <c r="M75" s="61"/>
      <c r="N75" s="61"/>
      <c r="O75" s="61"/>
      <c r="P75" s="61"/>
      <c r="Q75" s="61"/>
      <c r="R75" s="61"/>
      <c r="S75" s="61"/>
      <c r="T75" s="61"/>
    </row>
    <row r="76" spans="1:20" x14ac:dyDescent="0.3">
      <c r="A76" s="50" t="s">
        <v>4174</v>
      </c>
      <c r="B76" s="61">
        <v>10</v>
      </c>
      <c r="C76" s="468">
        <v>137</v>
      </c>
      <c r="D76" s="61"/>
      <c r="E76" s="61"/>
      <c r="F76" s="61"/>
      <c r="G76" s="61"/>
      <c r="H76" s="61"/>
      <c r="I76" s="61"/>
      <c r="J76" s="61"/>
      <c r="K76" s="61"/>
      <c r="L76" s="61"/>
      <c r="M76" s="61"/>
      <c r="N76" s="61"/>
      <c r="O76" s="61"/>
      <c r="P76" s="61"/>
      <c r="Q76" s="61"/>
      <c r="R76" s="61"/>
      <c r="S76" s="61"/>
      <c r="T76" s="61"/>
    </row>
    <row r="77" spans="1:20" x14ac:dyDescent="0.3">
      <c r="A77" s="50" t="s">
        <v>4175</v>
      </c>
      <c r="B77" s="61">
        <v>8</v>
      </c>
      <c r="C77" s="468">
        <v>118.16</v>
      </c>
      <c r="D77" s="61"/>
      <c r="E77" s="61"/>
      <c r="F77" s="61"/>
      <c r="G77" s="61"/>
      <c r="H77" s="61"/>
      <c r="I77" s="61"/>
      <c r="J77" s="61"/>
      <c r="K77" s="61"/>
      <c r="L77" s="61"/>
      <c r="M77" s="61"/>
      <c r="N77" s="61"/>
      <c r="O77" s="61"/>
      <c r="P77" s="61"/>
      <c r="Q77" s="61"/>
      <c r="R77" s="61"/>
      <c r="S77" s="61"/>
      <c r="T77" s="61"/>
    </row>
    <row r="78" spans="1:20" x14ac:dyDescent="0.3">
      <c r="A78" s="50" t="s">
        <v>4179</v>
      </c>
      <c r="B78" s="61">
        <v>10</v>
      </c>
      <c r="C78" s="468">
        <v>136</v>
      </c>
      <c r="D78" s="61"/>
      <c r="E78" s="67"/>
      <c r="F78" s="61"/>
      <c r="G78" s="61"/>
      <c r="H78" s="61"/>
      <c r="I78" s="61"/>
      <c r="J78" s="61"/>
      <c r="K78" s="61"/>
      <c r="L78" s="61"/>
      <c r="M78" s="61"/>
      <c r="N78" s="61"/>
      <c r="O78" s="61"/>
      <c r="P78" s="61"/>
      <c r="Q78" s="61"/>
      <c r="R78" s="61"/>
      <c r="S78" s="61"/>
      <c r="T78" s="61"/>
    </row>
    <row r="79" spans="1:20" x14ac:dyDescent="0.3">
      <c r="A79" s="50" t="s">
        <v>4181</v>
      </c>
      <c r="B79" s="61">
        <v>16</v>
      </c>
      <c r="C79" s="468">
        <v>212</v>
      </c>
      <c r="D79" s="61"/>
      <c r="E79" s="67"/>
      <c r="F79" s="61"/>
      <c r="G79" s="61"/>
      <c r="H79" s="61"/>
      <c r="I79" s="61"/>
      <c r="J79" s="61"/>
      <c r="K79" s="61"/>
      <c r="L79" s="61"/>
      <c r="M79" s="61"/>
      <c r="N79" s="61"/>
      <c r="O79" s="61"/>
      <c r="P79" s="61"/>
      <c r="Q79" s="61"/>
      <c r="R79" s="61"/>
      <c r="S79" s="61"/>
      <c r="T79" s="61"/>
    </row>
    <row r="80" spans="1:20" x14ac:dyDescent="0.3">
      <c r="A80" s="50" t="s">
        <v>4183</v>
      </c>
      <c r="B80" s="61">
        <v>10</v>
      </c>
      <c r="C80" s="468">
        <v>134</v>
      </c>
      <c r="D80" s="61"/>
      <c r="E80" s="67"/>
      <c r="F80" s="61"/>
      <c r="G80" s="61"/>
      <c r="H80" s="61"/>
      <c r="I80" s="61"/>
      <c r="J80" s="61"/>
      <c r="K80" s="61"/>
      <c r="L80" s="61"/>
      <c r="M80" s="61"/>
      <c r="N80" s="61"/>
      <c r="O80" s="61"/>
      <c r="P80" s="61"/>
      <c r="Q80" s="61"/>
      <c r="R80" s="61"/>
      <c r="S80" s="61"/>
      <c r="T80" s="61"/>
    </row>
    <row r="81" spans="1:20" x14ac:dyDescent="0.3">
      <c r="A81" s="50" t="s">
        <v>4185</v>
      </c>
      <c r="B81" s="61">
        <v>10</v>
      </c>
      <c r="C81" s="468">
        <v>136</v>
      </c>
      <c r="D81" s="61"/>
      <c r="E81" s="67"/>
      <c r="F81" s="61"/>
      <c r="G81" s="61"/>
      <c r="H81" s="61"/>
      <c r="I81" s="61"/>
      <c r="J81" s="61"/>
      <c r="K81" s="61"/>
      <c r="L81" s="61"/>
      <c r="M81" s="61"/>
      <c r="N81" s="61"/>
      <c r="O81" s="61"/>
      <c r="P81" s="61"/>
      <c r="Q81" s="61"/>
      <c r="R81" s="61"/>
      <c r="S81" s="61"/>
      <c r="T81" s="61"/>
    </row>
    <row r="82" spans="1:20" x14ac:dyDescent="0.3">
      <c r="A82" s="50" t="s">
        <v>4188</v>
      </c>
      <c r="B82" s="61">
        <v>17</v>
      </c>
      <c r="C82" s="468">
        <v>273</v>
      </c>
      <c r="D82" s="61"/>
      <c r="E82" s="67"/>
      <c r="F82" s="61"/>
      <c r="G82" s="61"/>
      <c r="H82" s="61"/>
      <c r="I82" s="61"/>
      <c r="J82" s="61"/>
      <c r="K82" s="61"/>
      <c r="L82" s="61"/>
      <c r="M82" s="61"/>
      <c r="N82" s="61"/>
      <c r="O82" s="61"/>
      <c r="P82" s="61"/>
      <c r="Q82" s="61"/>
      <c r="R82" s="61"/>
      <c r="S82" s="61"/>
      <c r="T82" s="61"/>
    </row>
    <row r="83" spans="1:20" x14ac:dyDescent="0.3">
      <c r="A83" s="50" t="s">
        <v>4189</v>
      </c>
      <c r="B83" s="61">
        <v>60</v>
      </c>
      <c r="C83" s="468">
        <v>968.99999999999989</v>
      </c>
      <c r="D83" s="61"/>
      <c r="E83" s="67"/>
      <c r="F83" s="61"/>
      <c r="G83" s="61"/>
      <c r="H83" s="61"/>
      <c r="I83" s="61"/>
      <c r="J83" s="61"/>
      <c r="K83" s="61"/>
      <c r="L83" s="61"/>
      <c r="M83" s="61"/>
      <c r="N83" s="61"/>
      <c r="O83" s="61"/>
      <c r="P83" s="61"/>
      <c r="Q83" s="61"/>
      <c r="R83" s="61"/>
      <c r="S83" s="61"/>
      <c r="T83" s="61"/>
    </row>
    <row r="84" spans="1:20" x14ac:dyDescent="0.3">
      <c r="A84" s="50" t="s">
        <v>4191</v>
      </c>
      <c r="B84" s="61">
        <v>65</v>
      </c>
      <c r="C84" s="468">
        <v>993.85</v>
      </c>
      <c r="D84" s="61"/>
      <c r="E84" s="67"/>
      <c r="F84" s="61"/>
      <c r="G84" s="61"/>
      <c r="H84" s="61"/>
      <c r="I84" s="61"/>
      <c r="J84" s="61"/>
      <c r="K84" s="61"/>
      <c r="L84" s="61"/>
      <c r="M84" s="61"/>
      <c r="N84" s="61"/>
      <c r="O84" s="61"/>
      <c r="P84" s="61"/>
      <c r="Q84" s="61"/>
      <c r="R84" s="61"/>
      <c r="S84" s="61"/>
      <c r="T84" s="61"/>
    </row>
    <row r="85" spans="1:20" x14ac:dyDescent="0.3">
      <c r="A85" s="50" t="s">
        <v>4192</v>
      </c>
      <c r="B85" s="61">
        <v>104</v>
      </c>
      <c r="C85" s="468">
        <v>1590.15</v>
      </c>
      <c r="D85" s="61"/>
      <c r="E85" s="67"/>
      <c r="F85" s="61"/>
      <c r="G85" s="61"/>
      <c r="H85" s="61"/>
      <c r="I85" s="61"/>
      <c r="J85" s="61"/>
      <c r="K85" s="61"/>
      <c r="L85" s="61"/>
      <c r="M85" s="61"/>
      <c r="N85" s="61"/>
      <c r="O85" s="61"/>
      <c r="P85" s="61"/>
      <c r="Q85" s="61"/>
      <c r="R85" s="61"/>
      <c r="S85" s="61"/>
      <c r="T85" s="61"/>
    </row>
    <row r="86" spans="1:20" x14ac:dyDescent="0.3">
      <c r="A86" s="50" t="s">
        <v>4193</v>
      </c>
      <c r="B86" s="61">
        <v>40</v>
      </c>
      <c r="C86" s="468">
        <v>620</v>
      </c>
      <c r="D86" s="61"/>
      <c r="E86" s="67"/>
      <c r="F86" s="61"/>
      <c r="G86" s="61"/>
      <c r="H86" s="61"/>
      <c r="I86" s="61"/>
      <c r="J86" s="61"/>
      <c r="K86" s="61"/>
      <c r="L86" s="61"/>
      <c r="M86" s="61"/>
      <c r="N86" s="61"/>
      <c r="O86" s="61"/>
      <c r="P86" s="61"/>
      <c r="Q86" s="61"/>
      <c r="R86" s="61"/>
      <c r="S86" s="61"/>
      <c r="T86" s="61"/>
    </row>
    <row r="87" spans="1:20" x14ac:dyDescent="0.3">
      <c r="A87" s="50" t="s">
        <v>4195</v>
      </c>
      <c r="B87" s="61">
        <v>6</v>
      </c>
      <c r="C87" s="468">
        <v>86</v>
      </c>
      <c r="D87" s="61"/>
      <c r="E87" s="67"/>
      <c r="F87" s="61"/>
      <c r="G87" s="61"/>
      <c r="H87" s="61"/>
      <c r="I87" s="61"/>
      <c r="J87" s="61"/>
      <c r="K87" s="61"/>
      <c r="L87" s="61"/>
      <c r="M87" s="61"/>
      <c r="N87" s="61"/>
      <c r="O87" s="61"/>
      <c r="P87" s="61"/>
      <c r="Q87" s="61"/>
      <c r="R87" s="61"/>
      <c r="S87" s="61"/>
      <c r="T87" s="61"/>
    </row>
    <row r="88" spans="1:20" x14ac:dyDescent="0.3">
      <c r="A88" s="50" t="s">
        <v>4197</v>
      </c>
      <c r="B88" s="61">
        <v>40</v>
      </c>
      <c r="C88" s="468">
        <v>572</v>
      </c>
      <c r="D88" s="61"/>
      <c r="E88" s="67"/>
      <c r="F88" s="61"/>
      <c r="G88" s="61"/>
      <c r="H88" s="61"/>
      <c r="I88" s="61"/>
      <c r="J88" s="61"/>
      <c r="K88" s="61"/>
      <c r="L88" s="61"/>
      <c r="M88" s="61"/>
      <c r="N88" s="61"/>
      <c r="O88" s="61"/>
      <c r="P88" s="61"/>
      <c r="Q88" s="61"/>
      <c r="R88" s="61"/>
      <c r="S88" s="61"/>
      <c r="T88" s="61"/>
    </row>
    <row r="89" spans="1:20" x14ac:dyDescent="0.3">
      <c r="A89" s="50" t="s">
        <v>4198</v>
      </c>
      <c r="B89" s="61">
        <v>10</v>
      </c>
      <c r="C89" s="468">
        <v>0.52</v>
      </c>
      <c r="D89" s="61"/>
      <c r="E89" s="67"/>
      <c r="F89" s="61"/>
      <c r="G89" s="61"/>
      <c r="H89" s="61"/>
      <c r="I89" s="61"/>
      <c r="J89" s="61"/>
      <c r="K89" s="61"/>
      <c r="L89" s="61"/>
      <c r="M89" s="61"/>
      <c r="N89" s="61"/>
      <c r="O89" s="61"/>
      <c r="P89" s="61"/>
      <c r="Q89" s="61"/>
      <c r="R89" s="61"/>
      <c r="S89" s="61"/>
      <c r="T89" s="61"/>
    </row>
    <row r="90" spans="1:20" x14ac:dyDescent="0.3">
      <c r="A90" s="50" t="s">
        <v>4199</v>
      </c>
      <c r="B90" s="61">
        <v>11</v>
      </c>
      <c r="C90" s="468">
        <v>0.57999999999999996</v>
      </c>
      <c r="D90" s="61"/>
      <c r="E90" s="67"/>
      <c r="F90" s="61"/>
      <c r="G90" s="61"/>
      <c r="H90" s="61"/>
      <c r="I90" s="61"/>
      <c r="J90" s="61"/>
      <c r="K90" s="61"/>
      <c r="L90" s="61"/>
      <c r="M90" s="61"/>
      <c r="N90" s="61"/>
      <c r="O90" s="61"/>
      <c r="P90" s="61"/>
      <c r="Q90" s="61"/>
      <c r="R90" s="61"/>
      <c r="S90" s="61"/>
      <c r="T90" s="61"/>
    </row>
    <row r="91" spans="1:20" x14ac:dyDescent="0.3">
      <c r="A91" s="50" t="s">
        <v>4200</v>
      </c>
      <c r="B91" s="61">
        <v>24</v>
      </c>
      <c r="C91" s="468">
        <v>1</v>
      </c>
      <c r="D91" s="61"/>
      <c r="E91" s="67"/>
      <c r="F91" s="61"/>
      <c r="G91" s="61"/>
      <c r="H91" s="61"/>
      <c r="I91" s="61"/>
      <c r="J91" s="61"/>
      <c r="K91" s="61"/>
      <c r="L91" s="61"/>
      <c r="M91" s="61"/>
      <c r="N91" s="61"/>
      <c r="O91" s="61"/>
      <c r="P91" s="61"/>
      <c r="Q91" s="61"/>
      <c r="R91" s="61"/>
      <c r="S91" s="61"/>
      <c r="T91" s="61"/>
    </row>
    <row r="92" spans="1:20" x14ac:dyDescent="0.3">
      <c r="A92" s="50" t="s">
        <v>4201</v>
      </c>
      <c r="B92" s="61">
        <v>2</v>
      </c>
      <c r="C92" s="468">
        <v>30</v>
      </c>
      <c r="D92" s="61"/>
      <c r="E92" s="67"/>
      <c r="F92" s="61"/>
      <c r="G92" s="61"/>
      <c r="H92" s="61"/>
      <c r="I92" s="61"/>
      <c r="J92" s="61"/>
      <c r="K92" s="61"/>
      <c r="L92" s="61"/>
      <c r="M92" s="61"/>
      <c r="N92" s="61"/>
      <c r="O92" s="61"/>
      <c r="P92" s="61"/>
      <c r="Q92" s="61"/>
      <c r="R92" s="61"/>
      <c r="S92" s="61"/>
      <c r="T92" s="61"/>
    </row>
    <row r="93" spans="1:20" x14ac:dyDescent="0.3">
      <c r="A93" s="50" t="s">
        <v>4204</v>
      </c>
      <c r="B93" s="61">
        <v>73</v>
      </c>
      <c r="C93" s="468">
        <v>988.00000000000011</v>
      </c>
      <c r="D93" s="61"/>
      <c r="E93" s="67"/>
      <c r="F93" s="61"/>
      <c r="G93" s="61"/>
      <c r="H93" s="61"/>
      <c r="I93" s="61"/>
      <c r="J93" s="61"/>
      <c r="K93" s="61"/>
      <c r="L93" s="61"/>
      <c r="M93" s="61"/>
      <c r="N93" s="61"/>
      <c r="O93" s="61"/>
      <c r="P93" s="61"/>
      <c r="Q93" s="61"/>
      <c r="R93" s="61"/>
      <c r="S93" s="61"/>
      <c r="T93" s="61"/>
    </row>
    <row r="94" spans="1:20" x14ac:dyDescent="0.3">
      <c r="A94" s="50" t="s">
        <v>4223</v>
      </c>
      <c r="B94" s="61">
        <v>15</v>
      </c>
      <c r="C94" s="468">
        <v>0.78</v>
      </c>
      <c r="D94" s="61"/>
      <c r="E94" s="67"/>
      <c r="F94" s="61"/>
      <c r="G94" s="61"/>
      <c r="H94" s="61"/>
      <c r="I94" s="61"/>
      <c r="J94" s="61"/>
      <c r="K94" s="61"/>
      <c r="L94" s="61"/>
      <c r="M94" s="61"/>
      <c r="N94" s="61"/>
      <c r="O94" s="61"/>
      <c r="P94" s="61"/>
      <c r="Q94" s="61"/>
      <c r="R94" s="61"/>
      <c r="S94" s="61"/>
      <c r="T94" s="61"/>
    </row>
    <row r="95" spans="1:20" x14ac:dyDescent="0.3">
      <c r="A95" s="50" t="s">
        <v>4225</v>
      </c>
      <c r="B95" s="61">
        <v>20</v>
      </c>
      <c r="C95" s="468">
        <v>309</v>
      </c>
      <c r="D95" s="61"/>
      <c r="E95" s="67"/>
      <c r="F95" s="61"/>
      <c r="G95" s="61"/>
      <c r="H95" s="61"/>
      <c r="I95" s="61"/>
      <c r="J95" s="61"/>
      <c r="K95" s="61"/>
      <c r="L95" s="61"/>
      <c r="M95" s="61"/>
      <c r="N95" s="61"/>
      <c r="O95" s="61"/>
      <c r="P95" s="61"/>
      <c r="Q95" s="61"/>
      <c r="R95" s="61"/>
      <c r="S95" s="61"/>
      <c r="T95" s="61"/>
    </row>
    <row r="96" spans="1:20" x14ac:dyDescent="0.3">
      <c r="A96" s="50" t="s">
        <v>4227</v>
      </c>
      <c r="B96" s="61">
        <v>33</v>
      </c>
      <c r="C96" s="468">
        <v>440.29000000000008</v>
      </c>
      <c r="D96" s="61"/>
      <c r="E96" s="67"/>
      <c r="F96" s="61"/>
      <c r="G96" s="61"/>
      <c r="H96" s="61"/>
      <c r="I96" s="61"/>
      <c r="J96" s="61"/>
      <c r="K96" s="61"/>
      <c r="L96" s="61"/>
      <c r="M96" s="61"/>
      <c r="N96" s="61"/>
      <c r="O96" s="61"/>
      <c r="P96" s="61"/>
      <c r="Q96" s="61"/>
      <c r="R96" s="61"/>
      <c r="S96" s="61"/>
      <c r="T96" s="61"/>
    </row>
    <row r="97" spans="1:20" x14ac:dyDescent="0.3">
      <c r="A97" s="50" t="s">
        <v>4228</v>
      </c>
      <c r="B97" s="61">
        <v>24</v>
      </c>
      <c r="C97" s="468">
        <v>1.2399999999999998</v>
      </c>
      <c r="D97" s="61"/>
      <c r="E97" s="67"/>
      <c r="F97" s="61"/>
      <c r="G97" s="61"/>
      <c r="H97" s="61"/>
      <c r="I97" s="61"/>
      <c r="J97" s="61"/>
      <c r="K97" s="61"/>
      <c r="L97" s="61"/>
      <c r="M97" s="61"/>
      <c r="N97" s="61"/>
      <c r="O97" s="61"/>
      <c r="P97" s="61"/>
      <c r="Q97" s="61"/>
      <c r="R97" s="61"/>
      <c r="S97" s="61"/>
      <c r="T97" s="61"/>
    </row>
    <row r="98" spans="1:20" x14ac:dyDescent="0.3">
      <c r="A98" s="50" t="s">
        <v>4229</v>
      </c>
      <c r="B98" s="61">
        <v>118</v>
      </c>
      <c r="C98" s="468">
        <v>1915</v>
      </c>
      <c r="D98" s="61"/>
      <c r="E98" s="67"/>
      <c r="F98" s="61"/>
      <c r="G98" s="61"/>
      <c r="H98" s="61"/>
      <c r="I98" s="61"/>
      <c r="J98" s="61"/>
      <c r="K98" s="61"/>
      <c r="L98" s="61"/>
      <c r="M98" s="61"/>
      <c r="N98" s="61"/>
      <c r="O98" s="61"/>
      <c r="P98" s="61"/>
      <c r="Q98" s="61"/>
      <c r="R98" s="61"/>
      <c r="S98" s="61"/>
      <c r="T98" s="61"/>
    </row>
    <row r="99" spans="1:20" x14ac:dyDescent="0.3">
      <c r="A99" s="50" t="s">
        <v>4232</v>
      </c>
      <c r="B99" s="61">
        <v>69</v>
      </c>
      <c r="C99" s="468">
        <v>966</v>
      </c>
      <c r="D99" s="61"/>
      <c r="E99" s="67"/>
      <c r="F99" s="61"/>
      <c r="G99" s="61"/>
      <c r="H99" s="61"/>
      <c r="I99" s="61"/>
      <c r="J99" s="61"/>
      <c r="K99" s="61"/>
      <c r="L99" s="61"/>
      <c r="M99" s="61"/>
      <c r="N99" s="61"/>
      <c r="O99" s="61"/>
      <c r="P99" s="61"/>
      <c r="Q99" s="61"/>
      <c r="R99" s="61"/>
      <c r="S99" s="61"/>
      <c r="T99" s="61"/>
    </row>
    <row r="100" spans="1:20" x14ac:dyDescent="0.3">
      <c r="A100" s="50" t="s">
        <v>4234</v>
      </c>
      <c r="B100" s="61">
        <v>10</v>
      </c>
      <c r="C100" s="468">
        <v>148</v>
      </c>
      <c r="D100" s="61"/>
      <c r="E100" s="67"/>
      <c r="F100" s="61"/>
      <c r="G100" s="61"/>
      <c r="H100" s="61"/>
      <c r="I100" s="61"/>
      <c r="J100" s="61"/>
      <c r="K100" s="61"/>
      <c r="L100" s="61"/>
      <c r="M100" s="61"/>
      <c r="N100" s="61"/>
      <c r="O100" s="61"/>
      <c r="P100" s="61"/>
      <c r="Q100" s="61"/>
      <c r="R100" s="61"/>
      <c r="S100" s="61"/>
      <c r="T100" s="61"/>
    </row>
    <row r="101" spans="1:20" x14ac:dyDescent="0.3">
      <c r="A101" s="50" t="s">
        <v>4235</v>
      </c>
      <c r="B101" s="61">
        <v>40</v>
      </c>
      <c r="C101" s="468">
        <v>592</v>
      </c>
      <c r="D101" s="61"/>
      <c r="E101" s="67"/>
      <c r="F101" s="61"/>
      <c r="G101" s="61"/>
      <c r="H101" s="61"/>
      <c r="I101" s="61"/>
      <c r="J101" s="61"/>
      <c r="K101" s="61"/>
      <c r="L101" s="61"/>
      <c r="M101" s="61"/>
      <c r="N101" s="61"/>
      <c r="O101" s="61"/>
      <c r="P101" s="61"/>
      <c r="Q101" s="61"/>
      <c r="R101" s="61"/>
      <c r="S101" s="61"/>
      <c r="T101" s="61"/>
    </row>
    <row r="102" spans="1:20" x14ac:dyDescent="0.3">
      <c r="A102" s="50" t="s">
        <v>4237</v>
      </c>
      <c r="B102" s="61">
        <v>22</v>
      </c>
      <c r="C102" s="468">
        <v>300</v>
      </c>
      <c r="D102" s="61"/>
      <c r="E102" s="67"/>
      <c r="F102" s="61"/>
      <c r="G102" s="61"/>
      <c r="H102" s="61"/>
      <c r="I102" s="61"/>
      <c r="J102" s="61"/>
      <c r="K102" s="61"/>
      <c r="L102" s="61"/>
      <c r="M102" s="61"/>
      <c r="N102" s="61"/>
      <c r="O102" s="61"/>
      <c r="P102" s="61"/>
      <c r="Q102" s="61"/>
      <c r="R102" s="61"/>
      <c r="S102" s="61"/>
      <c r="T102" s="61"/>
    </row>
    <row r="103" spans="1:20" x14ac:dyDescent="0.3">
      <c r="A103" s="50" t="s">
        <v>4238</v>
      </c>
      <c r="B103" s="61">
        <v>5</v>
      </c>
      <c r="C103" s="468">
        <v>66.709999999999994</v>
      </c>
      <c r="D103" s="61"/>
      <c r="E103" s="67"/>
      <c r="F103" s="61"/>
      <c r="G103" s="61"/>
      <c r="H103" s="61"/>
      <c r="I103" s="61"/>
      <c r="J103" s="61"/>
      <c r="K103" s="61"/>
      <c r="L103" s="61"/>
      <c r="M103" s="61"/>
      <c r="N103" s="61"/>
      <c r="O103" s="61"/>
      <c r="P103" s="61"/>
      <c r="Q103" s="61"/>
      <c r="R103" s="61"/>
      <c r="S103" s="61"/>
      <c r="T103" s="61"/>
    </row>
    <row r="104" spans="1:20" x14ac:dyDescent="0.3">
      <c r="A104" s="50" t="s">
        <v>4239</v>
      </c>
      <c r="B104" s="61">
        <v>13</v>
      </c>
      <c r="C104" s="468">
        <v>196</v>
      </c>
      <c r="D104" s="61"/>
      <c r="E104" s="67"/>
      <c r="F104" s="61"/>
      <c r="G104" s="61"/>
      <c r="H104" s="61"/>
      <c r="I104" s="61"/>
      <c r="J104" s="61"/>
      <c r="K104" s="61"/>
      <c r="L104" s="61"/>
      <c r="M104" s="61"/>
      <c r="N104" s="61"/>
      <c r="O104" s="61"/>
      <c r="P104" s="61"/>
      <c r="Q104" s="61"/>
      <c r="R104" s="61"/>
      <c r="S104" s="61"/>
      <c r="T104" s="61"/>
    </row>
    <row r="105" spans="1:20" x14ac:dyDescent="0.3">
      <c r="A105" s="50" t="s">
        <v>4241</v>
      </c>
      <c r="B105" s="61">
        <v>25</v>
      </c>
      <c r="C105" s="468">
        <v>1.63</v>
      </c>
      <c r="D105" s="61"/>
      <c r="E105" s="67"/>
      <c r="F105" s="61"/>
      <c r="G105" s="61"/>
      <c r="H105" s="61"/>
      <c r="I105" s="61"/>
      <c r="J105" s="61"/>
      <c r="K105" s="61"/>
      <c r="L105" s="61"/>
      <c r="M105" s="61"/>
      <c r="N105" s="61"/>
      <c r="O105" s="61"/>
      <c r="P105" s="61"/>
      <c r="Q105" s="61"/>
      <c r="R105" s="61"/>
      <c r="S105" s="61"/>
      <c r="T105" s="61"/>
    </row>
    <row r="106" spans="1:20" x14ac:dyDescent="0.3">
      <c r="A106" s="50" t="s">
        <v>4242</v>
      </c>
      <c r="B106" s="61">
        <v>15</v>
      </c>
      <c r="C106" s="468">
        <v>256</v>
      </c>
      <c r="D106" s="61"/>
      <c r="E106" s="67"/>
      <c r="F106" s="61"/>
      <c r="G106" s="61"/>
      <c r="H106" s="61"/>
      <c r="I106" s="61"/>
      <c r="J106" s="61"/>
      <c r="K106" s="61"/>
      <c r="L106" s="61"/>
      <c r="M106" s="61"/>
      <c r="N106" s="61"/>
      <c r="O106" s="61"/>
      <c r="P106" s="61"/>
      <c r="Q106" s="61"/>
      <c r="R106" s="61"/>
      <c r="S106" s="61"/>
      <c r="T106" s="61"/>
    </row>
    <row r="107" spans="1:20" x14ac:dyDescent="0.3">
      <c r="A107" s="50" t="s">
        <v>4244</v>
      </c>
      <c r="B107" s="61">
        <v>9</v>
      </c>
      <c r="C107" s="468">
        <v>143</v>
      </c>
      <c r="D107" s="61"/>
      <c r="E107" s="67"/>
      <c r="F107" s="61"/>
      <c r="G107" s="61"/>
      <c r="H107" s="61"/>
      <c r="I107" s="61"/>
      <c r="J107" s="61"/>
      <c r="K107" s="61"/>
      <c r="L107" s="61"/>
      <c r="M107" s="61"/>
      <c r="N107" s="61"/>
      <c r="O107" s="61"/>
      <c r="P107" s="61"/>
      <c r="Q107" s="61"/>
      <c r="R107" s="61"/>
      <c r="S107" s="61"/>
      <c r="T107" s="61"/>
    </row>
    <row r="108" spans="1:20" x14ac:dyDescent="0.3">
      <c r="A108" s="50" t="s">
        <v>4245</v>
      </c>
      <c r="B108" s="61">
        <v>99</v>
      </c>
      <c r="C108" s="468">
        <v>1414</v>
      </c>
      <c r="D108" s="61"/>
      <c r="E108" s="67"/>
      <c r="F108" s="61"/>
      <c r="G108" s="61"/>
      <c r="H108" s="61"/>
      <c r="I108" s="61"/>
      <c r="J108" s="61"/>
      <c r="K108" s="61"/>
      <c r="L108" s="61"/>
      <c r="M108" s="61"/>
      <c r="N108" s="61"/>
      <c r="O108" s="61"/>
      <c r="P108" s="61"/>
      <c r="Q108" s="61"/>
      <c r="R108" s="61"/>
      <c r="S108" s="61"/>
      <c r="T108" s="61"/>
    </row>
    <row r="109" spans="1:20" x14ac:dyDescent="0.3">
      <c r="A109" s="50" t="s">
        <v>4247</v>
      </c>
      <c r="B109" s="61">
        <v>24</v>
      </c>
      <c r="C109" s="468">
        <v>0.99999999999999989</v>
      </c>
      <c r="D109" s="61"/>
      <c r="E109" s="67"/>
      <c r="F109" s="61"/>
      <c r="G109" s="61"/>
      <c r="H109" s="61"/>
      <c r="I109" s="61"/>
      <c r="J109" s="61"/>
      <c r="K109" s="61"/>
      <c r="L109" s="61"/>
      <c r="M109" s="61"/>
      <c r="N109" s="61"/>
      <c r="O109" s="61"/>
      <c r="P109" s="61"/>
      <c r="Q109" s="61"/>
      <c r="R109" s="61"/>
      <c r="S109" s="61"/>
      <c r="T109" s="61"/>
    </row>
    <row r="110" spans="1:20" x14ac:dyDescent="0.3">
      <c r="A110" s="50" t="s">
        <v>4248</v>
      </c>
      <c r="B110" s="61">
        <v>2</v>
      </c>
      <c r="C110" s="468">
        <v>30</v>
      </c>
      <c r="D110" s="61"/>
      <c r="E110" s="67"/>
      <c r="F110" s="61"/>
      <c r="G110" s="61"/>
      <c r="H110" s="61"/>
      <c r="I110" s="61"/>
      <c r="J110" s="61"/>
      <c r="K110" s="61"/>
      <c r="L110" s="61"/>
      <c r="M110" s="61"/>
      <c r="N110" s="61"/>
      <c r="O110" s="61"/>
      <c r="P110" s="61"/>
      <c r="Q110" s="61"/>
      <c r="R110" s="61"/>
      <c r="S110" s="61"/>
      <c r="T110" s="61"/>
    </row>
    <row r="111" spans="1:20" x14ac:dyDescent="0.3">
      <c r="A111" s="50" t="s">
        <v>4250</v>
      </c>
      <c r="B111" s="61">
        <v>7</v>
      </c>
      <c r="C111" s="468">
        <v>154</v>
      </c>
      <c r="D111" s="61"/>
      <c r="E111" s="67"/>
      <c r="F111" s="61"/>
      <c r="G111" s="61"/>
      <c r="H111" s="61"/>
      <c r="I111" s="61"/>
      <c r="J111" s="61"/>
      <c r="K111" s="61"/>
      <c r="L111" s="61"/>
      <c r="M111" s="61"/>
      <c r="N111" s="61"/>
      <c r="O111" s="61"/>
      <c r="P111" s="61"/>
      <c r="Q111" s="61"/>
      <c r="R111" s="61"/>
      <c r="S111" s="61"/>
      <c r="T111" s="61"/>
    </row>
    <row r="112" spans="1:20" x14ac:dyDescent="0.3">
      <c r="A112" s="50" t="s">
        <v>4290</v>
      </c>
      <c r="B112" s="61">
        <v>40</v>
      </c>
      <c r="C112" s="468">
        <v>648</v>
      </c>
      <c r="D112" s="61"/>
      <c r="E112" s="67"/>
      <c r="F112" s="61"/>
      <c r="G112" s="61"/>
      <c r="H112" s="61"/>
      <c r="I112" s="61"/>
      <c r="J112" s="61"/>
      <c r="K112" s="61"/>
      <c r="L112" s="61"/>
      <c r="M112" s="61"/>
      <c r="N112" s="61"/>
      <c r="O112" s="61"/>
      <c r="P112" s="61"/>
      <c r="Q112" s="61"/>
      <c r="R112" s="61"/>
      <c r="S112" s="61"/>
      <c r="T112" s="61"/>
    </row>
    <row r="113" spans="1:20" x14ac:dyDescent="0.3">
      <c r="A113" s="50" t="s">
        <v>4293</v>
      </c>
      <c r="B113" s="61">
        <v>93</v>
      </c>
      <c r="C113" s="468">
        <v>1266.9999999999998</v>
      </c>
      <c r="D113" s="61"/>
      <c r="E113" s="67"/>
      <c r="F113" s="61"/>
      <c r="G113" s="61"/>
      <c r="H113" s="61"/>
      <c r="I113" s="61"/>
      <c r="J113" s="61"/>
      <c r="K113" s="61"/>
      <c r="L113" s="61"/>
      <c r="M113" s="61"/>
      <c r="N113" s="61"/>
      <c r="O113" s="61"/>
      <c r="P113" s="61"/>
      <c r="Q113" s="61"/>
      <c r="R113" s="61"/>
      <c r="S113" s="61"/>
      <c r="T113" s="61"/>
    </row>
    <row r="114" spans="1:20" x14ac:dyDescent="0.3">
      <c r="A114" s="50" t="s">
        <v>4295</v>
      </c>
      <c r="B114" s="61">
        <v>103</v>
      </c>
      <c r="C114" s="468">
        <v>1635.6000000000001</v>
      </c>
      <c r="D114" s="61"/>
      <c r="E114" s="67"/>
      <c r="F114" s="61"/>
      <c r="G114" s="61"/>
      <c r="H114" s="61"/>
      <c r="I114" s="61"/>
      <c r="J114" s="61"/>
      <c r="K114" s="61"/>
      <c r="L114" s="61"/>
      <c r="M114" s="61"/>
      <c r="N114" s="61"/>
      <c r="O114" s="61"/>
      <c r="P114" s="61"/>
      <c r="Q114" s="61"/>
      <c r="R114" s="61"/>
      <c r="S114" s="61"/>
      <c r="T114" s="61"/>
    </row>
    <row r="115" spans="1:20" x14ac:dyDescent="0.3">
      <c r="A115" s="50" t="s">
        <v>4296</v>
      </c>
      <c r="B115" s="61">
        <v>5</v>
      </c>
      <c r="C115" s="468">
        <v>79.400000000000006</v>
      </c>
      <c r="D115" s="61"/>
      <c r="E115" s="67"/>
      <c r="F115" s="61"/>
      <c r="G115" s="61"/>
      <c r="H115" s="61"/>
      <c r="I115" s="61"/>
      <c r="J115" s="61"/>
      <c r="K115" s="61"/>
      <c r="L115" s="61"/>
      <c r="M115" s="61"/>
      <c r="N115" s="61"/>
      <c r="O115" s="61"/>
      <c r="P115" s="61"/>
      <c r="Q115" s="61"/>
      <c r="R115" s="61"/>
      <c r="S115" s="61"/>
      <c r="T115" s="61"/>
    </row>
    <row r="116" spans="1:20" x14ac:dyDescent="0.3">
      <c r="A116" s="50" t="s">
        <v>4298</v>
      </c>
      <c r="B116" s="61">
        <v>20</v>
      </c>
      <c r="C116" s="468">
        <v>287.14</v>
      </c>
      <c r="D116" s="61"/>
      <c r="E116" s="67"/>
      <c r="F116" s="61"/>
      <c r="G116" s="61"/>
      <c r="H116" s="61"/>
      <c r="I116" s="61"/>
      <c r="J116" s="61"/>
      <c r="K116" s="61"/>
      <c r="L116" s="61"/>
      <c r="M116" s="61"/>
      <c r="N116" s="61"/>
      <c r="O116" s="61"/>
      <c r="P116" s="61"/>
      <c r="Q116" s="61"/>
      <c r="R116" s="61"/>
      <c r="S116" s="61"/>
      <c r="T116" s="61"/>
    </row>
    <row r="117" spans="1:20" x14ac:dyDescent="0.3">
      <c r="A117" s="50" t="s">
        <v>4299</v>
      </c>
      <c r="B117" s="61">
        <v>8</v>
      </c>
      <c r="C117" s="468">
        <v>114.86</v>
      </c>
      <c r="D117" s="61"/>
      <c r="E117" s="67"/>
      <c r="F117" s="61"/>
      <c r="G117" s="61"/>
      <c r="H117" s="61"/>
      <c r="I117" s="61"/>
      <c r="J117" s="61"/>
      <c r="K117" s="61"/>
      <c r="L117" s="61"/>
      <c r="M117" s="61"/>
      <c r="N117" s="61"/>
      <c r="O117" s="61"/>
      <c r="P117" s="61"/>
      <c r="Q117" s="61"/>
      <c r="R117" s="61"/>
      <c r="S117" s="61"/>
      <c r="T117" s="61"/>
    </row>
    <row r="118" spans="1:20" x14ac:dyDescent="0.3">
      <c r="A118" s="50" t="s">
        <v>4300</v>
      </c>
      <c r="B118" s="61">
        <v>22</v>
      </c>
      <c r="C118" s="468">
        <v>353</v>
      </c>
      <c r="D118" s="61"/>
      <c r="E118" s="67"/>
      <c r="F118" s="61"/>
      <c r="G118" s="61"/>
      <c r="H118" s="61"/>
      <c r="I118" s="61"/>
      <c r="J118" s="61"/>
      <c r="K118" s="61"/>
      <c r="L118" s="61"/>
      <c r="M118" s="61"/>
      <c r="N118" s="61"/>
      <c r="O118" s="61"/>
      <c r="P118" s="61"/>
      <c r="Q118" s="61"/>
      <c r="R118" s="61"/>
      <c r="S118" s="61"/>
      <c r="T118" s="61"/>
    </row>
    <row r="119" spans="1:20" x14ac:dyDescent="0.3">
      <c r="A119" s="50" t="s">
        <v>4302</v>
      </c>
      <c r="B119" s="61">
        <v>38</v>
      </c>
      <c r="C119" s="468">
        <v>487</v>
      </c>
      <c r="D119" s="61"/>
      <c r="E119" s="67"/>
      <c r="F119" s="61"/>
      <c r="G119" s="61"/>
      <c r="H119" s="61"/>
      <c r="I119" s="61"/>
      <c r="J119" s="61"/>
      <c r="K119" s="61"/>
      <c r="L119" s="61"/>
      <c r="M119" s="61"/>
      <c r="N119" s="61"/>
      <c r="O119" s="61"/>
      <c r="P119" s="61"/>
      <c r="Q119" s="61"/>
      <c r="R119" s="61"/>
      <c r="S119" s="61"/>
      <c r="T119" s="61"/>
    </row>
    <row r="120" spans="1:20" x14ac:dyDescent="0.3">
      <c r="A120" s="50" t="s">
        <v>4304</v>
      </c>
      <c r="B120" s="61">
        <v>16</v>
      </c>
      <c r="C120" s="468">
        <v>196</v>
      </c>
      <c r="D120" s="61"/>
      <c r="E120" s="67"/>
      <c r="F120" s="61"/>
      <c r="G120" s="61"/>
      <c r="H120" s="61"/>
      <c r="I120" s="61"/>
      <c r="J120" s="61"/>
      <c r="K120" s="61"/>
      <c r="L120" s="61"/>
      <c r="M120" s="61"/>
      <c r="N120" s="61"/>
      <c r="O120" s="61"/>
      <c r="P120" s="61"/>
      <c r="Q120" s="61"/>
      <c r="R120" s="61"/>
      <c r="S120" s="61"/>
      <c r="T120" s="61"/>
    </row>
    <row r="121" spans="1:20" x14ac:dyDescent="0.3">
      <c r="A121" s="50" t="s">
        <v>4306</v>
      </c>
      <c r="B121" s="61">
        <v>8</v>
      </c>
      <c r="C121" s="468">
        <v>127.2</v>
      </c>
      <c r="D121" s="61"/>
      <c r="E121" s="67"/>
      <c r="F121" s="61"/>
      <c r="G121" s="61"/>
      <c r="H121" s="61"/>
      <c r="I121" s="61"/>
      <c r="J121" s="61"/>
      <c r="K121" s="61"/>
      <c r="L121" s="61"/>
      <c r="M121" s="61"/>
      <c r="N121" s="61"/>
      <c r="O121" s="61"/>
      <c r="P121" s="61"/>
      <c r="Q121" s="61"/>
      <c r="R121" s="61"/>
      <c r="S121" s="61"/>
      <c r="T121" s="61"/>
    </row>
    <row r="122" spans="1:20" x14ac:dyDescent="0.3">
      <c r="A122" s="50" t="s">
        <v>4307</v>
      </c>
      <c r="B122" s="61">
        <v>8</v>
      </c>
      <c r="C122" s="468">
        <v>104</v>
      </c>
      <c r="D122" s="61"/>
      <c r="E122" s="67"/>
      <c r="F122" s="61"/>
      <c r="G122" s="61"/>
      <c r="H122" s="61"/>
      <c r="I122" s="61"/>
      <c r="J122" s="61"/>
      <c r="K122" s="61"/>
      <c r="L122" s="61"/>
      <c r="M122" s="61"/>
      <c r="N122" s="61"/>
      <c r="O122" s="61"/>
      <c r="P122" s="61"/>
      <c r="Q122" s="61"/>
      <c r="R122" s="61"/>
      <c r="S122" s="61"/>
      <c r="T122" s="61"/>
    </row>
    <row r="123" spans="1:20" x14ac:dyDescent="0.3">
      <c r="A123" s="50" t="s">
        <v>4308</v>
      </c>
      <c r="B123" s="61">
        <v>53</v>
      </c>
      <c r="C123" s="468">
        <v>777.33</v>
      </c>
      <c r="D123" s="61"/>
      <c r="E123" s="67"/>
      <c r="F123" s="61"/>
      <c r="G123" s="61"/>
      <c r="H123" s="61"/>
      <c r="I123" s="61"/>
      <c r="J123" s="61"/>
      <c r="K123" s="61"/>
      <c r="L123" s="61"/>
      <c r="M123" s="61"/>
      <c r="N123" s="61"/>
      <c r="O123" s="61"/>
      <c r="P123" s="61"/>
      <c r="Q123" s="61"/>
      <c r="R123" s="61"/>
      <c r="S123" s="61"/>
      <c r="T123" s="61"/>
    </row>
    <row r="124" spans="1:20" x14ac:dyDescent="0.3">
      <c r="A124" s="50" t="s">
        <v>4309</v>
      </c>
      <c r="B124" s="61">
        <v>11</v>
      </c>
      <c r="C124" s="468">
        <v>159</v>
      </c>
      <c r="D124" s="61"/>
      <c r="E124" s="67"/>
      <c r="F124" s="61"/>
      <c r="G124" s="61"/>
      <c r="H124" s="61"/>
      <c r="I124" s="61"/>
      <c r="J124" s="61"/>
      <c r="K124" s="61"/>
      <c r="L124" s="61"/>
      <c r="M124" s="61"/>
      <c r="N124" s="61"/>
      <c r="O124" s="61"/>
      <c r="P124" s="61"/>
      <c r="Q124" s="61"/>
      <c r="R124" s="61"/>
      <c r="S124" s="61"/>
      <c r="T124" s="61"/>
    </row>
    <row r="125" spans="1:20" x14ac:dyDescent="0.3">
      <c r="A125" s="50" t="s">
        <v>4310</v>
      </c>
      <c r="B125" s="61">
        <v>10</v>
      </c>
      <c r="C125" s="468">
        <v>146.66999999999999</v>
      </c>
      <c r="D125" s="61"/>
      <c r="E125" s="67"/>
      <c r="F125" s="61"/>
      <c r="G125" s="61"/>
      <c r="H125" s="61"/>
      <c r="I125" s="61"/>
      <c r="J125" s="61"/>
      <c r="K125" s="61"/>
      <c r="L125" s="61"/>
      <c r="M125" s="61"/>
      <c r="N125" s="61"/>
      <c r="O125" s="61"/>
      <c r="P125" s="61"/>
      <c r="Q125" s="61"/>
      <c r="R125" s="61"/>
      <c r="S125" s="61"/>
      <c r="T125" s="61"/>
    </row>
    <row r="126" spans="1:20" x14ac:dyDescent="0.3">
      <c r="A126" s="50" t="s">
        <v>4311</v>
      </c>
      <c r="B126" s="61">
        <v>6</v>
      </c>
      <c r="C126" s="468">
        <v>89</v>
      </c>
      <c r="D126" s="61"/>
      <c r="E126" s="67"/>
      <c r="F126" s="61"/>
      <c r="G126" s="61"/>
      <c r="H126" s="61"/>
      <c r="I126" s="61"/>
      <c r="J126" s="61"/>
      <c r="K126" s="61"/>
      <c r="L126" s="61"/>
      <c r="M126" s="61"/>
      <c r="N126" s="61"/>
      <c r="O126" s="61"/>
      <c r="P126" s="61"/>
      <c r="Q126" s="61"/>
      <c r="R126" s="61"/>
      <c r="S126" s="61"/>
      <c r="T126" s="61"/>
    </row>
    <row r="127" spans="1:20" x14ac:dyDescent="0.3">
      <c r="A127" s="50" t="s">
        <v>4312</v>
      </c>
      <c r="B127" s="61">
        <v>53</v>
      </c>
      <c r="C127" s="468">
        <v>922.99999999999989</v>
      </c>
      <c r="D127" s="61"/>
      <c r="E127" s="67"/>
      <c r="F127" s="61"/>
      <c r="G127" s="61"/>
      <c r="H127" s="61"/>
      <c r="I127" s="61"/>
      <c r="J127" s="61"/>
      <c r="K127" s="61"/>
      <c r="L127" s="61"/>
      <c r="M127" s="61"/>
      <c r="N127" s="61"/>
      <c r="O127" s="61"/>
      <c r="P127" s="61"/>
      <c r="Q127" s="61"/>
      <c r="R127" s="61"/>
      <c r="S127" s="61"/>
      <c r="T127" s="61"/>
    </row>
    <row r="128" spans="1:20" x14ac:dyDescent="0.3">
      <c r="A128" s="50" t="s">
        <v>4314</v>
      </c>
      <c r="B128" s="61">
        <v>20</v>
      </c>
      <c r="C128" s="468">
        <v>402.99999999999994</v>
      </c>
      <c r="D128" s="61"/>
      <c r="E128" s="67"/>
      <c r="F128" s="61"/>
      <c r="G128" s="61"/>
      <c r="H128" s="61"/>
      <c r="I128" s="61"/>
      <c r="J128" s="61"/>
      <c r="K128" s="61"/>
      <c r="L128" s="61"/>
      <c r="M128" s="61"/>
      <c r="N128" s="61"/>
      <c r="O128" s="61"/>
      <c r="P128" s="61"/>
      <c r="Q128" s="61"/>
      <c r="R128" s="61"/>
      <c r="S128" s="61"/>
      <c r="T128" s="61"/>
    </row>
    <row r="129" spans="1:20" x14ac:dyDescent="0.3">
      <c r="A129" s="50" t="s">
        <v>4315</v>
      </c>
      <c r="B129" s="61">
        <v>62</v>
      </c>
      <c r="C129" s="468">
        <v>883</v>
      </c>
      <c r="D129" s="61"/>
      <c r="E129" s="67"/>
      <c r="F129" s="61"/>
      <c r="G129" s="61"/>
      <c r="H129" s="61"/>
      <c r="I129" s="61"/>
      <c r="J129" s="61"/>
      <c r="K129" s="61"/>
      <c r="L129" s="61"/>
      <c r="M129" s="61"/>
      <c r="N129" s="61"/>
      <c r="O129" s="61"/>
      <c r="P129" s="61"/>
      <c r="Q129" s="61"/>
      <c r="R129" s="61"/>
      <c r="S129" s="61"/>
      <c r="T129" s="61"/>
    </row>
    <row r="130" spans="1:20" x14ac:dyDescent="0.3">
      <c r="A130" s="50" t="s">
        <v>4316</v>
      </c>
      <c r="B130" s="61">
        <v>15</v>
      </c>
      <c r="C130" s="468">
        <v>1</v>
      </c>
      <c r="D130" s="61"/>
      <c r="E130" s="67"/>
      <c r="F130" s="61"/>
      <c r="G130" s="61"/>
      <c r="H130" s="61"/>
      <c r="I130" s="61"/>
      <c r="J130" s="61"/>
      <c r="K130" s="61"/>
      <c r="L130" s="61"/>
      <c r="M130" s="61"/>
      <c r="N130" s="61"/>
      <c r="O130" s="61"/>
      <c r="P130" s="61"/>
      <c r="Q130" s="61"/>
      <c r="R130" s="61"/>
      <c r="S130" s="61"/>
      <c r="T130" s="61"/>
    </row>
    <row r="131" spans="1:20" x14ac:dyDescent="0.3">
      <c r="A131" s="50" t="s">
        <v>4317</v>
      </c>
      <c r="B131" s="61">
        <v>10</v>
      </c>
      <c r="C131" s="468">
        <v>0.49</v>
      </c>
      <c r="D131" s="61"/>
      <c r="E131" s="67"/>
      <c r="F131" s="61"/>
      <c r="G131" s="61"/>
      <c r="H131" s="61"/>
      <c r="I131" s="61"/>
      <c r="J131" s="61"/>
      <c r="K131" s="61"/>
      <c r="L131" s="61"/>
      <c r="M131" s="61"/>
      <c r="N131" s="61"/>
      <c r="O131" s="61"/>
      <c r="P131" s="61"/>
      <c r="Q131" s="61"/>
      <c r="R131" s="61"/>
      <c r="S131" s="61"/>
      <c r="T131" s="61"/>
    </row>
    <row r="132" spans="1:20" x14ac:dyDescent="0.3">
      <c r="A132" s="50" t="s">
        <v>4318</v>
      </c>
      <c r="B132" s="61">
        <v>12</v>
      </c>
      <c r="C132" s="468">
        <v>0.59</v>
      </c>
      <c r="D132" s="61"/>
      <c r="E132" s="67"/>
      <c r="F132" s="61"/>
      <c r="G132" s="61"/>
      <c r="H132" s="61"/>
      <c r="I132" s="61"/>
      <c r="J132" s="61"/>
      <c r="K132" s="61"/>
      <c r="L132" s="61"/>
      <c r="M132" s="61"/>
      <c r="N132" s="61"/>
      <c r="O132" s="61"/>
      <c r="P132" s="61"/>
      <c r="Q132" s="61"/>
      <c r="R132" s="61"/>
      <c r="S132" s="61"/>
      <c r="T132" s="61"/>
    </row>
    <row r="133" spans="1:20" x14ac:dyDescent="0.3">
      <c r="A133" s="50" t="s">
        <v>4319</v>
      </c>
      <c r="B133" s="61">
        <v>2</v>
      </c>
      <c r="C133" s="468">
        <v>31.8</v>
      </c>
      <c r="D133" s="61"/>
      <c r="E133" s="67"/>
      <c r="F133" s="61"/>
      <c r="G133" s="61"/>
      <c r="H133" s="61"/>
      <c r="I133" s="61"/>
      <c r="J133" s="61"/>
      <c r="K133" s="61"/>
      <c r="L133" s="61"/>
      <c r="M133" s="61"/>
      <c r="N133" s="61"/>
      <c r="O133" s="61"/>
      <c r="P133" s="61"/>
      <c r="Q133" s="61"/>
      <c r="R133" s="61"/>
      <c r="S133" s="61"/>
      <c r="T133" s="61"/>
    </row>
    <row r="134" spans="1:20" x14ac:dyDescent="0.3">
      <c r="A134" s="50" t="s">
        <v>4323</v>
      </c>
      <c r="B134" s="61">
        <v>37</v>
      </c>
      <c r="C134" s="468">
        <v>591.30999999999995</v>
      </c>
      <c r="D134" s="61"/>
      <c r="E134" s="67"/>
      <c r="F134" s="61"/>
      <c r="G134" s="61"/>
      <c r="H134" s="61"/>
      <c r="I134" s="61"/>
      <c r="J134" s="61"/>
      <c r="K134" s="61"/>
      <c r="L134" s="61"/>
      <c r="M134" s="61"/>
      <c r="N134" s="61"/>
      <c r="O134" s="61"/>
      <c r="P134" s="61"/>
      <c r="Q134" s="61"/>
      <c r="R134" s="61"/>
      <c r="S134" s="61"/>
      <c r="T134" s="61"/>
    </row>
    <row r="135" spans="1:20" x14ac:dyDescent="0.3">
      <c r="A135" s="50" t="s">
        <v>4325</v>
      </c>
      <c r="B135" s="61">
        <v>82</v>
      </c>
      <c r="C135" s="468">
        <v>1104.3800000000001</v>
      </c>
      <c r="D135" s="61"/>
      <c r="E135" s="67"/>
      <c r="F135" s="61"/>
      <c r="G135" s="61"/>
      <c r="H135" s="61"/>
      <c r="I135" s="61"/>
      <c r="J135" s="61"/>
      <c r="K135" s="61"/>
      <c r="L135" s="61"/>
      <c r="M135" s="61"/>
      <c r="N135" s="61"/>
      <c r="O135" s="61"/>
      <c r="P135" s="61"/>
      <c r="Q135" s="61"/>
      <c r="R135" s="61"/>
      <c r="S135" s="61"/>
      <c r="T135" s="61"/>
    </row>
    <row r="136" spans="1:20" x14ac:dyDescent="0.3">
      <c r="A136" s="50" t="s">
        <v>4326</v>
      </c>
      <c r="B136" s="61">
        <v>5</v>
      </c>
      <c r="C136" s="468">
        <v>67.34</v>
      </c>
      <c r="D136" s="61"/>
      <c r="E136" s="67"/>
      <c r="F136" s="61"/>
      <c r="G136" s="61"/>
      <c r="H136" s="61"/>
      <c r="I136" s="61"/>
      <c r="J136" s="61"/>
      <c r="K136" s="61"/>
      <c r="L136" s="61"/>
      <c r="M136" s="61"/>
      <c r="N136" s="61"/>
      <c r="O136" s="61"/>
      <c r="P136" s="61"/>
      <c r="Q136" s="61"/>
      <c r="R136" s="61"/>
      <c r="S136" s="61"/>
      <c r="T136" s="61"/>
    </row>
    <row r="137" spans="1:20" x14ac:dyDescent="0.3">
      <c r="A137" s="50" t="s">
        <v>4327</v>
      </c>
      <c r="B137" s="61">
        <v>124</v>
      </c>
      <c r="C137" s="468">
        <v>1981.69</v>
      </c>
      <c r="D137" s="61"/>
      <c r="E137" s="67"/>
      <c r="F137" s="61"/>
      <c r="G137" s="61"/>
      <c r="H137" s="61"/>
      <c r="I137" s="61"/>
      <c r="J137" s="61"/>
      <c r="K137" s="61"/>
      <c r="L137" s="61"/>
      <c r="M137" s="61"/>
      <c r="N137" s="61"/>
      <c r="O137" s="61"/>
      <c r="P137" s="61"/>
      <c r="Q137" s="61"/>
      <c r="R137" s="61"/>
      <c r="S137" s="61"/>
      <c r="T137" s="61"/>
    </row>
    <row r="138" spans="1:20" x14ac:dyDescent="0.3">
      <c r="A138" s="50" t="s">
        <v>4328</v>
      </c>
      <c r="B138" s="61">
        <v>54</v>
      </c>
      <c r="C138" s="468">
        <v>727.28000000000009</v>
      </c>
      <c r="D138" s="61"/>
      <c r="E138" s="67"/>
      <c r="F138" s="61"/>
      <c r="G138" s="61"/>
      <c r="H138" s="61"/>
      <c r="I138" s="61"/>
      <c r="J138" s="61"/>
      <c r="K138" s="61"/>
      <c r="L138" s="61"/>
      <c r="M138" s="61"/>
      <c r="N138" s="61"/>
      <c r="O138" s="61"/>
      <c r="P138" s="61"/>
      <c r="Q138" s="61"/>
      <c r="R138" s="61"/>
      <c r="S138" s="61"/>
      <c r="T138" s="61"/>
    </row>
    <row r="139" spans="1:20" x14ac:dyDescent="0.3">
      <c r="A139" s="50" t="s">
        <v>4329</v>
      </c>
      <c r="B139" s="61">
        <v>50</v>
      </c>
      <c r="C139" s="468">
        <v>759</v>
      </c>
      <c r="D139" s="61"/>
      <c r="E139" s="67"/>
      <c r="F139" s="61"/>
      <c r="G139" s="61"/>
      <c r="H139" s="61"/>
      <c r="I139" s="61"/>
      <c r="J139" s="61"/>
      <c r="K139" s="61"/>
      <c r="L139" s="61"/>
      <c r="M139" s="61"/>
      <c r="N139" s="61"/>
      <c r="O139" s="61"/>
      <c r="P139" s="61"/>
      <c r="Q139" s="61"/>
      <c r="R139" s="61"/>
      <c r="S139" s="61"/>
      <c r="T139" s="61"/>
    </row>
    <row r="140" spans="1:20" x14ac:dyDescent="0.3">
      <c r="A140" s="50" t="s">
        <v>4330</v>
      </c>
      <c r="B140" s="61">
        <v>47</v>
      </c>
      <c r="C140" s="468">
        <v>2.06</v>
      </c>
      <c r="D140" s="61"/>
      <c r="E140" s="67"/>
      <c r="F140" s="61"/>
      <c r="G140" s="61"/>
      <c r="H140" s="61"/>
      <c r="I140" s="61"/>
      <c r="J140" s="61"/>
      <c r="K140" s="61"/>
      <c r="L140" s="61"/>
      <c r="M140" s="61"/>
      <c r="N140" s="61"/>
      <c r="O140" s="61"/>
      <c r="P140" s="61"/>
      <c r="Q140" s="61"/>
      <c r="R140" s="61"/>
      <c r="S140" s="61"/>
      <c r="T140" s="61"/>
    </row>
    <row r="141" spans="1:20" x14ac:dyDescent="0.3">
      <c r="A141" s="50" t="s">
        <v>4332</v>
      </c>
      <c r="B141" s="61">
        <v>19</v>
      </c>
      <c r="C141" s="468">
        <v>256</v>
      </c>
      <c r="D141" s="61"/>
      <c r="E141" s="67"/>
      <c r="F141" s="61"/>
      <c r="G141" s="61"/>
      <c r="H141" s="61"/>
      <c r="I141" s="61"/>
      <c r="J141" s="61"/>
      <c r="K141" s="61"/>
      <c r="L141" s="61"/>
      <c r="M141" s="61"/>
      <c r="N141" s="61"/>
      <c r="O141" s="61"/>
      <c r="P141" s="61"/>
      <c r="Q141" s="61"/>
      <c r="R141" s="61"/>
      <c r="S141" s="61"/>
      <c r="T141" s="61"/>
    </row>
    <row r="142" spans="1:20" x14ac:dyDescent="0.3">
      <c r="A142" s="50" t="s">
        <v>4333</v>
      </c>
      <c r="B142" s="61">
        <v>58</v>
      </c>
      <c r="C142" s="468">
        <v>830.41</v>
      </c>
      <c r="D142" s="61"/>
      <c r="E142" s="67"/>
      <c r="F142" s="61"/>
      <c r="G142" s="61"/>
      <c r="H142" s="61"/>
      <c r="I142" s="61"/>
      <c r="J142" s="61"/>
      <c r="K142" s="61"/>
      <c r="L142" s="61"/>
      <c r="M142" s="61"/>
      <c r="N142" s="61"/>
      <c r="O142" s="61"/>
      <c r="P142" s="61"/>
      <c r="Q142" s="61"/>
      <c r="R142" s="61"/>
      <c r="S142" s="61"/>
      <c r="T142" s="61"/>
    </row>
    <row r="143" spans="1:20" x14ac:dyDescent="0.3">
      <c r="A143" s="50" t="s">
        <v>4334</v>
      </c>
      <c r="B143" s="61">
        <v>5</v>
      </c>
      <c r="C143" s="468">
        <v>84</v>
      </c>
      <c r="D143" s="61"/>
      <c r="E143" s="67"/>
      <c r="F143" s="61"/>
      <c r="G143" s="61"/>
      <c r="H143" s="61"/>
      <c r="I143" s="61"/>
      <c r="J143" s="61"/>
      <c r="K143" s="61"/>
      <c r="L143" s="61"/>
      <c r="M143" s="61"/>
      <c r="N143" s="61"/>
      <c r="O143" s="61"/>
      <c r="P143" s="61"/>
      <c r="Q143" s="61"/>
      <c r="R143" s="61"/>
      <c r="S143" s="61"/>
      <c r="T143" s="61"/>
    </row>
    <row r="144" spans="1:20" x14ac:dyDescent="0.3">
      <c r="A144" s="50" t="s">
        <v>4335</v>
      </c>
      <c r="B144" s="61">
        <v>5</v>
      </c>
      <c r="C144" s="468">
        <v>71.59</v>
      </c>
      <c r="D144" s="61"/>
      <c r="E144" s="67"/>
      <c r="F144" s="61"/>
      <c r="G144" s="61"/>
      <c r="H144" s="61"/>
      <c r="I144" s="61"/>
      <c r="J144" s="61"/>
      <c r="K144" s="61"/>
      <c r="L144" s="61"/>
      <c r="M144" s="61"/>
      <c r="N144" s="61"/>
      <c r="O144" s="61"/>
      <c r="P144" s="61"/>
      <c r="Q144" s="61"/>
      <c r="R144" s="61"/>
      <c r="S144" s="61"/>
      <c r="T144" s="61"/>
    </row>
    <row r="145" spans="1:20" x14ac:dyDescent="0.3">
      <c r="A145" s="50" t="s">
        <v>4336</v>
      </c>
      <c r="B145" s="61">
        <v>6</v>
      </c>
      <c r="C145" s="468">
        <v>0.28000000000000003</v>
      </c>
      <c r="D145" s="61"/>
      <c r="E145" s="67"/>
      <c r="F145" s="61"/>
      <c r="G145" s="61"/>
      <c r="H145" s="61"/>
      <c r="I145" s="61"/>
      <c r="J145" s="61"/>
      <c r="K145" s="61"/>
      <c r="L145" s="61"/>
      <c r="M145" s="61"/>
      <c r="N145" s="61"/>
      <c r="O145" s="61"/>
      <c r="P145" s="61"/>
      <c r="Q145" s="61"/>
      <c r="R145" s="61"/>
      <c r="S145" s="61"/>
      <c r="T145" s="61"/>
    </row>
    <row r="146" spans="1:20" x14ac:dyDescent="0.3">
      <c r="A146" s="50" t="s">
        <v>4337</v>
      </c>
      <c r="B146" s="61">
        <v>10</v>
      </c>
      <c r="C146" s="468">
        <v>0.46</v>
      </c>
      <c r="D146" s="61"/>
      <c r="E146" s="67"/>
      <c r="F146" s="61"/>
      <c r="G146" s="61"/>
      <c r="H146" s="61"/>
      <c r="I146" s="61"/>
      <c r="J146" s="61"/>
      <c r="K146" s="61"/>
      <c r="L146" s="61"/>
      <c r="M146" s="61"/>
      <c r="N146" s="61"/>
      <c r="O146" s="61"/>
      <c r="P146" s="61"/>
      <c r="Q146" s="61"/>
      <c r="R146" s="61"/>
      <c r="S146" s="61"/>
      <c r="T146" s="61"/>
    </row>
    <row r="147" spans="1:20" x14ac:dyDescent="0.3">
      <c r="A147" s="50" t="s">
        <v>4338</v>
      </c>
      <c r="B147" s="61">
        <v>12</v>
      </c>
      <c r="C147" s="468">
        <v>0.55000000000000004</v>
      </c>
      <c r="D147" s="61"/>
      <c r="E147" s="67"/>
      <c r="F147" s="61"/>
      <c r="G147" s="61"/>
      <c r="H147" s="61"/>
      <c r="I147" s="61"/>
      <c r="J147" s="61"/>
      <c r="K147" s="61"/>
      <c r="L147" s="61"/>
      <c r="M147" s="61"/>
      <c r="N147" s="61"/>
      <c r="O147" s="61"/>
      <c r="P147" s="61"/>
      <c r="Q147" s="61"/>
      <c r="R147" s="61"/>
      <c r="S147" s="61"/>
      <c r="T147" s="61"/>
    </row>
    <row r="148" spans="1:20" x14ac:dyDescent="0.3">
      <c r="A148" s="50" t="s">
        <v>4339</v>
      </c>
      <c r="B148" s="61">
        <v>45</v>
      </c>
      <c r="C148" s="468">
        <v>610</v>
      </c>
      <c r="D148" s="61"/>
      <c r="E148" s="67"/>
      <c r="F148" s="61"/>
      <c r="G148" s="61"/>
      <c r="H148" s="61"/>
      <c r="I148" s="61"/>
      <c r="J148" s="61"/>
      <c r="K148" s="61"/>
      <c r="L148" s="61"/>
      <c r="M148" s="61"/>
      <c r="N148" s="61"/>
      <c r="O148" s="61"/>
      <c r="P148" s="61"/>
      <c r="Q148" s="61"/>
      <c r="R148" s="61"/>
      <c r="S148" s="61"/>
      <c r="T148" s="61"/>
    </row>
    <row r="149" spans="1:20" x14ac:dyDescent="0.3">
      <c r="A149" s="50" t="s">
        <v>4386</v>
      </c>
      <c r="B149" s="61">
        <v>59</v>
      </c>
      <c r="C149" s="468">
        <v>800.86000000000013</v>
      </c>
      <c r="D149" s="61"/>
      <c r="E149" s="67"/>
      <c r="F149" s="61"/>
      <c r="G149" s="61"/>
      <c r="H149" s="61"/>
      <c r="I149" s="61"/>
      <c r="J149" s="61"/>
      <c r="K149" s="61"/>
      <c r="L149" s="61"/>
      <c r="M149" s="61"/>
      <c r="N149" s="61"/>
      <c r="O149" s="61"/>
      <c r="P149" s="61"/>
      <c r="Q149" s="61"/>
      <c r="R149" s="61"/>
      <c r="S149" s="61"/>
      <c r="T149" s="61"/>
    </row>
    <row r="150" spans="1:20" x14ac:dyDescent="0.3">
      <c r="A150" s="50" t="s">
        <v>4387</v>
      </c>
      <c r="B150" s="61">
        <v>32</v>
      </c>
      <c r="C150" s="468">
        <v>468</v>
      </c>
      <c r="D150" s="61"/>
      <c r="E150" s="67"/>
      <c r="F150" s="61"/>
      <c r="G150" s="61"/>
      <c r="H150" s="61"/>
      <c r="I150" s="61"/>
      <c r="J150" s="61"/>
      <c r="K150" s="61"/>
      <c r="L150" s="61"/>
      <c r="M150" s="61"/>
      <c r="N150" s="61"/>
      <c r="O150" s="61"/>
      <c r="P150" s="61"/>
      <c r="Q150" s="61"/>
      <c r="R150" s="61"/>
      <c r="S150" s="61"/>
      <c r="T150" s="61"/>
    </row>
    <row r="151" spans="1:20" x14ac:dyDescent="0.3">
      <c r="A151" s="50" t="s">
        <v>4389</v>
      </c>
      <c r="B151" s="61">
        <v>123</v>
      </c>
      <c r="C151" s="468">
        <v>1947</v>
      </c>
      <c r="D151" s="61"/>
      <c r="E151" s="67"/>
      <c r="F151" s="61"/>
      <c r="G151" s="61"/>
      <c r="H151" s="61"/>
      <c r="I151" s="61"/>
      <c r="J151" s="61"/>
      <c r="K151" s="61"/>
      <c r="L151" s="61"/>
      <c r="M151" s="61"/>
      <c r="N151" s="61"/>
      <c r="O151" s="61"/>
      <c r="P151" s="61"/>
      <c r="Q151" s="61"/>
      <c r="R151" s="61"/>
      <c r="S151" s="61"/>
      <c r="T151" s="61"/>
    </row>
    <row r="152" spans="1:20" x14ac:dyDescent="0.3">
      <c r="A152" s="50" t="s">
        <v>4391</v>
      </c>
      <c r="B152" s="61">
        <v>6</v>
      </c>
      <c r="C152" s="468">
        <v>75</v>
      </c>
      <c r="D152" s="61"/>
      <c r="E152" s="67"/>
      <c r="F152" s="61"/>
      <c r="G152" s="61"/>
      <c r="H152" s="61"/>
      <c r="I152" s="61"/>
      <c r="J152" s="61"/>
      <c r="K152" s="61"/>
      <c r="L152" s="61"/>
      <c r="M152" s="61"/>
      <c r="N152" s="61"/>
      <c r="O152" s="61"/>
      <c r="P152" s="61"/>
      <c r="Q152" s="61"/>
      <c r="R152" s="61"/>
      <c r="S152" s="61"/>
      <c r="T152" s="61"/>
    </row>
    <row r="153" spans="1:20" x14ac:dyDescent="0.3">
      <c r="A153" s="50" t="s">
        <v>4392</v>
      </c>
      <c r="B153" s="61">
        <v>56</v>
      </c>
      <c r="C153" s="468">
        <v>760.14</v>
      </c>
      <c r="D153" s="61"/>
      <c r="E153" s="67"/>
      <c r="F153" s="61"/>
      <c r="G153" s="61"/>
      <c r="H153" s="61"/>
      <c r="I153" s="61"/>
      <c r="J153" s="61"/>
      <c r="K153" s="61"/>
      <c r="L153" s="61"/>
      <c r="M153" s="61"/>
      <c r="N153" s="61"/>
      <c r="O153" s="61"/>
      <c r="P153" s="61"/>
      <c r="Q153" s="61"/>
      <c r="R153" s="61"/>
      <c r="S153" s="61"/>
      <c r="T153" s="61"/>
    </row>
    <row r="154" spans="1:20" x14ac:dyDescent="0.3">
      <c r="A154" s="50" t="s">
        <v>4393</v>
      </c>
      <c r="B154" s="61">
        <v>14</v>
      </c>
      <c r="C154" s="468">
        <v>223</v>
      </c>
      <c r="D154" s="61"/>
      <c r="E154" s="67"/>
      <c r="F154" s="61"/>
      <c r="G154" s="61"/>
      <c r="H154" s="61"/>
      <c r="I154" s="61"/>
      <c r="J154" s="61"/>
      <c r="K154" s="61"/>
      <c r="L154" s="61"/>
      <c r="M154" s="61"/>
      <c r="N154" s="61"/>
      <c r="O154" s="61"/>
      <c r="P154" s="61"/>
      <c r="Q154" s="61"/>
      <c r="R154" s="61"/>
      <c r="S154" s="61"/>
      <c r="T154" s="61"/>
    </row>
    <row r="155" spans="1:20" x14ac:dyDescent="0.3">
      <c r="A155" s="50" t="s">
        <v>4394</v>
      </c>
      <c r="B155" s="61">
        <v>66</v>
      </c>
      <c r="C155" s="468">
        <v>919</v>
      </c>
      <c r="D155" s="61"/>
      <c r="E155" s="67"/>
      <c r="F155" s="61"/>
      <c r="G155" s="61"/>
      <c r="H155" s="61"/>
      <c r="I155" s="61"/>
      <c r="J155" s="61"/>
      <c r="K155" s="61"/>
      <c r="L155" s="61"/>
      <c r="M155" s="61"/>
      <c r="N155" s="61"/>
      <c r="O155" s="61"/>
      <c r="P155" s="61"/>
      <c r="Q155" s="61"/>
      <c r="R155" s="61"/>
      <c r="S155" s="61"/>
      <c r="T155" s="61"/>
    </row>
    <row r="156" spans="1:20" x14ac:dyDescent="0.3">
      <c r="A156" s="50" t="s">
        <v>4395</v>
      </c>
      <c r="B156" s="61">
        <v>48</v>
      </c>
      <c r="C156" s="468">
        <v>827</v>
      </c>
      <c r="D156" s="61"/>
      <c r="E156" s="67"/>
      <c r="F156" s="61"/>
      <c r="G156" s="61"/>
      <c r="H156" s="61"/>
      <c r="I156" s="61"/>
      <c r="J156" s="61"/>
      <c r="K156" s="61"/>
      <c r="L156" s="61"/>
      <c r="M156" s="61"/>
      <c r="N156" s="61"/>
      <c r="O156" s="61"/>
      <c r="P156" s="61"/>
      <c r="Q156" s="61"/>
      <c r="R156" s="61"/>
      <c r="S156" s="61"/>
      <c r="T156" s="61"/>
    </row>
    <row r="157" spans="1:20" x14ac:dyDescent="0.3">
      <c r="A157" s="50" t="s">
        <v>4396</v>
      </c>
      <c r="B157" s="61">
        <v>32</v>
      </c>
      <c r="C157" s="468">
        <v>453</v>
      </c>
      <c r="D157" s="61"/>
      <c r="E157" s="67"/>
      <c r="F157" s="61"/>
      <c r="G157" s="61"/>
      <c r="H157" s="61"/>
      <c r="I157" s="61"/>
      <c r="J157" s="61"/>
      <c r="K157" s="61"/>
      <c r="L157" s="61"/>
      <c r="M157" s="61"/>
      <c r="N157" s="61"/>
      <c r="O157" s="61"/>
      <c r="P157" s="61"/>
      <c r="Q157" s="61"/>
      <c r="R157" s="61"/>
      <c r="S157" s="61"/>
      <c r="T157" s="61"/>
    </row>
    <row r="158" spans="1:20" x14ac:dyDescent="0.3">
      <c r="A158" s="50" t="s">
        <v>4398</v>
      </c>
      <c r="B158" s="61">
        <v>12</v>
      </c>
      <c r="C158" s="468">
        <v>178</v>
      </c>
      <c r="D158" s="61"/>
      <c r="E158" s="67"/>
      <c r="F158" s="61"/>
      <c r="G158" s="61"/>
      <c r="H158" s="61"/>
      <c r="I158" s="61"/>
      <c r="J158" s="61"/>
      <c r="K158" s="61"/>
      <c r="L158" s="61"/>
      <c r="M158" s="61"/>
      <c r="N158" s="61"/>
      <c r="O158" s="61"/>
      <c r="P158" s="61"/>
      <c r="Q158" s="61"/>
      <c r="R158" s="61"/>
      <c r="S158" s="61"/>
      <c r="T158" s="61"/>
    </row>
    <row r="159" spans="1:20" x14ac:dyDescent="0.3">
      <c r="A159" s="50" t="s">
        <v>4400</v>
      </c>
      <c r="B159" s="61">
        <v>5</v>
      </c>
      <c r="C159" s="468">
        <v>101.67</v>
      </c>
      <c r="D159" s="61"/>
      <c r="E159" s="67"/>
      <c r="F159" s="61"/>
      <c r="G159" s="61"/>
      <c r="H159" s="61"/>
      <c r="I159" s="61"/>
      <c r="J159" s="61"/>
      <c r="K159" s="61"/>
      <c r="L159" s="61"/>
      <c r="M159" s="61"/>
      <c r="N159" s="61"/>
      <c r="O159" s="61"/>
      <c r="P159" s="61"/>
      <c r="Q159" s="61"/>
      <c r="R159" s="61"/>
      <c r="S159" s="61"/>
      <c r="T159" s="61"/>
    </row>
    <row r="160" spans="1:20" x14ac:dyDescent="0.3">
      <c r="A160" s="50" t="s">
        <v>4401</v>
      </c>
      <c r="B160" s="61">
        <v>4</v>
      </c>
      <c r="C160" s="468">
        <v>81.33</v>
      </c>
      <c r="D160" s="61"/>
      <c r="E160" s="67"/>
      <c r="F160" s="61"/>
      <c r="G160" s="61"/>
      <c r="H160" s="61"/>
      <c r="I160" s="61"/>
      <c r="J160" s="61"/>
      <c r="K160" s="61"/>
      <c r="L160" s="61"/>
      <c r="M160" s="61"/>
      <c r="N160" s="61"/>
      <c r="O160" s="61"/>
      <c r="P160" s="61"/>
      <c r="Q160" s="61"/>
      <c r="R160" s="61"/>
      <c r="S160" s="61"/>
      <c r="T160" s="61"/>
    </row>
    <row r="161" spans="1:20" x14ac:dyDescent="0.3">
      <c r="A161" s="50" t="s">
        <v>4403</v>
      </c>
      <c r="B161" s="61">
        <v>11</v>
      </c>
      <c r="C161" s="468">
        <v>163</v>
      </c>
      <c r="D161" s="61"/>
      <c r="E161" s="67"/>
      <c r="F161" s="61"/>
      <c r="G161" s="61"/>
      <c r="H161" s="61"/>
      <c r="I161" s="61"/>
      <c r="J161" s="61"/>
      <c r="K161" s="61"/>
      <c r="L161" s="61"/>
      <c r="M161" s="61"/>
      <c r="N161" s="61"/>
      <c r="O161" s="61"/>
      <c r="P161" s="61"/>
      <c r="Q161" s="61"/>
      <c r="R161" s="61"/>
      <c r="S161" s="61"/>
      <c r="T161" s="61"/>
    </row>
    <row r="162" spans="1:20" x14ac:dyDescent="0.3">
      <c r="A162" s="50" t="s">
        <v>4405</v>
      </c>
      <c r="B162" s="61">
        <v>19</v>
      </c>
      <c r="C162" s="468">
        <v>251.75</v>
      </c>
      <c r="D162" s="61"/>
      <c r="E162" s="67"/>
      <c r="F162" s="61"/>
      <c r="G162" s="61"/>
      <c r="H162" s="61"/>
      <c r="I162" s="61"/>
      <c r="J162" s="61"/>
      <c r="K162" s="61"/>
      <c r="L162" s="61"/>
      <c r="M162" s="61"/>
      <c r="N162" s="61"/>
      <c r="O162" s="61"/>
      <c r="P162" s="61"/>
      <c r="Q162" s="61"/>
      <c r="R162" s="61"/>
      <c r="S162" s="61"/>
      <c r="T162" s="61"/>
    </row>
    <row r="163" spans="1:20" x14ac:dyDescent="0.3">
      <c r="A163" s="50" t="s">
        <v>4407</v>
      </c>
      <c r="B163" s="61">
        <v>17</v>
      </c>
      <c r="C163" s="468">
        <v>201</v>
      </c>
      <c r="D163" s="61"/>
      <c r="E163" s="67"/>
      <c r="F163" s="61"/>
      <c r="G163" s="61"/>
      <c r="H163" s="61"/>
      <c r="I163" s="61"/>
      <c r="J163" s="61"/>
      <c r="K163" s="61"/>
      <c r="L163" s="61"/>
      <c r="M163" s="61"/>
      <c r="N163" s="61"/>
      <c r="O163" s="61"/>
      <c r="P163" s="61"/>
      <c r="Q163" s="61"/>
      <c r="R163" s="61"/>
      <c r="S163" s="61"/>
      <c r="T163" s="61"/>
    </row>
    <row r="164" spans="1:20" x14ac:dyDescent="0.3">
      <c r="A164" s="50" t="s">
        <v>4408</v>
      </c>
      <c r="B164" s="61">
        <v>1</v>
      </c>
      <c r="C164" s="468">
        <v>13.25</v>
      </c>
      <c r="D164" s="61"/>
      <c r="E164" s="67"/>
      <c r="F164" s="61"/>
      <c r="G164" s="61"/>
      <c r="H164" s="61"/>
      <c r="I164" s="61"/>
      <c r="J164" s="61"/>
      <c r="K164" s="61"/>
      <c r="L164" s="61"/>
      <c r="M164" s="61"/>
      <c r="N164" s="61"/>
      <c r="O164" s="61"/>
      <c r="P164" s="61"/>
      <c r="Q164" s="61"/>
      <c r="R164" s="61"/>
      <c r="S164" s="61"/>
      <c r="T164" s="61"/>
    </row>
    <row r="165" spans="1:20" x14ac:dyDescent="0.3">
      <c r="A165" s="50" t="s">
        <v>4419</v>
      </c>
      <c r="B165" s="61">
        <v>23</v>
      </c>
      <c r="C165" s="468">
        <v>286</v>
      </c>
      <c r="D165" s="61"/>
      <c r="E165" s="67"/>
      <c r="F165" s="61"/>
      <c r="G165" s="61"/>
      <c r="H165" s="61"/>
      <c r="I165" s="61"/>
      <c r="J165" s="61"/>
      <c r="K165" s="61"/>
      <c r="L165" s="61"/>
      <c r="M165" s="61"/>
      <c r="N165" s="61"/>
      <c r="O165" s="61"/>
      <c r="P165" s="61"/>
      <c r="Q165" s="61"/>
      <c r="R165" s="61"/>
      <c r="S165" s="61"/>
      <c r="T165" s="61"/>
    </row>
    <row r="166" spans="1:20" x14ac:dyDescent="0.3">
      <c r="A166" s="50" t="s">
        <v>4421</v>
      </c>
      <c r="B166" s="61">
        <v>16</v>
      </c>
      <c r="C166" s="468">
        <v>253</v>
      </c>
      <c r="D166" s="61"/>
      <c r="E166" s="67"/>
      <c r="F166" s="61"/>
      <c r="G166" s="61"/>
      <c r="H166" s="61"/>
      <c r="I166" s="61"/>
      <c r="J166" s="61"/>
      <c r="K166" s="61"/>
      <c r="L166" s="61"/>
      <c r="M166" s="61"/>
      <c r="N166" s="61"/>
      <c r="O166" s="61"/>
      <c r="P166" s="61"/>
      <c r="Q166" s="61"/>
      <c r="R166" s="61"/>
      <c r="S166" s="61"/>
      <c r="T166" s="61"/>
    </row>
    <row r="167" spans="1:20" x14ac:dyDescent="0.3">
      <c r="A167" s="50" t="s">
        <v>4422</v>
      </c>
      <c r="B167" s="61">
        <v>11</v>
      </c>
      <c r="C167" s="468">
        <v>147</v>
      </c>
      <c r="D167" s="61"/>
      <c r="E167" s="67"/>
      <c r="F167" s="61"/>
      <c r="G167" s="61"/>
      <c r="H167" s="61"/>
      <c r="I167" s="61"/>
      <c r="J167" s="61"/>
      <c r="K167" s="61"/>
      <c r="L167" s="61"/>
      <c r="M167" s="61"/>
      <c r="N167" s="61"/>
      <c r="O167" s="61"/>
      <c r="P167" s="61"/>
      <c r="Q167" s="61"/>
      <c r="R167" s="61"/>
      <c r="S167" s="61"/>
      <c r="T167" s="61"/>
    </row>
    <row r="168" spans="1:20" x14ac:dyDescent="0.3">
      <c r="A168" s="50" t="s">
        <v>4423</v>
      </c>
      <c r="B168" s="61">
        <v>8</v>
      </c>
      <c r="C168" s="468">
        <v>100</v>
      </c>
      <c r="D168" s="61"/>
      <c r="E168" s="67"/>
      <c r="F168" s="61"/>
      <c r="G168" s="61"/>
      <c r="H168" s="61"/>
      <c r="I168" s="61"/>
      <c r="J168" s="61"/>
      <c r="K168" s="61"/>
      <c r="L168" s="61"/>
      <c r="M168" s="61"/>
      <c r="N168" s="61"/>
      <c r="O168" s="61"/>
      <c r="P168" s="61"/>
      <c r="Q168" s="61"/>
      <c r="R168" s="61"/>
      <c r="S168" s="61"/>
      <c r="T168" s="61"/>
    </row>
    <row r="169" spans="1:20" x14ac:dyDescent="0.3">
      <c r="A169" s="50" t="s">
        <v>4425</v>
      </c>
      <c r="B169" s="61">
        <v>101</v>
      </c>
      <c r="C169" s="468">
        <v>1713.0000000000002</v>
      </c>
      <c r="D169" s="61"/>
      <c r="E169" s="67"/>
      <c r="F169" s="61"/>
      <c r="G169" s="61"/>
      <c r="H169" s="61"/>
      <c r="I169" s="61"/>
      <c r="J169" s="61"/>
      <c r="K169" s="61"/>
      <c r="L169" s="61"/>
      <c r="M169" s="61"/>
      <c r="N169" s="61"/>
      <c r="O169" s="61"/>
      <c r="P169" s="61"/>
      <c r="Q169" s="61"/>
      <c r="R169" s="61"/>
      <c r="S169" s="61"/>
      <c r="T169" s="61"/>
    </row>
    <row r="170" spans="1:20" x14ac:dyDescent="0.3">
      <c r="A170" s="50" t="s">
        <v>4426</v>
      </c>
      <c r="B170" s="61">
        <v>106</v>
      </c>
      <c r="C170" s="468">
        <v>1471</v>
      </c>
      <c r="D170" s="61"/>
      <c r="E170" s="67"/>
      <c r="F170" s="61"/>
      <c r="G170" s="61"/>
      <c r="H170" s="61"/>
      <c r="I170" s="61"/>
      <c r="J170" s="61"/>
      <c r="K170" s="61"/>
      <c r="L170" s="61"/>
      <c r="M170" s="61"/>
      <c r="N170" s="61"/>
      <c r="O170" s="61"/>
      <c r="P170" s="61"/>
      <c r="Q170" s="61"/>
      <c r="R170" s="61"/>
      <c r="S170" s="61"/>
      <c r="T170" s="61"/>
    </row>
    <row r="171" spans="1:20" x14ac:dyDescent="0.3">
      <c r="A171" s="50" t="s">
        <v>4427</v>
      </c>
      <c r="B171" s="61">
        <v>4</v>
      </c>
      <c r="C171" s="468">
        <v>52</v>
      </c>
      <c r="D171" s="61"/>
      <c r="E171" s="67"/>
      <c r="F171" s="61"/>
      <c r="G171" s="61"/>
      <c r="H171" s="61"/>
      <c r="I171" s="61"/>
      <c r="J171" s="61"/>
      <c r="K171" s="61"/>
      <c r="L171" s="61"/>
      <c r="M171" s="61"/>
      <c r="N171" s="61"/>
      <c r="O171" s="61"/>
      <c r="P171" s="61"/>
      <c r="Q171" s="61"/>
      <c r="R171" s="61"/>
      <c r="S171" s="61"/>
      <c r="T171" s="61"/>
    </row>
    <row r="172" spans="1:20" x14ac:dyDescent="0.3">
      <c r="A172" s="50" t="s">
        <v>4428</v>
      </c>
      <c r="B172" s="61">
        <v>39</v>
      </c>
      <c r="C172" s="468">
        <v>538.57000000000005</v>
      </c>
      <c r="D172" s="61"/>
      <c r="E172" s="67"/>
      <c r="F172" s="61"/>
      <c r="G172" s="61"/>
      <c r="H172" s="61"/>
      <c r="I172" s="61"/>
      <c r="J172" s="61"/>
      <c r="K172" s="61"/>
      <c r="L172" s="61"/>
      <c r="M172" s="61"/>
      <c r="N172" s="61"/>
      <c r="O172" s="61"/>
      <c r="P172" s="61"/>
      <c r="Q172" s="61"/>
      <c r="R172" s="61"/>
      <c r="S172" s="61"/>
      <c r="T172" s="61"/>
    </row>
    <row r="173" spans="1:20" x14ac:dyDescent="0.3">
      <c r="A173" s="50" t="s">
        <v>4429</v>
      </c>
      <c r="B173" s="61">
        <v>20</v>
      </c>
      <c r="C173" s="468">
        <v>329</v>
      </c>
      <c r="D173" s="61"/>
      <c r="E173" s="67"/>
      <c r="F173" s="61"/>
      <c r="G173" s="61"/>
      <c r="H173" s="61"/>
      <c r="I173" s="61"/>
      <c r="J173" s="61"/>
      <c r="K173" s="61"/>
      <c r="L173" s="61"/>
      <c r="M173" s="61"/>
      <c r="N173" s="61"/>
      <c r="O173" s="61"/>
      <c r="P173" s="61"/>
      <c r="Q173" s="61"/>
      <c r="R173" s="61"/>
      <c r="S173" s="61"/>
      <c r="T173" s="61"/>
    </row>
    <row r="174" spans="1:20" x14ac:dyDescent="0.3">
      <c r="A174" s="50" t="s">
        <v>4430</v>
      </c>
      <c r="B174" s="61">
        <v>24</v>
      </c>
      <c r="C174" s="468">
        <v>331.43</v>
      </c>
      <c r="D174" s="61"/>
      <c r="E174" s="67"/>
      <c r="F174" s="61"/>
      <c r="G174" s="61"/>
      <c r="H174" s="61"/>
      <c r="I174" s="61"/>
      <c r="J174" s="61"/>
      <c r="K174" s="61"/>
      <c r="L174" s="61"/>
      <c r="M174" s="61"/>
      <c r="N174" s="61"/>
      <c r="O174" s="61"/>
      <c r="P174" s="61"/>
      <c r="Q174" s="61"/>
      <c r="R174" s="61"/>
      <c r="S174" s="61"/>
      <c r="T174" s="61"/>
    </row>
    <row r="175" spans="1:20" x14ac:dyDescent="0.3">
      <c r="A175" s="50" t="s">
        <v>4432</v>
      </c>
      <c r="B175" s="61">
        <v>83</v>
      </c>
      <c r="C175" s="468">
        <v>4.55</v>
      </c>
      <c r="D175" s="61"/>
      <c r="E175" s="67"/>
      <c r="F175" s="61"/>
      <c r="G175" s="61"/>
      <c r="H175" s="61"/>
      <c r="I175" s="61"/>
      <c r="J175" s="61"/>
      <c r="K175" s="61"/>
      <c r="L175" s="61"/>
      <c r="M175" s="61"/>
      <c r="N175" s="61"/>
      <c r="O175" s="61"/>
      <c r="P175" s="61"/>
      <c r="Q175" s="61"/>
      <c r="R175" s="61"/>
      <c r="S175" s="61"/>
      <c r="T175" s="61"/>
    </row>
    <row r="176" spans="1:20" x14ac:dyDescent="0.3">
      <c r="A176" s="50" t="s">
        <v>4433</v>
      </c>
      <c r="B176" s="61">
        <v>32</v>
      </c>
      <c r="C176" s="468">
        <v>557</v>
      </c>
      <c r="D176" s="61"/>
      <c r="E176" s="67"/>
      <c r="F176" s="61"/>
      <c r="G176" s="61"/>
      <c r="H176" s="61"/>
      <c r="I176" s="61"/>
      <c r="J176" s="61"/>
      <c r="K176" s="61"/>
      <c r="L176" s="61"/>
      <c r="M176" s="61"/>
      <c r="N176" s="61"/>
      <c r="O176" s="61"/>
      <c r="P176" s="61"/>
      <c r="Q176" s="61"/>
      <c r="R176" s="61"/>
      <c r="S176" s="61"/>
      <c r="T176" s="61"/>
    </row>
    <row r="177" spans="1:20" x14ac:dyDescent="0.3">
      <c r="A177" s="50" t="s">
        <v>4435</v>
      </c>
      <c r="B177" s="61">
        <v>116</v>
      </c>
      <c r="C177" s="468">
        <v>1665</v>
      </c>
      <c r="D177" s="61"/>
      <c r="E177" s="67"/>
      <c r="F177" s="61"/>
      <c r="G177" s="61"/>
      <c r="H177" s="61"/>
      <c r="I177" s="61"/>
      <c r="J177" s="61"/>
      <c r="K177" s="61"/>
      <c r="L177" s="61"/>
      <c r="M177" s="61"/>
      <c r="N177" s="61"/>
      <c r="O177" s="61"/>
      <c r="P177" s="61"/>
      <c r="Q177" s="61"/>
      <c r="R177" s="61"/>
      <c r="S177" s="61"/>
      <c r="T177" s="61"/>
    </row>
    <row r="178" spans="1:20" x14ac:dyDescent="0.3">
      <c r="A178" s="50" t="s">
        <v>4436</v>
      </c>
      <c r="B178" s="61">
        <v>7</v>
      </c>
      <c r="C178" s="468">
        <v>101</v>
      </c>
      <c r="D178" s="61"/>
      <c r="E178" s="67"/>
      <c r="F178" s="61"/>
      <c r="G178" s="61"/>
      <c r="H178" s="61"/>
      <c r="I178" s="61"/>
      <c r="J178" s="61"/>
      <c r="K178" s="61"/>
      <c r="L178" s="61"/>
      <c r="M178" s="61"/>
      <c r="N178" s="61"/>
      <c r="O178" s="61"/>
      <c r="P178" s="61"/>
      <c r="Q178" s="61"/>
      <c r="R178" s="61"/>
      <c r="S178" s="61"/>
      <c r="T178" s="61"/>
    </row>
    <row r="179" spans="1:20" x14ac:dyDescent="0.3">
      <c r="A179" s="50" t="s">
        <v>4437</v>
      </c>
      <c r="B179" s="61">
        <v>13</v>
      </c>
      <c r="C179" s="468">
        <v>0.72</v>
      </c>
      <c r="D179" s="61"/>
      <c r="E179" s="67"/>
      <c r="F179" s="61"/>
      <c r="G179" s="61"/>
      <c r="H179" s="61"/>
      <c r="I179" s="61"/>
      <c r="J179" s="61"/>
      <c r="K179" s="61"/>
      <c r="L179" s="61"/>
      <c r="M179" s="61"/>
      <c r="N179" s="61"/>
      <c r="O179" s="61"/>
      <c r="P179" s="61"/>
      <c r="Q179" s="61"/>
      <c r="R179" s="61"/>
      <c r="S179" s="61"/>
      <c r="T179" s="61"/>
    </row>
    <row r="180" spans="1:20" x14ac:dyDescent="0.3">
      <c r="A180" s="50" t="s">
        <v>4438</v>
      </c>
      <c r="B180" s="61">
        <v>10</v>
      </c>
      <c r="C180" s="468">
        <v>0.55000000000000004</v>
      </c>
      <c r="D180" s="61"/>
      <c r="E180" s="67"/>
      <c r="F180" s="61"/>
      <c r="G180" s="61"/>
      <c r="H180" s="61"/>
      <c r="I180" s="61"/>
      <c r="J180" s="61"/>
      <c r="K180" s="61"/>
      <c r="L180" s="61"/>
      <c r="M180" s="61"/>
      <c r="N180" s="61"/>
      <c r="O180" s="61"/>
      <c r="P180" s="61"/>
      <c r="Q180" s="61"/>
      <c r="R180" s="61"/>
      <c r="S180" s="61"/>
      <c r="T180" s="61"/>
    </row>
    <row r="181" spans="1:20" x14ac:dyDescent="0.3">
      <c r="A181" s="50" t="s">
        <v>4440</v>
      </c>
      <c r="B181" s="61">
        <v>26</v>
      </c>
      <c r="C181" s="468">
        <v>1.02</v>
      </c>
      <c r="D181" s="61"/>
      <c r="E181" s="67"/>
      <c r="F181" s="61"/>
      <c r="G181" s="61"/>
      <c r="H181" s="61"/>
      <c r="I181" s="61"/>
      <c r="J181" s="61"/>
      <c r="K181" s="61"/>
      <c r="L181" s="61"/>
      <c r="M181" s="61"/>
      <c r="N181" s="61"/>
      <c r="O181" s="61"/>
      <c r="P181" s="61"/>
      <c r="Q181" s="61"/>
      <c r="R181" s="61"/>
      <c r="S181" s="61"/>
      <c r="T181" s="61"/>
    </row>
    <row r="182" spans="1:20" x14ac:dyDescent="0.3">
      <c r="A182" s="50" t="s">
        <v>4441</v>
      </c>
      <c r="B182" s="61">
        <v>5</v>
      </c>
      <c r="C182" s="468">
        <v>0.2</v>
      </c>
      <c r="D182" s="61"/>
      <c r="E182" s="67"/>
      <c r="F182" s="61"/>
      <c r="G182" s="61"/>
      <c r="H182" s="61"/>
      <c r="I182" s="61"/>
      <c r="J182" s="61"/>
      <c r="K182" s="61"/>
      <c r="L182" s="61"/>
      <c r="M182" s="61"/>
      <c r="N182" s="61"/>
      <c r="O182" s="61"/>
      <c r="P182" s="61"/>
      <c r="Q182" s="61"/>
      <c r="R182" s="61"/>
      <c r="S182" s="61"/>
      <c r="T182" s="61"/>
    </row>
    <row r="183" spans="1:20" x14ac:dyDescent="0.3">
      <c r="A183" s="50" t="s">
        <v>4443</v>
      </c>
      <c r="B183" s="61">
        <v>32</v>
      </c>
      <c r="C183" s="468">
        <v>440</v>
      </c>
      <c r="D183" s="61"/>
      <c r="E183" s="67"/>
      <c r="F183" s="61"/>
      <c r="G183" s="61"/>
      <c r="H183" s="61"/>
      <c r="I183" s="61"/>
      <c r="J183" s="61"/>
      <c r="K183" s="61"/>
      <c r="L183" s="61"/>
      <c r="M183" s="61"/>
      <c r="N183" s="61"/>
      <c r="O183" s="61"/>
      <c r="P183" s="61"/>
      <c r="Q183" s="61"/>
      <c r="R183" s="61"/>
      <c r="S183" s="61"/>
      <c r="T183" s="61"/>
    </row>
    <row r="184" spans="1:20" x14ac:dyDescent="0.3">
      <c r="A184" s="50" t="s">
        <v>4445</v>
      </c>
      <c r="B184" s="61">
        <v>18</v>
      </c>
      <c r="C184" s="468">
        <v>425</v>
      </c>
      <c r="D184" s="61"/>
      <c r="E184" s="67"/>
      <c r="F184" s="61"/>
      <c r="G184" s="61"/>
      <c r="H184" s="61"/>
      <c r="I184" s="61"/>
      <c r="J184" s="61"/>
      <c r="K184" s="61"/>
      <c r="L184" s="61"/>
      <c r="M184" s="61"/>
      <c r="N184" s="61"/>
      <c r="O184" s="61"/>
      <c r="P184" s="61"/>
      <c r="Q184" s="61"/>
      <c r="R184" s="61"/>
      <c r="S184" s="61"/>
      <c r="T184" s="61"/>
    </row>
    <row r="185" spans="1:20" x14ac:dyDescent="0.3">
      <c r="A185" s="50" t="s">
        <v>4447</v>
      </c>
      <c r="B185" s="61">
        <v>18</v>
      </c>
      <c r="C185" s="468">
        <v>438</v>
      </c>
      <c r="D185" s="61"/>
      <c r="E185" s="67"/>
      <c r="F185" s="61"/>
      <c r="G185" s="61"/>
      <c r="H185" s="61"/>
      <c r="I185" s="61"/>
      <c r="J185" s="61"/>
      <c r="K185" s="61"/>
      <c r="L185" s="61"/>
      <c r="M185" s="61"/>
      <c r="N185" s="61"/>
      <c r="O185" s="61"/>
      <c r="P185" s="61"/>
      <c r="Q185" s="61"/>
      <c r="R185" s="61"/>
      <c r="S185" s="61"/>
      <c r="T185" s="61"/>
    </row>
    <row r="186" spans="1:20" x14ac:dyDescent="0.3">
      <c r="A186" s="50" t="s">
        <v>4449</v>
      </c>
      <c r="B186" s="61">
        <v>18</v>
      </c>
      <c r="C186" s="468">
        <v>438</v>
      </c>
      <c r="D186" s="61"/>
      <c r="E186" s="67"/>
      <c r="F186" s="61"/>
      <c r="G186" s="61"/>
      <c r="H186" s="61"/>
      <c r="I186" s="61"/>
      <c r="J186" s="61"/>
      <c r="K186" s="61"/>
      <c r="L186" s="61"/>
      <c r="M186" s="61"/>
      <c r="N186" s="61"/>
      <c r="O186" s="61"/>
      <c r="P186" s="61"/>
      <c r="Q186" s="61"/>
      <c r="R186" s="61"/>
      <c r="S186" s="61"/>
      <c r="T186" s="61"/>
    </row>
    <row r="187" spans="1:20" x14ac:dyDescent="0.3">
      <c r="A187" s="50" t="s">
        <v>4451</v>
      </c>
      <c r="B187" s="61">
        <v>18</v>
      </c>
      <c r="C187" s="468">
        <v>437</v>
      </c>
      <c r="D187" s="61"/>
      <c r="E187" s="67"/>
      <c r="F187" s="61"/>
      <c r="G187" s="61"/>
      <c r="H187" s="61"/>
      <c r="I187" s="61"/>
      <c r="J187" s="61"/>
      <c r="K187" s="61"/>
      <c r="L187" s="61"/>
      <c r="M187" s="61"/>
      <c r="N187" s="61"/>
      <c r="O187" s="61"/>
      <c r="P187" s="61"/>
      <c r="Q187" s="61"/>
      <c r="R187" s="61"/>
      <c r="S187" s="61"/>
      <c r="T187" s="61"/>
    </row>
    <row r="188" spans="1:20" x14ac:dyDescent="0.3">
      <c r="A188" s="50" t="s">
        <v>4453</v>
      </c>
      <c r="B188" s="61">
        <v>18</v>
      </c>
      <c r="C188" s="468">
        <v>437</v>
      </c>
      <c r="D188" s="61"/>
      <c r="E188" s="67"/>
      <c r="F188" s="61"/>
      <c r="G188" s="61"/>
      <c r="H188" s="61"/>
      <c r="I188" s="61"/>
      <c r="J188" s="61"/>
      <c r="K188" s="61"/>
      <c r="L188" s="61"/>
      <c r="M188" s="61"/>
      <c r="N188" s="61"/>
      <c r="O188" s="61"/>
      <c r="P188" s="61"/>
      <c r="Q188" s="61"/>
      <c r="R188" s="61"/>
      <c r="S188" s="61"/>
      <c r="T188" s="61"/>
    </row>
    <row r="189" spans="1:20" x14ac:dyDescent="0.3">
      <c r="A189" s="50" t="s">
        <v>4454</v>
      </c>
      <c r="B189" s="61">
        <v>1</v>
      </c>
      <c r="C189" s="468">
        <v>22</v>
      </c>
      <c r="D189" s="61"/>
      <c r="E189" s="67"/>
      <c r="F189" s="61"/>
      <c r="G189" s="61"/>
      <c r="H189" s="61"/>
      <c r="I189" s="61"/>
      <c r="J189" s="61"/>
      <c r="K189" s="61"/>
      <c r="L189" s="61"/>
      <c r="M189" s="61"/>
      <c r="N189" s="61"/>
      <c r="O189" s="61"/>
      <c r="P189" s="61"/>
      <c r="Q189" s="61"/>
      <c r="R189" s="61"/>
      <c r="S189" s="61"/>
      <c r="T189" s="61"/>
    </row>
    <row r="190" spans="1:20" x14ac:dyDescent="0.3">
      <c r="A190" s="50" t="s">
        <v>4485</v>
      </c>
      <c r="B190" s="61">
        <v>16</v>
      </c>
      <c r="C190" s="468">
        <v>231</v>
      </c>
      <c r="D190" s="61"/>
      <c r="E190" s="67"/>
      <c r="F190" s="61"/>
      <c r="G190" s="61"/>
      <c r="H190" s="61"/>
      <c r="I190" s="61"/>
      <c r="J190" s="61"/>
      <c r="K190" s="61"/>
      <c r="L190" s="61"/>
      <c r="M190" s="61"/>
      <c r="N190" s="61"/>
      <c r="O190" s="61"/>
      <c r="P190" s="61"/>
      <c r="Q190" s="61"/>
      <c r="R190" s="61"/>
      <c r="S190" s="61"/>
      <c r="T190" s="61"/>
    </row>
    <row r="191" spans="1:20" x14ac:dyDescent="0.3">
      <c r="A191" s="50" t="s">
        <v>4486</v>
      </c>
      <c r="B191" s="61">
        <v>13</v>
      </c>
      <c r="C191" s="468">
        <v>193</v>
      </c>
      <c r="D191" s="61"/>
      <c r="E191" s="67"/>
      <c r="F191" s="61"/>
      <c r="G191" s="61"/>
      <c r="H191" s="61"/>
      <c r="I191" s="61"/>
      <c r="J191" s="61"/>
      <c r="K191" s="61"/>
      <c r="L191" s="61"/>
      <c r="M191" s="61"/>
      <c r="N191" s="61"/>
      <c r="O191" s="61"/>
      <c r="P191" s="61"/>
      <c r="Q191" s="61"/>
      <c r="R191" s="61"/>
      <c r="S191" s="61"/>
      <c r="T191" s="61"/>
    </row>
    <row r="192" spans="1:20" x14ac:dyDescent="0.3">
      <c r="A192" s="50" t="s">
        <v>4488</v>
      </c>
      <c r="B192" s="61">
        <v>35</v>
      </c>
      <c r="C192" s="468">
        <v>470</v>
      </c>
      <c r="D192" s="61"/>
      <c r="E192" s="67"/>
      <c r="F192" s="61"/>
      <c r="G192" s="61"/>
      <c r="H192" s="61"/>
      <c r="I192" s="61"/>
      <c r="J192" s="61"/>
      <c r="K192" s="61"/>
      <c r="L192" s="61"/>
      <c r="M192" s="61"/>
      <c r="N192" s="61"/>
      <c r="O192" s="61"/>
      <c r="P192" s="61"/>
      <c r="Q192" s="61"/>
      <c r="R192" s="61"/>
      <c r="S192" s="61"/>
      <c r="T192" s="61"/>
    </row>
    <row r="193" spans="1:20" x14ac:dyDescent="0.3">
      <c r="A193" s="50" t="s">
        <v>4490</v>
      </c>
      <c r="B193" s="61">
        <v>10</v>
      </c>
      <c r="C193" s="468">
        <v>133</v>
      </c>
      <c r="D193" s="61"/>
      <c r="E193" s="67"/>
      <c r="F193" s="61"/>
      <c r="G193" s="61"/>
      <c r="H193" s="61"/>
      <c r="I193" s="61"/>
      <c r="J193" s="61"/>
      <c r="K193" s="61"/>
      <c r="L193" s="61"/>
      <c r="M193" s="61"/>
      <c r="N193" s="61"/>
      <c r="O193" s="61"/>
      <c r="P193" s="61"/>
      <c r="Q193" s="61"/>
      <c r="R193" s="61"/>
      <c r="S193" s="61"/>
      <c r="T193" s="61"/>
    </row>
    <row r="194" spans="1:20" x14ac:dyDescent="0.3">
      <c r="A194" s="50" t="s">
        <v>4492</v>
      </c>
      <c r="B194" s="61">
        <v>21</v>
      </c>
      <c r="C194" s="468">
        <v>262</v>
      </c>
      <c r="D194" s="61"/>
      <c r="E194" s="67"/>
      <c r="F194" s="61"/>
      <c r="G194" s="61"/>
      <c r="H194" s="61"/>
      <c r="I194" s="61"/>
      <c r="J194" s="61"/>
      <c r="K194" s="61"/>
      <c r="L194" s="61"/>
      <c r="M194" s="61"/>
      <c r="N194" s="61"/>
      <c r="O194" s="61"/>
      <c r="P194" s="61"/>
      <c r="Q194" s="61"/>
      <c r="R194" s="61"/>
      <c r="S194" s="61"/>
      <c r="T194" s="61"/>
    </row>
    <row r="195" spans="1:20" x14ac:dyDescent="0.3">
      <c r="A195" s="50" t="s">
        <v>4493</v>
      </c>
      <c r="B195" s="61">
        <v>56</v>
      </c>
      <c r="C195" s="468">
        <v>752</v>
      </c>
      <c r="D195" s="61"/>
      <c r="E195" s="67"/>
      <c r="F195" s="61"/>
      <c r="G195" s="61"/>
      <c r="H195" s="61"/>
      <c r="I195" s="61"/>
      <c r="J195" s="61"/>
      <c r="K195" s="61"/>
      <c r="L195" s="61"/>
      <c r="M195" s="61"/>
      <c r="N195" s="61"/>
      <c r="O195" s="61"/>
      <c r="P195" s="61"/>
      <c r="Q195" s="61"/>
      <c r="R195" s="61"/>
      <c r="S195" s="61"/>
      <c r="T195" s="61"/>
    </row>
    <row r="196" spans="1:20" x14ac:dyDescent="0.3">
      <c r="A196" s="50" t="s">
        <v>4494</v>
      </c>
      <c r="B196" s="61">
        <v>19</v>
      </c>
      <c r="C196" s="468">
        <v>322</v>
      </c>
      <c r="D196" s="61"/>
      <c r="E196" s="67"/>
      <c r="F196" s="61"/>
      <c r="G196" s="61"/>
      <c r="H196" s="61"/>
      <c r="I196" s="61"/>
      <c r="J196" s="61"/>
      <c r="K196" s="61"/>
      <c r="L196" s="61"/>
      <c r="M196" s="61"/>
      <c r="N196" s="61"/>
      <c r="O196" s="61"/>
      <c r="P196" s="61"/>
      <c r="Q196" s="61"/>
      <c r="R196" s="61"/>
      <c r="S196" s="61"/>
      <c r="T196" s="61"/>
    </row>
    <row r="197" spans="1:20" x14ac:dyDescent="0.3">
      <c r="A197" s="50" t="s">
        <v>4495</v>
      </c>
      <c r="B197" s="61">
        <v>9</v>
      </c>
      <c r="C197" s="468">
        <v>155</v>
      </c>
      <c r="D197" s="61"/>
      <c r="E197" s="67"/>
      <c r="F197" s="61"/>
      <c r="G197" s="61"/>
      <c r="H197" s="61"/>
      <c r="I197" s="61"/>
      <c r="J197" s="61"/>
      <c r="K197" s="61"/>
      <c r="L197" s="61"/>
      <c r="M197" s="61"/>
      <c r="N197" s="61"/>
      <c r="O197" s="61"/>
      <c r="P197" s="61"/>
      <c r="Q197" s="61"/>
      <c r="R197" s="61"/>
      <c r="S197" s="61"/>
      <c r="T197" s="61"/>
    </row>
    <row r="198" spans="1:20" x14ac:dyDescent="0.3">
      <c r="A198" s="50" t="s">
        <v>4497</v>
      </c>
      <c r="B198" s="61">
        <v>50</v>
      </c>
      <c r="C198" s="468">
        <v>774</v>
      </c>
      <c r="D198" s="61"/>
      <c r="E198" s="67"/>
      <c r="F198" s="61"/>
      <c r="G198" s="61"/>
      <c r="H198" s="61"/>
      <c r="I198" s="61"/>
      <c r="J198" s="61"/>
      <c r="K198" s="61"/>
      <c r="L198" s="61"/>
      <c r="M198" s="61"/>
      <c r="N198" s="61"/>
      <c r="O198" s="61"/>
      <c r="P198" s="61"/>
      <c r="Q198" s="61"/>
      <c r="R198" s="61"/>
      <c r="S198" s="61"/>
      <c r="T198" s="61"/>
    </row>
    <row r="199" spans="1:20" x14ac:dyDescent="0.3">
      <c r="A199" s="50" t="s">
        <v>4499</v>
      </c>
      <c r="B199" s="61">
        <v>46</v>
      </c>
      <c r="C199" s="468">
        <v>681</v>
      </c>
      <c r="D199" s="61"/>
      <c r="E199" s="67"/>
      <c r="F199" s="61"/>
      <c r="G199" s="61"/>
      <c r="H199" s="61"/>
      <c r="I199" s="61"/>
      <c r="J199" s="61"/>
      <c r="K199" s="61"/>
      <c r="L199" s="61"/>
      <c r="M199" s="61"/>
      <c r="N199" s="61"/>
      <c r="O199" s="61"/>
      <c r="P199" s="61"/>
      <c r="Q199" s="61"/>
      <c r="R199" s="61"/>
      <c r="S199" s="61"/>
      <c r="T199" s="61"/>
    </row>
    <row r="200" spans="1:20" x14ac:dyDescent="0.3">
      <c r="A200" s="50" t="s">
        <v>4501</v>
      </c>
      <c r="B200" s="61">
        <v>7</v>
      </c>
      <c r="C200" s="468">
        <v>88</v>
      </c>
      <c r="D200" s="61"/>
      <c r="E200" s="67"/>
      <c r="F200" s="61"/>
      <c r="G200" s="61"/>
      <c r="H200" s="61"/>
      <c r="I200" s="61"/>
      <c r="J200" s="61"/>
      <c r="K200" s="61"/>
      <c r="L200" s="61"/>
      <c r="M200" s="61"/>
      <c r="N200" s="61"/>
      <c r="O200" s="61"/>
      <c r="P200" s="61"/>
      <c r="Q200" s="61"/>
      <c r="R200" s="61"/>
      <c r="S200" s="61"/>
      <c r="T200" s="61"/>
    </row>
    <row r="201" spans="1:20" x14ac:dyDescent="0.3">
      <c r="A201" s="50" t="s">
        <v>4502</v>
      </c>
      <c r="B201" s="61">
        <v>83</v>
      </c>
      <c r="C201" s="468">
        <v>1209</v>
      </c>
      <c r="D201" s="61"/>
      <c r="E201" s="67"/>
      <c r="F201" s="61"/>
      <c r="G201" s="61"/>
      <c r="H201" s="61"/>
      <c r="I201" s="61"/>
      <c r="J201" s="61"/>
      <c r="K201" s="61"/>
      <c r="L201" s="61"/>
      <c r="M201" s="61"/>
      <c r="N201" s="61"/>
      <c r="O201" s="61"/>
      <c r="P201" s="61"/>
      <c r="Q201" s="61"/>
      <c r="R201" s="61"/>
      <c r="S201" s="61"/>
      <c r="T201" s="61"/>
    </row>
    <row r="202" spans="1:20" x14ac:dyDescent="0.3">
      <c r="A202" s="50" t="s">
        <v>4503</v>
      </c>
      <c r="B202" s="61">
        <v>103</v>
      </c>
      <c r="C202" s="468">
        <v>1741.03</v>
      </c>
      <c r="D202" s="61"/>
      <c r="E202" s="67"/>
      <c r="F202" s="61"/>
      <c r="G202" s="61"/>
      <c r="H202" s="61"/>
      <c r="I202" s="61"/>
      <c r="J202" s="61"/>
      <c r="K202" s="61"/>
      <c r="L202" s="61"/>
      <c r="M202" s="61"/>
      <c r="N202" s="61"/>
      <c r="O202" s="61"/>
      <c r="P202" s="61"/>
      <c r="Q202" s="61"/>
      <c r="R202" s="61"/>
      <c r="S202" s="61"/>
      <c r="T202" s="61"/>
    </row>
    <row r="203" spans="1:20" x14ac:dyDescent="0.3">
      <c r="A203" s="50" t="s">
        <v>4504</v>
      </c>
      <c r="B203" s="61">
        <v>21</v>
      </c>
      <c r="C203" s="468">
        <v>354.97</v>
      </c>
      <c r="D203" s="61"/>
      <c r="E203" s="67"/>
      <c r="F203" s="61"/>
      <c r="G203" s="61"/>
      <c r="H203" s="61"/>
      <c r="I203" s="61"/>
      <c r="J203" s="61"/>
      <c r="K203" s="61"/>
      <c r="L203" s="61"/>
      <c r="M203" s="61"/>
      <c r="N203" s="61"/>
      <c r="O203" s="61"/>
      <c r="P203" s="61"/>
      <c r="Q203" s="61"/>
      <c r="R203" s="61"/>
      <c r="S203" s="61"/>
      <c r="T203" s="61"/>
    </row>
    <row r="204" spans="1:20" x14ac:dyDescent="0.3">
      <c r="A204" s="50" t="s">
        <v>4506</v>
      </c>
      <c r="B204" s="61">
        <v>38</v>
      </c>
      <c r="C204" s="468">
        <v>526</v>
      </c>
      <c r="D204" s="61"/>
      <c r="E204" s="67"/>
      <c r="F204" s="61"/>
      <c r="G204" s="61"/>
      <c r="H204" s="61"/>
      <c r="I204" s="61"/>
      <c r="J204" s="61"/>
      <c r="K204" s="61"/>
      <c r="L204" s="61"/>
      <c r="M204" s="61"/>
      <c r="N204" s="61"/>
      <c r="O204" s="61"/>
      <c r="P204" s="61"/>
      <c r="Q204" s="61"/>
      <c r="R204" s="61"/>
      <c r="S204" s="61"/>
      <c r="T204" s="61"/>
    </row>
    <row r="205" spans="1:20" x14ac:dyDescent="0.3">
      <c r="A205" s="50" t="s">
        <v>4508</v>
      </c>
      <c r="B205" s="61">
        <v>10</v>
      </c>
      <c r="C205" s="468">
        <v>157</v>
      </c>
      <c r="D205" s="61"/>
      <c r="E205" s="67"/>
      <c r="F205" s="61"/>
      <c r="G205" s="61"/>
      <c r="H205" s="61"/>
      <c r="I205" s="61"/>
      <c r="J205" s="61"/>
      <c r="K205" s="61"/>
      <c r="L205" s="61"/>
      <c r="M205" s="61"/>
      <c r="N205" s="61"/>
      <c r="O205" s="61"/>
      <c r="P205" s="61"/>
      <c r="Q205" s="61"/>
      <c r="R205" s="61"/>
      <c r="S205" s="61"/>
      <c r="T205" s="61"/>
    </row>
    <row r="206" spans="1:20" x14ac:dyDescent="0.3">
      <c r="A206" s="50" t="s">
        <v>4510</v>
      </c>
      <c r="B206" s="61">
        <v>4</v>
      </c>
      <c r="C206" s="468">
        <v>68</v>
      </c>
      <c r="D206" s="61"/>
      <c r="E206" s="67"/>
      <c r="F206" s="61"/>
      <c r="G206" s="61"/>
      <c r="H206" s="61"/>
      <c r="I206" s="61"/>
      <c r="J206" s="61"/>
      <c r="K206" s="61"/>
      <c r="L206" s="61"/>
      <c r="M206" s="61"/>
      <c r="N206" s="61"/>
      <c r="O206" s="61"/>
      <c r="P206" s="61"/>
      <c r="Q206" s="61"/>
      <c r="R206" s="61"/>
      <c r="S206" s="61"/>
      <c r="T206" s="61"/>
    </row>
    <row r="207" spans="1:20" x14ac:dyDescent="0.3">
      <c r="A207" s="50" t="s">
        <v>4512</v>
      </c>
      <c r="B207" s="61">
        <v>15</v>
      </c>
      <c r="C207" s="468">
        <v>204</v>
      </c>
      <c r="D207" s="61"/>
      <c r="E207" s="67"/>
      <c r="F207" s="61"/>
      <c r="G207" s="61"/>
      <c r="H207" s="61"/>
      <c r="I207" s="61"/>
      <c r="J207" s="61"/>
      <c r="K207" s="61"/>
      <c r="L207" s="61"/>
      <c r="M207" s="61"/>
      <c r="N207" s="61"/>
      <c r="O207" s="61"/>
      <c r="P207" s="61"/>
      <c r="Q207" s="61"/>
      <c r="R207" s="61"/>
      <c r="S207" s="61"/>
      <c r="T207" s="61"/>
    </row>
    <row r="208" spans="1:20" x14ac:dyDescent="0.3">
      <c r="A208" s="50" t="s">
        <v>4513</v>
      </c>
      <c r="B208" s="61">
        <v>89</v>
      </c>
      <c r="C208" s="468">
        <v>1234.8800000000001</v>
      </c>
      <c r="D208" s="61"/>
      <c r="E208" s="67"/>
      <c r="F208" s="61"/>
      <c r="G208" s="61"/>
      <c r="H208" s="61"/>
      <c r="I208" s="61"/>
      <c r="J208" s="61"/>
      <c r="K208" s="61"/>
      <c r="L208" s="61"/>
      <c r="M208" s="61"/>
      <c r="N208" s="61"/>
      <c r="O208" s="61"/>
      <c r="P208" s="61"/>
      <c r="Q208" s="61"/>
      <c r="R208" s="61"/>
      <c r="S208" s="61"/>
      <c r="T208" s="61"/>
    </row>
    <row r="209" spans="1:20" x14ac:dyDescent="0.3">
      <c r="A209" s="50" t="s">
        <v>4515</v>
      </c>
      <c r="B209" s="61">
        <v>18</v>
      </c>
      <c r="C209" s="468">
        <v>279.95</v>
      </c>
      <c r="D209" s="61"/>
      <c r="E209" s="67"/>
      <c r="F209" s="61"/>
      <c r="G209" s="61"/>
      <c r="H209" s="61"/>
      <c r="I209" s="61"/>
      <c r="J209" s="61"/>
      <c r="K209" s="61"/>
      <c r="L209" s="61"/>
      <c r="M209" s="61"/>
      <c r="N209" s="61"/>
      <c r="O209" s="61"/>
      <c r="P209" s="61"/>
      <c r="Q209" s="61"/>
      <c r="R209" s="61"/>
      <c r="S209" s="61"/>
      <c r="T209" s="61"/>
    </row>
    <row r="210" spans="1:20" x14ac:dyDescent="0.3">
      <c r="A210" s="50" t="s">
        <v>4516</v>
      </c>
      <c r="B210" s="61">
        <v>10</v>
      </c>
      <c r="C210" s="468">
        <v>142.13999999999999</v>
      </c>
      <c r="D210" s="61"/>
      <c r="E210" s="67"/>
      <c r="F210" s="61"/>
      <c r="G210" s="61"/>
      <c r="H210" s="61"/>
      <c r="I210" s="61"/>
      <c r="J210" s="61"/>
      <c r="K210" s="61"/>
      <c r="L210" s="61"/>
      <c r="M210" s="61"/>
      <c r="N210" s="61"/>
      <c r="O210" s="61"/>
      <c r="P210" s="61"/>
      <c r="Q210" s="61"/>
      <c r="R210" s="61"/>
      <c r="S210" s="61"/>
      <c r="T210" s="61"/>
    </row>
    <row r="211" spans="1:20" x14ac:dyDescent="0.3">
      <c r="A211" s="50" t="s">
        <v>4517</v>
      </c>
      <c r="B211" s="61">
        <v>4</v>
      </c>
      <c r="C211" s="468">
        <v>56.86</v>
      </c>
      <c r="D211" s="61"/>
      <c r="E211" s="67"/>
      <c r="F211" s="61"/>
      <c r="G211" s="61"/>
      <c r="H211" s="61"/>
      <c r="I211" s="61"/>
      <c r="J211" s="61"/>
      <c r="K211" s="61"/>
      <c r="L211" s="61"/>
      <c r="M211" s="61"/>
      <c r="N211" s="61"/>
      <c r="O211" s="61"/>
      <c r="P211" s="61"/>
      <c r="Q211" s="61"/>
      <c r="R211" s="61"/>
      <c r="S211" s="61"/>
      <c r="T211" s="61"/>
    </row>
    <row r="212" spans="1:20" x14ac:dyDescent="0.3">
      <c r="A212" s="50" t="s">
        <v>4518</v>
      </c>
      <c r="B212" s="61">
        <v>2</v>
      </c>
      <c r="C212" s="468">
        <v>27</v>
      </c>
      <c r="D212" s="61"/>
      <c r="E212" s="67"/>
      <c r="F212" s="61"/>
      <c r="G212" s="61"/>
      <c r="H212" s="61"/>
      <c r="I212" s="61"/>
      <c r="J212" s="61"/>
      <c r="K212" s="61"/>
      <c r="L212" s="61"/>
      <c r="M212" s="61"/>
      <c r="N212" s="61"/>
      <c r="O212" s="61"/>
      <c r="P212" s="61"/>
      <c r="Q212" s="61"/>
      <c r="R212" s="61"/>
      <c r="S212" s="61"/>
      <c r="T212" s="61"/>
    </row>
    <row r="213" spans="1:20" x14ac:dyDescent="0.3">
      <c r="A213" s="50" t="s">
        <v>4519</v>
      </c>
      <c r="B213" s="61">
        <v>5</v>
      </c>
      <c r="C213" s="468">
        <v>67</v>
      </c>
      <c r="D213" s="61"/>
      <c r="E213" s="67"/>
      <c r="F213" s="61"/>
      <c r="G213" s="61"/>
      <c r="H213" s="61"/>
      <c r="I213" s="61"/>
      <c r="J213" s="61"/>
      <c r="K213" s="61"/>
      <c r="L213" s="61"/>
      <c r="M213" s="61"/>
      <c r="N213" s="61"/>
      <c r="O213" s="61"/>
      <c r="P213" s="61"/>
      <c r="Q213" s="61"/>
      <c r="R213" s="61"/>
      <c r="S213" s="61"/>
      <c r="T213" s="61"/>
    </row>
    <row r="214" spans="1:20" x14ac:dyDescent="0.3">
      <c r="A214" s="50" t="s">
        <v>4520</v>
      </c>
      <c r="B214" s="61">
        <v>41</v>
      </c>
      <c r="C214" s="468">
        <v>543</v>
      </c>
      <c r="D214" s="61"/>
      <c r="E214" s="67"/>
      <c r="F214" s="61"/>
      <c r="G214" s="61"/>
      <c r="H214" s="61"/>
      <c r="I214" s="61"/>
      <c r="J214" s="61"/>
      <c r="K214" s="61"/>
      <c r="L214" s="61"/>
      <c r="M214" s="61"/>
      <c r="N214" s="61"/>
      <c r="O214" s="61"/>
      <c r="P214" s="61"/>
      <c r="Q214" s="61"/>
      <c r="R214" s="61"/>
      <c r="S214" s="61"/>
      <c r="T214" s="61"/>
    </row>
    <row r="215" spans="1:20" x14ac:dyDescent="0.3">
      <c r="A215" s="50" t="s">
        <v>4521</v>
      </c>
      <c r="B215" s="61">
        <v>15</v>
      </c>
      <c r="C215" s="468">
        <v>208.12</v>
      </c>
      <c r="D215" s="61"/>
      <c r="E215" s="67"/>
      <c r="F215" s="61"/>
      <c r="G215" s="61"/>
      <c r="H215" s="61"/>
      <c r="I215" s="61"/>
      <c r="J215" s="61"/>
      <c r="K215" s="61"/>
      <c r="L215" s="61"/>
      <c r="M215" s="61"/>
      <c r="N215" s="61"/>
      <c r="O215" s="61"/>
      <c r="P215" s="61"/>
      <c r="Q215" s="61"/>
      <c r="R215" s="61"/>
      <c r="S215" s="61"/>
      <c r="T215" s="61"/>
    </row>
    <row r="216" spans="1:20" x14ac:dyDescent="0.3">
      <c r="A216" s="50" t="s">
        <v>4522</v>
      </c>
      <c r="B216" s="61">
        <v>20</v>
      </c>
      <c r="C216" s="468">
        <v>311.05</v>
      </c>
      <c r="D216" s="61"/>
      <c r="E216" s="67"/>
      <c r="F216" s="61"/>
      <c r="G216" s="61"/>
      <c r="H216" s="61"/>
      <c r="I216" s="61"/>
      <c r="J216" s="61"/>
      <c r="K216" s="61"/>
      <c r="L216" s="61"/>
      <c r="M216" s="61"/>
      <c r="N216" s="61"/>
      <c r="O216" s="61"/>
      <c r="P216" s="61"/>
      <c r="Q216" s="61"/>
      <c r="R216" s="61"/>
      <c r="S216" s="61"/>
      <c r="T216" s="61"/>
    </row>
    <row r="217" spans="1:20" x14ac:dyDescent="0.3">
      <c r="A217" s="50" t="s">
        <v>4523</v>
      </c>
      <c r="B217" s="61">
        <v>96</v>
      </c>
      <c r="C217" s="468">
        <v>1373</v>
      </c>
      <c r="D217" s="61"/>
      <c r="E217" s="67"/>
      <c r="F217" s="61"/>
      <c r="G217" s="61"/>
      <c r="H217" s="61"/>
      <c r="I217" s="61"/>
      <c r="J217" s="61"/>
      <c r="K217" s="61"/>
      <c r="L217" s="61"/>
      <c r="M217" s="61"/>
      <c r="N217" s="61"/>
      <c r="O217" s="61"/>
      <c r="P217" s="61"/>
      <c r="Q217" s="61"/>
      <c r="R217" s="61"/>
      <c r="S217" s="61"/>
      <c r="T217" s="61"/>
    </row>
    <row r="218" spans="1:20" x14ac:dyDescent="0.3">
      <c r="A218" s="50" t="s">
        <v>4524</v>
      </c>
      <c r="B218" s="61">
        <v>10</v>
      </c>
      <c r="C218" s="468">
        <v>171</v>
      </c>
      <c r="D218" s="61"/>
      <c r="E218" s="67"/>
      <c r="F218" s="61"/>
      <c r="G218" s="61"/>
      <c r="H218" s="61"/>
      <c r="I218" s="61"/>
      <c r="J218" s="61"/>
      <c r="K218" s="61"/>
      <c r="L218" s="61"/>
      <c r="M218" s="61"/>
      <c r="N218" s="61"/>
      <c r="O218" s="61"/>
      <c r="P218" s="61"/>
      <c r="Q218" s="61"/>
      <c r="R218" s="61"/>
      <c r="S218" s="61"/>
      <c r="T218" s="61"/>
    </row>
    <row r="219" spans="1:20" x14ac:dyDescent="0.3">
      <c r="A219" s="50" t="s">
        <v>4525</v>
      </c>
      <c r="B219" s="61">
        <v>17</v>
      </c>
      <c r="C219" s="468">
        <v>281</v>
      </c>
      <c r="D219" s="61"/>
      <c r="E219" s="67"/>
      <c r="F219" s="61"/>
      <c r="G219" s="61"/>
      <c r="H219" s="61"/>
      <c r="I219" s="61"/>
      <c r="J219" s="61"/>
      <c r="K219" s="61"/>
      <c r="L219" s="61"/>
      <c r="M219" s="61"/>
      <c r="N219" s="61"/>
      <c r="O219" s="61"/>
      <c r="P219" s="61"/>
      <c r="Q219" s="61"/>
      <c r="R219" s="61"/>
      <c r="S219" s="61"/>
      <c r="T219" s="61"/>
    </row>
    <row r="220" spans="1:20" x14ac:dyDescent="0.3">
      <c r="A220" s="50" t="s">
        <v>4527</v>
      </c>
      <c r="B220" s="61">
        <v>17</v>
      </c>
      <c r="C220" s="468">
        <v>280</v>
      </c>
      <c r="D220" s="61"/>
      <c r="E220" s="67"/>
      <c r="F220" s="61"/>
      <c r="G220" s="61"/>
      <c r="H220" s="61"/>
      <c r="I220" s="61"/>
      <c r="J220" s="61"/>
      <c r="K220" s="61"/>
      <c r="L220" s="61"/>
      <c r="M220" s="61"/>
      <c r="N220" s="61"/>
      <c r="O220" s="61"/>
      <c r="P220" s="61"/>
      <c r="Q220" s="61"/>
      <c r="R220" s="61"/>
      <c r="S220" s="61"/>
      <c r="T220" s="61"/>
    </row>
    <row r="221" spans="1:20" x14ac:dyDescent="0.3">
      <c r="A221" s="50" t="s">
        <v>4529</v>
      </c>
      <c r="B221" s="61">
        <v>7</v>
      </c>
      <c r="C221" s="468">
        <v>141</v>
      </c>
      <c r="D221" s="61"/>
      <c r="E221" s="67"/>
      <c r="F221" s="61"/>
      <c r="G221" s="61"/>
      <c r="H221" s="61"/>
      <c r="I221" s="61"/>
      <c r="J221" s="61"/>
      <c r="K221" s="61"/>
      <c r="L221" s="61"/>
      <c r="M221" s="61"/>
      <c r="N221" s="61"/>
      <c r="O221" s="61"/>
      <c r="P221" s="61"/>
      <c r="Q221" s="61"/>
      <c r="R221" s="61"/>
      <c r="S221" s="61"/>
      <c r="T221" s="61"/>
    </row>
    <row r="222" spans="1:20" x14ac:dyDescent="0.3">
      <c r="A222" s="50" t="s">
        <v>4530</v>
      </c>
      <c r="B222" s="61">
        <v>25</v>
      </c>
      <c r="C222" s="468">
        <v>1</v>
      </c>
      <c r="D222" s="61"/>
      <c r="E222" s="67"/>
      <c r="F222" s="61"/>
      <c r="G222" s="61"/>
      <c r="H222" s="61"/>
      <c r="I222" s="61"/>
      <c r="J222" s="61"/>
      <c r="K222" s="61"/>
      <c r="L222" s="61"/>
      <c r="M222" s="61"/>
      <c r="N222" s="61"/>
      <c r="O222" s="61"/>
      <c r="P222" s="61"/>
      <c r="Q222" s="61"/>
      <c r="R222" s="61"/>
      <c r="S222" s="61"/>
      <c r="T222" s="61"/>
    </row>
    <row r="223" spans="1:20" x14ac:dyDescent="0.3">
      <c r="A223" s="50" t="s">
        <v>4531</v>
      </c>
      <c r="B223" s="61">
        <v>15</v>
      </c>
      <c r="C223" s="468">
        <v>1</v>
      </c>
      <c r="D223" s="61"/>
      <c r="E223" s="67"/>
      <c r="F223" s="61"/>
      <c r="G223" s="61"/>
      <c r="H223" s="61"/>
      <c r="I223" s="61"/>
      <c r="J223" s="61"/>
      <c r="K223" s="61"/>
      <c r="L223" s="61"/>
      <c r="M223" s="61"/>
      <c r="N223" s="61"/>
      <c r="O223" s="61"/>
      <c r="P223" s="61"/>
      <c r="Q223" s="61"/>
      <c r="R223" s="61"/>
      <c r="S223" s="61"/>
      <c r="T223" s="61"/>
    </row>
    <row r="224" spans="1:20" x14ac:dyDescent="0.3">
      <c r="A224" s="50" t="s">
        <v>4555</v>
      </c>
      <c r="B224" s="61">
        <v>10</v>
      </c>
      <c r="C224" s="468">
        <v>178</v>
      </c>
      <c r="D224" s="61"/>
      <c r="E224" s="67"/>
      <c r="F224" s="61"/>
      <c r="G224" s="61"/>
      <c r="H224" s="61"/>
      <c r="I224" s="61"/>
      <c r="J224" s="61"/>
      <c r="K224" s="61"/>
      <c r="L224" s="61"/>
      <c r="M224" s="61"/>
      <c r="N224" s="61"/>
      <c r="O224" s="61"/>
      <c r="P224" s="61"/>
      <c r="Q224" s="61"/>
      <c r="R224" s="61"/>
      <c r="S224" s="61"/>
      <c r="T224" s="61"/>
    </row>
    <row r="225" spans="1:20" x14ac:dyDescent="0.3">
      <c r="A225" s="50" t="s">
        <v>4557</v>
      </c>
      <c r="B225" s="61">
        <v>10</v>
      </c>
      <c r="C225" s="468">
        <v>178</v>
      </c>
      <c r="D225" s="61"/>
      <c r="E225" s="67"/>
      <c r="F225" s="61"/>
      <c r="G225" s="61"/>
      <c r="H225" s="61"/>
      <c r="I225" s="61"/>
      <c r="J225" s="61"/>
      <c r="K225" s="61"/>
      <c r="L225" s="61"/>
      <c r="M225" s="61"/>
      <c r="N225" s="61"/>
      <c r="O225" s="61"/>
      <c r="P225" s="61"/>
      <c r="Q225" s="61"/>
      <c r="R225" s="61"/>
      <c r="S225" s="61"/>
      <c r="T225" s="61"/>
    </row>
    <row r="226" spans="1:20" x14ac:dyDescent="0.3">
      <c r="A226" s="50" t="s">
        <v>4558</v>
      </c>
      <c r="B226" s="61">
        <v>70</v>
      </c>
      <c r="C226" s="468">
        <v>975</v>
      </c>
      <c r="D226" s="61"/>
      <c r="E226" s="67"/>
      <c r="F226" s="61"/>
      <c r="G226" s="61"/>
      <c r="H226" s="61"/>
      <c r="I226" s="61"/>
      <c r="J226" s="61"/>
      <c r="K226" s="61"/>
      <c r="L226" s="61"/>
      <c r="M226" s="61"/>
      <c r="N226" s="61"/>
      <c r="O226" s="61"/>
      <c r="P226" s="61"/>
      <c r="Q226" s="61"/>
      <c r="R226" s="61"/>
      <c r="S226" s="61"/>
      <c r="T226" s="61"/>
    </row>
    <row r="227" spans="1:20" x14ac:dyDescent="0.3">
      <c r="A227" s="50" t="s">
        <v>4533</v>
      </c>
      <c r="B227" s="61">
        <v>3</v>
      </c>
      <c r="C227" s="468">
        <v>38</v>
      </c>
      <c r="D227" s="61"/>
      <c r="E227" s="67"/>
      <c r="F227" s="61"/>
      <c r="G227" s="61"/>
      <c r="H227" s="61"/>
      <c r="I227" s="61"/>
      <c r="J227" s="61"/>
      <c r="K227" s="61"/>
      <c r="L227" s="61"/>
      <c r="M227" s="61"/>
      <c r="N227" s="61"/>
      <c r="O227" s="61"/>
      <c r="P227" s="61"/>
      <c r="Q227" s="61"/>
      <c r="R227" s="61"/>
      <c r="S227" s="61"/>
      <c r="T227" s="61"/>
    </row>
    <row r="228" spans="1:20" x14ac:dyDescent="0.3">
      <c r="A228" s="50" t="s">
        <v>4560</v>
      </c>
      <c r="B228" s="61">
        <v>25</v>
      </c>
      <c r="C228" s="468">
        <v>344</v>
      </c>
      <c r="D228" s="61"/>
      <c r="E228" s="67"/>
      <c r="F228" s="61"/>
      <c r="G228" s="61"/>
      <c r="H228" s="61"/>
      <c r="I228" s="61"/>
      <c r="J228" s="61"/>
      <c r="K228" s="61"/>
      <c r="L228" s="61"/>
      <c r="M228" s="61"/>
      <c r="N228" s="61"/>
      <c r="O228" s="61"/>
      <c r="P228" s="61"/>
      <c r="Q228" s="61"/>
      <c r="R228" s="61"/>
      <c r="S228" s="61"/>
      <c r="T228" s="61"/>
    </row>
    <row r="229" spans="1:20" x14ac:dyDescent="0.3">
      <c r="A229" s="50" t="s">
        <v>4561</v>
      </c>
      <c r="B229" s="61">
        <v>10</v>
      </c>
      <c r="C229" s="468">
        <v>158.33000000000001</v>
      </c>
      <c r="D229" s="61"/>
      <c r="E229" s="67"/>
      <c r="F229" s="61"/>
      <c r="G229" s="61"/>
      <c r="H229" s="61"/>
      <c r="I229" s="61"/>
      <c r="J229" s="61"/>
      <c r="K229" s="61"/>
      <c r="L229" s="61"/>
      <c r="M229" s="61"/>
      <c r="N229" s="61"/>
      <c r="O229" s="61"/>
      <c r="P229" s="61"/>
      <c r="Q229" s="61"/>
      <c r="R229" s="61"/>
      <c r="S229" s="61"/>
      <c r="T229" s="61"/>
    </row>
    <row r="230" spans="1:20" x14ac:dyDescent="0.3">
      <c r="A230" s="50" t="s">
        <v>4562</v>
      </c>
      <c r="B230" s="61">
        <v>18</v>
      </c>
      <c r="C230" s="468">
        <v>267</v>
      </c>
      <c r="D230" s="61"/>
      <c r="E230" s="67"/>
      <c r="F230" s="61"/>
      <c r="G230" s="61"/>
      <c r="H230" s="61"/>
      <c r="I230" s="61"/>
      <c r="J230" s="61"/>
      <c r="K230" s="61"/>
      <c r="L230" s="61"/>
      <c r="M230" s="61"/>
      <c r="N230" s="61"/>
      <c r="O230" s="61"/>
      <c r="P230" s="61"/>
      <c r="Q230" s="61"/>
      <c r="R230" s="61"/>
      <c r="S230" s="61"/>
      <c r="T230" s="61"/>
    </row>
    <row r="231" spans="1:20" x14ac:dyDescent="0.3">
      <c r="A231" s="50" t="s">
        <v>4563</v>
      </c>
      <c r="B231" s="61">
        <v>8</v>
      </c>
      <c r="C231" s="468">
        <v>126.67</v>
      </c>
      <c r="D231" s="61"/>
      <c r="E231" s="67"/>
      <c r="F231" s="61"/>
      <c r="G231" s="61"/>
      <c r="H231" s="61"/>
      <c r="I231" s="61"/>
      <c r="J231" s="61"/>
      <c r="K231" s="61"/>
      <c r="L231" s="61"/>
      <c r="M231" s="61"/>
      <c r="N231" s="61"/>
      <c r="O231" s="61"/>
      <c r="P231" s="61"/>
      <c r="Q231" s="61"/>
      <c r="R231" s="61"/>
      <c r="S231" s="61"/>
      <c r="T231" s="61"/>
    </row>
    <row r="232" spans="1:20" x14ac:dyDescent="0.3">
      <c r="A232" s="50" t="s">
        <v>4565</v>
      </c>
      <c r="B232" s="61">
        <v>128</v>
      </c>
      <c r="C232" s="468">
        <v>2202</v>
      </c>
      <c r="D232" s="61"/>
      <c r="E232" s="67"/>
      <c r="F232" s="61"/>
      <c r="G232" s="61"/>
      <c r="H232" s="61"/>
      <c r="I232" s="61"/>
      <c r="J232" s="61"/>
      <c r="K232" s="61"/>
      <c r="L232" s="61"/>
      <c r="M232" s="61"/>
      <c r="N232" s="61"/>
      <c r="O232" s="61"/>
      <c r="P232" s="61"/>
      <c r="Q232" s="61"/>
      <c r="R232" s="61"/>
      <c r="S232" s="61"/>
      <c r="T232" s="61"/>
    </row>
    <row r="233" spans="1:20" x14ac:dyDescent="0.3">
      <c r="A233" s="50" t="s">
        <v>4567</v>
      </c>
      <c r="B233" s="61">
        <v>57</v>
      </c>
      <c r="C233" s="468">
        <v>973.99999999999989</v>
      </c>
      <c r="D233" s="61"/>
      <c r="E233" s="67"/>
      <c r="F233" s="61"/>
      <c r="G233" s="61"/>
      <c r="H233" s="61"/>
      <c r="I233" s="61"/>
      <c r="J233" s="61"/>
      <c r="K233" s="61"/>
      <c r="L233" s="61"/>
      <c r="M233" s="61"/>
      <c r="N233" s="61"/>
      <c r="O233" s="61"/>
      <c r="P233" s="61"/>
      <c r="Q233" s="61"/>
      <c r="R233" s="61"/>
      <c r="S233" s="61"/>
      <c r="T233" s="61"/>
    </row>
    <row r="234" spans="1:20" x14ac:dyDescent="0.3">
      <c r="A234" s="50" t="s">
        <v>4569</v>
      </c>
      <c r="B234" s="61">
        <v>53</v>
      </c>
      <c r="C234" s="468">
        <v>760</v>
      </c>
      <c r="D234" s="61"/>
      <c r="E234" s="67"/>
      <c r="F234" s="61"/>
      <c r="G234" s="61"/>
      <c r="H234" s="61"/>
      <c r="I234" s="61"/>
      <c r="J234" s="61"/>
      <c r="K234" s="61"/>
      <c r="L234" s="61"/>
      <c r="M234" s="61"/>
      <c r="N234" s="61"/>
      <c r="O234" s="61"/>
      <c r="P234" s="61"/>
      <c r="Q234" s="61"/>
      <c r="R234" s="61"/>
      <c r="S234" s="61"/>
      <c r="T234" s="61"/>
    </row>
    <row r="235" spans="1:20" x14ac:dyDescent="0.3">
      <c r="A235" s="50" t="s">
        <v>4570</v>
      </c>
      <c r="B235" s="61">
        <v>5</v>
      </c>
      <c r="C235" s="468">
        <v>113</v>
      </c>
      <c r="D235" s="61"/>
      <c r="E235" s="67"/>
      <c r="F235" s="61"/>
      <c r="G235" s="61"/>
      <c r="H235" s="61"/>
      <c r="I235" s="61"/>
      <c r="J235" s="61"/>
      <c r="K235" s="61"/>
      <c r="L235" s="61"/>
      <c r="M235" s="61"/>
      <c r="N235" s="61"/>
      <c r="O235" s="61"/>
      <c r="P235" s="61"/>
      <c r="Q235" s="61"/>
      <c r="R235" s="61"/>
      <c r="S235" s="61"/>
      <c r="T235" s="61"/>
    </row>
    <row r="236" spans="1:20" x14ac:dyDescent="0.3">
      <c r="A236" s="50" t="s">
        <v>4572</v>
      </c>
      <c r="B236" s="61">
        <v>15</v>
      </c>
      <c r="C236" s="468">
        <v>358</v>
      </c>
      <c r="D236" s="61"/>
      <c r="E236" s="67"/>
      <c r="F236" s="61"/>
      <c r="G236" s="61"/>
      <c r="H236" s="61"/>
      <c r="I236" s="61"/>
      <c r="J236" s="61"/>
      <c r="K236" s="61"/>
      <c r="L236" s="61"/>
      <c r="M236" s="61"/>
      <c r="N236" s="61"/>
      <c r="O236" s="61"/>
      <c r="P236" s="61"/>
      <c r="Q236" s="61"/>
      <c r="R236" s="61"/>
      <c r="S236" s="61"/>
      <c r="T236" s="61"/>
    </row>
    <row r="237" spans="1:20" x14ac:dyDescent="0.3">
      <c r="A237" s="50" t="s">
        <v>4601</v>
      </c>
      <c r="B237" s="61">
        <v>12</v>
      </c>
      <c r="C237" s="468">
        <v>0.99999999999999989</v>
      </c>
      <c r="D237" s="61"/>
      <c r="E237" s="67"/>
      <c r="F237" s="61"/>
      <c r="G237" s="61"/>
      <c r="H237" s="61"/>
      <c r="I237" s="61"/>
      <c r="J237" s="61"/>
      <c r="K237" s="61"/>
      <c r="L237" s="61"/>
      <c r="M237" s="61"/>
      <c r="N237" s="61"/>
      <c r="O237" s="61"/>
      <c r="P237" s="61"/>
      <c r="Q237" s="61"/>
      <c r="R237" s="61"/>
      <c r="S237" s="61"/>
      <c r="T237" s="61"/>
    </row>
    <row r="238" spans="1:20" x14ac:dyDescent="0.3">
      <c r="A238" s="50" t="s">
        <v>4602</v>
      </c>
      <c r="B238" s="61">
        <v>22</v>
      </c>
      <c r="C238" s="468">
        <v>1.0900000000000001</v>
      </c>
      <c r="D238" s="61"/>
      <c r="E238" s="61"/>
      <c r="F238" s="61"/>
      <c r="G238" s="61"/>
      <c r="H238" s="61"/>
      <c r="I238" s="61"/>
      <c r="J238" s="61"/>
      <c r="K238" s="61"/>
      <c r="L238" s="61"/>
      <c r="M238" s="61"/>
      <c r="N238" s="61"/>
      <c r="O238" s="61"/>
      <c r="P238" s="61"/>
      <c r="Q238" s="61"/>
      <c r="R238" s="61"/>
      <c r="S238" s="61"/>
      <c r="T238" s="61"/>
    </row>
    <row r="239" spans="1:20" x14ac:dyDescent="0.3">
      <c r="A239" s="50" t="s">
        <v>4603</v>
      </c>
      <c r="B239" s="61">
        <v>74</v>
      </c>
      <c r="C239" s="468">
        <v>1069.44</v>
      </c>
      <c r="D239" s="61"/>
      <c r="E239" s="61"/>
      <c r="F239" s="61"/>
      <c r="G239" s="61"/>
      <c r="H239" s="61"/>
      <c r="I239" s="61"/>
      <c r="J239" s="61"/>
      <c r="K239" s="61"/>
      <c r="L239" s="61"/>
      <c r="M239" s="61"/>
      <c r="N239" s="61"/>
      <c r="O239" s="61"/>
      <c r="P239" s="61"/>
      <c r="Q239" s="61"/>
      <c r="R239" s="61"/>
      <c r="S239" s="61"/>
      <c r="T239" s="61"/>
    </row>
    <row r="240" spans="1:20" x14ac:dyDescent="0.3">
      <c r="A240" s="50" t="s">
        <v>4604</v>
      </c>
      <c r="B240" s="61">
        <v>15</v>
      </c>
      <c r="C240" s="468">
        <v>216.78</v>
      </c>
      <c r="D240" s="61"/>
      <c r="E240" s="61"/>
      <c r="F240" s="61"/>
      <c r="G240" s="61"/>
      <c r="H240" s="61"/>
      <c r="I240" s="61"/>
      <c r="J240" s="61"/>
      <c r="K240" s="61"/>
      <c r="L240" s="61"/>
      <c r="M240" s="61"/>
      <c r="N240" s="61"/>
      <c r="O240" s="61"/>
      <c r="P240" s="61"/>
      <c r="Q240" s="61"/>
      <c r="R240" s="61"/>
      <c r="S240" s="61"/>
      <c r="T240" s="61"/>
    </row>
    <row r="241" spans="1:20" x14ac:dyDescent="0.3">
      <c r="A241" s="50" t="s">
        <v>4593</v>
      </c>
      <c r="B241" s="61">
        <v>26</v>
      </c>
      <c r="C241" s="468">
        <v>343.72999999999996</v>
      </c>
      <c r="D241" s="61"/>
      <c r="E241" s="61"/>
      <c r="F241" s="61"/>
      <c r="G241" s="61"/>
      <c r="H241" s="61"/>
      <c r="I241" s="61"/>
      <c r="J241" s="61"/>
      <c r="K241" s="61"/>
      <c r="L241" s="61"/>
      <c r="M241" s="61"/>
      <c r="N241" s="61"/>
      <c r="O241" s="61"/>
      <c r="P241" s="61"/>
      <c r="Q241" s="61"/>
      <c r="R241" s="61"/>
      <c r="S241" s="61"/>
      <c r="T241" s="61"/>
    </row>
    <row r="242" spans="1:20" x14ac:dyDescent="0.3">
      <c r="A242" s="50" t="s">
        <v>4605</v>
      </c>
      <c r="B242" s="61">
        <v>3</v>
      </c>
      <c r="C242" s="468">
        <v>39.659999999999997</v>
      </c>
      <c r="D242" s="61"/>
      <c r="E242" s="61"/>
      <c r="F242" s="61"/>
      <c r="G242" s="61"/>
      <c r="H242" s="61"/>
      <c r="I242" s="61"/>
      <c r="J242" s="61"/>
      <c r="K242" s="61"/>
      <c r="L242" s="61"/>
      <c r="M242" s="61"/>
      <c r="N242" s="61"/>
      <c r="O242" s="61"/>
      <c r="P242" s="61"/>
      <c r="Q242" s="61"/>
      <c r="R242" s="61"/>
      <c r="S242" s="61"/>
      <c r="T242" s="61"/>
    </row>
    <row r="243" spans="1:20" x14ac:dyDescent="0.3">
      <c r="A243" s="50" t="s">
        <v>4606</v>
      </c>
      <c r="B243" s="61">
        <v>15</v>
      </c>
      <c r="C243" s="468">
        <v>216.78000000000003</v>
      </c>
      <c r="D243" s="61"/>
      <c r="E243" s="61"/>
      <c r="F243" s="61"/>
      <c r="G243" s="61"/>
      <c r="H243" s="61"/>
      <c r="I243" s="61"/>
      <c r="J243" s="61"/>
      <c r="K243" s="61"/>
      <c r="L243" s="61"/>
      <c r="M243" s="61"/>
      <c r="N243" s="61"/>
      <c r="O243" s="61"/>
      <c r="P243" s="61"/>
      <c r="Q243" s="61"/>
      <c r="R243" s="61"/>
      <c r="S243" s="61"/>
      <c r="T243" s="61"/>
    </row>
    <row r="244" spans="1:20" x14ac:dyDescent="0.3">
      <c r="A244" s="50" t="s">
        <v>4607</v>
      </c>
      <c r="B244" s="61">
        <v>30</v>
      </c>
      <c r="C244" s="468">
        <v>396.61</v>
      </c>
      <c r="D244" s="61"/>
      <c r="E244" s="61"/>
      <c r="F244" s="61"/>
      <c r="G244" s="61"/>
      <c r="H244" s="61"/>
      <c r="I244" s="61"/>
      <c r="J244" s="61"/>
      <c r="K244" s="61"/>
      <c r="L244" s="61"/>
      <c r="M244" s="61"/>
      <c r="N244" s="61"/>
      <c r="O244" s="61"/>
      <c r="P244" s="61"/>
      <c r="Q244" s="61"/>
      <c r="R244" s="61"/>
      <c r="S244" s="61"/>
      <c r="T244" s="61"/>
    </row>
    <row r="245" spans="1:20" x14ac:dyDescent="0.3">
      <c r="A245" s="50" t="s">
        <v>4608</v>
      </c>
      <c r="B245" s="61">
        <v>70</v>
      </c>
      <c r="C245" s="468">
        <v>1158.82</v>
      </c>
      <c r="D245" s="61"/>
      <c r="E245" s="61"/>
      <c r="F245" s="61"/>
      <c r="G245" s="61"/>
      <c r="H245" s="61"/>
      <c r="I245" s="61"/>
      <c r="J245" s="61"/>
      <c r="K245" s="61"/>
      <c r="L245" s="61"/>
      <c r="M245" s="61"/>
      <c r="N245" s="61"/>
      <c r="O245" s="61"/>
      <c r="P245" s="61"/>
      <c r="Q245" s="61"/>
      <c r="R245" s="61"/>
      <c r="S245" s="61"/>
      <c r="T245" s="61"/>
    </row>
    <row r="246" spans="1:20" x14ac:dyDescent="0.3">
      <c r="A246" s="50" t="s">
        <v>4610</v>
      </c>
      <c r="B246" s="61">
        <v>40</v>
      </c>
      <c r="C246" s="468">
        <v>662.17999999999984</v>
      </c>
      <c r="D246" s="61"/>
      <c r="E246" s="61"/>
      <c r="F246" s="61"/>
      <c r="G246" s="61"/>
      <c r="H246" s="61"/>
      <c r="I246" s="61"/>
      <c r="J246" s="61"/>
      <c r="K246" s="61"/>
      <c r="L246" s="61"/>
      <c r="M246" s="61"/>
      <c r="N246" s="61"/>
      <c r="O246" s="61"/>
      <c r="P246" s="61"/>
      <c r="Q246" s="61"/>
      <c r="R246" s="61"/>
      <c r="S246" s="61"/>
      <c r="T246" s="61"/>
    </row>
    <row r="247" spans="1:20" x14ac:dyDescent="0.3">
      <c r="A247" s="50" t="s">
        <v>4612</v>
      </c>
      <c r="B247" s="61">
        <v>67</v>
      </c>
      <c r="C247" s="468">
        <v>959</v>
      </c>
      <c r="D247" s="61"/>
      <c r="E247" s="61"/>
      <c r="F247" s="61"/>
      <c r="G247" s="61"/>
      <c r="H247" s="61"/>
      <c r="I247" s="61"/>
      <c r="J247" s="61"/>
      <c r="K247" s="61"/>
      <c r="L247" s="61"/>
      <c r="M247" s="61"/>
      <c r="N247" s="61"/>
      <c r="O247" s="61"/>
      <c r="P247" s="61"/>
      <c r="Q247" s="61"/>
      <c r="R247" s="61"/>
      <c r="S247" s="61"/>
      <c r="T247" s="61"/>
    </row>
    <row r="248" spans="1:20" x14ac:dyDescent="0.3">
      <c r="A248" s="50" t="s">
        <v>4594</v>
      </c>
      <c r="B248" s="61">
        <v>30</v>
      </c>
      <c r="C248" s="468">
        <v>1.29</v>
      </c>
      <c r="D248" s="61"/>
      <c r="E248" s="61"/>
      <c r="F248" s="61"/>
      <c r="G248" s="61"/>
      <c r="H248" s="61"/>
      <c r="I248" s="61"/>
      <c r="J248" s="61"/>
      <c r="K248" s="61"/>
      <c r="L248" s="61"/>
      <c r="M248" s="61"/>
      <c r="N248" s="61"/>
      <c r="O248" s="61"/>
      <c r="P248" s="61"/>
      <c r="Q248" s="61"/>
      <c r="R248" s="61"/>
      <c r="S248" s="61"/>
      <c r="T248" s="61"/>
    </row>
    <row r="249" spans="1:20" x14ac:dyDescent="0.3">
      <c r="A249" s="50" t="s">
        <v>4614</v>
      </c>
      <c r="B249" s="61">
        <v>20</v>
      </c>
      <c r="C249" s="468">
        <v>1</v>
      </c>
      <c r="D249" s="61"/>
      <c r="E249" s="61"/>
      <c r="F249" s="61"/>
      <c r="G249" s="61"/>
      <c r="H249" s="61"/>
      <c r="I249" s="61"/>
      <c r="J249" s="61"/>
      <c r="K249" s="61"/>
      <c r="L249" s="61"/>
      <c r="M249" s="61"/>
      <c r="N249" s="61"/>
      <c r="O249" s="61"/>
      <c r="P249" s="61"/>
      <c r="Q249" s="61"/>
      <c r="R249" s="61"/>
      <c r="S249" s="61"/>
      <c r="T249" s="61"/>
    </row>
    <row r="250" spans="1:20" x14ac:dyDescent="0.3">
      <c r="A250" s="50" t="s">
        <v>4615</v>
      </c>
      <c r="B250" s="61">
        <v>13</v>
      </c>
      <c r="C250" s="468">
        <v>180</v>
      </c>
      <c r="D250" s="61"/>
      <c r="E250" s="61"/>
      <c r="F250" s="61"/>
      <c r="G250" s="61"/>
      <c r="H250" s="61"/>
      <c r="I250" s="61"/>
      <c r="J250" s="61"/>
      <c r="K250" s="61"/>
      <c r="L250" s="61"/>
      <c r="M250" s="61"/>
      <c r="N250" s="61"/>
      <c r="O250" s="61"/>
      <c r="P250" s="61"/>
      <c r="Q250" s="61"/>
      <c r="R250" s="61"/>
      <c r="S250" s="61"/>
      <c r="T250" s="61"/>
    </row>
    <row r="251" spans="1:20" x14ac:dyDescent="0.3">
      <c r="A251" s="50" t="s">
        <v>4617</v>
      </c>
      <c r="B251" s="61">
        <v>20</v>
      </c>
      <c r="C251" s="468">
        <v>298.64</v>
      </c>
      <c r="D251" s="61"/>
      <c r="E251" s="61"/>
      <c r="F251" s="61"/>
      <c r="G251" s="61"/>
      <c r="H251" s="61"/>
      <c r="I251" s="61"/>
      <c r="J251" s="61"/>
      <c r="K251" s="61"/>
      <c r="L251" s="61"/>
      <c r="M251" s="61"/>
      <c r="N251" s="61"/>
      <c r="O251" s="61"/>
      <c r="P251" s="61"/>
      <c r="Q251" s="61"/>
      <c r="R251" s="61"/>
      <c r="S251" s="61"/>
      <c r="T251" s="61"/>
    </row>
    <row r="252" spans="1:20" x14ac:dyDescent="0.3">
      <c r="A252" s="50" t="s">
        <v>4618</v>
      </c>
      <c r="B252" s="61">
        <v>24</v>
      </c>
      <c r="C252" s="468">
        <v>358.36</v>
      </c>
      <c r="D252" s="61"/>
      <c r="E252" s="61"/>
      <c r="F252" s="61"/>
      <c r="G252" s="61"/>
      <c r="H252" s="61"/>
      <c r="I252" s="61"/>
      <c r="J252" s="61"/>
      <c r="K252" s="61"/>
      <c r="L252" s="61"/>
      <c r="M252" s="61"/>
      <c r="N252" s="61"/>
      <c r="O252" s="61"/>
      <c r="P252" s="61"/>
      <c r="Q252" s="61"/>
      <c r="R252" s="61"/>
      <c r="S252" s="61"/>
      <c r="T252" s="61"/>
    </row>
    <row r="253" spans="1:20" x14ac:dyDescent="0.3">
      <c r="A253" s="50" t="s">
        <v>4620</v>
      </c>
      <c r="B253" s="61">
        <v>10</v>
      </c>
      <c r="C253" s="468">
        <v>158</v>
      </c>
      <c r="D253" s="61"/>
      <c r="E253" s="61"/>
      <c r="F253" s="61"/>
      <c r="G253" s="61"/>
      <c r="H253" s="61"/>
      <c r="I253" s="61"/>
      <c r="J253" s="61"/>
      <c r="K253" s="61"/>
      <c r="L253" s="61"/>
      <c r="M253" s="61"/>
      <c r="N253" s="61"/>
      <c r="O253" s="61"/>
      <c r="P253" s="61"/>
      <c r="Q253" s="61"/>
      <c r="R253" s="61"/>
      <c r="S253" s="61"/>
      <c r="T253" s="61"/>
    </row>
    <row r="254" spans="1:20" x14ac:dyDescent="0.3">
      <c r="A254" s="50" t="s">
        <v>4622</v>
      </c>
      <c r="B254" s="61">
        <v>10</v>
      </c>
      <c r="C254" s="468">
        <v>158</v>
      </c>
      <c r="D254" s="61"/>
      <c r="E254" s="61"/>
      <c r="F254" s="61"/>
      <c r="G254" s="61"/>
      <c r="H254" s="61"/>
      <c r="I254" s="61"/>
      <c r="J254" s="61"/>
      <c r="K254" s="61"/>
      <c r="L254" s="61"/>
      <c r="M254" s="61"/>
      <c r="N254" s="61"/>
      <c r="O254" s="61"/>
      <c r="P254" s="61"/>
      <c r="Q254" s="61"/>
      <c r="R254" s="61"/>
      <c r="S254" s="61"/>
      <c r="T254" s="61"/>
    </row>
    <row r="255" spans="1:20" x14ac:dyDescent="0.3">
      <c r="A255" s="50" t="s">
        <v>4625</v>
      </c>
      <c r="B255" s="61">
        <v>10</v>
      </c>
      <c r="C255" s="468">
        <v>158</v>
      </c>
      <c r="D255" s="61"/>
      <c r="E255" s="61"/>
      <c r="F255" s="61"/>
      <c r="G255" s="61"/>
      <c r="H255" s="61"/>
      <c r="I255" s="61"/>
      <c r="J255" s="61"/>
      <c r="K255" s="61"/>
      <c r="L255" s="61"/>
      <c r="M255" s="61"/>
      <c r="N255" s="61"/>
      <c r="O255" s="61"/>
      <c r="P255" s="61"/>
      <c r="Q255" s="61"/>
      <c r="R255" s="61"/>
      <c r="S255" s="61"/>
      <c r="T255" s="61"/>
    </row>
    <row r="256" spans="1:20" x14ac:dyDescent="0.3">
      <c r="A256" s="50" t="s">
        <v>4627</v>
      </c>
      <c r="B256" s="61">
        <v>10</v>
      </c>
      <c r="C256" s="468">
        <v>158</v>
      </c>
      <c r="D256" s="61"/>
      <c r="E256" s="61"/>
      <c r="F256" s="61"/>
      <c r="G256" s="61"/>
      <c r="H256" s="61"/>
      <c r="I256" s="61"/>
      <c r="J256" s="61"/>
      <c r="K256" s="61"/>
      <c r="L256" s="61"/>
      <c r="M256" s="61"/>
      <c r="N256" s="61"/>
      <c r="O256" s="61"/>
      <c r="P256" s="61"/>
      <c r="Q256" s="61"/>
      <c r="R256" s="61"/>
      <c r="S256" s="61"/>
      <c r="T256" s="61"/>
    </row>
    <row r="257" spans="1:20" x14ac:dyDescent="0.3">
      <c r="A257" s="50" t="s">
        <v>4629</v>
      </c>
      <c r="B257" s="61">
        <v>10</v>
      </c>
      <c r="C257" s="468">
        <v>158</v>
      </c>
      <c r="D257" s="61"/>
      <c r="E257" s="61"/>
      <c r="F257" s="61"/>
      <c r="G257" s="61"/>
      <c r="H257" s="61"/>
      <c r="I257" s="61"/>
      <c r="J257" s="61"/>
      <c r="K257" s="61"/>
      <c r="L257" s="61"/>
      <c r="M257" s="61"/>
      <c r="N257" s="61"/>
      <c r="O257" s="61"/>
      <c r="P257" s="61"/>
      <c r="Q257" s="61"/>
      <c r="R257" s="61"/>
      <c r="S257" s="61"/>
      <c r="T257" s="61"/>
    </row>
    <row r="258" spans="1:20" x14ac:dyDescent="0.3">
      <c r="A258" s="50" t="s">
        <v>4634</v>
      </c>
      <c r="B258" s="61">
        <v>8</v>
      </c>
      <c r="C258" s="468">
        <v>101</v>
      </c>
      <c r="D258" s="61"/>
      <c r="E258" s="67"/>
      <c r="F258" s="61"/>
      <c r="G258" s="61"/>
      <c r="H258" s="61"/>
      <c r="I258" s="61"/>
      <c r="J258" s="61"/>
      <c r="K258" s="61"/>
      <c r="L258" s="61"/>
      <c r="M258" s="61"/>
      <c r="N258" s="61"/>
      <c r="O258" s="61"/>
      <c r="P258" s="61"/>
      <c r="Q258" s="61"/>
      <c r="R258" s="61"/>
      <c r="S258" s="61"/>
      <c r="T258" s="61"/>
    </row>
    <row r="259" spans="1:20" x14ac:dyDescent="0.3">
      <c r="A259" s="50" t="s">
        <v>4636</v>
      </c>
      <c r="B259" s="61">
        <v>10</v>
      </c>
      <c r="C259" s="468">
        <v>139</v>
      </c>
      <c r="D259" s="61"/>
      <c r="E259" s="67"/>
      <c r="F259" s="61"/>
      <c r="G259" s="61"/>
      <c r="H259" s="61"/>
      <c r="I259" s="61"/>
      <c r="J259" s="61"/>
      <c r="K259" s="61"/>
      <c r="L259" s="61"/>
      <c r="M259" s="61"/>
      <c r="N259" s="61"/>
      <c r="O259" s="61"/>
      <c r="P259" s="61"/>
      <c r="Q259" s="61"/>
      <c r="R259" s="61"/>
      <c r="S259" s="61"/>
      <c r="T259" s="61"/>
    </row>
    <row r="260" spans="1:20" x14ac:dyDescent="0.3">
      <c r="A260" s="50" t="s">
        <v>4637</v>
      </c>
      <c r="B260" s="61">
        <v>12</v>
      </c>
      <c r="C260" s="468">
        <v>180</v>
      </c>
      <c r="D260" s="61"/>
      <c r="E260" s="67"/>
      <c r="F260" s="61"/>
      <c r="G260" s="61"/>
      <c r="H260" s="61"/>
      <c r="I260" s="61"/>
      <c r="J260" s="61"/>
      <c r="K260" s="61"/>
      <c r="L260" s="61"/>
      <c r="M260" s="61"/>
      <c r="N260" s="61"/>
      <c r="O260" s="61"/>
      <c r="P260" s="61"/>
      <c r="Q260" s="61"/>
      <c r="R260" s="61"/>
      <c r="S260" s="61"/>
      <c r="T260" s="61"/>
    </row>
    <row r="261" spans="1:20" x14ac:dyDescent="0.3">
      <c r="A261" s="50" t="s">
        <v>4639</v>
      </c>
      <c r="B261" s="61">
        <v>46</v>
      </c>
      <c r="C261" s="468">
        <v>640</v>
      </c>
      <c r="D261" s="61"/>
      <c r="E261" s="67"/>
      <c r="F261" s="61"/>
      <c r="G261" s="61"/>
      <c r="H261" s="61"/>
      <c r="I261" s="61"/>
      <c r="J261" s="61"/>
      <c r="K261" s="61"/>
      <c r="L261" s="61"/>
      <c r="M261" s="61"/>
      <c r="N261" s="61"/>
      <c r="O261" s="61"/>
      <c r="P261" s="61"/>
      <c r="Q261" s="61"/>
      <c r="R261" s="61"/>
      <c r="S261" s="61"/>
      <c r="T261" s="61"/>
    </row>
    <row r="262" spans="1:20" x14ac:dyDescent="0.3">
      <c r="A262" s="50" t="s">
        <v>4640</v>
      </c>
      <c r="B262" s="61">
        <v>38</v>
      </c>
      <c r="C262" s="468">
        <v>598.88</v>
      </c>
      <c r="D262" s="61"/>
      <c r="E262" s="67"/>
      <c r="F262" s="61"/>
      <c r="G262" s="61"/>
      <c r="H262" s="61"/>
      <c r="I262" s="61"/>
      <c r="J262" s="61"/>
      <c r="K262" s="61"/>
      <c r="L262" s="61"/>
      <c r="M262" s="61"/>
      <c r="N262" s="61"/>
      <c r="O262" s="61"/>
      <c r="P262" s="61"/>
      <c r="Q262" s="61"/>
      <c r="R262" s="61"/>
      <c r="S262" s="61"/>
      <c r="T262" s="61"/>
    </row>
    <row r="263" spans="1:20" x14ac:dyDescent="0.3">
      <c r="A263" s="50" t="s">
        <v>4641</v>
      </c>
      <c r="B263" s="61">
        <v>17</v>
      </c>
      <c r="C263" s="468">
        <v>219</v>
      </c>
      <c r="D263" s="61"/>
      <c r="E263" s="67"/>
      <c r="F263" s="61"/>
      <c r="G263" s="61"/>
      <c r="H263" s="61"/>
      <c r="I263" s="61"/>
      <c r="J263" s="61"/>
      <c r="K263" s="61"/>
      <c r="L263" s="61"/>
      <c r="M263" s="61"/>
      <c r="N263" s="61"/>
      <c r="O263" s="61"/>
      <c r="P263" s="61"/>
      <c r="Q263" s="61"/>
      <c r="R263" s="61"/>
      <c r="S263" s="61"/>
      <c r="T263" s="61"/>
    </row>
    <row r="264" spans="1:20" x14ac:dyDescent="0.3">
      <c r="A264" s="50" t="s">
        <v>4642</v>
      </c>
      <c r="B264" s="61">
        <v>12</v>
      </c>
      <c r="C264" s="468">
        <v>189.12</v>
      </c>
      <c r="D264" s="61"/>
      <c r="E264" s="67"/>
      <c r="F264" s="61"/>
      <c r="G264" s="61"/>
      <c r="H264" s="61"/>
      <c r="I264" s="61"/>
      <c r="J264" s="61"/>
      <c r="K264" s="61"/>
      <c r="L264" s="61"/>
      <c r="M264" s="61"/>
      <c r="N264" s="61"/>
      <c r="O264" s="61"/>
      <c r="P264" s="61"/>
      <c r="Q264" s="61"/>
      <c r="R264" s="61"/>
      <c r="S264" s="61"/>
      <c r="T264" s="61"/>
    </row>
    <row r="265" spans="1:20" x14ac:dyDescent="0.3">
      <c r="A265" s="50" t="s">
        <v>4643</v>
      </c>
      <c r="B265" s="61">
        <v>31</v>
      </c>
      <c r="C265" s="468">
        <v>1.9800000000000002</v>
      </c>
      <c r="D265" s="61"/>
      <c r="E265" s="67"/>
      <c r="F265" s="61"/>
      <c r="G265" s="61"/>
      <c r="H265" s="61"/>
      <c r="I265" s="61"/>
      <c r="J265" s="61"/>
      <c r="K265" s="61"/>
      <c r="L265" s="61"/>
      <c r="M265" s="61"/>
      <c r="N265" s="61"/>
      <c r="O265" s="61"/>
      <c r="P265" s="61"/>
      <c r="Q265" s="61"/>
      <c r="R265" s="61"/>
      <c r="S265" s="61"/>
      <c r="T265" s="61"/>
    </row>
    <row r="266" spans="1:20" x14ac:dyDescent="0.3">
      <c r="A266" s="50" t="s">
        <v>4644</v>
      </c>
      <c r="B266" s="61">
        <v>30</v>
      </c>
      <c r="C266" s="468">
        <v>1.33</v>
      </c>
      <c r="D266" s="61"/>
      <c r="E266" s="67"/>
      <c r="F266" s="61"/>
      <c r="G266" s="61"/>
      <c r="H266" s="61"/>
      <c r="I266" s="61"/>
      <c r="J266" s="61"/>
      <c r="K266" s="61"/>
      <c r="L266" s="61"/>
      <c r="M266" s="61"/>
      <c r="N266" s="61"/>
      <c r="O266" s="61"/>
      <c r="P266" s="61"/>
      <c r="Q266" s="61"/>
      <c r="R266" s="61"/>
      <c r="S266" s="61"/>
      <c r="T266" s="61"/>
    </row>
    <row r="267" spans="1:20" x14ac:dyDescent="0.3">
      <c r="A267" s="50" t="s">
        <v>4645</v>
      </c>
      <c r="B267" s="61">
        <v>18</v>
      </c>
      <c r="C267" s="468">
        <v>310</v>
      </c>
      <c r="D267" s="61"/>
      <c r="E267" s="67"/>
      <c r="F267" s="61"/>
      <c r="G267" s="61"/>
      <c r="H267" s="61"/>
      <c r="I267" s="61"/>
      <c r="J267" s="61"/>
      <c r="K267" s="61"/>
      <c r="L267" s="61"/>
      <c r="M267" s="61"/>
      <c r="N267" s="61"/>
      <c r="O267" s="61"/>
      <c r="P267" s="61"/>
      <c r="Q267" s="61"/>
      <c r="R267" s="61"/>
      <c r="S267" s="61"/>
      <c r="T267" s="61"/>
    </row>
    <row r="268" spans="1:20" x14ac:dyDescent="0.3">
      <c r="A268" s="50" t="s">
        <v>4646</v>
      </c>
      <c r="B268" s="61">
        <v>35</v>
      </c>
      <c r="C268" s="468">
        <v>528.8900000000001</v>
      </c>
      <c r="D268" s="61"/>
      <c r="E268" s="67"/>
      <c r="F268" s="61"/>
      <c r="G268" s="61"/>
      <c r="H268" s="61"/>
      <c r="I268" s="61"/>
      <c r="J268" s="61"/>
      <c r="K268" s="61"/>
      <c r="L268" s="61"/>
      <c r="M268" s="61"/>
      <c r="N268" s="61"/>
      <c r="O268" s="61"/>
      <c r="P268" s="61"/>
      <c r="Q268" s="61"/>
      <c r="R268" s="61"/>
      <c r="S268" s="61"/>
      <c r="T268" s="61"/>
    </row>
    <row r="269" spans="1:20" x14ac:dyDescent="0.3">
      <c r="A269" s="50" t="s">
        <v>4647</v>
      </c>
      <c r="B269" s="61">
        <v>10</v>
      </c>
      <c r="C269" s="468">
        <v>151.11000000000001</v>
      </c>
      <c r="D269" s="61"/>
      <c r="E269" s="67"/>
      <c r="F269" s="61"/>
      <c r="G269" s="61"/>
      <c r="H269" s="61"/>
      <c r="I269" s="61"/>
      <c r="J269" s="61"/>
      <c r="K269" s="61"/>
      <c r="L269" s="61"/>
      <c r="M269" s="61"/>
      <c r="N269" s="61"/>
      <c r="O269" s="61"/>
      <c r="P269" s="61"/>
      <c r="Q269" s="61"/>
      <c r="R269" s="61"/>
      <c r="S269" s="61"/>
      <c r="T269" s="61"/>
    </row>
    <row r="270" spans="1:20" x14ac:dyDescent="0.3">
      <c r="A270" s="50" t="s">
        <v>4648</v>
      </c>
      <c r="B270" s="61">
        <v>10</v>
      </c>
      <c r="C270" s="468">
        <v>208</v>
      </c>
      <c r="D270" s="61"/>
      <c r="E270" s="67"/>
      <c r="F270" s="61"/>
      <c r="G270" s="61"/>
      <c r="H270" s="61"/>
      <c r="I270" s="61"/>
      <c r="J270" s="61"/>
      <c r="K270" s="61"/>
      <c r="L270" s="61"/>
      <c r="M270" s="61"/>
      <c r="N270" s="61"/>
      <c r="O270" s="61"/>
      <c r="P270" s="61"/>
      <c r="Q270" s="61"/>
      <c r="R270" s="61"/>
      <c r="S270" s="61"/>
      <c r="T270" s="61"/>
    </row>
    <row r="271" spans="1:20" x14ac:dyDescent="0.3">
      <c r="A271" s="50" t="s">
        <v>4649</v>
      </c>
      <c r="B271" s="61">
        <v>10</v>
      </c>
      <c r="C271" s="468">
        <v>202</v>
      </c>
      <c r="D271" s="61"/>
      <c r="E271" s="67"/>
      <c r="F271" s="61"/>
      <c r="G271" s="61"/>
      <c r="H271" s="61"/>
      <c r="I271" s="61"/>
      <c r="J271" s="61"/>
      <c r="K271" s="61"/>
      <c r="L271" s="61"/>
      <c r="M271" s="61"/>
      <c r="N271" s="61"/>
      <c r="O271" s="61"/>
      <c r="P271" s="61"/>
      <c r="Q271" s="61"/>
      <c r="R271" s="61"/>
      <c r="S271" s="61"/>
      <c r="T271" s="61"/>
    </row>
    <row r="272" spans="1:20" x14ac:dyDescent="0.3">
      <c r="A272" s="50" t="s">
        <v>4650</v>
      </c>
      <c r="B272" s="61">
        <v>47</v>
      </c>
      <c r="C272" s="468">
        <v>1144</v>
      </c>
      <c r="D272" s="61"/>
      <c r="E272" s="67"/>
      <c r="F272" s="61"/>
      <c r="G272" s="61"/>
      <c r="H272" s="61"/>
      <c r="I272" s="61"/>
      <c r="J272" s="61"/>
      <c r="K272" s="61"/>
      <c r="L272" s="61"/>
      <c r="M272" s="61"/>
      <c r="N272" s="61"/>
      <c r="O272" s="61"/>
      <c r="P272" s="61"/>
      <c r="Q272" s="61"/>
      <c r="R272" s="61"/>
      <c r="S272" s="61"/>
      <c r="T272" s="61"/>
    </row>
    <row r="273" spans="1:20" x14ac:dyDescent="0.3">
      <c r="A273" s="50" t="s">
        <v>4652</v>
      </c>
      <c r="B273" s="61">
        <v>17</v>
      </c>
      <c r="C273" s="468">
        <v>273</v>
      </c>
      <c r="D273" s="61"/>
      <c r="E273" s="67"/>
      <c r="F273" s="61"/>
      <c r="G273" s="61"/>
      <c r="H273" s="61"/>
      <c r="I273" s="61"/>
      <c r="J273" s="61"/>
      <c r="K273" s="61"/>
      <c r="L273" s="61"/>
      <c r="M273" s="61"/>
      <c r="N273" s="61"/>
      <c r="O273" s="61"/>
      <c r="P273" s="61"/>
      <c r="Q273" s="61"/>
      <c r="R273" s="61"/>
      <c r="S273" s="61"/>
      <c r="T273" s="61"/>
    </row>
    <row r="274" spans="1:20" x14ac:dyDescent="0.3">
      <c r="A274" s="50" t="s">
        <v>4669</v>
      </c>
      <c r="B274" s="61">
        <v>21</v>
      </c>
      <c r="C274" s="468">
        <v>322</v>
      </c>
      <c r="D274" s="61"/>
      <c r="E274" s="67"/>
      <c r="F274" s="61"/>
      <c r="G274" s="61"/>
      <c r="H274" s="61"/>
      <c r="I274" s="61"/>
      <c r="J274" s="61"/>
      <c r="K274" s="61"/>
      <c r="L274" s="61"/>
      <c r="M274" s="61"/>
      <c r="N274" s="61"/>
      <c r="O274" s="61"/>
      <c r="P274" s="61"/>
      <c r="Q274" s="61"/>
      <c r="R274" s="61"/>
      <c r="S274" s="61"/>
      <c r="T274" s="61"/>
    </row>
    <row r="275" spans="1:20" x14ac:dyDescent="0.3">
      <c r="A275" s="50" t="s">
        <v>4670</v>
      </c>
      <c r="B275" s="61">
        <v>46</v>
      </c>
      <c r="C275" s="468">
        <v>636</v>
      </c>
      <c r="D275" s="61"/>
      <c r="E275" s="67"/>
      <c r="F275" s="61"/>
      <c r="G275" s="61"/>
      <c r="H275" s="61"/>
      <c r="I275" s="61"/>
      <c r="J275" s="61"/>
      <c r="K275" s="61"/>
      <c r="L275" s="61"/>
      <c r="M275" s="61"/>
      <c r="N275" s="61"/>
      <c r="O275" s="61"/>
      <c r="P275" s="61"/>
      <c r="Q275" s="61"/>
      <c r="R275" s="61"/>
      <c r="S275" s="61"/>
      <c r="T275" s="61"/>
    </row>
    <row r="276" spans="1:20" x14ac:dyDescent="0.3">
      <c r="A276" s="50" t="s">
        <v>4672</v>
      </c>
      <c r="B276" s="61">
        <v>15</v>
      </c>
      <c r="C276" s="468">
        <v>206</v>
      </c>
      <c r="D276" s="61"/>
      <c r="E276" s="67"/>
      <c r="F276" s="61"/>
      <c r="G276" s="61"/>
      <c r="H276" s="61"/>
      <c r="I276" s="61"/>
      <c r="J276" s="61"/>
      <c r="K276" s="61"/>
      <c r="L276" s="61"/>
      <c r="M276" s="61"/>
      <c r="N276" s="61"/>
      <c r="O276" s="61"/>
      <c r="P276" s="61"/>
      <c r="Q276" s="61"/>
      <c r="R276" s="61"/>
      <c r="S276" s="61"/>
      <c r="T276" s="61"/>
    </row>
    <row r="277" spans="1:20" x14ac:dyDescent="0.3">
      <c r="A277" s="50" t="s">
        <v>4674</v>
      </c>
      <c r="B277" s="61">
        <v>134</v>
      </c>
      <c r="C277" s="468">
        <v>2114</v>
      </c>
      <c r="D277" s="61"/>
      <c r="E277" s="67"/>
      <c r="F277" s="61"/>
      <c r="G277" s="61"/>
      <c r="H277" s="61"/>
      <c r="I277" s="61"/>
      <c r="J277" s="61"/>
      <c r="K277" s="61"/>
      <c r="L277" s="61"/>
      <c r="M277" s="61"/>
      <c r="N277" s="61"/>
      <c r="O277" s="61"/>
      <c r="P277" s="61"/>
      <c r="Q277" s="61"/>
      <c r="R277" s="61"/>
      <c r="S277" s="61"/>
      <c r="T277" s="61"/>
    </row>
    <row r="278" spans="1:20" x14ac:dyDescent="0.3">
      <c r="A278" s="50" t="s">
        <v>4675</v>
      </c>
      <c r="B278" s="61">
        <v>7</v>
      </c>
      <c r="C278" s="468">
        <v>95</v>
      </c>
      <c r="D278" s="61"/>
      <c r="E278" s="67"/>
      <c r="F278" s="61"/>
      <c r="G278" s="61"/>
      <c r="H278" s="61"/>
      <c r="I278" s="61"/>
      <c r="J278" s="61"/>
      <c r="K278" s="61"/>
      <c r="L278" s="61"/>
      <c r="M278" s="61"/>
      <c r="N278" s="61"/>
      <c r="O278" s="61"/>
      <c r="P278" s="61"/>
      <c r="Q278" s="61"/>
      <c r="R278" s="61"/>
      <c r="S278" s="61"/>
      <c r="T278" s="61"/>
    </row>
    <row r="279" spans="1:20" x14ac:dyDescent="0.3">
      <c r="A279" s="50" t="s">
        <v>4676</v>
      </c>
      <c r="B279" s="61">
        <v>12</v>
      </c>
      <c r="C279" s="468">
        <v>172.00000000000003</v>
      </c>
      <c r="D279" s="61"/>
      <c r="E279" s="67"/>
      <c r="F279" s="61"/>
      <c r="G279" s="61"/>
      <c r="H279" s="61"/>
      <c r="I279" s="61"/>
      <c r="J279" s="61"/>
      <c r="K279" s="61"/>
      <c r="L279" s="61"/>
      <c r="M279" s="61"/>
      <c r="N279" s="61"/>
      <c r="O279" s="61"/>
      <c r="P279" s="61"/>
      <c r="Q279" s="61"/>
      <c r="R279" s="61"/>
      <c r="S279" s="61"/>
      <c r="T279" s="61"/>
    </row>
    <row r="280" spans="1:20" x14ac:dyDescent="0.3">
      <c r="A280" s="50" t="s">
        <v>4677</v>
      </c>
      <c r="B280" s="61">
        <v>5</v>
      </c>
      <c r="C280" s="468">
        <v>68</v>
      </c>
      <c r="D280" s="61"/>
      <c r="E280" s="67"/>
      <c r="F280" s="61"/>
      <c r="G280" s="61"/>
      <c r="H280" s="61"/>
      <c r="I280" s="61"/>
      <c r="J280" s="61"/>
      <c r="K280" s="61"/>
      <c r="L280" s="61"/>
      <c r="M280" s="61"/>
      <c r="N280" s="61"/>
      <c r="O280" s="61"/>
      <c r="P280" s="61"/>
      <c r="Q280" s="61"/>
      <c r="R280" s="61"/>
      <c r="S280" s="61"/>
      <c r="T280" s="61"/>
    </row>
    <row r="281" spans="1:20" x14ac:dyDescent="0.3">
      <c r="A281" s="50" t="s">
        <v>4678</v>
      </c>
      <c r="B281" s="61">
        <v>30</v>
      </c>
      <c r="C281" s="468">
        <v>1.1899999999999997</v>
      </c>
      <c r="D281" s="61"/>
      <c r="E281" s="67"/>
      <c r="F281" s="61"/>
      <c r="G281" s="61"/>
      <c r="H281" s="61"/>
      <c r="I281" s="61"/>
      <c r="J281" s="61"/>
      <c r="K281" s="61"/>
      <c r="L281" s="61"/>
      <c r="M281" s="61"/>
      <c r="N281" s="61"/>
      <c r="O281" s="61"/>
      <c r="P281" s="61"/>
      <c r="Q281" s="61"/>
      <c r="R281" s="61"/>
      <c r="S281" s="61"/>
      <c r="T281" s="61"/>
    </row>
    <row r="282" spans="1:20" x14ac:dyDescent="0.3">
      <c r="A282" s="50" t="s">
        <v>4679</v>
      </c>
      <c r="B282" s="61">
        <v>35</v>
      </c>
      <c r="C282" s="468">
        <v>1.32</v>
      </c>
      <c r="D282" s="61"/>
      <c r="E282" s="67"/>
      <c r="F282" s="61"/>
      <c r="G282" s="61"/>
      <c r="H282" s="61"/>
      <c r="I282" s="61"/>
      <c r="J282" s="61"/>
      <c r="K282" s="61"/>
      <c r="L282" s="61"/>
      <c r="M282" s="61"/>
      <c r="N282" s="61"/>
      <c r="O282" s="61"/>
      <c r="P282" s="61"/>
      <c r="Q282" s="61"/>
      <c r="R282" s="61"/>
      <c r="S282" s="61"/>
      <c r="T282" s="61"/>
    </row>
    <row r="283" spans="1:20" x14ac:dyDescent="0.3">
      <c r="A283" s="50" t="s">
        <v>4680</v>
      </c>
      <c r="B283" s="61">
        <v>13</v>
      </c>
      <c r="C283" s="468">
        <v>296</v>
      </c>
      <c r="D283" s="61"/>
      <c r="E283" s="67"/>
      <c r="F283" s="61"/>
      <c r="G283" s="61"/>
      <c r="H283" s="61"/>
      <c r="I283" s="61"/>
      <c r="J283" s="61"/>
      <c r="K283" s="61"/>
      <c r="L283" s="61"/>
      <c r="M283" s="61"/>
      <c r="N283" s="61"/>
      <c r="O283" s="61"/>
      <c r="P283" s="61"/>
      <c r="Q283" s="61"/>
      <c r="R283" s="61"/>
      <c r="S283" s="61"/>
      <c r="T283" s="61"/>
    </row>
    <row r="284" spans="1:20" x14ac:dyDescent="0.3">
      <c r="A284" s="50" t="s">
        <v>4698</v>
      </c>
      <c r="B284" s="61">
        <v>20</v>
      </c>
      <c r="C284" s="468">
        <v>266.79000000000002</v>
      </c>
      <c r="D284" s="61"/>
      <c r="E284" s="61"/>
      <c r="F284" s="61"/>
      <c r="G284" s="61"/>
      <c r="H284" s="61"/>
      <c r="I284" s="61"/>
      <c r="J284" s="61"/>
      <c r="K284" s="61"/>
      <c r="L284" s="61"/>
      <c r="M284" s="61"/>
      <c r="N284" s="61"/>
      <c r="O284" s="61"/>
      <c r="P284" s="61"/>
      <c r="Q284" s="61"/>
      <c r="R284" s="61"/>
      <c r="S284" s="61"/>
      <c r="T284" s="61"/>
    </row>
    <row r="285" spans="1:20" x14ac:dyDescent="0.3">
      <c r="A285" s="50" t="s">
        <v>4699</v>
      </c>
      <c r="B285" s="61">
        <v>60</v>
      </c>
      <c r="C285" s="468">
        <v>800.38</v>
      </c>
      <c r="D285" s="61"/>
      <c r="E285" s="61"/>
      <c r="F285" s="61"/>
      <c r="G285" s="61"/>
      <c r="H285" s="61"/>
      <c r="I285" s="61"/>
      <c r="J285" s="61"/>
      <c r="K285" s="61"/>
      <c r="L285" s="61"/>
      <c r="M285" s="61"/>
      <c r="N285" s="61"/>
      <c r="O285" s="61"/>
      <c r="P285" s="61"/>
      <c r="Q285" s="61"/>
      <c r="R285" s="61"/>
      <c r="S285" s="61"/>
      <c r="T285" s="61"/>
    </row>
    <row r="286" spans="1:20" x14ac:dyDescent="0.3">
      <c r="A286" s="50" t="s">
        <v>4700</v>
      </c>
      <c r="B286" s="61">
        <v>18</v>
      </c>
      <c r="C286" s="468">
        <v>0.99999999999999989</v>
      </c>
      <c r="D286" s="61"/>
      <c r="E286" s="61"/>
      <c r="F286" s="61"/>
      <c r="G286" s="61"/>
      <c r="H286" s="61"/>
      <c r="I286" s="61"/>
      <c r="J286" s="61"/>
      <c r="K286" s="61"/>
      <c r="L286" s="61"/>
      <c r="M286" s="61"/>
      <c r="N286" s="61"/>
      <c r="O286" s="61"/>
      <c r="P286" s="61"/>
      <c r="Q286" s="61"/>
      <c r="R286" s="61"/>
      <c r="S286" s="61"/>
      <c r="T286" s="61"/>
    </row>
    <row r="287" spans="1:20" x14ac:dyDescent="0.3">
      <c r="A287" s="50" t="s">
        <v>4702</v>
      </c>
      <c r="B287" s="61">
        <v>8</v>
      </c>
      <c r="C287" s="468">
        <v>100</v>
      </c>
      <c r="D287" s="61"/>
      <c r="E287" s="61"/>
      <c r="F287" s="61"/>
      <c r="G287" s="61"/>
      <c r="H287" s="61"/>
      <c r="I287" s="61"/>
      <c r="J287" s="61"/>
      <c r="K287" s="61"/>
      <c r="L287" s="61"/>
      <c r="M287" s="61"/>
      <c r="N287" s="61"/>
      <c r="O287" s="61"/>
      <c r="P287" s="61"/>
      <c r="Q287" s="61"/>
      <c r="R287" s="61"/>
      <c r="S287" s="61"/>
      <c r="T287" s="61"/>
    </row>
    <row r="288" spans="1:20" x14ac:dyDescent="0.3">
      <c r="A288" s="50" t="s">
        <v>4705</v>
      </c>
      <c r="B288" s="61">
        <v>171</v>
      </c>
      <c r="C288" s="468">
        <v>2710</v>
      </c>
      <c r="D288" s="61"/>
      <c r="E288" s="61"/>
      <c r="F288" s="61"/>
      <c r="G288" s="61"/>
      <c r="H288" s="61"/>
      <c r="I288" s="61"/>
      <c r="J288" s="61"/>
      <c r="K288" s="61"/>
      <c r="L288" s="61"/>
      <c r="M288" s="61"/>
      <c r="N288" s="61"/>
      <c r="O288" s="61"/>
      <c r="P288" s="61"/>
      <c r="Q288" s="61"/>
      <c r="R288" s="61"/>
      <c r="S288" s="61"/>
      <c r="T288" s="61"/>
    </row>
    <row r="289" spans="1:20" x14ac:dyDescent="0.3">
      <c r="A289" s="50" t="s">
        <v>4706</v>
      </c>
      <c r="B289" s="61">
        <v>26</v>
      </c>
      <c r="C289" s="468">
        <v>346.83</v>
      </c>
      <c r="D289" s="61"/>
      <c r="E289" s="61"/>
      <c r="F289" s="61"/>
      <c r="G289" s="61"/>
      <c r="H289" s="61"/>
      <c r="I289" s="61"/>
      <c r="J289" s="61"/>
      <c r="K289" s="61"/>
      <c r="L289" s="61"/>
      <c r="M289" s="61"/>
      <c r="N289" s="61"/>
      <c r="O289" s="61"/>
      <c r="P289" s="61"/>
      <c r="Q289" s="61"/>
      <c r="R289" s="61"/>
      <c r="S289" s="61"/>
      <c r="T289" s="61"/>
    </row>
    <row r="290" spans="1:20" x14ac:dyDescent="0.3">
      <c r="A290" s="50" t="s">
        <v>4708</v>
      </c>
      <c r="B290" s="61">
        <v>14</v>
      </c>
      <c r="C290" s="468">
        <v>206.32</v>
      </c>
      <c r="D290" s="61"/>
      <c r="E290" s="61"/>
      <c r="F290" s="61"/>
      <c r="G290" s="61"/>
      <c r="H290" s="61"/>
      <c r="I290" s="61"/>
      <c r="J290" s="61"/>
      <c r="K290" s="61"/>
      <c r="L290" s="61"/>
      <c r="M290" s="61"/>
      <c r="N290" s="61"/>
      <c r="O290" s="61"/>
      <c r="P290" s="61"/>
      <c r="Q290" s="61"/>
      <c r="R290" s="61"/>
      <c r="S290" s="61"/>
      <c r="T290" s="61"/>
    </row>
    <row r="291" spans="1:20" x14ac:dyDescent="0.3">
      <c r="A291" s="50" t="s">
        <v>4709</v>
      </c>
      <c r="B291" s="61">
        <v>16</v>
      </c>
      <c r="C291" s="468">
        <v>243</v>
      </c>
      <c r="D291" s="61"/>
      <c r="E291" s="61"/>
      <c r="F291" s="61"/>
      <c r="G291" s="61"/>
      <c r="H291" s="61"/>
      <c r="I291" s="61"/>
      <c r="J291" s="61"/>
      <c r="K291" s="61"/>
      <c r="L291" s="61"/>
      <c r="M291" s="61"/>
      <c r="N291" s="61"/>
      <c r="O291" s="61"/>
      <c r="P291" s="61"/>
      <c r="Q291" s="61"/>
      <c r="R291" s="61"/>
      <c r="S291" s="61"/>
      <c r="T291" s="61"/>
    </row>
    <row r="292" spans="1:20" x14ac:dyDescent="0.3">
      <c r="A292" s="50" t="s">
        <v>4711</v>
      </c>
      <c r="B292" s="61">
        <v>6</v>
      </c>
      <c r="C292" s="468">
        <v>90</v>
      </c>
      <c r="D292" s="61"/>
      <c r="E292" s="61"/>
      <c r="F292" s="61"/>
      <c r="G292" s="61"/>
      <c r="H292" s="61"/>
      <c r="I292" s="61"/>
      <c r="J292" s="61"/>
      <c r="K292" s="61"/>
      <c r="L292" s="61"/>
      <c r="M292" s="61"/>
      <c r="N292" s="61"/>
      <c r="O292" s="61"/>
      <c r="P292" s="61"/>
      <c r="Q292" s="61"/>
      <c r="R292" s="61"/>
      <c r="S292" s="61"/>
      <c r="T292" s="61"/>
    </row>
    <row r="293" spans="1:20" x14ac:dyDescent="0.3">
      <c r="A293" s="50" t="s">
        <v>4713</v>
      </c>
      <c r="B293" s="61">
        <v>15</v>
      </c>
      <c r="C293" s="468">
        <v>202</v>
      </c>
      <c r="D293" s="61"/>
      <c r="E293" s="61"/>
      <c r="F293" s="61"/>
      <c r="G293" s="61"/>
      <c r="H293" s="61"/>
      <c r="I293" s="61"/>
      <c r="J293" s="61"/>
      <c r="K293" s="61"/>
      <c r="L293" s="61"/>
      <c r="M293" s="61"/>
      <c r="N293" s="61"/>
      <c r="O293" s="61"/>
      <c r="P293" s="61"/>
      <c r="Q293" s="61"/>
      <c r="R293" s="61"/>
      <c r="S293" s="61"/>
      <c r="T293" s="61"/>
    </row>
    <row r="294" spans="1:20" x14ac:dyDescent="0.3">
      <c r="A294" s="50" t="s">
        <v>4714</v>
      </c>
      <c r="B294" s="61">
        <v>5</v>
      </c>
      <c r="C294" s="468">
        <v>73.680000000000007</v>
      </c>
      <c r="D294" s="61"/>
      <c r="E294" s="61"/>
      <c r="F294" s="61"/>
      <c r="G294" s="61"/>
      <c r="H294" s="61"/>
      <c r="I294" s="61"/>
      <c r="J294" s="61"/>
      <c r="K294" s="61"/>
      <c r="L294" s="61"/>
      <c r="M294" s="61"/>
      <c r="N294" s="61"/>
      <c r="O294" s="61"/>
      <c r="P294" s="61"/>
      <c r="Q294" s="61"/>
      <c r="R294" s="61"/>
      <c r="S294" s="61"/>
      <c r="T294" s="61"/>
    </row>
    <row r="295" spans="1:20" x14ac:dyDescent="0.3">
      <c r="A295" s="50" t="s">
        <v>4715</v>
      </c>
      <c r="B295" s="61">
        <v>12</v>
      </c>
      <c r="C295" s="468">
        <v>1</v>
      </c>
      <c r="D295" s="61"/>
      <c r="E295" s="61"/>
      <c r="F295" s="61"/>
      <c r="G295" s="61"/>
      <c r="H295" s="61"/>
      <c r="I295" s="61"/>
      <c r="J295" s="61"/>
      <c r="K295" s="61"/>
      <c r="L295" s="61"/>
      <c r="M295" s="61"/>
      <c r="N295" s="61"/>
      <c r="O295" s="61"/>
      <c r="P295" s="61"/>
      <c r="Q295" s="61"/>
      <c r="R295" s="61"/>
      <c r="S295" s="61"/>
      <c r="T295" s="61"/>
    </row>
    <row r="296" spans="1:20" x14ac:dyDescent="0.3">
      <c r="A296" s="50" t="s">
        <v>4717</v>
      </c>
      <c r="B296" s="61">
        <v>54</v>
      </c>
      <c r="C296" s="468">
        <v>792</v>
      </c>
      <c r="D296" s="61"/>
      <c r="E296" s="61"/>
      <c r="F296" s="61"/>
      <c r="G296" s="61"/>
      <c r="H296" s="61"/>
      <c r="I296" s="61"/>
      <c r="J296" s="61"/>
      <c r="K296" s="61"/>
      <c r="L296" s="61"/>
      <c r="M296" s="61"/>
      <c r="N296" s="61"/>
      <c r="O296" s="61"/>
      <c r="P296" s="61"/>
      <c r="Q296" s="61"/>
      <c r="R296" s="61"/>
      <c r="S296" s="61"/>
      <c r="T296" s="61"/>
    </row>
    <row r="297" spans="1:20" x14ac:dyDescent="0.3">
      <c r="A297" s="50" t="s">
        <v>4719</v>
      </c>
      <c r="B297" s="61">
        <v>20</v>
      </c>
      <c r="C297" s="468">
        <v>350</v>
      </c>
      <c r="D297" s="61"/>
      <c r="E297" s="61"/>
      <c r="F297" s="61"/>
      <c r="G297" s="61"/>
      <c r="H297" s="61"/>
      <c r="I297" s="61"/>
      <c r="J297" s="61"/>
      <c r="K297" s="61"/>
      <c r="L297" s="61"/>
      <c r="M297" s="61"/>
      <c r="N297" s="61"/>
      <c r="O297" s="61"/>
      <c r="P297" s="61"/>
      <c r="Q297" s="61"/>
      <c r="R297" s="61"/>
      <c r="S297" s="61"/>
      <c r="T297" s="61"/>
    </row>
    <row r="298" spans="1:20" x14ac:dyDescent="0.3">
      <c r="A298" s="50" t="s">
        <v>4720</v>
      </c>
      <c r="B298" s="61">
        <v>7</v>
      </c>
      <c r="C298" s="468">
        <v>102</v>
      </c>
      <c r="D298" s="61"/>
      <c r="E298" s="61"/>
      <c r="F298" s="61"/>
      <c r="G298" s="61"/>
      <c r="H298" s="61"/>
      <c r="I298" s="61"/>
      <c r="J298" s="61"/>
      <c r="K298" s="61"/>
      <c r="L298" s="61"/>
      <c r="M298" s="61"/>
      <c r="N298" s="61"/>
      <c r="O298" s="61"/>
      <c r="P298" s="61"/>
      <c r="Q298" s="61"/>
      <c r="R298" s="61"/>
      <c r="S298" s="61"/>
      <c r="T298" s="61"/>
    </row>
    <row r="299" spans="1:20" x14ac:dyDescent="0.3">
      <c r="A299" s="50" t="s">
        <v>4721</v>
      </c>
      <c r="B299" s="61">
        <v>47</v>
      </c>
      <c r="C299" s="468">
        <v>818</v>
      </c>
      <c r="D299" s="61"/>
      <c r="E299" s="61"/>
      <c r="F299" s="61"/>
      <c r="G299" s="61"/>
      <c r="H299" s="61"/>
      <c r="I299" s="61"/>
      <c r="J299" s="61"/>
      <c r="K299" s="61"/>
      <c r="L299" s="61"/>
      <c r="M299" s="61"/>
      <c r="N299" s="61"/>
      <c r="O299" s="61"/>
      <c r="P299" s="61"/>
      <c r="Q299" s="61"/>
      <c r="R299" s="61"/>
      <c r="S299" s="61"/>
      <c r="T299" s="61"/>
    </row>
    <row r="300" spans="1:20" x14ac:dyDescent="0.3">
      <c r="A300" s="50" t="s">
        <v>4723</v>
      </c>
      <c r="B300" s="61">
        <v>60</v>
      </c>
      <c r="C300" s="468">
        <v>862</v>
      </c>
      <c r="D300" s="61"/>
      <c r="E300" s="61"/>
      <c r="F300" s="61"/>
      <c r="G300" s="61"/>
      <c r="H300" s="61"/>
      <c r="I300" s="61"/>
      <c r="J300" s="61"/>
      <c r="K300" s="61"/>
      <c r="L300" s="61"/>
      <c r="M300" s="61"/>
      <c r="N300" s="61"/>
      <c r="O300" s="61"/>
      <c r="P300" s="61"/>
      <c r="Q300" s="61"/>
      <c r="R300" s="61"/>
      <c r="S300" s="61"/>
      <c r="T300" s="61"/>
    </row>
    <row r="301" spans="1:20" x14ac:dyDescent="0.3">
      <c r="A301" s="50" t="s">
        <v>4724</v>
      </c>
      <c r="B301" s="61">
        <v>11</v>
      </c>
      <c r="C301" s="468">
        <v>169.48</v>
      </c>
      <c r="D301" s="61"/>
      <c r="E301" s="61"/>
      <c r="F301" s="61"/>
      <c r="G301" s="61"/>
      <c r="H301" s="61"/>
      <c r="I301" s="61"/>
      <c r="J301" s="61"/>
      <c r="K301" s="61"/>
      <c r="L301" s="61"/>
      <c r="M301" s="61"/>
      <c r="N301" s="61"/>
      <c r="O301" s="61"/>
      <c r="P301" s="61"/>
      <c r="Q301" s="61"/>
      <c r="R301" s="61"/>
      <c r="S301" s="61"/>
      <c r="T301" s="61"/>
    </row>
    <row r="302" spans="1:20" x14ac:dyDescent="0.3">
      <c r="A302" s="50" t="s">
        <v>4725</v>
      </c>
      <c r="B302" s="61">
        <v>16</v>
      </c>
      <c r="C302" s="468">
        <v>246.52000000000004</v>
      </c>
      <c r="D302" s="61"/>
      <c r="E302" s="61"/>
      <c r="F302" s="61"/>
      <c r="G302" s="61"/>
      <c r="H302" s="61"/>
      <c r="I302" s="61"/>
      <c r="J302" s="61"/>
      <c r="K302" s="61"/>
      <c r="L302" s="61"/>
      <c r="M302" s="61"/>
      <c r="N302" s="61"/>
      <c r="O302" s="61"/>
      <c r="P302" s="61"/>
      <c r="Q302" s="61"/>
      <c r="R302" s="61"/>
      <c r="S302" s="61"/>
      <c r="T302" s="61"/>
    </row>
    <row r="303" spans="1:20" x14ac:dyDescent="0.3">
      <c r="A303" s="50" t="s">
        <v>4727</v>
      </c>
      <c r="B303" s="61">
        <v>10</v>
      </c>
      <c r="C303" s="468">
        <v>208</v>
      </c>
      <c r="D303" s="61"/>
      <c r="E303" s="61"/>
      <c r="F303" s="61"/>
      <c r="G303" s="61"/>
      <c r="H303" s="61"/>
      <c r="I303" s="61"/>
      <c r="J303" s="61"/>
      <c r="K303" s="61"/>
      <c r="L303" s="61"/>
      <c r="M303" s="61"/>
      <c r="N303" s="61"/>
      <c r="O303" s="61"/>
      <c r="P303" s="61"/>
      <c r="Q303" s="61"/>
      <c r="R303" s="61"/>
      <c r="S303" s="61"/>
      <c r="T303" s="61"/>
    </row>
    <row r="304" spans="1:20" x14ac:dyDescent="0.3">
      <c r="A304" s="50" t="s">
        <v>4729</v>
      </c>
      <c r="B304" s="61">
        <v>16</v>
      </c>
      <c r="C304" s="468">
        <v>218</v>
      </c>
      <c r="D304" s="61"/>
      <c r="E304" s="61"/>
      <c r="F304" s="61"/>
      <c r="G304" s="61"/>
      <c r="H304" s="61"/>
      <c r="I304" s="61"/>
      <c r="J304" s="61"/>
      <c r="K304" s="61"/>
      <c r="L304" s="61"/>
      <c r="M304" s="61"/>
      <c r="N304" s="61"/>
      <c r="O304" s="61"/>
      <c r="P304" s="61"/>
      <c r="Q304" s="61"/>
      <c r="R304" s="61"/>
      <c r="S304" s="61"/>
      <c r="T304" s="61"/>
    </row>
    <row r="305" spans="1:20" x14ac:dyDescent="0.3">
      <c r="A305" s="50" t="s">
        <v>4749</v>
      </c>
      <c r="B305" s="61">
        <v>12</v>
      </c>
      <c r="C305" s="468">
        <v>160</v>
      </c>
      <c r="D305" s="61"/>
      <c r="E305" s="67"/>
      <c r="F305" s="61"/>
      <c r="G305" s="61"/>
      <c r="H305" s="61"/>
      <c r="I305" s="61"/>
      <c r="J305" s="61"/>
      <c r="K305" s="61"/>
      <c r="L305" s="61"/>
      <c r="M305" s="61"/>
      <c r="N305" s="61"/>
      <c r="O305" s="61"/>
      <c r="P305" s="61"/>
      <c r="Q305" s="61"/>
      <c r="R305" s="61"/>
      <c r="S305" s="61"/>
      <c r="T305" s="61"/>
    </row>
    <row r="306" spans="1:20" x14ac:dyDescent="0.3">
      <c r="A306" s="50" t="s">
        <v>4752</v>
      </c>
      <c r="B306" s="61">
        <v>11</v>
      </c>
      <c r="C306" s="468">
        <v>0.53</v>
      </c>
      <c r="D306" s="61"/>
      <c r="E306" s="67"/>
      <c r="F306" s="61"/>
      <c r="G306" s="61"/>
      <c r="H306" s="61"/>
      <c r="I306" s="61"/>
      <c r="J306" s="61"/>
      <c r="K306" s="61"/>
      <c r="L306" s="61"/>
      <c r="M306" s="61"/>
      <c r="N306" s="61"/>
      <c r="O306" s="61"/>
      <c r="P306" s="61"/>
      <c r="Q306" s="61"/>
      <c r="R306" s="61"/>
      <c r="S306" s="61"/>
      <c r="T306" s="61"/>
    </row>
    <row r="307" spans="1:20" x14ac:dyDescent="0.3">
      <c r="A307" s="50" t="s">
        <v>4754</v>
      </c>
      <c r="B307" s="61">
        <v>15</v>
      </c>
      <c r="C307" s="468">
        <v>0.72000000000000008</v>
      </c>
      <c r="D307" s="61"/>
      <c r="E307" s="67"/>
      <c r="F307" s="61"/>
      <c r="G307" s="61"/>
      <c r="H307" s="61"/>
      <c r="I307" s="61"/>
      <c r="J307" s="61"/>
      <c r="K307" s="61"/>
      <c r="L307" s="61"/>
      <c r="M307" s="61"/>
      <c r="N307" s="61"/>
      <c r="O307" s="61"/>
      <c r="P307" s="61"/>
      <c r="Q307" s="61"/>
      <c r="R307" s="61"/>
      <c r="S307" s="61"/>
      <c r="T307" s="61"/>
    </row>
    <row r="308" spans="1:20" x14ac:dyDescent="0.3">
      <c r="A308" s="50" t="s">
        <v>4757</v>
      </c>
      <c r="B308" s="61">
        <v>7</v>
      </c>
      <c r="C308" s="468">
        <v>91</v>
      </c>
      <c r="D308" s="61"/>
      <c r="E308" s="67"/>
      <c r="F308" s="61"/>
      <c r="G308" s="61"/>
      <c r="H308" s="61"/>
      <c r="I308" s="61"/>
      <c r="J308" s="61"/>
      <c r="K308" s="61"/>
      <c r="L308" s="61"/>
      <c r="M308" s="61"/>
      <c r="N308" s="61"/>
      <c r="O308" s="61"/>
      <c r="P308" s="61"/>
      <c r="Q308" s="61"/>
      <c r="R308" s="61"/>
      <c r="S308" s="61"/>
      <c r="T308" s="61"/>
    </row>
    <row r="309" spans="1:20" x14ac:dyDescent="0.3">
      <c r="A309" s="50" t="s">
        <v>4759</v>
      </c>
      <c r="B309" s="61">
        <v>32</v>
      </c>
      <c r="C309" s="468">
        <v>458</v>
      </c>
      <c r="D309" s="61"/>
      <c r="E309" s="67"/>
      <c r="F309" s="61"/>
      <c r="G309" s="61"/>
      <c r="H309" s="61"/>
      <c r="I309" s="61"/>
      <c r="J309" s="61"/>
      <c r="K309" s="61"/>
      <c r="L309" s="61"/>
      <c r="M309" s="61"/>
      <c r="N309" s="61"/>
      <c r="O309" s="61"/>
      <c r="P309" s="61"/>
      <c r="Q309" s="61"/>
      <c r="R309" s="61"/>
      <c r="S309" s="61"/>
      <c r="T309" s="61"/>
    </row>
    <row r="310" spans="1:20" x14ac:dyDescent="0.3">
      <c r="A310" s="50" t="s">
        <v>4761</v>
      </c>
      <c r="B310" s="61">
        <v>26</v>
      </c>
      <c r="C310" s="468">
        <v>342.81</v>
      </c>
      <c r="D310" s="61"/>
      <c r="E310" s="67"/>
      <c r="F310" s="61"/>
      <c r="G310" s="61"/>
      <c r="H310" s="61"/>
      <c r="I310" s="61"/>
      <c r="J310" s="61"/>
      <c r="K310" s="61"/>
      <c r="L310" s="61"/>
      <c r="M310" s="61"/>
      <c r="N310" s="61"/>
      <c r="O310" s="61"/>
      <c r="P310" s="61"/>
      <c r="Q310" s="61"/>
      <c r="R310" s="61"/>
      <c r="S310" s="61"/>
      <c r="T310" s="61"/>
    </row>
    <row r="311" spans="1:20" x14ac:dyDescent="0.3">
      <c r="A311" s="50" t="s">
        <v>4762</v>
      </c>
      <c r="B311" s="61">
        <v>1</v>
      </c>
      <c r="C311" s="468">
        <v>13.19</v>
      </c>
      <c r="D311" s="61"/>
      <c r="E311" s="67"/>
      <c r="F311" s="61"/>
      <c r="G311" s="61"/>
      <c r="H311" s="61"/>
      <c r="I311" s="61"/>
      <c r="J311" s="61"/>
      <c r="K311" s="61"/>
      <c r="L311" s="61"/>
      <c r="M311" s="61"/>
      <c r="N311" s="61"/>
      <c r="O311" s="61"/>
      <c r="P311" s="61"/>
      <c r="Q311" s="61"/>
      <c r="R311" s="61"/>
      <c r="S311" s="61"/>
      <c r="T311" s="61"/>
    </row>
    <row r="312" spans="1:20" x14ac:dyDescent="0.3">
      <c r="A312" s="50" t="s">
        <v>4764</v>
      </c>
      <c r="B312" s="61">
        <v>163</v>
      </c>
      <c r="C312" s="468">
        <v>2638</v>
      </c>
      <c r="D312" s="61"/>
      <c r="E312" s="67"/>
      <c r="F312" s="61"/>
      <c r="G312" s="61"/>
      <c r="H312" s="61"/>
      <c r="I312" s="61"/>
      <c r="J312" s="61"/>
      <c r="K312" s="61"/>
      <c r="L312" s="61"/>
      <c r="M312" s="61"/>
      <c r="N312" s="61"/>
      <c r="O312" s="61"/>
      <c r="P312" s="61"/>
      <c r="Q312" s="61"/>
      <c r="R312" s="61"/>
      <c r="S312" s="61"/>
      <c r="T312" s="61"/>
    </row>
    <row r="313" spans="1:20" x14ac:dyDescent="0.3">
      <c r="A313" s="50" t="s">
        <v>4765</v>
      </c>
      <c r="B313" s="61">
        <v>40</v>
      </c>
      <c r="C313" s="468">
        <v>534</v>
      </c>
      <c r="D313" s="61"/>
      <c r="E313" s="67"/>
      <c r="F313" s="61"/>
      <c r="G313" s="61"/>
      <c r="H313" s="61"/>
      <c r="I313" s="61"/>
      <c r="J313" s="61"/>
      <c r="K313" s="61"/>
      <c r="L313" s="61"/>
      <c r="M313" s="61"/>
      <c r="N313" s="61"/>
      <c r="O313" s="61"/>
      <c r="P313" s="61"/>
      <c r="Q313" s="61"/>
      <c r="R313" s="61"/>
      <c r="S313" s="61"/>
      <c r="T313" s="61"/>
    </row>
    <row r="314" spans="1:20" x14ac:dyDescent="0.3">
      <c r="A314" s="50" t="s">
        <v>4766</v>
      </c>
      <c r="B314" s="61">
        <v>50</v>
      </c>
      <c r="C314" s="468">
        <v>852</v>
      </c>
      <c r="D314" s="61"/>
      <c r="E314" s="67"/>
      <c r="F314" s="61"/>
      <c r="G314" s="61"/>
      <c r="H314" s="61"/>
      <c r="I314" s="61"/>
      <c r="J314" s="61"/>
      <c r="K314" s="61"/>
      <c r="L314" s="61"/>
      <c r="M314" s="61"/>
      <c r="N314" s="61"/>
      <c r="O314" s="61"/>
      <c r="P314" s="61"/>
      <c r="Q314" s="61"/>
      <c r="R314" s="61"/>
      <c r="S314" s="61"/>
      <c r="T314" s="61"/>
    </row>
    <row r="315" spans="1:20" x14ac:dyDescent="0.3">
      <c r="A315" s="50" t="s">
        <v>4768</v>
      </c>
      <c r="B315" s="61">
        <v>49</v>
      </c>
      <c r="C315" s="468">
        <v>699</v>
      </c>
      <c r="D315" s="61"/>
      <c r="E315" s="67"/>
      <c r="F315" s="61"/>
      <c r="G315" s="61"/>
      <c r="H315" s="61"/>
      <c r="I315" s="61"/>
      <c r="J315" s="61"/>
      <c r="K315" s="61"/>
      <c r="L315" s="61"/>
      <c r="M315" s="61"/>
      <c r="N315" s="61"/>
      <c r="O315" s="61"/>
      <c r="P315" s="61"/>
      <c r="Q315" s="61"/>
      <c r="R315" s="61"/>
      <c r="S315" s="61"/>
      <c r="T315" s="61"/>
    </row>
    <row r="316" spans="1:20" x14ac:dyDescent="0.3">
      <c r="A316" s="50" t="s">
        <v>4769</v>
      </c>
      <c r="B316" s="61">
        <v>26</v>
      </c>
      <c r="C316" s="468">
        <v>453</v>
      </c>
      <c r="D316" s="61"/>
      <c r="E316" s="67"/>
      <c r="F316" s="61"/>
      <c r="G316" s="61"/>
      <c r="H316" s="61"/>
      <c r="I316" s="61"/>
      <c r="J316" s="61"/>
      <c r="K316" s="61"/>
      <c r="L316" s="61"/>
      <c r="M316" s="61"/>
      <c r="N316" s="61"/>
      <c r="O316" s="61"/>
      <c r="P316" s="61"/>
      <c r="Q316" s="61"/>
      <c r="R316" s="61"/>
      <c r="S316" s="61"/>
      <c r="T316" s="61"/>
    </row>
    <row r="317" spans="1:20" x14ac:dyDescent="0.3">
      <c r="A317" s="50" t="s">
        <v>4771</v>
      </c>
      <c r="B317" s="61">
        <v>14</v>
      </c>
      <c r="C317" s="468">
        <v>202</v>
      </c>
      <c r="D317" s="61"/>
      <c r="E317" s="67"/>
      <c r="F317" s="61"/>
      <c r="G317" s="61"/>
      <c r="H317" s="61"/>
      <c r="I317" s="61"/>
      <c r="J317" s="61"/>
      <c r="K317" s="61"/>
      <c r="L317" s="61"/>
      <c r="M317" s="61"/>
      <c r="N317" s="61"/>
      <c r="O317" s="61"/>
      <c r="P317" s="61"/>
      <c r="Q317" s="61"/>
      <c r="R317" s="61"/>
      <c r="S317" s="61"/>
      <c r="T317" s="61"/>
    </row>
    <row r="318" spans="1:20" x14ac:dyDescent="0.3">
      <c r="A318" s="50" t="s">
        <v>4772</v>
      </c>
      <c r="B318" s="61">
        <v>7</v>
      </c>
      <c r="C318" s="468">
        <v>0.5</v>
      </c>
      <c r="D318" s="61"/>
      <c r="E318" s="67"/>
      <c r="F318" s="61"/>
      <c r="G318" s="61"/>
      <c r="H318" s="61"/>
      <c r="I318" s="61"/>
      <c r="J318" s="61"/>
      <c r="K318" s="61"/>
      <c r="L318" s="61"/>
      <c r="M318" s="61"/>
      <c r="N318" s="61"/>
      <c r="O318" s="61"/>
      <c r="P318" s="61"/>
      <c r="Q318" s="61"/>
      <c r="R318" s="61"/>
      <c r="S318" s="61"/>
      <c r="T318" s="61"/>
    </row>
    <row r="319" spans="1:20" x14ac:dyDescent="0.3">
      <c r="A319" s="50" t="s">
        <v>4774</v>
      </c>
      <c r="B319" s="61">
        <v>16</v>
      </c>
      <c r="C319" s="468">
        <v>0.7</v>
      </c>
      <c r="D319" s="61"/>
      <c r="E319" s="67"/>
      <c r="F319" s="61"/>
      <c r="G319" s="61"/>
      <c r="H319" s="61"/>
      <c r="I319" s="61"/>
      <c r="J319" s="61"/>
      <c r="K319" s="61"/>
      <c r="L319" s="61"/>
      <c r="M319" s="61"/>
      <c r="N319" s="61"/>
      <c r="O319" s="61"/>
      <c r="P319" s="61"/>
      <c r="Q319" s="61"/>
      <c r="R319" s="61"/>
      <c r="S319" s="61"/>
      <c r="T319" s="61"/>
    </row>
    <row r="320" spans="1:20" x14ac:dyDescent="0.3">
      <c r="A320" s="50" t="s">
        <v>4776</v>
      </c>
      <c r="B320" s="61">
        <v>23</v>
      </c>
      <c r="C320" s="468">
        <v>0.8899999999999999</v>
      </c>
      <c r="D320" s="61"/>
      <c r="E320" s="67"/>
      <c r="F320" s="61"/>
      <c r="G320" s="61"/>
      <c r="H320" s="61"/>
      <c r="I320" s="61"/>
      <c r="J320" s="61"/>
      <c r="K320" s="61"/>
      <c r="L320" s="61"/>
      <c r="M320" s="61"/>
      <c r="N320" s="61"/>
      <c r="O320" s="61"/>
      <c r="P320" s="61"/>
      <c r="Q320" s="61"/>
      <c r="R320" s="61"/>
      <c r="S320" s="61"/>
      <c r="T320" s="61"/>
    </row>
    <row r="321" spans="1:20" x14ac:dyDescent="0.3">
      <c r="A321" s="50" t="s">
        <v>4778</v>
      </c>
      <c r="B321" s="61">
        <v>62</v>
      </c>
      <c r="C321" s="468">
        <v>2.78</v>
      </c>
      <c r="D321" s="61"/>
      <c r="E321" s="67"/>
      <c r="F321" s="61"/>
      <c r="G321" s="61"/>
      <c r="H321" s="61"/>
      <c r="I321" s="61"/>
      <c r="J321" s="61"/>
      <c r="K321" s="61"/>
      <c r="L321" s="61"/>
      <c r="M321" s="61"/>
      <c r="N321" s="61"/>
      <c r="O321" s="61"/>
      <c r="P321" s="61"/>
      <c r="Q321" s="61"/>
      <c r="R321" s="61"/>
      <c r="S321" s="61"/>
      <c r="T321" s="61"/>
    </row>
    <row r="322" spans="1:20" x14ac:dyDescent="0.3">
      <c r="A322" s="50" t="s">
        <v>4782</v>
      </c>
      <c r="B322" s="61">
        <v>43</v>
      </c>
      <c r="C322" s="468">
        <v>566.24</v>
      </c>
      <c r="D322" s="61"/>
      <c r="E322" s="67"/>
      <c r="F322" s="61"/>
      <c r="G322" s="61"/>
      <c r="H322" s="61"/>
      <c r="I322" s="61"/>
      <c r="J322" s="61"/>
      <c r="K322" s="61"/>
      <c r="L322" s="61"/>
      <c r="M322" s="61"/>
      <c r="N322" s="61"/>
      <c r="O322" s="61"/>
      <c r="P322" s="61"/>
      <c r="Q322" s="61"/>
      <c r="R322" s="61"/>
      <c r="S322" s="61"/>
      <c r="T322" s="61"/>
    </row>
    <row r="323" spans="1:20" x14ac:dyDescent="0.3">
      <c r="A323" s="50" t="s">
        <v>4783</v>
      </c>
      <c r="B323" s="61">
        <v>109</v>
      </c>
      <c r="C323" s="468">
        <v>1777</v>
      </c>
      <c r="D323" s="61"/>
      <c r="E323" s="67"/>
      <c r="F323" s="61"/>
      <c r="G323" s="61"/>
      <c r="H323" s="61"/>
      <c r="I323" s="61"/>
      <c r="J323" s="61"/>
      <c r="K323" s="61"/>
      <c r="L323" s="61"/>
      <c r="M323" s="61"/>
      <c r="N323" s="61"/>
      <c r="O323" s="61"/>
      <c r="P323" s="61"/>
      <c r="Q323" s="61"/>
      <c r="R323" s="61"/>
      <c r="S323" s="61"/>
      <c r="T323" s="61"/>
    </row>
    <row r="324" spans="1:20" x14ac:dyDescent="0.3">
      <c r="A324" s="50" t="s">
        <v>4784</v>
      </c>
      <c r="B324" s="61">
        <v>58</v>
      </c>
      <c r="C324" s="468">
        <v>763.76</v>
      </c>
      <c r="D324" s="61"/>
      <c r="E324" s="67"/>
      <c r="F324" s="61"/>
      <c r="G324" s="61"/>
      <c r="H324" s="61"/>
      <c r="I324" s="61"/>
      <c r="J324" s="61"/>
      <c r="K324" s="61"/>
      <c r="L324" s="61"/>
      <c r="M324" s="61"/>
      <c r="N324" s="61"/>
      <c r="O324" s="61"/>
      <c r="P324" s="61"/>
      <c r="Q324" s="61"/>
      <c r="R324" s="61"/>
      <c r="S324" s="61"/>
      <c r="T324" s="61"/>
    </row>
    <row r="325" spans="1:20" x14ac:dyDescent="0.3">
      <c r="A325" s="50" t="s">
        <v>4785</v>
      </c>
      <c r="B325" s="61">
        <v>17</v>
      </c>
      <c r="C325" s="468">
        <v>239</v>
      </c>
      <c r="D325" s="61"/>
      <c r="E325" s="67"/>
      <c r="F325" s="61"/>
      <c r="G325" s="61"/>
      <c r="H325" s="61"/>
      <c r="I325" s="61"/>
      <c r="J325" s="61"/>
      <c r="K325" s="61"/>
      <c r="L325" s="61"/>
      <c r="M325" s="61"/>
      <c r="N325" s="61"/>
      <c r="O325" s="61"/>
      <c r="P325" s="61"/>
      <c r="Q325" s="61"/>
      <c r="R325" s="61"/>
      <c r="S325" s="61"/>
      <c r="T325" s="61"/>
    </row>
    <row r="326" spans="1:20" x14ac:dyDescent="0.3">
      <c r="A326" s="50" t="s">
        <v>4787</v>
      </c>
      <c r="B326" s="61">
        <v>20</v>
      </c>
      <c r="C326" s="468">
        <v>291</v>
      </c>
      <c r="D326" s="61"/>
      <c r="E326" s="67"/>
      <c r="F326" s="61"/>
      <c r="G326" s="61"/>
      <c r="H326" s="61"/>
      <c r="I326" s="61"/>
      <c r="J326" s="61"/>
      <c r="K326" s="61"/>
      <c r="L326" s="61"/>
      <c r="M326" s="61"/>
      <c r="N326" s="61"/>
      <c r="O326" s="61"/>
      <c r="P326" s="61"/>
      <c r="Q326" s="61"/>
      <c r="R326" s="61"/>
      <c r="S326" s="61"/>
      <c r="T326" s="61"/>
    </row>
    <row r="327" spans="1:20" x14ac:dyDescent="0.3">
      <c r="A327" s="50" t="s">
        <v>4788</v>
      </c>
      <c r="B327" s="61">
        <v>54</v>
      </c>
      <c r="C327" s="468">
        <v>797</v>
      </c>
      <c r="D327" s="61"/>
      <c r="E327" s="67"/>
      <c r="F327" s="61"/>
      <c r="G327" s="61"/>
      <c r="H327" s="61"/>
      <c r="I327" s="61"/>
      <c r="J327" s="61"/>
      <c r="K327" s="61"/>
      <c r="L327" s="61"/>
      <c r="M327" s="61"/>
      <c r="N327" s="61"/>
      <c r="O327" s="61"/>
      <c r="P327" s="61"/>
      <c r="Q327" s="61"/>
      <c r="R327" s="61"/>
      <c r="S327" s="61"/>
      <c r="T327" s="61"/>
    </row>
    <row r="328" spans="1:20" x14ac:dyDescent="0.3">
      <c r="A328" s="50" t="s">
        <v>4789</v>
      </c>
      <c r="B328" s="61">
        <v>21</v>
      </c>
      <c r="C328" s="468">
        <v>366</v>
      </c>
      <c r="D328" s="61"/>
      <c r="E328" s="67"/>
      <c r="F328" s="61"/>
      <c r="G328" s="61"/>
      <c r="H328" s="61"/>
      <c r="I328" s="61"/>
      <c r="J328" s="61"/>
      <c r="K328" s="61"/>
      <c r="L328" s="61"/>
      <c r="M328" s="61"/>
      <c r="N328" s="61"/>
      <c r="O328" s="61"/>
      <c r="P328" s="61"/>
      <c r="Q328" s="61"/>
      <c r="R328" s="61"/>
      <c r="S328" s="61"/>
      <c r="T328" s="61"/>
    </row>
    <row r="329" spans="1:20" x14ac:dyDescent="0.3">
      <c r="A329" s="50" t="s">
        <v>4790</v>
      </c>
      <c r="B329" s="61">
        <v>43</v>
      </c>
      <c r="C329" s="468">
        <v>723</v>
      </c>
      <c r="D329" s="61"/>
      <c r="E329" s="67"/>
      <c r="F329" s="61"/>
      <c r="G329" s="61"/>
      <c r="H329" s="61"/>
      <c r="I329" s="61"/>
      <c r="J329" s="61"/>
      <c r="K329" s="61"/>
      <c r="L329" s="61"/>
      <c r="M329" s="61"/>
      <c r="N329" s="61"/>
      <c r="O329" s="61"/>
      <c r="P329" s="61"/>
      <c r="Q329" s="61"/>
      <c r="R329" s="61"/>
      <c r="S329" s="61"/>
      <c r="T329" s="61"/>
    </row>
    <row r="330" spans="1:20" x14ac:dyDescent="0.3">
      <c r="A330" s="50" t="s">
        <v>4791</v>
      </c>
      <c r="B330" s="61">
        <v>16</v>
      </c>
      <c r="C330" s="468">
        <v>280</v>
      </c>
      <c r="D330" s="61"/>
      <c r="E330" s="67"/>
      <c r="F330" s="61"/>
      <c r="G330" s="61"/>
      <c r="H330" s="61"/>
      <c r="I330" s="61"/>
      <c r="J330" s="61"/>
      <c r="K330" s="61"/>
      <c r="L330" s="61"/>
      <c r="M330" s="61"/>
      <c r="N330" s="61"/>
      <c r="O330" s="61"/>
      <c r="P330" s="61"/>
      <c r="Q330" s="61"/>
      <c r="R330" s="61"/>
      <c r="S330" s="61"/>
      <c r="T330" s="61"/>
    </row>
    <row r="331" spans="1:20" x14ac:dyDescent="0.3">
      <c r="A331" s="50" t="s">
        <v>4792</v>
      </c>
      <c r="B331" s="61">
        <v>40</v>
      </c>
      <c r="C331" s="468">
        <v>580</v>
      </c>
      <c r="D331" s="61"/>
      <c r="E331" s="67"/>
      <c r="F331" s="61"/>
      <c r="G331" s="61"/>
      <c r="H331" s="61"/>
      <c r="I331" s="61"/>
      <c r="J331" s="61"/>
      <c r="K331" s="61"/>
      <c r="L331" s="61"/>
      <c r="M331" s="61"/>
      <c r="N331" s="61"/>
      <c r="O331" s="61"/>
      <c r="P331" s="61"/>
      <c r="Q331" s="61"/>
      <c r="R331" s="61"/>
      <c r="S331" s="61"/>
      <c r="T331" s="61"/>
    </row>
    <row r="332" spans="1:20" x14ac:dyDescent="0.3">
      <c r="A332" s="50" t="s">
        <v>4599</v>
      </c>
      <c r="B332" s="61">
        <v>10065</v>
      </c>
      <c r="C332" s="61">
        <v>141049.21545454548</v>
      </c>
      <c r="D332" s="61"/>
      <c r="E332" s="67"/>
      <c r="F332" s="61"/>
      <c r="G332" s="61"/>
      <c r="H332" s="61"/>
      <c r="I332" s="61"/>
      <c r="J332" s="61"/>
      <c r="K332" s="61"/>
      <c r="L332" s="61"/>
      <c r="M332" s="61"/>
      <c r="N332" s="61"/>
      <c r="O332" s="61"/>
      <c r="P332" s="61"/>
      <c r="Q332" s="61"/>
      <c r="R332" s="61"/>
      <c r="S332" s="61"/>
      <c r="T332" s="61"/>
    </row>
    <row r="333" spans="1:20" x14ac:dyDescent="0.3">
      <c r="A333" s="61"/>
      <c r="B333" s="61"/>
      <c r="C333" s="61"/>
      <c r="D333" s="61"/>
      <c r="E333" s="61"/>
      <c r="F333" s="61"/>
      <c r="G333" s="61"/>
      <c r="H333" s="61"/>
      <c r="I333" s="61"/>
      <c r="J333" s="61"/>
      <c r="K333" s="61"/>
      <c r="L333" s="61"/>
      <c r="M333" s="61"/>
      <c r="N333" s="61"/>
      <c r="O333" s="61"/>
      <c r="P333" s="61"/>
      <c r="Q333" s="61"/>
      <c r="R333" s="61"/>
      <c r="S333" s="61"/>
      <c r="T333" s="61"/>
    </row>
    <row r="334" spans="1:20" x14ac:dyDescent="0.3">
      <c r="A334" s="61"/>
      <c r="B334" s="61"/>
      <c r="C334" s="61"/>
      <c r="D334" s="61"/>
      <c r="E334" s="61"/>
      <c r="F334" s="61"/>
      <c r="G334" s="61"/>
      <c r="H334" s="61"/>
      <c r="I334" s="61"/>
      <c r="J334" s="61"/>
      <c r="K334" s="61"/>
      <c r="L334" s="61"/>
      <c r="M334" s="61"/>
      <c r="N334" s="61"/>
      <c r="O334" s="61"/>
      <c r="P334" s="61"/>
      <c r="Q334" s="61"/>
      <c r="R334" s="61"/>
      <c r="S334" s="61"/>
      <c r="T334" s="61"/>
    </row>
    <row r="335" spans="1:20" x14ac:dyDescent="0.3">
      <c r="A335" s="61"/>
      <c r="B335" s="61"/>
      <c r="C335" s="61"/>
      <c r="D335" s="61"/>
      <c r="E335" s="61"/>
      <c r="F335" s="61"/>
      <c r="G335" s="61"/>
      <c r="H335" s="61"/>
      <c r="I335" s="61"/>
      <c r="J335" s="61"/>
      <c r="K335" s="61"/>
      <c r="L335" s="61"/>
      <c r="M335" s="61"/>
      <c r="N335" s="61"/>
      <c r="O335" s="61"/>
      <c r="P335" s="61"/>
      <c r="Q335" s="61"/>
      <c r="R335" s="61"/>
      <c r="S335" s="61"/>
      <c r="T335" s="61"/>
    </row>
    <row r="336" spans="1:20" x14ac:dyDescent="0.3">
      <c r="A336" s="61"/>
      <c r="B336" s="61"/>
      <c r="C336" s="61"/>
      <c r="D336" s="61"/>
      <c r="E336" s="61"/>
      <c r="F336" s="61"/>
      <c r="G336" s="61"/>
      <c r="H336" s="61"/>
      <c r="I336" s="61"/>
      <c r="J336" s="61"/>
      <c r="K336" s="61"/>
      <c r="L336" s="61"/>
      <c r="M336" s="61"/>
      <c r="N336" s="61"/>
      <c r="O336" s="61"/>
      <c r="P336" s="61"/>
      <c r="Q336" s="61"/>
      <c r="R336" s="61"/>
      <c r="S336" s="61"/>
      <c r="T336" s="61"/>
    </row>
    <row r="337" spans="1:20" x14ac:dyDescent="0.3">
      <c r="A337" s="61"/>
      <c r="B337" s="61"/>
      <c r="C337" s="61"/>
      <c r="D337" s="61"/>
      <c r="E337" s="61"/>
      <c r="F337" s="61"/>
      <c r="G337" s="61"/>
      <c r="H337" s="61"/>
      <c r="I337" s="61"/>
      <c r="J337" s="61"/>
      <c r="K337" s="61"/>
      <c r="L337" s="61"/>
      <c r="M337" s="61"/>
      <c r="N337" s="61"/>
      <c r="O337" s="61"/>
      <c r="P337" s="61"/>
      <c r="Q337" s="61"/>
      <c r="R337" s="61"/>
      <c r="S337" s="61"/>
      <c r="T337" s="61"/>
    </row>
    <row r="338" spans="1:20" x14ac:dyDescent="0.3">
      <c r="A338" s="61"/>
      <c r="B338" s="61"/>
      <c r="C338" s="61"/>
      <c r="D338" s="61"/>
      <c r="E338" s="61"/>
      <c r="F338" s="61"/>
      <c r="G338" s="61"/>
      <c r="H338" s="61"/>
      <c r="I338" s="61"/>
      <c r="J338" s="61"/>
      <c r="K338" s="61"/>
      <c r="L338" s="61"/>
      <c r="M338" s="61"/>
      <c r="N338" s="61"/>
      <c r="O338" s="61"/>
      <c r="P338" s="61"/>
      <c r="Q338" s="61"/>
      <c r="R338" s="61"/>
      <c r="S338" s="61"/>
      <c r="T338" s="61"/>
    </row>
    <row r="339" spans="1:20" x14ac:dyDescent="0.3">
      <c r="A339" s="61"/>
      <c r="B339" s="61"/>
      <c r="C339" s="61"/>
      <c r="D339" s="61"/>
      <c r="E339" s="61"/>
      <c r="F339" s="61"/>
      <c r="G339" s="61"/>
      <c r="H339" s="61"/>
      <c r="I339" s="61"/>
      <c r="J339" s="61"/>
      <c r="K339" s="61"/>
      <c r="L339" s="61"/>
      <c r="M339" s="61"/>
      <c r="N339" s="61"/>
      <c r="O339" s="61"/>
      <c r="P339" s="61"/>
      <c r="Q339" s="61"/>
      <c r="R339" s="61"/>
      <c r="S339" s="61"/>
      <c r="T339" s="61"/>
    </row>
    <row r="340" spans="1:20" x14ac:dyDescent="0.3">
      <c r="A340" s="61"/>
      <c r="B340" s="61"/>
      <c r="C340" s="61"/>
      <c r="D340" s="61"/>
      <c r="E340" s="61"/>
      <c r="F340" s="61"/>
      <c r="G340" s="61"/>
      <c r="H340" s="61"/>
      <c r="I340" s="61"/>
      <c r="J340" s="61"/>
      <c r="K340" s="61"/>
      <c r="L340" s="61"/>
      <c r="M340" s="61"/>
      <c r="N340" s="61"/>
      <c r="O340" s="61"/>
      <c r="P340" s="61"/>
      <c r="Q340" s="61"/>
      <c r="R340" s="61"/>
      <c r="S340" s="61"/>
      <c r="T340" s="61"/>
    </row>
    <row r="341" spans="1:20" x14ac:dyDescent="0.3">
      <c r="A341" s="61"/>
      <c r="B341" s="61"/>
      <c r="C341" s="61"/>
      <c r="D341" s="61"/>
      <c r="E341" s="61"/>
      <c r="F341" s="61"/>
      <c r="G341" s="61"/>
      <c r="H341" s="61"/>
      <c r="I341" s="61"/>
      <c r="J341" s="61"/>
      <c r="K341" s="61"/>
      <c r="L341" s="61"/>
      <c r="M341" s="61"/>
      <c r="N341" s="61"/>
      <c r="O341" s="61"/>
      <c r="P341" s="61"/>
      <c r="Q341" s="61"/>
      <c r="R341" s="61"/>
      <c r="S341" s="61"/>
      <c r="T341" s="61"/>
    </row>
    <row r="342" spans="1:20" x14ac:dyDescent="0.3">
      <c r="A342" s="61"/>
      <c r="B342" s="61"/>
      <c r="C342" s="61"/>
      <c r="D342" s="61"/>
      <c r="E342" s="61"/>
      <c r="F342" s="61"/>
      <c r="G342" s="61"/>
      <c r="H342" s="61"/>
      <c r="I342" s="61"/>
      <c r="J342" s="61"/>
      <c r="K342" s="61"/>
      <c r="L342" s="61"/>
      <c r="M342" s="61"/>
      <c r="N342" s="61"/>
      <c r="O342" s="61"/>
      <c r="P342" s="61"/>
      <c r="Q342" s="61"/>
      <c r="R342" s="61"/>
      <c r="S342" s="61"/>
      <c r="T342" s="61"/>
    </row>
    <row r="343" spans="1:20" x14ac:dyDescent="0.3">
      <c r="A343" s="61"/>
      <c r="B343" s="61"/>
      <c r="C343" s="61"/>
      <c r="D343" s="61"/>
      <c r="E343" s="61"/>
      <c r="F343" s="61"/>
      <c r="G343" s="61"/>
      <c r="H343" s="61"/>
      <c r="I343" s="61"/>
      <c r="J343" s="61"/>
      <c r="K343" s="61"/>
      <c r="L343" s="61"/>
      <c r="M343" s="61"/>
      <c r="N343" s="61"/>
      <c r="O343" s="61"/>
      <c r="P343" s="61"/>
      <c r="Q343" s="61"/>
      <c r="R343" s="61"/>
      <c r="S343" s="61"/>
      <c r="T343" s="61"/>
    </row>
    <row r="344" spans="1:20" x14ac:dyDescent="0.3">
      <c r="A344" s="61"/>
      <c r="B344" s="61"/>
      <c r="C344" s="61"/>
      <c r="D344" s="61"/>
      <c r="E344" s="61"/>
      <c r="F344" s="61"/>
      <c r="G344" s="61"/>
      <c r="H344" s="61"/>
      <c r="I344" s="61"/>
      <c r="J344" s="61"/>
      <c r="K344" s="61"/>
      <c r="L344" s="61"/>
      <c r="M344" s="61"/>
      <c r="N344" s="61"/>
      <c r="O344" s="61"/>
      <c r="P344" s="61"/>
      <c r="Q344" s="61"/>
      <c r="R344" s="61"/>
      <c r="S344" s="61"/>
      <c r="T344" s="61"/>
    </row>
    <row r="345" spans="1:20" x14ac:dyDescent="0.3">
      <c r="A345" s="61"/>
      <c r="B345" s="61"/>
      <c r="C345" s="61"/>
      <c r="D345" s="61"/>
      <c r="E345" s="61"/>
      <c r="F345" s="61"/>
      <c r="G345" s="61"/>
      <c r="H345" s="61"/>
      <c r="I345" s="61"/>
      <c r="J345" s="61"/>
      <c r="K345" s="61"/>
      <c r="L345" s="61"/>
      <c r="M345" s="61"/>
      <c r="N345" s="61"/>
      <c r="O345" s="61"/>
      <c r="P345" s="61"/>
      <c r="Q345" s="61"/>
      <c r="R345" s="61"/>
      <c r="S345" s="61"/>
      <c r="T345" s="61"/>
    </row>
    <row r="346" spans="1:20" x14ac:dyDescent="0.3">
      <c r="A346" s="61"/>
      <c r="B346" s="61"/>
      <c r="C346" s="61"/>
      <c r="D346" s="61"/>
      <c r="E346" s="61"/>
      <c r="F346" s="61"/>
      <c r="G346" s="61"/>
      <c r="H346" s="61"/>
      <c r="I346" s="61"/>
      <c r="J346" s="61"/>
      <c r="K346" s="61"/>
      <c r="L346" s="61"/>
      <c r="M346" s="61"/>
      <c r="N346" s="61"/>
      <c r="O346" s="61"/>
      <c r="P346" s="61"/>
      <c r="Q346" s="61"/>
      <c r="R346" s="61"/>
      <c r="S346" s="61"/>
      <c r="T346" s="61"/>
    </row>
    <row r="347" spans="1:20" x14ac:dyDescent="0.3">
      <c r="A347" s="61"/>
      <c r="B347" s="61"/>
      <c r="C347" s="61"/>
      <c r="D347" s="61"/>
      <c r="E347" s="61"/>
      <c r="F347" s="61"/>
      <c r="G347" s="61"/>
      <c r="H347" s="61"/>
      <c r="I347" s="61"/>
      <c r="J347" s="61"/>
      <c r="K347" s="61"/>
      <c r="L347" s="61"/>
      <c r="M347" s="61"/>
      <c r="N347" s="61"/>
      <c r="O347" s="61"/>
      <c r="P347" s="61"/>
      <c r="Q347" s="61"/>
      <c r="R347" s="61"/>
      <c r="S347" s="61"/>
      <c r="T347" s="61"/>
    </row>
    <row r="348" spans="1:20" x14ac:dyDescent="0.3">
      <c r="A348" s="61"/>
      <c r="B348" s="61"/>
      <c r="C348" s="61"/>
      <c r="D348" s="61"/>
      <c r="E348" s="61"/>
      <c r="F348" s="61"/>
      <c r="G348" s="61"/>
      <c r="H348" s="61"/>
      <c r="I348" s="61"/>
      <c r="J348" s="61"/>
      <c r="K348" s="61"/>
      <c r="L348" s="61"/>
      <c r="M348" s="61"/>
      <c r="N348" s="61"/>
      <c r="O348" s="61"/>
      <c r="P348" s="61"/>
      <c r="Q348" s="61"/>
      <c r="R348" s="61"/>
      <c r="S348" s="61"/>
      <c r="T348" s="61"/>
    </row>
    <row r="349" spans="1:20" x14ac:dyDescent="0.3">
      <c r="A349" s="61"/>
      <c r="B349" s="61"/>
      <c r="C349" s="61"/>
      <c r="D349" s="61"/>
      <c r="E349" s="61"/>
      <c r="F349" s="61"/>
      <c r="G349" s="61"/>
      <c r="H349" s="61"/>
      <c r="I349" s="61"/>
      <c r="J349" s="61"/>
      <c r="K349" s="61"/>
      <c r="L349" s="61"/>
      <c r="M349" s="61"/>
      <c r="N349" s="61"/>
      <c r="O349" s="61"/>
      <c r="P349" s="61"/>
      <c r="Q349" s="61"/>
      <c r="R349" s="61"/>
      <c r="S349" s="61"/>
      <c r="T349" s="61"/>
    </row>
    <row r="350" spans="1:20" x14ac:dyDescent="0.3">
      <c r="A350" s="61"/>
      <c r="B350" s="61"/>
      <c r="C350" s="61"/>
      <c r="D350" s="61"/>
      <c r="E350" s="61"/>
      <c r="F350" s="61"/>
      <c r="G350" s="61"/>
      <c r="H350" s="61"/>
      <c r="I350" s="61"/>
      <c r="J350" s="61"/>
      <c r="K350" s="61"/>
      <c r="L350" s="61"/>
      <c r="M350" s="61"/>
      <c r="N350" s="61"/>
      <c r="O350" s="61"/>
      <c r="P350" s="61"/>
      <c r="Q350" s="61"/>
      <c r="R350" s="61"/>
      <c r="S350" s="61"/>
      <c r="T350" s="61"/>
    </row>
    <row r="351" spans="1:20" x14ac:dyDescent="0.3">
      <c r="A351" s="61"/>
      <c r="B351" s="61"/>
      <c r="C351" s="61"/>
      <c r="D351" s="61"/>
      <c r="E351" s="61"/>
      <c r="F351" s="61"/>
      <c r="G351" s="61"/>
      <c r="H351" s="61"/>
      <c r="I351" s="61"/>
      <c r="J351" s="61"/>
      <c r="K351" s="61"/>
      <c r="L351" s="61"/>
      <c r="M351" s="61"/>
      <c r="N351" s="61"/>
      <c r="O351" s="61"/>
      <c r="P351" s="61"/>
      <c r="Q351" s="61"/>
      <c r="R351" s="61"/>
      <c r="S351" s="61"/>
      <c r="T351" s="61"/>
    </row>
    <row r="352" spans="1:20" x14ac:dyDescent="0.3">
      <c r="A352" s="61"/>
      <c r="B352" s="61"/>
      <c r="C352" s="61"/>
      <c r="D352" s="61"/>
      <c r="E352" s="61"/>
      <c r="F352" s="61"/>
      <c r="G352" s="61"/>
      <c r="H352" s="61"/>
      <c r="I352" s="61"/>
      <c r="J352" s="61"/>
      <c r="K352" s="61"/>
      <c r="L352" s="61"/>
      <c r="M352" s="61"/>
      <c r="N352" s="61"/>
      <c r="O352" s="61"/>
      <c r="P352" s="61"/>
      <c r="Q352" s="61"/>
      <c r="R352" s="61"/>
      <c r="S352" s="61"/>
      <c r="T352" s="61"/>
    </row>
    <row r="353" spans="1:20" x14ac:dyDescent="0.3">
      <c r="A353" s="61"/>
      <c r="B353" s="61"/>
      <c r="C353" s="61"/>
      <c r="D353" s="61"/>
      <c r="E353" s="61"/>
      <c r="F353" s="61"/>
      <c r="G353" s="61"/>
      <c r="H353" s="61"/>
      <c r="I353" s="61"/>
      <c r="J353" s="61"/>
      <c r="K353" s="61"/>
      <c r="L353" s="61"/>
      <c r="M353" s="61"/>
      <c r="N353" s="61"/>
      <c r="O353" s="61"/>
      <c r="P353" s="61"/>
      <c r="Q353" s="61"/>
      <c r="R353" s="61"/>
      <c r="S353" s="61"/>
      <c r="T353" s="61"/>
    </row>
    <row r="354" spans="1:20" x14ac:dyDescent="0.3">
      <c r="A354" s="61"/>
      <c r="B354" s="61"/>
      <c r="C354" s="61"/>
      <c r="D354" s="61"/>
      <c r="E354" s="61"/>
      <c r="F354" s="61"/>
      <c r="G354" s="61"/>
      <c r="H354" s="61"/>
      <c r="I354" s="61"/>
      <c r="J354" s="61"/>
      <c r="K354" s="61"/>
      <c r="L354" s="61"/>
      <c r="M354" s="61"/>
      <c r="N354" s="61"/>
      <c r="O354" s="61"/>
      <c r="P354" s="61"/>
      <c r="Q354" s="61"/>
      <c r="R354" s="61"/>
      <c r="S354" s="61"/>
      <c r="T354" s="61"/>
    </row>
    <row r="355" spans="1:20" x14ac:dyDescent="0.3">
      <c r="A355" s="61"/>
      <c r="B355" s="61"/>
      <c r="C355" s="61"/>
      <c r="D355" s="61"/>
      <c r="E355" s="61"/>
      <c r="F355" s="61"/>
      <c r="G355" s="61"/>
      <c r="H355" s="61"/>
      <c r="I355" s="61"/>
      <c r="J355" s="61"/>
      <c r="K355" s="61"/>
      <c r="L355" s="61"/>
      <c r="M355" s="61"/>
      <c r="N355" s="61"/>
      <c r="O355" s="61"/>
      <c r="P355" s="61"/>
      <c r="Q355" s="61"/>
      <c r="R355" s="61"/>
      <c r="S355" s="61"/>
      <c r="T355" s="61"/>
    </row>
    <row r="356" spans="1:20" x14ac:dyDescent="0.3">
      <c r="A356" s="61"/>
      <c r="B356" s="61"/>
      <c r="C356" s="61"/>
      <c r="D356" s="61"/>
      <c r="E356" s="61"/>
      <c r="F356" s="61"/>
      <c r="G356" s="61"/>
      <c r="H356" s="61"/>
      <c r="I356" s="61"/>
      <c r="J356" s="61"/>
      <c r="K356" s="61"/>
      <c r="L356" s="61"/>
      <c r="M356" s="61"/>
      <c r="N356" s="61"/>
      <c r="O356" s="61"/>
      <c r="P356" s="61"/>
      <c r="Q356" s="61"/>
      <c r="R356" s="61"/>
      <c r="S356" s="61"/>
      <c r="T356" s="61"/>
    </row>
    <row r="357" spans="1:20" x14ac:dyDescent="0.3">
      <c r="A357" s="61"/>
      <c r="B357" s="61"/>
      <c r="C357" s="61"/>
      <c r="D357" s="61"/>
      <c r="E357" s="61"/>
      <c r="F357" s="61"/>
      <c r="G357" s="61"/>
      <c r="H357" s="61"/>
      <c r="I357" s="61"/>
      <c r="J357" s="61"/>
      <c r="K357" s="61"/>
      <c r="L357" s="61"/>
      <c r="M357" s="61"/>
      <c r="N357" s="61"/>
      <c r="O357" s="61"/>
      <c r="P357" s="61"/>
      <c r="Q357" s="61"/>
      <c r="R357" s="61"/>
      <c r="S357" s="61"/>
      <c r="T357" s="61"/>
    </row>
    <row r="358" spans="1:20" x14ac:dyDescent="0.3">
      <c r="A358" s="61"/>
      <c r="B358" s="61"/>
      <c r="C358" s="61"/>
      <c r="D358" s="61"/>
      <c r="E358" s="61"/>
      <c r="F358" s="61"/>
      <c r="G358" s="61"/>
      <c r="H358" s="61"/>
      <c r="I358" s="61"/>
      <c r="J358" s="61"/>
      <c r="K358" s="61"/>
      <c r="L358" s="61"/>
      <c r="M358" s="61"/>
      <c r="N358" s="61"/>
      <c r="O358" s="61"/>
      <c r="P358" s="61"/>
      <c r="Q358" s="61"/>
      <c r="R358" s="61"/>
      <c r="S358" s="61"/>
      <c r="T358" s="61"/>
    </row>
    <row r="359" spans="1:20" x14ac:dyDescent="0.3">
      <c r="A359" s="61"/>
      <c r="B359" s="61"/>
      <c r="C359" s="61"/>
      <c r="D359" s="61"/>
      <c r="E359" s="61"/>
      <c r="F359" s="61"/>
      <c r="G359" s="61"/>
      <c r="H359" s="61"/>
      <c r="I359" s="61"/>
      <c r="J359" s="61"/>
      <c r="K359" s="61"/>
      <c r="L359" s="61"/>
      <c r="M359" s="61"/>
      <c r="N359" s="61"/>
      <c r="O359" s="61"/>
      <c r="P359" s="61"/>
      <c r="Q359" s="61"/>
      <c r="R359" s="61"/>
      <c r="S359" s="61"/>
      <c r="T359" s="61"/>
    </row>
    <row r="360" spans="1:20" x14ac:dyDescent="0.3">
      <c r="A360" s="61"/>
      <c r="B360" s="61"/>
      <c r="C360" s="61"/>
      <c r="D360" s="61"/>
      <c r="E360" s="61"/>
      <c r="F360" s="61"/>
      <c r="G360" s="61"/>
      <c r="H360" s="61"/>
      <c r="I360" s="61"/>
      <c r="J360" s="61"/>
      <c r="K360" s="61"/>
      <c r="L360" s="61"/>
      <c r="M360" s="61"/>
      <c r="N360" s="61"/>
      <c r="O360" s="61"/>
      <c r="P360" s="61"/>
      <c r="Q360" s="61"/>
      <c r="R360" s="61"/>
      <c r="S360" s="61"/>
      <c r="T360" s="61"/>
    </row>
    <row r="361" spans="1:20" x14ac:dyDescent="0.3">
      <c r="A361" s="61"/>
      <c r="B361" s="61"/>
      <c r="C361" s="61"/>
      <c r="D361" s="61"/>
      <c r="E361" s="61"/>
      <c r="F361" s="61"/>
      <c r="G361" s="61"/>
      <c r="H361" s="61"/>
      <c r="I361" s="61"/>
      <c r="J361" s="61"/>
      <c r="K361" s="61"/>
      <c r="L361" s="61"/>
      <c r="M361" s="61"/>
      <c r="N361" s="61"/>
      <c r="O361" s="61"/>
      <c r="P361" s="61"/>
      <c r="Q361" s="61"/>
      <c r="R361" s="61"/>
      <c r="S361" s="61"/>
      <c r="T361" s="61"/>
    </row>
    <row r="362" spans="1:20" x14ac:dyDescent="0.3">
      <c r="A362" s="61"/>
      <c r="B362" s="61"/>
      <c r="C362" s="61"/>
      <c r="D362" s="61"/>
      <c r="E362" s="61"/>
      <c r="F362" s="61"/>
      <c r="G362" s="61"/>
      <c r="H362" s="61"/>
      <c r="I362" s="61"/>
      <c r="J362" s="61"/>
      <c r="K362" s="61"/>
      <c r="L362" s="61"/>
      <c r="M362" s="61"/>
      <c r="N362" s="61"/>
      <c r="O362" s="61"/>
      <c r="P362" s="61"/>
      <c r="Q362" s="61"/>
      <c r="R362" s="61"/>
      <c r="S362" s="61"/>
      <c r="T362" s="61"/>
    </row>
    <row r="363" spans="1:20" x14ac:dyDescent="0.3">
      <c r="A363" s="61"/>
      <c r="B363" s="61"/>
      <c r="C363" s="61"/>
      <c r="D363" s="61"/>
      <c r="E363" s="61"/>
      <c r="F363" s="61"/>
      <c r="G363" s="61"/>
      <c r="H363" s="61"/>
      <c r="I363" s="61"/>
      <c r="J363" s="61"/>
      <c r="K363" s="61"/>
      <c r="L363" s="61"/>
      <c r="M363" s="61"/>
      <c r="N363" s="61"/>
      <c r="O363" s="61"/>
      <c r="P363" s="61"/>
      <c r="Q363" s="61"/>
      <c r="R363" s="61"/>
      <c r="S363" s="61"/>
      <c r="T363" s="61"/>
    </row>
    <row r="364" spans="1:20" x14ac:dyDescent="0.3">
      <c r="A364" s="61"/>
      <c r="B364" s="61"/>
      <c r="C364" s="61"/>
      <c r="D364" s="61"/>
      <c r="E364" s="61"/>
      <c r="F364" s="61"/>
      <c r="G364" s="61"/>
      <c r="H364" s="61"/>
      <c r="I364" s="61"/>
      <c r="J364" s="61"/>
      <c r="K364" s="61"/>
      <c r="L364" s="61"/>
      <c r="M364" s="61"/>
      <c r="N364" s="61"/>
      <c r="O364" s="61"/>
      <c r="P364" s="61"/>
      <c r="Q364" s="61"/>
      <c r="R364" s="61"/>
      <c r="S364" s="61"/>
      <c r="T364" s="61"/>
    </row>
    <row r="365" spans="1:20" x14ac:dyDescent="0.3">
      <c r="A365" s="61"/>
      <c r="B365" s="61"/>
      <c r="C365" s="61"/>
      <c r="D365" s="61"/>
      <c r="E365" s="61"/>
      <c r="F365" s="61"/>
      <c r="G365" s="61"/>
      <c r="H365" s="61"/>
      <c r="I365" s="61"/>
      <c r="J365" s="61"/>
      <c r="K365" s="61"/>
      <c r="L365" s="61"/>
      <c r="M365" s="61"/>
      <c r="N365" s="61"/>
      <c r="O365" s="61"/>
      <c r="P365" s="61"/>
      <c r="Q365" s="61"/>
      <c r="R365" s="61"/>
      <c r="S365" s="61"/>
      <c r="T365" s="61"/>
    </row>
    <row r="366" spans="1:20" x14ac:dyDescent="0.3">
      <c r="A366" s="61"/>
      <c r="B366" s="61"/>
      <c r="C366" s="61"/>
      <c r="D366" s="61"/>
      <c r="E366" s="61"/>
      <c r="F366" s="61"/>
      <c r="G366" s="61"/>
      <c r="H366" s="61"/>
      <c r="I366" s="61"/>
      <c r="J366" s="61"/>
      <c r="K366" s="61"/>
      <c r="L366" s="61"/>
      <c r="M366" s="61"/>
      <c r="N366" s="61"/>
      <c r="O366" s="61"/>
      <c r="P366" s="61"/>
      <c r="Q366" s="61"/>
      <c r="R366" s="61"/>
      <c r="S366" s="61"/>
      <c r="T366" s="61"/>
    </row>
    <row r="367" spans="1:20" x14ac:dyDescent="0.3">
      <c r="A367" s="61"/>
      <c r="B367" s="61"/>
      <c r="C367" s="61"/>
      <c r="D367" s="61"/>
      <c r="E367" s="61"/>
      <c r="F367" s="61"/>
      <c r="G367" s="61"/>
      <c r="H367" s="61"/>
      <c r="I367" s="61"/>
      <c r="J367" s="61"/>
      <c r="K367" s="61"/>
      <c r="L367" s="61"/>
      <c r="M367" s="61"/>
      <c r="N367" s="61"/>
      <c r="O367" s="61"/>
      <c r="P367" s="61"/>
      <c r="Q367" s="61"/>
      <c r="R367" s="61"/>
      <c r="S367" s="61"/>
      <c r="T367" s="61"/>
    </row>
    <row r="368" spans="1:20" x14ac:dyDescent="0.3">
      <c r="A368" s="61"/>
      <c r="B368" s="61"/>
      <c r="C368" s="61"/>
      <c r="D368" s="61"/>
      <c r="E368" s="61"/>
      <c r="F368" s="61"/>
      <c r="G368" s="61"/>
      <c r="H368" s="61"/>
      <c r="I368" s="61"/>
      <c r="J368" s="61"/>
      <c r="K368" s="61"/>
      <c r="L368" s="61"/>
      <c r="M368" s="61"/>
      <c r="N368" s="61"/>
      <c r="O368" s="61"/>
      <c r="P368" s="61"/>
      <c r="Q368" s="61"/>
      <c r="R368" s="61"/>
      <c r="S368" s="61"/>
      <c r="T368" s="61"/>
    </row>
    <row r="369" spans="1:20" x14ac:dyDescent="0.3">
      <c r="A369" s="61"/>
      <c r="B369" s="61"/>
      <c r="C369" s="61"/>
      <c r="D369" s="61"/>
      <c r="E369" s="61"/>
      <c r="F369" s="61"/>
      <c r="G369" s="61"/>
      <c r="H369" s="61"/>
      <c r="I369" s="61"/>
      <c r="J369" s="61"/>
      <c r="K369" s="61"/>
      <c r="L369" s="61"/>
      <c r="M369" s="61"/>
      <c r="N369" s="61"/>
      <c r="O369" s="61"/>
      <c r="P369" s="61"/>
      <c r="Q369" s="61"/>
      <c r="R369" s="61"/>
      <c r="S369" s="61"/>
      <c r="T369" s="61"/>
    </row>
    <row r="370" spans="1:20" x14ac:dyDescent="0.3">
      <c r="A370" s="61"/>
      <c r="B370" s="61"/>
      <c r="C370" s="61"/>
      <c r="D370" s="61"/>
      <c r="E370" s="61"/>
      <c r="F370" s="61"/>
      <c r="G370" s="61"/>
      <c r="H370" s="61"/>
      <c r="I370" s="61"/>
      <c r="J370" s="61"/>
      <c r="K370" s="61"/>
      <c r="L370" s="61"/>
      <c r="M370" s="61"/>
      <c r="N370" s="61"/>
      <c r="O370" s="61"/>
      <c r="P370" s="61"/>
      <c r="Q370" s="61"/>
      <c r="R370" s="61"/>
      <c r="S370" s="61"/>
      <c r="T370" s="61"/>
    </row>
    <row r="371" spans="1:20" x14ac:dyDescent="0.3">
      <c r="A371" s="61"/>
      <c r="B371" s="61"/>
      <c r="C371" s="61"/>
      <c r="D371" s="61"/>
      <c r="E371" s="61"/>
      <c r="F371" s="61"/>
      <c r="G371" s="61"/>
      <c r="H371" s="61"/>
      <c r="I371" s="61"/>
      <c r="J371" s="61"/>
      <c r="K371" s="61"/>
      <c r="L371" s="61"/>
      <c r="M371" s="61"/>
      <c r="N371" s="61"/>
      <c r="O371" s="61"/>
      <c r="P371" s="61"/>
      <c r="Q371" s="61"/>
      <c r="R371" s="61"/>
      <c r="S371" s="61"/>
      <c r="T371" s="61"/>
    </row>
    <row r="372" spans="1:20" x14ac:dyDescent="0.3">
      <c r="A372" s="61"/>
      <c r="B372" s="61"/>
      <c r="C372" s="61"/>
      <c r="D372" s="61"/>
      <c r="E372" s="61"/>
      <c r="F372" s="61"/>
      <c r="G372" s="61"/>
      <c r="H372" s="61"/>
      <c r="I372" s="61"/>
      <c r="J372" s="61"/>
      <c r="K372" s="61"/>
      <c r="L372" s="61"/>
      <c r="M372" s="61"/>
      <c r="N372" s="61"/>
      <c r="O372" s="61"/>
      <c r="P372" s="61"/>
      <c r="Q372" s="61"/>
      <c r="R372" s="61"/>
      <c r="S372" s="61"/>
      <c r="T372" s="61"/>
    </row>
    <row r="373" spans="1:20" x14ac:dyDescent="0.3">
      <c r="A373" s="61"/>
      <c r="B373" s="61"/>
      <c r="C373" s="61"/>
      <c r="D373" s="61"/>
      <c r="E373" s="61"/>
      <c r="F373" s="61"/>
      <c r="G373" s="61"/>
      <c r="H373" s="61"/>
      <c r="I373" s="61"/>
      <c r="J373" s="61"/>
      <c r="K373" s="61"/>
      <c r="L373" s="61"/>
      <c r="M373" s="61"/>
      <c r="N373" s="61"/>
      <c r="O373" s="61"/>
      <c r="P373" s="61"/>
      <c r="Q373" s="61"/>
      <c r="R373" s="61"/>
      <c r="S373" s="61"/>
      <c r="T373" s="61"/>
    </row>
    <row r="374" spans="1:20" x14ac:dyDescent="0.3">
      <c r="A374" s="61"/>
      <c r="B374" s="61"/>
      <c r="C374" s="61"/>
      <c r="D374" s="61"/>
      <c r="E374" s="61"/>
      <c r="F374" s="61"/>
      <c r="G374" s="61"/>
      <c r="H374" s="61"/>
      <c r="I374" s="61"/>
      <c r="J374" s="61"/>
      <c r="K374" s="61"/>
      <c r="L374" s="61"/>
      <c r="M374" s="61"/>
      <c r="N374" s="61"/>
      <c r="O374" s="61"/>
      <c r="P374" s="61"/>
      <c r="Q374" s="61"/>
      <c r="R374" s="61"/>
      <c r="S374" s="61"/>
      <c r="T374" s="61"/>
    </row>
    <row r="375" spans="1:20" x14ac:dyDescent="0.3">
      <c r="A375" s="61"/>
      <c r="B375" s="61"/>
      <c r="C375" s="61"/>
      <c r="D375" s="61"/>
      <c r="E375" s="61"/>
      <c r="F375" s="61"/>
      <c r="G375" s="61"/>
      <c r="H375" s="61"/>
      <c r="I375" s="61"/>
      <c r="J375" s="61"/>
      <c r="K375" s="61"/>
      <c r="L375" s="61"/>
      <c r="M375" s="61"/>
      <c r="N375" s="61"/>
      <c r="O375" s="61"/>
      <c r="P375" s="61"/>
      <c r="Q375" s="61"/>
      <c r="R375" s="61"/>
      <c r="S375" s="61"/>
      <c r="T375" s="61"/>
    </row>
    <row r="376" spans="1:20" x14ac:dyDescent="0.3">
      <c r="A376" s="61"/>
      <c r="B376" s="61"/>
      <c r="C376" s="61"/>
      <c r="D376" s="61"/>
      <c r="E376" s="61"/>
      <c r="F376" s="61"/>
      <c r="G376" s="61"/>
      <c r="H376" s="61"/>
      <c r="I376" s="61"/>
      <c r="J376" s="61"/>
      <c r="K376" s="61"/>
      <c r="L376" s="61"/>
      <c r="M376" s="61"/>
      <c r="N376" s="61"/>
      <c r="O376" s="61"/>
      <c r="P376" s="61"/>
      <c r="Q376" s="61"/>
      <c r="R376" s="61"/>
      <c r="S376" s="61"/>
      <c r="T376" s="61"/>
    </row>
    <row r="377" spans="1:20" x14ac:dyDescent="0.3">
      <c r="A377" s="61"/>
      <c r="B377" s="61"/>
      <c r="C377" s="61"/>
      <c r="D377" s="61"/>
      <c r="E377" s="61"/>
      <c r="F377" s="61"/>
      <c r="G377" s="61"/>
      <c r="H377" s="61"/>
      <c r="I377" s="61"/>
      <c r="J377" s="61"/>
      <c r="K377" s="61"/>
      <c r="L377" s="61"/>
      <c r="M377" s="61"/>
      <c r="N377" s="61"/>
      <c r="O377" s="61"/>
      <c r="P377" s="61"/>
      <c r="Q377" s="61"/>
      <c r="R377" s="61"/>
      <c r="S377" s="61"/>
      <c r="T377" s="61"/>
    </row>
    <row r="378" spans="1:20" x14ac:dyDescent="0.3">
      <c r="A378" s="61"/>
      <c r="B378" s="61"/>
      <c r="C378" s="61"/>
      <c r="D378" s="61"/>
      <c r="E378" s="61"/>
      <c r="F378" s="61"/>
      <c r="G378" s="61"/>
      <c r="H378" s="61"/>
      <c r="I378" s="61"/>
      <c r="J378" s="61"/>
      <c r="K378" s="61"/>
      <c r="L378" s="61"/>
      <c r="M378" s="61"/>
      <c r="N378" s="61"/>
      <c r="O378" s="61"/>
      <c r="P378" s="61"/>
      <c r="Q378" s="61"/>
      <c r="R378" s="61"/>
      <c r="S378" s="61"/>
      <c r="T378" s="61"/>
    </row>
    <row r="379" spans="1:20" x14ac:dyDescent="0.3">
      <c r="A379" s="61"/>
      <c r="B379" s="61"/>
      <c r="C379" s="61"/>
      <c r="D379" s="61"/>
      <c r="E379" s="61"/>
      <c r="F379" s="61"/>
      <c r="G379" s="61"/>
      <c r="H379" s="61"/>
      <c r="I379" s="61"/>
      <c r="J379" s="61"/>
      <c r="K379" s="61"/>
      <c r="L379" s="61"/>
      <c r="M379" s="61"/>
      <c r="N379" s="61"/>
      <c r="O379" s="61"/>
      <c r="P379" s="61"/>
      <c r="Q379" s="61"/>
      <c r="R379" s="61"/>
      <c r="S379" s="61"/>
      <c r="T379" s="61"/>
    </row>
    <row r="380" spans="1:20" x14ac:dyDescent="0.3">
      <c r="A380" s="61"/>
      <c r="B380" s="61"/>
      <c r="C380" s="61"/>
      <c r="D380" s="61"/>
      <c r="E380" s="61"/>
      <c r="F380" s="61"/>
      <c r="G380" s="61"/>
      <c r="H380" s="61"/>
      <c r="I380" s="61"/>
      <c r="J380" s="61"/>
      <c r="K380" s="61"/>
      <c r="L380" s="61"/>
      <c r="M380" s="61"/>
      <c r="N380" s="61"/>
      <c r="O380" s="61"/>
      <c r="P380" s="61"/>
      <c r="Q380" s="61"/>
      <c r="R380" s="61"/>
      <c r="S380" s="61"/>
      <c r="T380" s="61"/>
    </row>
    <row r="381" spans="1:20" x14ac:dyDescent="0.3">
      <c r="A381" s="61"/>
      <c r="B381" s="61"/>
      <c r="C381" s="61"/>
      <c r="D381" s="61"/>
      <c r="E381" s="61"/>
      <c r="F381" s="61"/>
      <c r="G381" s="61"/>
      <c r="H381" s="61"/>
      <c r="I381" s="61"/>
      <c r="J381" s="61"/>
      <c r="K381" s="61"/>
      <c r="L381" s="61"/>
      <c r="M381" s="61"/>
      <c r="N381" s="61"/>
      <c r="O381" s="61"/>
      <c r="P381" s="61"/>
      <c r="Q381" s="61"/>
      <c r="R381" s="61"/>
      <c r="S381" s="61"/>
      <c r="T381" s="61"/>
    </row>
    <row r="382" spans="1:20" x14ac:dyDescent="0.3">
      <c r="A382" s="61"/>
      <c r="B382" s="61"/>
      <c r="C382" s="61"/>
      <c r="D382" s="61"/>
      <c r="E382" s="61"/>
      <c r="F382" s="61"/>
      <c r="G382" s="61"/>
      <c r="H382" s="61"/>
      <c r="I382" s="61"/>
      <c r="J382" s="61"/>
      <c r="K382" s="61"/>
      <c r="L382" s="61"/>
      <c r="M382" s="61"/>
      <c r="N382" s="61"/>
      <c r="O382" s="61"/>
      <c r="P382" s="61"/>
      <c r="Q382" s="61"/>
      <c r="R382" s="61"/>
      <c r="S382" s="61"/>
      <c r="T382" s="61"/>
    </row>
    <row r="383" spans="1:20" x14ac:dyDescent="0.3">
      <c r="A383" s="61"/>
      <c r="B383" s="61"/>
      <c r="C383" s="61"/>
      <c r="D383" s="61"/>
      <c r="E383" s="61"/>
      <c r="F383" s="61"/>
      <c r="G383" s="61"/>
      <c r="H383" s="61"/>
      <c r="I383" s="61"/>
      <c r="J383" s="61"/>
      <c r="K383" s="61"/>
      <c r="L383" s="61"/>
      <c r="M383" s="61"/>
      <c r="N383" s="61"/>
      <c r="O383" s="61"/>
      <c r="P383" s="61"/>
      <c r="Q383" s="61"/>
      <c r="R383" s="61"/>
      <c r="S383" s="61"/>
      <c r="T383" s="61"/>
    </row>
    <row r="384" spans="1:20" x14ac:dyDescent="0.3">
      <c r="A384" s="61"/>
      <c r="B384" s="61"/>
      <c r="C384" s="61"/>
      <c r="D384" s="61"/>
      <c r="E384" s="61"/>
      <c r="F384" s="61"/>
      <c r="G384" s="61"/>
      <c r="H384" s="61"/>
      <c r="I384" s="61"/>
      <c r="J384" s="61"/>
      <c r="K384" s="61"/>
      <c r="L384" s="61"/>
      <c r="M384" s="61"/>
      <c r="N384" s="61"/>
      <c r="O384" s="61"/>
      <c r="P384" s="61"/>
      <c r="Q384" s="61"/>
      <c r="R384" s="61"/>
      <c r="S384" s="61"/>
      <c r="T384" s="61"/>
    </row>
    <row r="385" spans="1:20" x14ac:dyDescent="0.3">
      <c r="A385" s="61"/>
      <c r="B385" s="61"/>
      <c r="C385" s="61"/>
      <c r="D385" s="61"/>
      <c r="E385" s="61"/>
      <c r="F385" s="61"/>
      <c r="G385" s="61"/>
      <c r="H385" s="61"/>
      <c r="I385" s="61"/>
      <c r="J385" s="61"/>
      <c r="K385" s="61"/>
      <c r="L385" s="61"/>
      <c r="M385" s="61"/>
      <c r="N385" s="61"/>
      <c r="O385" s="61"/>
      <c r="P385" s="61"/>
      <c r="Q385" s="61"/>
      <c r="R385" s="61"/>
      <c r="S385" s="61"/>
      <c r="T385" s="61"/>
    </row>
    <row r="386" spans="1:20" x14ac:dyDescent="0.3">
      <c r="A386" s="61"/>
      <c r="B386" s="61"/>
      <c r="C386" s="61"/>
      <c r="D386" s="61"/>
      <c r="E386" s="61"/>
      <c r="F386" s="61"/>
      <c r="G386" s="61"/>
      <c r="H386" s="61"/>
      <c r="I386" s="61"/>
      <c r="J386" s="61"/>
      <c r="K386" s="61"/>
      <c r="L386" s="61"/>
      <c r="M386" s="61"/>
      <c r="N386" s="61"/>
      <c r="O386" s="61"/>
      <c r="P386" s="61"/>
      <c r="Q386" s="61"/>
      <c r="R386" s="61"/>
      <c r="S386" s="61"/>
      <c r="T386" s="61"/>
    </row>
    <row r="387" spans="1:20" x14ac:dyDescent="0.3">
      <c r="A387" s="61"/>
      <c r="B387" s="61"/>
      <c r="C387" s="61"/>
      <c r="D387" s="61"/>
      <c r="E387" s="61"/>
      <c r="F387" s="61"/>
      <c r="G387" s="61"/>
      <c r="H387" s="61"/>
      <c r="I387" s="61"/>
      <c r="J387" s="61"/>
      <c r="K387" s="61"/>
      <c r="L387" s="61"/>
      <c r="M387" s="61"/>
      <c r="N387" s="61"/>
      <c r="O387" s="61"/>
      <c r="P387" s="61"/>
      <c r="Q387" s="61"/>
      <c r="R387" s="61"/>
      <c r="S387" s="61"/>
      <c r="T387" s="61"/>
    </row>
    <row r="388" spans="1:20" x14ac:dyDescent="0.3">
      <c r="A388" s="61"/>
      <c r="B388" s="61"/>
      <c r="C388" s="61"/>
      <c r="D388" s="61"/>
      <c r="E388" s="61"/>
      <c r="F388" s="61"/>
      <c r="G388" s="61"/>
      <c r="H388" s="61"/>
      <c r="I388" s="61"/>
      <c r="J388" s="61"/>
      <c r="K388" s="61"/>
      <c r="L388" s="61"/>
      <c r="M388" s="61"/>
      <c r="N388" s="61"/>
      <c r="O388" s="61"/>
      <c r="P388" s="61"/>
      <c r="Q388" s="61"/>
      <c r="R388" s="61"/>
      <c r="S388" s="61"/>
      <c r="T388" s="61"/>
    </row>
    <row r="389" spans="1:20" x14ac:dyDescent="0.3">
      <c r="A389" s="61"/>
      <c r="B389" s="61"/>
      <c r="C389" s="61"/>
      <c r="D389" s="61"/>
      <c r="E389" s="61"/>
      <c r="F389" s="61"/>
      <c r="G389" s="61"/>
      <c r="H389" s="61"/>
      <c r="I389" s="61"/>
      <c r="J389" s="61"/>
      <c r="K389" s="61"/>
      <c r="L389" s="61"/>
      <c r="M389" s="61"/>
      <c r="N389" s="61"/>
      <c r="O389" s="61"/>
      <c r="P389" s="61"/>
      <c r="Q389" s="61"/>
      <c r="R389" s="61"/>
      <c r="S389" s="61"/>
      <c r="T389" s="61"/>
    </row>
    <row r="390" spans="1:20" x14ac:dyDescent="0.3">
      <c r="A390" s="61"/>
      <c r="B390" s="61"/>
      <c r="C390" s="61"/>
      <c r="D390" s="61"/>
      <c r="E390" s="61"/>
      <c r="F390" s="61"/>
      <c r="G390" s="61"/>
      <c r="H390" s="61"/>
      <c r="I390" s="61"/>
      <c r="J390" s="61"/>
      <c r="K390" s="61"/>
      <c r="L390" s="61"/>
      <c r="M390" s="61"/>
      <c r="N390" s="61"/>
      <c r="O390" s="61"/>
      <c r="P390" s="61"/>
      <c r="Q390" s="61"/>
      <c r="R390" s="61"/>
      <c r="S390" s="61"/>
      <c r="T390" s="61"/>
    </row>
    <row r="391" spans="1:20" x14ac:dyDescent="0.3">
      <c r="A391" s="61"/>
      <c r="B391" s="61"/>
      <c r="C391" s="61"/>
      <c r="D391" s="61"/>
      <c r="E391" s="61"/>
      <c r="F391" s="61"/>
      <c r="G391" s="61"/>
      <c r="H391" s="61"/>
      <c r="I391" s="61"/>
      <c r="J391" s="61"/>
      <c r="K391" s="61"/>
      <c r="L391" s="61"/>
      <c r="M391" s="61"/>
      <c r="N391" s="61"/>
      <c r="O391" s="61"/>
      <c r="P391" s="61"/>
      <c r="Q391" s="61"/>
      <c r="R391" s="61"/>
      <c r="S391" s="61"/>
      <c r="T391" s="61"/>
    </row>
    <row r="392" spans="1:20" x14ac:dyDescent="0.3">
      <c r="A392" s="61"/>
      <c r="B392" s="61"/>
      <c r="C392" s="61"/>
      <c r="D392" s="61"/>
      <c r="E392" s="61"/>
      <c r="F392" s="61"/>
      <c r="G392" s="61"/>
      <c r="H392" s="61"/>
      <c r="I392" s="61"/>
      <c r="J392" s="61"/>
      <c r="K392" s="61"/>
      <c r="L392" s="61"/>
      <c r="M392" s="61"/>
      <c r="N392" s="61"/>
      <c r="O392" s="61"/>
      <c r="P392" s="61"/>
      <c r="Q392" s="61"/>
      <c r="R392" s="61"/>
      <c r="S392" s="61"/>
      <c r="T392" s="61"/>
    </row>
    <row r="393" spans="1:20" x14ac:dyDescent="0.3">
      <c r="A393" s="61"/>
      <c r="B393" s="61"/>
      <c r="C393" s="61"/>
      <c r="D393" s="61"/>
      <c r="E393" s="61"/>
      <c r="F393" s="61"/>
      <c r="G393" s="61"/>
      <c r="H393" s="61"/>
      <c r="I393" s="61"/>
      <c r="J393" s="61"/>
      <c r="K393" s="61"/>
      <c r="L393" s="61"/>
      <c r="M393" s="61"/>
      <c r="N393" s="61"/>
      <c r="O393" s="61"/>
      <c r="P393" s="61"/>
      <c r="Q393" s="61"/>
      <c r="R393" s="61"/>
      <c r="S393" s="61"/>
      <c r="T393" s="61"/>
    </row>
    <row r="394" spans="1:20" x14ac:dyDescent="0.3">
      <c r="A394" s="61"/>
      <c r="B394" s="61"/>
      <c r="C394" s="61"/>
      <c r="D394" s="61"/>
      <c r="E394" s="61"/>
      <c r="F394" s="61"/>
      <c r="G394" s="61"/>
      <c r="H394" s="61"/>
      <c r="I394" s="61"/>
      <c r="J394" s="61"/>
      <c r="K394" s="61"/>
      <c r="L394" s="61"/>
      <c r="M394" s="61"/>
      <c r="N394" s="61"/>
      <c r="O394" s="61"/>
      <c r="P394" s="61"/>
      <c r="Q394" s="61"/>
      <c r="R394" s="61"/>
      <c r="S394" s="61"/>
      <c r="T394" s="61"/>
    </row>
    <row r="395" spans="1:20" x14ac:dyDescent="0.3">
      <c r="A395" s="61"/>
      <c r="B395" s="61"/>
      <c r="C395" s="61"/>
      <c r="D395" s="61"/>
      <c r="E395" s="61"/>
      <c r="F395" s="61"/>
      <c r="G395" s="61"/>
      <c r="H395" s="61"/>
      <c r="I395" s="61"/>
      <c r="J395" s="61"/>
      <c r="K395" s="61"/>
      <c r="L395" s="61"/>
      <c r="M395" s="61"/>
      <c r="N395" s="61"/>
      <c r="O395" s="61"/>
      <c r="P395" s="61"/>
      <c r="Q395" s="61"/>
      <c r="R395" s="61"/>
      <c r="S395" s="61"/>
      <c r="T395" s="61"/>
    </row>
    <row r="396" spans="1:20" x14ac:dyDescent="0.3">
      <c r="A396" s="61"/>
      <c r="B396" s="61"/>
      <c r="C396" s="61"/>
      <c r="D396" s="61"/>
      <c r="E396" s="61"/>
      <c r="F396" s="61"/>
      <c r="G396" s="61"/>
      <c r="H396" s="61"/>
      <c r="I396" s="61"/>
      <c r="J396" s="61"/>
      <c r="K396" s="61"/>
      <c r="L396" s="61"/>
      <c r="M396" s="61"/>
      <c r="N396" s="61"/>
      <c r="O396" s="61"/>
      <c r="P396" s="61"/>
      <c r="Q396" s="61"/>
      <c r="R396" s="61"/>
      <c r="S396" s="61"/>
      <c r="T396" s="61"/>
    </row>
    <row r="397" spans="1:20" x14ac:dyDescent="0.3">
      <c r="A397" s="61"/>
      <c r="B397" s="61"/>
      <c r="C397" s="61"/>
      <c r="D397" s="61"/>
      <c r="E397" s="61"/>
      <c r="F397" s="61"/>
      <c r="G397" s="61"/>
      <c r="H397" s="61"/>
      <c r="I397" s="61"/>
      <c r="J397" s="61"/>
      <c r="K397" s="61"/>
      <c r="L397" s="61"/>
      <c r="M397" s="61"/>
      <c r="N397" s="61"/>
      <c r="O397" s="61"/>
      <c r="P397" s="61"/>
      <c r="Q397" s="61"/>
      <c r="R397" s="61"/>
      <c r="S397" s="61"/>
      <c r="T397" s="61"/>
    </row>
    <row r="398" spans="1:20" x14ac:dyDescent="0.3">
      <c r="A398" s="61"/>
      <c r="B398" s="61"/>
      <c r="C398" s="61"/>
      <c r="D398" s="61"/>
      <c r="E398" s="61"/>
      <c r="F398" s="61"/>
      <c r="G398" s="61"/>
      <c r="H398" s="61"/>
      <c r="I398" s="61"/>
      <c r="J398" s="61"/>
      <c r="K398" s="61"/>
      <c r="L398" s="61"/>
      <c r="M398" s="61"/>
      <c r="N398" s="61"/>
      <c r="O398" s="61"/>
      <c r="P398" s="61"/>
      <c r="Q398" s="61"/>
      <c r="R398" s="61"/>
      <c r="S398" s="61"/>
      <c r="T398" s="61"/>
    </row>
    <row r="399" spans="1:20" x14ac:dyDescent="0.3">
      <c r="A399" s="61"/>
      <c r="B399" s="61"/>
      <c r="C399" s="61"/>
      <c r="D399" s="61"/>
      <c r="E399" s="61"/>
      <c r="F399" s="61"/>
      <c r="G399" s="61"/>
      <c r="H399" s="61"/>
      <c r="I399" s="61"/>
      <c r="J399" s="61"/>
      <c r="K399" s="61"/>
      <c r="L399" s="61"/>
      <c r="M399" s="61"/>
      <c r="N399" s="61"/>
      <c r="O399" s="61"/>
      <c r="P399" s="61"/>
      <c r="Q399" s="61"/>
      <c r="R399" s="61"/>
      <c r="S399" s="61"/>
      <c r="T399" s="61"/>
    </row>
    <row r="400" spans="1:20" x14ac:dyDescent="0.3">
      <c r="A400" s="61"/>
      <c r="B400" s="61"/>
      <c r="C400" s="61"/>
      <c r="D400" s="61"/>
      <c r="E400" s="61"/>
      <c r="F400" s="61"/>
      <c r="G400" s="61"/>
      <c r="H400" s="61"/>
      <c r="I400" s="61"/>
      <c r="J400" s="61"/>
      <c r="K400" s="61"/>
      <c r="L400" s="61"/>
      <c r="M400" s="61"/>
      <c r="N400" s="61"/>
      <c r="O400" s="61"/>
      <c r="P400" s="61"/>
      <c r="Q400" s="61"/>
      <c r="R400" s="61"/>
      <c r="S400" s="61"/>
      <c r="T400" s="61"/>
    </row>
    <row r="401" spans="1:20" x14ac:dyDescent="0.3">
      <c r="A401" s="61"/>
      <c r="B401" s="61"/>
      <c r="C401" s="61"/>
      <c r="D401" s="61"/>
      <c r="E401" s="61"/>
      <c r="F401" s="61"/>
      <c r="G401" s="61"/>
      <c r="H401" s="61"/>
      <c r="I401" s="61"/>
      <c r="J401" s="61"/>
      <c r="K401" s="61"/>
      <c r="L401" s="61"/>
      <c r="M401" s="61"/>
      <c r="N401" s="61"/>
      <c r="O401" s="61"/>
      <c r="P401" s="61"/>
      <c r="Q401" s="61"/>
      <c r="R401" s="61"/>
      <c r="S401" s="61"/>
      <c r="T401" s="61"/>
    </row>
    <row r="402" spans="1:20" x14ac:dyDescent="0.3">
      <c r="A402" s="61"/>
      <c r="B402" s="61"/>
      <c r="C402" s="61"/>
      <c r="D402" s="61"/>
      <c r="E402" s="61"/>
      <c r="F402" s="61"/>
      <c r="G402" s="61"/>
      <c r="H402" s="61"/>
      <c r="I402" s="61"/>
      <c r="J402" s="61"/>
      <c r="K402" s="61"/>
      <c r="L402" s="61"/>
      <c r="M402" s="61"/>
      <c r="N402" s="61"/>
      <c r="O402" s="61"/>
      <c r="P402" s="61"/>
      <c r="Q402" s="61"/>
      <c r="R402" s="61"/>
      <c r="S402" s="61"/>
      <c r="T402" s="61"/>
    </row>
    <row r="403" spans="1:20" x14ac:dyDescent="0.3">
      <c r="A403" s="61"/>
      <c r="B403" s="61"/>
      <c r="C403" s="61"/>
      <c r="D403" s="61"/>
      <c r="E403" s="61"/>
      <c r="F403" s="61"/>
      <c r="G403" s="61"/>
      <c r="H403" s="61"/>
      <c r="I403" s="61"/>
      <c r="J403" s="61"/>
      <c r="K403" s="61"/>
      <c r="L403" s="61"/>
      <c r="M403" s="61"/>
      <c r="N403" s="61"/>
      <c r="O403" s="61"/>
      <c r="P403" s="61"/>
      <c r="Q403" s="61"/>
      <c r="R403" s="61"/>
      <c r="S403" s="61"/>
      <c r="T403" s="61"/>
    </row>
    <row r="404" spans="1:20" x14ac:dyDescent="0.3">
      <c r="A404" s="61"/>
      <c r="B404" s="61"/>
      <c r="C404" s="61"/>
      <c r="D404" s="61"/>
      <c r="E404" s="61"/>
      <c r="F404" s="61"/>
      <c r="G404" s="61"/>
      <c r="H404" s="61"/>
      <c r="I404" s="61"/>
      <c r="J404" s="61"/>
      <c r="K404" s="61"/>
      <c r="L404" s="61"/>
      <c r="M404" s="61"/>
      <c r="N404" s="61"/>
      <c r="O404" s="61"/>
      <c r="P404" s="61"/>
      <c r="Q404" s="61"/>
      <c r="R404" s="61"/>
      <c r="S404" s="61"/>
      <c r="T404" s="61"/>
    </row>
    <row r="405" spans="1:20" x14ac:dyDescent="0.3">
      <c r="A405" s="61"/>
      <c r="B405" s="61"/>
      <c r="C405" s="61"/>
      <c r="D405" s="61"/>
      <c r="E405" s="61"/>
      <c r="F405" s="61"/>
      <c r="G405" s="61"/>
      <c r="H405" s="61"/>
      <c r="I405" s="61"/>
      <c r="J405" s="61"/>
      <c r="K405" s="61"/>
      <c r="L405" s="61"/>
      <c r="M405" s="61"/>
      <c r="N405" s="61"/>
      <c r="O405" s="61"/>
      <c r="P405" s="61"/>
      <c r="Q405" s="61"/>
      <c r="R405" s="61"/>
      <c r="S405" s="61"/>
      <c r="T405" s="61"/>
    </row>
    <row r="406" spans="1:20" x14ac:dyDescent="0.3">
      <c r="A406" s="61"/>
      <c r="B406" s="61"/>
      <c r="C406" s="61"/>
      <c r="D406" s="61"/>
      <c r="E406" s="61"/>
      <c r="F406" s="61"/>
      <c r="G406" s="61"/>
      <c r="H406" s="61"/>
      <c r="I406" s="61"/>
      <c r="J406" s="61"/>
      <c r="K406" s="61"/>
      <c r="L406" s="61"/>
      <c r="M406" s="61"/>
      <c r="N406" s="61"/>
      <c r="O406" s="61"/>
      <c r="P406" s="61"/>
      <c r="Q406" s="61"/>
      <c r="R406" s="61"/>
      <c r="S406" s="61"/>
      <c r="T406" s="61"/>
    </row>
    <row r="407" spans="1:20" x14ac:dyDescent="0.3">
      <c r="A407" s="61"/>
      <c r="B407" s="61"/>
      <c r="C407" s="61"/>
      <c r="D407" s="61"/>
      <c r="E407" s="61"/>
      <c r="F407" s="61"/>
      <c r="G407" s="61"/>
      <c r="H407" s="61"/>
      <c r="I407" s="61"/>
      <c r="J407" s="61"/>
      <c r="K407" s="61"/>
      <c r="L407" s="61"/>
      <c r="M407" s="61"/>
      <c r="N407" s="61"/>
      <c r="O407" s="61"/>
      <c r="P407" s="61"/>
      <c r="Q407" s="61"/>
      <c r="R407" s="61"/>
      <c r="S407" s="61"/>
      <c r="T407" s="61"/>
    </row>
    <row r="408" spans="1:20" x14ac:dyDescent="0.3">
      <c r="A408" s="61"/>
      <c r="B408" s="61"/>
      <c r="C408" s="61"/>
      <c r="D408" s="61"/>
      <c r="E408" s="61"/>
      <c r="F408" s="61"/>
      <c r="G408" s="61"/>
      <c r="H408" s="61"/>
      <c r="I408" s="61"/>
      <c r="J408" s="61"/>
      <c r="K408" s="61"/>
      <c r="L408" s="61"/>
      <c r="M408" s="61"/>
      <c r="N408" s="61"/>
      <c r="O408" s="61"/>
      <c r="P408" s="61"/>
      <c r="Q408" s="61"/>
      <c r="R408" s="61"/>
      <c r="S408" s="61"/>
      <c r="T408" s="61"/>
    </row>
    <row r="409" spans="1:20" x14ac:dyDescent="0.3">
      <c r="A409" s="61"/>
      <c r="B409" s="61"/>
      <c r="C409" s="61"/>
      <c r="D409" s="61"/>
      <c r="E409" s="61"/>
      <c r="F409" s="61"/>
      <c r="G409" s="61"/>
      <c r="H409" s="61"/>
      <c r="I409" s="61"/>
      <c r="J409" s="61"/>
      <c r="K409" s="61"/>
      <c r="L409" s="61"/>
      <c r="M409" s="61"/>
      <c r="N409" s="61"/>
      <c r="O409" s="61"/>
      <c r="P409" s="61"/>
      <c r="Q409" s="61"/>
      <c r="R409" s="61"/>
      <c r="S409" s="61"/>
      <c r="T409" s="61"/>
    </row>
    <row r="410" spans="1:20" x14ac:dyDescent="0.3">
      <c r="A410" s="61"/>
      <c r="B410" s="61"/>
      <c r="C410" s="61"/>
      <c r="D410" s="61"/>
      <c r="E410" s="61"/>
      <c r="F410" s="61"/>
      <c r="G410" s="61"/>
      <c r="H410" s="61"/>
      <c r="I410" s="61"/>
      <c r="J410" s="61"/>
      <c r="K410" s="61"/>
      <c r="L410" s="61"/>
      <c r="M410" s="61"/>
      <c r="N410" s="61"/>
      <c r="O410" s="61"/>
      <c r="P410" s="61"/>
      <c r="Q410" s="61"/>
      <c r="R410" s="61"/>
      <c r="S410" s="61"/>
      <c r="T410" s="61"/>
    </row>
    <row r="411" spans="1:20" x14ac:dyDescent="0.3">
      <c r="A411" s="61"/>
      <c r="B411" s="61"/>
      <c r="C411" s="61"/>
      <c r="D411" s="61"/>
      <c r="E411" s="61"/>
      <c r="F411" s="61"/>
      <c r="G411" s="61"/>
      <c r="H411" s="61"/>
      <c r="I411" s="61"/>
      <c r="J411" s="61"/>
      <c r="K411" s="61"/>
      <c r="L411" s="61"/>
      <c r="M411" s="61"/>
      <c r="N411" s="61"/>
      <c r="O411" s="61"/>
      <c r="P411" s="61"/>
      <c r="Q411" s="61"/>
      <c r="R411" s="61"/>
      <c r="S411" s="61"/>
      <c r="T411" s="61"/>
    </row>
    <row r="412" spans="1:20" x14ac:dyDescent="0.3">
      <c r="A412" s="61"/>
      <c r="B412" s="61"/>
      <c r="C412" s="61"/>
      <c r="D412" s="61"/>
      <c r="E412" s="61"/>
      <c r="F412" s="61"/>
      <c r="G412" s="61"/>
      <c r="H412" s="61"/>
      <c r="I412" s="61"/>
      <c r="J412" s="61"/>
      <c r="K412" s="61"/>
      <c r="L412" s="61"/>
      <c r="M412" s="61"/>
      <c r="N412" s="61"/>
      <c r="O412" s="61"/>
      <c r="P412" s="61"/>
      <c r="Q412" s="61"/>
      <c r="R412" s="61"/>
      <c r="S412" s="61"/>
      <c r="T412" s="61"/>
    </row>
    <row r="413" spans="1:20" x14ac:dyDescent="0.3">
      <c r="A413" s="61"/>
      <c r="B413" s="61"/>
      <c r="C413" s="61"/>
      <c r="D413" s="61"/>
      <c r="E413" s="61"/>
      <c r="F413" s="61"/>
      <c r="G413" s="61"/>
      <c r="H413" s="61"/>
      <c r="I413" s="61"/>
      <c r="J413" s="61"/>
      <c r="K413" s="61"/>
      <c r="L413" s="61"/>
      <c r="M413" s="61"/>
      <c r="N413" s="61"/>
      <c r="O413" s="61"/>
      <c r="P413" s="61"/>
      <c r="Q413" s="61"/>
      <c r="R413" s="61"/>
      <c r="S413" s="61"/>
      <c r="T413" s="61"/>
    </row>
    <row r="414" spans="1:20" x14ac:dyDescent="0.3">
      <c r="A414" s="61"/>
      <c r="B414" s="61"/>
      <c r="C414" s="61"/>
      <c r="D414" s="61"/>
      <c r="E414" s="61"/>
      <c r="F414" s="61"/>
      <c r="G414" s="61"/>
      <c r="H414" s="61"/>
      <c r="I414" s="61"/>
      <c r="J414" s="61"/>
      <c r="K414" s="61"/>
      <c r="L414" s="61"/>
      <c r="M414" s="61"/>
      <c r="N414" s="61"/>
      <c r="O414" s="61"/>
      <c r="P414" s="61"/>
      <c r="Q414" s="61"/>
      <c r="R414" s="61"/>
      <c r="S414" s="61"/>
      <c r="T414" s="61"/>
    </row>
    <row r="415" spans="1:20" x14ac:dyDescent="0.3">
      <c r="A415" s="61"/>
      <c r="B415" s="61"/>
      <c r="C415" s="61"/>
      <c r="D415" s="61"/>
      <c r="E415" s="61"/>
      <c r="F415" s="61"/>
      <c r="G415" s="61"/>
      <c r="H415" s="61"/>
      <c r="I415" s="61"/>
      <c r="J415" s="61"/>
      <c r="K415" s="61"/>
      <c r="L415" s="61"/>
      <c r="M415" s="61"/>
      <c r="N415" s="61"/>
      <c r="O415" s="61"/>
      <c r="P415" s="61"/>
      <c r="Q415" s="61"/>
      <c r="R415" s="61"/>
      <c r="S415" s="61"/>
      <c r="T415" s="61"/>
    </row>
    <row r="416" spans="1:20" x14ac:dyDescent="0.3">
      <c r="A416" s="61"/>
      <c r="B416" s="61"/>
      <c r="C416" s="61"/>
      <c r="D416" s="61"/>
      <c r="E416" s="61"/>
      <c r="F416" s="61"/>
      <c r="G416" s="61"/>
      <c r="H416" s="61"/>
      <c r="I416" s="61"/>
      <c r="J416" s="61"/>
      <c r="K416" s="61"/>
      <c r="L416" s="61"/>
      <c r="M416" s="61"/>
      <c r="N416" s="61"/>
      <c r="O416" s="61"/>
      <c r="P416" s="61"/>
      <c r="Q416" s="61"/>
      <c r="R416" s="61"/>
      <c r="S416" s="61"/>
      <c r="T416" s="61"/>
    </row>
    <row r="417" spans="1:20" x14ac:dyDescent="0.3">
      <c r="A417" s="61"/>
      <c r="B417" s="61"/>
      <c r="C417" s="61"/>
      <c r="D417" s="61"/>
      <c r="E417" s="61"/>
      <c r="F417" s="61"/>
      <c r="G417" s="61"/>
      <c r="H417" s="61"/>
      <c r="I417" s="61"/>
      <c r="J417" s="61"/>
      <c r="K417" s="61"/>
      <c r="L417" s="61"/>
      <c r="M417" s="61"/>
      <c r="N417" s="61"/>
      <c r="O417" s="61"/>
      <c r="P417" s="61"/>
      <c r="Q417" s="61"/>
      <c r="R417" s="61"/>
      <c r="S417" s="61"/>
      <c r="T417" s="61"/>
    </row>
    <row r="418" spans="1:20" x14ac:dyDescent="0.3">
      <c r="A418" s="61"/>
      <c r="B418" s="61"/>
      <c r="C418" s="61"/>
      <c r="D418" s="61"/>
      <c r="E418" s="61"/>
      <c r="F418" s="61"/>
      <c r="G418" s="61"/>
      <c r="H418" s="61"/>
      <c r="I418" s="61"/>
      <c r="J418" s="61"/>
      <c r="K418" s="61"/>
      <c r="L418" s="61"/>
      <c r="M418" s="61"/>
      <c r="N418" s="61"/>
      <c r="O418" s="61"/>
      <c r="P418" s="61"/>
      <c r="Q418" s="61"/>
      <c r="R418" s="61"/>
      <c r="S418" s="61"/>
      <c r="T418" s="61"/>
    </row>
    <row r="419" spans="1:20" x14ac:dyDescent="0.3">
      <c r="A419" s="61"/>
      <c r="B419" s="61"/>
      <c r="C419" s="61"/>
      <c r="D419" s="61"/>
      <c r="E419" s="61"/>
      <c r="F419" s="61"/>
      <c r="G419" s="61"/>
      <c r="H419" s="61"/>
      <c r="I419" s="61"/>
      <c r="J419" s="61"/>
      <c r="K419" s="61"/>
      <c r="L419" s="61"/>
      <c r="M419" s="61"/>
      <c r="N419" s="61"/>
      <c r="O419" s="61"/>
      <c r="P419" s="61"/>
      <c r="Q419" s="61"/>
      <c r="R419" s="61"/>
      <c r="S419" s="61"/>
      <c r="T419" s="61"/>
    </row>
    <row r="420" spans="1:20" x14ac:dyDescent="0.3">
      <c r="A420" s="61"/>
      <c r="B420" s="61"/>
      <c r="C420" s="61"/>
      <c r="D420" s="61"/>
      <c r="E420" s="61"/>
      <c r="F420" s="61"/>
      <c r="G420" s="61"/>
      <c r="H420" s="61"/>
      <c r="I420" s="61"/>
      <c r="J420" s="61"/>
      <c r="K420" s="61"/>
      <c r="L420" s="61"/>
      <c r="M420" s="61"/>
      <c r="N420" s="61"/>
      <c r="O420" s="61"/>
      <c r="P420" s="61"/>
      <c r="Q420" s="61"/>
      <c r="R420" s="61"/>
      <c r="S420" s="61"/>
      <c r="T420" s="61"/>
    </row>
    <row r="421" spans="1:20" x14ac:dyDescent="0.3">
      <c r="A421" s="61"/>
      <c r="B421" s="61"/>
      <c r="C421" s="61"/>
      <c r="D421" s="61"/>
      <c r="E421" s="61"/>
      <c r="F421" s="61"/>
      <c r="G421" s="61"/>
      <c r="H421" s="61"/>
      <c r="I421" s="61"/>
      <c r="J421" s="61"/>
      <c r="K421" s="61"/>
      <c r="L421" s="61"/>
      <c r="M421" s="61"/>
      <c r="N421" s="61"/>
      <c r="O421" s="61"/>
      <c r="P421" s="61"/>
      <c r="Q421" s="61"/>
      <c r="R421" s="61"/>
      <c r="S421" s="61"/>
      <c r="T421" s="61"/>
    </row>
    <row r="422" spans="1:20" x14ac:dyDescent="0.3">
      <c r="A422" s="61"/>
      <c r="B422" s="61"/>
      <c r="C422" s="61"/>
      <c r="D422" s="61"/>
      <c r="E422" s="61"/>
      <c r="F422" s="61"/>
      <c r="G422" s="61"/>
      <c r="H422" s="61"/>
      <c r="I422" s="61"/>
      <c r="J422" s="61"/>
      <c r="K422" s="61"/>
      <c r="L422" s="61"/>
      <c r="M422" s="61"/>
      <c r="N422" s="61"/>
      <c r="O422" s="61"/>
      <c r="P422" s="61"/>
      <c r="Q422" s="61"/>
      <c r="R422" s="61"/>
      <c r="S422" s="61"/>
      <c r="T422" s="61"/>
    </row>
    <row r="423" spans="1:20" x14ac:dyDescent="0.3">
      <c r="A423" s="61"/>
      <c r="B423" s="61"/>
      <c r="C423" s="61"/>
      <c r="D423" s="61"/>
      <c r="E423" s="61"/>
      <c r="F423" s="61"/>
      <c r="G423" s="61"/>
      <c r="H423" s="61"/>
      <c r="I423" s="61"/>
      <c r="J423" s="61"/>
      <c r="K423" s="61"/>
      <c r="L423" s="61"/>
      <c r="M423" s="61"/>
      <c r="N423" s="61"/>
      <c r="O423" s="61"/>
      <c r="P423" s="61"/>
      <c r="Q423" s="61"/>
      <c r="R423" s="61"/>
      <c r="S423" s="61"/>
      <c r="T423" s="61"/>
    </row>
    <row r="424" spans="1:20" x14ac:dyDescent="0.3">
      <c r="A424" s="61"/>
      <c r="B424" s="61"/>
      <c r="C424" s="61"/>
      <c r="D424" s="61"/>
      <c r="E424" s="61"/>
      <c r="F424" s="61"/>
      <c r="G424" s="61"/>
      <c r="H424" s="61"/>
      <c r="I424" s="61"/>
      <c r="J424" s="61"/>
      <c r="K424" s="61"/>
      <c r="L424" s="61"/>
      <c r="M424" s="61"/>
      <c r="N424" s="61"/>
      <c r="O424" s="61"/>
      <c r="P424" s="61"/>
      <c r="Q424" s="61"/>
      <c r="R424" s="61"/>
      <c r="S424" s="61"/>
      <c r="T424" s="61"/>
    </row>
    <row r="425" spans="1:20" x14ac:dyDescent="0.3">
      <c r="A425" s="61"/>
      <c r="B425" s="61"/>
      <c r="C425" s="61"/>
      <c r="D425" s="61"/>
      <c r="E425" s="61"/>
      <c r="F425" s="61"/>
      <c r="G425" s="61"/>
      <c r="H425" s="61"/>
      <c r="I425" s="61"/>
      <c r="J425" s="61"/>
      <c r="K425" s="61"/>
      <c r="L425" s="61"/>
      <c r="M425" s="61"/>
      <c r="N425" s="61"/>
      <c r="O425" s="61"/>
      <c r="P425" s="61"/>
      <c r="Q425" s="61"/>
      <c r="R425" s="61"/>
      <c r="S425" s="61"/>
      <c r="T425" s="61"/>
    </row>
    <row r="426" spans="1:20" x14ac:dyDescent="0.3">
      <c r="A426" s="61"/>
      <c r="B426" s="61"/>
      <c r="C426" s="61"/>
      <c r="D426" s="61"/>
      <c r="E426" s="61"/>
      <c r="F426" s="61"/>
      <c r="G426" s="61"/>
      <c r="H426" s="61"/>
      <c r="I426" s="61"/>
      <c r="J426" s="61"/>
      <c r="K426" s="61"/>
      <c r="L426" s="61"/>
      <c r="M426" s="61"/>
      <c r="N426" s="61"/>
      <c r="O426" s="61"/>
      <c r="P426" s="61"/>
      <c r="Q426" s="61"/>
      <c r="R426" s="61"/>
      <c r="S426" s="61"/>
      <c r="T426" s="61"/>
    </row>
    <row r="427" spans="1:20" x14ac:dyDescent="0.3">
      <c r="A427" s="61"/>
      <c r="B427" s="61"/>
      <c r="C427" s="61"/>
      <c r="D427" s="61"/>
      <c r="E427" s="61"/>
      <c r="F427" s="61"/>
      <c r="G427" s="61"/>
      <c r="H427" s="61"/>
      <c r="I427" s="61"/>
      <c r="J427" s="61"/>
      <c r="K427" s="61"/>
      <c r="L427" s="61"/>
      <c r="M427" s="61"/>
      <c r="N427" s="61"/>
      <c r="O427" s="61"/>
      <c r="P427" s="61"/>
      <c r="Q427" s="61"/>
      <c r="R427" s="61"/>
      <c r="S427" s="61"/>
      <c r="T427" s="61"/>
    </row>
    <row r="428" spans="1:20" x14ac:dyDescent="0.3">
      <c r="A428" s="61"/>
      <c r="B428" s="61"/>
      <c r="C428" s="61"/>
      <c r="D428" s="61"/>
      <c r="E428" s="61"/>
      <c r="F428" s="61"/>
      <c r="G428" s="61"/>
      <c r="H428" s="61"/>
      <c r="I428" s="61"/>
      <c r="J428" s="61"/>
      <c r="K428" s="61"/>
      <c r="L428" s="61"/>
      <c r="M428" s="61"/>
      <c r="N428" s="61"/>
      <c r="O428" s="61"/>
      <c r="P428" s="61"/>
      <c r="Q428" s="61"/>
      <c r="R428" s="61"/>
      <c r="S428" s="61"/>
      <c r="T428" s="61"/>
    </row>
    <row r="429" spans="1:20" x14ac:dyDescent="0.3">
      <c r="A429" s="61"/>
      <c r="B429" s="61"/>
      <c r="C429" s="61"/>
      <c r="D429" s="61"/>
      <c r="E429" s="61"/>
      <c r="F429" s="61"/>
      <c r="G429" s="61"/>
      <c r="H429" s="61"/>
      <c r="I429" s="61"/>
      <c r="J429" s="61"/>
      <c r="K429" s="61"/>
      <c r="L429" s="61"/>
      <c r="M429" s="61"/>
      <c r="N429" s="61"/>
      <c r="O429" s="61"/>
      <c r="P429" s="61"/>
      <c r="Q429" s="61"/>
      <c r="R429" s="61"/>
      <c r="S429" s="61"/>
      <c r="T429" s="61"/>
    </row>
    <row r="430" spans="1:20" x14ac:dyDescent="0.3">
      <c r="A430" s="61"/>
      <c r="B430" s="61"/>
      <c r="C430" s="61"/>
      <c r="D430" s="61"/>
      <c r="E430" s="61"/>
      <c r="F430" s="61"/>
      <c r="G430" s="61"/>
      <c r="H430" s="61"/>
      <c r="I430" s="61"/>
      <c r="J430" s="61"/>
      <c r="K430" s="61"/>
      <c r="L430" s="61"/>
      <c r="M430" s="61"/>
      <c r="N430" s="61"/>
      <c r="O430" s="61"/>
      <c r="P430" s="61"/>
      <c r="Q430" s="61"/>
      <c r="R430" s="61"/>
      <c r="S430" s="61"/>
      <c r="T430" s="61"/>
    </row>
    <row r="431" spans="1:20" x14ac:dyDescent="0.3">
      <c r="A431" s="61"/>
      <c r="B431" s="61"/>
      <c r="C431" s="61"/>
      <c r="D431" s="61"/>
      <c r="E431" s="61"/>
      <c r="F431" s="61"/>
      <c r="G431" s="61"/>
      <c r="H431" s="61"/>
      <c r="I431" s="61"/>
      <c r="J431" s="61"/>
      <c r="K431" s="61"/>
      <c r="L431" s="61"/>
      <c r="M431" s="61"/>
      <c r="N431" s="61"/>
      <c r="O431" s="61"/>
      <c r="P431" s="61"/>
      <c r="Q431" s="61"/>
      <c r="R431" s="61"/>
      <c r="S431" s="61"/>
      <c r="T431" s="61"/>
    </row>
    <row r="432" spans="1:20" x14ac:dyDescent="0.3">
      <c r="A432" s="61"/>
      <c r="B432" s="61"/>
      <c r="C432" s="61"/>
      <c r="D432" s="61"/>
      <c r="E432" s="61"/>
      <c r="F432" s="61"/>
      <c r="G432" s="61"/>
      <c r="H432" s="61"/>
      <c r="I432" s="61"/>
      <c r="J432" s="61"/>
      <c r="K432" s="61"/>
      <c r="L432" s="61"/>
      <c r="M432" s="61"/>
      <c r="N432" s="61"/>
      <c r="O432" s="61"/>
      <c r="P432" s="61"/>
      <c r="Q432" s="61"/>
      <c r="R432" s="61"/>
      <c r="S432" s="61"/>
      <c r="T432" s="61"/>
    </row>
    <row r="433" spans="1:20" x14ac:dyDescent="0.3">
      <c r="A433" s="61"/>
      <c r="B433" s="61"/>
      <c r="C433" s="61"/>
      <c r="D433" s="61"/>
      <c r="E433" s="61"/>
      <c r="F433" s="61"/>
      <c r="G433" s="61"/>
      <c r="H433" s="61"/>
      <c r="I433" s="61"/>
      <c r="J433" s="61"/>
      <c r="K433" s="61"/>
      <c r="L433" s="61"/>
      <c r="M433" s="61"/>
      <c r="N433" s="61"/>
      <c r="O433" s="61"/>
      <c r="P433" s="61"/>
      <c r="Q433" s="61"/>
      <c r="R433" s="61"/>
      <c r="S433" s="61"/>
      <c r="T433" s="61"/>
    </row>
    <row r="434" spans="1:20" x14ac:dyDescent="0.3">
      <c r="A434" s="61"/>
      <c r="B434" s="61"/>
      <c r="C434" s="61"/>
      <c r="D434" s="61"/>
      <c r="E434" s="61"/>
      <c r="F434" s="61"/>
      <c r="G434" s="61"/>
      <c r="H434" s="61"/>
      <c r="I434" s="61"/>
      <c r="J434" s="61"/>
      <c r="K434" s="61"/>
      <c r="L434" s="61"/>
      <c r="M434" s="61"/>
      <c r="N434" s="61"/>
      <c r="O434" s="61"/>
      <c r="P434" s="61"/>
      <c r="Q434" s="61"/>
      <c r="R434" s="61"/>
      <c r="S434" s="61"/>
      <c r="T434" s="61"/>
    </row>
    <row r="435" spans="1:20" x14ac:dyDescent="0.3">
      <c r="A435" s="61"/>
      <c r="B435" s="61"/>
      <c r="C435" s="61"/>
      <c r="D435" s="61"/>
      <c r="E435" s="61"/>
      <c r="F435" s="61"/>
      <c r="G435" s="61"/>
      <c r="H435" s="61"/>
      <c r="I435" s="61"/>
      <c r="J435" s="61"/>
      <c r="K435" s="61"/>
      <c r="L435" s="61"/>
      <c r="M435" s="61"/>
      <c r="N435" s="61"/>
      <c r="O435" s="61"/>
      <c r="P435" s="61"/>
      <c r="Q435" s="61"/>
      <c r="R435" s="61"/>
      <c r="S435" s="61"/>
      <c r="T435" s="61"/>
    </row>
    <row r="436" spans="1:20" x14ac:dyDescent="0.3">
      <c r="A436" s="61"/>
      <c r="B436" s="61"/>
      <c r="C436" s="61"/>
      <c r="D436" s="61"/>
      <c r="E436" s="61"/>
      <c r="F436" s="61"/>
      <c r="G436" s="61"/>
      <c r="H436" s="61"/>
      <c r="I436" s="61"/>
      <c r="J436" s="61"/>
      <c r="K436" s="61"/>
      <c r="L436" s="61"/>
      <c r="M436" s="61"/>
      <c r="N436" s="61"/>
      <c r="O436" s="61"/>
      <c r="P436" s="61"/>
      <c r="Q436" s="61"/>
      <c r="R436" s="61"/>
      <c r="S436" s="61"/>
      <c r="T436" s="61"/>
    </row>
    <row r="437" spans="1:20" x14ac:dyDescent="0.3">
      <c r="A437" s="61"/>
      <c r="B437" s="61"/>
      <c r="C437" s="61"/>
      <c r="D437" s="61"/>
      <c r="E437" s="61"/>
      <c r="F437" s="61"/>
      <c r="G437" s="61"/>
      <c r="H437" s="61"/>
      <c r="I437" s="61"/>
      <c r="J437" s="61"/>
      <c r="K437" s="61"/>
      <c r="L437" s="61"/>
      <c r="M437" s="61"/>
      <c r="N437" s="61"/>
      <c r="O437" s="61"/>
      <c r="P437" s="61"/>
      <c r="Q437" s="61"/>
      <c r="R437" s="61"/>
      <c r="S437" s="61"/>
      <c r="T437" s="61"/>
    </row>
    <row r="438" spans="1:20" x14ac:dyDescent="0.3">
      <c r="A438" s="61"/>
      <c r="B438" s="61"/>
      <c r="C438" s="61"/>
      <c r="D438" s="61"/>
      <c r="E438" s="61"/>
      <c r="F438" s="61"/>
      <c r="G438" s="61"/>
      <c r="H438" s="61"/>
      <c r="I438" s="61"/>
      <c r="J438" s="61"/>
      <c r="K438" s="61"/>
      <c r="L438" s="61"/>
      <c r="M438" s="61"/>
      <c r="N438" s="61"/>
      <c r="O438" s="61"/>
      <c r="P438" s="61"/>
      <c r="Q438" s="61"/>
      <c r="R438" s="61"/>
      <c r="S438" s="61"/>
      <c r="T438" s="61"/>
    </row>
    <row r="439" spans="1:20" x14ac:dyDescent="0.3">
      <c r="A439" s="61"/>
      <c r="B439" s="61"/>
      <c r="C439" s="61"/>
      <c r="D439" s="61"/>
      <c r="E439" s="61"/>
      <c r="F439" s="61"/>
      <c r="G439" s="61"/>
      <c r="H439" s="61"/>
      <c r="I439" s="61"/>
      <c r="J439" s="61"/>
      <c r="K439" s="61"/>
      <c r="L439" s="61"/>
      <c r="M439" s="61"/>
      <c r="N439" s="61"/>
      <c r="O439" s="61"/>
      <c r="P439" s="61"/>
      <c r="Q439" s="61"/>
      <c r="R439" s="61"/>
      <c r="S439" s="61"/>
      <c r="T439" s="61"/>
    </row>
    <row r="440" spans="1:20" x14ac:dyDescent="0.3">
      <c r="A440" s="61"/>
      <c r="B440" s="61"/>
      <c r="C440" s="61"/>
      <c r="D440" s="61"/>
      <c r="E440" s="61"/>
      <c r="F440" s="61"/>
      <c r="G440" s="61"/>
      <c r="H440" s="61"/>
      <c r="I440" s="61"/>
      <c r="J440" s="61"/>
      <c r="K440" s="61"/>
      <c r="L440" s="61"/>
      <c r="M440" s="61"/>
      <c r="N440" s="61"/>
      <c r="O440" s="61"/>
      <c r="P440" s="61"/>
      <c r="Q440" s="61"/>
      <c r="R440" s="61"/>
      <c r="S440" s="61"/>
      <c r="T440" s="61"/>
    </row>
    <row r="441" spans="1:20" x14ac:dyDescent="0.3">
      <c r="A441" s="61"/>
      <c r="B441" s="61"/>
      <c r="C441" s="61"/>
      <c r="D441" s="61"/>
      <c r="E441" s="61"/>
      <c r="F441" s="61"/>
      <c r="G441" s="61"/>
      <c r="H441" s="61"/>
      <c r="I441" s="61"/>
      <c r="J441" s="61"/>
      <c r="K441" s="61"/>
      <c r="L441" s="61"/>
      <c r="M441" s="61"/>
      <c r="N441" s="61"/>
      <c r="O441" s="61"/>
      <c r="P441" s="61"/>
      <c r="Q441" s="61"/>
      <c r="R441" s="61"/>
      <c r="S441" s="61"/>
      <c r="T441" s="61"/>
    </row>
    <row r="442" spans="1:20" x14ac:dyDescent="0.3">
      <c r="A442" s="61"/>
      <c r="B442" s="61"/>
      <c r="C442" s="61"/>
      <c r="D442" s="61"/>
      <c r="E442" s="61"/>
      <c r="F442" s="61"/>
      <c r="G442" s="61"/>
      <c r="H442" s="61"/>
      <c r="I442" s="61"/>
      <c r="J442" s="61"/>
      <c r="K442" s="61"/>
      <c r="L442" s="61"/>
      <c r="M442" s="61"/>
      <c r="N442" s="61"/>
      <c r="O442" s="61"/>
      <c r="P442" s="61"/>
      <c r="Q442" s="61"/>
      <c r="R442" s="61"/>
      <c r="S442" s="61"/>
      <c r="T442" s="61"/>
    </row>
    <row r="443" spans="1:20" x14ac:dyDescent="0.3">
      <c r="A443" s="61"/>
      <c r="B443" s="61"/>
      <c r="C443" s="61"/>
      <c r="D443" s="61"/>
      <c r="E443" s="61"/>
      <c r="F443" s="61"/>
      <c r="G443" s="61"/>
      <c r="H443" s="61"/>
      <c r="I443" s="61"/>
      <c r="J443" s="61"/>
      <c r="K443" s="61"/>
      <c r="L443" s="61"/>
      <c r="M443" s="61"/>
      <c r="N443" s="61"/>
      <c r="O443" s="61"/>
      <c r="P443" s="61"/>
      <c r="Q443" s="61"/>
      <c r="R443" s="61"/>
      <c r="S443" s="61"/>
      <c r="T443" s="61"/>
    </row>
    <row r="444" spans="1:20" x14ac:dyDescent="0.3">
      <c r="A444" s="61"/>
      <c r="B444" s="61"/>
      <c r="C444" s="61"/>
      <c r="D444" s="61"/>
      <c r="E444" s="61"/>
      <c r="F444" s="61"/>
      <c r="G444" s="61"/>
      <c r="H444" s="61"/>
      <c r="I444" s="61"/>
      <c r="J444" s="61"/>
      <c r="K444" s="61"/>
      <c r="L444" s="61"/>
      <c r="M444" s="61"/>
      <c r="N444" s="61"/>
      <c r="O444" s="61"/>
      <c r="P444" s="61"/>
      <c r="Q444" s="61"/>
      <c r="R444" s="61"/>
      <c r="S444" s="61"/>
      <c r="T444" s="61"/>
    </row>
    <row r="445" spans="1:20" x14ac:dyDescent="0.3">
      <c r="A445" s="61"/>
      <c r="B445" s="61"/>
      <c r="C445" s="61"/>
      <c r="D445" s="61"/>
      <c r="E445" s="61"/>
      <c r="F445" s="61"/>
      <c r="G445" s="61"/>
      <c r="H445" s="61"/>
      <c r="I445" s="61"/>
      <c r="J445" s="61"/>
      <c r="K445" s="61"/>
      <c r="L445" s="61"/>
      <c r="M445" s="61"/>
      <c r="N445" s="61"/>
      <c r="O445" s="61"/>
      <c r="P445" s="61"/>
      <c r="Q445" s="61"/>
      <c r="R445" s="61"/>
      <c r="S445" s="61"/>
      <c r="T445" s="61"/>
    </row>
    <row r="446" spans="1:20" x14ac:dyDescent="0.3">
      <c r="A446" s="61"/>
      <c r="B446" s="61"/>
      <c r="C446" s="61"/>
      <c r="D446" s="61"/>
      <c r="E446" s="61"/>
      <c r="F446" s="61"/>
      <c r="G446" s="61"/>
      <c r="H446" s="61"/>
      <c r="I446" s="61"/>
      <c r="J446" s="61"/>
      <c r="K446" s="61"/>
      <c r="L446" s="61"/>
      <c r="M446" s="61"/>
      <c r="N446" s="61"/>
      <c r="O446" s="61"/>
      <c r="P446" s="61"/>
      <c r="Q446" s="61"/>
      <c r="R446" s="61"/>
      <c r="S446" s="61"/>
      <c r="T446" s="61"/>
    </row>
    <row r="447" spans="1:20" x14ac:dyDescent="0.3">
      <c r="A447" s="61"/>
      <c r="B447" s="61"/>
      <c r="C447" s="61"/>
      <c r="D447" s="61"/>
      <c r="E447" s="61"/>
      <c r="F447" s="61"/>
      <c r="G447" s="61"/>
      <c r="H447" s="61"/>
      <c r="I447" s="61"/>
      <c r="J447" s="61"/>
      <c r="K447" s="61"/>
      <c r="L447" s="61"/>
      <c r="M447" s="61"/>
      <c r="N447" s="61"/>
      <c r="O447" s="61"/>
      <c r="P447" s="61"/>
      <c r="Q447" s="61"/>
      <c r="R447" s="61"/>
      <c r="S447" s="61"/>
      <c r="T447" s="61"/>
    </row>
    <row r="448" spans="1:20" x14ac:dyDescent="0.3">
      <c r="A448" s="61"/>
      <c r="B448" s="61"/>
      <c r="C448" s="61"/>
      <c r="D448" s="61"/>
      <c r="E448" s="61"/>
      <c r="F448" s="61"/>
      <c r="G448" s="61"/>
      <c r="H448" s="61"/>
      <c r="I448" s="61"/>
      <c r="J448" s="61"/>
      <c r="K448" s="61"/>
      <c r="L448" s="61"/>
      <c r="M448" s="61"/>
      <c r="N448" s="61"/>
      <c r="O448" s="61"/>
      <c r="P448" s="61"/>
      <c r="Q448" s="61"/>
      <c r="R448" s="61"/>
      <c r="S448" s="61"/>
      <c r="T448" s="61"/>
    </row>
  </sheetData>
  <mergeCells count="2">
    <mergeCell ref="S3:T17"/>
    <mergeCell ref="E11:F11"/>
  </mergeCells>
  <phoneticPr fontId="25" type="noConversion"/>
  <pageMargins left="0.7" right="0.7" top="0.75" bottom="0.75" header="0.3" footer="0.3"/>
  <pageSetup paperSize="9" orientation="portrait" r:id="rId3"/>
  <drawing r:id="rId4"/>
  <extLst>
    <ext xmlns:x14="http://schemas.microsoft.com/office/spreadsheetml/2009/9/main" uri="{A8765BA9-456A-4dab-B4F3-ACF838C121DE}">
      <x14:slicerList>
        <x14:slicer r:id="rId5"/>
      </x14:slicerList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3849BB-D6F2-4781-88DB-6A8325395F46}">
  <sheetPr codeName="Sheet35">
    <tabColor theme="8" tint="-0.249977111117893"/>
  </sheetPr>
  <dimension ref="A1:AS811"/>
  <sheetViews>
    <sheetView tabSelected="1" zoomScale="92" zoomScaleNormal="92" workbookViewId="0">
      <pane xSplit="10" ySplit="1" topLeftCell="W573" activePane="bottomRight" state="frozen"/>
      <selection activeCell="I26" sqref="I26"/>
      <selection pane="topRight" activeCell="I26" sqref="I26"/>
      <selection pane="bottomLeft" activeCell="I26" sqref="I26"/>
      <selection pane="bottomRight" activeCell="F584" sqref="F584"/>
    </sheetView>
  </sheetViews>
  <sheetFormatPr defaultColWidth="9" defaultRowHeight="12" customHeight="1" outlineLevelCol="3" x14ac:dyDescent="0.3"/>
  <cols>
    <col min="1" max="1" width="9" style="9" customWidth="1"/>
    <col min="2" max="2" width="12.81640625" style="9" customWidth="1"/>
    <col min="3" max="3" width="10.54296875" style="9" customWidth="1"/>
    <col min="4" max="4" width="14.81640625" style="22" customWidth="1"/>
    <col min="5" max="5" width="6.453125" style="9" customWidth="1" outlineLevel="1"/>
    <col min="6" max="6" width="9" style="9" customWidth="1" outlineLevel="1"/>
    <col min="7" max="7" width="16.08984375" style="31" customWidth="1" outlineLevel="1"/>
    <col min="8" max="8" width="8.54296875" style="9" customWidth="1"/>
    <col min="9" max="9" width="9.81640625" style="9" customWidth="1"/>
    <col min="10" max="10" width="11.1796875" style="9" customWidth="1"/>
    <col min="11" max="11" width="13.54296875" style="22" customWidth="1"/>
    <col min="12" max="12" width="16.1796875" style="38" customWidth="1"/>
    <col min="13" max="13" width="38.81640625" style="39" customWidth="1" outlineLevel="1"/>
    <col min="14" max="14" width="14.08984375" style="39" customWidth="1" outlineLevel="1"/>
    <col min="15" max="15" width="9" style="25" customWidth="1" outlineLevel="2"/>
    <col min="16" max="16" width="14.54296875" style="40" customWidth="1" outlineLevel="2"/>
    <col min="17" max="17" width="9" style="25" customWidth="1" outlineLevel="1"/>
    <col min="18" max="18" width="9.54296875" style="43" customWidth="1" outlineLevel="3"/>
    <col min="19" max="19" width="7.54296875" style="44" customWidth="1" outlineLevel="3"/>
    <col min="20" max="20" width="9.54296875" style="45" customWidth="1" outlineLevel="3"/>
    <col min="21" max="21" width="11.08984375" style="24" customWidth="1" outlineLevel="3"/>
    <col min="22" max="22" width="12.453125" style="9" customWidth="1" outlineLevel="3"/>
    <col min="23" max="23" width="8" style="9" customWidth="1" outlineLevel="3"/>
    <col min="24" max="24" width="14.453125" style="44" customWidth="1" outlineLevel="3"/>
    <col min="25" max="25" width="9.54296875" style="44" customWidth="1" outlineLevel="3"/>
    <col min="26" max="26" width="12.1796875" style="33" customWidth="1" outlineLevel="3"/>
    <col min="27" max="27" width="13.81640625" style="32" customWidth="1"/>
    <col min="28" max="29" width="13.453125" style="32" customWidth="1"/>
    <col min="30" max="30" width="15.54296875" style="33" hidden="1" customWidth="1" outlineLevel="2"/>
    <col min="31" max="31" width="19.36328125" style="33" hidden="1" customWidth="1" outlineLevel="2"/>
    <col min="32" max="32" width="13.81640625" style="32" customWidth="1" outlineLevel="1" collapsed="1"/>
    <col min="33" max="33" width="16.08984375" style="578" customWidth="1" outlineLevel="1"/>
    <col min="34" max="34" width="19.36328125" style="32" customWidth="1" outlineLevel="1"/>
    <col min="35" max="37" width="19.36328125" style="25" customWidth="1" outlineLevel="1"/>
    <col min="38" max="38" width="19.36328125" style="22" customWidth="1" outlineLevel="1"/>
    <col min="39" max="40" width="19.36328125" style="9" customWidth="1" outlineLevel="1"/>
    <col min="41" max="41" width="15" style="25" customWidth="1"/>
    <col min="42" max="42" width="17" style="23" customWidth="1"/>
    <col min="43" max="43" width="13.08984375" style="23" customWidth="1"/>
    <col min="44" max="44" width="14.81640625" style="23" customWidth="1"/>
    <col min="45" max="45" width="13.08984375" style="23" customWidth="1"/>
    <col min="46" max="16384" width="9" style="9"/>
  </cols>
  <sheetData>
    <row r="1" spans="1:45" s="30" customFormat="1" ht="47.5" customHeight="1" x14ac:dyDescent="0.25">
      <c r="A1" s="86" t="s">
        <v>52</v>
      </c>
      <c r="B1" s="86" t="s">
        <v>53</v>
      </c>
      <c r="C1" s="74" t="s">
        <v>54</v>
      </c>
      <c r="D1" s="75" t="s">
        <v>55</v>
      </c>
      <c r="E1" s="74" t="s">
        <v>56</v>
      </c>
      <c r="F1" s="74" t="s">
        <v>57</v>
      </c>
      <c r="G1" s="75" t="s">
        <v>58</v>
      </c>
      <c r="H1" s="74" t="s">
        <v>59</v>
      </c>
      <c r="I1" s="74" t="s">
        <v>60</v>
      </c>
      <c r="J1" s="74" t="s">
        <v>61</v>
      </c>
      <c r="K1" s="75" t="s">
        <v>62</v>
      </c>
      <c r="L1" s="76" t="s">
        <v>3273</v>
      </c>
      <c r="M1" s="77" t="s">
        <v>3274</v>
      </c>
      <c r="N1" s="77" t="s">
        <v>3275</v>
      </c>
      <c r="O1" s="78" t="s">
        <v>63</v>
      </c>
      <c r="P1" s="77" t="s">
        <v>64</v>
      </c>
      <c r="Q1" s="74" t="s">
        <v>65</v>
      </c>
      <c r="R1" s="74" t="s">
        <v>66</v>
      </c>
      <c r="S1" s="77" t="s">
        <v>4251</v>
      </c>
      <c r="T1" s="79" t="s">
        <v>4252</v>
      </c>
      <c r="U1" s="491" t="s">
        <v>4653</v>
      </c>
      <c r="V1" s="81" t="s">
        <v>69</v>
      </c>
      <c r="W1" s="82" t="s">
        <v>70</v>
      </c>
      <c r="X1" s="77" t="s">
        <v>3276</v>
      </c>
      <c r="Y1" s="77" t="s">
        <v>71</v>
      </c>
      <c r="Z1" s="80" t="s">
        <v>72</v>
      </c>
      <c r="AA1" s="83" t="s">
        <v>73</v>
      </c>
      <c r="AB1" s="83" t="s">
        <v>74</v>
      </c>
      <c r="AC1" s="83" t="s">
        <v>75</v>
      </c>
      <c r="AD1" s="84" t="s">
        <v>3277</v>
      </c>
      <c r="AE1" s="84" t="s">
        <v>3278</v>
      </c>
      <c r="AF1" s="85" t="s">
        <v>76</v>
      </c>
      <c r="AG1" s="576" t="s">
        <v>3279</v>
      </c>
      <c r="AH1" s="85" t="s">
        <v>2969</v>
      </c>
      <c r="AI1" s="85" t="s">
        <v>2970</v>
      </c>
      <c r="AJ1" s="87" t="s">
        <v>78</v>
      </c>
      <c r="AK1" s="87" t="s">
        <v>79</v>
      </c>
      <c r="AL1" s="88" t="s">
        <v>80</v>
      </c>
      <c r="AM1" s="86" t="s">
        <v>81</v>
      </c>
      <c r="AN1" s="86" t="s">
        <v>82</v>
      </c>
      <c r="AO1" s="87"/>
      <c r="AP1" s="89"/>
      <c r="AQ1" s="89"/>
      <c r="AR1" s="89"/>
      <c r="AS1" s="89"/>
    </row>
    <row r="2" spans="1:45" s="435" customFormat="1" ht="12" customHeight="1" x14ac:dyDescent="0.25">
      <c r="A2" s="421">
        <v>1</v>
      </c>
      <c r="B2" s="422"/>
      <c r="C2" s="422" t="s">
        <v>2948</v>
      </c>
      <c r="D2" s="423" t="s">
        <v>2940</v>
      </c>
      <c r="E2" s="422" t="s">
        <v>115</v>
      </c>
      <c r="F2" s="422" t="s">
        <v>0</v>
      </c>
      <c r="G2" s="424" t="s">
        <v>2195</v>
      </c>
      <c r="H2" s="422">
        <v>1000</v>
      </c>
      <c r="I2" s="422" t="s">
        <v>207</v>
      </c>
      <c r="J2" s="422" t="s">
        <v>8</v>
      </c>
      <c r="K2" s="423" t="s">
        <v>15</v>
      </c>
      <c r="L2" s="425" t="str">
        <f>VLOOKUP(G2,'SKU 对应关系'!A:E,4,0)</f>
        <v>ANZ-B</v>
      </c>
      <c r="M2" s="426" t="str">
        <f>_xlfn.IFNA(VLOOKUP(G2,'SKU 对应关系'!A:B,2,0),"")</f>
        <v>ANZ-B 便携式扩香仪 黑色</v>
      </c>
      <c r="N2" s="422" t="str">
        <f>_xlfn.IFNA(VLOOKUP(G2,'SKU 对应关系'!$A:$D,3,0),"")</f>
        <v>ANZ</v>
      </c>
      <c r="O2" s="427">
        <v>25</v>
      </c>
      <c r="P2" s="455">
        <v>326.95999999999998</v>
      </c>
      <c r="Q2" s="427" t="s">
        <v>16</v>
      </c>
      <c r="R2" s="422">
        <v>3.5</v>
      </c>
      <c r="S2" s="422"/>
      <c r="T2" s="428"/>
      <c r="U2" s="429">
        <f t="shared" ref="U2:U30" si="0">R2*P2+T2</f>
        <v>1144.3599999999999</v>
      </c>
      <c r="V2" s="430">
        <f t="shared" ref="V2:V65" si="1">U2/H2</f>
        <v>1.1443599999999998</v>
      </c>
      <c r="W2" s="431">
        <f>V2/6.7</f>
        <v>0.17079999999999998</v>
      </c>
      <c r="X2" s="422"/>
      <c r="Y2" s="422"/>
      <c r="Z2" s="428"/>
      <c r="AA2" s="432">
        <v>46031</v>
      </c>
      <c r="AB2" s="432">
        <v>46054</v>
      </c>
      <c r="AC2" s="432"/>
      <c r="AD2" s="433">
        <f>IF(ISNA(VLOOKUP(D2,亚马逊入库配置费!B:F,5,0)),0,VLOOKUP(D2,亚马逊入库配置费!B:F,5,0))</f>
        <v>0.34</v>
      </c>
      <c r="AE2" s="433">
        <f t="shared" ref="AE2:AE65" si="2">AD2*H2</f>
        <v>340</v>
      </c>
      <c r="AF2" s="432">
        <v>46064</v>
      </c>
      <c r="AG2" s="421">
        <f t="shared" ref="AG2:AG65" si="3">AF2-AA2</f>
        <v>33</v>
      </c>
      <c r="AH2" s="432">
        <v>46100</v>
      </c>
      <c r="AI2" s="427">
        <v>997</v>
      </c>
      <c r="AJ2" s="427">
        <f>AH2-AF2</f>
        <v>36</v>
      </c>
      <c r="AK2" s="427"/>
      <c r="AL2" s="423"/>
      <c r="AM2" s="422"/>
      <c r="AN2" s="422"/>
      <c r="AO2" s="427"/>
      <c r="AP2" s="434"/>
      <c r="AQ2" s="434"/>
      <c r="AR2" s="434"/>
      <c r="AS2" s="434"/>
    </row>
    <row r="3" spans="1:45" s="435" customFormat="1" ht="12" customHeight="1" x14ac:dyDescent="0.25">
      <c r="A3" s="421">
        <v>2</v>
      </c>
      <c r="B3" s="422"/>
      <c r="C3" s="422" t="s">
        <v>2948</v>
      </c>
      <c r="D3" s="423" t="s">
        <v>2941</v>
      </c>
      <c r="E3" s="422" t="s">
        <v>115</v>
      </c>
      <c r="F3" s="422" t="s">
        <v>0</v>
      </c>
      <c r="G3" s="424" t="s">
        <v>211</v>
      </c>
      <c r="H3" s="422">
        <v>210</v>
      </c>
      <c r="I3" s="422" t="s">
        <v>207</v>
      </c>
      <c r="J3" s="422" t="s">
        <v>8</v>
      </c>
      <c r="K3" s="423" t="s">
        <v>15</v>
      </c>
      <c r="L3" s="425" t="str">
        <f>VLOOKUP(G3,'SKU 对应关系'!A:E,4,0)</f>
        <v>ANX-B</v>
      </c>
      <c r="M3" s="426" t="str">
        <f>_xlfn.IFNA(VLOOKUP(G3,'SKU 对应关系'!A:B,2,0),"")</f>
        <v>ANX-B 便携式扩香仪 黑色</v>
      </c>
      <c r="N3" s="422" t="str">
        <f>_xlfn.IFNA(VLOOKUP(G3,'SKU 对应关系'!$A:$D,3,0),"")</f>
        <v>ANX</v>
      </c>
      <c r="O3" s="427">
        <v>7</v>
      </c>
      <c r="P3" s="455">
        <v>91.549230769230775</v>
      </c>
      <c r="Q3" s="427" t="s">
        <v>16</v>
      </c>
      <c r="R3" s="422">
        <v>3.5</v>
      </c>
      <c r="S3" s="422"/>
      <c r="T3" s="428"/>
      <c r="U3" s="429">
        <f t="shared" si="0"/>
        <v>320.4223076923077</v>
      </c>
      <c r="V3" s="430">
        <f t="shared" si="1"/>
        <v>1.5258205128205129</v>
      </c>
      <c r="W3" s="431">
        <f t="shared" ref="W3:W66" si="4">V3/6.7</f>
        <v>0.22773440489858401</v>
      </c>
      <c r="X3" s="422"/>
      <c r="Y3" s="422"/>
      <c r="Z3" s="428"/>
      <c r="AA3" s="432">
        <v>46031</v>
      </c>
      <c r="AB3" s="432">
        <v>46054</v>
      </c>
      <c r="AC3" s="432"/>
      <c r="AD3" s="433">
        <f>IF(ISNA(VLOOKUP(D3,亚马逊入库配置费!B:F,5,0)),0,VLOOKUP(D3,亚马逊入库配置费!B:F,5,0))</f>
        <v>0.43782608695652175</v>
      </c>
      <c r="AE3" s="433">
        <f t="shared" si="2"/>
        <v>91.943478260869568</v>
      </c>
      <c r="AF3" s="432">
        <v>46064</v>
      </c>
      <c r="AG3" s="421">
        <f t="shared" si="3"/>
        <v>33</v>
      </c>
      <c r="AH3" s="432">
        <v>46099</v>
      </c>
      <c r="AI3" s="427">
        <v>208</v>
      </c>
      <c r="AJ3" s="427">
        <f t="shared" ref="AJ3:AJ66" si="5">AH3-AF3</f>
        <v>35</v>
      </c>
      <c r="AK3" s="427"/>
      <c r="AL3" s="423"/>
      <c r="AM3" s="422"/>
      <c r="AN3" s="422"/>
      <c r="AO3" s="427"/>
      <c r="AP3" s="434"/>
      <c r="AQ3" s="434"/>
      <c r="AR3" s="434"/>
      <c r="AS3" s="434"/>
    </row>
    <row r="4" spans="1:45" s="435" customFormat="1" ht="12" customHeight="1" x14ac:dyDescent="0.25">
      <c r="A4" s="421">
        <v>3</v>
      </c>
      <c r="B4" s="422"/>
      <c r="C4" s="422" t="s">
        <v>2948</v>
      </c>
      <c r="D4" s="423" t="s">
        <v>2941</v>
      </c>
      <c r="E4" s="422" t="s">
        <v>115</v>
      </c>
      <c r="F4" s="422" t="s">
        <v>0</v>
      </c>
      <c r="G4" s="424" t="s">
        <v>700</v>
      </c>
      <c r="H4" s="422">
        <v>208</v>
      </c>
      <c r="I4" s="422" t="s">
        <v>207</v>
      </c>
      <c r="J4" s="422" t="s">
        <v>8</v>
      </c>
      <c r="K4" s="423" t="s">
        <v>15</v>
      </c>
      <c r="L4" s="425" t="str">
        <f>VLOOKUP(G4,'SKU 对应关系'!A:E,4,0)</f>
        <v>ANX-2PC-BS</v>
      </c>
      <c r="M4" s="426" t="str">
        <f>_xlfn.IFNA(VLOOKUP(G4,'SKU 对应关系'!A:B,2,0),"")</f>
        <v>ANX-2PC-BS 便携式扩香仪套装 黑+银</v>
      </c>
      <c r="N4" s="422" t="str">
        <f>_xlfn.IFNA(VLOOKUP(G4,'SKU 对应关系'!$A:$D,3,0),"")</f>
        <v>ANX</v>
      </c>
      <c r="O4" s="427">
        <v>13</v>
      </c>
      <c r="P4" s="455">
        <v>170.02</v>
      </c>
      <c r="Q4" s="427" t="s">
        <v>16</v>
      </c>
      <c r="R4" s="422">
        <v>3.5</v>
      </c>
      <c r="S4" s="422"/>
      <c r="T4" s="428"/>
      <c r="U4" s="429">
        <f t="shared" si="0"/>
        <v>595.07000000000005</v>
      </c>
      <c r="V4" s="430">
        <f t="shared" si="1"/>
        <v>2.8609134615384617</v>
      </c>
      <c r="W4" s="431">
        <f t="shared" si="4"/>
        <v>0.42700200918484504</v>
      </c>
      <c r="X4" s="422"/>
      <c r="Y4" s="422"/>
      <c r="Z4" s="428"/>
      <c r="AA4" s="432">
        <v>46031</v>
      </c>
      <c r="AB4" s="432">
        <v>46054</v>
      </c>
      <c r="AC4" s="432"/>
      <c r="AD4" s="433">
        <f>IF(ISNA(VLOOKUP(D4,亚马逊入库配置费!B:F,5,0)),0,VLOOKUP(D4,亚马逊入库配置费!B:F,5,0))</f>
        <v>0.43782608695652175</v>
      </c>
      <c r="AE4" s="433">
        <f t="shared" si="2"/>
        <v>91.067826086956529</v>
      </c>
      <c r="AF4" s="432">
        <v>46064</v>
      </c>
      <c r="AG4" s="421">
        <f t="shared" si="3"/>
        <v>33</v>
      </c>
      <c r="AH4" s="432">
        <v>46099</v>
      </c>
      <c r="AI4" s="427">
        <v>205</v>
      </c>
      <c r="AJ4" s="427">
        <f t="shared" si="5"/>
        <v>35</v>
      </c>
      <c r="AK4" s="427"/>
      <c r="AL4" s="423"/>
      <c r="AM4" s="422"/>
      <c r="AN4" s="422"/>
      <c r="AO4" s="427"/>
      <c r="AP4" s="434"/>
      <c r="AQ4" s="434"/>
      <c r="AR4" s="434"/>
      <c r="AS4" s="434"/>
    </row>
    <row r="5" spans="1:45" s="435" customFormat="1" ht="12" customHeight="1" x14ac:dyDescent="0.25">
      <c r="A5" s="421">
        <v>4</v>
      </c>
      <c r="B5" s="422"/>
      <c r="C5" s="422" t="s">
        <v>2948</v>
      </c>
      <c r="D5" s="423" t="s">
        <v>2941</v>
      </c>
      <c r="E5" s="422" t="s">
        <v>115</v>
      </c>
      <c r="F5" s="422" t="s">
        <v>0</v>
      </c>
      <c r="G5" s="424" t="s">
        <v>1085</v>
      </c>
      <c r="H5" s="422">
        <v>90</v>
      </c>
      <c r="I5" s="422" t="s">
        <v>207</v>
      </c>
      <c r="J5" s="422" t="s">
        <v>8</v>
      </c>
      <c r="K5" s="423" t="s">
        <v>15</v>
      </c>
      <c r="L5" s="425" t="str">
        <f>VLOOKUP(G5,'SKU 对应关系'!A:E,4,0)</f>
        <v>ANX-RP</v>
      </c>
      <c r="M5" s="426" t="str">
        <f>_xlfn.IFNA(VLOOKUP(G5,'SKU 对应关系'!A:B,2,0),"")</f>
        <v>ANX-RP 便携式扩香仪 红粉色</v>
      </c>
      <c r="N5" s="422" t="str">
        <f>_xlfn.IFNA(VLOOKUP(G5,'SKU 对应关系'!$A:$D,3,0),"")</f>
        <v>ANX</v>
      </c>
      <c r="O5" s="427">
        <v>3</v>
      </c>
      <c r="P5" s="455">
        <v>39.235384615384618</v>
      </c>
      <c r="Q5" s="427" t="s">
        <v>16</v>
      </c>
      <c r="R5" s="422">
        <v>3.5</v>
      </c>
      <c r="S5" s="422"/>
      <c r="T5" s="428"/>
      <c r="U5" s="429">
        <f t="shared" si="0"/>
        <v>137.32384615384615</v>
      </c>
      <c r="V5" s="430">
        <f t="shared" si="1"/>
        <v>1.5258205128205127</v>
      </c>
      <c r="W5" s="431">
        <f t="shared" si="4"/>
        <v>0.22773440489858399</v>
      </c>
      <c r="X5" s="422"/>
      <c r="Y5" s="422"/>
      <c r="Z5" s="428"/>
      <c r="AA5" s="432">
        <v>46031</v>
      </c>
      <c r="AB5" s="432">
        <v>46054</v>
      </c>
      <c r="AC5" s="432"/>
      <c r="AD5" s="433">
        <f>IF(ISNA(VLOOKUP(D5,亚马逊入库配置费!B:F,5,0)),0,VLOOKUP(D5,亚马逊入库配置费!B:F,5,0))</f>
        <v>0.43782608695652175</v>
      </c>
      <c r="AE5" s="433">
        <f t="shared" si="2"/>
        <v>39.404347826086955</v>
      </c>
      <c r="AF5" s="432">
        <v>46064</v>
      </c>
      <c r="AG5" s="421">
        <f t="shared" si="3"/>
        <v>33</v>
      </c>
      <c r="AH5" s="432">
        <v>46099</v>
      </c>
      <c r="AI5" s="427">
        <v>89</v>
      </c>
      <c r="AJ5" s="427">
        <f t="shared" si="5"/>
        <v>35</v>
      </c>
      <c r="AK5" s="427"/>
      <c r="AL5" s="423"/>
      <c r="AM5" s="422"/>
      <c r="AN5" s="422"/>
      <c r="AO5" s="427"/>
      <c r="AP5" s="434"/>
      <c r="AQ5" s="434"/>
      <c r="AR5" s="434"/>
      <c r="AS5" s="434"/>
    </row>
    <row r="6" spans="1:45" s="435" customFormat="1" ht="12" customHeight="1" x14ac:dyDescent="0.25">
      <c r="A6" s="421">
        <v>5</v>
      </c>
      <c r="B6" s="422"/>
      <c r="C6" s="422" t="s">
        <v>2948</v>
      </c>
      <c r="D6" s="423" t="s">
        <v>2941</v>
      </c>
      <c r="E6" s="422" t="s">
        <v>115</v>
      </c>
      <c r="F6" s="422" t="s">
        <v>0</v>
      </c>
      <c r="G6" s="424" t="s">
        <v>608</v>
      </c>
      <c r="H6" s="422">
        <v>90</v>
      </c>
      <c r="I6" s="422" t="s">
        <v>207</v>
      </c>
      <c r="J6" s="422" t="s">
        <v>8</v>
      </c>
      <c r="K6" s="423" t="s">
        <v>15</v>
      </c>
      <c r="L6" s="425" t="str">
        <f>VLOOKUP(G6,'SKU 对应关系'!A:E,4,0)</f>
        <v>ANX-SG</v>
      </c>
      <c r="M6" s="426" t="str">
        <f>_xlfn.IFNA(VLOOKUP(G6,'SKU 对应关系'!A:B,2,0),"")</f>
        <v>ANX-SG 便携式扩香仪 太空灰色</v>
      </c>
      <c r="N6" s="422" t="str">
        <f>_xlfn.IFNA(VLOOKUP(G6,'SKU 对应关系'!$A:$D,3,0),"")</f>
        <v>ANX</v>
      </c>
      <c r="O6" s="427">
        <v>3</v>
      </c>
      <c r="P6" s="455">
        <v>39.235384615384618</v>
      </c>
      <c r="Q6" s="427" t="s">
        <v>16</v>
      </c>
      <c r="R6" s="422">
        <v>3.5</v>
      </c>
      <c r="S6" s="422"/>
      <c r="T6" s="428"/>
      <c r="U6" s="429">
        <f t="shared" si="0"/>
        <v>137.32384615384615</v>
      </c>
      <c r="V6" s="430">
        <f t="shared" si="1"/>
        <v>1.5258205128205127</v>
      </c>
      <c r="W6" s="431">
        <f t="shared" si="4"/>
        <v>0.22773440489858399</v>
      </c>
      <c r="X6" s="422"/>
      <c r="Y6" s="422"/>
      <c r="Z6" s="428"/>
      <c r="AA6" s="432">
        <v>46031</v>
      </c>
      <c r="AB6" s="432">
        <v>46054</v>
      </c>
      <c r="AC6" s="432"/>
      <c r="AD6" s="433">
        <f>IF(ISNA(VLOOKUP(D6,亚马逊入库配置费!B:F,5,0)),0,VLOOKUP(D6,亚马逊入库配置费!B:F,5,0))</f>
        <v>0.43782608695652175</v>
      </c>
      <c r="AE6" s="433">
        <f t="shared" si="2"/>
        <v>39.404347826086955</v>
      </c>
      <c r="AF6" s="432">
        <v>46064</v>
      </c>
      <c r="AG6" s="421">
        <f t="shared" si="3"/>
        <v>33</v>
      </c>
      <c r="AH6" s="432">
        <v>46099</v>
      </c>
      <c r="AI6" s="427">
        <v>89</v>
      </c>
      <c r="AJ6" s="427">
        <f t="shared" si="5"/>
        <v>35</v>
      </c>
      <c r="AK6" s="427"/>
      <c r="AL6" s="423"/>
      <c r="AM6" s="422"/>
      <c r="AN6" s="422"/>
      <c r="AO6" s="427"/>
      <c r="AP6" s="434"/>
      <c r="AQ6" s="434"/>
      <c r="AR6" s="434"/>
      <c r="AS6" s="434"/>
    </row>
    <row r="7" spans="1:45" s="435" customFormat="1" ht="12" customHeight="1" x14ac:dyDescent="0.25">
      <c r="A7" s="421">
        <v>6</v>
      </c>
      <c r="B7" s="422"/>
      <c r="C7" s="422" t="s">
        <v>2949</v>
      </c>
      <c r="D7" s="423" t="s">
        <v>2942</v>
      </c>
      <c r="E7" s="422" t="s">
        <v>97</v>
      </c>
      <c r="F7" s="422" t="s">
        <v>0</v>
      </c>
      <c r="G7" s="424" t="s">
        <v>1843</v>
      </c>
      <c r="H7" s="422">
        <v>990</v>
      </c>
      <c r="I7" s="422" t="s">
        <v>207</v>
      </c>
      <c r="J7" s="422" t="s">
        <v>8</v>
      </c>
      <c r="K7" s="423" t="s">
        <v>50</v>
      </c>
      <c r="L7" s="425" t="str">
        <f>VLOOKUP(G7,'SKU 对应关系'!A:E,4,0)</f>
        <v>ADXKIT_B_TX33_30ML</v>
      </c>
      <c r="M7" s="426" t="str">
        <f>_xlfn.IFNA(VLOOKUP(G7,'SKU 对应关系'!A:B,2,0),"")</f>
        <v>ADXKIT_B_TX33_30ML ADX黑色机器+30mL檀香33香氛油（天竺） 机油套装</v>
      </c>
      <c r="N7" s="422" t="str">
        <f>_xlfn.IFNA(VLOOKUP(G7,'SKU 对应关系'!$A:$D,3,0),"")</f>
        <v>ADX</v>
      </c>
      <c r="O7" s="427">
        <v>33</v>
      </c>
      <c r="P7" s="455">
        <v>493.09632653061226</v>
      </c>
      <c r="Q7" s="427" t="s">
        <v>16</v>
      </c>
      <c r="R7" s="422">
        <v>3.5</v>
      </c>
      <c r="S7" s="422">
        <v>300</v>
      </c>
      <c r="T7" s="428">
        <v>27.197802197802197</v>
      </c>
      <c r="U7" s="429">
        <f t="shared" si="0"/>
        <v>1753.0349450549452</v>
      </c>
      <c r="V7" s="430">
        <f t="shared" si="1"/>
        <v>1.7707423687423689</v>
      </c>
      <c r="W7" s="431">
        <f t="shared" si="4"/>
        <v>0.2642899057824431</v>
      </c>
      <c r="X7" s="422"/>
      <c r="Y7" s="422"/>
      <c r="Z7" s="428"/>
      <c r="AA7" s="432">
        <v>46031</v>
      </c>
      <c r="AB7" s="432">
        <v>46054</v>
      </c>
      <c r="AC7" s="432"/>
      <c r="AD7" s="433">
        <f>IF(ISNA(VLOOKUP(D7,亚马逊入库配置费!B:F,5,0)),0,VLOOKUP(D7,亚马逊入库配置费!B:F,5,0))</f>
        <v>0.41</v>
      </c>
      <c r="AE7" s="433">
        <f t="shared" si="2"/>
        <v>405.9</v>
      </c>
      <c r="AF7" s="432">
        <v>46066</v>
      </c>
      <c r="AG7" s="421">
        <f t="shared" si="3"/>
        <v>35</v>
      </c>
      <c r="AH7" s="432">
        <v>46102</v>
      </c>
      <c r="AI7" s="427">
        <v>992</v>
      </c>
      <c r="AJ7" s="427">
        <f t="shared" si="5"/>
        <v>36</v>
      </c>
      <c r="AK7" s="427"/>
      <c r="AL7" s="423"/>
      <c r="AM7" s="422"/>
      <c r="AN7" s="422"/>
      <c r="AO7" s="427"/>
      <c r="AP7" s="434"/>
      <c r="AQ7" s="434"/>
      <c r="AR7" s="434"/>
      <c r="AS7" s="434"/>
    </row>
    <row r="8" spans="1:45" s="435" customFormat="1" ht="12" customHeight="1" x14ac:dyDescent="0.25">
      <c r="A8" s="421">
        <v>7</v>
      </c>
      <c r="B8" s="422"/>
      <c r="C8" s="422" t="s">
        <v>2949</v>
      </c>
      <c r="D8" s="423" t="s">
        <v>2942</v>
      </c>
      <c r="E8" s="422" t="s">
        <v>97</v>
      </c>
      <c r="F8" s="422" t="s">
        <v>0</v>
      </c>
      <c r="G8" s="424" t="s">
        <v>2228</v>
      </c>
      <c r="H8" s="422">
        <v>1200</v>
      </c>
      <c r="I8" s="422" t="s">
        <v>207</v>
      </c>
      <c r="J8" s="422" t="s">
        <v>8</v>
      </c>
      <c r="K8" s="423" t="s">
        <v>50</v>
      </c>
      <c r="L8" s="425" t="str">
        <f>VLOOKUP(G8,'SKU 对应关系'!A:E,4,0)</f>
        <v>AN6KIT-B_2X20K01</v>
      </c>
      <c r="M8" s="426" t="str">
        <f>_xlfn.IFNA(VLOOKUP(G8,'SKU 对应关系'!A:B,2,0),"")</f>
        <v>AN6KIT-B_2X20K01 AN6黑色机器+2X20mL酒店香氛油 机油套装</v>
      </c>
      <c r="N8" s="422" t="str">
        <f>_xlfn.IFNA(VLOOKUP(G8,'SKU 对应关系'!$A:$D,3,0),"")</f>
        <v>AN6</v>
      </c>
      <c r="O8" s="427">
        <v>40</v>
      </c>
      <c r="P8" s="455">
        <v>597.69251700680275</v>
      </c>
      <c r="Q8" s="427" t="s">
        <v>16</v>
      </c>
      <c r="R8" s="422">
        <v>3.5</v>
      </c>
      <c r="S8" s="436">
        <f>SUMIF(C:C,C7,T:T)</f>
        <v>300.00000000000006</v>
      </c>
      <c r="T8" s="428">
        <v>32.967032967032964</v>
      </c>
      <c r="U8" s="429">
        <f t="shared" si="0"/>
        <v>2124.8908424908427</v>
      </c>
      <c r="V8" s="430">
        <f t="shared" si="1"/>
        <v>1.7707423687423689</v>
      </c>
      <c r="W8" s="431">
        <f t="shared" si="4"/>
        <v>0.2642899057824431</v>
      </c>
      <c r="X8" s="422"/>
      <c r="Y8" s="422"/>
      <c r="Z8" s="428"/>
      <c r="AA8" s="432">
        <v>46031</v>
      </c>
      <c r="AB8" s="432">
        <v>46054</v>
      </c>
      <c r="AC8" s="432"/>
      <c r="AD8" s="433">
        <f>IF(ISNA(VLOOKUP(D8,亚马逊入库配置费!B:F,5,0)),0,VLOOKUP(D8,亚马逊入库配置费!B:F,5,0))</f>
        <v>0.41</v>
      </c>
      <c r="AE8" s="433">
        <f t="shared" si="2"/>
        <v>491.99999999999994</v>
      </c>
      <c r="AF8" s="432">
        <v>46066</v>
      </c>
      <c r="AG8" s="421">
        <f t="shared" si="3"/>
        <v>35</v>
      </c>
      <c r="AH8" s="432">
        <v>46102</v>
      </c>
      <c r="AI8" s="427">
        <v>1201</v>
      </c>
      <c r="AJ8" s="427">
        <f t="shared" si="5"/>
        <v>36</v>
      </c>
      <c r="AK8" s="427"/>
      <c r="AL8" s="423"/>
      <c r="AM8" s="422"/>
      <c r="AN8" s="422"/>
      <c r="AO8" s="427"/>
      <c r="AP8" s="434"/>
      <c r="AQ8" s="434"/>
      <c r="AR8" s="434"/>
      <c r="AS8" s="434"/>
    </row>
    <row r="9" spans="1:45" s="435" customFormat="1" ht="12" customHeight="1" x14ac:dyDescent="0.25">
      <c r="A9" s="421">
        <v>8</v>
      </c>
      <c r="B9" s="422"/>
      <c r="C9" s="422" t="s">
        <v>2949</v>
      </c>
      <c r="D9" s="423" t="s">
        <v>2942</v>
      </c>
      <c r="E9" s="422" t="s">
        <v>97</v>
      </c>
      <c r="F9" s="422" t="s">
        <v>0</v>
      </c>
      <c r="G9" s="424" t="s">
        <v>1195</v>
      </c>
      <c r="H9" s="422">
        <v>600</v>
      </c>
      <c r="I9" s="422" t="s">
        <v>207</v>
      </c>
      <c r="J9" s="422" t="s">
        <v>8</v>
      </c>
      <c r="K9" s="423" t="s">
        <v>50</v>
      </c>
      <c r="L9" s="425" t="str">
        <f>VLOOKUP(G9,'SKU 对应关系'!A:E,4,0)</f>
        <v>AN6KIT-B_4X10ML</v>
      </c>
      <c r="M9" s="426" t="str">
        <f>_xlfn.IFNA(VLOOKUP(G9,'SKU 对应关系'!A:B,2,0),"")</f>
        <v>AN6KIT-B_4X10ML AN6黑色机器+4x10mL香氛油（天竺） 机油套装</v>
      </c>
      <c r="N9" s="422" t="str">
        <f>_xlfn.IFNA(VLOOKUP(G9,'SKU 对应关系'!$A:$D,3,0),"")</f>
        <v>AN6</v>
      </c>
      <c r="O9" s="427">
        <v>20</v>
      </c>
      <c r="P9" s="455">
        <v>298.84625850340137</v>
      </c>
      <c r="Q9" s="427" t="s">
        <v>16</v>
      </c>
      <c r="R9" s="422">
        <v>3.5</v>
      </c>
      <c r="S9" s="422"/>
      <c r="T9" s="428">
        <v>16.483516483516482</v>
      </c>
      <c r="U9" s="429">
        <f t="shared" si="0"/>
        <v>1062.4454212454214</v>
      </c>
      <c r="V9" s="430">
        <f t="shared" si="1"/>
        <v>1.7707423687423689</v>
      </c>
      <c r="W9" s="431">
        <f t="shared" si="4"/>
        <v>0.2642899057824431</v>
      </c>
      <c r="X9" s="422"/>
      <c r="Y9" s="422"/>
      <c r="Z9" s="428"/>
      <c r="AA9" s="432">
        <v>46031</v>
      </c>
      <c r="AB9" s="432">
        <v>46054</v>
      </c>
      <c r="AC9" s="432"/>
      <c r="AD9" s="433">
        <f>IF(ISNA(VLOOKUP(D9,亚马逊入库配置费!B:F,5,0)),0,VLOOKUP(D9,亚马逊入库配置费!B:F,5,0))</f>
        <v>0.41</v>
      </c>
      <c r="AE9" s="433">
        <f t="shared" si="2"/>
        <v>245.99999999999997</v>
      </c>
      <c r="AF9" s="432">
        <v>46066</v>
      </c>
      <c r="AG9" s="421">
        <f t="shared" si="3"/>
        <v>35</v>
      </c>
      <c r="AH9" s="432">
        <v>46102</v>
      </c>
      <c r="AI9" s="427">
        <v>608</v>
      </c>
      <c r="AJ9" s="427">
        <f t="shared" si="5"/>
        <v>36</v>
      </c>
      <c r="AK9" s="427"/>
      <c r="AL9" s="423"/>
      <c r="AM9" s="422"/>
      <c r="AN9" s="422"/>
      <c r="AO9" s="427"/>
      <c r="AP9" s="434"/>
      <c r="AQ9" s="434"/>
      <c r="AR9" s="434"/>
      <c r="AS9" s="434"/>
    </row>
    <row r="10" spans="1:45" s="435" customFormat="1" ht="12" customHeight="1" x14ac:dyDescent="0.25">
      <c r="A10" s="421">
        <v>9</v>
      </c>
      <c r="B10" s="422"/>
      <c r="C10" s="422" t="s">
        <v>2949</v>
      </c>
      <c r="D10" s="423" t="s">
        <v>2942</v>
      </c>
      <c r="E10" s="422" t="s">
        <v>97</v>
      </c>
      <c r="F10" s="422" t="s">
        <v>0</v>
      </c>
      <c r="G10" s="424" t="s">
        <v>872</v>
      </c>
      <c r="H10" s="422">
        <v>1800</v>
      </c>
      <c r="I10" s="422" t="s">
        <v>207</v>
      </c>
      <c r="J10" s="422" t="s">
        <v>8</v>
      </c>
      <c r="K10" s="423" t="s">
        <v>50</v>
      </c>
      <c r="L10" s="425" t="str">
        <f>VLOOKUP(G10,'SKU 对应关系'!A:E,4,0)</f>
        <v>AN6KIT-B_RZ30ml</v>
      </c>
      <c r="M10" s="426" t="str">
        <f>_xlfn.IFNA(VLOOKUP(G10,'SKU 对应关系'!A:B,2,0),"")</f>
        <v>AN6KIT-B_RZ30ml AN6黑色机器+30mL丽思香氛油 机油套装</v>
      </c>
      <c r="N10" s="422" t="str">
        <f>_xlfn.IFNA(VLOOKUP(G10,'SKU 对应关系'!$A:$D,3,0),"")</f>
        <v>AN6</v>
      </c>
      <c r="O10" s="427">
        <v>60</v>
      </c>
      <c r="P10" s="455">
        <v>896.53877551020412</v>
      </c>
      <c r="Q10" s="427" t="s">
        <v>16</v>
      </c>
      <c r="R10" s="422">
        <v>3.5</v>
      </c>
      <c r="S10" s="422"/>
      <c r="T10" s="428">
        <v>49.450549450549453</v>
      </c>
      <c r="U10" s="429">
        <f t="shared" si="0"/>
        <v>3187.3362637362638</v>
      </c>
      <c r="V10" s="430">
        <f t="shared" si="1"/>
        <v>1.7707423687423689</v>
      </c>
      <c r="W10" s="431">
        <f t="shared" si="4"/>
        <v>0.2642899057824431</v>
      </c>
      <c r="X10" s="422"/>
      <c r="Y10" s="422"/>
      <c r="Z10" s="428"/>
      <c r="AA10" s="432">
        <v>46031</v>
      </c>
      <c r="AB10" s="432">
        <v>46054</v>
      </c>
      <c r="AC10" s="432"/>
      <c r="AD10" s="433">
        <f>IF(ISNA(VLOOKUP(D10,亚马逊入库配置费!B:F,5,0)),0,VLOOKUP(D10,亚马逊入库配置费!B:F,5,0))</f>
        <v>0.41</v>
      </c>
      <c r="AE10" s="433">
        <f t="shared" si="2"/>
        <v>738</v>
      </c>
      <c r="AF10" s="432">
        <v>46066</v>
      </c>
      <c r="AG10" s="421">
        <f t="shared" si="3"/>
        <v>35</v>
      </c>
      <c r="AH10" s="432">
        <v>46102</v>
      </c>
      <c r="AI10" s="427">
        <v>1749</v>
      </c>
      <c r="AJ10" s="427">
        <f t="shared" si="5"/>
        <v>36</v>
      </c>
      <c r="AK10" s="427"/>
      <c r="AL10" s="423"/>
      <c r="AM10" s="422"/>
      <c r="AN10" s="422"/>
      <c r="AO10" s="427"/>
      <c r="AP10" s="434"/>
      <c r="AQ10" s="434"/>
      <c r="AR10" s="434"/>
      <c r="AS10" s="434"/>
    </row>
    <row r="11" spans="1:45" s="435" customFormat="1" ht="12" customHeight="1" x14ac:dyDescent="0.25">
      <c r="A11" s="421">
        <v>10</v>
      </c>
      <c r="B11" s="422"/>
      <c r="C11" s="422" t="s">
        <v>2949</v>
      </c>
      <c r="D11" s="423" t="s">
        <v>2942</v>
      </c>
      <c r="E11" s="422" t="s">
        <v>97</v>
      </c>
      <c r="F11" s="422" t="s">
        <v>0</v>
      </c>
      <c r="G11" s="424" t="s">
        <v>1409</v>
      </c>
      <c r="H11" s="422">
        <v>450</v>
      </c>
      <c r="I11" s="422" t="s">
        <v>207</v>
      </c>
      <c r="J11" s="422" t="s">
        <v>8</v>
      </c>
      <c r="K11" s="423" t="s">
        <v>50</v>
      </c>
      <c r="L11" s="425" t="str">
        <f>VLOOKUP(G11,'SKU 对应关系'!A:E,4,0)</f>
        <v>AN6KIT-WH_SJ30ML</v>
      </c>
      <c r="M11" s="426" t="str">
        <f>_xlfn.IFNA(VLOOKUP(G11,'SKU 对应关系'!A:B,2,0),"")</f>
        <v>AN6KIT-WH_SJ30ML AN6白色机器+30mL四季酒店香氛油 机油套装</v>
      </c>
      <c r="N11" s="422" t="str">
        <f>_xlfn.IFNA(VLOOKUP(G11,'SKU 对应关系'!$A:$D,3,0),"")</f>
        <v>AN6</v>
      </c>
      <c r="O11" s="427">
        <v>15</v>
      </c>
      <c r="P11" s="455">
        <v>224.13469387755103</v>
      </c>
      <c r="Q11" s="427" t="s">
        <v>16</v>
      </c>
      <c r="R11" s="422">
        <v>3.5</v>
      </c>
      <c r="S11" s="422"/>
      <c r="T11" s="428">
        <v>12.362637362637363</v>
      </c>
      <c r="U11" s="429">
        <f t="shared" si="0"/>
        <v>796.83406593406596</v>
      </c>
      <c r="V11" s="430">
        <f t="shared" si="1"/>
        <v>1.7707423687423689</v>
      </c>
      <c r="W11" s="431">
        <f t="shared" si="4"/>
        <v>0.2642899057824431</v>
      </c>
      <c r="X11" s="422"/>
      <c r="Y11" s="422"/>
      <c r="Z11" s="428"/>
      <c r="AA11" s="432">
        <v>46031</v>
      </c>
      <c r="AB11" s="432">
        <v>46054</v>
      </c>
      <c r="AC11" s="432"/>
      <c r="AD11" s="433">
        <f>IF(ISNA(VLOOKUP(D11,亚马逊入库配置费!B:F,5,0)),0,VLOOKUP(D11,亚马逊入库配置费!B:F,5,0))</f>
        <v>0.41</v>
      </c>
      <c r="AE11" s="433">
        <f t="shared" si="2"/>
        <v>184.5</v>
      </c>
      <c r="AF11" s="432">
        <v>46066</v>
      </c>
      <c r="AG11" s="421">
        <f t="shared" si="3"/>
        <v>35</v>
      </c>
      <c r="AH11" s="432">
        <v>46102</v>
      </c>
      <c r="AI11" s="427">
        <v>450</v>
      </c>
      <c r="AJ11" s="427">
        <f t="shared" si="5"/>
        <v>36</v>
      </c>
      <c r="AK11" s="427"/>
      <c r="AL11" s="423"/>
      <c r="AM11" s="422"/>
      <c r="AN11" s="422"/>
      <c r="AO11" s="427"/>
      <c r="AP11" s="434"/>
      <c r="AQ11" s="434"/>
      <c r="AR11" s="434"/>
      <c r="AS11" s="434"/>
    </row>
    <row r="12" spans="1:45" s="435" customFormat="1" ht="12" customHeight="1" x14ac:dyDescent="0.25">
      <c r="A12" s="421">
        <v>11</v>
      </c>
      <c r="B12" s="422"/>
      <c r="C12" s="422" t="s">
        <v>2949</v>
      </c>
      <c r="D12" s="423" t="s">
        <v>2942</v>
      </c>
      <c r="E12" s="422" t="s">
        <v>97</v>
      </c>
      <c r="F12" s="422" t="s">
        <v>0</v>
      </c>
      <c r="G12" s="424" t="s">
        <v>1215</v>
      </c>
      <c r="H12" s="422">
        <v>3000</v>
      </c>
      <c r="I12" s="422" t="s">
        <v>207</v>
      </c>
      <c r="J12" s="422" t="s">
        <v>8</v>
      </c>
      <c r="K12" s="423" t="s">
        <v>50</v>
      </c>
      <c r="L12" s="425" t="str">
        <f>VLOOKUP(G12,'SKU 对应关系'!A:E,4,0)</f>
        <v>AN8KIT-B_4X10K01</v>
      </c>
      <c r="M12" s="426" t="str">
        <f>_xlfn.IFNA(VLOOKUP(G12,'SKU 对应关系'!A:B,2,0),"")</f>
        <v>AN8KIT-B_4X10K01 AN8黑色机器+4x10mL酒店香氛油 机油套装</v>
      </c>
      <c r="N12" s="422" t="str">
        <f>_xlfn.IFNA(VLOOKUP(G12,'SKU 对应关系'!$A:$D,3,0),"")</f>
        <v>AN8</v>
      </c>
      <c r="O12" s="427">
        <v>100</v>
      </c>
      <c r="P12" s="455">
        <v>1494.2312925170068</v>
      </c>
      <c r="Q12" s="427" t="s">
        <v>16</v>
      </c>
      <c r="R12" s="422">
        <v>3.5</v>
      </c>
      <c r="S12" s="422"/>
      <c r="T12" s="428">
        <v>82.417582417582423</v>
      </c>
      <c r="U12" s="429">
        <f t="shared" si="0"/>
        <v>5312.2271062271066</v>
      </c>
      <c r="V12" s="430">
        <f t="shared" si="1"/>
        <v>1.7707423687423689</v>
      </c>
      <c r="W12" s="431">
        <f t="shared" si="4"/>
        <v>0.2642899057824431</v>
      </c>
      <c r="X12" s="422"/>
      <c r="Y12" s="422"/>
      <c r="Z12" s="428"/>
      <c r="AA12" s="432">
        <v>46031</v>
      </c>
      <c r="AB12" s="432">
        <v>46054</v>
      </c>
      <c r="AC12" s="432"/>
      <c r="AD12" s="433">
        <f>IF(ISNA(VLOOKUP(D12,亚马逊入库配置费!B:F,5,0)),0,VLOOKUP(D12,亚马逊入库配置费!B:F,5,0))</f>
        <v>0.41</v>
      </c>
      <c r="AE12" s="433">
        <f t="shared" si="2"/>
        <v>1230</v>
      </c>
      <c r="AF12" s="432">
        <v>46066</v>
      </c>
      <c r="AG12" s="421">
        <f t="shared" si="3"/>
        <v>35</v>
      </c>
      <c r="AH12" s="432">
        <v>46102</v>
      </c>
      <c r="AI12" s="427">
        <v>2972</v>
      </c>
      <c r="AJ12" s="427">
        <f t="shared" si="5"/>
        <v>36</v>
      </c>
      <c r="AK12" s="427"/>
      <c r="AL12" s="423"/>
      <c r="AM12" s="422"/>
      <c r="AN12" s="422"/>
      <c r="AO12" s="427"/>
      <c r="AP12" s="434"/>
      <c r="AQ12" s="434"/>
      <c r="AR12" s="434"/>
      <c r="AS12" s="434"/>
    </row>
    <row r="13" spans="1:45" s="435" customFormat="1" ht="12" customHeight="1" x14ac:dyDescent="0.25">
      <c r="A13" s="421">
        <v>12</v>
      </c>
      <c r="B13" s="422"/>
      <c r="C13" s="422" t="s">
        <v>2949</v>
      </c>
      <c r="D13" s="423" t="s">
        <v>2942</v>
      </c>
      <c r="E13" s="422" t="s">
        <v>97</v>
      </c>
      <c r="F13" s="422" t="s">
        <v>0</v>
      </c>
      <c r="G13" s="424" t="s">
        <v>1851</v>
      </c>
      <c r="H13" s="422">
        <v>210</v>
      </c>
      <c r="I13" s="422" t="s">
        <v>207</v>
      </c>
      <c r="J13" s="422" t="s">
        <v>8</v>
      </c>
      <c r="K13" s="423" t="s">
        <v>50</v>
      </c>
      <c r="L13" s="425" t="str">
        <f>VLOOKUP(G13,'SKU 对应关系'!A:E,4,0)</f>
        <v>AN8KIT-B_4X10K02</v>
      </c>
      <c r="M13" s="426" t="str">
        <f>_xlfn.IFNA(VLOOKUP(G13,'SKU 对应关系'!A:B,2,0),"")</f>
        <v>AN8KIT-B_4X10K02 AN8黑色机器+4x10mL（天竺）香氛油 机油套装</v>
      </c>
      <c r="N13" s="422" t="str">
        <f>_xlfn.IFNA(VLOOKUP(G13,'SKU 对应关系'!$A:$D,3,0),"")</f>
        <v>AN8</v>
      </c>
      <c r="O13" s="427">
        <v>7</v>
      </c>
      <c r="P13" s="455">
        <v>104.59619047619047</v>
      </c>
      <c r="Q13" s="427" t="s">
        <v>16</v>
      </c>
      <c r="R13" s="422">
        <v>3.5</v>
      </c>
      <c r="S13" s="422"/>
      <c r="T13" s="428">
        <v>5.7692307692307692</v>
      </c>
      <c r="U13" s="429">
        <f t="shared" si="0"/>
        <v>371.85589743589742</v>
      </c>
      <c r="V13" s="430">
        <f t="shared" si="1"/>
        <v>1.7707423687423687</v>
      </c>
      <c r="W13" s="431">
        <f t="shared" si="4"/>
        <v>0.2642899057824431</v>
      </c>
      <c r="X13" s="422"/>
      <c r="Y13" s="422"/>
      <c r="Z13" s="428"/>
      <c r="AA13" s="432">
        <v>46031</v>
      </c>
      <c r="AB13" s="432">
        <v>46054</v>
      </c>
      <c r="AC13" s="432"/>
      <c r="AD13" s="433">
        <f>IF(ISNA(VLOOKUP(D13,亚马逊入库配置费!B:F,5,0)),0,VLOOKUP(D13,亚马逊入库配置费!B:F,5,0))</f>
        <v>0.41</v>
      </c>
      <c r="AE13" s="433">
        <f t="shared" si="2"/>
        <v>86.1</v>
      </c>
      <c r="AF13" s="432">
        <v>46066</v>
      </c>
      <c r="AG13" s="421">
        <f t="shared" si="3"/>
        <v>35</v>
      </c>
      <c r="AH13" s="432">
        <v>46102</v>
      </c>
      <c r="AI13" s="427">
        <v>212</v>
      </c>
      <c r="AJ13" s="427">
        <f t="shared" si="5"/>
        <v>36</v>
      </c>
      <c r="AK13" s="427"/>
      <c r="AL13" s="423"/>
      <c r="AM13" s="422"/>
      <c r="AN13" s="422"/>
      <c r="AO13" s="427"/>
      <c r="AP13" s="434"/>
      <c r="AQ13" s="434"/>
      <c r="AR13" s="434"/>
      <c r="AS13" s="434"/>
    </row>
    <row r="14" spans="1:45" s="435" customFormat="1" ht="12" customHeight="1" x14ac:dyDescent="0.25">
      <c r="A14" s="421">
        <v>13</v>
      </c>
      <c r="B14" s="422"/>
      <c r="C14" s="422" t="s">
        <v>2949</v>
      </c>
      <c r="D14" s="423" t="s">
        <v>2942</v>
      </c>
      <c r="E14" s="422" t="s">
        <v>97</v>
      </c>
      <c r="F14" s="422" t="s">
        <v>0</v>
      </c>
      <c r="G14" s="424" t="s">
        <v>1902</v>
      </c>
      <c r="H14" s="422">
        <v>240</v>
      </c>
      <c r="I14" s="422" t="s">
        <v>207</v>
      </c>
      <c r="J14" s="422" t="s">
        <v>8</v>
      </c>
      <c r="K14" s="423" t="s">
        <v>50</v>
      </c>
      <c r="L14" s="425" t="str">
        <f>VLOOKUP(G14,'SKU 对应关系'!A:E,4,0)</f>
        <v>AN8KIT-WH_4X10K01</v>
      </c>
      <c r="M14" s="426" t="str">
        <f>_xlfn.IFNA(VLOOKUP(G14,'SKU 对应关系'!A:B,2,0),"")</f>
        <v>AN8KIT-WH_4X10K01 AN8白色机器+4x10mL酒店香氛油 机油套装</v>
      </c>
      <c r="N14" s="422" t="str">
        <f>_xlfn.IFNA(VLOOKUP(G14,'SKU 对应关系'!$A:$D,3,0),"")</f>
        <v>AN8</v>
      </c>
      <c r="O14" s="427">
        <v>8</v>
      </c>
      <c r="P14" s="455">
        <v>119.53850340136054</v>
      </c>
      <c r="Q14" s="427" t="s">
        <v>16</v>
      </c>
      <c r="R14" s="422">
        <v>3.5</v>
      </c>
      <c r="S14" s="422"/>
      <c r="T14" s="428">
        <v>6.5934065934065931</v>
      </c>
      <c r="U14" s="429">
        <f t="shared" si="0"/>
        <v>424.97816849816849</v>
      </c>
      <c r="V14" s="430">
        <f t="shared" si="1"/>
        <v>1.7707423687423687</v>
      </c>
      <c r="W14" s="431">
        <f t="shared" si="4"/>
        <v>0.2642899057824431</v>
      </c>
      <c r="X14" s="422"/>
      <c r="Y14" s="422"/>
      <c r="Z14" s="428"/>
      <c r="AA14" s="432">
        <v>46031</v>
      </c>
      <c r="AB14" s="432">
        <v>46054</v>
      </c>
      <c r="AC14" s="432"/>
      <c r="AD14" s="433">
        <f>IF(ISNA(VLOOKUP(D14,亚马逊入库配置费!B:F,5,0)),0,VLOOKUP(D14,亚马逊入库配置费!B:F,5,0))</f>
        <v>0.41</v>
      </c>
      <c r="AE14" s="433">
        <f t="shared" si="2"/>
        <v>98.399999999999991</v>
      </c>
      <c r="AF14" s="432">
        <v>46066</v>
      </c>
      <c r="AG14" s="421">
        <f t="shared" si="3"/>
        <v>35</v>
      </c>
      <c r="AH14" s="432">
        <v>46102</v>
      </c>
      <c r="AI14" s="427">
        <v>240</v>
      </c>
      <c r="AJ14" s="427">
        <f t="shared" si="5"/>
        <v>36</v>
      </c>
      <c r="AK14" s="427"/>
      <c r="AL14" s="423"/>
      <c r="AM14" s="422"/>
      <c r="AN14" s="422"/>
      <c r="AO14" s="427"/>
      <c r="AP14" s="434"/>
      <c r="AQ14" s="434"/>
      <c r="AR14" s="434"/>
      <c r="AS14" s="434"/>
    </row>
    <row r="15" spans="1:45" s="435" customFormat="1" ht="12" customHeight="1" x14ac:dyDescent="0.25">
      <c r="A15" s="421">
        <v>14</v>
      </c>
      <c r="B15" s="422"/>
      <c r="C15" s="422" t="s">
        <v>2949</v>
      </c>
      <c r="D15" s="423" t="s">
        <v>2942</v>
      </c>
      <c r="E15" s="422" t="s">
        <v>97</v>
      </c>
      <c r="F15" s="422" t="s">
        <v>0</v>
      </c>
      <c r="G15" s="424" t="s">
        <v>864</v>
      </c>
      <c r="H15" s="422">
        <v>300</v>
      </c>
      <c r="I15" s="422" t="s">
        <v>207</v>
      </c>
      <c r="J15" s="422" t="s">
        <v>8</v>
      </c>
      <c r="K15" s="423" t="s">
        <v>50</v>
      </c>
      <c r="L15" s="425" t="str">
        <f>VLOOKUP(G15,'SKU 对应关系'!A:E,4,0)</f>
        <v>ANXKIT-B_RZ30ml</v>
      </c>
      <c r="M15" s="426" t="str">
        <f>_xlfn.IFNA(VLOOKUP(G15,'SKU 对应关系'!A:B,2,0),"")</f>
        <v>ANXKIT-B_RZ30ml ANX黑色机器+30mL丽思香氛油 机油套装</v>
      </c>
      <c r="N15" s="422" t="str">
        <f>_xlfn.IFNA(VLOOKUP(G15,'SKU 对应关系'!$A:$D,3,0),"")</f>
        <v>ANX</v>
      </c>
      <c r="O15" s="427">
        <v>10</v>
      </c>
      <c r="P15" s="455">
        <v>149.42312925170069</v>
      </c>
      <c r="Q15" s="427" t="s">
        <v>16</v>
      </c>
      <c r="R15" s="422">
        <v>3.5</v>
      </c>
      <c r="S15" s="422"/>
      <c r="T15" s="428">
        <v>8.2417582417582409</v>
      </c>
      <c r="U15" s="429">
        <f t="shared" si="0"/>
        <v>531.22271062271068</v>
      </c>
      <c r="V15" s="430">
        <f t="shared" si="1"/>
        <v>1.7707423687423689</v>
      </c>
      <c r="W15" s="431">
        <f t="shared" si="4"/>
        <v>0.2642899057824431</v>
      </c>
      <c r="X15" s="422"/>
      <c r="Y15" s="422"/>
      <c r="Z15" s="428"/>
      <c r="AA15" s="432">
        <v>46031</v>
      </c>
      <c r="AB15" s="432">
        <v>46054</v>
      </c>
      <c r="AC15" s="432"/>
      <c r="AD15" s="433">
        <f>IF(ISNA(VLOOKUP(D15,亚马逊入库配置费!B:F,5,0)),0,VLOOKUP(D15,亚马逊入库配置费!B:F,5,0))</f>
        <v>0.41</v>
      </c>
      <c r="AE15" s="433">
        <f t="shared" si="2"/>
        <v>122.99999999999999</v>
      </c>
      <c r="AF15" s="432">
        <v>46066</v>
      </c>
      <c r="AG15" s="421">
        <f t="shared" si="3"/>
        <v>35</v>
      </c>
      <c r="AH15" s="432">
        <v>46102</v>
      </c>
      <c r="AI15" s="427">
        <v>300</v>
      </c>
      <c r="AJ15" s="427">
        <f t="shared" si="5"/>
        <v>36</v>
      </c>
      <c r="AK15" s="427"/>
      <c r="AL15" s="423"/>
      <c r="AM15" s="422"/>
      <c r="AN15" s="422"/>
      <c r="AO15" s="427"/>
      <c r="AP15" s="434"/>
      <c r="AQ15" s="434"/>
      <c r="AR15" s="434"/>
      <c r="AS15" s="434"/>
    </row>
    <row r="16" spans="1:45" s="435" customFormat="1" ht="12" customHeight="1" x14ac:dyDescent="0.25">
      <c r="A16" s="421">
        <v>15</v>
      </c>
      <c r="B16" s="422"/>
      <c r="C16" s="422" t="s">
        <v>2949</v>
      </c>
      <c r="D16" s="423" t="s">
        <v>2942</v>
      </c>
      <c r="E16" s="422" t="s">
        <v>97</v>
      </c>
      <c r="F16" s="422" t="s">
        <v>0</v>
      </c>
      <c r="G16" s="424" t="s">
        <v>2242</v>
      </c>
      <c r="H16" s="422">
        <v>10</v>
      </c>
      <c r="I16" s="422" t="s">
        <v>207</v>
      </c>
      <c r="J16" s="422" t="s">
        <v>8</v>
      </c>
      <c r="K16" s="423" t="s">
        <v>50</v>
      </c>
      <c r="L16" s="425" t="str">
        <f>VLOOKUP(G16,'SKU 对应关系'!A:E,4,0)</f>
        <v>AN8KIT-B_2X20K01</v>
      </c>
      <c r="M16" s="426" t="str">
        <f>_xlfn.IFNA(VLOOKUP(G16,'SKU 对应关系'!A:B,2,0),"")</f>
        <v>AN8KIT-B_2X20K01 AN8黑色机器+2X20mL酒店香氛油 机油套装</v>
      </c>
      <c r="N16" s="422" t="str">
        <f>_xlfn.IFNA(VLOOKUP(G16,'SKU 对应关系'!$A:$D,3,0),"")</f>
        <v>AN8</v>
      </c>
      <c r="O16" s="437">
        <v>0.33333333333333298</v>
      </c>
      <c r="P16" s="455">
        <v>4.980770975056684</v>
      </c>
      <c r="Q16" s="427" t="s">
        <v>16</v>
      </c>
      <c r="R16" s="422">
        <v>3.5</v>
      </c>
      <c r="S16" s="422"/>
      <c r="T16" s="428">
        <v>0.27472527472527442</v>
      </c>
      <c r="U16" s="429">
        <f t="shared" si="0"/>
        <v>17.707423687423667</v>
      </c>
      <c r="V16" s="430">
        <f t="shared" si="1"/>
        <v>1.7707423687423667</v>
      </c>
      <c r="W16" s="431">
        <f t="shared" si="4"/>
        <v>0.26428990578244277</v>
      </c>
      <c r="X16" s="422"/>
      <c r="Y16" s="422"/>
      <c r="Z16" s="428"/>
      <c r="AA16" s="432">
        <v>46031</v>
      </c>
      <c r="AB16" s="432">
        <v>46054</v>
      </c>
      <c r="AC16" s="432"/>
      <c r="AD16" s="433">
        <f>IF(ISNA(VLOOKUP(D16,亚马逊入库配置费!B:F,5,0)),0,VLOOKUP(D16,亚马逊入库配置费!B:F,5,0))</f>
        <v>0.41</v>
      </c>
      <c r="AE16" s="433">
        <f t="shared" si="2"/>
        <v>4.0999999999999996</v>
      </c>
      <c r="AF16" s="432">
        <v>46066</v>
      </c>
      <c r="AG16" s="421">
        <f t="shared" si="3"/>
        <v>35</v>
      </c>
      <c r="AH16" s="432">
        <v>46102</v>
      </c>
      <c r="AI16" s="427">
        <v>10</v>
      </c>
      <c r="AJ16" s="427">
        <f t="shared" si="5"/>
        <v>36</v>
      </c>
      <c r="AK16" s="427"/>
      <c r="AL16" s="423"/>
      <c r="AM16" s="422"/>
      <c r="AN16" s="422"/>
      <c r="AO16" s="427"/>
      <c r="AP16" s="434"/>
      <c r="AQ16" s="434"/>
      <c r="AR16" s="434"/>
      <c r="AS16" s="434"/>
    </row>
    <row r="17" spans="1:45" s="435" customFormat="1" ht="12" customHeight="1" x14ac:dyDescent="0.25">
      <c r="A17" s="421">
        <v>16</v>
      </c>
      <c r="B17" s="422"/>
      <c r="C17" s="422" t="s">
        <v>2949</v>
      </c>
      <c r="D17" s="423" t="s">
        <v>2942</v>
      </c>
      <c r="E17" s="422" t="s">
        <v>97</v>
      </c>
      <c r="F17" s="422" t="s">
        <v>0</v>
      </c>
      <c r="G17" s="424" t="s">
        <v>2245</v>
      </c>
      <c r="H17" s="422">
        <v>20</v>
      </c>
      <c r="I17" s="422" t="s">
        <v>207</v>
      </c>
      <c r="J17" s="422" t="s">
        <v>8</v>
      </c>
      <c r="K17" s="423" t="s">
        <v>50</v>
      </c>
      <c r="L17" s="425" t="str">
        <f>VLOOKUP(G17,'SKU 对应关系'!A:E,4,0)</f>
        <v>AN8KIT-WH_2X20K01</v>
      </c>
      <c r="M17" s="426" t="str">
        <f>_xlfn.IFNA(VLOOKUP(G17,'SKU 对应关系'!A:B,2,0),"")</f>
        <v>AN8KIT-WH_2X20K01 AN8白色机器+2X20mL酒店香氛油 机油套装</v>
      </c>
      <c r="N17" s="422" t="str">
        <f>_xlfn.IFNA(VLOOKUP(G17,'SKU 对应关系'!$A:$D,3,0),"")</f>
        <v>AN8</v>
      </c>
      <c r="O17" s="437">
        <v>0.66666666666666696</v>
      </c>
      <c r="P17" s="455">
        <v>9.9615419501133822</v>
      </c>
      <c r="Q17" s="427" t="s">
        <v>16</v>
      </c>
      <c r="R17" s="422">
        <v>3.5</v>
      </c>
      <c r="S17" s="422"/>
      <c r="T17" s="428">
        <v>0.54945054945054972</v>
      </c>
      <c r="U17" s="429">
        <f t="shared" si="0"/>
        <v>35.414847374847383</v>
      </c>
      <c r="V17" s="430">
        <f t="shared" si="1"/>
        <v>1.7707423687423691</v>
      </c>
      <c r="W17" s="431">
        <f t="shared" si="4"/>
        <v>0.26428990578244316</v>
      </c>
      <c r="X17" s="422"/>
      <c r="Y17" s="422"/>
      <c r="Z17" s="428"/>
      <c r="AA17" s="432">
        <v>46031</v>
      </c>
      <c r="AB17" s="432">
        <v>46054</v>
      </c>
      <c r="AC17" s="432"/>
      <c r="AD17" s="433">
        <f>IF(ISNA(VLOOKUP(D17,亚马逊入库配置费!B:F,5,0)),0,VLOOKUP(D17,亚马逊入库配置费!B:F,5,0))</f>
        <v>0.41</v>
      </c>
      <c r="AE17" s="433">
        <f t="shared" si="2"/>
        <v>8.1999999999999993</v>
      </c>
      <c r="AF17" s="432">
        <v>46066</v>
      </c>
      <c r="AG17" s="421">
        <f t="shared" si="3"/>
        <v>35</v>
      </c>
      <c r="AH17" s="432">
        <v>46102</v>
      </c>
      <c r="AI17" s="427">
        <v>22</v>
      </c>
      <c r="AJ17" s="427">
        <f t="shared" si="5"/>
        <v>36</v>
      </c>
      <c r="AK17" s="427"/>
      <c r="AL17" s="423"/>
      <c r="AM17" s="422"/>
      <c r="AN17" s="422"/>
      <c r="AO17" s="427"/>
      <c r="AP17" s="434"/>
      <c r="AQ17" s="434"/>
      <c r="AR17" s="434"/>
      <c r="AS17" s="434"/>
    </row>
    <row r="18" spans="1:45" s="435" customFormat="1" ht="12" customHeight="1" x14ac:dyDescent="0.25">
      <c r="A18" s="421">
        <v>17</v>
      </c>
      <c r="B18" s="422"/>
      <c r="C18" s="422" t="s">
        <v>2949</v>
      </c>
      <c r="D18" s="423" t="s">
        <v>2943</v>
      </c>
      <c r="E18" s="422" t="s">
        <v>97</v>
      </c>
      <c r="F18" s="422" t="s">
        <v>0</v>
      </c>
      <c r="G18" s="424" t="s">
        <v>228</v>
      </c>
      <c r="H18" s="422">
        <v>100</v>
      </c>
      <c r="I18" s="422" t="s">
        <v>207</v>
      </c>
      <c r="J18" s="422" t="s">
        <v>8</v>
      </c>
      <c r="K18" s="423" t="s">
        <v>50</v>
      </c>
      <c r="L18" s="425" t="str">
        <f>VLOOKUP(G18,'SKU 对应关系'!A:E,4,0)</f>
        <v>AN6-2PC-BB</v>
      </c>
      <c r="M18" s="426" t="str">
        <f>_xlfn.IFNA(VLOOKUP(G18,'SKU 对应关系'!A:B,2,0),"")</f>
        <v>AN6-2PC-BB 便携式扩香仪套装 黑+黑</v>
      </c>
      <c r="N18" s="422" t="str">
        <f>_xlfn.IFNA(VLOOKUP(G18,'SKU 对应关系'!$A:$D,3,0),"")</f>
        <v>AN6</v>
      </c>
      <c r="O18" s="427">
        <v>5</v>
      </c>
      <c r="P18" s="455">
        <v>74.711403508771937</v>
      </c>
      <c r="Q18" s="427" t="s">
        <v>16</v>
      </c>
      <c r="R18" s="422">
        <v>3.5</v>
      </c>
      <c r="S18" s="422"/>
      <c r="T18" s="428">
        <v>4.1208791208791204</v>
      </c>
      <c r="U18" s="429">
        <f t="shared" si="0"/>
        <v>265.61079140158091</v>
      </c>
      <c r="V18" s="430">
        <f t="shared" si="1"/>
        <v>2.6561079140158093</v>
      </c>
      <c r="W18" s="431">
        <f t="shared" si="4"/>
        <v>0.39643401701728498</v>
      </c>
      <c r="X18" s="422"/>
      <c r="Y18" s="422"/>
      <c r="Z18" s="428"/>
      <c r="AA18" s="432">
        <v>46031</v>
      </c>
      <c r="AB18" s="432">
        <v>46054</v>
      </c>
      <c r="AC18" s="432"/>
      <c r="AD18" s="433">
        <f>IF(ISNA(VLOOKUP(D18,亚马逊入库配置费!B:F,5,0)),0,VLOOKUP(D18,亚马逊入库配置费!B:F,5,0))</f>
        <v>0.35028436018957348</v>
      </c>
      <c r="AE18" s="433">
        <f t="shared" si="2"/>
        <v>35.02843601895735</v>
      </c>
      <c r="AF18" s="432">
        <v>46069</v>
      </c>
      <c r="AG18" s="421">
        <f t="shared" si="3"/>
        <v>38</v>
      </c>
      <c r="AH18" s="432">
        <v>46105</v>
      </c>
      <c r="AI18" s="427">
        <v>100</v>
      </c>
      <c r="AJ18" s="427">
        <f t="shared" si="5"/>
        <v>36</v>
      </c>
      <c r="AK18" s="427"/>
      <c r="AL18" s="423"/>
      <c r="AM18" s="422"/>
      <c r="AN18" s="422"/>
      <c r="AO18" s="427"/>
      <c r="AP18" s="434"/>
      <c r="AQ18" s="434"/>
      <c r="AR18" s="434"/>
      <c r="AS18" s="434"/>
    </row>
    <row r="19" spans="1:45" s="435" customFormat="1" ht="12" customHeight="1" x14ac:dyDescent="0.25">
      <c r="A19" s="421">
        <v>18</v>
      </c>
      <c r="B19" s="422"/>
      <c r="C19" s="422" t="s">
        <v>2949</v>
      </c>
      <c r="D19" s="423" t="s">
        <v>2943</v>
      </c>
      <c r="E19" s="422" t="s">
        <v>97</v>
      </c>
      <c r="F19" s="422" t="s">
        <v>0</v>
      </c>
      <c r="G19" s="424" t="s">
        <v>163</v>
      </c>
      <c r="H19" s="422">
        <v>1200</v>
      </c>
      <c r="I19" s="422" t="s">
        <v>207</v>
      </c>
      <c r="J19" s="422" t="s">
        <v>8</v>
      </c>
      <c r="K19" s="423" t="s">
        <v>50</v>
      </c>
      <c r="L19" s="425" t="str">
        <f>VLOOKUP(G19,'SKU 对应关系'!A:E,4,0)</f>
        <v>AN6-B</v>
      </c>
      <c r="M19" s="426" t="str">
        <f>_xlfn.IFNA(VLOOKUP(G19,'SKU 对应关系'!A:B,2,0),"")</f>
        <v>AN6-B 便携式扩香仪 黑色</v>
      </c>
      <c r="N19" s="422" t="str">
        <f>_xlfn.IFNA(VLOOKUP(G19,'SKU 对应关系'!$A:$D,3,0),"")</f>
        <v>AN6</v>
      </c>
      <c r="O19" s="427">
        <v>30</v>
      </c>
      <c r="P19" s="455">
        <v>448.2684210526316</v>
      </c>
      <c r="Q19" s="427" t="s">
        <v>16</v>
      </c>
      <c r="R19" s="422">
        <v>3.5</v>
      </c>
      <c r="S19" s="422"/>
      <c r="T19" s="428">
        <v>24.725274725274726</v>
      </c>
      <c r="U19" s="429">
        <f t="shared" si="0"/>
        <v>1593.6647484094851</v>
      </c>
      <c r="V19" s="430">
        <f t="shared" si="1"/>
        <v>1.3280539570079042</v>
      </c>
      <c r="W19" s="431">
        <f t="shared" si="4"/>
        <v>0.19821700850864241</v>
      </c>
      <c r="X19" s="422"/>
      <c r="Y19" s="422"/>
      <c r="Z19" s="428"/>
      <c r="AA19" s="432">
        <v>46031</v>
      </c>
      <c r="AB19" s="432">
        <v>46054</v>
      </c>
      <c r="AC19" s="432"/>
      <c r="AD19" s="433">
        <f>IF(ISNA(VLOOKUP(D19,亚马逊入库配置费!B:F,5,0)),0,VLOOKUP(D19,亚马逊入库配置费!B:F,5,0))</f>
        <v>0.35028436018957348</v>
      </c>
      <c r="AE19" s="433">
        <f t="shared" si="2"/>
        <v>420.34123222748821</v>
      </c>
      <c r="AF19" s="432">
        <v>46069</v>
      </c>
      <c r="AG19" s="421">
        <f t="shared" si="3"/>
        <v>38</v>
      </c>
      <c r="AH19" s="432">
        <v>46105</v>
      </c>
      <c r="AI19" s="427">
        <v>1200</v>
      </c>
      <c r="AJ19" s="427">
        <f t="shared" si="5"/>
        <v>36</v>
      </c>
      <c r="AK19" s="427"/>
      <c r="AL19" s="423"/>
      <c r="AM19" s="422"/>
      <c r="AN19" s="422"/>
      <c r="AO19" s="427"/>
      <c r="AP19" s="434"/>
      <c r="AQ19" s="434"/>
      <c r="AR19" s="434"/>
      <c r="AS19" s="434"/>
    </row>
    <row r="20" spans="1:45" s="435" customFormat="1" ht="12" customHeight="1" x14ac:dyDescent="0.25">
      <c r="A20" s="421">
        <v>19</v>
      </c>
      <c r="B20" s="422"/>
      <c r="C20" s="422" t="s">
        <v>2949</v>
      </c>
      <c r="D20" s="423" t="s">
        <v>2943</v>
      </c>
      <c r="E20" s="422" t="s">
        <v>97</v>
      </c>
      <c r="F20" s="422" t="s">
        <v>0</v>
      </c>
      <c r="G20" s="424" t="s">
        <v>165</v>
      </c>
      <c r="H20" s="422">
        <v>480</v>
      </c>
      <c r="I20" s="422" t="s">
        <v>207</v>
      </c>
      <c r="J20" s="422" t="s">
        <v>8</v>
      </c>
      <c r="K20" s="423" t="s">
        <v>50</v>
      </c>
      <c r="L20" s="425" t="str">
        <f>VLOOKUP(G20,'SKU 对应关系'!A:E,4,0)</f>
        <v>AN6-W</v>
      </c>
      <c r="M20" s="426" t="str">
        <f>_xlfn.IFNA(VLOOKUP(G20,'SKU 对应关系'!A:B,2,0),"")</f>
        <v>AN6-W 便携式扩香仪 白色</v>
      </c>
      <c r="N20" s="422" t="str">
        <f>_xlfn.IFNA(VLOOKUP(G20,'SKU 对应关系'!$A:$D,3,0),"")</f>
        <v>AN6</v>
      </c>
      <c r="O20" s="427">
        <v>12</v>
      </c>
      <c r="P20" s="455">
        <v>179.30736842105264</v>
      </c>
      <c r="Q20" s="427" t="s">
        <v>16</v>
      </c>
      <c r="R20" s="422">
        <v>3.5</v>
      </c>
      <c r="S20" s="422"/>
      <c r="T20" s="428">
        <v>9.8901098901098905</v>
      </c>
      <c r="U20" s="429">
        <f t="shared" si="0"/>
        <v>637.46589936379416</v>
      </c>
      <c r="V20" s="430">
        <f t="shared" si="1"/>
        <v>1.3280539570079044</v>
      </c>
      <c r="W20" s="431">
        <f t="shared" si="4"/>
        <v>0.19821700850864243</v>
      </c>
      <c r="X20" s="422"/>
      <c r="Y20" s="422"/>
      <c r="Z20" s="428"/>
      <c r="AA20" s="432">
        <v>46031</v>
      </c>
      <c r="AB20" s="432">
        <v>46054</v>
      </c>
      <c r="AC20" s="432"/>
      <c r="AD20" s="433">
        <f>IF(ISNA(VLOOKUP(D20,亚马逊入库配置费!B:F,5,0)),0,VLOOKUP(D20,亚马逊入库配置费!B:F,5,0))</f>
        <v>0.35028436018957348</v>
      </c>
      <c r="AE20" s="433">
        <f t="shared" si="2"/>
        <v>168.13649289099527</v>
      </c>
      <c r="AF20" s="432">
        <v>46069</v>
      </c>
      <c r="AG20" s="421">
        <f t="shared" si="3"/>
        <v>38</v>
      </c>
      <c r="AH20" s="432">
        <v>46105</v>
      </c>
      <c r="AI20" s="427">
        <v>480</v>
      </c>
      <c r="AJ20" s="427">
        <f t="shared" si="5"/>
        <v>36</v>
      </c>
      <c r="AK20" s="427"/>
      <c r="AL20" s="423"/>
      <c r="AM20" s="422"/>
      <c r="AN20" s="422"/>
      <c r="AO20" s="427"/>
      <c r="AP20" s="434"/>
      <c r="AQ20" s="434"/>
      <c r="AR20" s="434"/>
      <c r="AS20" s="434"/>
    </row>
    <row r="21" spans="1:45" s="435" customFormat="1" ht="12" customHeight="1" x14ac:dyDescent="0.25">
      <c r="A21" s="421">
        <v>20</v>
      </c>
      <c r="B21" s="422"/>
      <c r="C21" s="422" t="s">
        <v>2949</v>
      </c>
      <c r="D21" s="423" t="s">
        <v>2943</v>
      </c>
      <c r="E21" s="422" t="s">
        <v>97</v>
      </c>
      <c r="F21" s="422" t="s">
        <v>0</v>
      </c>
      <c r="G21" s="424" t="s">
        <v>786</v>
      </c>
      <c r="H21" s="422">
        <v>120</v>
      </c>
      <c r="I21" s="422" t="s">
        <v>207</v>
      </c>
      <c r="J21" s="422" t="s">
        <v>8</v>
      </c>
      <c r="K21" s="423" t="s">
        <v>50</v>
      </c>
      <c r="L21" s="425" t="str">
        <f>VLOOKUP(G21,'SKU 对应关系'!A:E,4,0)</f>
        <v>AN6-YG</v>
      </c>
      <c r="M21" s="426" t="str">
        <f>_xlfn.IFNA(VLOOKUP(G21,'SKU 对应关系'!A:B,2,0),"")</f>
        <v>AN6-YG 便携式扩香仪 乳酪色</v>
      </c>
      <c r="N21" s="422" t="str">
        <f>_xlfn.IFNA(VLOOKUP(G21,'SKU 对应关系'!$A:$D,3,0),"")</f>
        <v>AN6</v>
      </c>
      <c r="O21" s="427">
        <v>3</v>
      </c>
      <c r="P21" s="455">
        <v>44.826842105263161</v>
      </c>
      <c r="Q21" s="427" t="s">
        <v>16</v>
      </c>
      <c r="R21" s="422">
        <v>3.5</v>
      </c>
      <c r="S21" s="422"/>
      <c r="T21" s="428">
        <v>2.4725274725274726</v>
      </c>
      <c r="U21" s="429">
        <f>R21*P21+T21</f>
        <v>159.36647484094854</v>
      </c>
      <c r="V21" s="430">
        <f t="shared" si="1"/>
        <v>1.3280539570079044</v>
      </c>
      <c r="W21" s="431">
        <f t="shared" si="4"/>
        <v>0.19821700850864243</v>
      </c>
      <c r="X21" s="422"/>
      <c r="Y21" s="422"/>
      <c r="Z21" s="428"/>
      <c r="AA21" s="432">
        <v>46031</v>
      </c>
      <c r="AB21" s="432">
        <v>46054</v>
      </c>
      <c r="AC21" s="432"/>
      <c r="AD21" s="433">
        <f>IF(ISNA(VLOOKUP(D21,亚马逊入库配置费!B:F,5,0)),0,VLOOKUP(D21,亚马逊入库配置费!B:F,5,0))</f>
        <v>0.35028436018957348</v>
      </c>
      <c r="AE21" s="433">
        <f t="shared" si="2"/>
        <v>42.034123222748818</v>
      </c>
      <c r="AF21" s="432">
        <v>46069</v>
      </c>
      <c r="AG21" s="421">
        <f t="shared" si="3"/>
        <v>38</v>
      </c>
      <c r="AH21" s="432">
        <v>46105</v>
      </c>
      <c r="AI21" s="427">
        <v>120</v>
      </c>
      <c r="AJ21" s="427">
        <f t="shared" si="5"/>
        <v>36</v>
      </c>
      <c r="AK21" s="427"/>
      <c r="AL21" s="423"/>
      <c r="AM21" s="422"/>
      <c r="AN21" s="422"/>
      <c r="AO21" s="427"/>
      <c r="AP21" s="434"/>
      <c r="AQ21" s="434"/>
      <c r="AR21" s="434"/>
      <c r="AS21" s="434"/>
    </row>
    <row r="22" spans="1:45" s="435" customFormat="1" ht="12" customHeight="1" x14ac:dyDescent="0.25">
      <c r="A22" s="421">
        <v>21</v>
      </c>
      <c r="B22" s="422"/>
      <c r="C22" s="422" t="s">
        <v>2949</v>
      </c>
      <c r="D22" s="423" t="s">
        <v>2943</v>
      </c>
      <c r="E22" s="422" t="s">
        <v>97</v>
      </c>
      <c r="F22" s="422" t="s">
        <v>0</v>
      </c>
      <c r="G22" s="424" t="s">
        <v>953</v>
      </c>
      <c r="H22" s="422">
        <v>60</v>
      </c>
      <c r="I22" s="422" t="s">
        <v>207</v>
      </c>
      <c r="J22" s="422" t="s">
        <v>8</v>
      </c>
      <c r="K22" s="423" t="s">
        <v>50</v>
      </c>
      <c r="L22" s="425" t="str">
        <f>VLOOKUP(G22,'SKU 对应关系'!A:E,4,0)</f>
        <v>AND-B</v>
      </c>
      <c r="M22" s="426" t="str">
        <f>_xlfn.IFNA(VLOOKUP(G22,'SKU 对应关系'!A:B,2,0),"")</f>
        <v>AND-B 便携式双喷扩香仪 黑色</v>
      </c>
      <c r="N22" s="422" t="str">
        <f>_xlfn.IFNA(VLOOKUP(G22,'SKU 对应关系'!$A:$D,3,0),"")</f>
        <v>AND</v>
      </c>
      <c r="O22" s="427">
        <v>2</v>
      </c>
      <c r="P22" s="455">
        <v>29.884561403508773</v>
      </c>
      <c r="Q22" s="427" t="s">
        <v>16</v>
      </c>
      <c r="R22" s="422">
        <v>3.5</v>
      </c>
      <c r="S22" s="422"/>
      <c r="T22" s="428">
        <v>1.6483516483516483</v>
      </c>
      <c r="U22" s="429">
        <f t="shared" si="0"/>
        <v>106.24431656063236</v>
      </c>
      <c r="V22" s="430">
        <f t="shared" si="1"/>
        <v>1.7707386093438726</v>
      </c>
      <c r="W22" s="431">
        <f t="shared" si="4"/>
        <v>0.26428934467818993</v>
      </c>
      <c r="X22" s="422"/>
      <c r="Y22" s="422"/>
      <c r="Z22" s="428"/>
      <c r="AA22" s="432">
        <v>46031</v>
      </c>
      <c r="AB22" s="432">
        <v>46054</v>
      </c>
      <c r="AC22" s="432"/>
      <c r="AD22" s="433">
        <f>IF(ISNA(VLOOKUP(D22,亚马逊入库配置费!B:F,5,0)),0,VLOOKUP(D22,亚马逊入库配置费!B:F,5,0))</f>
        <v>0.35028436018957348</v>
      </c>
      <c r="AE22" s="433">
        <f t="shared" si="2"/>
        <v>21.017061611374409</v>
      </c>
      <c r="AF22" s="432">
        <v>46069</v>
      </c>
      <c r="AG22" s="421">
        <f t="shared" si="3"/>
        <v>38</v>
      </c>
      <c r="AH22" s="432">
        <v>46105</v>
      </c>
      <c r="AI22" s="427">
        <v>60</v>
      </c>
      <c r="AJ22" s="427">
        <f t="shared" si="5"/>
        <v>36</v>
      </c>
      <c r="AK22" s="427"/>
      <c r="AL22" s="423"/>
      <c r="AM22" s="422"/>
      <c r="AN22" s="422"/>
      <c r="AO22" s="427"/>
      <c r="AP22" s="434"/>
      <c r="AQ22" s="434"/>
      <c r="AR22" s="434"/>
      <c r="AS22" s="434"/>
    </row>
    <row r="23" spans="1:45" s="435" customFormat="1" ht="12" customHeight="1" x14ac:dyDescent="0.25">
      <c r="A23" s="421">
        <v>22</v>
      </c>
      <c r="B23" s="422"/>
      <c r="C23" s="422" t="s">
        <v>2949</v>
      </c>
      <c r="D23" s="423" t="s">
        <v>2943</v>
      </c>
      <c r="E23" s="422" t="s">
        <v>97</v>
      </c>
      <c r="F23" s="422" t="s">
        <v>0</v>
      </c>
      <c r="G23" s="424" t="s">
        <v>957</v>
      </c>
      <c r="H23" s="422">
        <v>150</v>
      </c>
      <c r="I23" s="422" t="s">
        <v>207</v>
      </c>
      <c r="J23" s="422" t="s">
        <v>8</v>
      </c>
      <c r="K23" s="423" t="s">
        <v>50</v>
      </c>
      <c r="L23" s="425" t="str">
        <f>VLOOKUP(G23,'SKU 对应关系'!A:E,4,0)</f>
        <v>AND-DT</v>
      </c>
      <c r="M23" s="426" t="str">
        <f>_xlfn.IFNA(VLOOKUP(G23,'SKU 对应关系'!A:B,2,0),"")</f>
        <v>AND-DT 便携式双喷扩香仪 沙漠钛色</v>
      </c>
      <c r="N23" s="422" t="str">
        <f>_xlfn.IFNA(VLOOKUP(G23,'SKU 对应关系'!$A:$D,3,0),"")</f>
        <v>AND</v>
      </c>
      <c r="O23" s="427">
        <v>5</v>
      </c>
      <c r="P23" s="455">
        <v>74.711403508771937</v>
      </c>
      <c r="Q23" s="427" t="s">
        <v>16</v>
      </c>
      <c r="R23" s="422">
        <v>3.5</v>
      </c>
      <c r="S23" s="422"/>
      <c r="T23" s="428">
        <v>4.1208791208791204</v>
      </c>
      <c r="U23" s="429">
        <f t="shared" si="0"/>
        <v>265.61079140158091</v>
      </c>
      <c r="V23" s="430">
        <f t="shared" si="1"/>
        <v>1.7707386093438728</v>
      </c>
      <c r="W23" s="431">
        <f t="shared" si="4"/>
        <v>0.26428934467818999</v>
      </c>
      <c r="X23" s="422"/>
      <c r="Y23" s="422"/>
      <c r="Z23" s="428"/>
      <c r="AA23" s="432">
        <v>46031</v>
      </c>
      <c r="AB23" s="432">
        <v>46054</v>
      </c>
      <c r="AC23" s="432"/>
      <c r="AD23" s="433">
        <f>IF(ISNA(VLOOKUP(D23,亚马逊入库配置费!B:F,5,0)),0,VLOOKUP(D23,亚马逊入库配置费!B:F,5,0))</f>
        <v>0.35028436018957348</v>
      </c>
      <c r="AE23" s="433">
        <f t="shared" si="2"/>
        <v>52.542654028436026</v>
      </c>
      <c r="AF23" s="432">
        <v>46069</v>
      </c>
      <c r="AG23" s="421">
        <f t="shared" si="3"/>
        <v>38</v>
      </c>
      <c r="AH23" s="432">
        <v>46105</v>
      </c>
      <c r="AI23" s="427">
        <v>150</v>
      </c>
      <c r="AJ23" s="427">
        <f t="shared" si="5"/>
        <v>36</v>
      </c>
      <c r="AK23" s="427"/>
      <c r="AL23" s="423"/>
      <c r="AM23" s="422"/>
      <c r="AN23" s="422"/>
      <c r="AO23" s="427"/>
      <c r="AP23" s="434"/>
      <c r="AQ23" s="434"/>
      <c r="AR23" s="434"/>
      <c r="AS23" s="434"/>
    </row>
    <row r="24" spans="1:45" s="435" customFormat="1" ht="12" customHeight="1" x14ac:dyDescent="0.25">
      <c r="A24" s="421">
        <v>23</v>
      </c>
      <c r="B24" s="422"/>
      <c r="C24" s="422" t="s">
        <v>2949</v>
      </c>
      <c r="D24" s="423" t="s">
        <v>2944</v>
      </c>
      <c r="E24" s="422" t="s">
        <v>2411</v>
      </c>
      <c r="F24" s="422" t="s">
        <v>0</v>
      </c>
      <c r="G24" s="424" t="s">
        <v>2518</v>
      </c>
      <c r="H24" s="422">
        <v>390</v>
      </c>
      <c r="I24" s="422" t="s">
        <v>207</v>
      </c>
      <c r="J24" s="422" t="s">
        <v>8</v>
      </c>
      <c r="K24" s="423" t="s">
        <v>50</v>
      </c>
      <c r="L24" s="425" t="str">
        <f>VLOOKUP(G24,'SKU 对应关系'!A:E,4,0)</f>
        <v>ANZKIT-B_HILTON30ML</v>
      </c>
      <c r="M24" s="426" t="str">
        <f>_xlfn.IFNA(VLOOKUP(G24,'SKU 对应关系'!A:B,2,0),"")</f>
        <v>ANZKIT-B_HILTON30ML ANZ黑色机器+30mL希尔顿酒店香氛油（天竺） 机油套装</v>
      </c>
      <c r="N24" s="422" t="str">
        <f>_xlfn.IFNA(VLOOKUP(G24,'SKU 对应关系'!$A:$D,3,0),"")</f>
        <v>ANZ</v>
      </c>
      <c r="O24" s="427">
        <v>13</v>
      </c>
      <c r="P24" s="455">
        <v>194.25</v>
      </c>
      <c r="Q24" s="427" t="s">
        <v>16</v>
      </c>
      <c r="R24" s="422">
        <v>3.5</v>
      </c>
      <c r="S24" s="422"/>
      <c r="T24" s="428">
        <v>10.714285714285714</v>
      </c>
      <c r="U24" s="429">
        <f t="shared" si="0"/>
        <v>690.58928571428567</v>
      </c>
      <c r="V24" s="430">
        <f t="shared" si="1"/>
        <v>1.7707417582417582</v>
      </c>
      <c r="W24" s="431">
        <f t="shared" si="4"/>
        <v>0.26428981466294899</v>
      </c>
      <c r="X24" s="422"/>
      <c r="Y24" s="422"/>
      <c r="Z24" s="428"/>
      <c r="AA24" s="432">
        <v>46031</v>
      </c>
      <c r="AB24" s="432">
        <v>46054</v>
      </c>
      <c r="AC24" s="432"/>
      <c r="AD24" s="433">
        <f>IF(ISNA(VLOOKUP(D24,亚马逊入库配置费!B:F,5,0)),0,VLOOKUP(D24,亚马逊入库配置费!B:F,5,0))</f>
        <v>0.41000000000000003</v>
      </c>
      <c r="AE24" s="433">
        <f t="shared" si="2"/>
        <v>159.9</v>
      </c>
      <c r="AF24" s="432">
        <v>46066</v>
      </c>
      <c r="AG24" s="421">
        <f t="shared" si="3"/>
        <v>35</v>
      </c>
      <c r="AH24" s="432">
        <v>46099</v>
      </c>
      <c r="AI24" s="427">
        <v>360</v>
      </c>
      <c r="AJ24" s="427">
        <f t="shared" si="5"/>
        <v>33</v>
      </c>
      <c r="AK24" s="427"/>
      <c r="AL24" s="423"/>
      <c r="AM24" s="422"/>
      <c r="AN24" s="422"/>
      <c r="AO24" s="427"/>
      <c r="AP24" s="434"/>
      <c r="AQ24" s="434"/>
      <c r="AR24" s="434"/>
      <c r="AS24" s="434"/>
    </row>
    <row r="25" spans="1:45" s="435" customFormat="1" ht="12" customHeight="1" x14ac:dyDescent="0.25">
      <c r="A25" s="421">
        <v>24</v>
      </c>
      <c r="B25" s="422"/>
      <c r="C25" s="422" t="s">
        <v>2950</v>
      </c>
      <c r="D25" s="423" t="s">
        <v>2945</v>
      </c>
      <c r="E25" s="422" t="s">
        <v>115</v>
      </c>
      <c r="F25" s="422" t="s">
        <v>0</v>
      </c>
      <c r="G25" s="424" t="s">
        <v>2937</v>
      </c>
      <c r="H25" s="422">
        <v>320</v>
      </c>
      <c r="I25" s="422" t="s">
        <v>306</v>
      </c>
      <c r="J25" s="422" t="s">
        <v>8</v>
      </c>
      <c r="K25" s="423" t="s">
        <v>50</v>
      </c>
      <c r="L25" s="425" t="str">
        <f>VLOOKUP(G25,'SKU 对应关系'!A:E,4,0)</f>
        <v>SJ1-100ML_TZ</v>
      </c>
      <c r="M25" s="426" t="str">
        <f>_xlfn.IFNA(VLOOKUP(G25,'SKU 对应关系'!A:B,2,0),"")</f>
        <v>SJ1-100ML_TZ 四季酒店100mL香氛油（天竺） 销售包装</v>
      </c>
      <c r="N25" s="422" t="str">
        <f>_xlfn.IFNA(VLOOKUP(G25,'SKU 对应关系'!$A:$D,3,0),"")</f>
        <v>Oil-TZ</v>
      </c>
      <c r="O25" s="427">
        <v>5</v>
      </c>
      <c r="P25" s="455">
        <v>71.25</v>
      </c>
      <c r="Q25" s="427" t="s">
        <v>16</v>
      </c>
      <c r="R25" s="422">
        <v>5.6</v>
      </c>
      <c r="S25" s="422">
        <v>350</v>
      </c>
      <c r="T25" s="428">
        <v>218.75</v>
      </c>
      <c r="U25" s="429">
        <f t="shared" si="0"/>
        <v>617.75</v>
      </c>
      <c r="V25" s="430">
        <f t="shared" si="1"/>
        <v>1.93046875</v>
      </c>
      <c r="W25" s="431">
        <f t="shared" si="4"/>
        <v>0.28812966417910446</v>
      </c>
      <c r="X25" s="422"/>
      <c r="Y25" s="422"/>
      <c r="Z25" s="428"/>
      <c r="AA25" s="432">
        <v>46031</v>
      </c>
      <c r="AB25" s="432">
        <v>46051</v>
      </c>
      <c r="AC25" s="432"/>
      <c r="AD25" s="433">
        <f>IF(ISNA(VLOOKUP(D25,亚马逊入库配置费!B:F,5,0)),0,VLOOKUP(D25,亚马逊入库配置费!B:F,5,0))</f>
        <v>0.33999999999999997</v>
      </c>
      <c r="AE25" s="433">
        <f t="shared" si="2"/>
        <v>108.79999999999998</v>
      </c>
      <c r="AF25" s="432">
        <v>46064</v>
      </c>
      <c r="AG25" s="421">
        <f t="shared" si="3"/>
        <v>33</v>
      </c>
      <c r="AH25" s="432">
        <v>46092</v>
      </c>
      <c r="AI25" s="427">
        <v>331</v>
      </c>
      <c r="AJ25" s="427">
        <f t="shared" si="5"/>
        <v>28</v>
      </c>
      <c r="AK25" s="427"/>
      <c r="AL25" s="423"/>
      <c r="AM25" s="422"/>
      <c r="AN25" s="422"/>
      <c r="AO25" s="427"/>
      <c r="AP25" s="434"/>
      <c r="AQ25" s="434"/>
      <c r="AR25" s="434"/>
      <c r="AS25" s="434"/>
    </row>
    <row r="26" spans="1:45" s="435" customFormat="1" ht="12" customHeight="1" x14ac:dyDescent="0.25">
      <c r="A26" s="421">
        <v>25</v>
      </c>
      <c r="B26" s="422"/>
      <c r="C26" s="422" t="s">
        <v>2950</v>
      </c>
      <c r="D26" s="423" t="s">
        <v>2946</v>
      </c>
      <c r="E26" s="422" t="s">
        <v>97</v>
      </c>
      <c r="F26" s="422" t="s">
        <v>0</v>
      </c>
      <c r="G26" s="424" t="s">
        <v>2863</v>
      </c>
      <c r="H26" s="422">
        <v>192</v>
      </c>
      <c r="I26" s="422" t="s">
        <v>306</v>
      </c>
      <c r="J26" s="422" t="s">
        <v>8</v>
      </c>
      <c r="K26" s="423" t="s">
        <v>50</v>
      </c>
      <c r="L26" s="425" t="str">
        <f>VLOOKUP(G26,'SKU 对应关系'!A:E,4,0)</f>
        <v>W1-100ML_TZ</v>
      </c>
      <c r="M26" s="426" t="str">
        <f>_xlfn.IFNA(VLOOKUP(G26,'SKU 对应关系'!A:B,2,0),"")</f>
        <v>W1-100ML_TZ W酒店100mL香氛油（天竺） 销售包装</v>
      </c>
      <c r="N26" s="422" t="str">
        <f>_xlfn.IFNA(VLOOKUP(G26,'SKU 对应关系'!$A:$D,3,0),"")</f>
        <v>Oil-TZ</v>
      </c>
      <c r="O26" s="427">
        <v>3</v>
      </c>
      <c r="P26" s="455">
        <v>42.75</v>
      </c>
      <c r="Q26" s="427" t="s">
        <v>16</v>
      </c>
      <c r="R26" s="422">
        <v>5.6</v>
      </c>
      <c r="S26" s="436">
        <f>SUMIF(C:C,C25,T:T)</f>
        <v>350</v>
      </c>
      <c r="T26" s="428">
        <v>131.25</v>
      </c>
      <c r="U26" s="429">
        <f t="shared" si="0"/>
        <v>370.65</v>
      </c>
      <c r="V26" s="430">
        <f t="shared" si="1"/>
        <v>1.93046875</v>
      </c>
      <c r="W26" s="431">
        <f t="shared" si="4"/>
        <v>0.28812966417910446</v>
      </c>
      <c r="X26" s="422"/>
      <c r="Y26" s="422"/>
      <c r="Z26" s="428"/>
      <c r="AA26" s="432">
        <v>46031</v>
      </c>
      <c r="AB26" s="432">
        <v>46051</v>
      </c>
      <c r="AC26" s="432"/>
      <c r="AD26" s="433">
        <f>IF(ISNA(VLOOKUP(D26,亚马逊入库配置费!B:F,5,0)),0,VLOOKUP(D26,亚马逊入库配置费!B:F,5,0))</f>
        <v>0.34</v>
      </c>
      <c r="AE26" s="433">
        <f t="shared" si="2"/>
        <v>65.28</v>
      </c>
      <c r="AF26" s="432">
        <v>46064</v>
      </c>
      <c r="AG26" s="421">
        <f t="shared" si="3"/>
        <v>33</v>
      </c>
      <c r="AH26" s="432">
        <v>46091</v>
      </c>
      <c r="AI26" s="427">
        <v>193</v>
      </c>
      <c r="AJ26" s="427">
        <f t="shared" si="5"/>
        <v>27</v>
      </c>
      <c r="AK26" s="427"/>
      <c r="AL26" s="423"/>
      <c r="AM26" s="422"/>
      <c r="AN26" s="422"/>
      <c r="AO26" s="427"/>
      <c r="AP26" s="434"/>
      <c r="AQ26" s="434"/>
      <c r="AR26" s="434"/>
      <c r="AS26" s="434"/>
    </row>
    <row r="27" spans="1:45" s="435" customFormat="1" ht="12" customHeight="1" x14ac:dyDescent="0.25">
      <c r="A27" s="421">
        <v>26</v>
      </c>
      <c r="B27" s="422"/>
      <c r="C27" s="422" t="s">
        <v>2951</v>
      </c>
      <c r="D27" s="423" t="s">
        <v>2947</v>
      </c>
      <c r="E27" s="422" t="s">
        <v>115</v>
      </c>
      <c r="F27" s="422" t="s">
        <v>0</v>
      </c>
      <c r="G27" s="424" t="s">
        <v>2889</v>
      </c>
      <c r="H27" s="422">
        <v>360</v>
      </c>
      <c r="I27" s="422" t="s">
        <v>207</v>
      </c>
      <c r="J27" s="422" t="s">
        <v>3</v>
      </c>
      <c r="K27" s="423" t="s">
        <v>14</v>
      </c>
      <c r="L27" s="425" t="str">
        <f>VLOOKUP(G27,'SKU 对应关系'!A:E,4,0)</f>
        <v>AC1-WH_US</v>
      </c>
      <c r="M27" s="426" t="str">
        <f>_xlfn.IFNA(VLOOKUP(G27,'SKU 对应关系'!A:B,2,0),"")</f>
        <v>AC1-WH_US 智能控制器 美规 白色 一个装</v>
      </c>
      <c r="N27" s="422" t="str">
        <f>_xlfn.IFNA(VLOOKUP(G27,'SKU 对应关系'!$A:$D,3,0),"")</f>
        <v>AC1</v>
      </c>
      <c r="O27" s="427">
        <v>3</v>
      </c>
      <c r="P27" s="455">
        <v>53.5</v>
      </c>
      <c r="Q27" s="427" t="s">
        <v>16</v>
      </c>
      <c r="R27" s="422">
        <v>44.5</v>
      </c>
      <c r="S27" s="422">
        <f>200+155.74</f>
        <v>355.74</v>
      </c>
      <c r="T27" s="428">
        <v>177.87</v>
      </c>
      <c r="U27" s="429">
        <f t="shared" si="0"/>
        <v>2558.62</v>
      </c>
      <c r="V27" s="430">
        <f t="shared" si="1"/>
        <v>7.1072777777777771</v>
      </c>
      <c r="W27" s="431">
        <f t="shared" si="4"/>
        <v>1.0607877280265339</v>
      </c>
      <c r="X27" s="422"/>
      <c r="Y27" s="422"/>
      <c r="Z27" s="428"/>
      <c r="AA27" s="432">
        <v>46031</v>
      </c>
      <c r="AB27" s="432">
        <v>46062</v>
      </c>
      <c r="AC27" s="432"/>
      <c r="AD27" s="433">
        <f>IF(ISNA(VLOOKUP(D27,亚马逊入库配置费!B:F,5,0)),0,VLOOKUP(D27,亚马逊入库配置费!B:F,5,0))</f>
        <v>0.3</v>
      </c>
      <c r="AE27" s="433">
        <f t="shared" si="2"/>
        <v>108</v>
      </c>
      <c r="AF27" s="432">
        <v>46044</v>
      </c>
      <c r="AG27" s="421">
        <f t="shared" si="3"/>
        <v>13</v>
      </c>
      <c r="AH27" s="432">
        <v>46074</v>
      </c>
      <c r="AI27" s="427">
        <v>359</v>
      </c>
      <c r="AJ27" s="427">
        <f t="shared" si="5"/>
        <v>30</v>
      </c>
      <c r="AK27" s="427"/>
      <c r="AL27" s="423" t="s">
        <v>2957</v>
      </c>
      <c r="AM27" s="422"/>
      <c r="AN27" s="422"/>
      <c r="AO27" s="427"/>
      <c r="AP27" s="434"/>
      <c r="AQ27" s="434"/>
      <c r="AR27" s="434"/>
      <c r="AS27" s="434"/>
    </row>
    <row r="28" spans="1:45" s="435" customFormat="1" ht="12" customHeight="1" x14ac:dyDescent="0.25">
      <c r="A28" s="421">
        <v>27</v>
      </c>
      <c r="B28" s="422"/>
      <c r="C28" s="422" t="s">
        <v>2951</v>
      </c>
      <c r="D28" s="423" t="s">
        <v>2955</v>
      </c>
      <c r="E28" s="422" t="s">
        <v>115</v>
      </c>
      <c r="F28" s="422" t="s">
        <v>0</v>
      </c>
      <c r="G28" s="424" t="s">
        <v>2892</v>
      </c>
      <c r="H28" s="422">
        <v>360</v>
      </c>
      <c r="I28" s="422" t="s">
        <v>207</v>
      </c>
      <c r="J28" s="422" t="s">
        <v>3</v>
      </c>
      <c r="K28" s="423" t="s">
        <v>14</v>
      </c>
      <c r="L28" s="425" t="str">
        <f>VLOOKUP(G28,'SKU 对应关系'!A:E,4,0)</f>
        <v>AC1KIT_WH_WH_US</v>
      </c>
      <c r="M28" s="426" t="str">
        <f>_xlfn.IFNA(VLOOKUP(G28,'SKU 对应关系'!A:B,2,0),"")</f>
        <v>AC1KIT_WH_WH_US 智能控制器 美规 白色 两个装</v>
      </c>
      <c r="N28" s="422" t="str">
        <f>_xlfn.IFNA(VLOOKUP(G28,'SKU 对应关系'!$A:$D,3,0),"")</f>
        <v>AC1</v>
      </c>
      <c r="O28" s="427">
        <v>3</v>
      </c>
      <c r="P28" s="455">
        <v>53.5</v>
      </c>
      <c r="Q28" s="427" t="s">
        <v>16</v>
      </c>
      <c r="R28" s="422">
        <v>44.5</v>
      </c>
      <c r="S28" s="436">
        <f>SUMIF(C:C,C27,T:T)</f>
        <v>355.74</v>
      </c>
      <c r="T28" s="428">
        <v>177.87</v>
      </c>
      <c r="U28" s="429">
        <f t="shared" si="0"/>
        <v>2558.62</v>
      </c>
      <c r="V28" s="430">
        <f t="shared" si="1"/>
        <v>7.1072777777777771</v>
      </c>
      <c r="W28" s="431">
        <f t="shared" si="4"/>
        <v>1.0607877280265339</v>
      </c>
      <c r="X28" s="422"/>
      <c r="Y28" s="422"/>
      <c r="Z28" s="428"/>
      <c r="AA28" s="432">
        <v>46031</v>
      </c>
      <c r="AB28" s="432">
        <v>46062</v>
      </c>
      <c r="AC28" s="432"/>
      <c r="AD28" s="433">
        <f>IF(ISNA(VLOOKUP(D28,亚马逊入库配置费!B:F,5,0)),0,VLOOKUP(D28,亚马逊入库配置费!B:F,5,0))</f>
        <v>0.3</v>
      </c>
      <c r="AE28" s="433">
        <f t="shared" si="2"/>
        <v>108</v>
      </c>
      <c r="AF28" s="432">
        <v>46044</v>
      </c>
      <c r="AG28" s="421">
        <f t="shared" si="3"/>
        <v>13</v>
      </c>
      <c r="AH28" s="432">
        <v>46074</v>
      </c>
      <c r="AI28" s="427">
        <v>348</v>
      </c>
      <c r="AJ28" s="427">
        <f t="shared" si="5"/>
        <v>30</v>
      </c>
      <c r="AK28" s="427"/>
      <c r="AL28" s="423" t="s">
        <v>2957</v>
      </c>
      <c r="AM28" s="422"/>
      <c r="AN28" s="422"/>
      <c r="AO28" s="427"/>
      <c r="AP28" s="434"/>
      <c r="AQ28" s="434"/>
      <c r="AR28" s="434"/>
      <c r="AS28" s="434"/>
    </row>
    <row r="29" spans="1:45" s="435" customFormat="1" ht="12" customHeight="1" x14ac:dyDescent="0.25">
      <c r="A29" s="422">
        <v>28</v>
      </c>
      <c r="B29" s="422"/>
      <c r="C29" s="422" t="s">
        <v>2952</v>
      </c>
      <c r="D29" s="423" t="s">
        <v>2953</v>
      </c>
      <c r="E29" s="422" t="s">
        <v>1164</v>
      </c>
      <c r="F29" s="422" t="s">
        <v>1165</v>
      </c>
      <c r="G29" s="424" t="s">
        <v>2890</v>
      </c>
      <c r="H29" s="422">
        <v>120</v>
      </c>
      <c r="I29" s="422" t="s">
        <v>207</v>
      </c>
      <c r="J29" s="422" t="s">
        <v>4146</v>
      </c>
      <c r="K29" s="423" t="s">
        <v>2954</v>
      </c>
      <c r="L29" s="426" t="str">
        <f>VLOOKUP(G29,'SKU 对应关系'!A:E,4,0)</f>
        <v>AC1-WH_EU</v>
      </c>
      <c r="M29" s="426" t="str">
        <f>_xlfn.IFNA(VLOOKUP(G29,'SKU 对应关系'!A:B,2,0),"")</f>
        <v>AC1-WH_EU 智能控制器 欧规 白色 一个装</v>
      </c>
      <c r="N29" s="422" t="str">
        <f>_xlfn.IFNA(VLOOKUP(G29,'SKU 对应关系'!$A:$D,3,0),"")</f>
        <v>AC1</v>
      </c>
      <c r="O29" s="427">
        <v>1</v>
      </c>
      <c r="P29" s="455">
        <v>17.5</v>
      </c>
      <c r="Q29" s="427" t="s">
        <v>16</v>
      </c>
      <c r="R29" s="422">
        <v>51</v>
      </c>
      <c r="S29" s="422">
        <f>250+51.91</f>
        <v>301.90999999999997</v>
      </c>
      <c r="T29" s="428">
        <v>150.95499999999998</v>
      </c>
      <c r="U29" s="457">
        <f t="shared" si="0"/>
        <v>1043.4549999999999</v>
      </c>
      <c r="V29" s="458">
        <f t="shared" si="1"/>
        <v>8.6954583333333328</v>
      </c>
      <c r="W29" s="459">
        <f t="shared" si="4"/>
        <v>1.2978296019900497</v>
      </c>
      <c r="X29" s="422"/>
      <c r="Y29" s="422"/>
      <c r="Z29" s="428"/>
      <c r="AA29" s="432">
        <v>46031</v>
      </c>
      <c r="AB29" s="432">
        <v>46062</v>
      </c>
      <c r="AC29" s="432"/>
      <c r="AD29" s="428">
        <f>IF(ISNA(VLOOKUP(D29,亚马逊入库配置费!B:F,5,0)),0,VLOOKUP(D29,亚马逊入库配置费!B:F,5,0))</f>
        <v>0</v>
      </c>
      <c r="AE29" s="428">
        <f t="shared" si="2"/>
        <v>0</v>
      </c>
      <c r="AF29" s="432">
        <v>46050</v>
      </c>
      <c r="AG29" s="422">
        <f t="shared" si="3"/>
        <v>19</v>
      </c>
      <c r="AH29" s="432">
        <v>46064</v>
      </c>
      <c r="AI29" s="427">
        <v>120</v>
      </c>
      <c r="AJ29" s="427">
        <f t="shared" si="5"/>
        <v>14</v>
      </c>
      <c r="AK29" s="427"/>
      <c r="AL29" s="423" t="s">
        <v>2967</v>
      </c>
      <c r="AM29" s="422"/>
      <c r="AN29" s="422"/>
      <c r="AO29" s="427"/>
      <c r="AP29" s="434"/>
      <c r="AQ29" s="434"/>
      <c r="AR29" s="434"/>
      <c r="AS29" s="434"/>
    </row>
    <row r="30" spans="1:45" s="435" customFormat="1" ht="12" customHeight="1" x14ac:dyDescent="0.25">
      <c r="A30" s="422">
        <v>29</v>
      </c>
      <c r="B30" s="422"/>
      <c r="C30" s="422" t="s">
        <v>2952</v>
      </c>
      <c r="D30" s="423" t="s">
        <v>2956</v>
      </c>
      <c r="E30" s="422" t="s">
        <v>1164</v>
      </c>
      <c r="F30" s="422" t="s">
        <v>1165</v>
      </c>
      <c r="G30" s="424" t="s">
        <v>2891</v>
      </c>
      <c r="H30" s="422">
        <v>120</v>
      </c>
      <c r="I30" s="422" t="s">
        <v>207</v>
      </c>
      <c r="J30" s="422" t="s">
        <v>4146</v>
      </c>
      <c r="K30" s="423" t="s">
        <v>2954</v>
      </c>
      <c r="L30" s="426" t="str">
        <f>VLOOKUP(G30,'SKU 对应关系'!A:E,4,0)</f>
        <v>AC1KIT-WH_WH_EU</v>
      </c>
      <c r="M30" s="426" t="str">
        <f>_xlfn.IFNA(VLOOKUP(G30,'SKU 对应关系'!A:B,2,0),"")</f>
        <v>AC1KIT-WH_WH_EU 智能控制器 欧规 白色 两个装</v>
      </c>
      <c r="N30" s="422" t="str">
        <f>_xlfn.IFNA(VLOOKUP(G30,'SKU 对应关系'!$A:$D,3,0),"")</f>
        <v>AC1</v>
      </c>
      <c r="O30" s="427">
        <v>1</v>
      </c>
      <c r="P30" s="455">
        <v>17.5</v>
      </c>
      <c r="Q30" s="427" t="s">
        <v>16</v>
      </c>
      <c r="R30" s="422">
        <v>51</v>
      </c>
      <c r="S30" s="422">
        <f>SUMIF(C:C,C29,T:T)</f>
        <v>301.90999999999997</v>
      </c>
      <c r="T30" s="428">
        <v>150.95499999999998</v>
      </c>
      <c r="U30" s="457">
        <f t="shared" si="0"/>
        <v>1043.4549999999999</v>
      </c>
      <c r="V30" s="458">
        <f t="shared" si="1"/>
        <v>8.6954583333333328</v>
      </c>
      <c r="W30" s="459">
        <f t="shared" si="4"/>
        <v>1.2978296019900497</v>
      </c>
      <c r="X30" s="422"/>
      <c r="Y30" s="422"/>
      <c r="Z30" s="428"/>
      <c r="AA30" s="432">
        <v>46031</v>
      </c>
      <c r="AB30" s="432">
        <v>46062</v>
      </c>
      <c r="AC30" s="432"/>
      <c r="AD30" s="428">
        <f>IF(ISNA(VLOOKUP(D30,亚马逊入库配置费!B:F,5,0)),0,VLOOKUP(D30,亚马逊入库配置费!B:F,5,0))</f>
        <v>0</v>
      </c>
      <c r="AE30" s="428">
        <f t="shared" si="2"/>
        <v>0</v>
      </c>
      <c r="AF30" s="432">
        <v>46050</v>
      </c>
      <c r="AG30" s="422">
        <f t="shared" si="3"/>
        <v>19</v>
      </c>
      <c r="AH30" s="432">
        <v>46064</v>
      </c>
      <c r="AI30" s="427">
        <v>120</v>
      </c>
      <c r="AJ30" s="427">
        <f t="shared" si="5"/>
        <v>14</v>
      </c>
      <c r="AK30" s="427"/>
      <c r="AL30" s="423" t="s">
        <v>2967</v>
      </c>
      <c r="AM30" s="422"/>
      <c r="AN30" s="422"/>
      <c r="AO30" s="427"/>
      <c r="AP30" s="434"/>
      <c r="AQ30" s="434"/>
      <c r="AR30" s="434"/>
      <c r="AS30" s="434"/>
    </row>
    <row r="31" spans="1:45" s="435" customFormat="1" ht="12" customHeight="1" x14ac:dyDescent="0.25">
      <c r="A31" s="421">
        <v>30</v>
      </c>
      <c r="B31" s="422"/>
      <c r="C31" s="422" t="s">
        <v>336</v>
      </c>
      <c r="D31" s="423" t="s">
        <v>2972</v>
      </c>
      <c r="E31" s="422" t="s">
        <v>97</v>
      </c>
      <c r="F31" s="422" t="s">
        <v>0</v>
      </c>
      <c r="G31" s="424" t="s">
        <v>872</v>
      </c>
      <c r="H31" s="422">
        <v>1800</v>
      </c>
      <c r="I31" s="422" t="s">
        <v>207</v>
      </c>
      <c r="J31" s="422" t="s">
        <v>8</v>
      </c>
      <c r="K31" s="423" t="s">
        <v>9</v>
      </c>
      <c r="L31" s="425" t="str">
        <f>VLOOKUP(G31,'SKU 对应关系'!A:E,4,0)</f>
        <v>AN6KIT-B_RZ30ml</v>
      </c>
      <c r="M31" s="426" t="str">
        <f>_xlfn.IFNA(VLOOKUP(G31,'SKU 对应关系'!A:B,2,0),"")</f>
        <v>AN6KIT-B_RZ30ml AN6黑色机器+30mL丽思香氛油 机油套装</v>
      </c>
      <c r="N31" s="422" t="str">
        <f>_xlfn.IFNA(VLOOKUP(G31,'SKU 对应关系'!$A:$D,3,0),"")</f>
        <v>AN6</v>
      </c>
      <c r="O31" s="427">
        <v>60</v>
      </c>
      <c r="P31" s="455">
        <v>909.75818181818192</v>
      </c>
      <c r="Q31" s="427" t="s">
        <v>16</v>
      </c>
      <c r="R31" s="422">
        <v>3.9</v>
      </c>
      <c r="S31" s="422">
        <f>200+50</f>
        <v>250</v>
      </c>
      <c r="T31" s="428">
        <v>55.350553505535053</v>
      </c>
      <c r="U31" s="429">
        <f t="shared" ref="U31:U76" si="6">R31*P31+T31</f>
        <v>3603.4074625964445</v>
      </c>
      <c r="V31" s="430">
        <f t="shared" si="1"/>
        <v>2.0018930347758026</v>
      </c>
      <c r="W31" s="431">
        <f t="shared" si="4"/>
        <v>0.29879000519041832</v>
      </c>
      <c r="X31" s="422"/>
      <c r="Y31" s="422"/>
      <c r="Z31" s="428"/>
      <c r="AA31" s="432">
        <v>46038</v>
      </c>
      <c r="AB31" s="432">
        <v>46060</v>
      </c>
      <c r="AC31" s="432"/>
      <c r="AD31" s="433">
        <f>IF(ISNA(VLOOKUP(D31,亚马逊入库配置费!B:F,5,0)),0,VLOOKUP(D31,亚马逊入库配置费!B:F,5,0))</f>
        <v>0.41</v>
      </c>
      <c r="AE31" s="433">
        <f t="shared" si="2"/>
        <v>738</v>
      </c>
      <c r="AF31" s="432">
        <v>46067</v>
      </c>
      <c r="AG31" s="421">
        <f t="shared" si="3"/>
        <v>29</v>
      </c>
      <c r="AH31" s="432">
        <v>46101</v>
      </c>
      <c r="AI31" s="427">
        <v>1822</v>
      </c>
      <c r="AJ31" s="427">
        <f t="shared" si="5"/>
        <v>34</v>
      </c>
      <c r="AK31" s="427"/>
      <c r="AL31" s="423"/>
      <c r="AM31" s="422"/>
      <c r="AN31" s="422"/>
      <c r="AO31" s="427"/>
      <c r="AP31" s="434"/>
      <c r="AQ31" s="434"/>
      <c r="AR31" s="434"/>
      <c r="AS31" s="434"/>
    </row>
    <row r="32" spans="1:45" s="435" customFormat="1" ht="12" customHeight="1" x14ac:dyDescent="0.25">
      <c r="A32" s="421">
        <v>31</v>
      </c>
      <c r="B32" s="422"/>
      <c r="C32" s="422" t="s">
        <v>336</v>
      </c>
      <c r="D32" s="423" t="s">
        <v>2972</v>
      </c>
      <c r="E32" s="422" t="s">
        <v>97</v>
      </c>
      <c r="F32" s="422" t="s">
        <v>0</v>
      </c>
      <c r="G32" s="424" t="s">
        <v>1198</v>
      </c>
      <c r="H32" s="422">
        <v>390</v>
      </c>
      <c r="I32" s="422" t="s">
        <v>207</v>
      </c>
      <c r="J32" s="422" t="s">
        <v>8</v>
      </c>
      <c r="K32" s="423" t="s">
        <v>9</v>
      </c>
      <c r="L32" s="425" t="str">
        <f>VLOOKUP(G32,'SKU 对应关系'!A:E,4,0)</f>
        <v>AN6KIT-WH_4X10ML</v>
      </c>
      <c r="M32" s="426" t="str">
        <f>_xlfn.IFNA(VLOOKUP(G32,'SKU 对应关系'!A:B,2,0),"")</f>
        <v>AN6KIT-WH_4X10ML AN6白色机器+4x10mL香氛油（天竺） 机油套装</v>
      </c>
      <c r="N32" s="422" t="str">
        <f>_xlfn.IFNA(VLOOKUP(G32,'SKU 对应关系'!$A:$D,3,0),"")</f>
        <v>AN6</v>
      </c>
      <c r="O32" s="427">
        <v>13</v>
      </c>
      <c r="P32" s="455">
        <v>197.11427272727275</v>
      </c>
      <c r="Q32" s="427" t="s">
        <v>16</v>
      </c>
      <c r="R32" s="422">
        <v>3.9</v>
      </c>
      <c r="S32" s="436">
        <f>SUMIF(C:C,C31,T:T)</f>
        <v>250</v>
      </c>
      <c r="T32" s="428">
        <v>11.992619926199263</v>
      </c>
      <c r="U32" s="429">
        <f t="shared" si="6"/>
        <v>780.73828356256297</v>
      </c>
      <c r="V32" s="430">
        <f t="shared" si="1"/>
        <v>2.0018930347758026</v>
      </c>
      <c r="W32" s="431">
        <f t="shared" si="4"/>
        <v>0.29879000519041832</v>
      </c>
      <c r="X32" s="422"/>
      <c r="Y32" s="422"/>
      <c r="Z32" s="428"/>
      <c r="AA32" s="432">
        <v>46038</v>
      </c>
      <c r="AB32" s="432">
        <v>46060</v>
      </c>
      <c r="AC32" s="432"/>
      <c r="AD32" s="433">
        <f>IF(ISNA(VLOOKUP(D32,亚马逊入库配置费!B:F,5,0)),0,VLOOKUP(D32,亚马逊入库配置费!B:F,5,0))</f>
        <v>0.41</v>
      </c>
      <c r="AE32" s="433">
        <f t="shared" si="2"/>
        <v>159.89999999999998</v>
      </c>
      <c r="AF32" s="432">
        <v>46067</v>
      </c>
      <c r="AG32" s="421">
        <f t="shared" si="3"/>
        <v>29</v>
      </c>
      <c r="AH32" s="432">
        <v>46101</v>
      </c>
      <c r="AI32" s="427">
        <v>390</v>
      </c>
      <c r="AJ32" s="427">
        <f t="shared" si="5"/>
        <v>34</v>
      </c>
      <c r="AK32" s="427"/>
      <c r="AL32" s="423"/>
      <c r="AM32" s="422"/>
      <c r="AN32" s="422"/>
      <c r="AO32" s="427"/>
      <c r="AP32" s="434"/>
      <c r="AQ32" s="434"/>
      <c r="AR32" s="434"/>
      <c r="AS32" s="434"/>
    </row>
    <row r="33" spans="1:45" s="435" customFormat="1" ht="12" customHeight="1" x14ac:dyDescent="0.25">
      <c r="A33" s="421">
        <v>32</v>
      </c>
      <c r="B33" s="422"/>
      <c r="C33" s="422" t="s">
        <v>336</v>
      </c>
      <c r="D33" s="423" t="s">
        <v>2972</v>
      </c>
      <c r="E33" s="422" t="s">
        <v>97</v>
      </c>
      <c r="F33" s="422" t="s">
        <v>0</v>
      </c>
      <c r="G33" s="424" t="s">
        <v>1215</v>
      </c>
      <c r="H33" s="422">
        <v>990</v>
      </c>
      <c r="I33" s="422" t="s">
        <v>207</v>
      </c>
      <c r="J33" s="422" t="s">
        <v>8</v>
      </c>
      <c r="K33" s="423" t="s">
        <v>9</v>
      </c>
      <c r="L33" s="425" t="str">
        <f>VLOOKUP(G33,'SKU 对应关系'!A:E,4,0)</f>
        <v>AN8KIT-B_4X10K01</v>
      </c>
      <c r="M33" s="426" t="str">
        <f>_xlfn.IFNA(VLOOKUP(G33,'SKU 对应关系'!A:B,2,0),"")</f>
        <v>AN8KIT-B_4X10K01 AN8黑色机器+4x10mL酒店香氛油 机油套装</v>
      </c>
      <c r="N33" s="422" t="str">
        <f>_xlfn.IFNA(VLOOKUP(G33,'SKU 对应关系'!$A:$D,3,0),"")</f>
        <v>AN8</v>
      </c>
      <c r="O33" s="427">
        <v>33</v>
      </c>
      <c r="P33" s="455">
        <v>500.36700000000002</v>
      </c>
      <c r="Q33" s="427" t="s">
        <v>16</v>
      </c>
      <c r="R33" s="422">
        <v>3.9</v>
      </c>
      <c r="S33" s="422"/>
      <c r="T33" s="428">
        <v>30.44280442804428</v>
      </c>
      <c r="U33" s="429">
        <f t="shared" si="6"/>
        <v>1981.8741044280443</v>
      </c>
      <c r="V33" s="430">
        <f t="shared" si="1"/>
        <v>2.0018930347758022</v>
      </c>
      <c r="W33" s="431">
        <f t="shared" si="4"/>
        <v>0.29879000519041821</v>
      </c>
      <c r="X33" s="422"/>
      <c r="Y33" s="422"/>
      <c r="Z33" s="428"/>
      <c r="AA33" s="432">
        <v>46038</v>
      </c>
      <c r="AB33" s="432">
        <v>46060</v>
      </c>
      <c r="AC33" s="432"/>
      <c r="AD33" s="433">
        <f>IF(ISNA(VLOOKUP(D33,亚马逊入库配置费!B:F,5,0)),0,VLOOKUP(D33,亚马逊入库配置费!B:F,5,0))</f>
        <v>0.41</v>
      </c>
      <c r="AE33" s="433">
        <f t="shared" si="2"/>
        <v>405.9</v>
      </c>
      <c r="AF33" s="432">
        <v>46067</v>
      </c>
      <c r="AG33" s="421">
        <f t="shared" si="3"/>
        <v>29</v>
      </c>
      <c r="AH33" s="432">
        <v>46101</v>
      </c>
      <c r="AI33" s="427">
        <v>990</v>
      </c>
      <c r="AJ33" s="427">
        <f t="shared" si="5"/>
        <v>34</v>
      </c>
      <c r="AK33" s="427"/>
      <c r="AL33" s="423"/>
      <c r="AM33" s="422"/>
      <c r="AN33" s="422"/>
      <c r="AO33" s="427"/>
      <c r="AP33" s="434"/>
      <c r="AQ33" s="434"/>
      <c r="AR33" s="434"/>
      <c r="AS33" s="434"/>
    </row>
    <row r="34" spans="1:45" s="435" customFormat="1" ht="12" customHeight="1" x14ac:dyDescent="0.25">
      <c r="A34" s="421">
        <v>33</v>
      </c>
      <c r="B34" s="422"/>
      <c r="C34" s="422" t="s">
        <v>336</v>
      </c>
      <c r="D34" s="423" t="s">
        <v>2972</v>
      </c>
      <c r="E34" s="422" t="s">
        <v>97</v>
      </c>
      <c r="F34" s="422" t="s">
        <v>0</v>
      </c>
      <c r="G34" s="424" t="s">
        <v>1190</v>
      </c>
      <c r="H34" s="422">
        <v>120</v>
      </c>
      <c r="I34" s="422" t="s">
        <v>207</v>
      </c>
      <c r="J34" s="422" t="s">
        <v>8</v>
      </c>
      <c r="K34" s="423" t="s">
        <v>9</v>
      </c>
      <c r="L34" s="425" t="str">
        <f>VLOOKUP(G34,'SKU 对应关系'!A:E,4,0)</f>
        <v>ANXKIT-T_4X10ML</v>
      </c>
      <c r="M34" s="426" t="str">
        <f>_xlfn.IFNA(VLOOKUP(G34,'SKU 对应关系'!A:B,2,0),"")</f>
        <v>ANXKIT-T_4X10ML ANX钛色机器+4x10mL香氛油（天竺） 机油套装</v>
      </c>
      <c r="N34" s="422" t="str">
        <f>_xlfn.IFNA(VLOOKUP(G34,'SKU 对应关系'!$A:$D,3,0),"")</f>
        <v>ANX</v>
      </c>
      <c r="O34" s="427">
        <v>4</v>
      </c>
      <c r="P34" s="455">
        <v>60.650545454545458</v>
      </c>
      <c r="Q34" s="427" t="s">
        <v>16</v>
      </c>
      <c r="R34" s="422">
        <v>3.9</v>
      </c>
      <c r="S34" s="422"/>
      <c r="T34" s="428">
        <v>3.6900369003690039</v>
      </c>
      <c r="U34" s="429">
        <f t="shared" si="6"/>
        <v>240.22716417309627</v>
      </c>
      <c r="V34" s="430">
        <f t="shared" si="1"/>
        <v>2.0018930347758022</v>
      </c>
      <c r="W34" s="431">
        <f t="shared" si="4"/>
        <v>0.29879000519041821</v>
      </c>
      <c r="X34" s="422"/>
      <c r="Y34" s="422"/>
      <c r="Z34" s="428"/>
      <c r="AA34" s="432">
        <v>46038</v>
      </c>
      <c r="AB34" s="432">
        <v>46060</v>
      </c>
      <c r="AC34" s="432"/>
      <c r="AD34" s="433">
        <f>IF(ISNA(VLOOKUP(D34,亚马逊入库配置费!B:F,5,0)),0,VLOOKUP(D34,亚马逊入库配置费!B:F,5,0))</f>
        <v>0.41</v>
      </c>
      <c r="AE34" s="433">
        <f t="shared" si="2"/>
        <v>49.199999999999996</v>
      </c>
      <c r="AF34" s="432">
        <v>46067</v>
      </c>
      <c r="AG34" s="421">
        <f t="shared" si="3"/>
        <v>29</v>
      </c>
      <c r="AH34" s="432">
        <v>46101</v>
      </c>
      <c r="AI34" s="427">
        <v>121</v>
      </c>
      <c r="AJ34" s="427">
        <f t="shared" si="5"/>
        <v>34</v>
      </c>
      <c r="AK34" s="427"/>
      <c r="AL34" s="423"/>
      <c r="AM34" s="422"/>
      <c r="AN34" s="422"/>
      <c r="AO34" s="427"/>
      <c r="AP34" s="434"/>
      <c r="AQ34" s="434"/>
      <c r="AR34" s="434"/>
      <c r="AS34" s="434"/>
    </row>
    <row r="35" spans="1:45" ht="12" customHeight="1" x14ac:dyDescent="0.25">
      <c r="A35" s="90">
        <v>34</v>
      </c>
      <c r="B35" s="91"/>
      <c r="C35" s="91" t="s">
        <v>359</v>
      </c>
      <c r="D35" s="92" t="s">
        <v>2973</v>
      </c>
      <c r="E35" s="91" t="s">
        <v>97</v>
      </c>
      <c r="F35" s="91" t="s">
        <v>0</v>
      </c>
      <c r="G35" s="56" t="s">
        <v>163</v>
      </c>
      <c r="H35" s="91">
        <v>2000</v>
      </c>
      <c r="I35" s="91" t="s">
        <v>89</v>
      </c>
      <c r="J35" s="91" t="s">
        <v>8</v>
      </c>
      <c r="K35" s="92" t="s">
        <v>10</v>
      </c>
      <c r="L35" s="93" t="str">
        <f>VLOOKUP(G35,'SKU 对应关系'!A:E,4,0)</f>
        <v>AN6-B</v>
      </c>
      <c r="M35" s="94" t="str">
        <f>_xlfn.IFNA(VLOOKUP(G35,'SKU 对应关系'!A:B,2,0),"")</f>
        <v>AN6-B 便携式扩香仪 黑色</v>
      </c>
      <c r="N35" s="95" t="str">
        <f>_xlfn.IFNA(VLOOKUP(G35,'SKU 对应关系'!$A:$D,3,0),"")</f>
        <v>AN6</v>
      </c>
      <c r="O35" s="96">
        <v>50</v>
      </c>
      <c r="P35" s="455">
        <v>681.94444444444446</v>
      </c>
      <c r="Q35" s="96" t="s">
        <v>16</v>
      </c>
      <c r="R35" s="91">
        <v>3.2</v>
      </c>
      <c r="S35" s="95">
        <v>200</v>
      </c>
      <c r="T35" s="98">
        <v>89.285714285714292</v>
      </c>
      <c r="U35" s="99">
        <f t="shared" si="6"/>
        <v>2271.5079365079364</v>
      </c>
      <c r="V35" s="100">
        <f t="shared" si="1"/>
        <v>1.1357539682539681</v>
      </c>
      <c r="W35" s="101">
        <f t="shared" si="4"/>
        <v>0.16951551764984599</v>
      </c>
      <c r="X35" s="95"/>
      <c r="Y35" s="95"/>
      <c r="Z35" s="102"/>
      <c r="AA35" s="103">
        <v>46038</v>
      </c>
      <c r="AB35" s="103">
        <v>46060</v>
      </c>
      <c r="AC35" s="103"/>
      <c r="AD35" s="104">
        <f>IF(ISNA(VLOOKUP(D35,亚马逊入库配置费!B:F,5,0)),0,VLOOKUP(D35,亚马逊入库配置费!B:F,5,0))</f>
        <v>0.34492957746478875</v>
      </c>
      <c r="AE35" s="104">
        <f t="shared" si="2"/>
        <v>689.85915492957747</v>
      </c>
      <c r="AF35" s="103">
        <v>46070</v>
      </c>
      <c r="AG35" s="90">
        <f t="shared" si="3"/>
        <v>32</v>
      </c>
      <c r="AH35" s="103">
        <v>46102</v>
      </c>
      <c r="AI35" s="96">
        <v>1999</v>
      </c>
      <c r="AJ35" s="427">
        <f t="shared" si="5"/>
        <v>32</v>
      </c>
      <c r="AK35" s="96"/>
      <c r="AL35" s="92"/>
      <c r="AM35" s="91"/>
      <c r="AN35" s="91"/>
      <c r="AO35" s="96"/>
      <c r="AP35" s="105"/>
      <c r="AQ35" s="105"/>
      <c r="AR35" s="105"/>
      <c r="AS35" s="105"/>
    </row>
    <row r="36" spans="1:45" ht="12" customHeight="1" x14ac:dyDescent="0.25">
      <c r="A36" s="90">
        <v>35</v>
      </c>
      <c r="B36" s="91"/>
      <c r="C36" s="91" t="s">
        <v>359</v>
      </c>
      <c r="D36" s="92" t="s">
        <v>2973</v>
      </c>
      <c r="E36" s="91" t="s">
        <v>97</v>
      </c>
      <c r="F36" s="91" t="s">
        <v>0</v>
      </c>
      <c r="G36" s="56" t="s">
        <v>1213</v>
      </c>
      <c r="H36" s="91">
        <v>320</v>
      </c>
      <c r="I36" s="91" t="s">
        <v>89</v>
      </c>
      <c r="J36" s="91" t="s">
        <v>8</v>
      </c>
      <c r="K36" s="92" t="s">
        <v>10</v>
      </c>
      <c r="L36" s="93" t="str">
        <f>VLOOKUP(G36,'SKU 对应关系'!A:E,4,0)</f>
        <v>AN8-B</v>
      </c>
      <c r="M36" s="94" t="str">
        <f>_xlfn.IFNA(VLOOKUP(G36,'SKU 对应关系'!A:B,2,0),"")</f>
        <v>AN8-B 便携式扩香仪 黑色</v>
      </c>
      <c r="N36" s="95" t="str">
        <f>_xlfn.IFNA(VLOOKUP(G36,'SKU 对应关系'!$A:$D,3,0),"")</f>
        <v>AN8</v>
      </c>
      <c r="O36" s="96">
        <v>8</v>
      </c>
      <c r="P36" s="455">
        <v>109.11111111111111</v>
      </c>
      <c r="Q36" s="96" t="s">
        <v>16</v>
      </c>
      <c r="R36" s="91">
        <v>3.2</v>
      </c>
      <c r="S36" s="106">
        <f>SUMIF(C:C,C35,T:T)</f>
        <v>200</v>
      </c>
      <c r="T36" s="98">
        <v>14.285714285714286</v>
      </c>
      <c r="U36" s="99">
        <f t="shared" si="6"/>
        <v>363.44126984126984</v>
      </c>
      <c r="V36" s="100">
        <f t="shared" si="1"/>
        <v>1.1357539682539683</v>
      </c>
      <c r="W36" s="101">
        <f t="shared" si="4"/>
        <v>0.16951551764984601</v>
      </c>
      <c r="X36" s="95"/>
      <c r="Y36" s="95"/>
      <c r="Z36" s="102"/>
      <c r="AA36" s="103">
        <v>46038</v>
      </c>
      <c r="AB36" s="103">
        <v>46060</v>
      </c>
      <c r="AC36" s="103"/>
      <c r="AD36" s="104">
        <f>IF(ISNA(VLOOKUP(D36,亚马逊入库配置费!B:F,5,0)),0,VLOOKUP(D36,亚马逊入库配置费!B:F,5,0))</f>
        <v>0.34492957746478875</v>
      </c>
      <c r="AE36" s="104">
        <f t="shared" si="2"/>
        <v>110.3774647887324</v>
      </c>
      <c r="AF36" s="103">
        <v>46070</v>
      </c>
      <c r="AG36" s="90">
        <f t="shared" si="3"/>
        <v>32</v>
      </c>
      <c r="AH36" s="103">
        <v>46102</v>
      </c>
      <c r="AI36" s="96">
        <v>319</v>
      </c>
      <c r="AJ36" s="427">
        <f t="shared" si="5"/>
        <v>32</v>
      </c>
      <c r="AK36" s="96"/>
      <c r="AL36" s="92"/>
      <c r="AM36" s="91"/>
      <c r="AN36" s="91"/>
      <c r="AO36" s="96"/>
      <c r="AP36" s="105"/>
      <c r="AQ36" s="105"/>
      <c r="AR36" s="105"/>
      <c r="AS36" s="105"/>
    </row>
    <row r="37" spans="1:45" ht="12" customHeight="1" x14ac:dyDescent="0.25">
      <c r="A37" s="90">
        <v>36</v>
      </c>
      <c r="B37" s="91"/>
      <c r="C37" s="91" t="s">
        <v>359</v>
      </c>
      <c r="D37" s="92" t="s">
        <v>2973</v>
      </c>
      <c r="E37" s="91" t="s">
        <v>97</v>
      </c>
      <c r="F37" s="91" t="s">
        <v>0</v>
      </c>
      <c r="G37" s="56" t="s">
        <v>1217</v>
      </c>
      <c r="H37" s="91">
        <v>200</v>
      </c>
      <c r="I37" s="91" t="s">
        <v>89</v>
      </c>
      <c r="J37" s="91" t="s">
        <v>8</v>
      </c>
      <c r="K37" s="92" t="s">
        <v>10</v>
      </c>
      <c r="L37" s="93" t="str">
        <f>VLOOKUP(G37,'SKU 对应关系'!A:E,4,0)</f>
        <v>AN8KIT-B_B</v>
      </c>
      <c r="M37" s="94" t="str">
        <f>_xlfn.IFNA(VLOOKUP(G37,'SKU 对应关系'!A:B,2,0),"")</f>
        <v>AN8KIT-B_B 便携式扩香仪套装 黑+黑</v>
      </c>
      <c r="N37" s="95" t="str">
        <f>_xlfn.IFNA(VLOOKUP(G37,'SKU 对应关系'!$A:$D,3,0),"")</f>
        <v>AN8</v>
      </c>
      <c r="O37" s="96">
        <v>10</v>
      </c>
      <c r="P37" s="455">
        <v>136.38888888888889</v>
      </c>
      <c r="Q37" s="96" t="s">
        <v>16</v>
      </c>
      <c r="R37" s="91">
        <v>3.2</v>
      </c>
      <c r="S37" s="95"/>
      <c r="T37" s="98">
        <v>17.857142857142858</v>
      </c>
      <c r="U37" s="99">
        <f t="shared" si="6"/>
        <v>454.30158730158729</v>
      </c>
      <c r="V37" s="100">
        <f t="shared" si="1"/>
        <v>2.2715079365079363</v>
      </c>
      <c r="W37" s="101">
        <f t="shared" si="4"/>
        <v>0.33903103529969197</v>
      </c>
      <c r="X37" s="95"/>
      <c r="Y37" s="95"/>
      <c r="Z37" s="102"/>
      <c r="AA37" s="103">
        <v>46038</v>
      </c>
      <c r="AB37" s="103">
        <v>46060</v>
      </c>
      <c r="AC37" s="103"/>
      <c r="AD37" s="104">
        <f>IF(ISNA(VLOOKUP(D37,亚马逊入库配置费!B:F,5,0)),0,VLOOKUP(D37,亚马逊入库配置费!B:F,5,0))</f>
        <v>0.34492957746478875</v>
      </c>
      <c r="AE37" s="104">
        <f t="shared" si="2"/>
        <v>68.985915492957744</v>
      </c>
      <c r="AF37" s="103">
        <v>46070</v>
      </c>
      <c r="AG37" s="90">
        <f t="shared" si="3"/>
        <v>32</v>
      </c>
      <c r="AH37" s="103">
        <v>46102</v>
      </c>
      <c r="AI37" s="96">
        <v>200</v>
      </c>
      <c r="AJ37" s="427">
        <f t="shared" si="5"/>
        <v>32</v>
      </c>
      <c r="AK37" s="96"/>
      <c r="AL37" s="92"/>
      <c r="AM37" s="91"/>
      <c r="AN37" s="91"/>
      <c r="AO37" s="96"/>
      <c r="AP37" s="105"/>
      <c r="AQ37" s="105"/>
      <c r="AR37" s="105"/>
      <c r="AS37" s="105"/>
    </row>
    <row r="38" spans="1:45" ht="12" customHeight="1" x14ac:dyDescent="0.25">
      <c r="A38" s="90">
        <v>37</v>
      </c>
      <c r="B38" s="91"/>
      <c r="C38" s="91" t="s">
        <v>359</v>
      </c>
      <c r="D38" s="92" t="s">
        <v>2973</v>
      </c>
      <c r="E38" s="91" t="s">
        <v>97</v>
      </c>
      <c r="F38" s="91" t="s">
        <v>0</v>
      </c>
      <c r="G38" s="56" t="s">
        <v>2136</v>
      </c>
      <c r="H38" s="91">
        <v>120</v>
      </c>
      <c r="I38" s="91" t="s">
        <v>89</v>
      </c>
      <c r="J38" s="91" t="s">
        <v>8</v>
      </c>
      <c r="K38" s="92" t="s">
        <v>10</v>
      </c>
      <c r="L38" s="93" t="str">
        <f>VLOOKUP(G38,'SKU 对应关系'!A:E,4,0)</f>
        <v>AN8-WH</v>
      </c>
      <c r="M38" s="94" t="str">
        <f>_xlfn.IFNA(VLOOKUP(G38,'SKU 对应关系'!A:B,2,0),"")</f>
        <v>AN8-WH 便携式扩香仪 白色</v>
      </c>
      <c r="N38" s="95" t="str">
        <f>_xlfn.IFNA(VLOOKUP(G38,'SKU 对应关系'!$A:$D,3,0),"")</f>
        <v>AN8</v>
      </c>
      <c r="O38" s="96">
        <v>3</v>
      </c>
      <c r="P38" s="455">
        <v>40.916666666666671</v>
      </c>
      <c r="Q38" s="96" t="s">
        <v>16</v>
      </c>
      <c r="R38" s="91">
        <v>3.2</v>
      </c>
      <c r="S38" s="95"/>
      <c r="T38" s="98">
        <v>5.3571428571428568</v>
      </c>
      <c r="U38" s="99">
        <f t="shared" si="6"/>
        <v>136.29047619047623</v>
      </c>
      <c r="V38" s="100">
        <f t="shared" si="1"/>
        <v>1.1357539682539686</v>
      </c>
      <c r="W38" s="101">
        <f t="shared" si="4"/>
        <v>0.16951551764984604</v>
      </c>
      <c r="X38" s="95"/>
      <c r="Y38" s="95"/>
      <c r="Z38" s="102"/>
      <c r="AA38" s="103">
        <v>46038</v>
      </c>
      <c r="AB38" s="103">
        <v>46060</v>
      </c>
      <c r="AC38" s="103"/>
      <c r="AD38" s="104">
        <f>IF(ISNA(VLOOKUP(D38,亚马逊入库配置费!B:F,5,0)),0,VLOOKUP(D38,亚马逊入库配置费!B:F,5,0))</f>
        <v>0.34492957746478875</v>
      </c>
      <c r="AE38" s="104">
        <f t="shared" si="2"/>
        <v>41.391549295774652</v>
      </c>
      <c r="AF38" s="103">
        <v>46070</v>
      </c>
      <c r="AG38" s="90">
        <f t="shared" si="3"/>
        <v>32</v>
      </c>
      <c r="AH38" s="103">
        <v>46102</v>
      </c>
      <c r="AI38" s="96">
        <v>120</v>
      </c>
      <c r="AJ38" s="427">
        <f t="shared" si="5"/>
        <v>32</v>
      </c>
      <c r="AK38" s="96"/>
      <c r="AL38" s="92"/>
      <c r="AM38" s="91"/>
      <c r="AN38" s="91"/>
      <c r="AO38" s="96"/>
      <c r="AP38" s="105"/>
      <c r="AQ38" s="105"/>
      <c r="AR38" s="105"/>
      <c r="AS38" s="105"/>
    </row>
    <row r="39" spans="1:45" ht="12" customHeight="1" x14ac:dyDescent="0.25">
      <c r="A39" s="90">
        <v>38</v>
      </c>
      <c r="B39" s="91"/>
      <c r="C39" s="91" t="s">
        <v>359</v>
      </c>
      <c r="D39" s="92" t="s">
        <v>2973</v>
      </c>
      <c r="E39" s="91" t="s">
        <v>97</v>
      </c>
      <c r="F39" s="91" t="s">
        <v>0</v>
      </c>
      <c r="G39" s="56" t="s">
        <v>1487</v>
      </c>
      <c r="H39" s="91">
        <v>200</v>
      </c>
      <c r="I39" s="91" t="s">
        <v>89</v>
      </c>
      <c r="J39" s="91" t="s">
        <v>8</v>
      </c>
      <c r="K39" s="92" t="s">
        <v>10</v>
      </c>
      <c r="L39" s="93" t="str">
        <f>VLOOKUP(G39,'SKU 对应关系'!A:E,4,0)</f>
        <v>AN8NZ-B</v>
      </c>
      <c r="M39" s="94" t="str">
        <f>_xlfn.IFNA(VLOOKUP(G39,'SKU 对应关系'!A:B,2,0),"")</f>
        <v>AN8NZ-B AN8(Z)喷嘴配件套装 黑色</v>
      </c>
      <c r="N39" s="95" t="str">
        <f>_xlfn.IFNA(VLOOKUP(G39,'SKU 对应关系'!$A:$D,3,0),"")</f>
        <v>AN8-AC</v>
      </c>
      <c r="O39" s="96">
        <v>1</v>
      </c>
      <c r="P39" s="455">
        <v>13.638888888888889</v>
      </c>
      <c r="Q39" s="96" t="s">
        <v>16</v>
      </c>
      <c r="R39" s="91">
        <v>3.2</v>
      </c>
      <c r="S39" s="95"/>
      <c r="T39" s="98">
        <v>1.7857142857142858</v>
      </c>
      <c r="U39" s="99">
        <f t="shared" si="6"/>
        <v>45.43015873015873</v>
      </c>
      <c r="V39" s="100">
        <f t="shared" si="1"/>
        <v>0.22715079365079366</v>
      </c>
      <c r="W39" s="101">
        <f t="shared" si="4"/>
        <v>3.3903103529969204E-2</v>
      </c>
      <c r="X39" s="95"/>
      <c r="Y39" s="95"/>
      <c r="Z39" s="102"/>
      <c r="AA39" s="103">
        <v>46038</v>
      </c>
      <c r="AB39" s="103">
        <v>46060</v>
      </c>
      <c r="AC39" s="103"/>
      <c r="AD39" s="104">
        <f>IF(ISNA(VLOOKUP(D39,亚马逊入库配置费!B:F,5,0)),0,VLOOKUP(D39,亚马逊入库配置费!B:F,5,0))</f>
        <v>0.34492957746478875</v>
      </c>
      <c r="AE39" s="104">
        <f t="shared" si="2"/>
        <v>68.985915492957744</v>
      </c>
      <c r="AF39" s="103">
        <v>46070</v>
      </c>
      <c r="AG39" s="90">
        <f t="shared" si="3"/>
        <v>32</v>
      </c>
      <c r="AH39" s="103">
        <v>46102</v>
      </c>
      <c r="AI39" s="96">
        <v>200</v>
      </c>
      <c r="AJ39" s="427">
        <f t="shared" si="5"/>
        <v>32</v>
      </c>
      <c r="AK39" s="96"/>
      <c r="AL39" s="92"/>
      <c r="AM39" s="91"/>
      <c r="AN39" s="91"/>
      <c r="AO39" s="96"/>
      <c r="AP39" s="105"/>
      <c r="AQ39" s="105"/>
      <c r="AR39" s="105"/>
      <c r="AS39" s="105"/>
    </row>
    <row r="40" spans="1:45" s="435" customFormat="1" ht="12" customHeight="1" x14ac:dyDescent="0.25">
      <c r="A40" s="421">
        <v>39</v>
      </c>
      <c r="B40" s="422"/>
      <c r="C40" s="422" t="s">
        <v>339</v>
      </c>
      <c r="D40" s="423" t="s">
        <v>2974</v>
      </c>
      <c r="E40" s="422" t="s">
        <v>254</v>
      </c>
      <c r="F40" s="422" t="s">
        <v>255</v>
      </c>
      <c r="G40" s="424" t="s">
        <v>163</v>
      </c>
      <c r="H40" s="422">
        <v>240</v>
      </c>
      <c r="I40" s="422" t="s">
        <v>207</v>
      </c>
      <c r="J40" s="422" t="s">
        <v>2313</v>
      </c>
      <c r="K40" s="423" t="s">
        <v>475</v>
      </c>
      <c r="L40" s="425" t="str">
        <f>VLOOKUP(G40,'SKU 对应关系'!A:E,4,0)</f>
        <v>AN6-B</v>
      </c>
      <c r="M40" s="426" t="str">
        <f>_xlfn.IFNA(VLOOKUP(G40,'SKU 对应关系'!A:B,2,0),"")</f>
        <v>AN6-B 便携式扩香仪 黑色</v>
      </c>
      <c r="N40" s="422" t="str">
        <f>_xlfn.IFNA(VLOOKUP(G40,'SKU 对应关系'!$A:$D,3,0),"")</f>
        <v>AN6</v>
      </c>
      <c r="O40" s="427">
        <v>6</v>
      </c>
      <c r="P40" s="455">
        <v>82.199999999999989</v>
      </c>
      <c r="Q40" s="427" t="s">
        <v>16</v>
      </c>
      <c r="R40" s="422">
        <v>4.8</v>
      </c>
      <c r="S40" s="422">
        <v>600</v>
      </c>
      <c r="T40" s="428">
        <v>360</v>
      </c>
      <c r="U40" s="429">
        <f t="shared" si="6"/>
        <v>754.56</v>
      </c>
      <c r="V40" s="430">
        <f t="shared" si="1"/>
        <v>3.1439999999999997</v>
      </c>
      <c r="W40" s="431">
        <f t="shared" si="4"/>
        <v>0.46925373134328352</v>
      </c>
      <c r="X40" s="422">
        <v>576.35</v>
      </c>
      <c r="Y40" s="422">
        <v>345.81</v>
      </c>
      <c r="Z40" s="422" t="s">
        <v>3513</v>
      </c>
      <c r="AA40" s="432">
        <v>46038</v>
      </c>
      <c r="AB40" s="432">
        <v>46094</v>
      </c>
      <c r="AC40" s="432"/>
      <c r="AD40" s="433">
        <f>IF(ISNA(VLOOKUP(D40,亚马逊入库配置费!B:F,5,0)),0,VLOOKUP(D40,亚马逊入库配置费!B:F,5,0))</f>
        <v>0</v>
      </c>
      <c r="AE40" s="433">
        <f t="shared" si="2"/>
        <v>0</v>
      </c>
      <c r="AF40" s="432">
        <v>46102</v>
      </c>
      <c r="AG40" s="421">
        <f t="shared" si="3"/>
        <v>64</v>
      </c>
      <c r="AH40" s="432">
        <v>46118</v>
      </c>
      <c r="AI40" s="427">
        <v>240</v>
      </c>
      <c r="AJ40" s="427">
        <f t="shared" si="5"/>
        <v>16</v>
      </c>
      <c r="AK40" s="427"/>
      <c r="AL40" s="423"/>
      <c r="AM40" s="422"/>
      <c r="AN40" s="422"/>
      <c r="AO40" s="427"/>
      <c r="AP40" s="434"/>
      <c r="AQ40" s="434"/>
      <c r="AR40" s="434"/>
      <c r="AS40" s="434"/>
    </row>
    <row r="41" spans="1:45" s="435" customFormat="1" ht="12" customHeight="1" x14ac:dyDescent="0.25">
      <c r="A41" s="421">
        <v>40</v>
      </c>
      <c r="B41" s="422"/>
      <c r="C41" s="422" t="s">
        <v>339</v>
      </c>
      <c r="D41" s="423" t="s">
        <v>2974</v>
      </c>
      <c r="E41" s="422" t="s">
        <v>254</v>
      </c>
      <c r="F41" s="422" t="s">
        <v>255</v>
      </c>
      <c r="G41" s="424" t="s">
        <v>350</v>
      </c>
      <c r="H41" s="422">
        <v>40</v>
      </c>
      <c r="I41" s="422" t="s">
        <v>207</v>
      </c>
      <c r="J41" s="422" t="s">
        <v>2313</v>
      </c>
      <c r="K41" s="423" t="s">
        <v>475</v>
      </c>
      <c r="L41" s="425" t="str">
        <f>VLOOKUP(G41,'SKU 对应关系'!A:E,4,0)</f>
        <v>AN6-GL</v>
      </c>
      <c r="M41" s="426" t="str">
        <f>_xlfn.IFNA(VLOOKUP(G41,'SKU 对应关系'!A:B,2,0),"")</f>
        <v>AN6-GL 便携式扩香仪 翠百合色</v>
      </c>
      <c r="N41" s="422" t="str">
        <f>_xlfn.IFNA(VLOOKUP(G41,'SKU 对应关系'!$A:$D,3,0),"")</f>
        <v>AN6</v>
      </c>
      <c r="O41" s="427">
        <v>1</v>
      </c>
      <c r="P41" s="455">
        <v>13.7</v>
      </c>
      <c r="Q41" s="427" t="s">
        <v>16</v>
      </c>
      <c r="R41" s="422">
        <v>4.8</v>
      </c>
      <c r="S41" s="436">
        <f>SUMIF(C:C,C40,T:T)</f>
        <v>600</v>
      </c>
      <c r="T41" s="428">
        <v>60</v>
      </c>
      <c r="U41" s="429">
        <f t="shared" si="6"/>
        <v>125.75999999999999</v>
      </c>
      <c r="V41" s="430">
        <f t="shared" si="1"/>
        <v>3.1439999999999997</v>
      </c>
      <c r="W41" s="431">
        <f t="shared" si="4"/>
        <v>0.46925373134328352</v>
      </c>
      <c r="X41" s="422"/>
      <c r="Y41" s="422">
        <v>57.635000000000005</v>
      </c>
      <c r="Z41" s="422" t="s">
        <v>345</v>
      </c>
      <c r="AA41" s="432">
        <v>46038</v>
      </c>
      <c r="AB41" s="432">
        <v>46094</v>
      </c>
      <c r="AC41" s="432"/>
      <c r="AD41" s="433">
        <f>IF(ISNA(VLOOKUP(D41,亚马逊入库配置费!B:F,5,0)),0,VLOOKUP(D41,亚马逊入库配置费!B:F,5,0))</f>
        <v>0</v>
      </c>
      <c r="AE41" s="433">
        <f t="shared" si="2"/>
        <v>0</v>
      </c>
      <c r="AF41" s="432">
        <v>46102</v>
      </c>
      <c r="AG41" s="421">
        <f t="shared" si="3"/>
        <v>64</v>
      </c>
      <c r="AH41" s="432">
        <v>46118</v>
      </c>
      <c r="AI41" s="427">
        <v>40</v>
      </c>
      <c r="AJ41" s="427">
        <f t="shared" si="5"/>
        <v>16</v>
      </c>
      <c r="AK41" s="427"/>
      <c r="AL41" s="423"/>
      <c r="AM41" s="422"/>
      <c r="AN41" s="422"/>
      <c r="AO41" s="427"/>
      <c r="AP41" s="434"/>
      <c r="AQ41" s="434"/>
      <c r="AR41" s="434"/>
      <c r="AS41" s="434"/>
    </row>
    <row r="42" spans="1:45" s="435" customFormat="1" ht="12" customHeight="1" x14ac:dyDescent="0.25">
      <c r="A42" s="421">
        <v>41</v>
      </c>
      <c r="B42" s="422"/>
      <c r="C42" s="422" t="s">
        <v>339</v>
      </c>
      <c r="D42" s="423" t="s">
        <v>2974</v>
      </c>
      <c r="E42" s="422" t="s">
        <v>254</v>
      </c>
      <c r="F42" s="422" t="s">
        <v>255</v>
      </c>
      <c r="G42" s="424" t="s">
        <v>165</v>
      </c>
      <c r="H42" s="422">
        <v>120</v>
      </c>
      <c r="I42" s="422" t="s">
        <v>207</v>
      </c>
      <c r="J42" s="422" t="s">
        <v>2313</v>
      </c>
      <c r="K42" s="423" t="s">
        <v>475</v>
      </c>
      <c r="L42" s="425" t="str">
        <f>VLOOKUP(G42,'SKU 对应关系'!A:E,4,0)</f>
        <v>AN6-W</v>
      </c>
      <c r="M42" s="426" t="str">
        <f>_xlfn.IFNA(VLOOKUP(G42,'SKU 对应关系'!A:B,2,0),"")</f>
        <v>AN6-W 便携式扩香仪 白色</v>
      </c>
      <c r="N42" s="422" t="str">
        <f>_xlfn.IFNA(VLOOKUP(G42,'SKU 对应关系'!$A:$D,3,0),"")</f>
        <v>AN6</v>
      </c>
      <c r="O42" s="427">
        <v>3</v>
      </c>
      <c r="P42" s="455">
        <v>41.099999999999994</v>
      </c>
      <c r="Q42" s="427" t="s">
        <v>16</v>
      </c>
      <c r="R42" s="422">
        <v>4.8</v>
      </c>
      <c r="S42" s="422"/>
      <c r="T42" s="428">
        <v>180</v>
      </c>
      <c r="U42" s="429">
        <f t="shared" si="6"/>
        <v>377.28</v>
      </c>
      <c r="V42" s="430">
        <f t="shared" si="1"/>
        <v>3.1439999999999997</v>
      </c>
      <c r="W42" s="431">
        <f t="shared" si="4"/>
        <v>0.46925373134328352</v>
      </c>
      <c r="X42" s="422"/>
      <c r="Y42" s="422">
        <v>172.905</v>
      </c>
      <c r="Z42" s="422" t="s">
        <v>345</v>
      </c>
      <c r="AA42" s="432">
        <v>46038</v>
      </c>
      <c r="AB42" s="432">
        <v>46094</v>
      </c>
      <c r="AC42" s="432"/>
      <c r="AD42" s="433">
        <f>IF(ISNA(VLOOKUP(D42,亚马逊入库配置费!B:F,5,0)),0,VLOOKUP(D42,亚马逊入库配置费!B:F,5,0))</f>
        <v>0</v>
      </c>
      <c r="AE42" s="433">
        <f t="shared" si="2"/>
        <v>0</v>
      </c>
      <c r="AF42" s="432">
        <v>46102</v>
      </c>
      <c r="AG42" s="421">
        <f t="shared" si="3"/>
        <v>64</v>
      </c>
      <c r="AH42" s="432">
        <v>46118</v>
      </c>
      <c r="AI42" s="427">
        <v>120</v>
      </c>
      <c r="AJ42" s="427">
        <f t="shared" si="5"/>
        <v>16</v>
      </c>
      <c r="AK42" s="427"/>
      <c r="AL42" s="423"/>
      <c r="AM42" s="422"/>
      <c r="AN42" s="422"/>
      <c r="AO42" s="427"/>
      <c r="AP42" s="434"/>
      <c r="AQ42" s="434"/>
      <c r="AR42" s="434"/>
      <c r="AS42" s="434"/>
    </row>
    <row r="43" spans="1:45" ht="12" customHeight="1" x14ac:dyDescent="0.25">
      <c r="A43" s="90">
        <v>42</v>
      </c>
      <c r="B43" s="91"/>
      <c r="C43" s="91" t="s">
        <v>359</v>
      </c>
      <c r="D43" s="92" t="s">
        <v>2975</v>
      </c>
      <c r="E43" s="91" t="s">
        <v>115</v>
      </c>
      <c r="F43" s="91" t="s">
        <v>0</v>
      </c>
      <c r="G43" s="56" t="s">
        <v>606</v>
      </c>
      <c r="H43" s="91">
        <v>90</v>
      </c>
      <c r="I43" s="91" t="s">
        <v>89</v>
      </c>
      <c r="J43" s="91" t="s">
        <v>8</v>
      </c>
      <c r="K43" s="92" t="s">
        <v>32</v>
      </c>
      <c r="L43" s="93" t="str">
        <f>VLOOKUP(G43,'SKU 对应关系'!A:E,4,0)</f>
        <v>ANX-IB</v>
      </c>
      <c r="M43" s="94" t="str">
        <f>_xlfn.IFNA(VLOOKUP(G43,'SKU 对应关系'!A:B,2,0),"")</f>
        <v>ANX-IB 便携式扩香仪 冰蓝色</v>
      </c>
      <c r="N43" s="95" t="str">
        <f>_xlfn.IFNA(VLOOKUP(G43,'SKU 对应关系'!$A:$D,3,0),"")</f>
        <v>ANX</v>
      </c>
      <c r="O43" s="96">
        <v>3</v>
      </c>
      <c r="P43" s="455">
        <v>40.275000000000006</v>
      </c>
      <c r="Q43" s="96" t="s">
        <v>16</v>
      </c>
      <c r="R43" s="91">
        <v>3.2</v>
      </c>
      <c r="S43" s="95"/>
      <c r="T43" s="98">
        <v>5.3571428571428568</v>
      </c>
      <c r="U43" s="99">
        <f t="shared" si="6"/>
        <v>134.23714285714289</v>
      </c>
      <c r="V43" s="100">
        <f t="shared" si="1"/>
        <v>1.4915238095238099</v>
      </c>
      <c r="W43" s="101">
        <f t="shared" si="4"/>
        <v>0.22261549395877758</v>
      </c>
      <c r="X43" s="95"/>
      <c r="Y43" s="95"/>
      <c r="Z43" s="102"/>
      <c r="AA43" s="103">
        <v>46038</v>
      </c>
      <c r="AB43" s="103">
        <v>46060</v>
      </c>
      <c r="AC43" s="103"/>
      <c r="AD43" s="104">
        <f>IF(ISNA(VLOOKUP(D43,亚马逊入库配置费!B:F,5,0)),0,VLOOKUP(D43,亚马逊入库配置费!B:F,5,0))</f>
        <v>0.35399999999999998</v>
      </c>
      <c r="AE43" s="104">
        <f t="shared" si="2"/>
        <v>31.86</v>
      </c>
      <c r="AF43" s="103">
        <v>46069</v>
      </c>
      <c r="AG43" s="90">
        <f t="shared" si="3"/>
        <v>31</v>
      </c>
      <c r="AH43" s="103">
        <v>46103</v>
      </c>
      <c r="AI43" s="96">
        <v>89</v>
      </c>
      <c r="AJ43" s="427">
        <f t="shared" si="5"/>
        <v>34</v>
      </c>
      <c r="AK43" s="96"/>
      <c r="AL43" s="92"/>
      <c r="AM43" s="91"/>
      <c r="AN43" s="91"/>
      <c r="AO43" s="96"/>
      <c r="AP43" s="105"/>
      <c r="AQ43" s="105"/>
      <c r="AR43" s="105"/>
      <c r="AS43" s="105"/>
    </row>
    <row r="44" spans="1:45" ht="12" customHeight="1" x14ac:dyDescent="0.25">
      <c r="A44" s="90">
        <v>43</v>
      </c>
      <c r="B44" s="91"/>
      <c r="C44" s="91" t="s">
        <v>359</v>
      </c>
      <c r="D44" s="92" t="s">
        <v>2975</v>
      </c>
      <c r="E44" s="91" t="s">
        <v>115</v>
      </c>
      <c r="F44" s="91" t="s">
        <v>0</v>
      </c>
      <c r="G44" s="56" t="s">
        <v>213</v>
      </c>
      <c r="H44" s="91">
        <v>210</v>
      </c>
      <c r="I44" s="91" t="s">
        <v>89</v>
      </c>
      <c r="J44" s="91" t="s">
        <v>8</v>
      </c>
      <c r="K44" s="92" t="s">
        <v>32</v>
      </c>
      <c r="L44" s="93" t="str">
        <f>VLOOKUP(G44,'SKU 对应关系'!A:E,4,0)</f>
        <v>ANX-DT</v>
      </c>
      <c r="M44" s="94" t="str">
        <f>_xlfn.IFNA(VLOOKUP(G44,'SKU 对应关系'!A:B,2,0),"")</f>
        <v>ANX-DT 便携式扩香仪 沙漠钛色</v>
      </c>
      <c r="N44" s="95" t="str">
        <f>_xlfn.IFNA(VLOOKUP(G44,'SKU 对应关系'!$A:$D,3,0),"")</f>
        <v>ANX</v>
      </c>
      <c r="O44" s="96">
        <v>7</v>
      </c>
      <c r="P44" s="455">
        <v>93.975000000000009</v>
      </c>
      <c r="Q44" s="96" t="s">
        <v>16</v>
      </c>
      <c r="R44" s="91">
        <v>3.2</v>
      </c>
      <c r="S44" s="95"/>
      <c r="T44" s="98">
        <v>12.5</v>
      </c>
      <c r="U44" s="99">
        <f t="shared" si="6"/>
        <v>313.22000000000003</v>
      </c>
      <c r="V44" s="100">
        <f t="shared" si="1"/>
        <v>1.4915238095238097</v>
      </c>
      <c r="W44" s="101">
        <f t="shared" si="4"/>
        <v>0.22261549395877755</v>
      </c>
      <c r="X44" s="95"/>
      <c r="Y44" s="95"/>
      <c r="Z44" s="102"/>
      <c r="AA44" s="103">
        <v>46038</v>
      </c>
      <c r="AB44" s="103">
        <v>46060</v>
      </c>
      <c r="AC44" s="103"/>
      <c r="AD44" s="104">
        <f>IF(ISNA(VLOOKUP(D44,亚马逊入库配置费!B:F,5,0)),0,VLOOKUP(D44,亚马逊入库配置费!B:F,5,0))</f>
        <v>0.35399999999999998</v>
      </c>
      <c r="AE44" s="104">
        <f t="shared" si="2"/>
        <v>74.339999999999989</v>
      </c>
      <c r="AF44" s="103">
        <v>46069</v>
      </c>
      <c r="AG44" s="90">
        <f t="shared" si="3"/>
        <v>31</v>
      </c>
      <c r="AH44" s="103">
        <v>46103</v>
      </c>
      <c r="AI44" s="96">
        <v>209</v>
      </c>
      <c r="AJ44" s="427">
        <f t="shared" si="5"/>
        <v>34</v>
      </c>
      <c r="AK44" s="96"/>
      <c r="AL44" s="92"/>
      <c r="AM44" s="91"/>
      <c r="AN44" s="91"/>
      <c r="AO44" s="96"/>
      <c r="AP44" s="105"/>
      <c r="AQ44" s="105"/>
      <c r="AR44" s="105"/>
      <c r="AS44" s="105"/>
    </row>
    <row r="45" spans="1:45" ht="12" customHeight="1" x14ac:dyDescent="0.25">
      <c r="A45" s="90">
        <v>44</v>
      </c>
      <c r="B45" s="91"/>
      <c r="C45" s="91" t="s">
        <v>359</v>
      </c>
      <c r="D45" s="92" t="s">
        <v>2975</v>
      </c>
      <c r="E45" s="91" t="s">
        <v>115</v>
      </c>
      <c r="F45" s="91" t="s">
        <v>0</v>
      </c>
      <c r="G45" s="56" t="s">
        <v>2195</v>
      </c>
      <c r="H45" s="91">
        <v>1200</v>
      </c>
      <c r="I45" s="91" t="s">
        <v>89</v>
      </c>
      <c r="J45" s="91" t="s">
        <v>8</v>
      </c>
      <c r="K45" s="92" t="s">
        <v>32</v>
      </c>
      <c r="L45" s="93" t="str">
        <f>VLOOKUP(G45,'SKU 对应关系'!A:E,4,0)</f>
        <v>ANZ-B</v>
      </c>
      <c r="M45" s="94" t="str">
        <f>_xlfn.IFNA(VLOOKUP(G45,'SKU 对应关系'!A:B,2,0),"")</f>
        <v>ANZ-B 便携式扩香仪 黑色</v>
      </c>
      <c r="N45" s="95" t="str">
        <f>_xlfn.IFNA(VLOOKUP(G45,'SKU 对应关系'!$A:$D,3,0),"")</f>
        <v>ANZ</v>
      </c>
      <c r="O45" s="96">
        <v>30</v>
      </c>
      <c r="P45" s="455">
        <v>402.75</v>
      </c>
      <c r="Q45" s="96" t="s">
        <v>16</v>
      </c>
      <c r="R45" s="91">
        <v>3.2</v>
      </c>
      <c r="S45" s="95"/>
      <c r="T45" s="98">
        <v>53.571428571428569</v>
      </c>
      <c r="U45" s="99">
        <f t="shared" si="6"/>
        <v>1342.3714285714289</v>
      </c>
      <c r="V45" s="100">
        <f t="shared" si="1"/>
        <v>1.1186428571428573</v>
      </c>
      <c r="W45" s="101">
        <f t="shared" si="4"/>
        <v>0.16696162046908317</v>
      </c>
      <c r="X45" s="95"/>
      <c r="Y45" s="95"/>
      <c r="Z45" s="102"/>
      <c r="AA45" s="103">
        <v>46038</v>
      </c>
      <c r="AB45" s="103">
        <v>46060</v>
      </c>
      <c r="AC45" s="103"/>
      <c r="AD45" s="104">
        <f>IF(ISNA(VLOOKUP(D45,亚马逊入库配置费!B:F,5,0)),0,VLOOKUP(D45,亚马逊入库配置费!B:F,5,0))</f>
        <v>0.35399999999999998</v>
      </c>
      <c r="AE45" s="104">
        <f t="shared" si="2"/>
        <v>424.79999999999995</v>
      </c>
      <c r="AF45" s="103">
        <v>46069</v>
      </c>
      <c r="AG45" s="90">
        <f t="shared" si="3"/>
        <v>31</v>
      </c>
      <c r="AH45" s="103">
        <v>46103</v>
      </c>
      <c r="AI45" s="96">
        <v>1154</v>
      </c>
      <c r="AJ45" s="427">
        <f t="shared" si="5"/>
        <v>34</v>
      </c>
      <c r="AK45" s="96"/>
      <c r="AL45" s="92"/>
      <c r="AM45" s="91"/>
      <c r="AN45" s="91"/>
      <c r="AO45" s="96"/>
      <c r="AP45" s="105"/>
      <c r="AQ45" s="105"/>
      <c r="AR45" s="105"/>
      <c r="AS45" s="105"/>
    </row>
    <row r="46" spans="1:45" s="435" customFormat="1" ht="12" customHeight="1" x14ac:dyDescent="0.25">
      <c r="A46" s="421">
        <v>45</v>
      </c>
      <c r="B46" s="422"/>
      <c r="C46" s="422" t="s">
        <v>336</v>
      </c>
      <c r="D46" s="423" t="s">
        <v>2976</v>
      </c>
      <c r="E46" s="422" t="s">
        <v>115</v>
      </c>
      <c r="F46" s="422" t="s">
        <v>0</v>
      </c>
      <c r="G46" s="424" t="s">
        <v>2885</v>
      </c>
      <c r="H46" s="422">
        <v>390</v>
      </c>
      <c r="I46" s="422" t="s">
        <v>207</v>
      </c>
      <c r="J46" s="422" t="s">
        <v>8</v>
      </c>
      <c r="K46" s="423" t="s">
        <v>9</v>
      </c>
      <c r="L46" s="425" t="str">
        <f>VLOOKUP(G46,'SKU 对应关系'!A:E,4,0)</f>
        <v>ANZKIT-B_4X10K04_TZ</v>
      </c>
      <c r="M46" s="426" t="str">
        <f>_xlfn.IFNA(VLOOKUP(G46,'SKU 对应关系'!A:B,2,0),"")</f>
        <v>ANZKIT-B_4X10K04_TZ ANZ黑色机器+4x10mL酒店（天竺）香氛油 机油套装</v>
      </c>
      <c r="N46" s="422" t="str">
        <f>_xlfn.IFNA(VLOOKUP(G46,'SKU 对应关系'!$A:$D,3,0),"")</f>
        <v>ANZ</v>
      </c>
      <c r="O46" s="427">
        <v>13</v>
      </c>
      <c r="P46" s="455">
        <v>197.11</v>
      </c>
      <c r="Q46" s="427" t="s">
        <v>16</v>
      </c>
      <c r="R46" s="422">
        <v>3.9</v>
      </c>
      <c r="S46" s="422"/>
      <c r="T46" s="428">
        <v>11.992619926199263</v>
      </c>
      <c r="U46" s="429">
        <f t="shared" si="6"/>
        <v>780.72161992619931</v>
      </c>
      <c r="V46" s="430">
        <f t="shared" si="1"/>
        <v>2.0018503075030751</v>
      </c>
      <c r="W46" s="431">
        <f t="shared" si="4"/>
        <v>0.2987836279855336</v>
      </c>
      <c r="X46" s="422"/>
      <c r="Y46" s="422"/>
      <c r="Z46" s="428"/>
      <c r="AA46" s="432">
        <v>46038</v>
      </c>
      <c r="AB46" s="432">
        <v>46060</v>
      </c>
      <c r="AC46" s="432"/>
      <c r="AD46" s="433">
        <f>IF(ISNA(VLOOKUP(D46,亚马逊入库配置费!B:F,5,0)),0,VLOOKUP(D46,亚马逊入库配置费!B:F,5,0))</f>
        <v>0.41000000000000003</v>
      </c>
      <c r="AE46" s="433">
        <f t="shared" si="2"/>
        <v>159.9</v>
      </c>
      <c r="AF46" s="432">
        <v>46070</v>
      </c>
      <c r="AG46" s="421">
        <f t="shared" si="3"/>
        <v>32</v>
      </c>
      <c r="AH46" s="432">
        <v>46100</v>
      </c>
      <c r="AI46" s="427">
        <v>397</v>
      </c>
      <c r="AJ46" s="427">
        <f t="shared" si="5"/>
        <v>30</v>
      </c>
      <c r="AK46" s="427"/>
      <c r="AL46" s="423"/>
      <c r="AM46" s="422"/>
      <c r="AN46" s="422"/>
      <c r="AO46" s="427"/>
      <c r="AP46" s="434"/>
      <c r="AQ46" s="434"/>
      <c r="AR46" s="434"/>
      <c r="AS46" s="434"/>
    </row>
    <row r="47" spans="1:45" s="435" customFormat="1" ht="12" customHeight="1" x14ac:dyDescent="0.25">
      <c r="A47" s="421">
        <v>46</v>
      </c>
      <c r="B47" s="422"/>
      <c r="C47" s="422" t="s">
        <v>330</v>
      </c>
      <c r="D47" s="423" t="s">
        <v>2977</v>
      </c>
      <c r="E47" s="422" t="s">
        <v>1164</v>
      </c>
      <c r="F47" s="422" t="s">
        <v>1165</v>
      </c>
      <c r="G47" s="424" t="s">
        <v>2872</v>
      </c>
      <c r="H47" s="422">
        <v>144</v>
      </c>
      <c r="I47" s="422" t="s">
        <v>207</v>
      </c>
      <c r="J47" s="422" t="s">
        <v>2064</v>
      </c>
      <c r="K47" s="423" t="s">
        <v>2386</v>
      </c>
      <c r="L47" s="425" t="str">
        <f>VLOOKUP(G47,'SKU 对应关系'!A:E,4,0)</f>
        <v>ANA-WH_EU</v>
      </c>
      <c r="M47" s="426" t="str">
        <f>_xlfn.IFNA(VLOOKUP(G47,'SKU 对应关系'!A:B,2,0),"")</f>
        <v>ANA-WH_EU 智能扩香仪 欧规 白色</v>
      </c>
      <c r="N47" s="422" t="str">
        <f>_xlfn.IFNA(VLOOKUP(G47,'SKU 对应关系'!$A:$D,3,0),"")</f>
        <v>ANA</v>
      </c>
      <c r="O47" s="427">
        <v>12</v>
      </c>
      <c r="P47" s="455">
        <v>177</v>
      </c>
      <c r="Q47" s="427" t="s">
        <v>16</v>
      </c>
      <c r="R47" s="436">
        <v>7.1</v>
      </c>
      <c r="S47" s="422">
        <v>250</v>
      </c>
      <c r="T47" s="428">
        <v>250</v>
      </c>
      <c r="U47" s="429">
        <f t="shared" si="6"/>
        <v>1506.7</v>
      </c>
      <c r="V47" s="430">
        <f t="shared" si="1"/>
        <v>10.463194444444445</v>
      </c>
      <c r="W47" s="431">
        <f t="shared" si="4"/>
        <v>1.5616708126036485</v>
      </c>
      <c r="X47" s="422"/>
      <c r="Y47" s="422"/>
      <c r="Z47" s="428"/>
      <c r="AA47" s="432">
        <v>46038</v>
      </c>
      <c r="AB47" s="432">
        <v>46082</v>
      </c>
      <c r="AC47" s="432"/>
      <c r="AD47" s="433">
        <f>IF(ISNA(VLOOKUP(D47,亚马逊入库配置费!B:F,5,0)),0,VLOOKUP(D47,亚马逊入库配置费!B:F,5,0))</f>
        <v>0</v>
      </c>
      <c r="AE47" s="433">
        <f t="shared" si="2"/>
        <v>0</v>
      </c>
      <c r="AF47" s="432">
        <v>46091</v>
      </c>
      <c r="AG47" s="421">
        <f t="shared" si="3"/>
        <v>53</v>
      </c>
      <c r="AH47" s="432">
        <v>46105</v>
      </c>
      <c r="AI47" s="427">
        <v>144</v>
      </c>
      <c r="AJ47" s="427">
        <f t="shared" si="5"/>
        <v>14</v>
      </c>
      <c r="AK47" s="427"/>
      <c r="AL47" s="423"/>
      <c r="AM47" s="422"/>
      <c r="AN47" s="422"/>
      <c r="AO47" s="427"/>
      <c r="AP47" s="434"/>
      <c r="AQ47" s="434"/>
      <c r="AR47" s="434"/>
      <c r="AS47" s="434"/>
    </row>
    <row r="48" spans="1:45" s="435" customFormat="1" ht="12" customHeight="1" x14ac:dyDescent="0.25">
      <c r="A48" s="421">
        <v>47</v>
      </c>
      <c r="B48" s="422"/>
      <c r="C48" s="422" t="s">
        <v>333</v>
      </c>
      <c r="D48" s="423" t="s">
        <v>2978</v>
      </c>
      <c r="E48" s="422" t="s">
        <v>86</v>
      </c>
      <c r="F48" s="422" t="s">
        <v>87</v>
      </c>
      <c r="G48" s="424" t="s">
        <v>88</v>
      </c>
      <c r="H48" s="422">
        <v>72</v>
      </c>
      <c r="I48" s="422" t="s">
        <v>207</v>
      </c>
      <c r="J48" s="422" t="s">
        <v>90</v>
      </c>
      <c r="K48" s="423" t="s">
        <v>280</v>
      </c>
      <c r="L48" s="425" t="str">
        <f>VLOOKUP(G48,'SKU 对应关系'!A:E,4,0)</f>
        <v>ANW-B</v>
      </c>
      <c r="M48" s="426" t="str">
        <f>_xlfn.IFNA(VLOOKUP(G48,'SKU 对应关系'!A:B,2,0),"")</f>
        <v>ANW-B 智能扩香仪 黑色</v>
      </c>
      <c r="N48" s="422" t="str">
        <f>_xlfn.IFNA(VLOOKUP(G48,'SKU 对应关系'!$A:$D,3,0),"")</f>
        <v>ANW</v>
      </c>
      <c r="O48" s="427">
        <v>6</v>
      </c>
      <c r="P48" s="455">
        <v>87.6</v>
      </c>
      <c r="Q48" s="427" t="s">
        <v>16</v>
      </c>
      <c r="R48" s="422">
        <v>6</v>
      </c>
      <c r="S48" s="422">
        <v>250</v>
      </c>
      <c r="T48" s="428">
        <v>150</v>
      </c>
      <c r="U48" s="429">
        <f t="shared" si="6"/>
        <v>675.59999999999991</v>
      </c>
      <c r="V48" s="430">
        <f t="shared" si="1"/>
        <v>9.3833333333333329</v>
      </c>
      <c r="W48" s="431">
        <f t="shared" si="4"/>
        <v>1.4004975124378107</v>
      </c>
      <c r="X48" s="422"/>
      <c r="Y48" s="422"/>
      <c r="Z48" s="428"/>
      <c r="AA48" s="432">
        <v>46038</v>
      </c>
      <c r="AB48" s="432">
        <v>46078</v>
      </c>
      <c r="AC48" s="432"/>
      <c r="AD48" s="433">
        <f>IF(ISNA(VLOOKUP(D48,亚马逊入库配置费!B:F,5,0)),0,VLOOKUP(D48,亚马逊入库配置费!B:F,5,0))</f>
        <v>0</v>
      </c>
      <c r="AE48" s="433">
        <f t="shared" si="2"/>
        <v>0</v>
      </c>
      <c r="AF48" s="432">
        <v>46089</v>
      </c>
      <c r="AG48" s="421">
        <f t="shared" si="3"/>
        <v>51</v>
      </c>
      <c r="AH48" s="432">
        <v>46110</v>
      </c>
      <c r="AI48" s="427">
        <v>72</v>
      </c>
      <c r="AJ48" s="427">
        <f t="shared" si="5"/>
        <v>21</v>
      </c>
      <c r="AK48" s="427"/>
      <c r="AL48" s="423"/>
      <c r="AM48" s="422"/>
      <c r="AN48" s="422"/>
      <c r="AO48" s="427"/>
      <c r="AP48" s="434"/>
      <c r="AQ48" s="434"/>
      <c r="AR48" s="434"/>
      <c r="AS48" s="434"/>
    </row>
    <row r="49" spans="1:45" s="435" customFormat="1" ht="12" customHeight="1" x14ac:dyDescent="0.25">
      <c r="A49" s="421">
        <v>48</v>
      </c>
      <c r="B49" s="422"/>
      <c r="C49" s="422" t="s">
        <v>333</v>
      </c>
      <c r="D49" s="423" t="s">
        <v>2978</v>
      </c>
      <c r="E49" s="422" t="s">
        <v>86</v>
      </c>
      <c r="F49" s="422" t="s">
        <v>87</v>
      </c>
      <c r="G49" s="424" t="s">
        <v>93</v>
      </c>
      <c r="H49" s="422">
        <v>48</v>
      </c>
      <c r="I49" s="422" t="s">
        <v>207</v>
      </c>
      <c r="J49" s="422" t="s">
        <v>90</v>
      </c>
      <c r="K49" s="423" t="s">
        <v>280</v>
      </c>
      <c r="L49" s="425" t="str">
        <f>VLOOKUP(G49,'SKU 对应关系'!A:E,4,0)</f>
        <v>ANW-W</v>
      </c>
      <c r="M49" s="426" t="str">
        <f>_xlfn.IFNA(VLOOKUP(G49,'SKU 对应关系'!A:B,2,0),"")</f>
        <v>ANW-W 智能扩香仪 白色</v>
      </c>
      <c r="N49" s="422" t="str">
        <f>_xlfn.IFNA(VLOOKUP(G49,'SKU 对应关系'!$A:$D,3,0),"")</f>
        <v>ANW</v>
      </c>
      <c r="O49" s="427">
        <v>4</v>
      </c>
      <c r="P49" s="455">
        <v>58.4</v>
      </c>
      <c r="Q49" s="427" t="s">
        <v>16</v>
      </c>
      <c r="R49" s="422">
        <v>6</v>
      </c>
      <c r="S49" s="436">
        <f>SUMIF(C:C,C48,T:T)</f>
        <v>250</v>
      </c>
      <c r="T49" s="428">
        <v>100</v>
      </c>
      <c r="U49" s="429">
        <f t="shared" si="6"/>
        <v>450.4</v>
      </c>
      <c r="V49" s="430">
        <f t="shared" si="1"/>
        <v>9.3833333333333329</v>
      </c>
      <c r="W49" s="431">
        <f t="shared" si="4"/>
        <v>1.4004975124378107</v>
      </c>
      <c r="X49" s="422"/>
      <c r="Y49" s="422"/>
      <c r="Z49" s="428"/>
      <c r="AA49" s="432">
        <v>46038</v>
      </c>
      <c r="AB49" s="432">
        <v>46078</v>
      </c>
      <c r="AC49" s="432"/>
      <c r="AD49" s="433">
        <f>IF(ISNA(VLOOKUP(D49,亚马逊入库配置费!B:F,5,0)),0,VLOOKUP(D49,亚马逊入库配置费!B:F,5,0))</f>
        <v>0</v>
      </c>
      <c r="AE49" s="433">
        <f t="shared" si="2"/>
        <v>0</v>
      </c>
      <c r="AF49" s="432">
        <v>46089</v>
      </c>
      <c r="AG49" s="421">
        <f t="shared" si="3"/>
        <v>51</v>
      </c>
      <c r="AH49" s="432">
        <v>46110</v>
      </c>
      <c r="AI49" s="427">
        <v>48</v>
      </c>
      <c r="AJ49" s="427">
        <f t="shared" si="5"/>
        <v>21</v>
      </c>
      <c r="AK49" s="427"/>
      <c r="AL49" s="423"/>
      <c r="AM49" s="422"/>
      <c r="AN49" s="422"/>
      <c r="AO49" s="427"/>
      <c r="AP49" s="434"/>
      <c r="AQ49" s="434"/>
      <c r="AR49" s="434"/>
      <c r="AS49" s="434"/>
    </row>
    <row r="50" spans="1:45" s="435" customFormat="1" ht="12" customHeight="1" x14ac:dyDescent="0.25">
      <c r="A50" s="421">
        <v>49</v>
      </c>
      <c r="B50" s="422"/>
      <c r="C50" s="422" t="s">
        <v>336</v>
      </c>
      <c r="D50" s="423" t="s">
        <v>2979</v>
      </c>
      <c r="E50" s="422" t="s">
        <v>97</v>
      </c>
      <c r="F50" s="422" t="s">
        <v>0</v>
      </c>
      <c r="G50" s="424" t="s">
        <v>2355</v>
      </c>
      <c r="H50" s="422">
        <v>660</v>
      </c>
      <c r="I50" s="422" t="s">
        <v>207</v>
      </c>
      <c r="J50" s="422" t="s">
        <v>8</v>
      </c>
      <c r="K50" s="423" t="s">
        <v>10</v>
      </c>
      <c r="L50" s="425" t="str">
        <f>VLOOKUP(G50,'SKU 对应关系'!A:E,4,0)</f>
        <v>ANAKIT-B_US_2X100K03</v>
      </c>
      <c r="M50" s="426" t="str">
        <f>_xlfn.IFNA(VLOOKUP(G50,'SKU 对应关系'!A:B,2,0),"")</f>
        <v>ANAKIT-B_US_2X100K03 ANA黑色机器+2X100mL酒店香氛油（天竺） 机油套装</v>
      </c>
      <c r="N50" s="422" t="str">
        <f>_xlfn.IFNA(VLOOKUP(G50,'SKU 对应关系'!$A:$D,3,0),"")</f>
        <v>ANA</v>
      </c>
      <c r="O50" s="427">
        <v>55</v>
      </c>
      <c r="P50" s="455">
        <v>956.18243243243251</v>
      </c>
      <c r="Q50" s="427" t="s">
        <v>16</v>
      </c>
      <c r="R50" s="422">
        <v>3.9</v>
      </c>
      <c r="S50" s="422"/>
      <c r="T50" s="428">
        <v>50.738007380073803</v>
      </c>
      <c r="U50" s="429">
        <f t="shared" si="6"/>
        <v>3779.8494938665604</v>
      </c>
      <c r="V50" s="430">
        <f t="shared" si="1"/>
        <v>5.7270446876766066</v>
      </c>
      <c r="W50" s="431">
        <f t="shared" si="4"/>
        <v>0.85478278920546369</v>
      </c>
      <c r="X50" s="422"/>
      <c r="Y50" s="422"/>
      <c r="Z50" s="428"/>
      <c r="AA50" s="432">
        <v>46038</v>
      </c>
      <c r="AB50" s="432">
        <v>46060</v>
      </c>
      <c r="AC50" s="432"/>
      <c r="AD50" s="433">
        <f>IF(ISNA(VLOOKUP(D50,亚马逊入库配置费!B:F,5,0)),0,VLOOKUP(D50,亚马逊入库配置费!B:F,5,0))</f>
        <v>0.49</v>
      </c>
      <c r="AE50" s="433">
        <f t="shared" si="2"/>
        <v>323.39999999999998</v>
      </c>
      <c r="AF50" s="432">
        <v>46070</v>
      </c>
      <c r="AG50" s="421">
        <f t="shared" si="3"/>
        <v>32</v>
      </c>
      <c r="AH50" s="432">
        <v>46106</v>
      </c>
      <c r="AI50" s="427">
        <v>660</v>
      </c>
      <c r="AJ50" s="427">
        <f t="shared" si="5"/>
        <v>36</v>
      </c>
      <c r="AK50" s="427"/>
      <c r="AL50" s="423"/>
      <c r="AM50" s="422"/>
      <c r="AN50" s="422"/>
      <c r="AO50" s="427"/>
      <c r="AP50" s="434"/>
      <c r="AQ50" s="434"/>
      <c r="AR50" s="434"/>
      <c r="AS50" s="434"/>
    </row>
    <row r="51" spans="1:45" s="435" customFormat="1" ht="12" customHeight="1" x14ac:dyDescent="0.25">
      <c r="A51" s="421">
        <v>50</v>
      </c>
      <c r="B51" s="422"/>
      <c r="C51" s="422" t="s">
        <v>336</v>
      </c>
      <c r="D51" s="423" t="s">
        <v>2979</v>
      </c>
      <c r="E51" s="422" t="s">
        <v>97</v>
      </c>
      <c r="F51" s="422" t="s">
        <v>0</v>
      </c>
      <c r="G51" s="424" t="s">
        <v>2357</v>
      </c>
      <c r="H51" s="422">
        <v>660</v>
      </c>
      <c r="I51" s="422" t="s">
        <v>207</v>
      </c>
      <c r="J51" s="422" t="s">
        <v>8</v>
      </c>
      <c r="K51" s="423" t="s">
        <v>10</v>
      </c>
      <c r="L51" s="425" t="str">
        <f>VLOOKUP(G51,'SKU 对应关系'!A:E,4,0)</f>
        <v>ANAKIT-WH_US_2X100K03</v>
      </c>
      <c r="M51" s="426" t="str">
        <f>_xlfn.IFNA(VLOOKUP(G51,'SKU 对应关系'!A:B,2,0),"")</f>
        <v>ANAKIT-WH_US_2X100K03 ANA白色机器+2X100mL酒店香氛油（天竺） 机油套装</v>
      </c>
      <c r="N51" s="422" t="str">
        <f>_xlfn.IFNA(VLOOKUP(G51,'SKU 对应关系'!$A:$D,3,0),"")</f>
        <v>ANA</v>
      </c>
      <c r="O51" s="427">
        <v>55</v>
      </c>
      <c r="P51" s="455">
        <v>956.18243243243251</v>
      </c>
      <c r="Q51" s="427" t="s">
        <v>16</v>
      </c>
      <c r="R51" s="422">
        <v>3.9</v>
      </c>
      <c r="S51" s="422"/>
      <c r="T51" s="428">
        <v>50.738007380073803</v>
      </c>
      <c r="U51" s="429">
        <f t="shared" si="6"/>
        <v>3779.8494938665604</v>
      </c>
      <c r="V51" s="430">
        <f t="shared" si="1"/>
        <v>5.7270446876766066</v>
      </c>
      <c r="W51" s="431">
        <f t="shared" si="4"/>
        <v>0.85478278920546369</v>
      </c>
      <c r="X51" s="422"/>
      <c r="Y51" s="422"/>
      <c r="Z51" s="428"/>
      <c r="AA51" s="432">
        <v>46038</v>
      </c>
      <c r="AB51" s="432">
        <v>46060</v>
      </c>
      <c r="AC51" s="432"/>
      <c r="AD51" s="433">
        <f>IF(ISNA(VLOOKUP(D51,亚马逊入库配置费!B:F,5,0)),0,VLOOKUP(D51,亚马逊入库配置费!B:F,5,0))</f>
        <v>0.49</v>
      </c>
      <c r="AE51" s="433">
        <f t="shared" si="2"/>
        <v>323.39999999999998</v>
      </c>
      <c r="AF51" s="432">
        <v>46070</v>
      </c>
      <c r="AG51" s="421">
        <f t="shared" si="3"/>
        <v>32</v>
      </c>
      <c r="AH51" s="432">
        <v>46106</v>
      </c>
      <c r="AI51" s="427">
        <v>660</v>
      </c>
      <c r="AJ51" s="427">
        <f t="shared" si="5"/>
        <v>36</v>
      </c>
      <c r="AK51" s="427"/>
      <c r="AL51" s="423"/>
      <c r="AM51" s="422"/>
      <c r="AN51" s="422"/>
      <c r="AO51" s="427"/>
      <c r="AP51" s="434"/>
      <c r="AQ51" s="434"/>
      <c r="AR51" s="434"/>
      <c r="AS51" s="434"/>
    </row>
    <row r="52" spans="1:45" s="435" customFormat="1" ht="12" customHeight="1" x14ac:dyDescent="0.25">
      <c r="A52" s="421">
        <v>51</v>
      </c>
      <c r="B52" s="422"/>
      <c r="C52" s="422" t="s">
        <v>336</v>
      </c>
      <c r="D52" s="423" t="s">
        <v>2979</v>
      </c>
      <c r="E52" s="422" t="s">
        <v>97</v>
      </c>
      <c r="F52" s="422" t="s">
        <v>0</v>
      </c>
      <c r="G52" s="424" t="s">
        <v>2179</v>
      </c>
      <c r="H52" s="422">
        <v>456</v>
      </c>
      <c r="I52" s="422" t="s">
        <v>207</v>
      </c>
      <c r="J52" s="422" t="s">
        <v>8</v>
      </c>
      <c r="K52" s="423" t="s">
        <v>10</v>
      </c>
      <c r="L52" s="425" t="str">
        <f>VLOOKUP(G52,'SKU 对应关系'!A:E,4,0)</f>
        <v>ANWKIT-WH_US_2X100K03</v>
      </c>
      <c r="M52" s="426" t="str">
        <f>_xlfn.IFNA(VLOOKUP(G52,'SKU 对应关系'!A:B,2,0),"")</f>
        <v>ANWKIT-WH_US_2X100K03 ANW白色机器+2X100mL酒店香氛油（天竺） 机油套装</v>
      </c>
      <c r="N52" s="422" t="str">
        <f>_xlfn.IFNA(VLOOKUP(G52,'SKU 对应关系'!$A:$D,3,0),"")</f>
        <v>ANW</v>
      </c>
      <c r="O52" s="427">
        <v>38</v>
      </c>
      <c r="P52" s="455">
        <v>660.63513513513522</v>
      </c>
      <c r="Q52" s="427" t="s">
        <v>16</v>
      </c>
      <c r="R52" s="422">
        <v>3.9</v>
      </c>
      <c r="S52" s="422"/>
      <c r="T52" s="428">
        <v>35.055350553505534</v>
      </c>
      <c r="U52" s="429">
        <f t="shared" si="6"/>
        <v>2611.5323775805327</v>
      </c>
      <c r="V52" s="430">
        <f t="shared" si="1"/>
        <v>5.7270446876766066</v>
      </c>
      <c r="W52" s="431">
        <f t="shared" si="4"/>
        <v>0.85478278920546369</v>
      </c>
      <c r="X52" s="422"/>
      <c r="Y52" s="422"/>
      <c r="Z52" s="428"/>
      <c r="AA52" s="432">
        <v>46038</v>
      </c>
      <c r="AB52" s="432">
        <v>46060</v>
      </c>
      <c r="AC52" s="432"/>
      <c r="AD52" s="433">
        <f>IF(ISNA(VLOOKUP(D52,亚马逊入库配置费!B:F,5,0)),0,VLOOKUP(D52,亚马逊入库配置费!B:F,5,0))</f>
        <v>0.49</v>
      </c>
      <c r="AE52" s="433">
        <f t="shared" si="2"/>
        <v>223.44</v>
      </c>
      <c r="AF52" s="432">
        <v>46070</v>
      </c>
      <c r="AG52" s="421">
        <f t="shared" si="3"/>
        <v>32</v>
      </c>
      <c r="AH52" s="432">
        <v>46106</v>
      </c>
      <c r="AI52" s="427">
        <v>454</v>
      </c>
      <c r="AJ52" s="427">
        <f t="shared" si="5"/>
        <v>36</v>
      </c>
      <c r="AK52" s="427"/>
      <c r="AL52" s="423"/>
      <c r="AM52" s="422"/>
      <c r="AN52" s="422"/>
      <c r="AO52" s="427"/>
      <c r="AP52" s="434"/>
      <c r="AQ52" s="434"/>
      <c r="AR52" s="434"/>
      <c r="AS52" s="434"/>
    </row>
    <row r="53" spans="1:45" s="435" customFormat="1" ht="12" customHeight="1" x14ac:dyDescent="0.25">
      <c r="A53" s="421">
        <v>52</v>
      </c>
      <c r="B53" s="422"/>
      <c r="C53" s="422" t="s">
        <v>323</v>
      </c>
      <c r="D53" s="423" t="s">
        <v>2980</v>
      </c>
      <c r="E53" s="422" t="s">
        <v>115</v>
      </c>
      <c r="F53" s="422" t="s">
        <v>0</v>
      </c>
      <c r="G53" s="424" t="s">
        <v>2981</v>
      </c>
      <c r="H53" s="422">
        <v>532</v>
      </c>
      <c r="I53" s="422" t="s">
        <v>306</v>
      </c>
      <c r="J53" s="422" t="s">
        <v>2412</v>
      </c>
      <c r="K53" s="423" t="s">
        <v>11</v>
      </c>
      <c r="L53" s="425" t="str">
        <f>VLOOKUP(G53,'SKU 对应关系'!A:E,4,0)</f>
        <v>HOTEL6KIT1-6X10K01</v>
      </c>
      <c r="M53" s="426" t="str">
        <f>_xlfn.IFNA(VLOOKUP(G53,'SKU 对应关系'!A:B,2,0),"")</f>
        <v>HOTEL6KIT1-6X10K01 酒店香氛油6款10mL套装</v>
      </c>
      <c r="N53" s="422" t="str">
        <f>_xlfn.IFNA(VLOOKUP(G53,'SKU 对应关系'!$A:$D,3,0),"")</f>
        <v>Oil-HQ</v>
      </c>
      <c r="O53" s="427">
        <v>7</v>
      </c>
      <c r="P53" s="455">
        <v>152</v>
      </c>
      <c r="Q53" s="427" t="s">
        <v>16</v>
      </c>
      <c r="R53" s="422">
        <v>6.5</v>
      </c>
      <c r="S53" s="422">
        <v>350</v>
      </c>
      <c r="T53" s="428">
        <v>350</v>
      </c>
      <c r="U53" s="429">
        <f t="shared" si="6"/>
        <v>1338</v>
      </c>
      <c r="V53" s="430">
        <f t="shared" si="1"/>
        <v>2.5150375939849625</v>
      </c>
      <c r="W53" s="431">
        <f t="shared" si="4"/>
        <v>0.37537874537088994</v>
      </c>
      <c r="X53" s="422"/>
      <c r="Y53" s="422"/>
      <c r="Z53" s="428"/>
      <c r="AA53" s="432">
        <v>46038</v>
      </c>
      <c r="AB53" s="432">
        <v>46063</v>
      </c>
      <c r="AC53" s="432"/>
      <c r="AD53" s="433">
        <f>IF(ISNA(VLOOKUP(D53,亚马逊入库配置费!B:F,5,0)),0,VLOOKUP(D53,亚马逊入库配置费!B:F,5,0))</f>
        <v>0.33999999999999997</v>
      </c>
      <c r="AE53" s="433">
        <f t="shared" si="2"/>
        <v>180.88</v>
      </c>
      <c r="AF53" s="432">
        <v>46075</v>
      </c>
      <c r="AG53" s="421">
        <f t="shared" si="3"/>
        <v>37</v>
      </c>
      <c r="AH53" s="432">
        <v>46106</v>
      </c>
      <c r="AI53" s="427">
        <v>528</v>
      </c>
      <c r="AJ53" s="427">
        <f t="shared" si="5"/>
        <v>31</v>
      </c>
      <c r="AK53" s="427"/>
      <c r="AL53" s="423"/>
      <c r="AM53" s="422"/>
      <c r="AN53" s="422"/>
      <c r="AO53" s="427"/>
      <c r="AP53" s="434"/>
      <c r="AQ53" s="434"/>
      <c r="AR53" s="434"/>
      <c r="AS53" s="434"/>
    </row>
    <row r="54" spans="1:45" s="435" customFormat="1" ht="12" customHeight="1" x14ac:dyDescent="0.25">
      <c r="A54" s="421">
        <v>53</v>
      </c>
      <c r="B54" s="422"/>
      <c r="C54" s="422" t="s">
        <v>1782</v>
      </c>
      <c r="D54" s="423" t="s">
        <v>2982</v>
      </c>
      <c r="E54" s="422" t="s">
        <v>97</v>
      </c>
      <c r="F54" s="422" t="s">
        <v>0</v>
      </c>
      <c r="G54" s="424" t="s">
        <v>316</v>
      </c>
      <c r="H54" s="422">
        <v>1260</v>
      </c>
      <c r="I54" s="422" t="s">
        <v>306</v>
      </c>
      <c r="J54" s="422" t="s">
        <v>8</v>
      </c>
      <c r="K54" s="423" t="s">
        <v>46</v>
      </c>
      <c r="L54" s="425" t="str">
        <f>VLOOKUP(G54,'SKU 对应关系'!A:E,4,0)</f>
        <v>A-RZ3-100</v>
      </c>
      <c r="M54" s="426" t="str">
        <f>_xlfn.IFNA(VLOOKUP(G54,'SKU 对应关系'!A:B,2,0),"")</f>
        <v>A-Ritz Carlton Hotel 3-100 丽思卡尔顿酒店3香氛油100mL</v>
      </c>
      <c r="N54" s="422" t="str">
        <f>_xlfn.IFNA(VLOOKUP(G54,'SKU 对应关系'!$A:$D,3,0),"")</f>
        <v>Oil-HQ</v>
      </c>
      <c r="O54" s="427">
        <v>14</v>
      </c>
      <c r="P54" s="455">
        <v>286.58999999999997</v>
      </c>
      <c r="Q54" s="427" t="s">
        <v>16</v>
      </c>
      <c r="R54" s="422">
        <v>5.6</v>
      </c>
      <c r="S54" s="436">
        <f>SUMIF(C:C,C53,T:T)</f>
        <v>350</v>
      </c>
      <c r="T54" s="428"/>
      <c r="U54" s="429">
        <f>R54*P54+T54</f>
        <v>1604.9039999999998</v>
      </c>
      <c r="V54" s="430">
        <f t="shared" si="1"/>
        <v>1.2737333333333332</v>
      </c>
      <c r="W54" s="431">
        <f t="shared" si="4"/>
        <v>0.19010945273631838</v>
      </c>
      <c r="X54" s="422"/>
      <c r="Y54" s="422"/>
      <c r="Z54" s="428"/>
      <c r="AA54" s="432">
        <v>46038</v>
      </c>
      <c r="AB54" s="432">
        <v>46058</v>
      </c>
      <c r="AC54" s="432"/>
      <c r="AD54" s="433">
        <f>IF(ISNA(VLOOKUP(D54,亚马逊入库配置费!B:F,5,0)),0,VLOOKUP(D54,亚马逊入库配置费!B:F,5,0))</f>
        <v>0.33999999999999997</v>
      </c>
      <c r="AE54" s="433">
        <f t="shared" si="2"/>
        <v>428.4</v>
      </c>
      <c r="AF54" s="432">
        <v>46093</v>
      </c>
      <c r="AG54" s="421">
        <f t="shared" si="3"/>
        <v>55</v>
      </c>
      <c r="AH54" s="432">
        <v>46123</v>
      </c>
      <c r="AI54" s="427"/>
      <c r="AJ54" s="427">
        <f t="shared" si="5"/>
        <v>30</v>
      </c>
      <c r="AK54" s="427"/>
      <c r="AL54" s="423"/>
      <c r="AM54" s="422"/>
      <c r="AN54" s="422"/>
      <c r="AO54" s="427"/>
      <c r="AP54" s="434"/>
      <c r="AQ54" s="434"/>
      <c r="AR54" s="434"/>
      <c r="AS54" s="434"/>
    </row>
    <row r="55" spans="1:45" s="435" customFormat="1" ht="12" customHeight="1" x14ac:dyDescent="0.25">
      <c r="A55" s="421">
        <v>54</v>
      </c>
      <c r="B55" s="422"/>
      <c r="C55" s="422" t="s">
        <v>1782</v>
      </c>
      <c r="D55" s="423" t="s">
        <v>2983</v>
      </c>
      <c r="E55" s="422" t="s">
        <v>115</v>
      </c>
      <c r="F55" s="422" t="s">
        <v>0</v>
      </c>
      <c r="G55" s="424" t="s">
        <v>2201</v>
      </c>
      <c r="H55" s="422">
        <v>90</v>
      </c>
      <c r="I55" s="422" t="s">
        <v>306</v>
      </c>
      <c r="J55" s="422" t="s">
        <v>8</v>
      </c>
      <c r="K55" s="423" t="s">
        <v>46</v>
      </c>
      <c r="L55" s="425" t="str">
        <f>VLOOKUP(G55,'SKU 对应关系'!A:E,4,0)</f>
        <v>BCRT1-100ML</v>
      </c>
      <c r="M55" s="426" t="str">
        <f>_xlfn.IFNA(VLOOKUP(G55,'SKU 对应关系'!A:B,2,0),"")</f>
        <v>BCRT1-100ML 巴卡拉酒店香氛油100mL</v>
      </c>
      <c r="N55" s="422" t="str">
        <f>_xlfn.IFNA(VLOOKUP(G55,'SKU 对应关系'!$A:$D,3,0),"")</f>
        <v>Oil-HQ</v>
      </c>
      <c r="O55" s="427">
        <v>1</v>
      </c>
      <c r="P55" s="455">
        <v>20.470500000000001</v>
      </c>
      <c r="Q55" s="427" t="s">
        <v>16</v>
      </c>
      <c r="R55" s="422">
        <v>5.6</v>
      </c>
      <c r="S55" s="422"/>
      <c r="T55" s="428"/>
      <c r="U55" s="429">
        <f>R55*P55+T55</f>
        <v>114.6348</v>
      </c>
      <c r="V55" s="430">
        <f t="shared" si="1"/>
        <v>1.27372</v>
      </c>
      <c r="W55" s="431">
        <f t="shared" si="4"/>
        <v>0.19010746268656714</v>
      </c>
      <c r="X55" s="422"/>
      <c r="Y55" s="422"/>
      <c r="Z55" s="428"/>
      <c r="AA55" s="432">
        <v>46038</v>
      </c>
      <c r="AB55" s="432">
        <v>46058</v>
      </c>
      <c r="AC55" s="432"/>
      <c r="AD55" s="433">
        <f>IF(ISNA(VLOOKUP(D55,亚马逊入库配置费!B:F,5,0)),0,VLOOKUP(D55,亚马逊入库配置费!B:F,5,0))</f>
        <v>0.34</v>
      </c>
      <c r="AE55" s="433">
        <f t="shared" si="2"/>
        <v>30.6</v>
      </c>
      <c r="AF55" s="432">
        <v>46093</v>
      </c>
      <c r="AG55" s="421">
        <f t="shared" si="3"/>
        <v>55</v>
      </c>
      <c r="AH55" s="432">
        <v>46124</v>
      </c>
      <c r="AI55" s="427"/>
      <c r="AJ55" s="427">
        <f t="shared" si="5"/>
        <v>31</v>
      </c>
      <c r="AK55" s="427"/>
      <c r="AL55" s="423"/>
      <c r="AM55" s="422"/>
      <c r="AN55" s="422"/>
      <c r="AO55" s="427"/>
      <c r="AP55" s="434"/>
      <c r="AQ55" s="434"/>
      <c r="AR55" s="434"/>
      <c r="AS55" s="434"/>
    </row>
    <row r="56" spans="1:45" s="435" customFormat="1" ht="12" customHeight="1" x14ac:dyDescent="0.25">
      <c r="A56" s="421">
        <v>55</v>
      </c>
      <c r="B56" s="422"/>
      <c r="C56" s="422" t="s">
        <v>1782</v>
      </c>
      <c r="D56" s="423" t="s">
        <v>2983</v>
      </c>
      <c r="E56" s="422" t="s">
        <v>115</v>
      </c>
      <c r="F56" s="422" t="s">
        <v>0</v>
      </c>
      <c r="G56" s="424" t="s">
        <v>2203</v>
      </c>
      <c r="H56" s="422">
        <v>90</v>
      </c>
      <c r="I56" s="422" t="s">
        <v>306</v>
      </c>
      <c r="J56" s="422" t="s">
        <v>8</v>
      </c>
      <c r="K56" s="423" t="s">
        <v>46</v>
      </c>
      <c r="L56" s="425" t="str">
        <f>VLOOKUP(G56,'SKU 对应关系'!A:E,4,0)</f>
        <v>BLG1-100ML</v>
      </c>
      <c r="M56" s="426" t="str">
        <f>_xlfn.IFNA(VLOOKUP(G56,'SKU 对应关系'!A:B,2,0),"")</f>
        <v>BLG1-100ML 百乐宫酒店香氛油100mL</v>
      </c>
      <c r="N56" s="422" t="str">
        <f>_xlfn.IFNA(VLOOKUP(G56,'SKU 对应关系'!$A:$D,3,0),"")</f>
        <v>Oil-HQ</v>
      </c>
      <c r="O56" s="427">
        <v>1</v>
      </c>
      <c r="P56" s="455">
        <v>20.470500000000001</v>
      </c>
      <c r="Q56" s="427" t="s">
        <v>16</v>
      </c>
      <c r="R56" s="422">
        <v>5.6</v>
      </c>
      <c r="S56" s="422"/>
      <c r="T56" s="428"/>
      <c r="U56" s="429">
        <f t="shared" si="6"/>
        <v>114.6348</v>
      </c>
      <c r="V56" s="430">
        <f t="shared" si="1"/>
        <v>1.27372</v>
      </c>
      <c r="W56" s="431">
        <f t="shared" si="4"/>
        <v>0.19010746268656714</v>
      </c>
      <c r="X56" s="422"/>
      <c r="Y56" s="422"/>
      <c r="Z56" s="428"/>
      <c r="AA56" s="432">
        <v>46038</v>
      </c>
      <c r="AB56" s="432">
        <v>46058</v>
      </c>
      <c r="AC56" s="432"/>
      <c r="AD56" s="433">
        <f>IF(ISNA(VLOOKUP(D56,亚马逊入库配置费!B:F,5,0)),0,VLOOKUP(D56,亚马逊入库配置费!B:F,5,0))</f>
        <v>0.34</v>
      </c>
      <c r="AE56" s="433">
        <f t="shared" si="2"/>
        <v>30.6</v>
      </c>
      <c r="AF56" s="432">
        <v>46093</v>
      </c>
      <c r="AG56" s="421">
        <f t="shared" si="3"/>
        <v>55</v>
      </c>
      <c r="AH56" s="432">
        <v>46124</v>
      </c>
      <c r="AI56" s="427"/>
      <c r="AJ56" s="427">
        <f t="shared" si="5"/>
        <v>31</v>
      </c>
      <c r="AK56" s="427"/>
      <c r="AL56" s="423"/>
      <c r="AM56" s="422"/>
      <c r="AN56" s="422"/>
      <c r="AO56" s="427"/>
      <c r="AP56" s="434"/>
      <c r="AQ56" s="434"/>
      <c r="AR56" s="434"/>
      <c r="AS56" s="434"/>
    </row>
    <row r="57" spans="1:45" s="435" customFormat="1" ht="12" customHeight="1" x14ac:dyDescent="0.25">
      <c r="A57" s="421">
        <v>56</v>
      </c>
      <c r="B57" s="422" t="s">
        <v>3280</v>
      </c>
      <c r="C57" s="422" t="s">
        <v>327</v>
      </c>
      <c r="D57" s="423" t="s">
        <v>2983</v>
      </c>
      <c r="E57" s="422" t="s">
        <v>115</v>
      </c>
      <c r="F57" s="422" t="s">
        <v>0</v>
      </c>
      <c r="G57" s="424" t="s">
        <v>2981</v>
      </c>
      <c r="H57" s="422">
        <v>1064</v>
      </c>
      <c r="I57" s="422" t="s">
        <v>306</v>
      </c>
      <c r="J57" s="422" t="s">
        <v>8</v>
      </c>
      <c r="K57" s="423" t="s">
        <v>46</v>
      </c>
      <c r="L57" s="425" t="str">
        <f>VLOOKUP(G57,'SKU 对应关系'!A:E,4,0)</f>
        <v>HOTEL6KIT1-6X10K01</v>
      </c>
      <c r="M57" s="426" t="str">
        <f>_xlfn.IFNA(VLOOKUP(G57,'SKU 对应关系'!A:B,2,0),"")</f>
        <v>HOTEL6KIT1-6X10K01 酒店香氛油6款10mL套装</v>
      </c>
      <c r="N57" s="422" t="str">
        <f>_xlfn.IFNA(VLOOKUP(G57,'SKU 对应关系'!$A:$D,3,0),"")</f>
        <v>Oil-HQ</v>
      </c>
      <c r="O57" s="427">
        <v>14</v>
      </c>
      <c r="P57" s="455">
        <v>286.58699999999999</v>
      </c>
      <c r="Q57" s="427" t="s">
        <v>16</v>
      </c>
      <c r="R57" s="422">
        <v>5.6</v>
      </c>
      <c r="S57" s="422">
        <v>350</v>
      </c>
      <c r="T57" s="428">
        <v>350</v>
      </c>
      <c r="U57" s="429">
        <f t="shared" si="6"/>
        <v>1954.8871999999999</v>
      </c>
      <c r="V57" s="430">
        <f t="shared" si="1"/>
        <v>1.8372999999999999</v>
      </c>
      <c r="W57" s="431">
        <f t="shared" si="4"/>
        <v>0.27422388059701491</v>
      </c>
      <c r="X57" s="422"/>
      <c r="Y57" s="422"/>
      <c r="Z57" s="428"/>
      <c r="AA57" s="432">
        <v>46038</v>
      </c>
      <c r="AB57" s="432">
        <v>46058</v>
      </c>
      <c r="AC57" s="432"/>
      <c r="AD57" s="433">
        <f>IF(ISNA(VLOOKUP(D57,亚马逊入库配置费!B:F,5,0)),0,VLOOKUP(D57,亚马逊入库配置费!B:F,5,0))</f>
        <v>0.34</v>
      </c>
      <c r="AE57" s="433">
        <f t="shared" si="2"/>
        <v>361.76000000000005</v>
      </c>
      <c r="AF57" s="432">
        <v>46093</v>
      </c>
      <c r="AG57" s="421">
        <f t="shared" si="3"/>
        <v>55</v>
      </c>
      <c r="AH57" s="432">
        <v>46124</v>
      </c>
      <c r="AI57" s="427"/>
      <c r="AJ57" s="427">
        <f t="shared" si="5"/>
        <v>31</v>
      </c>
      <c r="AK57" s="427"/>
      <c r="AL57" s="423"/>
      <c r="AM57" s="422"/>
      <c r="AN57" s="422"/>
      <c r="AO57" s="427"/>
      <c r="AP57" s="434"/>
      <c r="AQ57" s="434"/>
      <c r="AR57" s="434"/>
      <c r="AS57" s="434"/>
    </row>
    <row r="58" spans="1:45" s="435" customFormat="1" ht="12" customHeight="1" x14ac:dyDescent="0.25">
      <c r="A58" s="421">
        <v>57</v>
      </c>
      <c r="B58" s="422"/>
      <c r="C58" s="422" t="s">
        <v>1782</v>
      </c>
      <c r="D58" s="423" t="s">
        <v>2983</v>
      </c>
      <c r="E58" s="422" t="s">
        <v>115</v>
      </c>
      <c r="F58" s="422" t="s">
        <v>0</v>
      </c>
      <c r="G58" s="424" t="s">
        <v>1054</v>
      </c>
      <c r="H58" s="422">
        <v>90</v>
      </c>
      <c r="I58" s="422" t="s">
        <v>306</v>
      </c>
      <c r="J58" s="422" t="s">
        <v>8</v>
      </c>
      <c r="K58" s="423" t="s">
        <v>46</v>
      </c>
      <c r="L58" s="425" t="str">
        <f>VLOOKUP(G58,'SKU 对应关系'!A:E,4,0)</f>
        <v>A-JY-100</v>
      </c>
      <c r="M58" s="426" t="str">
        <f>_xlfn.IFNA(VLOOKUP(G58,'SKU 对应关系'!A:B,2,0),"")</f>
        <v>A-Grand Hyatt Hotel-100 君悦酒店香氛油100mL</v>
      </c>
      <c r="N58" s="422" t="str">
        <f>_xlfn.IFNA(VLOOKUP(G58,'SKU 对应关系'!$A:$D,3,0),"")</f>
        <v>Oil-HQ</v>
      </c>
      <c r="O58" s="427">
        <v>1</v>
      </c>
      <c r="P58" s="455">
        <v>20.470500000000001</v>
      </c>
      <c r="Q58" s="427" t="s">
        <v>16</v>
      </c>
      <c r="R58" s="422">
        <v>5.6</v>
      </c>
      <c r="S58" s="436">
        <f>SUMIF(C:C,C57,T:T)</f>
        <v>350</v>
      </c>
      <c r="T58" s="428"/>
      <c r="U58" s="429">
        <f t="shared" si="6"/>
        <v>114.6348</v>
      </c>
      <c r="V58" s="430">
        <f t="shared" si="1"/>
        <v>1.27372</v>
      </c>
      <c r="W58" s="431">
        <f t="shared" si="4"/>
        <v>0.19010746268656714</v>
      </c>
      <c r="X58" s="422"/>
      <c r="Y58" s="422"/>
      <c r="Z58" s="428"/>
      <c r="AA58" s="432">
        <v>46038</v>
      </c>
      <c r="AB58" s="432">
        <v>46058</v>
      </c>
      <c r="AC58" s="432"/>
      <c r="AD58" s="433">
        <f>IF(ISNA(VLOOKUP(D58,亚马逊入库配置费!B:F,5,0)),0,VLOOKUP(D58,亚马逊入库配置费!B:F,5,0))</f>
        <v>0.34</v>
      </c>
      <c r="AE58" s="433">
        <f t="shared" si="2"/>
        <v>30.6</v>
      </c>
      <c r="AF58" s="432">
        <v>46093</v>
      </c>
      <c r="AG58" s="421">
        <f t="shared" si="3"/>
        <v>55</v>
      </c>
      <c r="AH58" s="432">
        <v>46124</v>
      </c>
      <c r="AI58" s="427"/>
      <c r="AJ58" s="427">
        <f t="shared" si="5"/>
        <v>31</v>
      </c>
      <c r="AK58" s="427"/>
      <c r="AL58" s="423"/>
      <c r="AM58" s="422"/>
      <c r="AN58" s="422"/>
      <c r="AO58" s="427"/>
      <c r="AP58" s="434"/>
      <c r="AQ58" s="434"/>
      <c r="AR58" s="434"/>
      <c r="AS58" s="434"/>
    </row>
    <row r="59" spans="1:45" s="435" customFormat="1" ht="12" customHeight="1" x14ac:dyDescent="0.25">
      <c r="A59" s="421">
        <v>58</v>
      </c>
      <c r="B59" s="422"/>
      <c r="C59" s="422" t="s">
        <v>1782</v>
      </c>
      <c r="D59" s="423" t="s">
        <v>2983</v>
      </c>
      <c r="E59" s="422" t="s">
        <v>115</v>
      </c>
      <c r="F59" s="422" t="s">
        <v>0</v>
      </c>
      <c r="G59" s="424" t="s">
        <v>1057</v>
      </c>
      <c r="H59" s="422">
        <v>180</v>
      </c>
      <c r="I59" s="422" t="s">
        <v>306</v>
      </c>
      <c r="J59" s="422" t="s">
        <v>8</v>
      </c>
      <c r="K59" s="423" t="s">
        <v>46</v>
      </c>
      <c r="L59" s="425" t="str">
        <f>VLOOKUP(G59,'SKU 对应关系'!A:E,4,0)</f>
        <v>A-MWAY-100</v>
      </c>
      <c r="M59" s="426" t="str">
        <f>_xlfn.IFNA(VLOOKUP(G59,'SKU 对应关系'!A:B,2,0),"")</f>
        <v>A-MWAY Deluxe-100 特定香型香氛油100mL</v>
      </c>
      <c r="N59" s="422" t="str">
        <f>_xlfn.IFNA(VLOOKUP(G59,'SKU 对应关系'!$A:$D,3,0),"")</f>
        <v>Oil-HQ</v>
      </c>
      <c r="O59" s="427">
        <v>2</v>
      </c>
      <c r="P59" s="455">
        <v>40.941000000000003</v>
      </c>
      <c r="Q59" s="427" t="s">
        <v>16</v>
      </c>
      <c r="R59" s="422">
        <v>5.6</v>
      </c>
      <c r="S59" s="422"/>
      <c r="T59" s="428"/>
      <c r="U59" s="429">
        <f t="shared" si="6"/>
        <v>229.2696</v>
      </c>
      <c r="V59" s="430">
        <f t="shared" si="1"/>
        <v>1.27372</v>
      </c>
      <c r="W59" s="431">
        <f t="shared" si="4"/>
        <v>0.19010746268656714</v>
      </c>
      <c r="X59" s="422"/>
      <c r="Y59" s="422"/>
      <c r="Z59" s="428"/>
      <c r="AA59" s="432">
        <v>46038</v>
      </c>
      <c r="AB59" s="432">
        <v>46058</v>
      </c>
      <c r="AC59" s="432"/>
      <c r="AD59" s="433">
        <f>IF(ISNA(VLOOKUP(D59,亚马逊入库配置费!B:F,5,0)),0,VLOOKUP(D59,亚马逊入库配置费!B:F,5,0))</f>
        <v>0.34</v>
      </c>
      <c r="AE59" s="433">
        <f t="shared" si="2"/>
        <v>61.2</v>
      </c>
      <c r="AF59" s="432">
        <v>46093</v>
      </c>
      <c r="AG59" s="421">
        <f t="shared" si="3"/>
        <v>55</v>
      </c>
      <c r="AH59" s="432">
        <v>46124</v>
      </c>
      <c r="AI59" s="427"/>
      <c r="AJ59" s="427">
        <f t="shared" si="5"/>
        <v>31</v>
      </c>
      <c r="AK59" s="427"/>
      <c r="AL59" s="423"/>
      <c r="AM59" s="422"/>
      <c r="AN59" s="422"/>
      <c r="AO59" s="427"/>
      <c r="AP59" s="434"/>
      <c r="AQ59" s="434"/>
      <c r="AR59" s="434"/>
      <c r="AS59" s="434"/>
    </row>
    <row r="60" spans="1:45" s="435" customFormat="1" ht="12" customHeight="1" x14ac:dyDescent="0.25">
      <c r="A60" s="421">
        <v>59</v>
      </c>
      <c r="B60" s="422"/>
      <c r="C60" s="422" t="s">
        <v>1782</v>
      </c>
      <c r="D60" s="423" t="s">
        <v>2983</v>
      </c>
      <c r="E60" s="422" t="s">
        <v>115</v>
      </c>
      <c r="F60" s="422" t="s">
        <v>0</v>
      </c>
      <c r="G60" s="424" t="s">
        <v>2207</v>
      </c>
      <c r="H60" s="422">
        <v>90</v>
      </c>
      <c r="I60" s="422" t="s">
        <v>306</v>
      </c>
      <c r="J60" s="422" t="s">
        <v>8</v>
      </c>
      <c r="K60" s="423" t="s">
        <v>46</v>
      </c>
      <c r="L60" s="425" t="str">
        <f>VLOOKUP(G60,'SKU 对应关系'!A:E,4,0)</f>
        <v>WST1-100ML</v>
      </c>
      <c r="M60" s="426" t="str">
        <f>_xlfn.IFNA(VLOOKUP(G60,'SKU 对应关系'!A:B,2,0),"")</f>
        <v>WST1-100ML 威斯汀2酒店香氛油100mL</v>
      </c>
      <c r="N60" s="422" t="str">
        <f>_xlfn.IFNA(VLOOKUP(G60,'SKU 对应关系'!$A:$D,3,0),"")</f>
        <v>Oil-HQ</v>
      </c>
      <c r="O60" s="427">
        <v>1</v>
      </c>
      <c r="P60" s="455">
        <v>20.470500000000001</v>
      </c>
      <c r="Q60" s="427" t="s">
        <v>16</v>
      </c>
      <c r="R60" s="422">
        <v>5.6</v>
      </c>
      <c r="S60" s="422"/>
      <c r="T60" s="428"/>
      <c r="U60" s="429">
        <f t="shared" si="6"/>
        <v>114.6348</v>
      </c>
      <c r="V60" s="430">
        <f t="shared" si="1"/>
        <v>1.27372</v>
      </c>
      <c r="W60" s="431">
        <f t="shared" si="4"/>
        <v>0.19010746268656714</v>
      </c>
      <c r="X60" s="422"/>
      <c r="Y60" s="422"/>
      <c r="Z60" s="428"/>
      <c r="AA60" s="432">
        <v>46038</v>
      </c>
      <c r="AB60" s="432">
        <v>46058</v>
      </c>
      <c r="AC60" s="432"/>
      <c r="AD60" s="433">
        <f>IF(ISNA(VLOOKUP(D60,亚马逊入库配置费!B:F,5,0)),0,VLOOKUP(D60,亚马逊入库配置费!B:F,5,0))</f>
        <v>0.34</v>
      </c>
      <c r="AE60" s="433">
        <f t="shared" si="2"/>
        <v>30.6</v>
      </c>
      <c r="AF60" s="432">
        <v>46093</v>
      </c>
      <c r="AG60" s="421">
        <f t="shared" si="3"/>
        <v>55</v>
      </c>
      <c r="AH60" s="432">
        <v>46124</v>
      </c>
      <c r="AI60" s="427"/>
      <c r="AJ60" s="427">
        <f t="shared" si="5"/>
        <v>31</v>
      </c>
      <c r="AK60" s="427"/>
      <c r="AL60" s="423"/>
      <c r="AM60" s="422"/>
      <c r="AN60" s="422"/>
      <c r="AO60" s="427"/>
      <c r="AP60" s="434"/>
      <c r="AQ60" s="434"/>
      <c r="AR60" s="434"/>
      <c r="AS60" s="434"/>
    </row>
    <row r="61" spans="1:45" ht="12" customHeight="1" x14ac:dyDescent="0.25">
      <c r="A61" s="90">
        <v>60</v>
      </c>
      <c r="B61" s="91"/>
      <c r="C61" s="91" t="s">
        <v>434</v>
      </c>
      <c r="D61" s="92" t="s">
        <v>3001</v>
      </c>
      <c r="E61" s="91" t="s">
        <v>115</v>
      </c>
      <c r="F61" s="91" t="s">
        <v>0</v>
      </c>
      <c r="G61" s="56" t="s">
        <v>209</v>
      </c>
      <c r="H61" s="91">
        <v>128</v>
      </c>
      <c r="I61" s="91" t="s">
        <v>89</v>
      </c>
      <c r="J61" s="91" t="s">
        <v>8</v>
      </c>
      <c r="K61" s="92" t="s">
        <v>46</v>
      </c>
      <c r="L61" s="93" t="str">
        <f>VLOOKUP(G61,'SKU 对应关系'!A:E,4,0)</f>
        <v>ANX-2PC-BB</v>
      </c>
      <c r="M61" s="94" t="str">
        <f>_xlfn.IFNA(VLOOKUP(G61,'SKU 对应关系'!A:B,2,0),"")</f>
        <v>ANX-2PC-BB 便携式扩香仪套装 黑+黑</v>
      </c>
      <c r="N61" s="95" t="str">
        <f>_xlfn.IFNA(VLOOKUP(G61,'SKU 对应关系'!$A:$D,3,0),"")</f>
        <v>ANX</v>
      </c>
      <c r="O61" s="96">
        <v>8</v>
      </c>
      <c r="P61" s="455">
        <v>106.57627118644068</v>
      </c>
      <c r="Q61" s="96" t="s">
        <v>16</v>
      </c>
      <c r="R61" s="91">
        <v>3.4</v>
      </c>
      <c r="S61" s="95">
        <v>200</v>
      </c>
      <c r="T61" s="98">
        <v>10.884353741496598</v>
      </c>
      <c r="U61" s="99">
        <f t="shared" si="6"/>
        <v>373.24367577539493</v>
      </c>
      <c r="V61" s="100">
        <f t="shared" si="1"/>
        <v>2.9159662169952729</v>
      </c>
      <c r="W61" s="101">
        <f t="shared" si="4"/>
        <v>0.43521883835750341</v>
      </c>
      <c r="X61" s="95"/>
      <c r="Y61" s="95"/>
      <c r="Z61" s="102"/>
      <c r="AA61" s="103">
        <v>46045</v>
      </c>
      <c r="AB61" s="103">
        <v>46067</v>
      </c>
      <c r="AC61" s="103"/>
      <c r="AD61" s="104">
        <f>IF(ISNA(VLOOKUP(D61,亚马逊入库配置费!B:F,5,0)),0,VLOOKUP(D61,亚马逊入库配置费!B:F,5,0))</f>
        <v>0.35943907156673116</v>
      </c>
      <c r="AE61" s="104">
        <f t="shared" si="2"/>
        <v>46.008201160541589</v>
      </c>
      <c r="AF61" s="103">
        <v>46077</v>
      </c>
      <c r="AG61" s="90">
        <f t="shared" si="3"/>
        <v>32</v>
      </c>
      <c r="AH61" s="103">
        <v>46107</v>
      </c>
      <c r="AI61" s="96">
        <v>128</v>
      </c>
      <c r="AJ61" s="427">
        <f t="shared" si="5"/>
        <v>30</v>
      </c>
      <c r="AK61" s="96"/>
      <c r="AL61" s="92"/>
      <c r="AM61" s="91"/>
      <c r="AN61" s="91"/>
      <c r="AO61" s="96"/>
      <c r="AP61" s="105"/>
      <c r="AQ61" s="105"/>
      <c r="AR61" s="105"/>
      <c r="AS61" s="105"/>
    </row>
    <row r="62" spans="1:45" ht="12" customHeight="1" x14ac:dyDescent="0.25">
      <c r="A62" s="90">
        <v>61</v>
      </c>
      <c r="B62" s="91"/>
      <c r="C62" s="91" t="s">
        <v>434</v>
      </c>
      <c r="D62" s="92" t="s">
        <v>3001</v>
      </c>
      <c r="E62" s="91" t="s">
        <v>115</v>
      </c>
      <c r="F62" s="91" t="s">
        <v>0</v>
      </c>
      <c r="G62" s="56" t="s">
        <v>211</v>
      </c>
      <c r="H62" s="91">
        <v>300</v>
      </c>
      <c r="I62" s="91" t="s">
        <v>89</v>
      </c>
      <c r="J62" s="91" t="s">
        <v>8</v>
      </c>
      <c r="K62" s="92" t="s">
        <v>46</v>
      </c>
      <c r="L62" s="93" t="str">
        <f>VLOOKUP(G62,'SKU 对应关系'!A:E,4,0)</f>
        <v>ANX-B</v>
      </c>
      <c r="M62" s="94" t="str">
        <f>_xlfn.IFNA(VLOOKUP(G62,'SKU 对应关系'!A:B,2,0),"")</f>
        <v>ANX-B 便携式扩香仪 黑色</v>
      </c>
      <c r="N62" s="95" t="str">
        <f>_xlfn.IFNA(VLOOKUP(G62,'SKU 对应关系'!$A:$D,3,0),"")</f>
        <v>ANX</v>
      </c>
      <c r="O62" s="96">
        <v>10</v>
      </c>
      <c r="P62" s="455">
        <v>133.22033898305085</v>
      </c>
      <c r="Q62" s="96" t="s">
        <v>16</v>
      </c>
      <c r="R62" s="91">
        <v>3.4</v>
      </c>
      <c r="S62" s="106">
        <f>SUMIF(C:C,C61,T:T)</f>
        <v>200</v>
      </c>
      <c r="T62" s="98">
        <v>13.605442176870747</v>
      </c>
      <c r="U62" s="99">
        <f t="shared" si="6"/>
        <v>466.5545947192436</v>
      </c>
      <c r="V62" s="100">
        <f t="shared" si="1"/>
        <v>1.5551819823974786</v>
      </c>
      <c r="W62" s="101">
        <f t="shared" si="4"/>
        <v>0.23211671379066845</v>
      </c>
      <c r="X62" s="95"/>
      <c r="Y62" s="95"/>
      <c r="Z62" s="102"/>
      <c r="AA62" s="103">
        <v>46045</v>
      </c>
      <c r="AB62" s="103">
        <v>46067</v>
      </c>
      <c r="AC62" s="103"/>
      <c r="AD62" s="104">
        <f>IF(ISNA(VLOOKUP(D62,亚马逊入库配置费!B:F,5,0)),0,VLOOKUP(D62,亚马逊入库配置费!B:F,5,0))</f>
        <v>0.35943907156673116</v>
      </c>
      <c r="AE62" s="104">
        <f t="shared" si="2"/>
        <v>107.83172147001935</v>
      </c>
      <c r="AF62" s="103">
        <v>46077</v>
      </c>
      <c r="AG62" s="90">
        <f t="shared" si="3"/>
        <v>32</v>
      </c>
      <c r="AH62" s="103">
        <v>46107</v>
      </c>
      <c r="AI62" s="96">
        <v>300</v>
      </c>
      <c r="AJ62" s="427">
        <f t="shared" si="5"/>
        <v>30</v>
      </c>
      <c r="AK62" s="96"/>
      <c r="AL62" s="92"/>
      <c r="AM62" s="91"/>
      <c r="AN62" s="91"/>
      <c r="AO62" s="96"/>
      <c r="AP62" s="105"/>
      <c r="AQ62" s="105"/>
      <c r="AR62" s="105"/>
      <c r="AS62" s="105"/>
    </row>
    <row r="63" spans="1:45" ht="12" customHeight="1" x14ac:dyDescent="0.25">
      <c r="A63" s="90">
        <v>62</v>
      </c>
      <c r="B63" s="91"/>
      <c r="C63" s="91" t="s">
        <v>434</v>
      </c>
      <c r="D63" s="92" t="s">
        <v>3001</v>
      </c>
      <c r="E63" s="91" t="s">
        <v>115</v>
      </c>
      <c r="F63" s="91" t="s">
        <v>0</v>
      </c>
      <c r="G63" s="56" t="s">
        <v>2195</v>
      </c>
      <c r="H63" s="91">
        <v>1200</v>
      </c>
      <c r="I63" s="91" t="s">
        <v>89</v>
      </c>
      <c r="J63" s="91" t="s">
        <v>8</v>
      </c>
      <c r="K63" s="92" t="s">
        <v>46</v>
      </c>
      <c r="L63" s="93" t="str">
        <f>VLOOKUP(G63,'SKU 对应关系'!A:E,4,0)</f>
        <v>ANZ-B</v>
      </c>
      <c r="M63" s="94" t="str">
        <f>_xlfn.IFNA(VLOOKUP(G63,'SKU 对应关系'!A:B,2,0),"")</f>
        <v>ANZ-B 便携式扩香仪 黑色</v>
      </c>
      <c r="N63" s="95" t="str">
        <f>_xlfn.IFNA(VLOOKUP(G63,'SKU 对应关系'!$A:$D,3,0),"")</f>
        <v>ANZ</v>
      </c>
      <c r="O63" s="96">
        <v>30</v>
      </c>
      <c r="P63" s="455">
        <v>399.66101694915255</v>
      </c>
      <c r="Q63" s="96" t="s">
        <v>16</v>
      </c>
      <c r="R63" s="91">
        <v>3.4</v>
      </c>
      <c r="S63" s="95"/>
      <c r="T63" s="98">
        <v>40.816326530612244</v>
      </c>
      <c r="U63" s="99">
        <f t="shared" si="6"/>
        <v>1399.663784157731</v>
      </c>
      <c r="V63" s="100">
        <f t="shared" si="1"/>
        <v>1.1663864867981091</v>
      </c>
      <c r="W63" s="101">
        <f t="shared" si="4"/>
        <v>0.17408753534300134</v>
      </c>
      <c r="X63" s="95"/>
      <c r="Y63" s="95"/>
      <c r="Z63" s="102"/>
      <c r="AA63" s="103">
        <v>46045</v>
      </c>
      <c r="AB63" s="103">
        <v>46067</v>
      </c>
      <c r="AC63" s="103"/>
      <c r="AD63" s="104">
        <f>IF(ISNA(VLOOKUP(D63,亚马逊入库配置费!B:F,5,0)),0,VLOOKUP(D63,亚马逊入库配置费!B:F,5,0))</f>
        <v>0.35943907156673116</v>
      </c>
      <c r="AE63" s="104">
        <f t="shared" si="2"/>
        <v>431.32688588007738</v>
      </c>
      <c r="AF63" s="103">
        <v>46077</v>
      </c>
      <c r="AG63" s="90">
        <f t="shared" si="3"/>
        <v>32</v>
      </c>
      <c r="AH63" s="103">
        <v>46107</v>
      </c>
      <c r="AI63" s="96">
        <v>1198</v>
      </c>
      <c r="AJ63" s="427">
        <f t="shared" si="5"/>
        <v>30</v>
      </c>
      <c r="AK63" s="96"/>
      <c r="AL63" s="92"/>
      <c r="AM63" s="91"/>
      <c r="AN63" s="91"/>
      <c r="AO63" s="96"/>
      <c r="AP63" s="105"/>
      <c r="AQ63" s="105"/>
      <c r="AR63" s="105"/>
      <c r="AS63" s="105"/>
    </row>
    <row r="64" spans="1:45" ht="12" customHeight="1" x14ac:dyDescent="0.25">
      <c r="A64" s="90">
        <v>63</v>
      </c>
      <c r="B64" s="91"/>
      <c r="C64" s="91" t="s">
        <v>434</v>
      </c>
      <c r="D64" s="92" t="s">
        <v>3001</v>
      </c>
      <c r="E64" s="91" t="s">
        <v>115</v>
      </c>
      <c r="F64" s="91" t="s">
        <v>0</v>
      </c>
      <c r="G64" s="56" t="s">
        <v>2197</v>
      </c>
      <c r="H64" s="91">
        <v>440</v>
      </c>
      <c r="I64" s="91" t="s">
        <v>89</v>
      </c>
      <c r="J64" s="91" t="s">
        <v>8</v>
      </c>
      <c r="K64" s="92" t="s">
        <v>46</v>
      </c>
      <c r="L64" s="93" t="str">
        <f>VLOOKUP(G64,'SKU 对应关系'!A:E,4,0)</f>
        <v>ANZ-WH</v>
      </c>
      <c r="M64" s="94" t="str">
        <f>_xlfn.IFNA(VLOOKUP(G64,'SKU 对应关系'!A:B,2,0),"")</f>
        <v>ANZ-WH 便携式扩香仪 白色</v>
      </c>
      <c r="N64" s="95" t="str">
        <f>_xlfn.IFNA(VLOOKUP(G64,'SKU 对应关系'!$A:$D,3,0),"")</f>
        <v>ANZ</v>
      </c>
      <c r="O64" s="96">
        <v>11</v>
      </c>
      <c r="P64" s="455">
        <v>146.54237288135593</v>
      </c>
      <c r="Q64" s="96" t="s">
        <v>16</v>
      </c>
      <c r="R64" s="91">
        <v>3.4</v>
      </c>
      <c r="S64" s="95"/>
      <c r="T64" s="98">
        <v>14.965986394557824</v>
      </c>
      <c r="U64" s="99">
        <f t="shared" si="6"/>
        <v>513.21005419116796</v>
      </c>
      <c r="V64" s="100">
        <f t="shared" si="1"/>
        <v>1.1663864867981091</v>
      </c>
      <c r="W64" s="101">
        <f t="shared" si="4"/>
        <v>0.17408753534300134</v>
      </c>
      <c r="X64" s="95"/>
      <c r="Y64" s="95"/>
      <c r="Z64" s="102"/>
      <c r="AA64" s="103">
        <v>46045</v>
      </c>
      <c r="AB64" s="103">
        <v>46067</v>
      </c>
      <c r="AC64" s="103"/>
      <c r="AD64" s="104">
        <f>IF(ISNA(VLOOKUP(D64,亚马逊入库配置费!B:F,5,0)),0,VLOOKUP(D64,亚马逊入库配置费!B:F,5,0))</f>
        <v>0.35943907156673116</v>
      </c>
      <c r="AE64" s="104">
        <f t="shared" si="2"/>
        <v>158.15319148936172</v>
      </c>
      <c r="AF64" s="103">
        <v>46077</v>
      </c>
      <c r="AG64" s="90">
        <f t="shared" si="3"/>
        <v>32</v>
      </c>
      <c r="AH64" s="103">
        <v>46107</v>
      </c>
      <c r="AI64" s="96">
        <v>437</v>
      </c>
      <c r="AJ64" s="427">
        <f t="shared" si="5"/>
        <v>30</v>
      </c>
      <c r="AK64" s="96"/>
      <c r="AL64" s="92"/>
      <c r="AM64" s="91"/>
      <c r="AN64" s="91"/>
      <c r="AO64" s="96"/>
      <c r="AP64" s="105"/>
      <c r="AQ64" s="105"/>
      <c r="AR64" s="105"/>
      <c r="AS64" s="105"/>
    </row>
    <row r="65" spans="1:45" s="435" customFormat="1" ht="12" customHeight="1" x14ac:dyDescent="0.25">
      <c r="A65" s="421">
        <v>64</v>
      </c>
      <c r="B65" s="422"/>
      <c r="C65" s="422" t="s">
        <v>401</v>
      </c>
      <c r="D65" s="423" t="s">
        <v>3002</v>
      </c>
      <c r="E65" s="422" t="s">
        <v>115</v>
      </c>
      <c r="F65" s="422" t="s">
        <v>0</v>
      </c>
      <c r="G65" s="424" t="s">
        <v>2885</v>
      </c>
      <c r="H65" s="422">
        <v>600</v>
      </c>
      <c r="I65" s="422" t="s">
        <v>207</v>
      </c>
      <c r="J65" s="422" t="s">
        <v>8</v>
      </c>
      <c r="K65" s="423" t="s">
        <v>50</v>
      </c>
      <c r="L65" s="425" t="str">
        <f>VLOOKUP(G65,'SKU 对应关系'!A:E,4,0)</f>
        <v>ANZKIT-B_4X10K04_TZ</v>
      </c>
      <c r="M65" s="426" t="str">
        <f>_xlfn.IFNA(VLOOKUP(G65,'SKU 对应关系'!A:B,2,0),"")</f>
        <v>ANZKIT-B_4X10K04_TZ ANZ黑色机器+4x10mL酒店（天竺）香氛油 机油套装</v>
      </c>
      <c r="N65" s="422" t="str">
        <f>_xlfn.IFNA(VLOOKUP(G65,'SKU 对应关系'!$A:$D,3,0),"")</f>
        <v>ANZ</v>
      </c>
      <c r="O65" s="427">
        <v>20</v>
      </c>
      <c r="P65" s="455">
        <v>319.62</v>
      </c>
      <c r="Q65" s="427" t="s">
        <v>16</v>
      </c>
      <c r="R65" s="422">
        <v>3.9</v>
      </c>
      <c r="S65" s="422">
        <f>200+50</f>
        <v>250</v>
      </c>
      <c r="T65" s="428">
        <v>45.871559633027523</v>
      </c>
      <c r="U65" s="429">
        <f t="shared" si="6"/>
        <v>1292.3895596330276</v>
      </c>
      <c r="V65" s="430">
        <f t="shared" si="1"/>
        <v>2.1539825993883794</v>
      </c>
      <c r="W65" s="431">
        <f t="shared" si="4"/>
        <v>0.32148994020722083</v>
      </c>
      <c r="X65" s="422"/>
      <c r="Y65" s="422"/>
      <c r="Z65" s="428"/>
      <c r="AA65" s="432">
        <v>46045</v>
      </c>
      <c r="AB65" s="432">
        <v>46089</v>
      </c>
      <c r="AC65" s="432"/>
      <c r="AD65" s="433">
        <f>IF(ISNA(VLOOKUP(D65,亚马逊入库配置费!B:F,5,0)),0,VLOOKUP(D65,亚马逊入库配置费!B:F,5,0))</f>
        <v>0.41</v>
      </c>
      <c r="AE65" s="433">
        <f t="shared" si="2"/>
        <v>245.99999999999997</v>
      </c>
      <c r="AF65" s="432">
        <v>46101</v>
      </c>
      <c r="AG65" s="421">
        <f t="shared" si="3"/>
        <v>56</v>
      </c>
      <c r="AH65" s="432">
        <v>46135</v>
      </c>
      <c r="AI65" s="427"/>
      <c r="AJ65" s="427">
        <f t="shared" si="5"/>
        <v>34</v>
      </c>
      <c r="AK65" s="427"/>
      <c r="AL65" s="423"/>
      <c r="AM65" s="422"/>
      <c r="AN65" s="422"/>
      <c r="AO65" s="427"/>
      <c r="AP65" s="434"/>
      <c r="AQ65" s="434"/>
      <c r="AR65" s="434"/>
      <c r="AS65" s="434"/>
    </row>
    <row r="66" spans="1:45" s="435" customFormat="1" ht="12" customHeight="1" x14ac:dyDescent="0.25">
      <c r="A66" s="421">
        <v>65</v>
      </c>
      <c r="B66" s="422"/>
      <c r="C66" s="422" t="s">
        <v>401</v>
      </c>
      <c r="D66" s="423" t="s">
        <v>3003</v>
      </c>
      <c r="E66" s="422" t="s">
        <v>97</v>
      </c>
      <c r="F66" s="422" t="s">
        <v>0</v>
      </c>
      <c r="G66" s="424" t="s">
        <v>2888</v>
      </c>
      <c r="H66" s="422">
        <v>600</v>
      </c>
      <c r="I66" s="422" t="s">
        <v>207</v>
      </c>
      <c r="J66" s="422" t="s">
        <v>8</v>
      </c>
      <c r="K66" s="423" t="s">
        <v>50</v>
      </c>
      <c r="L66" s="425" t="str">
        <f>VLOOKUP(G66,'SKU 对应关系'!A:E,4,0)</f>
        <v>ADXKIT-B_4X10K04_TZ</v>
      </c>
      <c r="M66" s="426" t="str">
        <f>_xlfn.IFNA(VLOOKUP(G66,'SKU 对应关系'!A:B,2,0),"")</f>
        <v>ADXKIT-B_4X10K04_TZ ADX黑色机器+4x10mL酒店（天竺）香氛油 机油套装</v>
      </c>
      <c r="N66" s="422" t="str">
        <f>_xlfn.IFNA(VLOOKUP(G66,'SKU 对应关系'!$A:$D,3,0),"")</f>
        <v>ADX</v>
      </c>
      <c r="O66" s="427">
        <v>20</v>
      </c>
      <c r="P66" s="455">
        <v>319.61971830985919</v>
      </c>
      <c r="Q66" s="427" t="s">
        <v>16</v>
      </c>
      <c r="R66" s="422">
        <v>3.9</v>
      </c>
      <c r="S66" s="436">
        <f>SUMIF(C:C,C65,T:T)</f>
        <v>250</v>
      </c>
      <c r="T66" s="428">
        <v>45.871559633027523</v>
      </c>
      <c r="U66" s="429">
        <f t="shared" si="6"/>
        <v>1292.3884610414784</v>
      </c>
      <c r="V66" s="430">
        <f t="shared" ref="V66:V129" si="7">U66/H66</f>
        <v>2.1539807684024641</v>
      </c>
      <c r="W66" s="431">
        <f t="shared" si="4"/>
        <v>0.32148966692574088</v>
      </c>
      <c r="X66" s="422"/>
      <c r="Y66" s="422"/>
      <c r="Z66" s="428"/>
      <c r="AA66" s="432">
        <v>46045</v>
      </c>
      <c r="AB66" s="432">
        <v>46089</v>
      </c>
      <c r="AC66" s="432"/>
      <c r="AD66" s="433">
        <f>IF(ISNA(VLOOKUP(D66,亚马逊入库配置费!B:F,5,0)),0,VLOOKUP(D66,亚马逊入库配置费!B:F,5,0))</f>
        <v>0.44</v>
      </c>
      <c r="AE66" s="433">
        <f t="shared" ref="AE66:AE129" si="8">AD66*H66</f>
        <v>264</v>
      </c>
      <c r="AF66" s="432">
        <v>46101</v>
      </c>
      <c r="AG66" s="421">
        <f t="shared" ref="AG66:AG129" si="9">AF66-AA66</f>
        <v>56</v>
      </c>
      <c r="AH66" s="432">
        <v>46135</v>
      </c>
      <c r="AI66" s="427"/>
      <c r="AJ66" s="427">
        <f t="shared" si="5"/>
        <v>34</v>
      </c>
      <c r="AK66" s="427"/>
      <c r="AL66" s="423"/>
      <c r="AM66" s="422"/>
      <c r="AN66" s="422"/>
      <c r="AO66" s="427"/>
      <c r="AP66" s="434"/>
      <c r="AQ66" s="434"/>
      <c r="AR66" s="434"/>
      <c r="AS66" s="434"/>
    </row>
    <row r="67" spans="1:45" s="435" customFormat="1" ht="12" customHeight="1" x14ac:dyDescent="0.25">
      <c r="A67" s="421">
        <v>66</v>
      </c>
      <c r="B67" s="422"/>
      <c r="C67" s="422" t="s">
        <v>401</v>
      </c>
      <c r="D67" s="423" t="s">
        <v>3003</v>
      </c>
      <c r="E67" s="422" t="s">
        <v>97</v>
      </c>
      <c r="F67" s="422" t="s">
        <v>0</v>
      </c>
      <c r="G67" s="424" t="s">
        <v>2887</v>
      </c>
      <c r="H67" s="422">
        <v>180</v>
      </c>
      <c r="I67" s="422" t="s">
        <v>207</v>
      </c>
      <c r="J67" s="422" t="s">
        <v>8</v>
      </c>
      <c r="K67" s="423" t="s">
        <v>50</v>
      </c>
      <c r="L67" s="425" t="str">
        <f>VLOOKUP(G67,'SKU 对应关系'!A:E,4,0)</f>
        <v>ADXKIT-DT_4X10K04_TZ</v>
      </c>
      <c r="M67" s="426" t="str">
        <f>_xlfn.IFNA(VLOOKUP(G67,'SKU 对应关系'!A:B,2,0),"")</f>
        <v>ADXKIT-DT_4X10K04_TZ AD钛色机器+4x10mL酒店（天竺）香氛油 机油套装</v>
      </c>
      <c r="N67" s="422" t="str">
        <f>_xlfn.IFNA(VLOOKUP(G67,'SKU 对应关系'!$A:$D,3,0),"")</f>
        <v>ADX</v>
      </c>
      <c r="O67" s="427">
        <v>6</v>
      </c>
      <c r="P67" s="455">
        <v>95.88591549295775</v>
      </c>
      <c r="Q67" s="427" t="s">
        <v>16</v>
      </c>
      <c r="R67" s="422">
        <v>3.9</v>
      </c>
      <c r="S67" s="422"/>
      <c r="T67" s="428">
        <v>13.761467889908257</v>
      </c>
      <c r="U67" s="429">
        <f t="shared" si="6"/>
        <v>387.7165383124435</v>
      </c>
      <c r="V67" s="430">
        <f t="shared" si="7"/>
        <v>2.1539807684024641</v>
      </c>
      <c r="W67" s="431">
        <f t="shared" ref="W67:W130" si="10">V67/6.7</f>
        <v>0.32148966692574088</v>
      </c>
      <c r="X67" s="422"/>
      <c r="Y67" s="422"/>
      <c r="Z67" s="428"/>
      <c r="AA67" s="432">
        <v>46045</v>
      </c>
      <c r="AB67" s="432">
        <v>46089</v>
      </c>
      <c r="AC67" s="432"/>
      <c r="AD67" s="433">
        <f>IF(ISNA(VLOOKUP(D67,亚马逊入库配置费!B:F,5,0)),0,VLOOKUP(D67,亚马逊入库配置费!B:F,5,0))</f>
        <v>0.44</v>
      </c>
      <c r="AE67" s="433">
        <f t="shared" si="8"/>
        <v>79.2</v>
      </c>
      <c r="AF67" s="432">
        <v>46101</v>
      </c>
      <c r="AG67" s="421">
        <f t="shared" si="9"/>
        <v>56</v>
      </c>
      <c r="AH67" s="432">
        <v>46135</v>
      </c>
      <c r="AI67" s="427"/>
      <c r="AJ67" s="427">
        <f t="shared" ref="AJ67:AJ130" si="11">AH67-AF67</f>
        <v>34</v>
      </c>
      <c r="AK67" s="427"/>
      <c r="AL67" s="423"/>
      <c r="AM67" s="422"/>
      <c r="AN67" s="422"/>
      <c r="AO67" s="427"/>
      <c r="AP67" s="434"/>
      <c r="AQ67" s="434"/>
      <c r="AR67" s="434"/>
      <c r="AS67" s="434"/>
    </row>
    <row r="68" spans="1:45" s="435" customFormat="1" ht="12" customHeight="1" x14ac:dyDescent="0.25">
      <c r="A68" s="421">
        <v>67</v>
      </c>
      <c r="B68" s="422"/>
      <c r="C68" s="422" t="s">
        <v>401</v>
      </c>
      <c r="D68" s="423" t="s">
        <v>3003</v>
      </c>
      <c r="E68" s="422" t="s">
        <v>97</v>
      </c>
      <c r="F68" s="422" t="s">
        <v>0</v>
      </c>
      <c r="G68" s="424" t="s">
        <v>2886</v>
      </c>
      <c r="H68" s="422">
        <v>150</v>
      </c>
      <c r="I68" s="422" t="s">
        <v>207</v>
      </c>
      <c r="J68" s="422" t="s">
        <v>8</v>
      </c>
      <c r="K68" s="423" t="s">
        <v>50</v>
      </c>
      <c r="L68" s="425" t="str">
        <f>VLOOKUP(G68,'SKU 对应关系'!A:E,4,0)</f>
        <v>AN6KIT-WH_SJ30ML_TZ</v>
      </c>
      <c r="M68" s="426" t="str">
        <f>_xlfn.IFNA(VLOOKUP(G68,'SKU 对应关系'!A:B,2,0),"")</f>
        <v>AN6KIT-WH_SJ30ML_TZ AN6白色机器+30mL四季酒店香氛油（天竺） 机油套装</v>
      </c>
      <c r="N68" s="422" t="str">
        <f>_xlfn.IFNA(VLOOKUP(G68,'SKU 对应关系'!$A:$D,3,0),"")</f>
        <v>AN6</v>
      </c>
      <c r="O68" s="427">
        <v>5</v>
      </c>
      <c r="P68" s="455">
        <v>79.904929577464799</v>
      </c>
      <c r="Q68" s="427" t="s">
        <v>16</v>
      </c>
      <c r="R68" s="422">
        <v>3.9</v>
      </c>
      <c r="S68" s="422"/>
      <c r="T68" s="428">
        <v>11.467889908256881</v>
      </c>
      <c r="U68" s="429">
        <f t="shared" si="6"/>
        <v>323.09711526036961</v>
      </c>
      <c r="V68" s="430">
        <f t="shared" si="7"/>
        <v>2.1539807684024641</v>
      </c>
      <c r="W68" s="431">
        <f t="shared" si="10"/>
        <v>0.32148966692574088</v>
      </c>
      <c r="X68" s="422"/>
      <c r="Y68" s="422"/>
      <c r="Z68" s="428"/>
      <c r="AA68" s="432">
        <v>46045</v>
      </c>
      <c r="AB68" s="432">
        <v>46089</v>
      </c>
      <c r="AC68" s="432"/>
      <c r="AD68" s="433">
        <f>IF(ISNA(VLOOKUP(D68,亚马逊入库配置费!B:F,5,0)),0,VLOOKUP(D68,亚马逊入库配置费!B:F,5,0))</f>
        <v>0.44</v>
      </c>
      <c r="AE68" s="433">
        <f t="shared" si="8"/>
        <v>66</v>
      </c>
      <c r="AF68" s="432">
        <v>46101</v>
      </c>
      <c r="AG68" s="421">
        <f t="shared" si="9"/>
        <v>56</v>
      </c>
      <c r="AH68" s="432">
        <v>46135</v>
      </c>
      <c r="AI68" s="427"/>
      <c r="AJ68" s="427">
        <f t="shared" si="11"/>
        <v>34</v>
      </c>
      <c r="AK68" s="427"/>
      <c r="AL68" s="423"/>
      <c r="AM68" s="422"/>
      <c r="AN68" s="422"/>
      <c r="AO68" s="427"/>
      <c r="AP68" s="434"/>
      <c r="AQ68" s="434"/>
      <c r="AR68" s="434"/>
      <c r="AS68" s="434"/>
    </row>
    <row r="69" spans="1:45" s="435" customFormat="1" ht="12" customHeight="1" x14ac:dyDescent="0.25">
      <c r="A69" s="421">
        <v>68</v>
      </c>
      <c r="B69" s="422"/>
      <c r="C69" s="422" t="s">
        <v>401</v>
      </c>
      <c r="D69" s="423" t="s">
        <v>3003</v>
      </c>
      <c r="E69" s="422" t="s">
        <v>97</v>
      </c>
      <c r="F69" s="422" t="s">
        <v>0</v>
      </c>
      <c r="G69" s="424" t="s">
        <v>2593</v>
      </c>
      <c r="H69" s="422">
        <v>600</v>
      </c>
      <c r="I69" s="422" t="s">
        <v>207</v>
      </c>
      <c r="J69" s="422" t="s">
        <v>8</v>
      </c>
      <c r="K69" s="423" t="s">
        <v>50</v>
      </c>
      <c r="L69" s="425" t="str">
        <f>VLOOKUP(G69,'SKU 对应关系'!A:E,4,0)</f>
        <v>AN8KIT-B_2X20K03</v>
      </c>
      <c r="M69" s="426" t="str">
        <f>_xlfn.IFNA(VLOOKUP(G69,'SKU 对应关系'!A:B,2,0),"")</f>
        <v>AN8KIT-B_2X20K03 AN8黑色机器+2X20mL（天竺）酒店香氛油 机油套装</v>
      </c>
      <c r="N69" s="422" t="str">
        <f>_xlfn.IFNA(VLOOKUP(G69,'SKU 对应关系'!$A:$D,3,0),"")</f>
        <v>AN8</v>
      </c>
      <c r="O69" s="427">
        <v>20</v>
      </c>
      <c r="P69" s="455">
        <v>319.61971830985919</v>
      </c>
      <c r="Q69" s="427" t="s">
        <v>16</v>
      </c>
      <c r="R69" s="422">
        <v>3.9</v>
      </c>
      <c r="S69" s="422"/>
      <c r="T69" s="428">
        <v>45.871559633027523</v>
      </c>
      <c r="U69" s="429">
        <f t="shared" si="6"/>
        <v>1292.3884610414784</v>
      </c>
      <c r="V69" s="430">
        <f t="shared" si="7"/>
        <v>2.1539807684024641</v>
      </c>
      <c r="W69" s="431">
        <f t="shared" si="10"/>
        <v>0.32148966692574088</v>
      </c>
      <c r="X69" s="422"/>
      <c r="Y69" s="422"/>
      <c r="Z69" s="428"/>
      <c r="AA69" s="432">
        <v>46045</v>
      </c>
      <c r="AB69" s="432">
        <v>46089</v>
      </c>
      <c r="AC69" s="432"/>
      <c r="AD69" s="433">
        <f>IF(ISNA(VLOOKUP(D69,亚马逊入库配置费!B:F,5,0)),0,VLOOKUP(D69,亚马逊入库配置费!B:F,5,0))</f>
        <v>0.44</v>
      </c>
      <c r="AE69" s="433">
        <f t="shared" si="8"/>
        <v>264</v>
      </c>
      <c r="AF69" s="432">
        <v>46101</v>
      </c>
      <c r="AG69" s="421">
        <f t="shared" si="9"/>
        <v>56</v>
      </c>
      <c r="AH69" s="432">
        <v>46135</v>
      </c>
      <c r="AI69" s="427"/>
      <c r="AJ69" s="427">
        <f t="shared" si="11"/>
        <v>34</v>
      </c>
      <c r="AK69" s="427"/>
      <c r="AL69" s="423"/>
      <c r="AM69" s="422"/>
      <c r="AN69" s="422"/>
      <c r="AO69" s="427"/>
      <c r="AP69" s="434"/>
      <c r="AQ69" s="434"/>
      <c r="AR69" s="434"/>
      <c r="AS69" s="434"/>
    </row>
    <row r="70" spans="1:45" s="435" customFormat="1" ht="12" customHeight="1" x14ac:dyDescent="0.25">
      <c r="A70" s="421">
        <v>69</v>
      </c>
      <c r="B70" s="422"/>
      <c r="C70" s="422" t="s">
        <v>401</v>
      </c>
      <c r="D70" s="423" t="s">
        <v>3003</v>
      </c>
      <c r="E70" s="422" t="s">
        <v>97</v>
      </c>
      <c r="F70" s="422" t="s">
        <v>0</v>
      </c>
      <c r="G70" s="424" t="s">
        <v>1215</v>
      </c>
      <c r="H70" s="422">
        <v>300</v>
      </c>
      <c r="I70" s="422" t="s">
        <v>207</v>
      </c>
      <c r="J70" s="422" t="s">
        <v>8</v>
      </c>
      <c r="K70" s="423" t="s">
        <v>50</v>
      </c>
      <c r="L70" s="425" t="str">
        <f>VLOOKUP(G70,'SKU 对应关系'!A:E,4,0)</f>
        <v>AN8KIT-B_4X10K01</v>
      </c>
      <c r="M70" s="426" t="str">
        <f>_xlfn.IFNA(VLOOKUP(G70,'SKU 对应关系'!A:B,2,0),"")</f>
        <v>AN8KIT-B_4X10K01 AN8黑色机器+4x10mL酒店香氛油 机油套装</v>
      </c>
      <c r="N70" s="422" t="str">
        <f>_xlfn.IFNA(VLOOKUP(G70,'SKU 对应关系'!$A:$D,3,0),"")</f>
        <v>AN8</v>
      </c>
      <c r="O70" s="427">
        <v>10</v>
      </c>
      <c r="P70" s="455">
        <v>159.8098591549296</v>
      </c>
      <c r="Q70" s="427" t="s">
        <v>16</v>
      </c>
      <c r="R70" s="422">
        <v>3.9</v>
      </c>
      <c r="S70" s="422"/>
      <c r="T70" s="428">
        <v>22.935779816513762</v>
      </c>
      <c r="U70" s="429">
        <f t="shared" si="6"/>
        <v>646.19423052073921</v>
      </c>
      <c r="V70" s="430">
        <f t="shared" si="7"/>
        <v>2.1539807684024641</v>
      </c>
      <c r="W70" s="431">
        <f t="shared" si="10"/>
        <v>0.32148966692574088</v>
      </c>
      <c r="X70" s="422"/>
      <c r="Y70" s="422"/>
      <c r="Z70" s="428"/>
      <c r="AA70" s="432">
        <v>46045</v>
      </c>
      <c r="AB70" s="432">
        <v>46089</v>
      </c>
      <c r="AC70" s="432"/>
      <c r="AD70" s="433">
        <f>IF(ISNA(VLOOKUP(D70,亚马逊入库配置费!B:F,5,0)),0,VLOOKUP(D70,亚马逊入库配置费!B:F,5,0))</f>
        <v>0.44</v>
      </c>
      <c r="AE70" s="433">
        <f t="shared" si="8"/>
        <v>132</v>
      </c>
      <c r="AF70" s="432">
        <v>46101</v>
      </c>
      <c r="AG70" s="421">
        <f t="shared" si="9"/>
        <v>56</v>
      </c>
      <c r="AH70" s="432">
        <v>46135</v>
      </c>
      <c r="AI70" s="427"/>
      <c r="AJ70" s="427">
        <f t="shared" si="11"/>
        <v>34</v>
      </c>
      <c r="AK70" s="427"/>
      <c r="AL70" s="423"/>
      <c r="AM70" s="422"/>
      <c r="AN70" s="422"/>
      <c r="AO70" s="427"/>
      <c r="AP70" s="434"/>
      <c r="AQ70" s="434"/>
      <c r="AR70" s="434"/>
      <c r="AS70" s="434"/>
    </row>
    <row r="71" spans="1:45" s="435" customFormat="1" ht="12" customHeight="1" x14ac:dyDescent="0.25">
      <c r="A71" s="421">
        <v>70</v>
      </c>
      <c r="B71" s="422"/>
      <c r="C71" s="422" t="s">
        <v>401</v>
      </c>
      <c r="D71" s="423" t="s">
        <v>3003</v>
      </c>
      <c r="E71" s="422" t="s">
        <v>97</v>
      </c>
      <c r="F71" s="422" t="s">
        <v>0</v>
      </c>
      <c r="G71" s="424" t="s">
        <v>1851</v>
      </c>
      <c r="H71" s="422">
        <v>300</v>
      </c>
      <c r="I71" s="422" t="s">
        <v>207</v>
      </c>
      <c r="J71" s="422" t="s">
        <v>8</v>
      </c>
      <c r="K71" s="423" t="s">
        <v>50</v>
      </c>
      <c r="L71" s="425" t="str">
        <f>VLOOKUP(G71,'SKU 对应关系'!A:E,4,0)</f>
        <v>AN8KIT-B_4X10K02</v>
      </c>
      <c r="M71" s="426" t="str">
        <f>_xlfn.IFNA(VLOOKUP(G71,'SKU 对应关系'!A:B,2,0),"")</f>
        <v>AN8KIT-B_4X10K02 AN8黑色机器+4x10mL（天竺）香氛油 机油套装</v>
      </c>
      <c r="N71" s="422" t="str">
        <f>_xlfn.IFNA(VLOOKUP(G71,'SKU 对应关系'!$A:$D,3,0),"")</f>
        <v>AN8</v>
      </c>
      <c r="O71" s="427">
        <v>10</v>
      </c>
      <c r="P71" s="455">
        <v>159.8098591549296</v>
      </c>
      <c r="Q71" s="427" t="s">
        <v>16</v>
      </c>
      <c r="R71" s="422">
        <v>3.9</v>
      </c>
      <c r="S71" s="422"/>
      <c r="T71" s="428">
        <v>22.935779816513762</v>
      </c>
      <c r="U71" s="429">
        <f t="shared" si="6"/>
        <v>646.19423052073921</v>
      </c>
      <c r="V71" s="430">
        <f t="shared" si="7"/>
        <v>2.1539807684024641</v>
      </c>
      <c r="W71" s="431">
        <f t="shared" si="10"/>
        <v>0.32148966692574088</v>
      </c>
      <c r="X71" s="422"/>
      <c r="Y71" s="422"/>
      <c r="Z71" s="428"/>
      <c r="AA71" s="432">
        <v>46045</v>
      </c>
      <c r="AB71" s="432">
        <v>46089</v>
      </c>
      <c r="AC71" s="432"/>
      <c r="AD71" s="433">
        <f>IF(ISNA(VLOOKUP(D71,亚马逊入库配置费!B:F,5,0)),0,VLOOKUP(D71,亚马逊入库配置费!B:F,5,0))</f>
        <v>0.44</v>
      </c>
      <c r="AE71" s="433">
        <f t="shared" si="8"/>
        <v>132</v>
      </c>
      <c r="AF71" s="432">
        <v>46101</v>
      </c>
      <c r="AG71" s="421">
        <f t="shared" si="9"/>
        <v>56</v>
      </c>
      <c r="AH71" s="432">
        <v>46135</v>
      </c>
      <c r="AI71" s="427"/>
      <c r="AJ71" s="427">
        <f t="shared" si="11"/>
        <v>34</v>
      </c>
      <c r="AK71" s="427"/>
      <c r="AL71" s="423"/>
      <c r="AM71" s="422"/>
      <c r="AN71" s="422"/>
      <c r="AO71" s="427"/>
      <c r="AP71" s="434"/>
      <c r="AQ71" s="434"/>
      <c r="AR71" s="434"/>
      <c r="AS71" s="434"/>
    </row>
    <row r="72" spans="1:45" s="435" customFormat="1" ht="12" customHeight="1" x14ac:dyDescent="0.25">
      <c r="A72" s="421">
        <v>71</v>
      </c>
      <c r="B72" s="422"/>
      <c r="C72" s="422" t="s">
        <v>401</v>
      </c>
      <c r="D72" s="423" t="s">
        <v>3004</v>
      </c>
      <c r="E72" s="422" t="s">
        <v>97</v>
      </c>
      <c r="F72" s="422" t="s">
        <v>0</v>
      </c>
      <c r="G72" s="424" t="s">
        <v>350</v>
      </c>
      <c r="H72" s="422">
        <v>400</v>
      </c>
      <c r="I72" s="422" t="s">
        <v>207</v>
      </c>
      <c r="J72" s="422" t="s">
        <v>8</v>
      </c>
      <c r="K72" s="423" t="s">
        <v>50</v>
      </c>
      <c r="L72" s="425" t="str">
        <f>VLOOKUP(G72,'SKU 对应关系'!A:E,4,0)</f>
        <v>AN6-GL</v>
      </c>
      <c r="M72" s="426" t="str">
        <f>_xlfn.IFNA(VLOOKUP(G72,'SKU 对应关系'!A:B,2,0),"")</f>
        <v>AN6-GL 便携式扩香仪 翠百合色</v>
      </c>
      <c r="N72" s="422" t="str">
        <f>_xlfn.IFNA(VLOOKUP(G72,'SKU 对应关系'!$A:$D,3,0),"")</f>
        <v>AN6</v>
      </c>
      <c r="O72" s="427">
        <v>10</v>
      </c>
      <c r="P72" s="455">
        <v>159.80714285714285</v>
      </c>
      <c r="Q72" s="427" t="s">
        <v>16</v>
      </c>
      <c r="R72" s="422">
        <v>3.9</v>
      </c>
      <c r="S72" s="422"/>
      <c r="T72" s="428">
        <v>22.935779816513762</v>
      </c>
      <c r="U72" s="429">
        <f t="shared" si="6"/>
        <v>646.18363695937092</v>
      </c>
      <c r="V72" s="430">
        <f t="shared" si="7"/>
        <v>1.6154590923984273</v>
      </c>
      <c r="W72" s="431">
        <f t="shared" si="10"/>
        <v>0.2411132973728996</v>
      </c>
      <c r="X72" s="422"/>
      <c r="Y72" s="422"/>
      <c r="Z72" s="428"/>
      <c r="AA72" s="432">
        <v>46045</v>
      </c>
      <c r="AB72" s="432">
        <v>46089</v>
      </c>
      <c r="AC72" s="432"/>
      <c r="AD72" s="433">
        <f>IF(ISNA(VLOOKUP(D72,亚马逊入库配置费!B:F,5,0)),0,VLOOKUP(D72,亚马逊入库配置费!B:F,5,0))</f>
        <v>0.37846153846153846</v>
      </c>
      <c r="AE72" s="433">
        <f t="shared" si="8"/>
        <v>151.38461538461539</v>
      </c>
      <c r="AF72" s="432">
        <v>46101</v>
      </c>
      <c r="AG72" s="421">
        <f t="shared" si="9"/>
        <v>56</v>
      </c>
      <c r="AH72" s="432">
        <v>46135</v>
      </c>
      <c r="AI72" s="427"/>
      <c r="AJ72" s="427">
        <f t="shared" si="11"/>
        <v>34</v>
      </c>
      <c r="AK72" s="427"/>
      <c r="AL72" s="423"/>
      <c r="AM72" s="422"/>
      <c r="AN72" s="422"/>
      <c r="AO72" s="427"/>
      <c r="AP72" s="434"/>
      <c r="AQ72" s="434"/>
      <c r="AR72" s="434"/>
      <c r="AS72" s="434"/>
    </row>
    <row r="73" spans="1:45" s="435" customFormat="1" ht="12" customHeight="1" x14ac:dyDescent="0.25">
      <c r="A73" s="421">
        <v>72</v>
      </c>
      <c r="B73" s="422"/>
      <c r="C73" s="422" t="s">
        <v>401</v>
      </c>
      <c r="D73" s="423" t="s">
        <v>3004</v>
      </c>
      <c r="E73" s="422" t="s">
        <v>97</v>
      </c>
      <c r="F73" s="422" t="s">
        <v>0</v>
      </c>
      <c r="G73" s="424" t="s">
        <v>965</v>
      </c>
      <c r="H73" s="422">
        <v>60</v>
      </c>
      <c r="I73" s="422" t="s">
        <v>207</v>
      </c>
      <c r="J73" s="422" t="s">
        <v>8</v>
      </c>
      <c r="K73" s="423" t="s">
        <v>50</v>
      </c>
      <c r="L73" s="425" t="str">
        <f>VLOOKUP(G73,'SKU 对应关系'!A:E,4,0)</f>
        <v>AND-LV</v>
      </c>
      <c r="M73" s="426" t="str">
        <f>_xlfn.IFNA(VLOOKUP(G73,'SKU 对应关系'!A:B,2,0),"")</f>
        <v>AND-LV 便携式双喷扩香仪 薰衣草色</v>
      </c>
      <c r="N73" s="422" t="str">
        <f>_xlfn.IFNA(VLOOKUP(G73,'SKU 对应关系'!$A:$D,3,0),"")</f>
        <v>AND</v>
      </c>
      <c r="O73" s="427">
        <v>2</v>
      </c>
      <c r="P73" s="455">
        <v>31.96142857142857</v>
      </c>
      <c r="Q73" s="427" t="s">
        <v>16</v>
      </c>
      <c r="R73" s="422">
        <v>3.9</v>
      </c>
      <c r="S73" s="422"/>
      <c r="T73" s="428">
        <v>4.5871559633027523</v>
      </c>
      <c r="U73" s="429">
        <f t="shared" si="6"/>
        <v>129.23672739187418</v>
      </c>
      <c r="V73" s="430">
        <f t="shared" si="7"/>
        <v>2.1539454565312366</v>
      </c>
      <c r="W73" s="431">
        <f t="shared" si="10"/>
        <v>0.32148439649719951</v>
      </c>
      <c r="X73" s="422"/>
      <c r="Y73" s="422"/>
      <c r="Z73" s="428"/>
      <c r="AA73" s="432">
        <v>46045</v>
      </c>
      <c r="AB73" s="432">
        <v>46089</v>
      </c>
      <c r="AC73" s="432"/>
      <c r="AD73" s="433">
        <f>IF(ISNA(VLOOKUP(D73,亚马逊入库配置费!B:F,5,0)),0,VLOOKUP(D73,亚马逊入库配置费!B:F,5,0))</f>
        <v>0.37846153846153846</v>
      </c>
      <c r="AE73" s="433">
        <f t="shared" si="8"/>
        <v>22.707692307692309</v>
      </c>
      <c r="AF73" s="432">
        <v>46101</v>
      </c>
      <c r="AG73" s="421">
        <f t="shared" si="9"/>
        <v>56</v>
      </c>
      <c r="AH73" s="432">
        <v>46135</v>
      </c>
      <c r="AI73" s="427"/>
      <c r="AJ73" s="427">
        <f t="shared" si="11"/>
        <v>34</v>
      </c>
      <c r="AK73" s="427"/>
      <c r="AL73" s="423"/>
      <c r="AM73" s="422"/>
      <c r="AN73" s="422"/>
      <c r="AO73" s="427"/>
      <c r="AP73" s="434"/>
      <c r="AQ73" s="434"/>
      <c r="AR73" s="434"/>
      <c r="AS73" s="434"/>
    </row>
    <row r="74" spans="1:45" s="435" customFormat="1" ht="12" customHeight="1" x14ac:dyDescent="0.25">
      <c r="A74" s="421">
        <v>73</v>
      </c>
      <c r="B74" s="422"/>
      <c r="C74" s="422" t="s">
        <v>401</v>
      </c>
      <c r="D74" s="423" t="s">
        <v>3004</v>
      </c>
      <c r="E74" s="422" t="s">
        <v>97</v>
      </c>
      <c r="F74" s="422" t="s">
        <v>0</v>
      </c>
      <c r="G74" s="424" t="s">
        <v>967</v>
      </c>
      <c r="H74" s="422">
        <v>60</v>
      </c>
      <c r="I74" s="422" t="s">
        <v>207</v>
      </c>
      <c r="J74" s="422" t="s">
        <v>8</v>
      </c>
      <c r="K74" s="423" t="s">
        <v>50</v>
      </c>
      <c r="L74" s="425" t="str">
        <f>VLOOKUP(G74,'SKU 对应关系'!A:E,4,0)</f>
        <v>AND-MT</v>
      </c>
      <c r="M74" s="426" t="str">
        <f>_xlfn.IFNA(VLOOKUP(G74,'SKU 对应关系'!A:B,2,0),"")</f>
        <v>AND-MT 便携式双喷扩香仪 薄荷绿色</v>
      </c>
      <c r="N74" s="422" t="str">
        <f>_xlfn.IFNA(VLOOKUP(G74,'SKU 对应关系'!$A:$D,3,0),"")</f>
        <v>AND</v>
      </c>
      <c r="O74" s="427">
        <v>2</v>
      </c>
      <c r="P74" s="455">
        <v>31.96142857142857</v>
      </c>
      <c r="Q74" s="427" t="s">
        <v>16</v>
      </c>
      <c r="R74" s="422">
        <v>3.9</v>
      </c>
      <c r="S74" s="422"/>
      <c r="T74" s="428">
        <v>4.5871559633027523</v>
      </c>
      <c r="U74" s="429">
        <f t="shared" si="6"/>
        <v>129.23672739187418</v>
      </c>
      <c r="V74" s="430">
        <f t="shared" si="7"/>
        <v>2.1539454565312366</v>
      </c>
      <c r="W74" s="431">
        <f t="shared" si="10"/>
        <v>0.32148439649719951</v>
      </c>
      <c r="X74" s="422"/>
      <c r="Y74" s="422"/>
      <c r="Z74" s="428"/>
      <c r="AA74" s="432">
        <v>46045</v>
      </c>
      <c r="AB74" s="432">
        <v>46089</v>
      </c>
      <c r="AC74" s="432"/>
      <c r="AD74" s="433">
        <f>IF(ISNA(VLOOKUP(D74,亚马逊入库配置费!B:F,5,0)),0,VLOOKUP(D74,亚马逊入库配置费!B:F,5,0))</f>
        <v>0.37846153846153846</v>
      </c>
      <c r="AE74" s="433">
        <f t="shared" si="8"/>
        <v>22.707692307692309</v>
      </c>
      <c r="AF74" s="432">
        <v>46101</v>
      </c>
      <c r="AG74" s="421">
        <f t="shared" si="9"/>
        <v>56</v>
      </c>
      <c r="AH74" s="432">
        <v>46135</v>
      </c>
      <c r="AI74" s="427"/>
      <c r="AJ74" s="427">
        <f t="shared" si="11"/>
        <v>34</v>
      </c>
      <c r="AK74" s="427"/>
      <c r="AL74" s="423"/>
      <c r="AM74" s="422"/>
      <c r="AN74" s="422"/>
      <c r="AO74" s="427"/>
      <c r="AP74" s="434"/>
      <c r="AQ74" s="434"/>
      <c r="AR74" s="434"/>
      <c r="AS74" s="434"/>
    </row>
    <row r="75" spans="1:45" s="435" customFormat="1" ht="12" customHeight="1" x14ac:dyDescent="0.25">
      <c r="A75" s="421">
        <v>74</v>
      </c>
      <c r="B75" s="422"/>
      <c r="C75" s="422" t="s">
        <v>401</v>
      </c>
      <c r="D75" s="423" t="s">
        <v>3005</v>
      </c>
      <c r="E75" s="422" t="s">
        <v>2411</v>
      </c>
      <c r="F75" s="422" t="s">
        <v>0</v>
      </c>
      <c r="G75" s="424" t="s">
        <v>2518</v>
      </c>
      <c r="H75" s="422">
        <v>120</v>
      </c>
      <c r="I75" s="422" t="s">
        <v>207</v>
      </c>
      <c r="J75" s="422" t="s">
        <v>8</v>
      </c>
      <c r="K75" s="423" t="s">
        <v>15</v>
      </c>
      <c r="L75" s="425" t="str">
        <f>VLOOKUP(G75,'SKU 对应关系'!A:E,4,0)</f>
        <v>ANZKIT-B_HILTON30ML</v>
      </c>
      <c r="M75" s="426" t="str">
        <f>_xlfn.IFNA(VLOOKUP(G75,'SKU 对应关系'!A:B,2,0),"")</f>
        <v>ANZKIT-B_HILTON30ML ANZ黑色机器+30mL希尔顿酒店香氛油（天竺） 机油套装</v>
      </c>
      <c r="N75" s="422" t="str">
        <f>_xlfn.IFNA(VLOOKUP(G75,'SKU 对应关系'!$A:$D,3,0),"")</f>
        <v>ANZ</v>
      </c>
      <c r="O75" s="427">
        <v>4</v>
      </c>
      <c r="P75" s="455">
        <v>56</v>
      </c>
      <c r="Q75" s="427" t="s">
        <v>16</v>
      </c>
      <c r="R75" s="422">
        <v>3.9</v>
      </c>
      <c r="S75" s="422"/>
      <c r="T75" s="428">
        <v>9.1743119266055047</v>
      </c>
      <c r="U75" s="429">
        <f t="shared" si="6"/>
        <v>227.5743119266055</v>
      </c>
      <c r="V75" s="430">
        <f t="shared" si="7"/>
        <v>1.8964525993883792</v>
      </c>
      <c r="W75" s="431">
        <f t="shared" si="10"/>
        <v>0.28305262677438492</v>
      </c>
      <c r="X75" s="422"/>
      <c r="Y75" s="422"/>
      <c r="Z75" s="428"/>
      <c r="AA75" s="432">
        <v>46045</v>
      </c>
      <c r="AB75" s="432">
        <v>46089</v>
      </c>
      <c r="AC75" s="432"/>
      <c r="AD75" s="433">
        <f>IF(ISNA(VLOOKUP(D75,亚马逊入库配置费!B:F,5,0)),0,VLOOKUP(D75,亚马逊入库配置费!B:F,5,0))</f>
        <v>0.44</v>
      </c>
      <c r="AE75" s="433">
        <f t="shared" si="8"/>
        <v>52.8</v>
      </c>
      <c r="AF75" s="432">
        <v>46102</v>
      </c>
      <c r="AG75" s="421">
        <f t="shared" si="9"/>
        <v>57</v>
      </c>
      <c r="AH75" s="432">
        <v>46133</v>
      </c>
      <c r="AI75" s="427"/>
      <c r="AJ75" s="427">
        <f t="shared" si="11"/>
        <v>31</v>
      </c>
      <c r="AK75" s="427"/>
      <c r="AL75" s="423"/>
      <c r="AM75" s="422"/>
      <c r="AN75" s="422"/>
      <c r="AO75" s="427"/>
      <c r="AP75" s="434"/>
      <c r="AQ75" s="434"/>
      <c r="AR75" s="434"/>
      <c r="AS75" s="434"/>
    </row>
    <row r="76" spans="1:45" ht="12" customHeight="1" x14ac:dyDescent="0.25">
      <c r="A76" s="90">
        <v>75</v>
      </c>
      <c r="B76" s="91"/>
      <c r="C76" s="91" t="s">
        <v>446</v>
      </c>
      <c r="D76" s="92" t="s">
        <v>3006</v>
      </c>
      <c r="E76" s="91" t="s">
        <v>86</v>
      </c>
      <c r="F76" s="91" t="s">
        <v>87</v>
      </c>
      <c r="G76" s="56" t="s">
        <v>163</v>
      </c>
      <c r="H76" s="91">
        <v>240</v>
      </c>
      <c r="I76" s="91" t="s">
        <v>89</v>
      </c>
      <c r="J76" s="91" t="s">
        <v>90</v>
      </c>
      <c r="K76" s="92" t="s">
        <v>1967</v>
      </c>
      <c r="L76" s="93" t="str">
        <f>VLOOKUP(G76,'SKU 对应关系'!A:E,4,0)</f>
        <v>AN6-B</v>
      </c>
      <c r="M76" s="94" t="str">
        <f>_xlfn.IFNA(VLOOKUP(G76,'SKU 对应关系'!A:B,2,0),"")</f>
        <v>AN6-B 便携式扩香仪 黑色</v>
      </c>
      <c r="N76" s="95" t="str">
        <f>_xlfn.IFNA(VLOOKUP(G76,'SKU 对应关系'!$A:$D,3,0),"")</f>
        <v>AN6</v>
      </c>
      <c r="O76" s="96">
        <v>6</v>
      </c>
      <c r="P76" s="455">
        <v>83</v>
      </c>
      <c r="Q76" s="96" t="s">
        <v>16</v>
      </c>
      <c r="R76" s="91">
        <v>6</v>
      </c>
      <c r="S76" s="95">
        <v>200</v>
      </c>
      <c r="T76" s="98">
        <v>34.285714285714285</v>
      </c>
      <c r="U76" s="99">
        <f t="shared" si="6"/>
        <v>532.28571428571433</v>
      </c>
      <c r="V76" s="100">
        <f t="shared" si="7"/>
        <v>2.217857142857143</v>
      </c>
      <c r="W76" s="101">
        <f t="shared" si="10"/>
        <v>0.3310234541577825</v>
      </c>
      <c r="X76" s="95"/>
      <c r="Y76" s="95"/>
      <c r="Z76" s="102"/>
      <c r="AA76" s="103">
        <v>46045</v>
      </c>
      <c r="AB76" s="103">
        <v>46093</v>
      </c>
      <c r="AC76" s="103"/>
      <c r="AD76" s="104">
        <f>IF(ISNA(VLOOKUP(D76,亚马逊入库配置费!B:F,5,0)),0,VLOOKUP(D76,亚马逊入库配置费!B:F,5,0))</f>
        <v>0</v>
      </c>
      <c r="AE76" s="104">
        <f t="shared" si="8"/>
        <v>0</v>
      </c>
      <c r="AF76" s="103">
        <v>46095</v>
      </c>
      <c r="AG76" s="90">
        <f t="shared" si="9"/>
        <v>50</v>
      </c>
      <c r="AH76" s="103">
        <v>46113</v>
      </c>
      <c r="AI76" s="96">
        <v>240</v>
      </c>
      <c r="AJ76" s="427">
        <f t="shared" si="11"/>
        <v>18</v>
      </c>
      <c r="AK76" s="96"/>
      <c r="AL76" s="92"/>
      <c r="AM76" s="91"/>
      <c r="AN76" s="91"/>
      <c r="AO76" s="96"/>
      <c r="AP76" s="105"/>
      <c r="AQ76" s="105"/>
      <c r="AR76" s="105"/>
      <c r="AS76" s="105"/>
    </row>
    <row r="77" spans="1:45" s="435" customFormat="1" ht="12" customHeight="1" x14ac:dyDescent="0.25">
      <c r="A77" s="421">
        <v>76</v>
      </c>
      <c r="B77" s="422"/>
      <c r="C77" s="422" t="s">
        <v>1782</v>
      </c>
      <c r="D77" s="423" t="s">
        <v>3007</v>
      </c>
      <c r="E77" s="422" t="s">
        <v>97</v>
      </c>
      <c r="F77" s="422" t="s">
        <v>0</v>
      </c>
      <c r="G77" s="424" t="s">
        <v>316</v>
      </c>
      <c r="H77" s="422">
        <v>720</v>
      </c>
      <c r="I77" s="422" t="s">
        <v>306</v>
      </c>
      <c r="J77" s="422" t="s">
        <v>8</v>
      </c>
      <c r="K77" s="423" t="s">
        <v>50</v>
      </c>
      <c r="L77" s="425" t="str">
        <f>VLOOKUP(G77,'SKU 对应关系'!A:E,4,0)</f>
        <v>A-RZ3-100</v>
      </c>
      <c r="M77" s="426" t="str">
        <f>_xlfn.IFNA(VLOOKUP(G77,'SKU 对应关系'!A:B,2,0),"")</f>
        <v>A-Ritz Carlton Hotel 3-100 丽思卡尔顿酒店3香氛油100mL</v>
      </c>
      <c r="N77" s="422" t="str">
        <f>_xlfn.IFNA(VLOOKUP(G77,'SKU 对应关系'!$A:$D,3,0),"")</f>
        <v>Oil-HQ</v>
      </c>
      <c r="O77" s="427">
        <v>8</v>
      </c>
      <c r="P77" s="455">
        <v>157</v>
      </c>
      <c r="Q77" s="427" t="s">
        <v>16</v>
      </c>
      <c r="R77" s="422">
        <v>5.3</v>
      </c>
      <c r="S77" s="436"/>
      <c r="T77" s="428"/>
      <c r="U77" s="429">
        <f t="shared" ref="U77:U90" si="12">R77*P77+T77</f>
        <v>832.1</v>
      </c>
      <c r="V77" s="430">
        <f t="shared" si="7"/>
        <v>1.1556944444444446</v>
      </c>
      <c r="W77" s="431">
        <f t="shared" si="10"/>
        <v>0.17249170812603651</v>
      </c>
      <c r="X77" s="422"/>
      <c r="Y77" s="422"/>
      <c r="Z77" s="428"/>
      <c r="AA77" s="432">
        <v>46045</v>
      </c>
      <c r="AB77" s="432">
        <v>46065</v>
      </c>
      <c r="AC77" s="432"/>
      <c r="AD77" s="433">
        <f>IF(ISNA(VLOOKUP(D77,亚马逊入库配置费!B:F,5,0)),0,VLOOKUP(D77,亚马逊入库配置费!B:F,5,0))</f>
        <v>0.36</v>
      </c>
      <c r="AE77" s="433">
        <f t="shared" si="8"/>
        <v>259.2</v>
      </c>
      <c r="AF77" s="432">
        <v>46081</v>
      </c>
      <c r="AG77" s="421">
        <f t="shared" si="9"/>
        <v>36</v>
      </c>
      <c r="AH77" s="432">
        <v>46109</v>
      </c>
      <c r="AI77" s="427">
        <v>717</v>
      </c>
      <c r="AJ77" s="427">
        <f t="shared" si="11"/>
        <v>28</v>
      </c>
      <c r="AK77" s="427"/>
      <c r="AL77" s="423"/>
      <c r="AM77" s="422"/>
      <c r="AN77" s="422"/>
      <c r="AO77" s="427"/>
      <c r="AP77" s="434"/>
      <c r="AQ77" s="434"/>
      <c r="AR77" s="434"/>
      <c r="AS77" s="434"/>
    </row>
    <row r="78" spans="1:45" s="435" customFormat="1" ht="12" customHeight="1" x14ac:dyDescent="0.25">
      <c r="A78" s="421">
        <v>77</v>
      </c>
      <c r="B78" s="422"/>
      <c r="C78" s="422" t="s">
        <v>426</v>
      </c>
      <c r="D78" s="423" t="s">
        <v>3008</v>
      </c>
      <c r="E78" s="422" t="s">
        <v>97</v>
      </c>
      <c r="F78" s="422" t="s">
        <v>0</v>
      </c>
      <c r="G78" s="424" t="s">
        <v>316</v>
      </c>
      <c r="H78" s="422">
        <v>1890</v>
      </c>
      <c r="I78" s="422" t="s">
        <v>1767</v>
      </c>
      <c r="J78" s="422" t="s">
        <v>8</v>
      </c>
      <c r="K78" s="423" t="s">
        <v>10</v>
      </c>
      <c r="L78" s="425" t="str">
        <f>VLOOKUP(G78,'SKU 对应关系'!A:E,4,0)</f>
        <v>A-RZ3-100</v>
      </c>
      <c r="M78" s="426" t="str">
        <f>_xlfn.IFNA(VLOOKUP(G78,'SKU 对应关系'!A:B,2,0),"")</f>
        <v>A-Ritz Carlton Hotel 3-100 丽思卡尔顿酒店3香氛油100mL</v>
      </c>
      <c r="N78" s="422" t="str">
        <f>_xlfn.IFNA(VLOOKUP(G78,'SKU 对应关系'!$A:$D,3,0),"")</f>
        <v>Oil-HQ</v>
      </c>
      <c r="O78" s="427">
        <v>21</v>
      </c>
      <c r="P78" s="455">
        <v>1.0828125</v>
      </c>
      <c r="Q78" s="427" t="s">
        <v>3264</v>
      </c>
      <c r="R78" s="422">
        <v>1150</v>
      </c>
      <c r="S78" s="422">
        <f>180*1.06</f>
        <v>190.8</v>
      </c>
      <c r="T78" s="428">
        <v>125.21250000000001</v>
      </c>
      <c r="U78" s="429">
        <f t="shared" si="12"/>
        <v>1370.4468750000001</v>
      </c>
      <c r="V78" s="430">
        <f t="shared" si="7"/>
        <v>0.72510416666666666</v>
      </c>
      <c r="W78" s="431">
        <f t="shared" si="10"/>
        <v>0.10822450248756219</v>
      </c>
      <c r="X78" s="422"/>
      <c r="Y78" s="422"/>
      <c r="Z78" s="428"/>
      <c r="AA78" s="432">
        <v>46045</v>
      </c>
      <c r="AB78" s="432">
        <v>46063</v>
      </c>
      <c r="AC78" s="432"/>
      <c r="AD78" s="433">
        <f>IF(ISNA(VLOOKUP(D78,亚马逊入库配置费!B:F,5,0)),0,VLOOKUP(D78,亚马逊入库配置费!B:F,5,0))</f>
        <v>0.36402010050251254</v>
      </c>
      <c r="AE78" s="433">
        <f t="shared" si="8"/>
        <v>687.99798994974867</v>
      </c>
      <c r="AF78" s="432">
        <v>46080</v>
      </c>
      <c r="AG78" s="421">
        <f t="shared" si="9"/>
        <v>35</v>
      </c>
      <c r="AH78" s="432">
        <v>46111</v>
      </c>
      <c r="AI78" s="427">
        <v>1889</v>
      </c>
      <c r="AJ78" s="427">
        <f t="shared" si="11"/>
        <v>31</v>
      </c>
      <c r="AK78" s="427"/>
      <c r="AL78" s="423"/>
      <c r="AM78" s="422"/>
      <c r="AN78" s="422"/>
      <c r="AO78" s="427"/>
      <c r="AP78" s="434"/>
      <c r="AQ78" s="434"/>
      <c r="AR78" s="434"/>
      <c r="AS78" s="434"/>
    </row>
    <row r="79" spans="1:45" s="435" customFormat="1" ht="12" customHeight="1" x14ac:dyDescent="0.25">
      <c r="A79" s="421">
        <v>78</v>
      </c>
      <c r="B79" s="422"/>
      <c r="C79" s="422" t="s">
        <v>426</v>
      </c>
      <c r="D79" s="423" t="s">
        <v>3008</v>
      </c>
      <c r="E79" s="422" t="s">
        <v>97</v>
      </c>
      <c r="F79" s="422" t="s">
        <v>0</v>
      </c>
      <c r="G79" s="424" t="s">
        <v>1312</v>
      </c>
      <c r="H79" s="422">
        <v>100</v>
      </c>
      <c r="I79" s="422" t="s">
        <v>1767</v>
      </c>
      <c r="J79" s="422" t="s">
        <v>8</v>
      </c>
      <c r="K79" s="423" t="s">
        <v>10</v>
      </c>
      <c r="L79" s="425" t="str">
        <f>VLOOKUP(G79,'SKU 对应关系'!A:E,4,0)</f>
        <v>RZ-500ML</v>
      </c>
      <c r="M79" s="426" t="str">
        <f>_xlfn.IFNA(VLOOKUP(G79,'SKU 对应关系'!A:B,2,0),"")</f>
        <v>RZ-500ML 丽思卡尔顿酒店3香氛油500mL</v>
      </c>
      <c r="N79" s="422" t="str">
        <f>_xlfn.IFNA(VLOOKUP(G79,'SKU 对应关系'!$A:$D,3,0),"")</f>
        <v>Oil-HQ</v>
      </c>
      <c r="O79" s="427">
        <v>5</v>
      </c>
      <c r="P79" s="455">
        <v>0.2578125</v>
      </c>
      <c r="Q79" s="427" t="s">
        <v>3264</v>
      </c>
      <c r="R79" s="422">
        <v>1150</v>
      </c>
      <c r="S79" s="436">
        <f>SUMIF(C:C,C78,T:T)</f>
        <v>190.8</v>
      </c>
      <c r="T79" s="428">
        <v>29.8125</v>
      </c>
      <c r="U79" s="429">
        <f t="shared" si="12"/>
        <v>326.296875</v>
      </c>
      <c r="V79" s="430">
        <f t="shared" si="7"/>
        <v>3.2629687500000002</v>
      </c>
      <c r="W79" s="431">
        <f t="shared" si="10"/>
        <v>0.48701026119402985</v>
      </c>
      <c r="X79" s="422"/>
      <c r="Y79" s="422"/>
      <c r="Z79" s="428"/>
      <c r="AA79" s="432">
        <v>46045</v>
      </c>
      <c r="AB79" s="432">
        <v>46063</v>
      </c>
      <c r="AC79" s="432"/>
      <c r="AD79" s="433">
        <f>IF(ISNA(VLOOKUP(D79,亚马逊入库配置费!B:F,5,0)),0,VLOOKUP(D79,亚马逊入库配置费!B:F,5,0))</f>
        <v>0.36402010050251254</v>
      </c>
      <c r="AE79" s="433">
        <f t="shared" si="8"/>
        <v>36.402010050251256</v>
      </c>
      <c r="AF79" s="432">
        <v>46080</v>
      </c>
      <c r="AG79" s="421">
        <f t="shared" si="9"/>
        <v>35</v>
      </c>
      <c r="AH79" s="432">
        <v>46111</v>
      </c>
      <c r="AI79" s="427">
        <v>100</v>
      </c>
      <c r="AJ79" s="427">
        <f t="shared" si="11"/>
        <v>31</v>
      </c>
      <c r="AK79" s="427"/>
      <c r="AL79" s="423"/>
      <c r="AM79" s="422"/>
      <c r="AN79" s="422"/>
      <c r="AO79" s="427"/>
      <c r="AP79" s="434"/>
      <c r="AQ79" s="434"/>
      <c r="AR79" s="434"/>
      <c r="AS79" s="434"/>
    </row>
    <row r="80" spans="1:45" s="435" customFormat="1" ht="12" customHeight="1" x14ac:dyDescent="0.25">
      <c r="A80" s="421">
        <v>79</v>
      </c>
      <c r="B80" s="422"/>
      <c r="C80" s="422" t="s">
        <v>426</v>
      </c>
      <c r="D80" s="423" t="s">
        <v>3009</v>
      </c>
      <c r="E80" s="422" t="s">
        <v>115</v>
      </c>
      <c r="F80" s="422" t="s">
        <v>0</v>
      </c>
      <c r="G80" s="424" t="s">
        <v>2981</v>
      </c>
      <c r="H80" s="422">
        <v>304</v>
      </c>
      <c r="I80" s="422" t="s">
        <v>1767</v>
      </c>
      <c r="J80" s="422" t="s">
        <v>8</v>
      </c>
      <c r="K80" s="423" t="s">
        <v>10</v>
      </c>
      <c r="L80" s="425" t="str">
        <f>VLOOKUP(G80,'SKU 对应关系'!A:E,4,0)</f>
        <v>HOTEL6KIT1-6X10K01</v>
      </c>
      <c r="M80" s="426" t="str">
        <f>_xlfn.IFNA(VLOOKUP(G80,'SKU 对应关系'!A:B,2,0),"")</f>
        <v>HOTEL6KIT1-6X10K01 酒店香氛油6款10mL套装</v>
      </c>
      <c r="N80" s="422" t="str">
        <f>_xlfn.IFNA(VLOOKUP(G80,'SKU 对应关系'!$A:$D,3,0),"")</f>
        <v>Oil-HQ</v>
      </c>
      <c r="O80" s="427">
        <v>4</v>
      </c>
      <c r="P80" s="455">
        <v>0.20624999999999999</v>
      </c>
      <c r="Q80" s="427" t="s">
        <v>3264</v>
      </c>
      <c r="R80" s="422">
        <v>1150</v>
      </c>
      <c r="S80" s="422"/>
      <c r="T80" s="428">
        <v>23.85</v>
      </c>
      <c r="U80" s="429">
        <f t="shared" si="12"/>
        <v>261.03750000000002</v>
      </c>
      <c r="V80" s="430">
        <f t="shared" si="7"/>
        <v>0.85867598684210533</v>
      </c>
      <c r="W80" s="431">
        <f t="shared" si="10"/>
        <v>0.12816059505106051</v>
      </c>
      <c r="X80" s="422"/>
      <c r="Y80" s="422"/>
      <c r="Z80" s="428"/>
      <c r="AA80" s="432">
        <v>46045</v>
      </c>
      <c r="AB80" s="432">
        <v>46063</v>
      </c>
      <c r="AC80" s="432"/>
      <c r="AD80" s="433">
        <f>IF(ISNA(VLOOKUP(D80,亚马逊入库配置费!B:F,5,0)),0,VLOOKUP(D80,亚马逊入库配置费!B:F,5,0))</f>
        <v>0.36000000000000004</v>
      </c>
      <c r="AE80" s="433">
        <f t="shared" si="8"/>
        <v>109.44000000000001</v>
      </c>
      <c r="AF80" s="432">
        <v>46072</v>
      </c>
      <c r="AG80" s="421">
        <f t="shared" si="9"/>
        <v>27</v>
      </c>
      <c r="AH80" s="432">
        <v>46111</v>
      </c>
      <c r="AI80" s="427">
        <v>306</v>
      </c>
      <c r="AJ80" s="427">
        <f t="shared" si="11"/>
        <v>39</v>
      </c>
      <c r="AK80" s="427"/>
      <c r="AL80" s="423"/>
      <c r="AM80" s="422"/>
      <c r="AN80" s="422"/>
      <c r="AO80" s="427"/>
      <c r="AP80" s="434"/>
      <c r="AQ80" s="434"/>
      <c r="AR80" s="434"/>
      <c r="AS80" s="434"/>
    </row>
    <row r="81" spans="1:45" s="435" customFormat="1" ht="12" customHeight="1" x14ac:dyDescent="0.25">
      <c r="A81" s="421">
        <v>80</v>
      </c>
      <c r="B81" s="422"/>
      <c r="C81" s="422" t="s">
        <v>426</v>
      </c>
      <c r="D81" s="423" t="s">
        <v>3009</v>
      </c>
      <c r="E81" s="422" t="s">
        <v>115</v>
      </c>
      <c r="F81" s="422" t="s">
        <v>0</v>
      </c>
      <c r="G81" s="424" t="s">
        <v>1054</v>
      </c>
      <c r="H81" s="422">
        <v>180</v>
      </c>
      <c r="I81" s="422" t="s">
        <v>1767</v>
      </c>
      <c r="J81" s="422" t="s">
        <v>8</v>
      </c>
      <c r="K81" s="423" t="s">
        <v>10</v>
      </c>
      <c r="L81" s="425" t="str">
        <f>VLOOKUP(G81,'SKU 对应关系'!A:E,4,0)</f>
        <v>A-JY-100</v>
      </c>
      <c r="M81" s="426" t="str">
        <f>_xlfn.IFNA(VLOOKUP(G81,'SKU 对应关系'!A:B,2,0),"")</f>
        <v>A-Grand Hyatt Hotel-100 君悦酒店香氛油100mL</v>
      </c>
      <c r="N81" s="422" t="str">
        <f>_xlfn.IFNA(VLOOKUP(G81,'SKU 对应关系'!$A:$D,3,0),"")</f>
        <v>Oil-HQ</v>
      </c>
      <c r="O81" s="427">
        <v>2</v>
      </c>
      <c r="P81" s="455">
        <v>0.10312499999999999</v>
      </c>
      <c r="Q81" s="427" t="s">
        <v>3264</v>
      </c>
      <c r="R81" s="422">
        <v>1150</v>
      </c>
      <c r="S81" s="422"/>
      <c r="T81" s="428">
        <v>11.925000000000001</v>
      </c>
      <c r="U81" s="429">
        <f t="shared" si="12"/>
        <v>130.51875000000001</v>
      </c>
      <c r="V81" s="430">
        <f t="shared" si="7"/>
        <v>0.72510416666666677</v>
      </c>
      <c r="W81" s="431">
        <f t="shared" si="10"/>
        <v>0.1082245024875622</v>
      </c>
      <c r="X81" s="422"/>
      <c r="Y81" s="422"/>
      <c r="Z81" s="428"/>
      <c r="AA81" s="432">
        <v>46045</v>
      </c>
      <c r="AB81" s="432">
        <v>46063</v>
      </c>
      <c r="AC81" s="432"/>
      <c r="AD81" s="433">
        <f>IF(ISNA(VLOOKUP(D81,亚马逊入库配置费!B:F,5,0)),0,VLOOKUP(D81,亚马逊入库配置费!B:F,5,0))</f>
        <v>0.36000000000000004</v>
      </c>
      <c r="AE81" s="433">
        <f t="shared" si="8"/>
        <v>64.800000000000011</v>
      </c>
      <c r="AF81" s="432">
        <v>46072</v>
      </c>
      <c r="AG81" s="421">
        <f t="shared" si="9"/>
        <v>27</v>
      </c>
      <c r="AH81" s="432">
        <v>46111</v>
      </c>
      <c r="AI81" s="427">
        <v>179</v>
      </c>
      <c r="AJ81" s="427">
        <f t="shared" si="11"/>
        <v>39</v>
      </c>
      <c r="AK81" s="427"/>
      <c r="AL81" s="423"/>
      <c r="AM81" s="422"/>
      <c r="AN81" s="422"/>
      <c r="AO81" s="427"/>
      <c r="AP81" s="434"/>
      <c r="AQ81" s="434"/>
      <c r="AR81" s="434"/>
      <c r="AS81" s="434"/>
    </row>
    <row r="82" spans="1:45" s="435" customFormat="1" ht="12" customHeight="1" x14ac:dyDescent="0.25">
      <c r="A82" s="421">
        <v>81</v>
      </c>
      <c r="B82" s="422"/>
      <c r="C82" s="422" t="s">
        <v>1782</v>
      </c>
      <c r="D82" s="423" t="s">
        <v>3010</v>
      </c>
      <c r="E82" s="422" t="s">
        <v>97</v>
      </c>
      <c r="F82" s="422" t="s">
        <v>0</v>
      </c>
      <c r="G82" s="424" t="s">
        <v>2295</v>
      </c>
      <c r="H82" s="422">
        <v>576</v>
      </c>
      <c r="I82" s="422" t="s">
        <v>306</v>
      </c>
      <c r="J82" s="422" t="s">
        <v>8</v>
      </c>
      <c r="K82" s="423" t="s">
        <v>10</v>
      </c>
      <c r="L82" s="425" t="str">
        <f>VLOOKUP(G82,'SKU 对应关系'!A:E,4,0)</f>
        <v>HILTON1-100ML_TZ</v>
      </c>
      <c r="M82" s="426" t="str">
        <f>_xlfn.IFNA(VLOOKUP(G82,'SKU 对应关系'!A:B,2,0),"")</f>
        <v>HILTON1-100ML_TZ 希尔顿酒店100mL香氛油（天竺） 销售包装</v>
      </c>
      <c r="N82" s="422" t="str">
        <f>_xlfn.IFNA(VLOOKUP(G82,'SKU 对应关系'!$A:$D,3,0),"")</f>
        <v>Oil-TZ</v>
      </c>
      <c r="O82" s="427">
        <v>9</v>
      </c>
      <c r="P82" s="455">
        <v>130</v>
      </c>
      <c r="Q82" s="427" t="s">
        <v>16</v>
      </c>
      <c r="R82" s="422">
        <v>5.3</v>
      </c>
      <c r="S82" s="422"/>
      <c r="T82" s="428"/>
      <c r="U82" s="429">
        <f t="shared" si="12"/>
        <v>689</v>
      </c>
      <c r="V82" s="430">
        <f t="shared" si="7"/>
        <v>1.1961805555555556</v>
      </c>
      <c r="W82" s="431">
        <f t="shared" si="10"/>
        <v>0.17853441127694858</v>
      </c>
      <c r="X82" s="422"/>
      <c r="Y82" s="422"/>
      <c r="Z82" s="428"/>
      <c r="AA82" s="432">
        <v>46045</v>
      </c>
      <c r="AB82" s="432">
        <v>46065</v>
      </c>
      <c r="AC82" s="432"/>
      <c r="AD82" s="433">
        <f>IF(ISNA(VLOOKUP(D82,亚马逊入库配置费!B:F,5,0)),0,VLOOKUP(D82,亚马逊入库配置费!B:F,5,0))</f>
        <v>0.36000000000000004</v>
      </c>
      <c r="AE82" s="433">
        <f t="shared" si="8"/>
        <v>207.36</v>
      </c>
      <c r="AF82" s="432">
        <v>46079</v>
      </c>
      <c r="AG82" s="421">
        <f>AF82-AA82</f>
        <v>34</v>
      </c>
      <c r="AH82" s="432">
        <v>46109</v>
      </c>
      <c r="AI82" s="427">
        <v>574</v>
      </c>
      <c r="AJ82" s="427">
        <f t="shared" si="11"/>
        <v>30</v>
      </c>
      <c r="AK82" s="427"/>
      <c r="AL82" s="423"/>
      <c r="AM82" s="422"/>
      <c r="AN82" s="422"/>
      <c r="AO82" s="427"/>
      <c r="AP82" s="434"/>
      <c r="AQ82" s="434"/>
      <c r="AR82" s="434"/>
      <c r="AS82" s="434"/>
    </row>
    <row r="83" spans="1:45" s="435" customFormat="1" ht="12" customHeight="1" x14ac:dyDescent="0.25">
      <c r="A83" s="421">
        <v>82</v>
      </c>
      <c r="B83" s="422"/>
      <c r="C83" s="422" t="s">
        <v>414</v>
      </c>
      <c r="D83" s="423" t="s">
        <v>3011</v>
      </c>
      <c r="E83" s="422" t="s">
        <v>115</v>
      </c>
      <c r="F83" s="422" t="s">
        <v>0</v>
      </c>
      <c r="G83" s="424" t="s">
        <v>2864</v>
      </c>
      <c r="H83" s="422">
        <v>384</v>
      </c>
      <c r="I83" s="422" t="s">
        <v>306</v>
      </c>
      <c r="J83" s="422" t="s">
        <v>8</v>
      </c>
      <c r="K83" s="423" t="s">
        <v>50</v>
      </c>
      <c r="L83" s="425" t="str">
        <f>VLOOKUP(G83,'SKU 对应关系'!A:E,4,0)</f>
        <v>BCRT1-100ML_TZ</v>
      </c>
      <c r="M83" s="426" t="str">
        <f>_xlfn.IFNA(VLOOKUP(G83,'SKU 对应关系'!A:B,2,0),"")</f>
        <v>BCRT1-100ML_TZ 巴卡拉酒店100mL香氛油（天竺） 销售包装</v>
      </c>
      <c r="N83" s="422" t="str">
        <f>_xlfn.IFNA(VLOOKUP(G83,'SKU 对应关系'!$A:$D,3,0),"")</f>
        <v>Oil-TZ</v>
      </c>
      <c r="O83" s="427">
        <v>6</v>
      </c>
      <c r="P83" s="455">
        <v>86.84210526315789</v>
      </c>
      <c r="Q83" s="427" t="s">
        <v>16</v>
      </c>
      <c r="R83" s="422">
        <v>5.3</v>
      </c>
      <c r="S83" s="422">
        <v>350</v>
      </c>
      <c r="T83" s="428">
        <v>110.52631578947368</v>
      </c>
      <c r="U83" s="429">
        <f t="shared" si="12"/>
        <v>570.78947368421052</v>
      </c>
      <c r="V83" s="430">
        <f t="shared" si="7"/>
        <v>1.4864309210526316</v>
      </c>
      <c r="W83" s="431">
        <f t="shared" si="10"/>
        <v>0.22185536135113904</v>
      </c>
      <c r="X83" s="422"/>
      <c r="Y83" s="422"/>
      <c r="Z83" s="428"/>
      <c r="AA83" s="432">
        <v>46045</v>
      </c>
      <c r="AB83" s="432">
        <v>46065</v>
      </c>
      <c r="AC83" s="432"/>
      <c r="AD83" s="433">
        <f>IF(ISNA(VLOOKUP(D83,亚马逊入库配置费!B:F,5,0)),0,VLOOKUP(D83,亚马逊入库配置费!B:F,5,0))</f>
        <v>0.36</v>
      </c>
      <c r="AE83" s="433">
        <f t="shared" si="8"/>
        <v>138.24</v>
      </c>
      <c r="AF83" s="432">
        <v>46081</v>
      </c>
      <c r="AG83" s="421">
        <f t="shared" si="9"/>
        <v>36</v>
      </c>
      <c r="AH83" s="432">
        <v>46110</v>
      </c>
      <c r="AI83" s="427">
        <v>384</v>
      </c>
      <c r="AJ83" s="427">
        <f t="shared" si="11"/>
        <v>29</v>
      </c>
      <c r="AK83" s="427"/>
      <c r="AL83" s="423"/>
      <c r="AM83" s="422"/>
      <c r="AN83" s="422"/>
      <c r="AO83" s="427"/>
      <c r="AP83" s="434"/>
      <c r="AQ83" s="434"/>
      <c r="AR83" s="434"/>
      <c r="AS83" s="434"/>
    </row>
    <row r="84" spans="1:45" s="435" customFormat="1" ht="12" customHeight="1" x14ac:dyDescent="0.25">
      <c r="A84" s="421">
        <v>83</v>
      </c>
      <c r="B84" s="422"/>
      <c r="C84" s="422" t="s">
        <v>414</v>
      </c>
      <c r="D84" s="423" t="s">
        <v>3011</v>
      </c>
      <c r="E84" s="422" t="s">
        <v>115</v>
      </c>
      <c r="F84" s="422" t="s">
        <v>0</v>
      </c>
      <c r="G84" s="424" t="s">
        <v>2937</v>
      </c>
      <c r="H84" s="422">
        <v>576</v>
      </c>
      <c r="I84" s="422" t="s">
        <v>306</v>
      </c>
      <c r="J84" s="422" t="s">
        <v>8</v>
      </c>
      <c r="K84" s="423" t="s">
        <v>50</v>
      </c>
      <c r="L84" s="425" t="str">
        <f>VLOOKUP(G84,'SKU 对应关系'!A:E,4,0)</f>
        <v>SJ1-100ML_TZ</v>
      </c>
      <c r="M84" s="426" t="str">
        <f>_xlfn.IFNA(VLOOKUP(G84,'SKU 对应关系'!A:B,2,0),"")</f>
        <v>SJ1-100ML_TZ 四季酒店100mL香氛油（天竺） 销售包装</v>
      </c>
      <c r="N84" s="422" t="str">
        <f>_xlfn.IFNA(VLOOKUP(G84,'SKU 对应关系'!$A:$D,3,0),"")</f>
        <v>Oil-TZ</v>
      </c>
      <c r="O84" s="427">
        <v>9</v>
      </c>
      <c r="P84" s="455">
        <v>130.26315789473682</v>
      </c>
      <c r="Q84" s="427" t="s">
        <v>16</v>
      </c>
      <c r="R84" s="422">
        <v>5.3</v>
      </c>
      <c r="S84" s="436">
        <f>SUMIF(C:C,C83,T:T)</f>
        <v>350</v>
      </c>
      <c r="T84" s="428">
        <v>165.78947368421052</v>
      </c>
      <c r="U84" s="429">
        <f t="shared" si="12"/>
        <v>856.18421052631561</v>
      </c>
      <c r="V84" s="430">
        <f t="shared" si="7"/>
        <v>1.4864309210526312</v>
      </c>
      <c r="W84" s="431">
        <f t="shared" si="10"/>
        <v>0.22185536135113898</v>
      </c>
      <c r="X84" s="422"/>
      <c r="Y84" s="422"/>
      <c r="Z84" s="428"/>
      <c r="AA84" s="432">
        <v>46045</v>
      </c>
      <c r="AB84" s="432">
        <v>46065</v>
      </c>
      <c r="AC84" s="432"/>
      <c r="AD84" s="433">
        <f>IF(ISNA(VLOOKUP(D84,亚马逊入库配置费!B:F,5,0)),0,VLOOKUP(D84,亚马逊入库配置费!B:F,5,0))</f>
        <v>0.36</v>
      </c>
      <c r="AE84" s="433">
        <f t="shared" si="8"/>
        <v>207.35999999999999</v>
      </c>
      <c r="AF84" s="432">
        <v>46081</v>
      </c>
      <c r="AG84" s="421">
        <f t="shared" si="9"/>
        <v>36</v>
      </c>
      <c r="AH84" s="432">
        <v>46110</v>
      </c>
      <c r="AI84" s="427">
        <v>565</v>
      </c>
      <c r="AJ84" s="427">
        <f t="shared" si="11"/>
        <v>29</v>
      </c>
      <c r="AK84" s="427"/>
      <c r="AL84" s="423"/>
      <c r="AM84" s="422"/>
      <c r="AN84" s="422"/>
      <c r="AO84" s="427"/>
      <c r="AP84" s="434"/>
      <c r="AQ84" s="434"/>
      <c r="AR84" s="434"/>
      <c r="AS84" s="434"/>
    </row>
    <row r="85" spans="1:45" s="435" customFormat="1" ht="12" customHeight="1" x14ac:dyDescent="0.25">
      <c r="A85" s="421">
        <v>84</v>
      </c>
      <c r="B85" s="422"/>
      <c r="C85" s="422" t="s">
        <v>414</v>
      </c>
      <c r="D85" s="423" t="s">
        <v>3011</v>
      </c>
      <c r="E85" s="422" t="s">
        <v>115</v>
      </c>
      <c r="F85" s="422" t="s">
        <v>0</v>
      </c>
      <c r="G85" s="424" t="s">
        <v>2863</v>
      </c>
      <c r="H85" s="422">
        <v>256</v>
      </c>
      <c r="I85" s="422" t="s">
        <v>306</v>
      </c>
      <c r="J85" s="422" t="s">
        <v>8</v>
      </c>
      <c r="K85" s="423" t="s">
        <v>50</v>
      </c>
      <c r="L85" s="425" t="str">
        <f>VLOOKUP(G85,'SKU 对应关系'!A:E,4,0)</f>
        <v>W1-100ML_TZ</v>
      </c>
      <c r="M85" s="426" t="str">
        <f>_xlfn.IFNA(VLOOKUP(G85,'SKU 对应关系'!A:B,2,0),"")</f>
        <v>W1-100ML_TZ W酒店100mL香氛油（天竺） 销售包装</v>
      </c>
      <c r="N85" s="422" t="str">
        <f>_xlfn.IFNA(VLOOKUP(G85,'SKU 对应关系'!$A:$D,3,0),"")</f>
        <v>Oil-TZ</v>
      </c>
      <c r="O85" s="427">
        <v>4</v>
      </c>
      <c r="P85" s="455">
        <v>57.89473684210526</v>
      </c>
      <c r="Q85" s="427" t="s">
        <v>16</v>
      </c>
      <c r="R85" s="422">
        <v>5.3</v>
      </c>
      <c r="S85" s="422"/>
      <c r="T85" s="428">
        <v>73.684210526315795</v>
      </c>
      <c r="U85" s="429">
        <f t="shared" si="12"/>
        <v>380.52631578947364</v>
      </c>
      <c r="V85" s="430">
        <f t="shared" si="7"/>
        <v>1.4864309210526314</v>
      </c>
      <c r="W85" s="431">
        <f t="shared" si="10"/>
        <v>0.22185536135113901</v>
      </c>
      <c r="X85" s="422"/>
      <c r="Y85" s="422"/>
      <c r="Z85" s="428"/>
      <c r="AA85" s="432">
        <v>46045</v>
      </c>
      <c r="AB85" s="432">
        <v>46065</v>
      </c>
      <c r="AC85" s="432"/>
      <c r="AD85" s="433">
        <f>IF(ISNA(VLOOKUP(D85,亚马逊入库配置费!B:F,5,0)),0,VLOOKUP(D85,亚马逊入库配置费!B:F,5,0))</f>
        <v>0.36</v>
      </c>
      <c r="AE85" s="433">
        <f t="shared" si="8"/>
        <v>92.16</v>
      </c>
      <c r="AF85" s="432">
        <v>46081</v>
      </c>
      <c r="AG85" s="421">
        <f t="shared" si="9"/>
        <v>36</v>
      </c>
      <c r="AH85" s="432">
        <v>46110</v>
      </c>
      <c r="AI85" s="427">
        <v>254</v>
      </c>
      <c r="AJ85" s="427">
        <f t="shared" si="11"/>
        <v>29</v>
      </c>
      <c r="AK85" s="427"/>
      <c r="AL85" s="423"/>
      <c r="AM85" s="422"/>
      <c r="AN85" s="422"/>
      <c r="AO85" s="427"/>
      <c r="AP85" s="434"/>
      <c r="AQ85" s="434"/>
      <c r="AR85" s="434"/>
      <c r="AS85" s="434"/>
    </row>
    <row r="86" spans="1:45" ht="12" customHeight="1" x14ac:dyDescent="0.25">
      <c r="A86" s="90">
        <v>85</v>
      </c>
      <c r="B86" s="91"/>
      <c r="C86" s="91" t="s">
        <v>434</v>
      </c>
      <c r="D86" s="92" t="s">
        <v>3012</v>
      </c>
      <c r="E86" s="91" t="s">
        <v>1037</v>
      </c>
      <c r="F86" s="91" t="s">
        <v>0</v>
      </c>
      <c r="G86" s="56" t="s">
        <v>2439</v>
      </c>
      <c r="H86" s="91">
        <v>1088</v>
      </c>
      <c r="I86" s="91" t="s">
        <v>89</v>
      </c>
      <c r="J86" s="91" t="s">
        <v>8</v>
      </c>
      <c r="K86" s="92" t="s">
        <v>50</v>
      </c>
      <c r="L86" s="93" t="str">
        <f>VLOOKUP(G86,'SKU 对应关系'!A:E,4,0)</f>
        <v>G1-B</v>
      </c>
      <c r="M86" s="94" t="str">
        <f>_xlfn.IFNA(VLOOKUP(G86,'SKU 对应关系'!A:B,2,0),"")</f>
        <v>G1-B 电子球形把手锁 黑色</v>
      </c>
      <c r="N86" s="95" t="str">
        <f>_xlfn.IFNA(VLOOKUP(G86,'SKU 对应关系'!$A:$D,3,0),"")</f>
        <v>G1</v>
      </c>
      <c r="O86" s="96">
        <v>68</v>
      </c>
      <c r="P86" s="455">
        <v>911.81818181818176</v>
      </c>
      <c r="Q86" s="96" t="s">
        <v>16</v>
      </c>
      <c r="R86" s="91">
        <v>3.1</v>
      </c>
      <c r="S86" s="95"/>
      <c r="T86" s="98">
        <v>92.517006802721085</v>
      </c>
      <c r="U86" s="99">
        <f t="shared" si="12"/>
        <v>2919.1533704390845</v>
      </c>
      <c r="V86" s="100">
        <f t="shared" si="7"/>
        <v>2.6830453772418057</v>
      </c>
      <c r="W86" s="101">
        <f t="shared" si="10"/>
        <v>0.40045453391668739</v>
      </c>
      <c r="X86" s="95"/>
      <c r="Y86" s="95"/>
      <c r="Z86" s="102"/>
      <c r="AA86" s="103">
        <v>46045</v>
      </c>
      <c r="AB86" s="103">
        <v>46067</v>
      </c>
      <c r="AC86" s="103"/>
      <c r="AD86" s="104">
        <f>IF(ISNA(VLOOKUP(D86,亚马逊入库配置费!B:F,5,0)),0,VLOOKUP(D86,亚马逊入库配置费!B:F,5,0))</f>
        <v>0.59022727272727271</v>
      </c>
      <c r="AE86" s="104">
        <f t="shared" si="8"/>
        <v>642.16727272727269</v>
      </c>
      <c r="AF86" s="103">
        <v>46076</v>
      </c>
      <c r="AG86" s="90">
        <f t="shared" si="9"/>
        <v>31</v>
      </c>
      <c r="AH86" s="103">
        <v>46137</v>
      </c>
      <c r="AI86" s="96"/>
      <c r="AJ86" s="427">
        <f t="shared" si="11"/>
        <v>61</v>
      </c>
      <c r="AK86" s="96"/>
      <c r="AL86" s="92"/>
      <c r="AM86" s="91"/>
      <c r="AN86" s="91"/>
      <c r="AO86" s="96"/>
      <c r="AP86" s="105"/>
      <c r="AQ86" s="105"/>
      <c r="AR86" s="105"/>
      <c r="AS86" s="105"/>
    </row>
    <row r="87" spans="1:45" ht="12" customHeight="1" x14ac:dyDescent="0.25">
      <c r="A87" s="90">
        <v>86</v>
      </c>
      <c r="B87" s="91"/>
      <c r="C87" s="91" t="s">
        <v>434</v>
      </c>
      <c r="D87" s="92" t="s">
        <v>3012</v>
      </c>
      <c r="E87" s="91" t="s">
        <v>1037</v>
      </c>
      <c r="F87" s="91" t="s">
        <v>0</v>
      </c>
      <c r="G87" s="56" t="s">
        <v>2441</v>
      </c>
      <c r="H87" s="91">
        <v>160</v>
      </c>
      <c r="I87" s="91" t="s">
        <v>89</v>
      </c>
      <c r="J87" s="91" t="s">
        <v>8</v>
      </c>
      <c r="K87" s="92" t="s">
        <v>50</v>
      </c>
      <c r="L87" s="93" t="str">
        <f>VLOOKUP(G87,'SKU 对应关系'!A:E,4,0)</f>
        <v>G1-DT</v>
      </c>
      <c r="M87" s="94" t="str">
        <f>_xlfn.IFNA(VLOOKUP(G87,'SKU 对应关系'!A:B,2,0),"")</f>
        <v>G1-DT 电子球形把手锁 沙漠钛色</v>
      </c>
      <c r="N87" s="95" t="str">
        <f>_xlfn.IFNA(VLOOKUP(G87,'SKU 对应关系'!$A:$D,3,0),"")</f>
        <v>G1</v>
      </c>
      <c r="O87" s="96">
        <v>10</v>
      </c>
      <c r="P87" s="455">
        <v>134.09090909090909</v>
      </c>
      <c r="Q87" s="96" t="s">
        <v>16</v>
      </c>
      <c r="R87" s="91">
        <v>3.1</v>
      </c>
      <c r="S87" s="95"/>
      <c r="T87" s="98">
        <v>13.605442176870747</v>
      </c>
      <c r="U87" s="99">
        <f t="shared" si="12"/>
        <v>429.28726035868891</v>
      </c>
      <c r="V87" s="100">
        <f t="shared" si="7"/>
        <v>2.6830453772418057</v>
      </c>
      <c r="W87" s="101">
        <f t="shared" si="10"/>
        <v>0.40045453391668739</v>
      </c>
      <c r="X87" s="95"/>
      <c r="Y87" s="95"/>
      <c r="Z87" s="102"/>
      <c r="AA87" s="103">
        <v>46045</v>
      </c>
      <c r="AB87" s="103">
        <v>46067</v>
      </c>
      <c r="AC87" s="103"/>
      <c r="AD87" s="104">
        <f>IF(ISNA(VLOOKUP(D87,亚马逊入库配置费!B:F,5,0)),0,VLOOKUP(D87,亚马逊入库配置费!B:F,5,0))</f>
        <v>0.59022727272727271</v>
      </c>
      <c r="AE87" s="104">
        <f t="shared" si="8"/>
        <v>94.436363636363637</v>
      </c>
      <c r="AF87" s="103">
        <v>46076</v>
      </c>
      <c r="AG87" s="90">
        <f t="shared" si="9"/>
        <v>31</v>
      </c>
      <c r="AH87" s="103">
        <v>46137</v>
      </c>
      <c r="AI87" s="96"/>
      <c r="AJ87" s="427">
        <f t="shared" si="11"/>
        <v>61</v>
      </c>
      <c r="AK87" s="96"/>
      <c r="AL87" s="92"/>
      <c r="AM87" s="91"/>
      <c r="AN87" s="91"/>
      <c r="AO87" s="96"/>
      <c r="AP87" s="105"/>
      <c r="AQ87" s="105"/>
      <c r="AR87" s="105"/>
      <c r="AS87" s="105"/>
    </row>
    <row r="88" spans="1:45" ht="12" customHeight="1" x14ac:dyDescent="0.25">
      <c r="A88" s="90">
        <v>87</v>
      </c>
      <c r="B88" s="91"/>
      <c r="C88" s="91" t="s">
        <v>434</v>
      </c>
      <c r="D88" s="92" t="s">
        <v>3012</v>
      </c>
      <c r="E88" s="91" t="s">
        <v>1037</v>
      </c>
      <c r="F88" s="91" t="s">
        <v>0</v>
      </c>
      <c r="G88" s="56" t="s">
        <v>2443</v>
      </c>
      <c r="H88" s="91">
        <v>160</v>
      </c>
      <c r="I88" s="91" t="s">
        <v>89</v>
      </c>
      <c r="J88" s="91" t="s">
        <v>8</v>
      </c>
      <c r="K88" s="92" t="s">
        <v>50</v>
      </c>
      <c r="L88" s="93" t="str">
        <f>VLOOKUP(G88,'SKU 对应关系'!A:E,4,0)</f>
        <v>G1-SILV</v>
      </c>
      <c r="M88" s="94" t="str">
        <f>_xlfn.IFNA(VLOOKUP(G88,'SKU 对应关系'!A:B,2,0),"")</f>
        <v>G1-SILV 电子球形把手锁 银色</v>
      </c>
      <c r="N88" s="95" t="str">
        <f>_xlfn.IFNA(VLOOKUP(G88,'SKU 对应关系'!$A:$D,3,0),"")</f>
        <v>G1</v>
      </c>
      <c r="O88" s="96">
        <v>10</v>
      </c>
      <c r="P88" s="455">
        <v>134.09090909090909</v>
      </c>
      <c r="Q88" s="96" t="s">
        <v>16</v>
      </c>
      <c r="R88" s="91">
        <v>3.1</v>
      </c>
      <c r="S88" s="95"/>
      <c r="T88" s="98">
        <v>13.605442176870747</v>
      </c>
      <c r="U88" s="99">
        <f t="shared" si="12"/>
        <v>429.28726035868891</v>
      </c>
      <c r="V88" s="100">
        <f t="shared" si="7"/>
        <v>2.6830453772418057</v>
      </c>
      <c r="W88" s="101">
        <f t="shared" si="10"/>
        <v>0.40045453391668739</v>
      </c>
      <c r="X88" s="95"/>
      <c r="Y88" s="95"/>
      <c r="Z88" s="102"/>
      <c r="AA88" s="103">
        <v>46045</v>
      </c>
      <c r="AB88" s="103">
        <v>46067</v>
      </c>
      <c r="AC88" s="103"/>
      <c r="AD88" s="104">
        <f>IF(ISNA(VLOOKUP(D88,亚马逊入库配置费!B:F,5,0)),0,VLOOKUP(D88,亚马逊入库配置费!B:F,5,0))</f>
        <v>0.59022727272727271</v>
      </c>
      <c r="AE88" s="104">
        <f t="shared" si="8"/>
        <v>94.436363636363637</v>
      </c>
      <c r="AF88" s="103">
        <v>46076</v>
      </c>
      <c r="AG88" s="90">
        <f t="shared" si="9"/>
        <v>31</v>
      </c>
      <c r="AH88" s="103">
        <v>46137</v>
      </c>
      <c r="AI88" s="96"/>
      <c r="AJ88" s="427">
        <f t="shared" si="11"/>
        <v>61</v>
      </c>
      <c r="AK88" s="96"/>
      <c r="AL88" s="92"/>
      <c r="AM88" s="91"/>
      <c r="AN88" s="91"/>
      <c r="AO88" s="96"/>
      <c r="AP88" s="105"/>
      <c r="AQ88" s="105"/>
      <c r="AR88" s="105"/>
      <c r="AS88" s="105"/>
    </row>
    <row r="89" spans="1:45" ht="12" customHeight="1" x14ac:dyDescent="0.25">
      <c r="A89" s="90">
        <v>88</v>
      </c>
      <c r="B89" s="91"/>
      <c r="C89" s="91" t="s">
        <v>446</v>
      </c>
      <c r="D89" s="92" t="s">
        <v>3013</v>
      </c>
      <c r="E89" s="91" t="s">
        <v>1971</v>
      </c>
      <c r="F89" s="91" t="s">
        <v>87</v>
      </c>
      <c r="G89" s="56" t="s">
        <v>298</v>
      </c>
      <c r="H89" s="91">
        <v>228</v>
      </c>
      <c r="I89" s="91" t="s">
        <v>89</v>
      </c>
      <c r="J89" s="91" t="s">
        <v>90</v>
      </c>
      <c r="K89" s="92" t="s">
        <v>280</v>
      </c>
      <c r="L89" s="93" t="str">
        <f>VLOOKUP(G89,'SKU 对应关系'!A:E,4,0)</f>
        <v>H2-B</v>
      </c>
      <c r="M89" s="94" t="str">
        <f>_xlfn.IFNA(VLOOKUP(G89,'SKU 对应关系'!A:B,2,0),"")</f>
        <v>H2-B 电子指纹球形把手锁-黑色</v>
      </c>
      <c r="N89" s="95" t="str">
        <f>_xlfn.IFNA(VLOOKUP(G89,'SKU 对应关系'!$A:$D,3,0),"")</f>
        <v>H2</v>
      </c>
      <c r="O89" s="96">
        <v>19</v>
      </c>
      <c r="P89" s="455">
        <v>266.65517241379314</v>
      </c>
      <c r="Q89" s="96" t="s">
        <v>16</v>
      </c>
      <c r="R89" s="91">
        <v>6</v>
      </c>
      <c r="S89" s="95"/>
      <c r="T89" s="98">
        <v>108.57142857142857</v>
      </c>
      <c r="U89" s="99">
        <f t="shared" si="12"/>
        <v>1708.5024630541875</v>
      </c>
      <c r="V89" s="100">
        <f t="shared" si="7"/>
        <v>7.4934318555008224</v>
      </c>
      <c r="W89" s="101">
        <f t="shared" si="10"/>
        <v>1.1184226650001228</v>
      </c>
      <c r="X89" s="95"/>
      <c r="Y89" s="95"/>
      <c r="Z89" s="102"/>
      <c r="AA89" s="103">
        <v>46045</v>
      </c>
      <c r="AB89" s="103">
        <v>46093</v>
      </c>
      <c r="AC89" s="103"/>
      <c r="AD89" s="104">
        <f>IF(ISNA(VLOOKUP(D89,亚马逊入库配置费!B:F,5,0)),0,VLOOKUP(D89,亚马逊入库配置费!B:F,5,0))</f>
        <v>0</v>
      </c>
      <c r="AE89" s="104">
        <f t="shared" si="8"/>
        <v>0</v>
      </c>
      <c r="AF89" s="103">
        <v>46097</v>
      </c>
      <c r="AG89" s="90">
        <f t="shared" si="9"/>
        <v>52</v>
      </c>
      <c r="AH89" s="103">
        <v>46107</v>
      </c>
      <c r="AI89" s="96">
        <v>227</v>
      </c>
      <c r="AJ89" s="427">
        <f t="shared" si="11"/>
        <v>10</v>
      </c>
      <c r="AK89" s="96"/>
      <c r="AL89" s="92"/>
      <c r="AM89" s="91"/>
      <c r="AN89" s="91"/>
      <c r="AO89" s="96"/>
      <c r="AP89" s="105"/>
      <c r="AQ89" s="105"/>
      <c r="AR89" s="105"/>
      <c r="AS89" s="105"/>
    </row>
    <row r="90" spans="1:45" ht="12" customHeight="1" x14ac:dyDescent="0.25">
      <c r="A90" s="90">
        <v>89</v>
      </c>
      <c r="B90" s="91"/>
      <c r="C90" s="91" t="s">
        <v>446</v>
      </c>
      <c r="D90" s="92" t="s">
        <v>3013</v>
      </c>
      <c r="E90" s="91" t="s">
        <v>1971</v>
      </c>
      <c r="F90" s="91" t="s">
        <v>87</v>
      </c>
      <c r="G90" s="56" t="s">
        <v>2129</v>
      </c>
      <c r="H90" s="91">
        <v>120</v>
      </c>
      <c r="I90" s="91" t="s">
        <v>89</v>
      </c>
      <c r="J90" s="91" t="s">
        <v>90</v>
      </c>
      <c r="K90" s="92" t="s">
        <v>280</v>
      </c>
      <c r="L90" s="93" t="str">
        <f>VLOOKUP(G90,'SKU 对应关系'!A:E,4,0)</f>
        <v>H2-SILV</v>
      </c>
      <c r="M90" s="94" t="str">
        <f>_xlfn.IFNA(VLOOKUP(G90,'SKU 对应关系'!A:B,2,0),"")</f>
        <v>H2-SILV 电子指纹球形把手锁-银色</v>
      </c>
      <c r="N90" s="95" t="str">
        <f>_xlfn.IFNA(VLOOKUP(G90,'SKU 对应关系'!$A:$D,3,0),"")</f>
        <v>H2</v>
      </c>
      <c r="O90" s="96">
        <v>10</v>
      </c>
      <c r="P90" s="455">
        <v>140.34482758620692</v>
      </c>
      <c r="Q90" s="96" t="s">
        <v>16</v>
      </c>
      <c r="R90" s="91">
        <v>6</v>
      </c>
      <c r="S90" s="95"/>
      <c r="T90" s="98">
        <v>57.142857142857146</v>
      </c>
      <c r="U90" s="99">
        <f t="shared" si="12"/>
        <v>899.21182266009862</v>
      </c>
      <c r="V90" s="100">
        <f t="shared" si="7"/>
        <v>7.4934318555008215</v>
      </c>
      <c r="W90" s="101">
        <f t="shared" si="10"/>
        <v>1.1184226650001226</v>
      </c>
      <c r="X90" s="95"/>
      <c r="Y90" s="95"/>
      <c r="Z90" s="102"/>
      <c r="AA90" s="103">
        <v>46045</v>
      </c>
      <c r="AB90" s="103">
        <v>46093</v>
      </c>
      <c r="AC90" s="103"/>
      <c r="AD90" s="104">
        <f>IF(ISNA(VLOOKUP(D90,亚马逊入库配置费!B:F,5,0)),0,VLOOKUP(D90,亚马逊入库配置费!B:F,5,0))</f>
        <v>0</v>
      </c>
      <c r="AE90" s="104">
        <f t="shared" si="8"/>
        <v>0</v>
      </c>
      <c r="AF90" s="103">
        <v>46097</v>
      </c>
      <c r="AG90" s="90">
        <f t="shared" si="9"/>
        <v>52</v>
      </c>
      <c r="AH90" s="103">
        <v>46107</v>
      </c>
      <c r="AI90" s="96">
        <v>120</v>
      </c>
      <c r="AJ90" s="427">
        <f t="shared" si="11"/>
        <v>10</v>
      </c>
      <c r="AK90" s="96"/>
      <c r="AL90" s="92"/>
      <c r="AM90" s="91"/>
      <c r="AN90" s="91"/>
      <c r="AO90" s="96"/>
      <c r="AP90" s="105"/>
      <c r="AQ90" s="105"/>
      <c r="AR90" s="105"/>
      <c r="AS90" s="105"/>
    </row>
    <row r="91" spans="1:45" ht="12" customHeight="1" x14ac:dyDescent="0.25">
      <c r="A91" s="90">
        <v>90</v>
      </c>
      <c r="B91" s="91"/>
      <c r="C91" s="91" t="s">
        <v>3110</v>
      </c>
      <c r="D91" s="92" t="s">
        <v>3111</v>
      </c>
      <c r="E91" s="91" t="s">
        <v>254</v>
      </c>
      <c r="F91" s="91" t="s">
        <v>255</v>
      </c>
      <c r="G91" s="56" t="s">
        <v>163</v>
      </c>
      <c r="H91" s="91">
        <v>440</v>
      </c>
      <c r="I91" s="91" t="s">
        <v>89</v>
      </c>
      <c r="J91" s="91" t="s">
        <v>2313</v>
      </c>
      <c r="K91" s="92" t="s">
        <v>437</v>
      </c>
      <c r="L91" s="93" t="str">
        <f>VLOOKUP(G91,'SKU 对应关系'!A:E,4,0)</f>
        <v>AN6-B</v>
      </c>
      <c r="M91" s="94" t="str">
        <f>_xlfn.IFNA(VLOOKUP(G91,'SKU 对应关系'!A:B,2,0),"")</f>
        <v>AN6-B 便携式扩香仪 黑色</v>
      </c>
      <c r="N91" s="95" t="str">
        <f>_xlfn.IFNA(VLOOKUP(G91,'SKU 对应关系'!$A:$D,3,0),"")</f>
        <v>AN6</v>
      </c>
      <c r="O91" s="96">
        <v>11</v>
      </c>
      <c r="P91" s="455">
        <v>0.52433333333333332</v>
      </c>
      <c r="Q91" s="96" t="s">
        <v>3264</v>
      </c>
      <c r="R91" s="91">
        <v>750</v>
      </c>
      <c r="S91" s="95">
        <v>550</v>
      </c>
      <c r="T91" s="98">
        <v>201.66666666666663</v>
      </c>
      <c r="U91" s="99">
        <f t="shared" ref="U91:U154" si="13">R91*P91+T91</f>
        <v>594.91666666666663</v>
      </c>
      <c r="V91" s="100">
        <f t="shared" si="7"/>
        <v>1.3520833333333333</v>
      </c>
      <c r="W91" s="101">
        <f t="shared" si="10"/>
        <v>0.20180348258706465</v>
      </c>
      <c r="X91" s="95"/>
      <c r="Y91" s="95"/>
      <c r="Z91" s="102" t="s">
        <v>3513</v>
      </c>
      <c r="AA91" s="103">
        <v>46051</v>
      </c>
      <c r="AB91" s="103">
        <v>46094</v>
      </c>
      <c r="AC91" s="103"/>
      <c r="AD91" s="104">
        <f>IF(ISNA(VLOOKUP(D91,亚马逊入库配置费!B:F,5,0)),0,VLOOKUP(D91,亚马逊入库配置费!B:F,5,0))</f>
        <v>0</v>
      </c>
      <c r="AE91" s="104">
        <f t="shared" si="8"/>
        <v>0</v>
      </c>
      <c r="AF91" s="103">
        <v>46099</v>
      </c>
      <c r="AG91" s="90">
        <f t="shared" si="9"/>
        <v>48</v>
      </c>
      <c r="AH91" s="103">
        <v>46114</v>
      </c>
      <c r="AI91" s="96">
        <v>440</v>
      </c>
      <c r="AJ91" s="427">
        <f t="shared" si="11"/>
        <v>15</v>
      </c>
      <c r="AK91" s="96"/>
      <c r="AL91" s="92"/>
      <c r="AM91" s="91"/>
      <c r="AN91" s="91"/>
      <c r="AO91" s="96"/>
      <c r="AP91" s="105"/>
      <c r="AQ91" s="105"/>
      <c r="AR91" s="105"/>
      <c r="AS91" s="105"/>
    </row>
    <row r="92" spans="1:45" ht="12" customHeight="1" x14ac:dyDescent="0.25">
      <c r="A92" s="90">
        <v>91</v>
      </c>
      <c r="B92" s="91"/>
      <c r="C92" s="91" t="s">
        <v>3110</v>
      </c>
      <c r="D92" s="92" t="s">
        <v>3111</v>
      </c>
      <c r="E92" s="91" t="s">
        <v>254</v>
      </c>
      <c r="F92" s="91" t="s">
        <v>255</v>
      </c>
      <c r="G92" s="56" t="s">
        <v>350</v>
      </c>
      <c r="H92" s="91">
        <v>120</v>
      </c>
      <c r="I92" s="91" t="s">
        <v>89</v>
      </c>
      <c r="J92" s="91" t="s">
        <v>2313</v>
      </c>
      <c r="K92" s="92" t="s">
        <v>437</v>
      </c>
      <c r="L92" s="93" t="str">
        <f>VLOOKUP(G92,'SKU 对应关系'!A:E,4,0)</f>
        <v>AN6-GL</v>
      </c>
      <c r="M92" s="94" t="str">
        <f>_xlfn.IFNA(VLOOKUP(G92,'SKU 对应关系'!A:B,2,0),"")</f>
        <v>AN6-GL 便携式扩香仪 翠百合色</v>
      </c>
      <c r="N92" s="95" t="str">
        <f>_xlfn.IFNA(VLOOKUP(G92,'SKU 对应关系'!$A:$D,3,0),"")</f>
        <v>AN6</v>
      </c>
      <c r="O92" s="96">
        <v>3</v>
      </c>
      <c r="P92" s="455">
        <v>0.14299999999999999</v>
      </c>
      <c r="Q92" s="96" t="s">
        <v>3264</v>
      </c>
      <c r="R92" s="91">
        <v>750</v>
      </c>
      <c r="S92" s="106">
        <f>SUMIF(C:C,C91,T:T)</f>
        <v>549.99999999999989</v>
      </c>
      <c r="T92" s="98">
        <v>54.999999999999986</v>
      </c>
      <c r="U92" s="99">
        <f t="shared" si="13"/>
        <v>162.24999999999997</v>
      </c>
      <c r="V92" s="100">
        <f t="shared" si="7"/>
        <v>1.3520833333333331</v>
      </c>
      <c r="W92" s="101">
        <f t="shared" si="10"/>
        <v>0.20180348258706463</v>
      </c>
      <c r="X92" s="95"/>
      <c r="Y92" s="95"/>
      <c r="Z92" s="102" t="s">
        <v>3513</v>
      </c>
      <c r="AA92" s="103">
        <v>46051</v>
      </c>
      <c r="AB92" s="103">
        <v>46094</v>
      </c>
      <c r="AC92" s="103"/>
      <c r="AD92" s="104">
        <f>IF(ISNA(VLOOKUP(D92,亚马逊入库配置费!B:F,5,0)),0,VLOOKUP(D92,亚马逊入库配置费!B:F,5,0))</f>
        <v>0</v>
      </c>
      <c r="AE92" s="104">
        <f t="shared" si="8"/>
        <v>0</v>
      </c>
      <c r="AF92" s="103">
        <v>46099</v>
      </c>
      <c r="AG92" s="90">
        <f t="shared" si="9"/>
        <v>48</v>
      </c>
      <c r="AH92" s="103">
        <v>46114</v>
      </c>
      <c r="AI92" s="96">
        <v>120</v>
      </c>
      <c r="AJ92" s="427">
        <f t="shared" si="11"/>
        <v>15</v>
      </c>
      <c r="AK92" s="96"/>
      <c r="AL92" s="92"/>
      <c r="AM92" s="91"/>
      <c r="AN92" s="91"/>
      <c r="AO92" s="96"/>
      <c r="AP92" s="105"/>
      <c r="AQ92" s="105"/>
      <c r="AR92" s="105"/>
      <c r="AS92" s="105"/>
    </row>
    <row r="93" spans="1:45" ht="12" customHeight="1" x14ac:dyDescent="0.25">
      <c r="A93" s="90">
        <v>92</v>
      </c>
      <c r="B93" s="91"/>
      <c r="C93" s="91" t="s">
        <v>3110</v>
      </c>
      <c r="D93" s="92" t="s">
        <v>3111</v>
      </c>
      <c r="E93" s="91" t="s">
        <v>254</v>
      </c>
      <c r="F93" s="91" t="s">
        <v>255</v>
      </c>
      <c r="G93" s="56" t="s">
        <v>165</v>
      </c>
      <c r="H93" s="91">
        <v>320</v>
      </c>
      <c r="I93" s="91" t="s">
        <v>89</v>
      </c>
      <c r="J93" s="91" t="s">
        <v>2313</v>
      </c>
      <c r="K93" s="92" t="s">
        <v>437</v>
      </c>
      <c r="L93" s="93" t="str">
        <f>VLOOKUP(G93,'SKU 对应关系'!A:E,4,0)</f>
        <v>AN6-W</v>
      </c>
      <c r="M93" s="94" t="str">
        <f>_xlfn.IFNA(VLOOKUP(G93,'SKU 对应关系'!A:B,2,0),"")</f>
        <v>AN6-W 便携式扩香仪 白色</v>
      </c>
      <c r="N93" s="95" t="str">
        <f>_xlfn.IFNA(VLOOKUP(G93,'SKU 对应关系'!$A:$D,3,0),"")</f>
        <v>AN6</v>
      </c>
      <c r="O93" s="96">
        <v>8</v>
      </c>
      <c r="P93" s="455">
        <v>0.3813333333333333</v>
      </c>
      <c r="Q93" s="96" t="s">
        <v>3264</v>
      </c>
      <c r="R93" s="91">
        <v>750</v>
      </c>
      <c r="S93" s="95"/>
      <c r="T93" s="98">
        <v>146.66666666666663</v>
      </c>
      <c r="U93" s="99">
        <f t="shared" si="13"/>
        <v>432.66666666666663</v>
      </c>
      <c r="V93" s="100">
        <f t="shared" si="7"/>
        <v>1.3520833333333333</v>
      </c>
      <c r="W93" s="101">
        <f t="shared" si="10"/>
        <v>0.20180348258706465</v>
      </c>
      <c r="X93" s="95"/>
      <c r="Y93" s="95"/>
      <c r="Z93" s="102" t="s">
        <v>3513</v>
      </c>
      <c r="AA93" s="103">
        <v>46051</v>
      </c>
      <c r="AB93" s="103">
        <v>46094</v>
      </c>
      <c r="AC93" s="103"/>
      <c r="AD93" s="104">
        <f>IF(ISNA(VLOOKUP(D93,亚马逊入库配置费!B:F,5,0)),0,VLOOKUP(D93,亚马逊入库配置费!B:F,5,0))</f>
        <v>0</v>
      </c>
      <c r="AE93" s="104">
        <f t="shared" si="8"/>
        <v>0</v>
      </c>
      <c r="AF93" s="103">
        <v>46099</v>
      </c>
      <c r="AG93" s="90">
        <f t="shared" si="9"/>
        <v>48</v>
      </c>
      <c r="AH93" s="103">
        <v>46114</v>
      </c>
      <c r="AI93" s="96">
        <v>320</v>
      </c>
      <c r="AJ93" s="427">
        <f t="shared" si="11"/>
        <v>15</v>
      </c>
      <c r="AK93" s="96"/>
      <c r="AL93" s="92"/>
      <c r="AM93" s="91"/>
      <c r="AN93" s="91"/>
      <c r="AO93" s="96"/>
      <c r="AP93" s="105"/>
      <c r="AQ93" s="105"/>
      <c r="AR93" s="105"/>
      <c r="AS93" s="105"/>
    </row>
    <row r="94" spans="1:45" ht="12" customHeight="1" x14ac:dyDescent="0.25">
      <c r="A94" s="90">
        <v>93</v>
      </c>
      <c r="B94" s="91"/>
      <c r="C94" s="91" t="s">
        <v>3110</v>
      </c>
      <c r="D94" s="92" t="s">
        <v>3111</v>
      </c>
      <c r="E94" s="91" t="s">
        <v>254</v>
      </c>
      <c r="F94" s="91" t="s">
        <v>255</v>
      </c>
      <c r="G94" s="56" t="s">
        <v>211</v>
      </c>
      <c r="H94" s="91">
        <v>180</v>
      </c>
      <c r="I94" s="91" t="s">
        <v>89</v>
      </c>
      <c r="J94" s="91" t="s">
        <v>2313</v>
      </c>
      <c r="K94" s="92" t="s">
        <v>437</v>
      </c>
      <c r="L94" s="93" t="str">
        <f>VLOOKUP(G94,'SKU 对应关系'!A:E,4,0)</f>
        <v>ANX-B</v>
      </c>
      <c r="M94" s="94" t="str">
        <f>_xlfn.IFNA(VLOOKUP(G94,'SKU 对应关系'!A:B,2,0),"")</f>
        <v>ANX-B 便携式扩香仪 黑色</v>
      </c>
      <c r="N94" s="95" t="str">
        <f>_xlfn.IFNA(VLOOKUP(G94,'SKU 对应关系'!$A:$D,3,0),"")</f>
        <v>ANX</v>
      </c>
      <c r="O94" s="96">
        <v>6</v>
      </c>
      <c r="P94" s="455">
        <v>0.28599999999999998</v>
      </c>
      <c r="Q94" s="96" t="s">
        <v>3264</v>
      </c>
      <c r="R94" s="91">
        <v>750</v>
      </c>
      <c r="S94" s="95"/>
      <c r="T94" s="98">
        <v>109.99999999999997</v>
      </c>
      <c r="U94" s="99">
        <f t="shared" si="13"/>
        <v>324.49999999999994</v>
      </c>
      <c r="V94" s="100">
        <f t="shared" si="7"/>
        <v>1.8027777777777774</v>
      </c>
      <c r="W94" s="101">
        <f t="shared" si="10"/>
        <v>0.26907131011608615</v>
      </c>
      <c r="X94" s="95"/>
      <c r="Y94" s="95"/>
      <c r="Z94" s="102" t="s">
        <v>3513</v>
      </c>
      <c r="AA94" s="103">
        <v>46051</v>
      </c>
      <c r="AB94" s="103">
        <v>46094</v>
      </c>
      <c r="AC94" s="103"/>
      <c r="AD94" s="104">
        <f>IF(ISNA(VLOOKUP(D94,亚马逊入库配置费!B:F,5,0)),0,VLOOKUP(D94,亚马逊入库配置费!B:F,5,0))</f>
        <v>0</v>
      </c>
      <c r="AE94" s="104">
        <f t="shared" si="8"/>
        <v>0</v>
      </c>
      <c r="AF94" s="103">
        <v>46099</v>
      </c>
      <c r="AG94" s="90">
        <f t="shared" si="9"/>
        <v>48</v>
      </c>
      <c r="AH94" s="103">
        <v>46114</v>
      </c>
      <c r="AI94" s="96">
        <v>180</v>
      </c>
      <c r="AJ94" s="427">
        <f t="shared" si="11"/>
        <v>15</v>
      </c>
      <c r="AK94" s="96"/>
      <c r="AL94" s="92"/>
      <c r="AM94" s="91"/>
      <c r="AN94" s="91"/>
      <c r="AO94" s="96"/>
      <c r="AP94" s="105"/>
      <c r="AQ94" s="105"/>
      <c r="AR94" s="105"/>
      <c r="AS94" s="105"/>
    </row>
    <row r="95" spans="1:45" ht="12" customHeight="1" x14ac:dyDescent="0.25">
      <c r="A95" s="90">
        <v>94</v>
      </c>
      <c r="B95" s="91"/>
      <c r="C95" s="91" t="s">
        <v>3110</v>
      </c>
      <c r="D95" s="92" t="s">
        <v>3111</v>
      </c>
      <c r="E95" s="91" t="s">
        <v>254</v>
      </c>
      <c r="F95" s="91" t="s">
        <v>255</v>
      </c>
      <c r="G95" s="56" t="s">
        <v>213</v>
      </c>
      <c r="H95" s="91">
        <v>60</v>
      </c>
      <c r="I95" s="91" t="s">
        <v>89</v>
      </c>
      <c r="J95" s="91" t="s">
        <v>2313</v>
      </c>
      <c r="K95" s="92" t="s">
        <v>437</v>
      </c>
      <c r="L95" s="93" t="str">
        <f>VLOOKUP(G95,'SKU 对应关系'!A:E,4,0)</f>
        <v>ANX-DT</v>
      </c>
      <c r="M95" s="94" t="str">
        <f>_xlfn.IFNA(VLOOKUP(G95,'SKU 对应关系'!A:B,2,0),"")</f>
        <v>ANX-DT 便携式扩香仪 沙漠钛色</v>
      </c>
      <c r="N95" s="95" t="str">
        <f>_xlfn.IFNA(VLOOKUP(G95,'SKU 对应关系'!$A:$D,3,0),"")</f>
        <v>ANX</v>
      </c>
      <c r="O95" s="96">
        <v>2</v>
      </c>
      <c r="P95" s="455">
        <v>9.5333333333333325E-2</v>
      </c>
      <c r="Q95" s="96" t="s">
        <v>3264</v>
      </c>
      <c r="R95" s="91">
        <v>750</v>
      </c>
      <c r="S95" s="95"/>
      <c r="T95" s="98">
        <v>36.666666666666657</v>
      </c>
      <c r="U95" s="99">
        <f t="shared" si="13"/>
        <v>108.16666666666666</v>
      </c>
      <c r="V95" s="100">
        <f t="shared" si="7"/>
        <v>1.8027777777777776</v>
      </c>
      <c r="W95" s="101">
        <f t="shared" si="10"/>
        <v>0.2690713101160862</v>
      </c>
      <c r="X95" s="95"/>
      <c r="Y95" s="95"/>
      <c r="Z95" s="102" t="s">
        <v>3513</v>
      </c>
      <c r="AA95" s="103">
        <v>46051</v>
      </c>
      <c r="AB95" s="103">
        <v>46094</v>
      </c>
      <c r="AC95" s="103"/>
      <c r="AD95" s="104">
        <f>IF(ISNA(VLOOKUP(D95,亚马逊入库配置费!B:F,5,0)),0,VLOOKUP(D95,亚马逊入库配置费!B:F,5,0))</f>
        <v>0</v>
      </c>
      <c r="AE95" s="104">
        <f t="shared" si="8"/>
        <v>0</v>
      </c>
      <c r="AF95" s="103">
        <v>46099</v>
      </c>
      <c r="AG95" s="90">
        <f t="shared" si="9"/>
        <v>48</v>
      </c>
      <c r="AH95" s="103">
        <v>46114</v>
      </c>
      <c r="AI95" s="96">
        <v>60</v>
      </c>
      <c r="AJ95" s="427">
        <f t="shared" si="11"/>
        <v>15</v>
      </c>
      <c r="AK95" s="96"/>
      <c r="AL95" s="92"/>
      <c r="AM95" s="91"/>
      <c r="AN95" s="91"/>
      <c r="AO95" s="96"/>
      <c r="AP95" s="105"/>
      <c r="AQ95" s="105"/>
      <c r="AR95" s="105"/>
      <c r="AS95" s="105"/>
    </row>
    <row r="96" spans="1:45" ht="12" customHeight="1" x14ac:dyDescent="0.25">
      <c r="A96" s="90">
        <v>95</v>
      </c>
      <c r="B96" s="91"/>
      <c r="C96" s="91" t="s">
        <v>3112</v>
      </c>
      <c r="D96" s="92" t="s">
        <v>3113</v>
      </c>
      <c r="E96" s="91" t="s">
        <v>97</v>
      </c>
      <c r="F96" s="91" t="s">
        <v>0</v>
      </c>
      <c r="G96" s="56" t="s">
        <v>2888</v>
      </c>
      <c r="H96" s="91">
        <v>390</v>
      </c>
      <c r="I96" s="91" t="s">
        <v>89</v>
      </c>
      <c r="J96" s="91" t="s">
        <v>8</v>
      </c>
      <c r="K96" s="92" t="s">
        <v>15</v>
      </c>
      <c r="L96" s="93" t="str">
        <f>VLOOKUP(G96,'SKU 对应关系'!A:E,4,0)</f>
        <v>ADXKIT-B_4X10K04_TZ</v>
      </c>
      <c r="M96" s="94" t="str">
        <f>_xlfn.IFNA(VLOOKUP(G96,'SKU 对应关系'!A:B,2,0),"")</f>
        <v>ADXKIT-B_4X10K04_TZ ADX黑色机器+4x10mL酒店（天竺）香氛油 机油套装</v>
      </c>
      <c r="N96" s="95" t="str">
        <f>_xlfn.IFNA(VLOOKUP(G96,'SKU 对应关系'!$A:$D,3,0),"")</f>
        <v>ADX</v>
      </c>
      <c r="O96" s="96">
        <v>13</v>
      </c>
      <c r="P96" s="455">
        <v>194.69</v>
      </c>
      <c r="Q96" s="96" t="s">
        <v>16</v>
      </c>
      <c r="R96" s="91">
        <v>3.9</v>
      </c>
      <c r="S96" s="95">
        <v>200</v>
      </c>
      <c r="T96" s="98">
        <v>11.403508771929825</v>
      </c>
      <c r="U96" s="99">
        <f t="shared" si="13"/>
        <v>770.6945087719298</v>
      </c>
      <c r="V96" s="100">
        <f t="shared" si="7"/>
        <v>1.9761397660818714</v>
      </c>
      <c r="W96" s="101">
        <f t="shared" si="10"/>
        <v>0.29494623374356288</v>
      </c>
      <c r="X96" s="95"/>
      <c r="Y96" s="95"/>
      <c r="Z96" s="102"/>
      <c r="AA96" s="103">
        <v>46051</v>
      </c>
      <c r="AB96" s="103">
        <v>46075</v>
      </c>
      <c r="AC96" s="103"/>
      <c r="AD96" s="104">
        <f>IF(ISNA(VLOOKUP(D96,亚马逊入库配置费!B:F,5,0)),0,VLOOKUP(D96,亚马逊入库配置费!B:F,5,0))</f>
        <v>0.44</v>
      </c>
      <c r="AE96" s="104">
        <f t="shared" si="8"/>
        <v>171.6</v>
      </c>
      <c r="AF96" s="103">
        <v>46084</v>
      </c>
      <c r="AG96" s="90">
        <f t="shared" si="9"/>
        <v>33</v>
      </c>
      <c r="AH96" s="103">
        <v>46116</v>
      </c>
      <c r="AI96" s="96">
        <v>390</v>
      </c>
      <c r="AJ96" s="427">
        <f t="shared" si="11"/>
        <v>32</v>
      </c>
      <c r="AK96" s="96"/>
      <c r="AL96" s="92"/>
      <c r="AM96" s="91"/>
      <c r="AN96" s="91"/>
      <c r="AO96" s="96"/>
      <c r="AP96" s="105"/>
      <c r="AQ96" s="105"/>
      <c r="AR96" s="105"/>
      <c r="AS96" s="105"/>
    </row>
    <row r="97" spans="1:45" ht="12" customHeight="1" x14ac:dyDescent="0.25">
      <c r="A97" s="90">
        <v>96</v>
      </c>
      <c r="B97" s="91"/>
      <c r="C97" s="91" t="s">
        <v>3112</v>
      </c>
      <c r="D97" s="92" t="s">
        <v>3114</v>
      </c>
      <c r="E97" s="91" t="s">
        <v>97</v>
      </c>
      <c r="F97" s="91" t="s">
        <v>0</v>
      </c>
      <c r="G97" s="56" t="s">
        <v>163</v>
      </c>
      <c r="H97" s="91">
        <v>1000</v>
      </c>
      <c r="I97" s="91" t="s">
        <v>89</v>
      </c>
      <c r="J97" s="91" t="s">
        <v>8</v>
      </c>
      <c r="K97" s="92" t="s">
        <v>15</v>
      </c>
      <c r="L97" s="93" t="str">
        <f>VLOOKUP(G97,'SKU 对应关系'!A:E,4,0)</f>
        <v>AN6-B</v>
      </c>
      <c r="M97" s="94" t="str">
        <f>_xlfn.IFNA(VLOOKUP(G97,'SKU 对应关系'!A:B,2,0),"")</f>
        <v>AN6-B 便携式扩香仪 黑色</v>
      </c>
      <c r="N97" s="95" t="str">
        <f>_xlfn.IFNA(VLOOKUP(G97,'SKU 对应关系'!$A:$D,3,0),"")</f>
        <v>AN6</v>
      </c>
      <c r="O97" s="96">
        <v>25</v>
      </c>
      <c r="P97" s="455">
        <v>374.40517241379314</v>
      </c>
      <c r="Q97" s="96" t="s">
        <v>16</v>
      </c>
      <c r="R97" s="91">
        <v>3.9</v>
      </c>
      <c r="S97" s="106">
        <f>SUMIF(C:C,C96,T:T)</f>
        <v>199.99999999999997</v>
      </c>
      <c r="T97" s="98">
        <v>21.92982456140351</v>
      </c>
      <c r="U97" s="99">
        <f t="shared" si="13"/>
        <v>1482.1099969751967</v>
      </c>
      <c r="V97" s="100">
        <f t="shared" si="7"/>
        <v>1.4821099969751967</v>
      </c>
      <c r="W97" s="101">
        <f t="shared" si="10"/>
        <v>0.22121044730973086</v>
      </c>
      <c r="X97" s="95"/>
      <c r="Y97" s="95"/>
      <c r="Z97" s="102"/>
      <c r="AA97" s="103">
        <v>46051</v>
      </c>
      <c r="AB97" s="103">
        <v>46075</v>
      </c>
      <c r="AC97" s="103"/>
      <c r="AD97" s="104">
        <f>IF(ISNA(VLOOKUP(D97,亚马逊入库配置费!B:F,5,0)),0,VLOOKUP(D97,亚马逊入库配置费!B:F,5,0))</f>
        <v>0.36</v>
      </c>
      <c r="AE97" s="104">
        <f t="shared" si="8"/>
        <v>360</v>
      </c>
      <c r="AF97" s="103">
        <v>46084</v>
      </c>
      <c r="AG97" s="90">
        <f t="shared" si="9"/>
        <v>33</v>
      </c>
      <c r="AH97" s="103">
        <v>46119</v>
      </c>
      <c r="AI97" s="96">
        <v>1000</v>
      </c>
      <c r="AJ97" s="427">
        <f t="shared" si="11"/>
        <v>35</v>
      </c>
      <c r="AK97" s="96"/>
      <c r="AL97" s="92"/>
      <c r="AM97" s="91"/>
      <c r="AN97" s="91"/>
      <c r="AO97" s="96"/>
      <c r="AP97" s="105"/>
      <c r="AQ97" s="105"/>
      <c r="AR97" s="105"/>
      <c r="AS97" s="105"/>
    </row>
    <row r="98" spans="1:45" ht="12" customHeight="1" x14ac:dyDescent="0.25">
      <c r="A98" s="90">
        <v>97</v>
      </c>
      <c r="B98" s="91"/>
      <c r="C98" s="91" t="s">
        <v>3112</v>
      </c>
      <c r="D98" s="92" t="s">
        <v>3114</v>
      </c>
      <c r="E98" s="91" t="s">
        <v>97</v>
      </c>
      <c r="F98" s="91" t="s">
        <v>0</v>
      </c>
      <c r="G98" s="56" t="s">
        <v>876</v>
      </c>
      <c r="H98" s="91">
        <v>120</v>
      </c>
      <c r="I98" s="91" t="s">
        <v>89</v>
      </c>
      <c r="J98" s="91" t="s">
        <v>8</v>
      </c>
      <c r="K98" s="92" t="s">
        <v>15</v>
      </c>
      <c r="L98" s="93" t="str">
        <f>VLOOKUP(G98,'SKU 对应关系'!A:E,4,0)</f>
        <v>AN6-LV</v>
      </c>
      <c r="M98" s="94" t="str">
        <f>_xlfn.IFNA(VLOOKUP(G98,'SKU 对应关系'!A:B,2,0),"")</f>
        <v>AN6-LV 便携式扩香仪 薰衣草</v>
      </c>
      <c r="N98" s="95" t="str">
        <f>_xlfn.IFNA(VLOOKUP(G98,'SKU 对应关系'!$A:$D,3,0),"")</f>
        <v>AN6</v>
      </c>
      <c r="O98" s="96">
        <v>3</v>
      </c>
      <c r="P98" s="455">
        <v>44.928620689655176</v>
      </c>
      <c r="Q98" s="96" t="s">
        <v>16</v>
      </c>
      <c r="R98" s="91">
        <v>3.9</v>
      </c>
      <c r="S98" s="95"/>
      <c r="T98" s="98">
        <v>2.6315789473684212</v>
      </c>
      <c r="U98" s="99">
        <f t="shared" si="13"/>
        <v>177.85319963702361</v>
      </c>
      <c r="V98" s="100">
        <f t="shared" si="7"/>
        <v>1.4821099969751967</v>
      </c>
      <c r="W98" s="101">
        <f t="shared" si="10"/>
        <v>0.22121044730973086</v>
      </c>
      <c r="X98" s="95"/>
      <c r="Y98" s="95"/>
      <c r="Z98" s="102"/>
      <c r="AA98" s="103">
        <v>46051</v>
      </c>
      <c r="AB98" s="103">
        <v>46075</v>
      </c>
      <c r="AC98" s="103"/>
      <c r="AD98" s="104">
        <f>IF(ISNA(VLOOKUP(D98,亚马逊入库配置费!B:F,5,0)),0,VLOOKUP(D98,亚马逊入库配置费!B:F,5,0))</f>
        <v>0.36</v>
      </c>
      <c r="AE98" s="104">
        <f t="shared" si="8"/>
        <v>43.199999999999996</v>
      </c>
      <c r="AF98" s="103">
        <v>46084</v>
      </c>
      <c r="AG98" s="90">
        <f t="shared" si="9"/>
        <v>33</v>
      </c>
      <c r="AH98" s="103">
        <v>46119</v>
      </c>
      <c r="AI98" s="96">
        <v>120</v>
      </c>
      <c r="AJ98" s="427">
        <f t="shared" si="11"/>
        <v>35</v>
      </c>
      <c r="AK98" s="96"/>
      <c r="AL98" s="92"/>
      <c r="AM98" s="91"/>
      <c r="AN98" s="91"/>
      <c r="AO98" s="96"/>
      <c r="AP98" s="105"/>
      <c r="AQ98" s="105"/>
      <c r="AR98" s="105"/>
      <c r="AS98" s="105"/>
    </row>
    <row r="99" spans="1:45" ht="12" customHeight="1" x14ac:dyDescent="0.25">
      <c r="A99" s="90">
        <v>98</v>
      </c>
      <c r="B99" s="91"/>
      <c r="C99" s="91" t="s">
        <v>3112</v>
      </c>
      <c r="D99" s="92" t="s">
        <v>3114</v>
      </c>
      <c r="E99" s="91" t="s">
        <v>97</v>
      </c>
      <c r="F99" s="91" t="s">
        <v>0</v>
      </c>
      <c r="G99" s="56" t="s">
        <v>355</v>
      </c>
      <c r="H99" s="91">
        <v>200</v>
      </c>
      <c r="I99" s="91" t="s">
        <v>89</v>
      </c>
      <c r="J99" s="91" t="s">
        <v>8</v>
      </c>
      <c r="K99" s="92" t="s">
        <v>15</v>
      </c>
      <c r="L99" s="93" t="str">
        <f>VLOOKUP(G99,'SKU 对应关系'!A:E,4,0)</f>
        <v>AN6NZ-B</v>
      </c>
      <c r="M99" s="94" t="str">
        <f>_xlfn.IFNA(VLOOKUP(G99,'SKU 对应关系'!A:B,2,0),"")</f>
        <v>AN6NZ-B AN6喷嘴配件套装 黑色</v>
      </c>
      <c r="N99" s="95" t="str">
        <f>_xlfn.IFNA(VLOOKUP(G99,'SKU 对应关系'!$A:$D,3,0),"")</f>
        <v>AN6-AC</v>
      </c>
      <c r="O99" s="96">
        <v>1</v>
      </c>
      <c r="P99" s="455">
        <v>14.976206896551725</v>
      </c>
      <c r="Q99" s="96" t="s">
        <v>16</v>
      </c>
      <c r="R99" s="91">
        <v>3.9</v>
      </c>
      <c r="S99" s="95"/>
      <c r="T99" s="98">
        <v>0.8771929824561403</v>
      </c>
      <c r="U99" s="99">
        <f t="shared" si="13"/>
        <v>59.284399879007864</v>
      </c>
      <c r="V99" s="100">
        <f t="shared" si="7"/>
        <v>0.29642199939503933</v>
      </c>
      <c r="W99" s="101">
        <f t="shared" si="10"/>
        <v>4.4242089461946167E-2</v>
      </c>
      <c r="X99" s="95"/>
      <c r="Y99" s="95"/>
      <c r="Z99" s="102"/>
      <c r="AA99" s="103">
        <v>46051</v>
      </c>
      <c r="AB99" s="103">
        <v>46075</v>
      </c>
      <c r="AC99" s="103"/>
      <c r="AD99" s="104">
        <f>IF(ISNA(VLOOKUP(D99,亚马逊入库配置费!B:F,5,0)),0,VLOOKUP(D99,亚马逊入库配置费!B:F,5,0))</f>
        <v>0.36</v>
      </c>
      <c r="AE99" s="104">
        <f t="shared" si="8"/>
        <v>72</v>
      </c>
      <c r="AF99" s="103">
        <v>46084</v>
      </c>
      <c r="AG99" s="90">
        <f t="shared" si="9"/>
        <v>33</v>
      </c>
      <c r="AH99" s="103">
        <v>46119</v>
      </c>
      <c r="AI99" s="96">
        <v>198</v>
      </c>
      <c r="AJ99" s="427">
        <f t="shared" si="11"/>
        <v>35</v>
      </c>
      <c r="AK99" s="96"/>
      <c r="AL99" s="92"/>
      <c r="AM99" s="91"/>
      <c r="AN99" s="91"/>
      <c r="AO99" s="96"/>
      <c r="AP99" s="105"/>
      <c r="AQ99" s="105"/>
      <c r="AR99" s="105"/>
      <c r="AS99" s="105"/>
    </row>
    <row r="100" spans="1:45" ht="12" customHeight="1" x14ac:dyDescent="0.25">
      <c r="A100" s="90">
        <v>99</v>
      </c>
      <c r="B100" s="91"/>
      <c r="C100" s="91" t="s">
        <v>3112</v>
      </c>
      <c r="D100" s="92" t="s">
        <v>3115</v>
      </c>
      <c r="E100" s="91" t="s">
        <v>115</v>
      </c>
      <c r="F100" s="91" t="s">
        <v>0</v>
      </c>
      <c r="G100" s="56" t="s">
        <v>3116</v>
      </c>
      <c r="H100" s="91">
        <v>300</v>
      </c>
      <c r="I100" s="91" t="s">
        <v>89</v>
      </c>
      <c r="J100" s="91" t="s">
        <v>8</v>
      </c>
      <c r="K100" s="92" t="s">
        <v>50</v>
      </c>
      <c r="L100" s="93" t="str">
        <f>VLOOKUP(G100,'SKU 对应关系'!A:E,4,0)</f>
        <v>ANXKIT-B_4X10K04_TZ</v>
      </c>
      <c r="M100" s="94" t="str">
        <f>_xlfn.IFNA(VLOOKUP(G100,'SKU 对应关系'!A:B,2,0),"")</f>
        <v>ANXKIT-B_4X10K04_TZ ANX黑色机器+4x10mL酒店（天竺）香氛油 机油套装</v>
      </c>
      <c r="N100" s="95" t="str">
        <f>_xlfn.IFNA(VLOOKUP(G100,'SKU 对应关系'!$A:$D,3,0),"")</f>
        <v>ANX</v>
      </c>
      <c r="O100" s="96">
        <v>10</v>
      </c>
      <c r="P100" s="455">
        <v>145.7138888888889</v>
      </c>
      <c r="Q100" s="96" t="s">
        <v>16</v>
      </c>
      <c r="R100" s="91">
        <v>3.6</v>
      </c>
      <c r="S100" s="95"/>
      <c r="T100" s="98">
        <v>8.7719298245614041</v>
      </c>
      <c r="U100" s="99">
        <f t="shared" si="13"/>
        <v>533.34192982456148</v>
      </c>
      <c r="V100" s="100">
        <f t="shared" si="7"/>
        <v>1.7778064327485383</v>
      </c>
      <c r="W100" s="101">
        <f t="shared" si="10"/>
        <v>0.26534424369381171</v>
      </c>
      <c r="X100" s="95"/>
      <c r="Y100" s="95"/>
      <c r="Z100" s="102"/>
      <c r="AA100" s="103">
        <v>46051</v>
      </c>
      <c r="AB100" s="103">
        <v>46075</v>
      </c>
      <c r="AC100" s="103"/>
      <c r="AD100" s="104">
        <f>IF(ISNA(VLOOKUP(D100,亚马逊入库配置费!B:F,5,0)),0,VLOOKUP(D100,亚马逊入库配置费!B:F,5,0))</f>
        <v>0.44</v>
      </c>
      <c r="AE100" s="104">
        <f t="shared" si="8"/>
        <v>132</v>
      </c>
      <c r="AF100" s="103">
        <v>46083</v>
      </c>
      <c r="AG100" s="90">
        <f t="shared" si="9"/>
        <v>32</v>
      </c>
      <c r="AH100" s="103">
        <v>46119</v>
      </c>
      <c r="AI100" s="96">
        <v>300</v>
      </c>
      <c r="AJ100" s="427">
        <f t="shared" si="11"/>
        <v>36</v>
      </c>
      <c r="AK100" s="96"/>
      <c r="AL100" s="92"/>
      <c r="AM100" s="91"/>
      <c r="AN100" s="91"/>
      <c r="AO100" s="96"/>
      <c r="AP100" s="105"/>
      <c r="AQ100" s="105"/>
      <c r="AR100" s="105"/>
      <c r="AS100" s="105"/>
    </row>
    <row r="101" spans="1:45" ht="12" customHeight="1" x14ac:dyDescent="0.25">
      <c r="A101" s="90">
        <v>100</v>
      </c>
      <c r="B101" s="91"/>
      <c r="C101" s="91" t="s">
        <v>3112</v>
      </c>
      <c r="D101" s="92" t="s">
        <v>3115</v>
      </c>
      <c r="E101" s="91" t="s">
        <v>115</v>
      </c>
      <c r="F101" s="91" t="s">
        <v>0</v>
      </c>
      <c r="G101" s="56" t="s">
        <v>3117</v>
      </c>
      <c r="H101" s="91">
        <v>180</v>
      </c>
      <c r="I101" s="91" t="s">
        <v>89</v>
      </c>
      <c r="J101" s="91" t="s">
        <v>8</v>
      </c>
      <c r="K101" s="92" t="s">
        <v>50</v>
      </c>
      <c r="L101" s="93" t="str">
        <f>VLOOKUP(G101,'SKU 对应关系'!A:E,4,0)</f>
        <v>ANXKIT-T_4X10K04_TZ</v>
      </c>
      <c r="M101" s="94" t="str">
        <f>_xlfn.IFNA(VLOOKUP(G101,'SKU 对应关系'!A:B,2,0),"")</f>
        <v>ANXKIT-T_4X10K04_TZ ANX钛色机器+4x10mL酒店（天竺）香氛油 机油套装</v>
      </c>
      <c r="N101" s="95" t="str">
        <f>_xlfn.IFNA(VLOOKUP(G101,'SKU 对应关系'!$A:$D,3,0),"")</f>
        <v>ANX</v>
      </c>
      <c r="O101" s="96">
        <v>6</v>
      </c>
      <c r="P101" s="455">
        <v>87.428333333333342</v>
      </c>
      <c r="Q101" s="96" t="s">
        <v>16</v>
      </c>
      <c r="R101" s="91">
        <v>3.6</v>
      </c>
      <c r="S101" s="95"/>
      <c r="T101" s="98">
        <v>5.2631578947368425</v>
      </c>
      <c r="U101" s="99">
        <f t="shared" si="13"/>
        <v>320.00515789473684</v>
      </c>
      <c r="V101" s="100">
        <f t="shared" si="7"/>
        <v>1.7778064327485379</v>
      </c>
      <c r="W101" s="101">
        <f t="shared" si="10"/>
        <v>0.2653442436938116</v>
      </c>
      <c r="X101" s="95"/>
      <c r="Y101" s="95"/>
      <c r="Z101" s="102"/>
      <c r="AA101" s="103">
        <v>46051</v>
      </c>
      <c r="AB101" s="103">
        <v>46075</v>
      </c>
      <c r="AC101" s="103"/>
      <c r="AD101" s="104">
        <f>IF(ISNA(VLOOKUP(D101,亚马逊入库配置费!B:F,5,0)),0,VLOOKUP(D101,亚马逊入库配置费!B:F,5,0))</f>
        <v>0.44</v>
      </c>
      <c r="AE101" s="104">
        <f t="shared" si="8"/>
        <v>79.2</v>
      </c>
      <c r="AF101" s="103">
        <v>46083</v>
      </c>
      <c r="AG101" s="90">
        <f t="shared" si="9"/>
        <v>32</v>
      </c>
      <c r="AH101" s="103">
        <v>46119</v>
      </c>
      <c r="AI101" s="96">
        <v>180</v>
      </c>
      <c r="AJ101" s="427">
        <f t="shared" si="11"/>
        <v>36</v>
      </c>
      <c r="AK101" s="96"/>
      <c r="AL101" s="92"/>
      <c r="AM101" s="91"/>
      <c r="AN101" s="91"/>
      <c r="AO101" s="96"/>
      <c r="AP101" s="105"/>
      <c r="AQ101" s="105"/>
      <c r="AR101" s="105"/>
      <c r="AS101" s="105"/>
    </row>
    <row r="102" spans="1:45" ht="12" customHeight="1" x14ac:dyDescent="0.25">
      <c r="A102" s="90">
        <v>101</v>
      </c>
      <c r="B102" s="91"/>
      <c r="C102" s="91" t="s">
        <v>3112</v>
      </c>
      <c r="D102" s="92" t="s">
        <v>3115</v>
      </c>
      <c r="E102" s="91" t="s">
        <v>115</v>
      </c>
      <c r="F102" s="91" t="s">
        <v>0</v>
      </c>
      <c r="G102" s="56" t="s">
        <v>2885</v>
      </c>
      <c r="H102" s="91">
        <v>600</v>
      </c>
      <c r="I102" s="91" t="s">
        <v>89</v>
      </c>
      <c r="J102" s="91" t="s">
        <v>8</v>
      </c>
      <c r="K102" s="92" t="s">
        <v>50</v>
      </c>
      <c r="L102" s="93" t="str">
        <f>VLOOKUP(G102,'SKU 对应关系'!A:E,4,0)</f>
        <v>ANZKIT-B_4X10K04_TZ</v>
      </c>
      <c r="M102" s="94" t="str">
        <f>_xlfn.IFNA(VLOOKUP(G102,'SKU 对应关系'!A:B,2,0),"")</f>
        <v>ANZKIT-B_4X10K04_TZ ANZ黑色机器+4x10mL酒店（天竺）香氛油 机油套装</v>
      </c>
      <c r="N102" s="95" t="str">
        <f>_xlfn.IFNA(VLOOKUP(G102,'SKU 对应关系'!$A:$D,3,0),"")</f>
        <v>ANZ</v>
      </c>
      <c r="O102" s="96">
        <v>20</v>
      </c>
      <c r="P102" s="455">
        <v>291.42777777777781</v>
      </c>
      <c r="Q102" s="96" t="s">
        <v>16</v>
      </c>
      <c r="R102" s="91">
        <v>3.6</v>
      </c>
      <c r="S102" s="95"/>
      <c r="T102" s="98">
        <v>17.543859649122808</v>
      </c>
      <c r="U102" s="99">
        <f t="shared" si="13"/>
        <v>1066.683859649123</v>
      </c>
      <c r="V102" s="100">
        <f t="shared" si="7"/>
        <v>1.7778064327485383</v>
      </c>
      <c r="W102" s="101">
        <f t="shared" si="10"/>
        <v>0.26534424369381171</v>
      </c>
      <c r="X102" s="95"/>
      <c r="Y102" s="95"/>
      <c r="Z102" s="102"/>
      <c r="AA102" s="103">
        <v>46051</v>
      </c>
      <c r="AB102" s="103">
        <v>46075</v>
      </c>
      <c r="AC102" s="103"/>
      <c r="AD102" s="104">
        <f>IF(ISNA(VLOOKUP(D102,亚马逊入库配置费!B:F,5,0)),0,VLOOKUP(D102,亚马逊入库配置费!B:F,5,0))</f>
        <v>0.44</v>
      </c>
      <c r="AE102" s="104">
        <f t="shared" si="8"/>
        <v>264</v>
      </c>
      <c r="AF102" s="103">
        <v>46083</v>
      </c>
      <c r="AG102" s="90">
        <f t="shared" si="9"/>
        <v>32</v>
      </c>
      <c r="AH102" s="103">
        <v>46119</v>
      </c>
      <c r="AI102" s="96">
        <v>564</v>
      </c>
      <c r="AJ102" s="427">
        <f t="shared" si="11"/>
        <v>36</v>
      </c>
      <c r="AK102" s="96"/>
      <c r="AL102" s="92"/>
      <c r="AM102" s="91"/>
      <c r="AN102" s="91"/>
      <c r="AO102" s="96"/>
      <c r="AP102" s="105"/>
      <c r="AQ102" s="105"/>
      <c r="AR102" s="105"/>
      <c r="AS102" s="105"/>
    </row>
    <row r="103" spans="1:45" ht="12" customHeight="1" x14ac:dyDescent="0.25">
      <c r="A103" s="90">
        <v>102</v>
      </c>
      <c r="B103" s="91"/>
      <c r="C103" s="91" t="s">
        <v>3112</v>
      </c>
      <c r="D103" s="92" t="s">
        <v>3118</v>
      </c>
      <c r="E103" s="91" t="s">
        <v>115</v>
      </c>
      <c r="F103" s="91" t="s">
        <v>0</v>
      </c>
      <c r="G103" s="56" t="s">
        <v>211</v>
      </c>
      <c r="H103" s="91">
        <v>510</v>
      </c>
      <c r="I103" s="91" t="s">
        <v>89</v>
      </c>
      <c r="J103" s="91" t="s">
        <v>8</v>
      </c>
      <c r="K103" s="92" t="s">
        <v>50</v>
      </c>
      <c r="L103" s="93" t="str">
        <f>VLOOKUP(G103,'SKU 对应关系'!A:E,4,0)</f>
        <v>ANX-B</v>
      </c>
      <c r="M103" s="94" t="str">
        <f>_xlfn.IFNA(VLOOKUP(G103,'SKU 对应关系'!A:B,2,0),"")</f>
        <v>ANX-B 便携式扩香仪 黑色</v>
      </c>
      <c r="N103" s="95" t="str">
        <f>_xlfn.IFNA(VLOOKUP(G103,'SKU 对应关系'!$A:$D,3,0),"")</f>
        <v>ANX</v>
      </c>
      <c r="O103" s="96">
        <v>17</v>
      </c>
      <c r="P103" s="455">
        <v>247.71463768115939</v>
      </c>
      <c r="Q103" s="96" t="s">
        <v>16</v>
      </c>
      <c r="R103" s="91">
        <v>3.6</v>
      </c>
      <c r="S103" s="95"/>
      <c r="T103" s="98">
        <v>14.912280701754385</v>
      </c>
      <c r="U103" s="99">
        <f t="shared" si="13"/>
        <v>906.68497635392828</v>
      </c>
      <c r="V103" s="100">
        <f t="shared" si="7"/>
        <v>1.7778136791253496</v>
      </c>
      <c r="W103" s="101">
        <f t="shared" si="10"/>
        <v>0.26534532524258947</v>
      </c>
      <c r="X103" s="95"/>
      <c r="Y103" s="95"/>
      <c r="Z103" s="102"/>
      <c r="AA103" s="103">
        <v>46051</v>
      </c>
      <c r="AB103" s="103">
        <v>46075</v>
      </c>
      <c r="AC103" s="103"/>
      <c r="AD103" s="104">
        <f>IF(ISNA(VLOOKUP(D103,亚马逊入库配置费!B:F,5,0)),0,VLOOKUP(D103,亚马逊入库配置费!B:F,5,0))</f>
        <v>0.40734824281150162</v>
      </c>
      <c r="AE103" s="104">
        <f t="shared" si="8"/>
        <v>207.74760383386581</v>
      </c>
      <c r="AF103" s="103">
        <v>46083</v>
      </c>
      <c r="AG103" s="90">
        <f t="shared" si="9"/>
        <v>32</v>
      </c>
      <c r="AH103" s="103">
        <v>46117</v>
      </c>
      <c r="AI103" s="96">
        <v>512</v>
      </c>
      <c r="AJ103" s="427">
        <f t="shared" si="11"/>
        <v>34</v>
      </c>
      <c r="AK103" s="96"/>
      <c r="AL103" s="92"/>
      <c r="AM103" s="91"/>
      <c r="AN103" s="91"/>
      <c r="AO103" s="96"/>
      <c r="AP103" s="105"/>
      <c r="AQ103" s="105"/>
      <c r="AR103" s="105"/>
      <c r="AS103" s="105"/>
    </row>
    <row r="104" spans="1:45" ht="12" customHeight="1" x14ac:dyDescent="0.25">
      <c r="A104" s="90">
        <v>103</v>
      </c>
      <c r="B104" s="91"/>
      <c r="C104" s="91" t="s">
        <v>3112</v>
      </c>
      <c r="D104" s="92" t="s">
        <v>3118</v>
      </c>
      <c r="E104" s="91" t="s">
        <v>115</v>
      </c>
      <c r="F104" s="91" t="s">
        <v>0</v>
      </c>
      <c r="G104" s="56" t="s">
        <v>1085</v>
      </c>
      <c r="H104" s="91">
        <v>90</v>
      </c>
      <c r="I104" s="91" t="s">
        <v>89</v>
      </c>
      <c r="J104" s="91" t="s">
        <v>8</v>
      </c>
      <c r="K104" s="92" t="s">
        <v>50</v>
      </c>
      <c r="L104" s="93" t="str">
        <f>VLOOKUP(G104,'SKU 对应关系'!A:E,4,0)</f>
        <v>ANX-RP</v>
      </c>
      <c r="M104" s="94" t="str">
        <f>_xlfn.IFNA(VLOOKUP(G104,'SKU 对应关系'!A:B,2,0),"")</f>
        <v>ANX-RP 便携式扩香仪 红粉色</v>
      </c>
      <c r="N104" s="95" t="str">
        <f>_xlfn.IFNA(VLOOKUP(G104,'SKU 对应关系'!$A:$D,3,0),"")</f>
        <v>ANX</v>
      </c>
      <c r="O104" s="96">
        <v>3</v>
      </c>
      <c r="P104" s="455">
        <v>43.71434782608695</v>
      </c>
      <c r="Q104" s="96" t="s">
        <v>16</v>
      </c>
      <c r="R104" s="91">
        <v>3.6</v>
      </c>
      <c r="S104" s="95"/>
      <c r="T104" s="98">
        <v>2.6315789473684212</v>
      </c>
      <c r="U104" s="99">
        <f t="shared" si="13"/>
        <v>160.00323112128143</v>
      </c>
      <c r="V104" s="100">
        <f t="shared" si="7"/>
        <v>1.7778136791253492</v>
      </c>
      <c r="W104" s="101">
        <f t="shared" si="10"/>
        <v>0.26534532524258941</v>
      </c>
      <c r="X104" s="95"/>
      <c r="Y104" s="95"/>
      <c r="Z104" s="102"/>
      <c r="AA104" s="103">
        <v>46051</v>
      </c>
      <c r="AB104" s="103">
        <v>46075</v>
      </c>
      <c r="AC104" s="103"/>
      <c r="AD104" s="104">
        <f>IF(ISNA(VLOOKUP(D104,亚马逊入库配置费!B:F,5,0)),0,VLOOKUP(D104,亚马逊入库配置费!B:F,5,0))</f>
        <v>0.40734824281150162</v>
      </c>
      <c r="AE104" s="104">
        <f t="shared" si="8"/>
        <v>36.661341853035147</v>
      </c>
      <c r="AF104" s="103">
        <v>46083</v>
      </c>
      <c r="AG104" s="90">
        <f t="shared" si="9"/>
        <v>32</v>
      </c>
      <c r="AH104" s="103">
        <v>46117</v>
      </c>
      <c r="AI104" s="96">
        <v>90</v>
      </c>
      <c r="AJ104" s="427">
        <f t="shared" si="11"/>
        <v>34</v>
      </c>
      <c r="AK104" s="96"/>
      <c r="AL104" s="92"/>
      <c r="AM104" s="91"/>
      <c r="AN104" s="91"/>
      <c r="AO104" s="96"/>
      <c r="AP104" s="105"/>
      <c r="AQ104" s="105"/>
      <c r="AR104" s="105"/>
      <c r="AS104" s="105"/>
    </row>
    <row r="105" spans="1:45" ht="12" customHeight="1" x14ac:dyDescent="0.25">
      <c r="A105" s="90">
        <v>104</v>
      </c>
      <c r="B105" s="91"/>
      <c r="C105" s="91" t="s">
        <v>3112</v>
      </c>
      <c r="D105" s="92" t="s">
        <v>3118</v>
      </c>
      <c r="E105" s="91" t="s">
        <v>115</v>
      </c>
      <c r="F105" s="91" t="s">
        <v>0</v>
      </c>
      <c r="G105" s="56" t="s">
        <v>2195</v>
      </c>
      <c r="H105" s="91">
        <v>1000</v>
      </c>
      <c r="I105" s="91" t="s">
        <v>89</v>
      </c>
      <c r="J105" s="91" t="s">
        <v>8</v>
      </c>
      <c r="K105" s="92" t="s">
        <v>50</v>
      </c>
      <c r="L105" s="93" t="str">
        <f>VLOOKUP(G105,'SKU 对应关系'!A:E,4,0)</f>
        <v>ANZ-B</v>
      </c>
      <c r="M105" s="94" t="str">
        <f>_xlfn.IFNA(VLOOKUP(G105,'SKU 对应关系'!A:B,2,0),"")</f>
        <v>ANZ-B 便携式扩香仪 黑色</v>
      </c>
      <c r="N105" s="95" t="str">
        <f>_xlfn.IFNA(VLOOKUP(G105,'SKU 对应关系'!$A:$D,3,0),"")</f>
        <v>ANZ</v>
      </c>
      <c r="O105" s="96">
        <v>25</v>
      </c>
      <c r="P105" s="455">
        <v>364.28623188405794</v>
      </c>
      <c r="Q105" s="96" t="s">
        <v>16</v>
      </c>
      <c r="R105" s="91">
        <v>3.6</v>
      </c>
      <c r="S105" s="95"/>
      <c r="T105" s="98">
        <v>21.92982456140351</v>
      </c>
      <c r="U105" s="99">
        <f t="shared" si="13"/>
        <v>1333.3602593440123</v>
      </c>
      <c r="V105" s="100">
        <f t="shared" si="7"/>
        <v>1.3333602593440124</v>
      </c>
      <c r="W105" s="101">
        <f t="shared" si="10"/>
        <v>0.19900899393194213</v>
      </c>
      <c r="X105" s="95"/>
      <c r="Y105" s="95"/>
      <c r="Z105" s="102"/>
      <c r="AA105" s="103">
        <v>46051</v>
      </c>
      <c r="AB105" s="103">
        <v>46075</v>
      </c>
      <c r="AC105" s="103"/>
      <c r="AD105" s="104">
        <f>IF(ISNA(VLOOKUP(D105,亚马逊入库配置费!B:F,5,0)),0,VLOOKUP(D105,亚马逊入库配置费!B:F,5,0))</f>
        <v>0.40734824281150162</v>
      </c>
      <c r="AE105" s="104">
        <f t="shared" si="8"/>
        <v>407.34824281150162</v>
      </c>
      <c r="AF105" s="103">
        <v>46083</v>
      </c>
      <c r="AG105" s="90">
        <f t="shared" si="9"/>
        <v>32</v>
      </c>
      <c r="AH105" s="103">
        <v>46117</v>
      </c>
      <c r="AI105" s="96">
        <v>1004</v>
      </c>
      <c r="AJ105" s="427">
        <f t="shared" si="11"/>
        <v>34</v>
      </c>
      <c r="AK105" s="96"/>
      <c r="AL105" s="92"/>
      <c r="AM105" s="91"/>
      <c r="AN105" s="91"/>
      <c r="AO105" s="96"/>
      <c r="AP105" s="105"/>
      <c r="AQ105" s="105"/>
      <c r="AR105" s="105"/>
      <c r="AS105" s="105"/>
    </row>
    <row r="106" spans="1:45" ht="12" customHeight="1" x14ac:dyDescent="0.25">
      <c r="A106" s="90">
        <v>105</v>
      </c>
      <c r="B106" s="91"/>
      <c r="C106" s="91" t="s">
        <v>3112</v>
      </c>
      <c r="D106" s="92" t="s">
        <v>3118</v>
      </c>
      <c r="E106" s="91" t="s">
        <v>115</v>
      </c>
      <c r="F106" s="91" t="s">
        <v>0</v>
      </c>
      <c r="G106" s="56" t="s">
        <v>2197</v>
      </c>
      <c r="H106" s="91">
        <v>400</v>
      </c>
      <c r="I106" s="91" t="s">
        <v>89</v>
      </c>
      <c r="J106" s="91" t="s">
        <v>8</v>
      </c>
      <c r="K106" s="92" t="s">
        <v>50</v>
      </c>
      <c r="L106" s="93" t="str">
        <f>VLOOKUP(G106,'SKU 对应关系'!A:E,4,0)</f>
        <v>ANZ-WH</v>
      </c>
      <c r="M106" s="94" t="str">
        <f>_xlfn.IFNA(VLOOKUP(G106,'SKU 对应关系'!A:B,2,0),"")</f>
        <v>ANZ-WH 便携式扩香仪 白色</v>
      </c>
      <c r="N106" s="95" t="str">
        <f>_xlfn.IFNA(VLOOKUP(G106,'SKU 对应关系'!$A:$D,3,0),"")</f>
        <v>ANZ</v>
      </c>
      <c r="O106" s="96">
        <v>10</v>
      </c>
      <c r="P106" s="455">
        <v>145.71449275362318</v>
      </c>
      <c r="Q106" s="96" t="s">
        <v>16</v>
      </c>
      <c r="R106" s="91">
        <v>3.6</v>
      </c>
      <c r="S106" s="95"/>
      <c r="T106" s="98">
        <v>8.7719298245614041</v>
      </c>
      <c r="U106" s="99">
        <f t="shared" si="13"/>
        <v>533.34410373760488</v>
      </c>
      <c r="V106" s="100">
        <f t="shared" si="7"/>
        <v>1.3333602593440121</v>
      </c>
      <c r="W106" s="101">
        <f t="shared" si="10"/>
        <v>0.1990089939319421</v>
      </c>
      <c r="X106" s="95"/>
      <c r="Y106" s="95"/>
      <c r="Z106" s="102"/>
      <c r="AA106" s="103">
        <v>46051</v>
      </c>
      <c r="AB106" s="103">
        <v>46075</v>
      </c>
      <c r="AC106" s="103"/>
      <c r="AD106" s="104">
        <f>IF(ISNA(VLOOKUP(D106,亚马逊入库配置费!B:F,5,0)),0,VLOOKUP(D106,亚马逊入库配置费!B:F,5,0))</f>
        <v>0.40734824281150162</v>
      </c>
      <c r="AE106" s="104">
        <f t="shared" si="8"/>
        <v>162.93929712460064</v>
      </c>
      <c r="AF106" s="103">
        <v>46083</v>
      </c>
      <c r="AG106" s="90">
        <f t="shared" si="9"/>
        <v>32</v>
      </c>
      <c r="AH106" s="103">
        <v>46117</v>
      </c>
      <c r="AI106" s="96">
        <v>404</v>
      </c>
      <c r="AJ106" s="427">
        <f t="shared" si="11"/>
        <v>34</v>
      </c>
      <c r="AK106" s="96"/>
      <c r="AL106" s="92"/>
      <c r="AM106" s="91"/>
      <c r="AN106" s="91"/>
      <c r="AO106" s="96"/>
      <c r="AP106" s="105"/>
      <c r="AQ106" s="105"/>
      <c r="AR106" s="105"/>
      <c r="AS106" s="105"/>
    </row>
    <row r="107" spans="1:45" s="435" customFormat="1" ht="12" customHeight="1" x14ac:dyDescent="0.25">
      <c r="A107" s="421">
        <v>106</v>
      </c>
      <c r="B107" s="422"/>
      <c r="C107" s="422" t="s">
        <v>3119</v>
      </c>
      <c r="D107" s="423" t="s">
        <v>3120</v>
      </c>
      <c r="E107" s="422" t="s">
        <v>2607</v>
      </c>
      <c r="F107" s="422" t="s">
        <v>1073</v>
      </c>
      <c r="G107" s="424" t="s">
        <v>953</v>
      </c>
      <c r="H107" s="422">
        <v>30</v>
      </c>
      <c r="I107" s="422" t="s">
        <v>1074</v>
      </c>
      <c r="J107" s="422" t="s">
        <v>2102</v>
      </c>
      <c r="K107" s="423" t="s">
        <v>1075</v>
      </c>
      <c r="L107" s="425" t="str">
        <f>VLOOKUP(G107,'SKU 对应关系'!A:E,4,0)</f>
        <v>AND-B</v>
      </c>
      <c r="M107" s="426" t="str">
        <f>_xlfn.IFNA(VLOOKUP(G107,'SKU 对应关系'!A:B,2,0),"")</f>
        <v>AND-B 便携式双喷扩香仪 黑色</v>
      </c>
      <c r="N107" s="422" t="str">
        <f>_xlfn.IFNA(VLOOKUP(G107,'SKU 对应关系'!$A:$D,3,0),"")</f>
        <v>AND</v>
      </c>
      <c r="O107" s="427">
        <v>1</v>
      </c>
      <c r="P107" s="455">
        <v>12.545454545454545</v>
      </c>
      <c r="Q107" s="427" t="s">
        <v>16</v>
      </c>
      <c r="R107" s="422">
        <v>7</v>
      </c>
      <c r="S107" s="422">
        <v>350</v>
      </c>
      <c r="T107" s="428">
        <v>31.818181818181817</v>
      </c>
      <c r="U107" s="429">
        <f t="shared" si="13"/>
        <v>119.63636363636363</v>
      </c>
      <c r="V107" s="430">
        <f t="shared" si="7"/>
        <v>3.9878787878787874</v>
      </c>
      <c r="W107" s="431">
        <f t="shared" si="10"/>
        <v>0.59520578923563994</v>
      </c>
      <c r="X107" s="422"/>
      <c r="Y107" s="422"/>
      <c r="Z107" s="428"/>
      <c r="AA107" s="432">
        <v>46050</v>
      </c>
      <c r="AB107" s="432">
        <v>46087</v>
      </c>
      <c r="AC107" s="432"/>
      <c r="AD107" s="433">
        <f>IF(ISNA(VLOOKUP(D107,亚马逊入库配置费!B:F,5,0)),0,VLOOKUP(D107,亚马逊入库配置费!B:F,5,0))</f>
        <v>0</v>
      </c>
      <c r="AE107" s="433">
        <f t="shared" si="8"/>
        <v>0</v>
      </c>
      <c r="AF107" s="432">
        <v>46098</v>
      </c>
      <c r="AG107" s="421">
        <f t="shared" si="9"/>
        <v>48</v>
      </c>
      <c r="AH107" s="432">
        <v>46117</v>
      </c>
      <c r="AI107" s="427">
        <v>30</v>
      </c>
      <c r="AJ107" s="427">
        <f t="shared" si="11"/>
        <v>19</v>
      </c>
      <c r="AK107" s="427"/>
      <c r="AL107" s="423"/>
      <c r="AM107" s="422"/>
      <c r="AN107" s="422"/>
      <c r="AO107" s="427"/>
      <c r="AP107" s="434"/>
      <c r="AQ107" s="434"/>
      <c r="AR107" s="434"/>
      <c r="AS107" s="434"/>
    </row>
    <row r="108" spans="1:45" s="435" customFormat="1" ht="12" customHeight="1" x14ac:dyDescent="0.25">
      <c r="A108" s="421">
        <v>107</v>
      </c>
      <c r="B108" s="422"/>
      <c r="C108" s="422" t="s">
        <v>3119</v>
      </c>
      <c r="D108" s="423" t="s">
        <v>3120</v>
      </c>
      <c r="E108" s="422" t="s">
        <v>2607</v>
      </c>
      <c r="F108" s="422" t="s">
        <v>1073</v>
      </c>
      <c r="G108" s="424" t="s">
        <v>211</v>
      </c>
      <c r="H108" s="422">
        <v>120</v>
      </c>
      <c r="I108" s="422" t="s">
        <v>1074</v>
      </c>
      <c r="J108" s="422" t="s">
        <v>2102</v>
      </c>
      <c r="K108" s="423" t="s">
        <v>1075</v>
      </c>
      <c r="L108" s="425" t="str">
        <f>VLOOKUP(G108,'SKU 对应关系'!A:E,4,0)</f>
        <v>ANX-B</v>
      </c>
      <c r="M108" s="426" t="str">
        <f>_xlfn.IFNA(VLOOKUP(G108,'SKU 对应关系'!A:B,2,0),"")</f>
        <v>ANX-B 便携式扩香仪 黑色</v>
      </c>
      <c r="N108" s="422" t="str">
        <f>_xlfn.IFNA(VLOOKUP(G108,'SKU 对应关系'!$A:$D,3,0),"")</f>
        <v>ANX</v>
      </c>
      <c r="O108" s="427">
        <v>4</v>
      </c>
      <c r="P108" s="455">
        <v>50.18181818181818</v>
      </c>
      <c r="Q108" s="427" t="s">
        <v>16</v>
      </c>
      <c r="R108" s="422">
        <v>7</v>
      </c>
      <c r="S108" s="436">
        <f>SUMIF(C:C,C107,T:T)</f>
        <v>350</v>
      </c>
      <c r="T108" s="428">
        <v>127.27272727272727</v>
      </c>
      <c r="U108" s="429">
        <f t="shared" si="13"/>
        <v>478.5454545454545</v>
      </c>
      <c r="V108" s="430">
        <f t="shared" si="7"/>
        <v>3.9878787878787874</v>
      </c>
      <c r="W108" s="431">
        <f t="shared" si="10"/>
        <v>0.59520578923563994</v>
      </c>
      <c r="X108" s="422"/>
      <c r="Y108" s="422"/>
      <c r="Z108" s="428"/>
      <c r="AA108" s="432">
        <v>46050</v>
      </c>
      <c r="AB108" s="432">
        <v>46087</v>
      </c>
      <c r="AC108" s="432"/>
      <c r="AD108" s="433">
        <f>IF(ISNA(VLOOKUP(D108,亚马逊入库配置费!B:F,5,0)),0,VLOOKUP(D108,亚马逊入库配置费!B:F,5,0))</f>
        <v>0</v>
      </c>
      <c r="AE108" s="433">
        <f t="shared" si="8"/>
        <v>0</v>
      </c>
      <c r="AF108" s="432">
        <v>46098</v>
      </c>
      <c r="AG108" s="421">
        <f t="shared" si="9"/>
        <v>48</v>
      </c>
      <c r="AH108" s="432">
        <v>46117</v>
      </c>
      <c r="AI108" s="427">
        <v>120</v>
      </c>
      <c r="AJ108" s="427">
        <f t="shared" si="11"/>
        <v>19</v>
      </c>
      <c r="AK108" s="427"/>
      <c r="AL108" s="423"/>
      <c r="AM108" s="422"/>
      <c r="AN108" s="422"/>
      <c r="AO108" s="427"/>
      <c r="AP108" s="434"/>
      <c r="AQ108" s="434"/>
      <c r="AR108" s="434"/>
      <c r="AS108" s="434"/>
    </row>
    <row r="109" spans="1:45" s="435" customFormat="1" ht="12" customHeight="1" x14ac:dyDescent="0.25">
      <c r="A109" s="421">
        <v>108</v>
      </c>
      <c r="B109" s="422"/>
      <c r="C109" s="422" t="s">
        <v>3119</v>
      </c>
      <c r="D109" s="423" t="s">
        <v>3120</v>
      </c>
      <c r="E109" s="422" t="s">
        <v>2607</v>
      </c>
      <c r="F109" s="422" t="s">
        <v>1073</v>
      </c>
      <c r="G109" s="424" t="s">
        <v>213</v>
      </c>
      <c r="H109" s="422">
        <v>60</v>
      </c>
      <c r="I109" s="422" t="s">
        <v>1074</v>
      </c>
      <c r="J109" s="422" t="s">
        <v>2102</v>
      </c>
      <c r="K109" s="423" t="s">
        <v>1075</v>
      </c>
      <c r="L109" s="425" t="str">
        <f>VLOOKUP(G109,'SKU 对应关系'!A:E,4,0)</f>
        <v>ANX-DT</v>
      </c>
      <c r="M109" s="426" t="str">
        <f>_xlfn.IFNA(VLOOKUP(G109,'SKU 对应关系'!A:B,2,0),"")</f>
        <v>ANX-DT 便携式扩香仪 沙漠钛色</v>
      </c>
      <c r="N109" s="422" t="str">
        <f>_xlfn.IFNA(VLOOKUP(G109,'SKU 对应关系'!$A:$D,3,0),"")</f>
        <v>ANX</v>
      </c>
      <c r="O109" s="427">
        <v>2</v>
      </c>
      <c r="P109" s="455">
        <v>25.09090909090909</v>
      </c>
      <c r="Q109" s="427" t="s">
        <v>16</v>
      </c>
      <c r="R109" s="422">
        <v>7</v>
      </c>
      <c r="S109" s="422"/>
      <c r="T109" s="428">
        <v>63.636363636363633</v>
      </c>
      <c r="U109" s="429">
        <f t="shared" si="13"/>
        <v>239.27272727272725</v>
      </c>
      <c r="V109" s="430">
        <f t="shared" si="7"/>
        <v>3.9878787878787874</v>
      </c>
      <c r="W109" s="431">
        <f t="shared" si="10"/>
        <v>0.59520578923563994</v>
      </c>
      <c r="X109" s="422"/>
      <c r="Y109" s="422"/>
      <c r="Z109" s="428"/>
      <c r="AA109" s="432">
        <v>46050</v>
      </c>
      <c r="AB109" s="432">
        <v>46087</v>
      </c>
      <c r="AC109" s="432"/>
      <c r="AD109" s="433">
        <f>IF(ISNA(VLOOKUP(D109,亚马逊入库配置费!B:F,5,0)),0,VLOOKUP(D109,亚马逊入库配置费!B:F,5,0))</f>
        <v>0</v>
      </c>
      <c r="AE109" s="433">
        <f t="shared" si="8"/>
        <v>0</v>
      </c>
      <c r="AF109" s="432">
        <v>46098</v>
      </c>
      <c r="AG109" s="421">
        <f t="shared" si="9"/>
        <v>48</v>
      </c>
      <c r="AH109" s="432">
        <v>46117</v>
      </c>
      <c r="AI109" s="427">
        <v>60</v>
      </c>
      <c r="AJ109" s="427">
        <f t="shared" si="11"/>
        <v>19</v>
      </c>
      <c r="AK109" s="427"/>
      <c r="AL109" s="423"/>
      <c r="AM109" s="422"/>
      <c r="AN109" s="422"/>
      <c r="AO109" s="427"/>
      <c r="AP109" s="434"/>
      <c r="AQ109" s="434"/>
      <c r="AR109" s="434"/>
      <c r="AS109" s="434"/>
    </row>
    <row r="110" spans="1:45" s="435" customFormat="1" ht="12" customHeight="1" x14ac:dyDescent="0.25">
      <c r="A110" s="421">
        <v>109</v>
      </c>
      <c r="B110" s="422"/>
      <c r="C110" s="422" t="s">
        <v>3119</v>
      </c>
      <c r="D110" s="423" t="s">
        <v>3120</v>
      </c>
      <c r="E110" s="422" t="s">
        <v>2607</v>
      </c>
      <c r="F110" s="422" t="s">
        <v>1073</v>
      </c>
      <c r="G110" s="424" t="s">
        <v>606</v>
      </c>
      <c r="H110" s="422">
        <v>60</v>
      </c>
      <c r="I110" s="422" t="s">
        <v>1074</v>
      </c>
      <c r="J110" s="422" t="s">
        <v>2102</v>
      </c>
      <c r="K110" s="423" t="s">
        <v>1075</v>
      </c>
      <c r="L110" s="425" t="str">
        <f>VLOOKUP(G110,'SKU 对应关系'!A:E,4,0)</f>
        <v>ANX-IB</v>
      </c>
      <c r="M110" s="426" t="str">
        <f>_xlfn.IFNA(VLOOKUP(G110,'SKU 对应关系'!A:B,2,0),"")</f>
        <v>ANX-IB 便携式扩香仪 冰蓝色</v>
      </c>
      <c r="N110" s="422" t="str">
        <f>_xlfn.IFNA(VLOOKUP(G110,'SKU 对应关系'!$A:$D,3,0),"")</f>
        <v>ANX</v>
      </c>
      <c r="O110" s="427">
        <v>2</v>
      </c>
      <c r="P110" s="455">
        <v>25.09090909090909</v>
      </c>
      <c r="Q110" s="427" t="s">
        <v>16</v>
      </c>
      <c r="R110" s="422">
        <v>7</v>
      </c>
      <c r="S110" s="422"/>
      <c r="T110" s="428">
        <v>63.636363636363633</v>
      </c>
      <c r="U110" s="429">
        <f t="shared" si="13"/>
        <v>239.27272727272725</v>
      </c>
      <c r="V110" s="430">
        <f t="shared" si="7"/>
        <v>3.9878787878787874</v>
      </c>
      <c r="W110" s="431">
        <f t="shared" si="10"/>
        <v>0.59520578923563994</v>
      </c>
      <c r="X110" s="422"/>
      <c r="Y110" s="422"/>
      <c r="Z110" s="428"/>
      <c r="AA110" s="432">
        <v>46050</v>
      </c>
      <c r="AB110" s="432">
        <v>46087</v>
      </c>
      <c r="AC110" s="432"/>
      <c r="AD110" s="433">
        <f>IF(ISNA(VLOOKUP(D110,亚马逊入库配置费!B:F,5,0)),0,VLOOKUP(D110,亚马逊入库配置费!B:F,5,0))</f>
        <v>0</v>
      </c>
      <c r="AE110" s="433">
        <f t="shared" si="8"/>
        <v>0</v>
      </c>
      <c r="AF110" s="432">
        <v>46098</v>
      </c>
      <c r="AG110" s="421">
        <f t="shared" si="9"/>
        <v>48</v>
      </c>
      <c r="AH110" s="432">
        <v>46117</v>
      </c>
      <c r="AI110" s="427">
        <v>60</v>
      </c>
      <c r="AJ110" s="427">
        <f t="shared" si="11"/>
        <v>19</v>
      </c>
      <c r="AK110" s="427"/>
      <c r="AL110" s="423"/>
      <c r="AM110" s="422"/>
      <c r="AN110" s="422"/>
      <c r="AO110" s="427"/>
      <c r="AP110" s="434"/>
      <c r="AQ110" s="434"/>
      <c r="AR110" s="434"/>
      <c r="AS110" s="434"/>
    </row>
    <row r="111" spans="1:45" s="435" customFormat="1" ht="12" customHeight="1" x14ac:dyDescent="0.25">
      <c r="A111" s="421">
        <v>110</v>
      </c>
      <c r="B111" s="422"/>
      <c r="C111" s="422" t="s">
        <v>3119</v>
      </c>
      <c r="D111" s="423" t="s">
        <v>3120</v>
      </c>
      <c r="E111" s="422" t="s">
        <v>2607</v>
      </c>
      <c r="F111" s="422" t="s">
        <v>1073</v>
      </c>
      <c r="G111" s="424" t="s">
        <v>1085</v>
      </c>
      <c r="H111" s="422">
        <v>60</v>
      </c>
      <c r="I111" s="422" t="s">
        <v>1074</v>
      </c>
      <c r="J111" s="422" t="s">
        <v>2102</v>
      </c>
      <c r="K111" s="423" t="s">
        <v>1075</v>
      </c>
      <c r="L111" s="425" t="str">
        <f>VLOOKUP(G111,'SKU 对应关系'!A:E,4,0)</f>
        <v>ANX-RP</v>
      </c>
      <c r="M111" s="426" t="str">
        <f>_xlfn.IFNA(VLOOKUP(G111,'SKU 对应关系'!A:B,2,0),"")</f>
        <v>ANX-RP 便携式扩香仪 红粉色</v>
      </c>
      <c r="N111" s="422" t="str">
        <f>_xlfn.IFNA(VLOOKUP(G111,'SKU 对应关系'!$A:$D,3,0),"")</f>
        <v>ANX</v>
      </c>
      <c r="O111" s="427">
        <v>2</v>
      </c>
      <c r="P111" s="455">
        <v>25.09090909090909</v>
      </c>
      <c r="Q111" s="427" t="s">
        <v>16</v>
      </c>
      <c r="R111" s="422">
        <v>7</v>
      </c>
      <c r="S111" s="422"/>
      <c r="T111" s="428">
        <v>63.636363636363633</v>
      </c>
      <c r="U111" s="429">
        <f t="shared" si="13"/>
        <v>239.27272727272725</v>
      </c>
      <c r="V111" s="430">
        <f t="shared" si="7"/>
        <v>3.9878787878787874</v>
      </c>
      <c r="W111" s="431">
        <f t="shared" si="10"/>
        <v>0.59520578923563994</v>
      </c>
      <c r="X111" s="422"/>
      <c r="Y111" s="422"/>
      <c r="Z111" s="428"/>
      <c r="AA111" s="432">
        <v>46050</v>
      </c>
      <c r="AB111" s="432">
        <v>46087</v>
      </c>
      <c r="AC111" s="432"/>
      <c r="AD111" s="433">
        <f>IF(ISNA(VLOOKUP(D111,亚马逊入库配置费!B:F,5,0)),0,VLOOKUP(D111,亚马逊入库配置费!B:F,5,0))</f>
        <v>0</v>
      </c>
      <c r="AE111" s="433">
        <f t="shared" si="8"/>
        <v>0</v>
      </c>
      <c r="AF111" s="432">
        <v>46098</v>
      </c>
      <c r="AG111" s="421">
        <f t="shared" si="9"/>
        <v>48</v>
      </c>
      <c r="AH111" s="432">
        <v>46117</v>
      </c>
      <c r="AI111" s="427">
        <v>60</v>
      </c>
      <c r="AJ111" s="427">
        <f t="shared" si="11"/>
        <v>19</v>
      </c>
      <c r="AK111" s="427"/>
      <c r="AL111" s="423"/>
      <c r="AM111" s="422"/>
      <c r="AN111" s="422"/>
      <c r="AO111" s="427"/>
      <c r="AP111" s="434"/>
      <c r="AQ111" s="434"/>
      <c r="AR111" s="434"/>
      <c r="AS111" s="434"/>
    </row>
    <row r="112" spans="1:45" ht="12" customHeight="1" x14ac:dyDescent="0.25">
      <c r="A112" s="90">
        <v>111</v>
      </c>
      <c r="B112" s="91"/>
      <c r="C112" s="91" t="s">
        <v>3112</v>
      </c>
      <c r="D112" s="92" t="s">
        <v>3118</v>
      </c>
      <c r="E112" s="91" t="s">
        <v>115</v>
      </c>
      <c r="F112" s="91" t="s">
        <v>0</v>
      </c>
      <c r="G112" s="56" t="s">
        <v>614</v>
      </c>
      <c r="H112" s="91">
        <v>180</v>
      </c>
      <c r="I112" s="91" t="s">
        <v>89</v>
      </c>
      <c r="J112" s="91" t="s">
        <v>8</v>
      </c>
      <c r="K112" s="92" t="s">
        <v>50</v>
      </c>
      <c r="L112" s="93" t="str">
        <f>VLOOKUP(G112,'SKU 对应关系'!A:E,4,0)</f>
        <v>AP2F-H14</v>
      </c>
      <c r="M112" s="94" t="str">
        <f>_xlfn.IFNA(VLOOKUP(G112,'SKU 对应关系'!A:B,2,0),"")</f>
        <v>AP2F-H14 空气净化器滤网2-H14</v>
      </c>
      <c r="N112" s="95" t="str">
        <f>_xlfn.IFNA(VLOOKUP(G112,'SKU 对应关系'!$A:$D,3,0),"")</f>
        <v>AP2F</v>
      </c>
      <c r="O112" s="96">
        <v>5</v>
      </c>
      <c r="P112" s="455">
        <v>72.857246376811588</v>
      </c>
      <c r="Q112" s="96" t="s">
        <v>16</v>
      </c>
      <c r="R112" s="91">
        <v>3.6</v>
      </c>
      <c r="S112" s="95" t="s">
        <v>1375</v>
      </c>
      <c r="T112" s="98">
        <v>4.3859649122807021</v>
      </c>
      <c r="U112" s="99">
        <f t="shared" si="13"/>
        <v>266.67205186880244</v>
      </c>
      <c r="V112" s="100">
        <f t="shared" si="7"/>
        <v>1.4815113992711246</v>
      </c>
      <c r="W112" s="101">
        <f t="shared" si="10"/>
        <v>0.22112110436882457</v>
      </c>
      <c r="X112" s="95"/>
      <c r="Y112" s="95"/>
      <c r="Z112" s="102"/>
      <c r="AA112" s="103">
        <v>46051</v>
      </c>
      <c r="AB112" s="103">
        <v>46075</v>
      </c>
      <c r="AC112" s="103"/>
      <c r="AD112" s="104">
        <f>IF(ISNA(VLOOKUP(D112,亚马逊入库配置费!B:F,5,0)),0,VLOOKUP(D112,亚马逊入库配置费!B:F,5,0))</f>
        <v>0.40734824281150162</v>
      </c>
      <c r="AE112" s="104">
        <f t="shared" si="8"/>
        <v>73.322683706070293</v>
      </c>
      <c r="AF112" s="103">
        <v>46083</v>
      </c>
      <c r="AG112" s="90">
        <f t="shared" si="9"/>
        <v>32</v>
      </c>
      <c r="AH112" s="103">
        <v>46117</v>
      </c>
      <c r="AI112" s="96">
        <v>180</v>
      </c>
      <c r="AJ112" s="427">
        <f t="shared" si="11"/>
        <v>34</v>
      </c>
      <c r="AK112" s="96"/>
      <c r="AL112" s="92"/>
      <c r="AM112" s="91"/>
      <c r="AN112" s="91"/>
      <c r="AO112" s="96"/>
      <c r="AP112" s="105"/>
      <c r="AQ112" s="105"/>
      <c r="AR112" s="105"/>
      <c r="AS112" s="105"/>
    </row>
    <row r="113" spans="1:45" ht="12" customHeight="1" x14ac:dyDescent="0.25">
      <c r="A113" s="90">
        <v>112</v>
      </c>
      <c r="B113" s="91"/>
      <c r="C113" s="91" t="s">
        <v>3112</v>
      </c>
      <c r="D113" s="92" t="s">
        <v>3118</v>
      </c>
      <c r="E113" s="91" t="s">
        <v>115</v>
      </c>
      <c r="F113" s="91" t="s">
        <v>0</v>
      </c>
      <c r="G113" s="56" t="s">
        <v>614</v>
      </c>
      <c r="H113" s="91">
        <v>72</v>
      </c>
      <c r="I113" s="91" t="s">
        <v>89</v>
      </c>
      <c r="J113" s="91" t="s">
        <v>8</v>
      </c>
      <c r="K113" s="92" t="s">
        <v>50</v>
      </c>
      <c r="L113" s="93" t="str">
        <f>VLOOKUP(G113,'SKU 对应关系'!A:E,4,0)</f>
        <v>AP2F-H14</v>
      </c>
      <c r="M113" s="94" t="str">
        <f>_xlfn.IFNA(VLOOKUP(G113,'SKU 对应关系'!A:B,2,0),"")</f>
        <v>AP2F-H14 空气净化器滤网2-H14</v>
      </c>
      <c r="N113" s="95" t="str">
        <f>_xlfn.IFNA(VLOOKUP(G113,'SKU 对应关系'!$A:$D,3,0),"")</f>
        <v>AP2F</v>
      </c>
      <c r="O113" s="96">
        <v>2</v>
      </c>
      <c r="P113" s="455">
        <v>29.142898550724635</v>
      </c>
      <c r="Q113" s="96" t="s">
        <v>16</v>
      </c>
      <c r="R113" s="91">
        <v>3.6</v>
      </c>
      <c r="S113" s="95" t="s">
        <v>1375</v>
      </c>
      <c r="T113" s="98">
        <v>1.7543859649122806</v>
      </c>
      <c r="U113" s="99">
        <f t="shared" si="13"/>
        <v>106.66882074752095</v>
      </c>
      <c r="V113" s="100">
        <f t="shared" si="7"/>
        <v>1.4815113992711244</v>
      </c>
      <c r="W113" s="101">
        <f t="shared" si="10"/>
        <v>0.22112110436882454</v>
      </c>
      <c r="X113" s="95"/>
      <c r="Y113" s="95"/>
      <c r="Z113" s="102"/>
      <c r="AA113" s="103">
        <v>46051</v>
      </c>
      <c r="AB113" s="103">
        <v>46075</v>
      </c>
      <c r="AC113" s="103"/>
      <c r="AD113" s="104">
        <f>IF(ISNA(VLOOKUP(D113,亚马逊入库配置费!B:F,5,0)),0,VLOOKUP(D113,亚马逊入库配置费!B:F,5,0))</f>
        <v>0.40734824281150162</v>
      </c>
      <c r="AE113" s="104">
        <f t="shared" si="8"/>
        <v>29.329073482428115</v>
      </c>
      <c r="AF113" s="103">
        <v>46083</v>
      </c>
      <c r="AG113" s="90">
        <f t="shared" si="9"/>
        <v>32</v>
      </c>
      <c r="AH113" s="103">
        <v>46117</v>
      </c>
      <c r="AI113" s="96">
        <v>71</v>
      </c>
      <c r="AJ113" s="427">
        <f t="shared" si="11"/>
        <v>34</v>
      </c>
      <c r="AK113" s="96"/>
      <c r="AL113" s="92"/>
      <c r="AM113" s="91"/>
      <c r="AN113" s="91"/>
      <c r="AO113" s="96"/>
      <c r="AP113" s="105"/>
      <c r="AQ113" s="105"/>
      <c r="AR113" s="105"/>
      <c r="AS113" s="105"/>
    </row>
    <row r="114" spans="1:45" ht="12" customHeight="1" x14ac:dyDescent="0.25">
      <c r="A114" s="90">
        <v>113</v>
      </c>
      <c r="B114" s="91"/>
      <c r="C114" s="91" t="s">
        <v>3112</v>
      </c>
      <c r="D114" s="92" t="s">
        <v>3118</v>
      </c>
      <c r="E114" s="91" t="s">
        <v>115</v>
      </c>
      <c r="F114" s="91" t="s">
        <v>0</v>
      </c>
      <c r="G114" s="56" t="s">
        <v>594</v>
      </c>
      <c r="H114" s="91">
        <v>252</v>
      </c>
      <c r="I114" s="91" t="s">
        <v>89</v>
      </c>
      <c r="J114" s="91" t="s">
        <v>8</v>
      </c>
      <c r="K114" s="92" t="s">
        <v>50</v>
      </c>
      <c r="L114" s="93" t="str">
        <f>VLOOKUP(G114,'SKU 对应关系'!A:E,4,0)</f>
        <v>AP2F-H13</v>
      </c>
      <c r="M114" s="94" t="str">
        <f>_xlfn.IFNA(VLOOKUP(G114,'SKU 对应关系'!A:B,2,0),"")</f>
        <v>AP2F-H13 空气净化器滤网2-H13</v>
      </c>
      <c r="N114" s="95" t="str">
        <f>_xlfn.IFNA(VLOOKUP(G114,'SKU 对应关系'!$A:$D,3,0),"")</f>
        <v>AP2F</v>
      </c>
      <c r="O114" s="96">
        <v>7</v>
      </c>
      <c r="P114" s="455">
        <v>102.00014492753623</v>
      </c>
      <c r="Q114" s="96" t="s">
        <v>16</v>
      </c>
      <c r="R114" s="91">
        <v>3.6</v>
      </c>
      <c r="S114" s="95"/>
      <c r="T114" s="98">
        <v>6.1403508771929829</v>
      </c>
      <c r="U114" s="99">
        <f t="shared" si="13"/>
        <v>373.3408726163234</v>
      </c>
      <c r="V114" s="100">
        <f t="shared" si="7"/>
        <v>1.4815113992711246</v>
      </c>
      <c r="W114" s="101">
        <f t="shared" si="10"/>
        <v>0.22112110436882457</v>
      </c>
      <c r="X114" s="95"/>
      <c r="Y114" s="95"/>
      <c r="Z114" s="102"/>
      <c r="AA114" s="103">
        <v>46051</v>
      </c>
      <c r="AB114" s="103">
        <v>46075</v>
      </c>
      <c r="AC114" s="103"/>
      <c r="AD114" s="104">
        <f>IF(ISNA(VLOOKUP(D114,亚马逊入库配置费!B:F,5,0)),0,VLOOKUP(D114,亚马逊入库配置费!B:F,5,0))</f>
        <v>0.40734824281150162</v>
      </c>
      <c r="AE114" s="104">
        <f t="shared" si="8"/>
        <v>102.65175718849841</v>
      </c>
      <c r="AF114" s="103">
        <v>46083</v>
      </c>
      <c r="AG114" s="90">
        <f t="shared" si="9"/>
        <v>32</v>
      </c>
      <c r="AH114" s="103">
        <v>46117</v>
      </c>
      <c r="AI114" s="96">
        <v>250</v>
      </c>
      <c r="AJ114" s="427">
        <f t="shared" si="11"/>
        <v>34</v>
      </c>
      <c r="AK114" s="96"/>
      <c r="AL114" s="92"/>
      <c r="AM114" s="91"/>
      <c r="AN114" s="91"/>
      <c r="AO114" s="96"/>
      <c r="AP114" s="105"/>
      <c r="AQ114" s="105"/>
      <c r="AR114" s="105"/>
      <c r="AS114" s="105"/>
    </row>
    <row r="115" spans="1:45" s="435" customFormat="1" ht="12" customHeight="1" x14ac:dyDescent="0.25">
      <c r="A115" s="421">
        <v>114</v>
      </c>
      <c r="B115" s="422"/>
      <c r="C115" s="422" t="s">
        <v>3121</v>
      </c>
      <c r="D115" s="423" t="s">
        <v>3122</v>
      </c>
      <c r="E115" s="422" t="s">
        <v>97</v>
      </c>
      <c r="F115" s="422" t="s">
        <v>0</v>
      </c>
      <c r="G115" s="424" t="s">
        <v>2962</v>
      </c>
      <c r="H115" s="422">
        <v>840</v>
      </c>
      <c r="I115" s="422" t="s">
        <v>207</v>
      </c>
      <c r="J115" s="422" t="s">
        <v>8</v>
      </c>
      <c r="K115" s="423" t="s">
        <v>13</v>
      </c>
      <c r="L115" s="425" t="str">
        <f>VLOOKUP(G115,'SKU 对应关系'!A:E,4,0)</f>
        <v>AN6KIT-B_4X10K04_TZ</v>
      </c>
      <c r="M115" s="426" t="str">
        <f>_xlfn.IFNA(VLOOKUP(G115,'SKU 对应关系'!A:B,2,0),"")</f>
        <v>AN6KIT-B_4X10K04_TZ AN6黑色机器+4x10mL酒店（天竺）香氛油 机油套装</v>
      </c>
      <c r="N115" s="422" t="str">
        <f>_xlfn.IFNA(VLOOKUP(G115,'SKU 对应关系'!$A:$D,3,0),"")</f>
        <v>AN6</v>
      </c>
      <c r="O115" s="427">
        <v>28</v>
      </c>
      <c r="P115" s="455">
        <v>460.72727272727269</v>
      </c>
      <c r="Q115" s="427" t="s">
        <v>16</v>
      </c>
      <c r="R115" s="422">
        <v>3.9</v>
      </c>
      <c r="S115" s="422">
        <v>200</v>
      </c>
      <c r="T115" s="428">
        <v>17.721518987341771</v>
      </c>
      <c r="U115" s="429">
        <f>R115*P115+T115</f>
        <v>1814.5578826237054</v>
      </c>
      <c r="V115" s="430">
        <f t="shared" si="7"/>
        <v>2.1601879555044112</v>
      </c>
      <c r="W115" s="431">
        <f t="shared" si="10"/>
        <v>0.32241611276185239</v>
      </c>
      <c r="X115" s="422"/>
      <c r="Y115" s="422"/>
      <c r="Z115" s="428"/>
      <c r="AA115" s="432">
        <v>46051</v>
      </c>
      <c r="AB115" s="432">
        <v>46075</v>
      </c>
      <c r="AC115" s="432"/>
      <c r="AD115" s="433">
        <f>IF(ISNA(VLOOKUP(D115,亚马逊入库配置费!B:F,5,0)),0,VLOOKUP(D115,亚马逊入库配置费!B:F,5,0))</f>
        <v>0.43999999999999995</v>
      </c>
      <c r="AE115" s="433">
        <f t="shared" si="8"/>
        <v>369.59999999999997</v>
      </c>
      <c r="AF115" s="432">
        <v>46079</v>
      </c>
      <c r="AG115" s="90">
        <f t="shared" si="9"/>
        <v>28</v>
      </c>
      <c r="AH115" s="432">
        <v>46113</v>
      </c>
      <c r="AI115" s="427">
        <v>845</v>
      </c>
      <c r="AJ115" s="427">
        <f t="shared" si="11"/>
        <v>34</v>
      </c>
      <c r="AK115" s="427"/>
      <c r="AL115" s="423"/>
      <c r="AM115" s="422"/>
      <c r="AN115" s="422"/>
      <c r="AO115" s="427"/>
      <c r="AP115" s="434"/>
      <c r="AQ115" s="434"/>
      <c r="AR115" s="434"/>
      <c r="AS115" s="434"/>
    </row>
    <row r="116" spans="1:45" s="435" customFormat="1" ht="12" customHeight="1" x14ac:dyDescent="0.25">
      <c r="A116" s="421">
        <v>115</v>
      </c>
      <c r="B116" s="422"/>
      <c r="C116" s="422" t="s">
        <v>3121</v>
      </c>
      <c r="D116" s="423" t="s">
        <v>3122</v>
      </c>
      <c r="E116" s="422" t="s">
        <v>97</v>
      </c>
      <c r="F116" s="422" t="s">
        <v>0</v>
      </c>
      <c r="G116" s="424" t="s">
        <v>2963</v>
      </c>
      <c r="H116" s="422">
        <v>480</v>
      </c>
      <c r="I116" s="422" t="s">
        <v>207</v>
      </c>
      <c r="J116" s="422" t="s">
        <v>8</v>
      </c>
      <c r="K116" s="423" t="s">
        <v>13</v>
      </c>
      <c r="L116" s="425" t="str">
        <f>VLOOKUP(G116,'SKU 对应关系'!A:E,4,0)</f>
        <v>AN6KIT-WH_4X10K04_TZ</v>
      </c>
      <c r="M116" s="426" t="str">
        <f>_xlfn.IFNA(VLOOKUP(G116,'SKU 对应关系'!A:B,2,0),"")</f>
        <v>AN6KIT-WH_4X10K04_TZ AN6白色机器+4x10mL酒店（天竺）香氛油 机油套装</v>
      </c>
      <c r="N116" s="422" t="str">
        <f>_xlfn.IFNA(VLOOKUP(G116,'SKU 对应关系'!$A:$D,3,0),"")</f>
        <v>AN6</v>
      </c>
      <c r="O116" s="427">
        <v>16</v>
      </c>
      <c r="P116" s="455">
        <v>263.27272727272725</v>
      </c>
      <c r="Q116" s="427" t="s">
        <v>16</v>
      </c>
      <c r="R116" s="422">
        <v>3.9</v>
      </c>
      <c r="S116" s="436">
        <f>SUMIF(C:C,C115,T:T)</f>
        <v>200.00000000000006</v>
      </c>
      <c r="T116" s="428">
        <v>10.126582278481013</v>
      </c>
      <c r="U116" s="429">
        <f t="shared" si="13"/>
        <v>1036.8902186421174</v>
      </c>
      <c r="V116" s="430">
        <f t="shared" si="7"/>
        <v>2.1601879555044112</v>
      </c>
      <c r="W116" s="431">
        <f t="shared" si="10"/>
        <v>0.32241611276185239</v>
      </c>
      <c r="X116" s="422"/>
      <c r="Y116" s="422"/>
      <c r="Z116" s="428"/>
      <c r="AA116" s="432">
        <v>46051</v>
      </c>
      <c r="AB116" s="432">
        <v>46075</v>
      </c>
      <c r="AC116" s="432"/>
      <c r="AD116" s="433">
        <f>IF(ISNA(VLOOKUP(D116,亚马逊入库配置费!B:F,5,0)),0,VLOOKUP(D116,亚马逊入库配置费!B:F,5,0))</f>
        <v>0.43999999999999995</v>
      </c>
      <c r="AE116" s="433">
        <f t="shared" si="8"/>
        <v>211.2</v>
      </c>
      <c r="AF116" s="432">
        <v>46079</v>
      </c>
      <c r="AG116" s="90">
        <f t="shared" si="9"/>
        <v>28</v>
      </c>
      <c r="AH116" s="432">
        <v>46113</v>
      </c>
      <c r="AI116" s="427">
        <v>480</v>
      </c>
      <c r="AJ116" s="427">
        <f t="shared" si="11"/>
        <v>34</v>
      </c>
      <c r="AK116" s="427"/>
      <c r="AL116" s="423"/>
      <c r="AM116" s="422"/>
      <c r="AN116" s="422"/>
      <c r="AO116" s="427"/>
      <c r="AP116" s="434"/>
      <c r="AQ116" s="434"/>
      <c r="AR116" s="434"/>
      <c r="AS116" s="434"/>
    </row>
    <row r="117" spans="1:45" s="435" customFormat="1" ht="12" customHeight="1" x14ac:dyDescent="0.25">
      <c r="A117" s="421">
        <v>116</v>
      </c>
      <c r="B117" s="422"/>
      <c r="C117" s="422" t="s">
        <v>3121</v>
      </c>
      <c r="D117" s="423" t="s">
        <v>3123</v>
      </c>
      <c r="E117" s="422" t="s">
        <v>97</v>
      </c>
      <c r="F117" s="422" t="s">
        <v>0</v>
      </c>
      <c r="G117" s="424" t="s">
        <v>93</v>
      </c>
      <c r="H117" s="422">
        <v>1344</v>
      </c>
      <c r="I117" s="422" t="s">
        <v>207</v>
      </c>
      <c r="J117" s="422" t="s">
        <v>8</v>
      </c>
      <c r="K117" s="423" t="s">
        <v>15</v>
      </c>
      <c r="L117" s="425" t="str">
        <f>VLOOKUP(G117,'SKU 对应关系'!A:E,4,0)</f>
        <v>ANW-W</v>
      </c>
      <c r="M117" s="426" t="str">
        <f>_xlfn.IFNA(VLOOKUP(G117,'SKU 对应关系'!A:B,2,0),"")</f>
        <v>ANW-W 智能扩香仪 白色</v>
      </c>
      <c r="N117" s="422" t="str">
        <f>_xlfn.IFNA(VLOOKUP(G117,'SKU 对应关系'!$A:$D,3,0),"")</f>
        <v>ANW</v>
      </c>
      <c r="O117" s="427">
        <v>112</v>
      </c>
      <c r="P117" s="455">
        <v>1704.55</v>
      </c>
      <c r="Q117" s="427" t="s">
        <v>16</v>
      </c>
      <c r="R117" s="422">
        <v>4.4000000000000004</v>
      </c>
      <c r="S117" s="422"/>
      <c r="T117" s="428">
        <v>70.886075949367083</v>
      </c>
      <c r="U117" s="429">
        <f t="shared" si="13"/>
        <v>7570.9060759493677</v>
      </c>
      <c r="V117" s="430">
        <f t="shared" si="7"/>
        <v>5.6331146398432796</v>
      </c>
      <c r="W117" s="431">
        <f t="shared" si="10"/>
        <v>0.84076337908108645</v>
      </c>
      <c r="X117" s="422"/>
      <c r="Y117" s="422"/>
      <c r="Z117" s="428"/>
      <c r="AA117" s="432">
        <v>46051</v>
      </c>
      <c r="AB117" s="432">
        <v>46075</v>
      </c>
      <c r="AC117" s="432"/>
      <c r="AD117" s="433">
        <f>IF(ISNA(VLOOKUP(D117,亚马逊入库配置费!B:F,5,0)),0,VLOOKUP(D117,亚马逊入库配置费!B:F,5,0))</f>
        <v>0.55999999999999994</v>
      </c>
      <c r="AE117" s="433">
        <f t="shared" si="8"/>
        <v>752.63999999999987</v>
      </c>
      <c r="AF117" s="432">
        <v>46079</v>
      </c>
      <c r="AG117" s="90">
        <f t="shared" si="9"/>
        <v>28</v>
      </c>
      <c r="AH117" s="432">
        <v>46112</v>
      </c>
      <c r="AI117" s="427">
        <v>1357</v>
      </c>
      <c r="AJ117" s="427">
        <f t="shared" si="11"/>
        <v>33</v>
      </c>
      <c r="AK117" s="427"/>
      <c r="AL117" s="423"/>
      <c r="AM117" s="422"/>
      <c r="AN117" s="422"/>
      <c r="AO117" s="427"/>
      <c r="AP117" s="434"/>
      <c r="AQ117" s="434"/>
      <c r="AR117" s="434"/>
      <c r="AS117" s="434"/>
    </row>
    <row r="118" spans="1:45" s="435" customFormat="1" ht="12" customHeight="1" x14ac:dyDescent="0.25">
      <c r="A118" s="421">
        <v>117</v>
      </c>
      <c r="B118" s="422"/>
      <c r="C118" s="422" t="s">
        <v>3121</v>
      </c>
      <c r="D118" s="423" t="s">
        <v>3124</v>
      </c>
      <c r="E118" s="422" t="s">
        <v>97</v>
      </c>
      <c r="F118" s="422" t="s">
        <v>0</v>
      </c>
      <c r="G118" s="424" t="s">
        <v>2355</v>
      </c>
      <c r="H118" s="422">
        <v>240</v>
      </c>
      <c r="I118" s="422" t="s">
        <v>207</v>
      </c>
      <c r="J118" s="422" t="s">
        <v>8</v>
      </c>
      <c r="K118" s="423" t="s">
        <v>15</v>
      </c>
      <c r="L118" s="425" t="str">
        <f>VLOOKUP(G118,'SKU 对应关系'!A:E,4,0)</f>
        <v>ANAKIT-B_US_2X100K03</v>
      </c>
      <c r="M118" s="426" t="str">
        <f>_xlfn.IFNA(VLOOKUP(G118,'SKU 对应关系'!A:B,2,0),"")</f>
        <v>ANAKIT-B_US_2X100K03 ANA黑色机器+2X100mL酒店香氛油（天竺） 机油套装</v>
      </c>
      <c r="N118" s="422" t="str">
        <f>_xlfn.IFNA(VLOOKUP(G118,'SKU 对应关系'!$A:$D,3,0),"")</f>
        <v>ANA</v>
      </c>
      <c r="O118" s="427">
        <v>20</v>
      </c>
      <c r="P118" s="455">
        <v>304.38235294117652</v>
      </c>
      <c r="Q118" s="427" t="s">
        <v>16</v>
      </c>
      <c r="R118" s="422">
        <v>4.4000000000000004</v>
      </c>
      <c r="S118" s="422"/>
      <c r="T118" s="428">
        <v>12.658227848101266</v>
      </c>
      <c r="U118" s="429">
        <f t="shared" si="13"/>
        <v>1351.9405807892781</v>
      </c>
      <c r="V118" s="430">
        <f t="shared" si="7"/>
        <v>5.6330857532886585</v>
      </c>
      <c r="W118" s="431">
        <f t="shared" si="10"/>
        <v>0.84075906765502362</v>
      </c>
      <c r="X118" s="422"/>
      <c r="Y118" s="422"/>
      <c r="Z118" s="428"/>
      <c r="AA118" s="432">
        <v>46051</v>
      </c>
      <c r="AB118" s="432">
        <v>46075</v>
      </c>
      <c r="AC118" s="432"/>
      <c r="AD118" s="433">
        <f>IF(ISNA(VLOOKUP(D118,亚马逊入库配置费!B:F,5,0)),0,VLOOKUP(D118,亚马逊入库配置费!B:F,5,0))</f>
        <v>0.55999999999999994</v>
      </c>
      <c r="AE118" s="433">
        <f t="shared" si="8"/>
        <v>134.39999999999998</v>
      </c>
      <c r="AF118" s="432">
        <v>46079</v>
      </c>
      <c r="AG118" s="90">
        <f t="shared" si="9"/>
        <v>28</v>
      </c>
      <c r="AH118" s="432">
        <v>46110</v>
      </c>
      <c r="AI118" s="427">
        <v>240</v>
      </c>
      <c r="AJ118" s="427">
        <f t="shared" si="11"/>
        <v>31</v>
      </c>
      <c r="AK118" s="427"/>
      <c r="AL118" s="423"/>
      <c r="AM118" s="422"/>
      <c r="AN118" s="422"/>
      <c r="AO118" s="427"/>
      <c r="AP118" s="434"/>
      <c r="AQ118" s="434"/>
      <c r="AR118" s="434"/>
      <c r="AS118" s="434"/>
    </row>
    <row r="119" spans="1:45" s="435" customFormat="1" ht="12" customHeight="1" x14ac:dyDescent="0.25">
      <c r="A119" s="421">
        <v>118</v>
      </c>
      <c r="B119" s="422"/>
      <c r="C119" s="422" t="s">
        <v>3121</v>
      </c>
      <c r="D119" s="423" t="s">
        <v>3124</v>
      </c>
      <c r="E119" s="422" t="s">
        <v>97</v>
      </c>
      <c r="F119" s="422" t="s">
        <v>0</v>
      </c>
      <c r="G119" s="424" t="s">
        <v>2357</v>
      </c>
      <c r="H119" s="422">
        <v>168</v>
      </c>
      <c r="I119" s="422" t="s">
        <v>207</v>
      </c>
      <c r="J119" s="422" t="s">
        <v>8</v>
      </c>
      <c r="K119" s="423" t="s">
        <v>15</v>
      </c>
      <c r="L119" s="425" t="str">
        <f>VLOOKUP(G119,'SKU 对应关系'!A:E,4,0)</f>
        <v>ANAKIT-WH_US_2X100K03</v>
      </c>
      <c r="M119" s="426" t="str">
        <f>_xlfn.IFNA(VLOOKUP(G119,'SKU 对应关系'!A:B,2,0),"")</f>
        <v>ANAKIT-WH_US_2X100K03 ANA白色机器+2X100mL酒店香氛油（天竺） 机油套装</v>
      </c>
      <c r="N119" s="422" t="str">
        <f>_xlfn.IFNA(VLOOKUP(G119,'SKU 对应关系'!$A:$D,3,0),"")</f>
        <v>ANA</v>
      </c>
      <c r="O119" s="427">
        <v>14</v>
      </c>
      <c r="P119" s="455">
        <v>213.06764705882355</v>
      </c>
      <c r="Q119" s="427" t="s">
        <v>16</v>
      </c>
      <c r="R119" s="422">
        <v>4.4000000000000004</v>
      </c>
      <c r="S119" s="422"/>
      <c r="T119" s="428">
        <v>8.8607594936708853</v>
      </c>
      <c r="U119" s="429">
        <f t="shared" si="13"/>
        <v>946.35840655249467</v>
      </c>
      <c r="V119" s="430">
        <f t="shared" si="7"/>
        <v>5.6330857532886585</v>
      </c>
      <c r="W119" s="431">
        <f t="shared" si="10"/>
        <v>0.84075906765502362</v>
      </c>
      <c r="X119" s="422"/>
      <c r="Y119" s="422"/>
      <c r="Z119" s="428"/>
      <c r="AA119" s="432">
        <v>46051</v>
      </c>
      <c r="AB119" s="432">
        <v>46075</v>
      </c>
      <c r="AC119" s="432"/>
      <c r="AD119" s="433">
        <f>IF(ISNA(VLOOKUP(D119,亚马逊入库配置费!B:F,5,0)),0,VLOOKUP(D119,亚马逊入库配置费!B:F,5,0))</f>
        <v>0.55999999999999994</v>
      </c>
      <c r="AE119" s="433">
        <f t="shared" si="8"/>
        <v>94.079999999999984</v>
      </c>
      <c r="AF119" s="432">
        <v>46079</v>
      </c>
      <c r="AG119" s="90">
        <f t="shared" si="9"/>
        <v>28</v>
      </c>
      <c r="AH119" s="432">
        <v>46110</v>
      </c>
      <c r="AI119" s="427">
        <v>156</v>
      </c>
      <c r="AJ119" s="427">
        <f t="shared" si="11"/>
        <v>31</v>
      </c>
      <c r="AK119" s="427"/>
      <c r="AL119" s="423"/>
      <c r="AM119" s="422"/>
      <c r="AN119" s="422"/>
      <c r="AO119" s="427"/>
      <c r="AP119" s="434"/>
      <c r="AQ119" s="434"/>
      <c r="AR119" s="434"/>
      <c r="AS119" s="434"/>
    </row>
    <row r="120" spans="1:45" ht="12" customHeight="1" x14ac:dyDescent="0.25">
      <c r="A120" s="90">
        <v>119</v>
      </c>
      <c r="B120" s="91"/>
      <c r="C120" s="91" t="s">
        <v>3125</v>
      </c>
      <c r="D120" s="92" t="s">
        <v>3126</v>
      </c>
      <c r="E120" s="91" t="s">
        <v>2560</v>
      </c>
      <c r="F120" s="91" t="s">
        <v>87</v>
      </c>
      <c r="G120" s="56" t="s">
        <v>884</v>
      </c>
      <c r="H120" s="91">
        <v>64</v>
      </c>
      <c r="I120" s="91" t="s">
        <v>89</v>
      </c>
      <c r="J120" s="91" t="s">
        <v>90</v>
      </c>
      <c r="K120" s="92" t="s">
        <v>280</v>
      </c>
      <c r="L120" s="93" t="str">
        <f>VLOOKUP(G120,'SKU 对应关系'!A:E,4,0)</f>
        <v>X1-B</v>
      </c>
      <c r="M120" s="94" t="str">
        <f>_xlfn.IFNA(VLOOKUP(G120,'SKU 对应关系'!A:B,2,0),"")</f>
        <v>X1-B 智能入户门锁 黑色</v>
      </c>
      <c r="N120" s="95" t="str">
        <f>_xlfn.IFNA(VLOOKUP(G120,'SKU 对应关系'!$A:$D,3,0),"")</f>
        <v>X1</v>
      </c>
      <c r="O120" s="96">
        <v>4</v>
      </c>
      <c r="P120" s="455">
        <v>69</v>
      </c>
      <c r="Q120" s="96" t="s">
        <v>16</v>
      </c>
      <c r="R120" s="91">
        <v>6</v>
      </c>
      <c r="S120" s="95">
        <v>200</v>
      </c>
      <c r="T120" s="98">
        <v>200</v>
      </c>
      <c r="U120" s="99">
        <f t="shared" si="13"/>
        <v>614</v>
      </c>
      <c r="V120" s="100">
        <f t="shared" si="7"/>
        <v>9.59375</v>
      </c>
      <c r="W120" s="101">
        <f t="shared" si="10"/>
        <v>1.4319029850746268</v>
      </c>
      <c r="X120" s="95"/>
      <c r="Y120" s="95"/>
      <c r="Z120" s="102"/>
      <c r="AA120" s="103">
        <v>46051</v>
      </c>
      <c r="AB120" s="103">
        <v>46087</v>
      </c>
      <c r="AC120" s="103"/>
      <c r="AD120" s="104">
        <f>IF(ISNA(VLOOKUP(D120,亚马逊入库配置费!B:F,5,0)),0,VLOOKUP(D120,亚马逊入库配置费!B:F,5,0))</f>
        <v>0</v>
      </c>
      <c r="AE120" s="104">
        <f t="shared" si="8"/>
        <v>0</v>
      </c>
      <c r="AF120" s="103">
        <v>46104</v>
      </c>
      <c r="AG120" s="90">
        <f t="shared" si="9"/>
        <v>53</v>
      </c>
      <c r="AH120" s="103">
        <v>46117</v>
      </c>
      <c r="AI120" s="96">
        <v>64</v>
      </c>
      <c r="AJ120" s="427">
        <f t="shared" si="11"/>
        <v>13</v>
      </c>
      <c r="AK120" s="96"/>
      <c r="AL120" s="92"/>
      <c r="AM120" s="91"/>
      <c r="AN120" s="91"/>
      <c r="AO120" s="96"/>
      <c r="AP120" s="105"/>
      <c r="AQ120" s="105"/>
      <c r="AR120" s="105"/>
      <c r="AS120" s="105"/>
    </row>
    <row r="121" spans="1:45" ht="12" customHeight="1" x14ac:dyDescent="0.25">
      <c r="A121" s="90">
        <v>120</v>
      </c>
      <c r="B121" s="91"/>
      <c r="C121" s="91" t="s">
        <v>3112</v>
      </c>
      <c r="D121" s="92" t="s">
        <v>3127</v>
      </c>
      <c r="E121" s="91" t="s">
        <v>1037</v>
      </c>
      <c r="F121" s="91" t="s">
        <v>0</v>
      </c>
      <c r="G121" s="56" t="s">
        <v>884</v>
      </c>
      <c r="H121" s="91">
        <v>816</v>
      </c>
      <c r="I121" s="91" t="s">
        <v>89</v>
      </c>
      <c r="J121" s="91" t="s">
        <v>8</v>
      </c>
      <c r="K121" s="92" t="s">
        <v>15</v>
      </c>
      <c r="L121" s="93" t="str">
        <f>VLOOKUP(G121,'SKU 对应关系'!A:E,4,0)</f>
        <v>X1-B</v>
      </c>
      <c r="M121" s="94" t="str">
        <f>_xlfn.IFNA(VLOOKUP(G121,'SKU 对应关系'!A:B,2,0),"")</f>
        <v>X1-B 智能入户门锁 黑色</v>
      </c>
      <c r="N121" s="95" t="str">
        <f>_xlfn.IFNA(VLOOKUP(G121,'SKU 对应关系'!$A:$D,3,0),"")</f>
        <v>X1</v>
      </c>
      <c r="O121" s="96">
        <v>51</v>
      </c>
      <c r="P121" s="455">
        <v>873.29629629629619</v>
      </c>
      <c r="Q121" s="96" t="s">
        <v>16</v>
      </c>
      <c r="R121" s="91">
        <v>3.7</v>
      </c>
      <c r="S121" s="106">
        <f>SUMIF(C:C,C120,T:T)</f>
        <v>200</v>
      </c>
      <c r="T121" s="98">
        <v>44.736842105263158</v>
      </c>
      <c r="U121" s="99">
        <f t="shared" si="13"/>
        <v>3275.9331384015595</v>
      </c>
      <c r="V121" s="100">
        <f t="shared" si="7"/>
        <v>4.0146239441195579</v>
      </c>
      <c r="W121" s="101">
        <f t="shared" si="10"/>
        <v>0.59919760359993401</v>
      </c>
      <c r="X121" s="95"/>
      <c r="Y121" s="95"/>
      <c r="Z121" s="102"/>
      <c r="AA121" s="103">
        <v>46051</v>
      </c>
      <c r="AB121" s="103">
        <v>46075</v>
      </c>
      <c r="AC121" s="103"/>
      <c r="AD121" s="104">
        <f>IF(ISNA(VLOOKUP(D121,亚马逊入库配置费!B:F,5,0)),0,VLOOKUP(D121,亚马逊入库配置费!B:F,5,0))</f>
        <v>0.55999999999999994</v>
      </c>
      <c r="AE121" s="104">
        <f t="shared" si="8"/>
        <v>456.96</v>
      </c>
      <c r="AF121" s="103">
        <v>46084</v>
      </c>
      <c r="AG121" s="90">
        <f t="shared" si="9"/>
        <v>33</v>
      </c>
      <c r="AH121" s="103">
        <v>46120</v>
      </c>
      <c r="AI121" s="96">
        <v>816</v>
      </c>
      <c r="AJ121" s="427">
        <f t="shared" si="11"/>
        <v>36</v>
      </c>
      <c r="AK121" s="96"/>
      <c r="AL121" s="92"/>
      <c r="AM121" s="91"/>
      <c r="AN121" s="91"/>
      <c r="AO121" s="96"/>
      <c r="AP121" s="105"/>
      <c r="AQ121" s="105"/>
      <c r="AR121" s="105"/>
      <c r="AS121" s="105"/>
    </row>
    <row r="122" spans="1:45" ht="12" customHeight="1" x14ac:dyDescent="0.25">
      <c r="A122" s="90">
        <v>121</v>
      </c>
      <c r="B122" s="91"/>
      <c r="C122" s="91" t="s">
        <v>3112</v>
      </c>
      <c r="D122" s="92" t="s">
        <v>3127</v>
      </c>
      <c r="E122" s="91" t="s">
        <v>1037</v>
      </c>
      <c r="F122" s="91" t="s">
        <v>0</v>
      </c>
      <c r="G122" s="56" t="s">
        <v>1006</v>
      </c>
      <c r="H122" s="91">
        <v>384</v>
      </c>
      <c r="I122" s="91" t="s">
        <v>89</v>
      </c>
      <c r="J122" s="91" t="s">
        <v>8</v>
      </c>
      <c r="K122" s="92" t="s">
        <v>15</v>
      </c>
      <c r="L122" s="93" t="str">
        <f>VLOOKUP(G122,'SKU 对应关系'!A:E,4,0)</f>
        <v>X1-SG</v>
      </c>
      <c r="M122" s="94" t="str">
        <f>_xlfn.IFNA(VLOOKUP(G122,'SKU 对应关系'!A:B,2,0),"")</f>
        <v>X1-SG 智能入户门锁 太空灰色</v>
      </c>
      <c r="N122" s="95" t="str">
        <f>_xlfn.IFNA(VLOOKUP(G122,'SKU 对应关系'!$A:$D,3,0),"")</f>
        <v>X1</v>
      </c>
      <c r="O122" s="96">
        <v>24</v>
      </c>
      <c r="P122" s="455">
        <v>410.96296296296293</v>
      </c>
      <c r="Q122" s="96" t="s">
        <v>16</v>
      </c>
      <c r="R122" s="91">
        <v>3.7</v>
      </c>
      <c r="S122" s="95"/>
      <c r="T122" s="98">
        <v>21.05263157894737</v>
      </c>
      <c r="U122" s="99">
        <f t="shared" si="13"/>
        <v>1541.6155945419102</v>
      </c>
      <c r="V122" s="100">
        <f t="shared" si="7"/>
        <v>4.0146239441195579</v>
      </c>
      <c r="W122" s="101">
        <f t="shared" si="10"/>
        <v>0.59919760359993401</v>
      </c>
      <c r="X122" s="95"/>
      <c r="Y122" s="95"/>
      <c r="Z122" s="102"/>
      <c r="AA122" s="103">
        <v>46051</v>
      </c>
      <c r="AB122" s="103">
        <v>46075</v>
      </c>
      <c r="AC122" s="103"/>
      <c r="AD122" s="104">
        <f>IF(ISNA(VLOOKUP(D122,亚马逊入库配置费!B:F,5,0)),0,VLOOKUP(D122,亚马逊入库配置费!B:F,5,0))</f>
        <v>0.55999999999999994</v>
      </c>
      <c r="AE122" s="104">
        <f t="shared" si="8"/>
        <v>215.03999999999996</v>
      </c>
      <c r="AF122" s="103">
        <v>46084</v>
      </c>
      <c r="AG122" s="90">
        <f t="shared" si="9"/>
        <v>33</v>
      </c>
      <c r="AH122" s="103">
        <v>46120</v>
      </c>
      <c r="AI122" s="96">
        <v>384</v>
      </c>
      <c r="AJ122" s="427">
        <f t="shared" si="11"/>
        <v>36</v>
      </c>
      <c r="AK122" s="96"/>
      <c r="AL122" s="92"/>
      <c r="AM122" s="91"/>
      <c r="AN122" s="91"/>
      <c r="AO122" s="96"/>
      <c r="AP122" s="105"/>
      <c r="AQ122" s="105"/>
      <c r="AR122" s="105"/>
      <c r="AS122" s="105"/>
    </row>
    <row r="123" spans="1:45" ht="12" customHeight="1" x14ac:dyDescent="0.25">
      <c r="A123" s="90">
        <v>122</v>
      </c>
      <c r="B123" s="91"/>
      <c r="C123" s="91" t="s">
        <v>3112</v>
      </c>
      <c r="D123" s="92" t="s">
        <v>3127</v>
      </c>
      <c r="E123" s="91" t="s">
        <v>1037</v>
      </c>
      <c r="F123" s="91" t="s">
        <v>0</v>
      </c>
      <c r="G123" s="56" t="s">
        <v>1997</v>
      </c>
      <c r="H123" s="91">
        <v>96</v>
      </c>
      <c r="I123" s="91" t="s">
        <v>89</v>
      </c>
      <c r="J123" s="91" t="s">
        <v>8</v>
      </c>
      <c r="K123" s="92" t="s">
        <v>15</v>
      </c>
      <c r="L123" s="93" t="str">
        <f>VLOOKUP(G123,'SKU 对应关系'!A:E,4,0)</f>
        <v>X3-B</v>
      </c>
      <c r="M123" s="94" t="str">
        <f>_xlfn.IFNA(VLOOKUP(G123,'SKU 对应关系'!A:B,2,0),"")</f>
        <v>X3-B 智能入户门锁 黑色</v>
      </c>
      <c r="N123" s="95" t="str">
        <f>_xlfn.IFNA(VLOOKUP(G123,'SKU 对应关系'!$A:$D,3,0),"")</f>
        <v>X3</v>
      </c>
      <c r="O123" s="96">
        <v>6</v>
      </c>
      <c r="P123" s="455">
        <v>102.74074074074073</v>
      </c>
      <c r="Q123" s="96" t="s">
        <v>16</v>
      </c>
      <c r="R123" s="91">
        <v>3.7</v>
      </c>
      <c r="S123" s="95"/>
      <c r="T123" s="98">
        <v>5.2631578947368425</v>
      </c>
      <c r="U123" s="99">
        <f t="shared" si="13"/>
        <v>385.40389863547756</v>
      </c>
      <c r="V123" s="100">
        <f t="shared" si="7"/>
        <v>4.0146239441195579</v>
      </c>
      <c r="W123" s="101">
        <f t="shared" si="10"/>
        <v>0.59919760359993401</v>
      </c>
      <c r="X123" s="95"/>
      <c r="Y123" s="95"/>
      <c r="Z123" s="102"/>
      <c r="AA123" s="103">
        <v>46051</v>
      </c>
      <c r="AB123" s="103">
        <v>46075</v>
      </c>
      <c r="AC123" s="103"/>
      <c r="AD123" s="104">
        <f>IF(ISNA(VLOOKUP(D123,亚马逊入库配置费!B:F,5,0)),0,VLOOKUP(D123,亚马逊入库配置费!B:F,5,0))</f>
        <v>0.55999999999999994</v>
      </c>
      <c r="AE123" s="104">
        <f t="shared" si="8"/>
        <v>53.759999999999991</v>
      </c>
      <c r="AF123" s="103">
        <v>46084</v>
      </c>
      <c r="AG123" s="90">
        <f t="shared" si="9"/>
        <v>33</v>
      </c>
      <c r="AH123" s="103">
        <v>46120</v>
      </c>
      <c r="AI123" s="96">
        <v>96</v>
      </c>
      <c r="AJ123" s="427">
        <f t="shared" si="11"/>
        <v>36</v>
      </c>
      <c r="AK123" s="96"/>
      <c r="AL123" s="92"/>
      <c r="AM123" s="91"/>
      <c r="AN123" s="91"/>
      <c r="AO123" s="96"/>
      <c r="AP123" s="105"/>
      <c r="AQ123" s="105"/>
      <c r="AR123" s="105"/>
      <c r="AS123" s="105"/>
    </row>
    <row r="124" spans="1:45" ht="12" customHeight="1" x14ac:dyDescent="0.25">
      <c r="A124" s="90">
        <v>123</v>
      </c>
      <c r="B124" s="91"/>
      <c r="C124" s="91" t="s">
        <v>3121</v>
      </c>
      <c r="D124" s="92" t="s">
        <v>3128</v>
      </c>
      <c r="E124" s="91" t="s">
        <v>1037</v>
      </c>
      <c r="F124" s="91" t="s">
        <v>0</v>
      </c>
      <c r="G124" s="56" t="s">
        <v>282</v>
      </c>
      <c r="H124" s="91">
        <v>80</v>
      </c>
      <c r="I124" s="91" t="s">
        <v>207</v>
      </c>
      <c r="J124" s="91" t="s">
        <v>8</v>
      </c>
      <c r="K124" s="92" t="s">
        <v>15</v>
      </c>
      <c r="L124" s="93" t="str">
        <f>VLOOKUP(G124,'SKU 对应关系'!A:E,4,0)</f>
        <v>M1-B</v>
      </c>
      <c r="M124" s="94" t="str">
        <f>_xlfn.IFNA(VLOOKUP(G124,'SKU 对应关系'!A:B,2,0),"")</f>
        <v>M1-B 电子球形把手锁 黑色</v>
      </c>
      <c r="N124" s="95" t="str">
        <f>_xlfn.IFNA(VLOOKUP(G124,'SKU 对应关系'!$A:$D,3,0),"")</f>
        <v>M1</v>
      </c>
      <c r="O124" s="96">
        <v>5</v>
      </c>
      <c r="P124" s="455">
        <v>75.039682539682545</v>
      </c>
      <c r="Q124" s="96" t="s">
        <v>16</v>
      </c>
      <c r="R124" s="91">
        <v>3.9</v>
      </c>
      <c r="S124" s="95"/>
      <c r="T124" s="98">
        <v>3.1645569620253164</v>
      </c>
      <c r="U124" s="99">
        <f t="shared" si="13"/>
        <v>295.81931886678723</v>
      </c>
      <c r="V124" s="100">
        <f t="shared" si="7"/>
        <v>3.6977414858348405</v>
      </c>
      <c r="W124" s="101">
        <f t="shared" si="10"/>
        <v>0.55190171430370749</v>
      </c>
      <c r="X124" s="95"/>
      <c r="Y124" s="95"/>
      <c r="Z124" s="102"/>
      <c r="AA124" s="103">
        <v>46051</v>
      </c>
      <c r="AB124" s="103">
        <v>46075</v>
      </c>
      <c r="AC124" s="103"/>
      <c r="AD124" s="104">
        <f>IF(ISNA(VLOOKUP(D124,亚马逊入库配置费!B:F,5,0)),0,VLOOKUP(D124,亚马逊入库配置费!B:F,5,0))</f>
        <v>0.56000000000000005</v>
      </c>
      <c r="AE124" s="104">
        <f t="shared" si="8"/>
        <v>44.800000000000004</v>
      </c>
      <c r="AF124" s="103">
        <v>46079</v>
      </c>
      <c r="AG124" s="90">
        <f t="shared" si="9"/>
        <v>28</v>
      </c>
      <c r="AH124" s="103">
        <v>46112</v>
      </c>
      <c r="AI124" s="96">
        <v>94</v>
      </c>
      <c r="AJ124" s="427">
        <f t="shared" si="11"/>
        <v>33</v>
      </c>
      <c r="AK124" s="96"/>
      <c r="AL124" s="92"/>
      <c r="AM124" s="91"/>
      <c r="AN124" s="91"/>
      <c r="AO124" s="96"/>
      <c r="AP124" s="105"/>
      <c r="AQ124" s="105"/>
      <c r="AR124" s="105"/>
      <c r="AS124" s="105"/>
    </row>
    <row r="125" spans="1:45" ht="12" customHeight="1" x14ac:dyDescent="0.25">
      <c r="A125" s="90">
        <v>124</v>
      </c>
      <c r="B125" s="91"/>
      <c r="C125" s="91" t="s">
        <v>3121</v>
      </c>
      <c r="D125" s="92" t="s">
        <v>3128</v>
      </c>
      <c r="E125" s="91" t="s">
        <v>1037</v>
      </c>
      <c r="F125" s="91" t="s">
        <v>0</v>
      </c>
      <c r="G125" s="56" t="s">
        <v>279</v>
      </c>
      <c r="H125" s="91">
        <v>672</v>
      </c>
      <c r="I125" s="91" t="s">
        <v>207</v>
      </c>
      <c r="J125" s="91" t="s">
        <v>8</v>
      </c>
      <c r="K125" s="92" t="s">
        <v>15</v>
      </c>
      <c r="L125" s="93" t="str">
        <f>VLOOKUP(G125,'SKU 对应关系'!A:E,4,0)</f>
        <v>M1-T</v>
      </c>
      <c r="M125" s="94" t="str">
        <f>_xlfn.IFNA(VLOOKUP(G125,'SKU 对应关系'!A:B,2,0),"")</f>
        <v>M1-T 电子球形把手锁 钛灰色</v>
      </c>
      <c r="N125" s="95" t="str">
        <f>_xlfn.IFNA(VLOOKUP(G125,'SKU 对应关系'!$A:$D,3,0),"")</f>
        <v>M1</v>
      </c>
      <c r="O125" s="96">
        <v>42</v>
      </c>
      <c r="P125" s="455">
        <v>630.33333333333337</v>
      </c>
      <c r="Q125" s="96" t="s">
        <v>16</v>
      </c>
      <c r="R125" s="91">
        <v>3.9</v>
      </c>
      <c r="S125" s="95"/>
      <c r="T125" s="98">
        <v>26.582278481012658</v>
      </c>
      <c r="U125" s="99">
        <f t="shared" si="13"/>
        <v>2484.8822784810127</v>
      </c>
      <c r="V125" s="100">
        <f t="shared" si="7"/>
        <v>3.6977414858348405</v>
      </c>
      <c r="W125" s="101">
        <f t="shared" si="10"/>
        <v>0.55190171430370749</v>
      </c>
      <c r="X125" s="95"/>
      <c r="Y125" s="95"/>
      <c r="Z125" s="102"/>
      <c r="AA125" s="103">
        <v>46051</v>
      </c>
      <c r="AB125" s="103">
        <v>46075</v>
      </c>
      <c r="AC125" s="103"/>
      <c r="AD125" s="104">
        <f>IF(ISNA(VLOOKUP(D125,亚马逊入库配置费!B:F,5,0)),0,VLOOKUP(D125,亚马逊入库配置费!B:F,5,0))</f>
        <v>0.56000000000000005</v>
      </c>
      <c r="AE125" s="104">
        <f t="shared" si="8"/>
        <v>376.32000000000005</v>
      </c>
      <c r="AF125" s="103">
        <v>46079</v>
      </c>
      <c r="AG125" s="90">
        <f t="shared" si="9"/>
        <v>28</v>
      </c>
      <c r="AH125" s="103">
        <v>46112</v>
      </c>
      <c r="AI125" s="96">
        <v>672</v>
      </c>
      <c r="AJ125" s="427">
        <f t="shared" si="11"/>
        <v>33</v>
      </c>
      <c r="AK125" s="96"/>
      <c r="AL125" s="92"/>
      <c r="AM125" s="91"/>
      <c r="AN125" s="91"/>
      <c r="AO125" s="96"/>
      <c r="AP125" s="105"/>
      <c r="AQ125" s="105"/>
      <c r="AR125" s="105"/>
      <c r="AS125" s="105"/>
    </row>
    <row r="126" spans="1:45" ht="12" customHeight="1" x14ac:dyDescent="0.25">
      <c r="A126" s="90">
        <v>125</v>
      </c>
      <c r="B126" s="91"/>
      <c r="C126" s="91" t="s">
        <v>3121</v>
      </c>
      <c r="D126" s="92" t="s">
        <v>3128</v>
      </c>
      <c r="E126" s="91" t="s">
        <v>1037</v>
      </c>
      <c r="F126" s="91" t="s">
        <v>0</v>
      </c>
      <c r="G126" s="56" t="s">
        <v>284</v>
      </c>
      <c r="H126" s="91">
        <v>592</v>
      </c>
      <c r="I126" s="91" t="s">
        <v>207</v>
      </c>
      <c r="J126" s="91" t="s">
        <v>8</v>
      </c>
      <c r="K126" s="92" t="s">
        <v>15</v>
      </c>
      <c r="L126" s="93" t="str">
        <f>VLOOKUP(G126,'SKU 对应关系'!A:E,4,0)</f>
        <v>MD1-B</v>
      </c>
      <c r="M126" s="94" t="str">
        <f>_xlfn.IFNA(VLOOKUP(G126,'SKU 对应关系'!A:B,2,0),"")</f>
        <v>MD1-B 电子球形把手锁 指纹 黑色</v>
      </c>
      <c r="N126" s="95" t="str">
        <f>_xlfn.IFNA(VLOOKUP(G126,'SKU 对应关系'!$A:$D,3,0),"")</f>
        <v>MD1</v>
      </c>
      <c r="O126" s="96">
        <v>37</v>
      </c>
      <c r="P126" s="455">
        <v>555.29365079365084</v>
      </c>
      <c r="Q126" s="96" t="s">
        <v>16</v>
      </c>
      <c r="R126" s="91">
        <v>3.9</v>
      </c>
      <c r="S126" s="95"/>
      <c r="T126" s="98">
        <v>23.417721518987342</v>
      </c>
      <c r="U126" s="99">
        <f t="shared" si="13"/>
        <v>2189.0629596142257</v>
      </c>
      <c r="V126" s="100">
        <f t="shared" si="7"/>
        <v>3.697741485834841</v>
      </c>
      <c r="W126" s="101">
        <f t="shared" si="10"/>
        <v>0.5519017143037076</v>
      </c>
      <c r="X126" s="95"/>
      <c r="Y126" s="95"/>
      <c r="Z126" s="102"/>
      <c r="AA126" s="103">
        <v>46051</v>
      </c>
      <c r="AB126" s="103">
        <v>46075</v>
      </c>
      <c r="AC126" s="103"/>
      <c r="AD126" s="104">
        <f>IF(ISNA(VLOOKUP(D126,亚马逊入库配置费!B:F,5,0)),0,VLOOKUP(D126,亚马逊入库配置费!B:F,5,0))</f>
        <v>0.56000000000000005</v>
      </c>
      <c r="AE126" s="104">
        <f t="shared" si="8"/>
        <v>331.52000000000004</v>
      </c>
      <c r="AF126" s="103">
        <v>46079</v>
      </c>
      <c r="AG126" s="90">
        <f t="shared" si="9"/>
        <v>28</v>
      </c>
      <c r="AH126" s="103">
        <v>46112</v>
      </c>
      <c r="AI126" s="96">
        <v>592</v>
      </c>
      <c r="AJ126" s="427">
        <f t="shared" si="11"/>
        <v>33</v>
      </c>
      <c r="AK126" s="96"/>
      <c r="AL126" s="92"/>
      <c r="AM126" s="91"/>
      <c r="AN126" s="91"/>
      <c r="AO126" s="96"/>
      <c r="AP126" s="105"/>
      <c r="AQ126" s="105"/>
      <c r="AR126" s="105"/>
      <c r="AS126" s="105"/>
    </row>
    <row r="127" spans="1:45" ht="12" customHeight="1" x14ac:dyDescent="0.25">
      <c r="A127" s="90">
        <v>126</v>
      </c>
      <c r="B127" s="91"/>
      <c r="C127" s="91" t="s">
        <v>3121</v>
      </c>
      <c r="D127" s="92" t="s">
        <v>3128</v>
      </c>
      <c r="E127" s="91" t="s">
        <v>1037</v>
      </c>
      <c r="F127" s="91" t="s">
        <v>0</v>
      </c>
      <c r="G127" s="56" t="s">
        <v>663</v>
      </c>
      <c r="H127" s="91">
        <v>240</v>
      </c>
      <c r="I127" s="91" t="s">
        <v>207</v>
      </c>
      <c r="J127" s="91" t="s">
        <v>8</v>
      </c>
      <c r="K127" s="92" t="s">
        <v>15</v>
      </c>
      <c r="L127" s="93" t="str">
        <f>VLOOKUP(G127,'SKU 对应关系'!A:E,4,0)</f>
        <v>MD1-SILV</v>
      </c>
      <c r="M127" s="94" t="str">
        <f>_xlfn.IFNA(VLOOKUP(G127,'SKU 对应关系'!A:B,2,0),"")</f>
        <v>MD1-SILV 电子球形把手锁 指纹 银色</v>
      </c>
      <c r="N127" s="95" t="str">
        <f>_xlfn.IFNA(VLOOKUP(G127,'SKU 对应关系'!$A:$D,3,0),"")</f>
        <v>MD1</v>
      </c>
      <c r="O127" s="96">
        <v>15</v>
      </c>
      <c r="P127" s="455">
        <v>225.11904761904762</v>
      </c>
      <c r="Q127" s="96" t="s">
        <v>16</v>
      </c>
      <c r="R127" s="91">
        <v>3.9</v>
      </c>
      <c r="S127" s="95"/>
      <c r="T127" s="98">
        <v>9.4936708860759502</v>
      </c>
      <c r="U127" s="99">
        <f t="shared" si="13"/>
        <v>887.45795660036163</v>
      </c>
      <c r="V127" s="100">
        <f t="shared" si="7"/>
        <v>3.6977414858348401</v>
      </c>
      <c r="W127" s="101">
        <f t="shared" si="10"/>
        <v>0.55190171430370749</v>
      </c>
      <c r="X127" s="95"/>
      <c r="Y127" s="95"/>
      <c r="Z127" s="102"/>
      <c r="AA127" s="103">
        <v>46051</v>
      </c>
      <c r="AB127" s="103">
        <v>46075</v>
      </c>
      <c r="AC127" s="103"/>
      <c r="AD127" s="104">
        <f>IF(ISNA(VLOOKUP(D127,亚马逊入库配置费!B:F,5,0)),0,VLOOKUP(D127,亚马逊入库配置费!B:F,5,0))</f>
        <v>0.56000000000000005</v>
      </c>
      <c r="AE127" s="104">
        <f t="shared" si="8"/>
        <v>134.4</v>
      </c>
      <c r="AF127" s="103">
        <v>46079</v>
      </c>
      <c r="AG127" s="90">
        <f t="shared" si="9"/>
        <v>28</v>
      </c>
      <c r="AH127" s="103">
        <v>46112</v>
      </c>
      <c r="AI127" s="96">
        <v>240</v>
      </c>
      <c r="AJ127" s="427">
        <f t="shared" si="11"/>
        <v>33</v>
      </c>
      <c r="AK127" s="96"/>
      <c r="AL127" s="92"/>
      <c r="AM127" s="91"/>
      <c r="AN127" s="91"/>
      <c r="AO127" s="96"/>
      <c r="AP127" s="105"/>
      <c r="AQ127" s="105"/>
      <c r="AR127" s="105"/>
      <c r="AS127" s="105"/>
    </row>
    <row r="128" spans="1:45" ht="12" customHeight="1" x14ac:dyDescent="0.25">
      <c r="A128" s="90">
        <v>127</v>
      </c>
      <c r="B128" s="91"/>
      <c r="C128" s="91" t="s">
        <v>3121</v>
      </c>
      <c r="D128" s="92" t="s">
        <v>3128</v>
      </c>
      <c r="E128" s="91" t="s">
        <v>1037</v>
      </c>
      <c r="F128" s="91" t="s">
        <v>0</v>
      </c>
      <c r="G128" s="56" t="s">
        <v>556</v>
      </c>
      <c r="H128" s="91">
        <v>272</v>
      </c>
      <c r="I128" s="91" t="s">
        <v>207</v>
      </c>
      <c r="J128" s="91" t="s">
        <v>8</v>
      </c>
      <c r="K128" s="92" t="s">
        <v>15</v>
      </c>
      <c r="L128" s="93" t="str">
        <f>VLOOKUP(G128,'SKU 对应关系'!A:E,4,0)</f>
        <v>MD1-T</v>
      </c>
      <c r="M128" s="94" t="str">
        <f>_xlfn.IFNA(VLOOKUP(G128,'SKU 对应关系'!A:B,2,0),"")</f>
        <v>MD1-T 电子球形把手锁 指纹 钛灰色</v>
      </c>
      <c r="N128" s="95" t="str">
        <f>_xlfn.IFNA(VLOOKUP(G128,'SKU 对应关系'!$A:$D,3,0),"")</f>
        <v>MD1</v>
      </c>
      <c r="O128" s="96">
        <v>17</v>
      </c>
      <c r="P128" s="455">
        <v>255.13492063492063</v>
      </c>
      <c r="Q128" s="96" t="s">
        <v>16</v>
      </c>
      <c r="R128" s="91">
        <v>3.9</v>
      </c>
      <c r="S128" s="95"/>
      <c r="T128" s="98">
        <v>10.759493670886076</v>
      </c>
      <c r="U128" s="99">
        <f t="shared" si="13"/>
        <v>1005.7856841470765</v>
      </c>
      <c r="V128" s="100">
        <f t="shared" si="7"/>
        <v>3.6977414858348401</v>
      </c>
      <c r="W128" s="101">
        <f t="shared" si="10"/>
        <v>0.55190171430370749</v>
      </c>
      <c r="X128" s="95"/>
      <c r="Y128" s="95"/>
      <c r="Z128" s="102"/>
      <c r="AA128" s="103">
        <v>46051</v>
      </c>
      <c r="AB128" s="103">
        <v>46075</v>
      </c>
      <c r="AC128" s="103"/>
      <c r="AD128" s="104">
        <f>IF(ISNA(VLOOKUP(D128,亚马逊入库配置费!B:F,5,0)),0,VLOOKUP(D128,亚马逊入库配置费!B:F,5,0))</f>
        <v>0.56000000000000005</v>
      </c>
      <c r="AE128" s="104">
        <f t="shared" si="8"/>
        <v>152.32000000000002</v>
      </c>
      <c r="AF128" s="103">
        <v>46079</v>
      </c>
      <c r="AG128" s="90">
        <f t="shared" si="9"/>
        <v>28</v>
      </c>
      <c r="AH128" s="103">
        <v>46112</v>
      </c>
      <c r="AI128" s="96">
        <v>272</v>
      </c>
      <c r="AJ128" s="427">
        <f t="shared" si="11"/>
        <v>33</v>
      </c>
      <c r="AK128" s="96"/>
      <c r="AL128" s="92"/>
      <c r="AM128" s="91"/>
      <c r="AN128" s="91"/>
      <c r="AO128" s="96"/>
      <c r="AP128" s="105"/>
      <c r="AQ128" s="105"/>
      <c r="AR128" s="105"/>
      <c r="AS128" s="105"/>
    </row>
    <row r="129" spans="1:45" ht="12" customHeight="1" x14ac:dyDescent="0.25">
      <c r="A129" s="90">
        <v>128</v>
      </c>
      <c r="B129" s="91"/>
      <c r="C129" s="91" t="s">
        <v>3121</v>
      </c>
      <c r="D129" s="92" t="s">
        <v>3128</v>
      </c>
      <c r="E129" s="91" t="s">
        <v>1037</v>
      </c>
      <c r="F129" s="91" t="s">
        <v>0</v>
      </c>
      <c r="G129" s="56" t="s">
        <v>779</v>
      </c>
      <c r="H129" s="91">
        <v>16</v>
      </c>
      <c r="I129" s="91" t="s">
        <v>207</v>
      </c>
      <c r="J129" s="91" t="s">
        <v>8</v>
      </c>
      <c r="K129" s="92" t="s">
        <v>15</v>
      </c>
      <c r="L129" s="93" t="str">
        <f>VLOOKUP(G129,'SKU 对应关系'!A:E,4,0)</f>
        <v>MK1-B</v>
      </c>
      <c r="M129" s="94" t="str">
        <f>_xlfn.IFNA(VLOOKUP(G129,'SKU 对应关系'!A:B,2,0),"")</f>
        <v>MK1-B 智能球形把手锁 黑色</v>
      </c>
      <c r="N129" s="95" t="str">
        <f>_xlfn.IFNA(VLOOKUP(G129,'SKU 对应关系'!$A:$D,3,0),"")</f>
        <v>MK1</v>
      </c>
      <c r="O129" s="96">
        <v>1</v>
      </c>
      <c r="P129" s="455">
        <v>15.007936507936508</v>
      </c>
      <c r="Q129" s="96" t="s">
        <v>16</v>
      </c>
      <c r="R129" s="91">
        <v>3.9</v>
      </c>
      <c r="S129" s="95"/>
      <c r="T129" s="98">
        <v>0.63291139240506333</v>
      </c>
      <c r="U129" s="99">
        <f t="shared" si="13"/>
        <v>59.163863773357441</v>
      </c>
      <c r="V129" s="100">
        <f t="shared" si="7"/>
        <v>3.6977414858348401</v>
      </c>
      <c r="W129" s="101">
        <f t="shared" si="10"/>
        <v>0.55190171430370749</v>
      </c>
      <c r="X129" s="95"/>
      <c r="Y129" s="95"/>
      <c r="Z129" s="102"/>
      <c r="AA129" s="103">
        <v>46051</v>
      </c>
      <c r="AB129" s="103">
        <v>46075</v>
      </c>
      <c r="AC129" s="103"/>
      <c r="AD129" s="104">
        <f>IF(ISNA(VLOOKUP(D129,亚马逊入库配置费!B:F,5,0)),0,VLOOKUP(D129,亚马逊入库配置费!B:F,5,0))</f>
        <v>0.56000000000000005</v>
      </c>
      <c r="AE129" s="104">
        <f t="shared" si="8"/>
        <v>8.9600000000000009</v>
      </c>
      <c r="AF129" s="103">
        <v>46079</v>
      </c>
      <c r="AG129" s="90">
        <f t="shared" si="9"/>
        <v>28</v>
      </c>
      <c r="AH129" s="103">
        <v>46112</v>
      </c>
      <c r="AI129" s="96">
        <v>16</v>
      </c>
      <c r="AJ129" s="427">
        <f t="shared" si="11"/>
        <v>33</v>
      </c>
      <c r="AK129" s="96"/>
      <c r="AL129" s="92"/>
      <c r="AM129" s="91"/>
      <c r="AN129" s="91"/>
      <c r="AO129" s="96"/>
      <c r="AP129" s="105"/>
      <c r="AQ129" s="105"/>
      <c r="AR129" s="105"/>
      <c r="AS129" s="105"/>
    </row>
    <row r="130" spans="1:45" ht="12" customHeight="1" x14ac:dyDescent="0.25">
      <c r="A130" s="90">
        <v>129</v>
      </c>
      <c r="B130" s="91"/>
      <c r="C130" s="91" t="s">
        <v>3121</v>
      </c>
      <c r="D130" s="92" t="s">
        <v>3128</v>
      </c>
      <c r="E130" s="91" t="s">
        <v>1037</v>
      </c>
      <c r="F130" s="91" t="s">
        <v>0</v>
      </c>
      <c r="G130" s="56" t="s">
        <v>549</v>
      </c>
      <c r="H130" s="91">
        <v>80</v>
      </c>
      <c r="I130" s="91" t="s">
        <v>207</v>
      </c>
      <c r="J130" s="91" t="s">
        <v>8</v>
      </c>
      <c r="K130" s="92" t="s">
        <v>15</v>
      </c>
      <c r="L130" s="93" t="str">
        <f>VLOOKUP(G130,'SKU 对应关系'!A:E,4,0)</f>
        <v>MK1-SILV</v>
      </c>
      <c r="M130" s="94" t="str">
        <f>_xlfn.IFNA(VLOOKUP(G130,'SKU 对应关系'!A:B,2,0),"")</f>
        <v>MK1-SILV 智能球形把手锁 银色</v>
      </c>
      <c r="N130" s="95" t="str">
        <f>_xlfn.IFNA(VLOOKUP(G130,'SKU 对应关系'!$A:$D,3,0),"")</f>
        <v>MK1</v>
      </c>
      <c r="O130" s="96">
        <v>5</v>
      </c>
      <c r="P130" s="455">
        <v>75.039682539682545</v>
      </c>
      <c r="Q130" s="96" t="s">
        <v>16</v>
      </c>
      <c r="R130" s="91">
        <v>3.9</v>
      </c>
      <c r="S130" s="95"/>
      <c r="T130" s="98">
        <v>3.1645569620253164</v>
      </c>
      <c r="U130" s="99">
        <f t="shared" si="13"/>
        <v>295.81931886678723</v>
      </c>
      <c r="V130" s="100">
        <f t="shared" ref="V130:V193" si="14">U130/H130</f>
        <v>3.6977414858348405</v>
      </c>
      <c r="W130" s="101">
        <f t="shared" si="10"/>
        <v>0.55190171430370749</v>
      </c>
      <c r="X130" s="95"/>
      <c r="Y130" s="95"/>
      <c r="Z130" s="102"/>
      <c r="AA130" s="103">
        <v>46051</v>
      </c>
      <c r="AB130" s="103">
        <v>46075</v>
      </c>
      <c r="AC130" s="103"/>
      <c r="AD130" s="104">
        <f>IF(ISNA(VLOOKUP(D130,亚马逊入库配置费!B:F,5,0)),0,VLOOKUP(D130,亚马逊入库配置费!B:F,5,0))</f>
        <v>0.56000000000000005</v>
      </c>
      <c r="AE130" s="104">
        <f t="shared" ref="AE130:AE193" si="15">AD130*H130</f>
        <v>44.800000000000004</v>
      </c>
      <c r="AF130" s="103">
        <v>46079</v>
      </c>
      <c r="AG130" s="90">
        <f t="shared" ref="AG130:AG193" si="16">AF130-AA130</f>
        <v>28</v>
      </c>
      <c r="AH130" s="103">
        <v>46112</v>
      </c>
      <c r="AI130" s="96">
        <v>80</v>
      </c>
      <c r="AJ130" s="427">
        <f t="shared" si="11"/>
        <v>33</v>
      </c>
      <c r="AK130" s="96"/>
      <c r="AL130" s="92"/>
      <c r="AM130" s="91"/>
      <c r="AN130" s="91"/>
      <c r="AO130" s="96"/>
      <c r="AP130" s="105"/>
      <c r="AQ130" s="105"/>
      <c r="AR130" s="105"/>
      <c r="AS130" s="105"/>
    </row>
    <row r="131" spans="1:45" ht="12" customHeight="1" x14ac:dyDescent="0.25">
      <c r="A131" s="90">
        <v>130</v>
      </c>
      <c r="B131" s="91"/>
      <c r="C131" s="91" t="s">
        <v>3121</v>
      </c>
      <c r="D131" s="92" t="s">
        <v>3128</v>
      </c>
      <c r="E131" s="91" t="s">
        <v>1037</v>
      </c>
      <c r="F131" s="91" t="s">
        <v>0</v>
      </c>
      <c r="G131" s="56" t="s">
        <v>551</v>
      </c>
      <c r="H131" s="91">
        <v>64</v>
      </c>
      <c r="I131" s="91" t="s">
        <v>207</v>
      </c>
      <c r="J131" s="91" t="s">
        <v>8</v>
      </c>
      <c r="K131" s="92" t="s">
        <v>15</v>
      </c>
      <c r="L131" s="93" t="str">
        <f>VLOOKUP(G131,'SKU 对应关系'!A:E,4,0)</f>
        <v>MK1-T</v>
      </c>
      <c r="M131" s="94" t="str">
        <f>_xlfn.IFNA(VLOOKUP(G131,'SKU 对应关系'!A:B,2,0),"")</f>
        <v>MK1-T 智能球形把手锁 钛色</v>
      </c>
      <c r="N131" s="95" t="str">
        <f>_xlfn.IFNA(VLOOKUP(G131,'SKU 对应关系'!$A:$D,3,0),"")</f>
        <v>MK1</v>
      </c>
      <c r="O131" s="96">
        <v>4</v>
      </c>
      <c r="P131" s="455">
        <v>60.031746031746032</v>
      </c>
      <c r="Q131" s="96" t="s">
        <v>16</v>
      </c>
      <c r="R131" s="91">
        <v>3.9</v>
      </c>
      <c r="S131" s="95"/>
      <c r="T131" s="98">
        <v>2.5316455696202533</v>
      </c>
      <c r="U131" s="99">
        <f t="shared" si="13"/>
        <v>236.65545509342977</v>
      </c>
      <c r="V131" s="100">
        <f t="shared" si="14"/>
        <v>3.6977414858348401</v>
      </c>
      <c r="W131" s="101">
        <f t="shared" ref="W131:W179" si="17">V131/6.7</f>
        <v>0.55190171430370749</v>
      </c>
      <c r="X131" s="95"/>
      <c r="Y131" s="95"/>
      <c r="Z131" s="102"/>
      <c r="AA131" s="103">
        <v>46051</v>
      </c>
      <c r="AB131" s="103">
        <v>46075</v>
      </c>
      <c r="AC131" s="103"/>
      <c r="AD131" s="104">
        <f>IF(ISNA(VLOOKUP(D131,亚马逊入库配置费!B:F,5,0)),0,VLOOKUP(D131,亚马逊入库配置费!B:F,5,0))</f>
        <v>0.56000000000000005</v>
      </c>
      <c r="AE131" s="104">
        <f t="shared" si="15"/>
        <v>35.840000000000003</v>
      </c>
      <c r="AF131" s="103">
        <v>46079</v>
      </c>
      <c r="AG131" s="90">
        <f t="shared" si="16"/>
        <v>28</v>
      </c>
      <c r="AH131" s="103">
        <v>46112</v>
      </c>
      <c r="AI131" s="96">
        <v>64</v>
      </c>
      <c r="AJ131" s="427">
        <f t="shared" ref="AJ131:AJ194" si="18">AH131-AF131</f>
        <v>33</v>
      </c>
      <c r="AK131" s="96"/>
      <c r="AL131" s="92"/>
      <c r="AM131" s="91"/>
      <c r="AN131" s="91"/>
      <c r="AO131" s="96"/>
      <c r="AP131" s="105"/>
      <c r="AQ131" s="105"/>
      <c r="AR131" s="105"/>
      <c r="AS131" s="105"/>
    </row>
    <row r="132" spans="1:45" s="435" customFormat="1" ht="12" customHeight="1" x14ac:dyDescent="0.25">
      <c r="A132" s="421">
        <v>131</v>
      </c>
      <c r="B132" s="422"/>
      <c r="C132" s="422" t="s">
        <v>3129</v>
      </c>
      <c r="D132" s="423" t="s">
        <v>3130</v>
      </c>
      <c r="E132" s="422" t="s">
        <v>97</v>
      </c>
      <c r="F132" s="422" t="s">
        <v>0</v>
      </c>
      <c r="G132" s="424" t="s">
        <v>316</v>
      </c>
      <c r="H132" s="422">
        <v>450</v>
      </c>
      <c r="I132" s="422" t="s">
        <v>306</v>
      </c>
      <c r="J132" s="422" t="s">
        <v>8</v>
      </c>
      <c r="K132" s="423" t="s">
        <v>15</v>
      </c>
      <c r="L132" s="425" t="str">
        <f>VLOOKUP(G132,'SKU 对应关系'!A:E,4,0)</f>
        <v>A-RZ3-100</v>
      </c>
      <c r="M132" s="426" t="str">
        <f>_xlfn.IFNA(VLOOKUP(G132,'SKU 对应关系'!A:B,2,0),"")</f>
        <v>A-Ritz Carlton Hotel 3-100 丽思卡尔顿酒店3香氛油100mL</v>
      </c>
      <c r="N132" s="422" t="str">
        <f>_xlfn.IFNA(VLOOKUP(G132,'SKU 对应关系'!$A:$D,3,0),"")</f>
        <v>Oil-HQ</v>
      </c>
      <c r="O132" s="427">
        <v>5</v>
      </c>
      <c r="P132" s="455">
        <v>80</v>
      </c>
      <c r="Q132" s="427" t="s">
        <v>16</v>
      </c>
      <c r="R132" s="422">
        <v>5.6</v>
      </c>
      <c r="S132" s="422">
        <v>200</v>
      </c>
      <c r="T132" s="428">
        <v>90.909090909090907</v>
      </c>
      <c r="U132" s="429">
        <f t="shared" si="13"/>
        <v>538.90909090909088</v>
      </c>
      <c r="V132" s="430">
        <f t="shared" si="14"/>
        <v>1.1975757575757575</v>
      </c>
      <c r="W132" s="431">
        <f t="shared" si="17"/>
        <v>0.17874265038444143</v>
      </c>
      <c r="X132" s="422"/>
      <c r="Y132" s="422"/>
      <c r="Z132" s="428"/>
      <c r="AA132" s="432">
        <v>46052</v>
      </c>
      <c r="AB132" s="432">
        <v>46072</v>
      </c>
      <c r="AC132" s="432"/>
      <c r="AD132" s="433">
        <f>IF(ISNA(VLOOKUP(D132,亚马逊入库配置费!B:F,5,0)),0,VLOOKUP(D132,亚马逊入库配置费!B:F,5,0))</f>
        <v>0.37684210526315792</v>
      </c>
      <c r="AE132" s="433">
        <f t="shared" si="15"/>
        <v>169.57894736842107</v>
      </c>
      <c r="AF132" s="432">
        <v>46086</v>
      </c>
      <c r="AG132" s="90">
        <f t="shared" si="16"/>
        <v>34</v>
      </c>
      <c r="AH132" s="432">
        <v>46118</v>
      </c>
      <c r="AI132" s="427">
        <v>450</v>
      </c>
      <c r="AJ132" s="427">
        <f t="shared" si="18"/>
        <v>32</v>
      </c>
      <c r="AK132" s="427"/>
      <c r="AL132" s="423"/>
      <c r="AM132" s="422"/>
      <c r="AN132" s="422"/>
      <c r="AO132" s="427"/>
      <c r="AP132" s="434"/>
      <c r="AQ132" s="434"/>
      <c r="AR132" s="434"/>
      <c r="AS132" s="434"/>
    </row>
    <row r="133" spans="1:45" s="435" customFormat="1" ht="12" customHeight="1" x14ac:dyDescent="0.25">
      <c r="A133" s="421">
        <v>132</v>
      </c>
      <c r="B133" s="422"/>
      <c r="C133" s="422" t="s">
        <v>3129</v>
      </c>
      <c r="D133" s="423" t="s">
        <v>3130</v>
      </c>
      <c r="E133" s="422" t="s">
        <v>97</v>
      </c>
      <c r="F133" s="422" t="s">
        <v>0</v>
      </c>
      <c r="G133" s="424" t="s">
        <v>1312</v>
      </c>
      <c r="H133" s="422">
        <v>120</v>
      </c>
      <c r="I133" s="422" t="s">
        <v>306</v>
      </c>
      <c r="J133" s="422" t="s">
        <v>8</v>
      </c>
      <c r="K133" s="423" t="s">
        <v>15</v>
      </c>
      <c r="L133" s="425" t="str">
        <f>VLOOKUP(G133,'SKU 对应关系'!A:E,4,0)</f>
        <v>RZ-500ML</v>
      </c>
      <c r="M133" s="426" t="str">
        <f>_xlfn.IFNA(VLOOKUP(G133,'SKU 对应关系'!A:B,2,0),"")</f>
        <v>RZ-500ML 丽思卡尔顿酒店3香氛油500mL</v>
      </c>
      <c r="N133" s="422" t="str">
        <f>_xlfn.IFNA(VLOOKUP(G133,'SKU 对应关系'!$A:$D,3,0),"")</f>
        <v>Oil-HQ</v>
      </c>
      <c r="O133" s="427">
        <v>6</v>
      </c>
      <c r="P133" s="455">
        <v>96</v>
      </c>
      <c r="Q133" s="427" t="s">
        <v>16</v>
      </c>
      <c r="R133" s="422">
        <v>5.6</v>
      </c>
      <c r="S133" s="436">
        <f>SUMIF(C:C,C132,T:T)</f>
        <v>200</v>
      </c>
      <c r="T133" s="428">
        <v>109.09090909090909</v>
      </c>
      <c r="U133" s="429">
        <f t="shared" si="13"/>
        <v>646.69090909090903</v>
      </c>
      <c r="V133" s="430">
        <f t="shared" si="14"/>
        <v>5.3890909090909087</v>
      </c>
      <c r="W133" s="431">
        <f t="shared" si="17"/>
        <v>0.80434192672998639</v>
      </c>
      <c r="X133" s="422"/>
      <c r="Y133" s="422"/>
      <c r="Z133" s="428"/>
      <c r="AA133" s="432">
        <v>46052</v>
      </c>
      <c r="AB133" s="432">
        <v>46072</v>
      </c>
      <c r="AC133" s="432"/>
      <c r="AD133" s="433">
        <f>IF(ISNA(VLOOKUP(D133,亚马逊入库配置费!B:F,5,0)),0,VLOOKUP(D133,亚马逊入库配置费!B:F,5,0))</f>
        <v>0.37684210526315792</v>
      </c>
      <c r="AE133" s="433">
        <f t="shared" si="15"/>
        <v>45.221052631578949</v>
      </c>
      <c r="AF133" s="432">
        <v>46086</v>
      </c>
      <c r="AG133" s="90">
        <f t="shared" si="16"/>
        <v>34</v>
      </c>
      <c r="AH133" s="432">
        <v>46118</v>
      </c>
      <c r="AI133" s="427">
        <v>120</v>
      </c>
      <c r="AJ133" s="427">
        <f t="shared" si="18"/>
        <v>32</v>
      </c>
      <c r="AK133" s="427"/>
      <c r="AL133" s="423"/>
      <c r="AM133" s="422"/>
      <c r="AN133" s="422"/>
      <c r="AO133" s="427"/>
      <c r="AP133" s="434"/>
      <c r="AQ133" s="434"/>
      <c r="AR133" s="434"/>
      <c r="AS133" s="434"/>
    </row>
    <row r="134" spans="1:45" s="435" customFormat="1" ht="12" customHeight="1" x14ac:dyDescent="0.25">
      <c r="A134" s="421">
        <v>133</v>
      </c>
      <c r="B134" s="422"/>
      <c r="C134" s="422" t="s">
        <v>3131</v>
      </c>
      <c r="D134" s="423" t="s">
        <v>3132</v>
      </c>
      <c r="E134" s="422" t="s">
        <v>115</v>
      </c>
      <c r="F134" s="422" t="s">
        <v>0</v>
      </c>
      <c r="G134" s="424" t="s">
        <v>2203</v>
      </c>
      <c r="H134" s="422">
        <v>360</v>
      </c>
      <c r="I134" s="422" t="s">
        <v>1767</v>
      </c>
      <c r="J134" s="422" t="s">
        <v>8</v>
      </c>
      <c r="K134" s="423" t="s">
        <v>11</v>
      </c>
      <c r="L134" s="425" t="str">
        <f>VLOOKUP(G134,'SKU 对应关系'!A:E,4,0)</f>
        <v>BLG1-100ML</v>
      </c>
      <c r="M134" s="426" t="str">
        <f>_xlfn.IFNA(VLOOKUP(G134,'SKU 对应关系'!A:B,2,0),"")</f>
        <v>BLG1-100ML 百乐宫酒店香氛油100mL</v>
      </c>
      <c r="N134" s="422" t="str">
        <f>_xlfn.IFNA(VLOOKUP(G134,'SKU 对应关系'!$A:$D,3,0),"")</f>
        <v>Oil-HQ</v>
      </c>
      <c r="O134" s="427">
        <v>4</v>
      </c>
      <c r="P134" s="455">
        <v>0.33333333333333331</v>
      </c>
      <c r="Q134" s="427" t="s">
        <v>3264</v>
      </c>
      <c r="R134" s="422">
        <v>1150</v>
      </c>
      <c r="S134" s="422">
        <f>180*1.06</f>
        <v>190.8</v>
      </c>
      <c r="T134" s="428">
        <v>63.6</v>
      </c>
      <c r="U134" s="429">
        <f t="shared" si="13"/>
        <v>446.93333333333334</v>
      </c>
      <c r="V134" s="430">
        <f t="shared" si="14"/>
        <v>1.2414814814814814</v>
      </c>
      <c r="W134" s="431">
        <f t="shared" si="17"/>
        <v>0.18529574350469871</v>
      </c>
      <c r="X134" s="422"/>
      <c r="Y134" s="422"/>
      <c r="Z134" s="428"/>
      <c r="AA134" s="432">
        <v>46052</v>
      </c>
      <c r="AB134" s="432">
        <v>46075</v>
      </c>
      <c r="AC134" s="432"/>
      <c r="AD134" s="433">
        <f>IF(ISNA(VLOOKUP(D134,亚马逊入库配置费!B:F,5,0)),0,VLOOKUP(D134,亚马逊入库配置费!B:F,5,0))</f>
        <v>0.36000000000000004</v>
      </c>
      <c r="AE134" s="433">
        <f t="shared" si="15"/>
        <v>129.60000000000002</v>
      </c>
      <c r="AF134" s="432">
        <v>46084</v>
      </c>
      <c r="AG134" s="90">
        <f t="shared" si="16"/>
        <v>32</v>
      </c>
      <c r="AH134" s="432">
        <v>46113</v>
      </c>
      <c r="AI134" s="427">
        <v>359</v>
      </c>
      <c r="AJ134" s="427">
        <f t="shared" si="18"/>
        <v>29</v>
      </c>
      <c r="AK134" s="427"/>
      <c r="AL134" s="423"/>
      <c r="AM134" s="422"/>
      <c r="AN134" s="422"/>
      <c r="AO134" s="427"/>
      <c r="AP134" s="434"/>
      <c r="AQ134" s="434"/>
      <c r="AR134" s="434"/>
      <c r="AS134" s="434"/>
    </row>
    <row r="135" spans="1:45" s="435" customFormat="1" ht="12" customHeight="1" x14ac:dyDescent="0.25">
      <c r="A135" s="421">
        <v>134</v>
      </c>
      <c r="B135" s="422"/>
      <c r="C135" s="422" t="s">
        <v>3131</v>
      </c>
      <c r="D135" s="423" t="s">
        <v>3132</v>
      </c>
      <c r="E135" s="422" t="s">
        <v>115</v>
      </c>
      <c r="F135" s="422" t="s">
        <v>0</v>
      </c>
      <c r="G135" s="424" t="s">
        <v>2981</v>
      </c>
      <c r="H135" s="422">
        <v>608</v>
      </c>
      <c r="I135" s="422" t="s">
        <v>1767</v>
      </c>
      <c r="J135" s="422" t="s">
        <v>8</v>
      </c>
      <c r="K135" s="423" t="s">
        <v>11</v>
      </c>
      <c r="L135" s="425" t="str">
        <f>VLOOKUP(G135,'SKU 对应关系'!A:E,4,0)</f>
        <v>HOTEL6KIT1-6X10K01</v>
      </c>
      <c r="M135" s="426" t="str">
        <f>_xlfn.IFNA(VLOOKUP(G135,'SKU 对应关系'!A:B,2,0),"")</f>
        <v>HOTEL6KIT1-6X10K01 酒店香氛油6款10mL套装</v>
      </c>
      <c r="N135" s="422" t="str">
        <f>_xlfn.IFNA(VLOOKUP(G135,'SKU 对应关系'!$A:$D,3,0),"")</f>
        <v>Oil-HQ</v>
      </c>
      <c r="O135" s="427">
        <v>8</v>
      </c>
      <c r="P135" s="455">
        <v>0.66666666666666663</v>
      </c>
      <c r="Q135" s="427" t="s">
        <v>3264</v>
      </c>
      <c r="R135" s="422">
        <v>1150</v>
      </c>
      <c r="S135" s="436">
        <f>SUMIF(C:C,C134,T:T)</f>
        <v>190.8</v>
      </c>
      <c r="T135" s="428">
        <v>127.2</v>
      </c>
      <c r="U135" s="429">
        <f t="shared" si="13"/>
        <v>893.86666666666667</v>
      </c>
      <c r="V135" s="430">
        <f t="shared" si="14"/>
        <v>1.4701754385964911</v>
      </c>
      <c r="W135" s="431">
        <f t="shared" si="17"/>
        <v>0.21942916993977479</v>
      </c>
      <c r="X135" s="422"/>
      <c r="Y135" s="422"/>
      <c r="Z135" s="428"/>
      <c r="AA135" s="432">
        <v>46052</v>
      </c>
      <c r="AB135" s="432">
        <v>46075</v>
      </c>
      <c r="AC135" s="432"/>
      <c r="AD135" s="433">
        <f>IF(ISNA(VLOOKUP(D135,亚马逊入库配置费!B:F,5,0)),0,VLOOKUP(D135,亚马逊入库配置费!B:F,5,0))</f>
        <v>0.36000000000000004</v>
      </c>
      <c r="AE135" s="433">
        <f t="shared" si="15"/>
        <v>218.88000000000002</v>
      </c>
      <c r="AF135" s="432">
        <v>46084</v>
      </c>
      <c r="AG135" s="90">
        <f t="shared" si="16"/>
        <v>32</v>
      </c>
      <c r="AH135" s="432">
        <v>46113</v>
      </c>
      <c r="AI135" s="427">
        <v>607</v>
      </c>
      <c r="AJ135" s="427">
        <f t="shared" si="18"/>
        <v>29</v>
      </c>
      <c r="AK135" s="427"/>
      <c r="AL135" s="423"/>
      <c r="AM135" s="422"/>
      <c r="AN135" s="422"/>
      <c r="AO135" s="427"/>
      <c r="AP135" s="434"/>
      <c r="AQ135" s="434"/>
      <c r="AR135" s="434"/>
      <c r="AS135" s="434"/>
    </row>
    <row r="136" spans="1:45" s="435" customFormat="1" ht="12" customHeight="1" x14ac:dyDescent="0.25">
      <c r="A136" s="421">
        <v>135</v>
      </c>
      <c r="B136" s="422"/>
      <c r="C136" s="422" t="s">
        <v>1782</v>
      </c>
      <c r="D136" s="423" t="s">
        <v>3133</v>
      </c>
      <c r="E136" s="422" t="s">
        <v>115</v>
      </c>
      <c r="F136" s="422" t="s">
        <v>0</v>
      </c>
      <c r="G136" s="424" t="s">
        <v>650</v>
      </c>
      <c r="H136" s="422">
        <v>270</v>
      </c>
      <c r="I136" s="422" t="s">
        <v>1767</v>
      </c>
      <c r="J136" s="422" t="s">
        <v>8</v>
      </c>
      <c r="K136" s="423" t="s">
        <v>11</v>
      </c>
      <c r="L136" s="425" t="str">
        <f>VLOOKUP(G136,'SKU 对应关系'!A:E,4,0)</f>
        <v>A-MT-100</v>
      </c>
      <c r="M136" s="426" t="str">
        <f>_xlfn.IFNA(VLOOKUP(G136,'SKU 对应关系'!A:B,2,0),"")</f>
        <v>A-Marriott Hotel 1-100 万豪酒店1香氛油100mL</v>
      </c>
      <c r="N136" s="422" t="str">
        <f>_xlfn.IFNA(VLOOKUP(G136,'SKU 对应关系'!$A:$D,3,0),"")</f>
        <v>Oil-HQ</v>
      </c>
      <c r="O136" s="427">
        <v>3</v>
      </c>
      <c r="P136" s="455">
        <v>57.5</v>
      </c>
      <c r="Q136" s="427" t="s">
        <v>3281</v>
      </c>
      <c r="R136" s="422">
        <v>5.8</v>
      </c>
      <c r="S136" s="436"/>
      <c r="T136" s="428"/>
      <c r="U136" s="429">
        <f t="shared" si="13"/>
        <v>333.5</v>
      </c>
      <c r="V136" s="430">
        <f t="shared" si="14"/>
        <v>1.2351851851851852</v>
      </c>
      <c r="W136" s="431">
        <f t="shared" si="17"/>
        <v>0.1843559977888336</v>
      </c>
      <c r="X136" s="422"/>
      <c r="Y136" s="422"/>
      <c r="Z136" s="428"/>
      <c r="AA136" s="432">
        <v>46052</v>
      </c>
      <c r="AB136" s="432">
        <v>46072</v>
      </c>
      <c r="AC136" s="432"/>
      <c r="AD136" s="433">
        <f>IF(ISNA(VLOOKUP(D136,亚马逊入库配置费!B:F,5,0)),0,VLOOKUP(D136,亚马逊入库配置费!B:F,5,0))</f>
        <v>0.36</v>
      </c>
      <c r="AE136" s="433">
        <f t="shared" si="15"/>
        <v>97.2</v>
      </c>
      <c r="AF136" s="432">
        <v>46084</v>
      </c>
      <c r="AG136" s="90">
        <f t="shared" si="16"/>
        <v>32</v>
      </c>
      <c r="AH136" s="432">
        <v>46113</v>
      </c>
      <c r="AI136" s="427">
        <v>90</v>
      </c>
      <c r="AJ136" s="427">
        <f t="shared" si="18"/>
        <v>29</v>
      </c>
      <c r="AK136" s="427"/>
      <c r="AL136" s="423"/>
      <c r="AM136" s="422"/>
      <c r="AN136" s="422"/>
      <c r="AO136" s="427"/>
      <c r="AP136" s="434"/>
      <c r="AQ136" s="434"/>
      <c r="AR136" s="434"/>
      <c r="AS136" s="434"/>
    </row>
    <row r="137" spans="1:45" s="435" customFormat="1" ht="12" customHeight="1" x14ac:dyDescent="0.25">
      <c r="A137" s="421">
        <v>136</v>
      </c>
      <c r="B137" s="422"/>
      <c r="C137" s="422" t="s">
        <v>1782</v>
      </c>
      <c r="D137" s="423" t="s">
        <v>3133</v>
      </c>
      <c r="E137" s="422" t="s">
        <v>115</v>
      </c>
      <c r="F137" s="422" t="s">
        <v>0</v>
      </c>
      <c r="G137" s="424" t="s">
        <v>1061</v>
      </c>
      <c r="H137" s="422">
        <v>90</v>
      </c>
      <c r="I137" s="422" t="s">
        <v>1767</v>
      </c>
      <c r="J137" s="422" t="s">
        <v>8</v>
      </c>
      <c r="K137" s="423" t="s">
        <v>11</v>
      </c>
      <c r="L137" s="425" t="str">
        <f>VLOOKUP(G137,'SKU 对应关系'!A:E,4,0)</f>
        <v>A-WHOTEL-100</v>
      </c>
      <c r="M137" s="426" t="str">
        <f>_xlfn.IFNA(VLOOKUP(G137,'SKU 对应关系'!A:B,2,0),"")</f>
        <v>A-W Hotel-100 W酒店香氛油100mL</v>
      </c>
      <c r="N137" s="422" t="str">
        <f>_xlfn.IFNA(VLOOKUP(G137,'SKU 对应关系'!$A:$D,3,0),"")</f>
        <v>Oil-HQ</v>
      </c>
      <c r="O137" s="427">
        <v>1</v>
      </c>
      <c r="P137" s="455">
        <v>19.166666666666668</v>
      </c>
      <c r="Q137" s="427" t="s">
        <v>3281</v>
      </c>
      <c r="R137" s="422">
        <v>5.8</v>
      </c>
      <c r="S137" s="422"/>
      <c r="T137" s="428"/>
      <c r="U137" s="429">
        <f t="shared" si="13"/>
        <v>111.16666666666667</v>
      </c>
      <c r="V137" s="430">
        <f t="shared" si="14"/>
        <v>1.2351851851851852</v>
      </c>
      <c r="W137" s="431">
        <f t="shared" si="17"/>
        <v>0.1843559977888336</v>
      </c>
      <c r="X137" s="422"/>
      <c r="Y137" s="422"/>
      <c r="Z137" s="428"/>
      <c r="AA137" s="432">
        <v>46052</v>
      </c>
      <c r="AB137" s="432">
        <v>46072</v>
      </c>
      <c r="AC137" s="432"/>
      <c r="AD137" s="433">
        <f>IF(ISNA(VLOOKUP(D137,亚马逊入库配置费!B:F,5,0)),0,VLOOKUP(D137,亚马逊入库配置费!B:F,5,0))</f>
        <v>0.36</v>
      </c>
      <c r="AE137" s="433">
        <f t="shared" si="15"/>
        <v>32.4</v>
      </c>
      <c r="AF137" s="432">
        <v>46084</v>
      </c>
      <c r="AG137" s="90">
        <f t="shared" si="16"/>
        <v>32</v>
      </c>
      <c r="AH137" s="432">
        <v>46113</v>
      </c>
      <c r="AI137" s="427">
        <v>270</v>
      </c>
      <c r="AJ137" s="427">
        <f t="shared" si="18"/>
        <v>29</v>
      </c>
      <c r="AK137" s="427"/>
      <c r="AL137" s="423"/>
      <c r="AM137" s="422"/>
      <c r="AN137" s="422"/>
      <c r="AO137" s="427"/>
      <c r="AP137" s="434"/>
      <c r="AQ137" s="434"/>
      <c r="AR137" s="434"/>
      <c r="AS137" s="434"/>
    </row>
    <row r="138" spans="1:45" s="435" customFormat="1" ht="12" customHeight="1" x14ac:dyDescent="0.25">
      <c r="A138" s="421">
        <v>137</v>
      </c>
      <c r="B138" s="422"/>
      <c r="C138" s="422" t="s">
        <v>1782</v>
      </c>
      <c r="D138" s="423" t="s">
        <v>3133</v>
      </c>
      <c r="E138" s="422" t="s">
        <v>115</v>
      </c>
      <c r="F138" s="422" t="s">
        <v>0</v>
      </c>
      <c r="G138" s="424" t="s">
        <v>2207</v>
      </c>
      <c r="H138" s="422">
        <v>180</v>
      </c>
      <c r="I138" s="422" t="s">
        <v>1767</v>
      </c>
      <c r="J138" s="422" t="s">
        <v>8</v>
      </c>
      <c r="K138" s="423" t="s">
        <v>11</v>
      </c>
      <c r="L138" s="425" t="str">
        <f>VLOOKUP(G138,'SKU 对应关系'!A:E,4,0)</f>
        <v>WST1-100ML</v>
      </c>
      <c r="M138" s="426" t="str">
        <f>_xlfn.IFNA(VLOOKUP(G138,'SKU 对应关系'!A:B,2,0),"")</f>
        <v>WST1-100ML 威斯汀2酒店香氛油100mL</v>
      </c>
      <c r="N138" s="422" t="str">
        <f>_xlfn.IFNA(VLOOKUP(G138,'SKU 对应关系'!$A:$D,3,0),"")</f>
        <v>Oil-HQ</v>
      </c>
      <c r="O138" s="427">
        <v>2</v>
      </c>
      <c r="P138" s="455">
        <v>38.333333333333336</v>
      </c>
      <c r="Q138" s="427" t="s">
        <v>3281</v>
      </c>
      <c r="R138" s="422">
        <v>5.8</v>
      </c>
      <c r="S138" s="422"/>
      <c r="T138" s="428"/>
      <c r="U138" s="429">
        <f t="shared" si="13"/>
        <v>222.33333333333334</v>
      </c>
      <c r="V138" s="430">
        <f t="shared" si="14"/>
        <v>1.2351851851851852</v>
      </c>
      <c r="W138" s="431">
        <f t="shared" si="17"/>
        <v>0.1843559977888336</v>
      </c>
      <c r="X138" s="422"/>
      <c r="Y138" s="422"/>
      <c r="Z138" s="428"/>
      <c r="AA138" s="432">
        <v>46052</v>
      </c>
      <c r="AB138" s="432">
        <v>46072</v>
      </c>
      <c r="AC138" s="432"/>
      <c r="AD138" s="433">
        <f>IF(ISNA(VLOOKUP(D138,亚马逊入库配置费!B:F,5,0)),0,VLOOKUP(D138,亚马逊入库配置费!B:F,5,0))</f>
        <v>0.36</v>
      </c>
      <c r="AE138" s="433">
        <f t="shared" si="15"/>
        <v>64.8</v>
      </c>
      <c r="AF138" s="432">
        <v>46084</v>
      </c>
      <c r="AG138" s="90">
        <f t="shared" si="16"/>
        <v>32</v>
      </c>
      <c r="AH138" s="432">
        <v>46113</v>
      </c>
      <c r="AI138" s="427">
        <v>179</v>
      </c>
      <c r="AJ138" s="427">
        <f t="shared" si="18"/>
        <v>29</v>
      </c>
      <c r="AK138" s="427"/>
      <c r="AL138" s="423"/>
      <c r="AM138" s="422"/>
      <c r="AN138" s="422"/>
      <c r="AO138" s="427"/>
      <c r="AP138" s="434"/>
      <c r="AQ138" s="434"/>
      <c r="AR138" s="434"/>
      <c r="AS138" s="434"/>
    </row>
    <row r="139" spans="1:45" s="435" customFormat="1" ht="12" customHeight="1" x14ac:dyDescent="0.25">
      <c r="A139" s="421">
        <v>138</v>
      </c>
      <c r="B139" s="422"/>
      <c r="C139" s="422" t="s">
        <v>3134</v>
      </c>
      <c r="D139" s="423" t="s">
        <v>3135</v>
      </c>
      <c r="E139" s="422" t="s">
        <v>115</v>
      </c>
      <c r="F139" s="422" t="s">
        <v>0</v>
      </c>
      <c r="G139" s="424" t="s">
        <v>2863</v>
      </c>
      <c r="H139" s="422">
        <v>192</v>
      </c>
      <c r="I139" s="422" t="s">
        <v>306</v>
      </c>
      <c r="J139" s="422" t="s">
        <v>8</v>
      </c>
      <c r="K139" s="423" t="s">
        <v>50</v>
      </c>
      <c r="L139" s="425" t="str">
        <f>VLOOKUP(G139,'SKU 对应关系'!A:E,4,0)</f>
        <v>W1-100ML_TZ</v>
      </c>
      <c r="M139" s="426" t="str">
        <f>_xlfn.IFNA(VLOOKUP(G139,'SKU 对应关系'!A:B,2,0),"")</f>
        <v>W1-100ML_TZ W酒店100mL香氛油（天竺） 销售包装</v>
      </c>
      <c r="N139" s="422" t="str">
        <f>_xlfn.IFNA(VLOOKUP(G139,'SKU 对应关系'!$A:$D,3,0),"")</f>
        <v>Oil-TZ</v>
      </c>
      <c r="O139" s="427">
        <v>3</v>
      </c>
      <c r="P139" s="455">
        <v>43.748571428571424</v>
      </c>
      <c r="Q139" s="427" t="s">
        <v>16</v>
      </c>
      <c r="R139" s="422">
        <v>5.6</v>
      </c>
      <c r="S139" s="422">
        <v>200</v>
      </c>
      <c r="T139" s="428">
        <v>50</v>
      </c>
      <c r="U139" s="429">
        <f t="shared" si="13"/>
        <v>294.99199999999996</v>
      </c>
      <c r="V139" s="430">
        <f t="shared" si="14"/>
        <v>1.5364166666666665</v>
      </c>
      <c r="W139" s="431">
        <f t="shared" si="17"/>
        <v>0.22931592039800994</v>
      </c>
      <c r="X139" s="422"/>
      <c r="Y139" s="422"/>
      <c r="Z139" s="428"/>
      <c r="AA139" s="432">
        <v>46051</v>
      </c>
      <c r="AB139" s="432">
        <v>46072</v>
      </c>
      <c r="AC139" s="432"/>
      <c r="AD139" s="433">
        <f>IF(ISNA(VLOOKUP(D139,亚马逊入库配置费!B:F,5,0)),0,VLOOKUP(D139,亚马逊入库配置费!B:F,5,0))</f>
        <v>0.40571428571428569</v>
      </c>
      <c r="AE139" s="433">
        <f t="shared" si="15"/>
        <v>77.897142857142853</v>
      </c>
      <c r="AF139" s="432">
        <v>46089</v>
      </c>
      <c r="AG139" s="90">
        <f t="shared" si="16"/>
        <v>38</v>
      </c>
      <c r="AH139" s="432">
        <v>46118</v>
      </c>
      <c r="AI139" s="427">
        <v>192</v>
      </c>
      <c r="AJ139" s="427">
        <f t="shared" si="18"/>
        <v>29</v>
      </c>
      <c r="AK139" s="427"/>
      <c r="AL139" s="423"/>
      <c r="AM139" s="422"/>
      <c r="AN139" s="422"/>
      <c r="AO139" s="427"/>
      <c r="AP139" s="434"/>
      <c r="AQ139" s="434"/>
      <c r="AR139" s="434"/>
      <c r="AS139" s="434"/>
    </row>
    <row r="140" spans="1:45" s="435" customFormat="1" ht="12" customHeight="1" x14ac:dyDescent="0.25">
      <c r="A140" s="421">
        <v>139</v>
      </c>
      <c r="B140" s="422"/>
      <c r="C140" s="422" t="s">
        <v>3134</v>
      </c>
      <c r="D140" s="423" t="s">
        <v>3135</v>
      </c>
      <c r="E140" s="422" t="s">
        <v>115</v>
      </c>
      <c r="F140" s="422" t="s">
        <v>0</v>
      </c>
      <c r="G140" s="424" t="s">
        <v>2297</v>
      </c>
      <c r="H140" s="422">
        <v>256</v>
      </c>
      <c r="I140" s="422" t="s">
        <v>306</v>
      </c>
      <c r="J140" s="422" t="s">
        <v>8</v>
      </c>
      <c r="K140" s="423" t="s">
        <v>50</v>
      </c>
      <c r="L140" s="425" t="str">
        <f>VLOOKUP(G140,'SKU 对应关系'!A:E,4,0)</f>
        <v>YH1-100ML_TZ</v>
      </c>
      <c r="M140" s="426" t="str">
        <f>_xlfn.IFNA(VLOOKUP(G140,'SKU 对应关系'!A:B,2,0),"")</f>
        <v>YH1-100ML_TZ 樱花100mL香氛油（天竺）销售包装</v>
      </c>
      <c r="N140" s="422" t="str">
        <f>_xlfn.IFNA(VLOOKUP(G140,'SKU 对应关系'!$A:$D,3,0),"")</f>
        <v>Oil-TZ</v>
      </c>
      <c r="O140" s="427">
        <v>4</v>
      </c>
      <c r="P140" s="455">
        <v>58.331428571428567</v>
      </c>
      <c r="Q140" s="427" t="s">
        <v>16</v>
      </c>
      <c r="R140" s="422">
        <v>5.6</v>
      </c>
      <c r="S140" s="436">
        <f>SUMIF(C:C,C139,T:T)</f>
        <v>200.00000000000003</v>
      </c>
      <c r="T140" s="428">
        <v>66.666666666666671</v>
      </c>
      <c r="U140" s="429">
        <f t="shared" si="13"/>
        <v>393.32266666666663</v>
      </c>
      <c r="V140" s="430">
        <f t="shared" si="14"/>
        <v>1.5364166666666665</v>
      </c>
      <c r="W140" s="431">
        <f t="shared" si="17"/>
        <v>0.22931592039800994</v>
      </c>
      <c r="X140" s="422"/>
      <c r="Y140" s="422"/>
      <c r="Z140" s="428"/>
      <c r="AA140" s="432">
        <v>46051</v>
      </c>
      <c r="AB140" s="432">
        <v>46072</v>
      </c>
      <c r="AC140" s="432"/>
      <c r="AD140" s="433">
        <f>IF(ISNA(VLOOKUP(D140,亚马逊入库配置费!B:F,5,0)),0,VLOOKUP(D140,亚马逊入库配置费!B:F,5,0))</f>
        <v>0.40571428571428569</v>
      </c>
      <c r="AE140" s="433">
        <f t="shared" si="15"/>
        <v>103.86285714285714</v>
      </c>
      <c r="AF140" s="432">
        <v>46089</v>
      </c>
      <c r="AG140" s="90">
        <f t="shared" si="16"/>
        <v>38</v>
      </c>
      <c r="AH140" s="432">
        <v>46118</v>
      </c>
      <c r="AI140" s="427">
        <v>256</v>
      </c>
      <c r="AJ140" s="427">
        <f t="shared" si="18"/>
        <v>29</v>
      </c>
      <c r="AK140" s="427"/>
      <c r="AL140" s="423"/>
      <c r="AM140" s="422"/>
      <c r="AN140" s="422"/>
      <c r="AO140" s="427"/>
      <c r="AP140" s="434"/>
      <c r="AQ140" s="434"/>
      <c r="AR140" s="434"/>
      <c r="AS140" s="434"/>
    </row>
    <row r="141" spans="1:45" s="435" customFormat="1" ht="12" customHeight="1" x14ac:dyDescent="0.25">
      <c r="A141" s="421">
        <v>140</v>
      </c>
      <c r="B141" s="422"/>
      <c r="C141" s="422" t="s">
        <v>3134</v>
      </c>
      <c r="D141" s="423" t="s">
        <v>3136</v>
      </c>
      <c r="E141" s="422" t="s">
        <v>115</v>
      </c>
      <c r="F141" s="422" t="s">
        <v>0</v>
      </c>
      <c r="G141" s="424" t="s">
        <v>2937</v>
      </c>
      <c r="H141" s="422">
        <v>192</v>
      </c>
      <c r="I141" s="422" t="s">
        <v>306</v>
      </c>
      <c r="J141" s="422" t="s">
        <v>8</v>
      </c>
      <c r="K141" s="423" t="s">
        <v>50</v>
      </c>
      <c r="L141" s="425" t="str">
        <f>VLOOKUP(G141,'SKU 对应关系'!A:E,4,0)</f>
        <v>SJ1-100ML_TZ</v>
      </c>
      <c r="M141" s="426" t="str">
        <f>_xlfn.IFNA(VLOOKUP(G141,'SKU 对应关系'!A:B,2,0),"")</f>
        <v>SJ1-100ML_TZ 四季酒店100mL香氛油（天竺） 销售包装</v>
      </c>
      <c r="N141" s="422" t="str">
        <f>_xlfn.IFNA(VLOOKUP(G141,'SKU 对应关系'!$A:$D,3,0),"")</f>
        <v>Oil-TZ</v>
      </c>
      <c r="O141" s="427">
        <v>3</v>
      </c>
      <c r="P141" s="455">
        <v>43.751999999999995</v>
      </c>
      <c r="Q141" s="427" t="s">
        <v>16</v>
      </c>
      <c r="R141" s="422">
        <v>5.6</v>
      </c>
      <c r="S141" s="422"/>
      <c r="T141" s="428">
        <v>50</v>
      </c>
      <c r="U141" s="429">
        <f t="shared" si="13"/>
        <v>295.01119999999992</v>
      </c>
      <c r="V141" s="430">
        <f t="shared" si="14"/>
        <v>1.5365166666666663</v>
      </c>
      <c r="W141" s="431">
        <f t="shared" si="17"/>
        <v>0.22933084577114421</v>
      </c>
      <c r="X141" s="422"/>
      <c r="Y141" s="422"/>
      <c r="Z141" s="428"/>
      <c r="AA141" s="432">
        <v>46051</v>
      </c>
      <c r="AB141" s="432">
        <v>46072</v>
      </c>
      <c r="AC141" s="432"/>
      <c r="AD141" s="433">
        <f>IF(ISNA(VLOOKUP(D141,亚马逊入库配置费!B:F,5,0)),0,VLOOKUP(D141,亚马逊入库配置费!B:F,5,0))</f>
        <v>0.36</v>
      </c>
      <c r="AE141" s="433">
        <f t="shared" si="15"/>
        <v>69.12</v>
      </c>
      <c r="AF141" s="432">
        <v>46089</v>
      </c>
      <c r="AG141" s="90">
        <f t="shared" si="16"/>
        <v>38</v>
      </c>
      <c r="AH141" s="432">
        <v>46118</v>
      </c>
      <c r="AI141" s="427">
        <v>192</v>
      </c>
      <c r="AJ141" s="427">
        <f t="shared" si="18"/>
        <v>29</v>
      </c>
      <c r="AK141" s="427"/>
      <c r="AL141" s="423"/>
      <c r="AM141" s="422"/>
      <c r="AN141" s="422"/>
      <c r="AO141" s="427"/>
      <c r="AP141" s="434"/>
      <c r="AQ141" s="434"/>
      <c r="AR141" s="434"/>
      <c r="AS141" s="434"/>
    </row>
    <row r="142" spans="1:45" s="435" customFormat="1" ht="12" customHeight="1" x14ac:dyDescent="0.25">
      <c r="A142" s="421">
        <v>141</v>
      </c>
      <c r="B142" s="422"/>
      <c r="C142" s="422" t="s">
        <v>3134</v>
      </c>
      <c r="D142" s="423" t="s">
        <v>3136</v>
      </c>
      <c r="E142" s="422" t="s">
        <v>115</v>
      </c>
      <c r="F142" s="422" t="s">
        <v>0</v>
      </c>
      <c r="G142" s="424" t="s">
        <v>2862</v>
      </c>
      <c r="H142" s="422">
        <v>128</v>
      </c>
      <c r="I142" s="422" t="s">
        <v>306</v>
      </c>
      <c r="J142" s="422" t="s">
        <v>8</v>
      </c>
      <c r="K142" s="423" t="s">
        <v>50</v>
      </c>
      <c r="L142" s="425" t="str">
        <f>VLOOKUP(G142,'SKU 对应关系'!A:E,4,0)</f>
        <v>WST1-100ML_TZ</v>
      </c>
      <c r="M142" s="426" t="str">
        <f>_xlfn.IFNA(VLOOKUP(G142,'SKU 对应关系'!A:B,2,0),"")</f>
        <v>WST1-100ML_TZ 威斯汀酒店白茶100mL香氛油（天竺） 销售包装</v>
      </c>
      <c r="N142" s="422" t="str">
        <f>_xlfn.IFNA(VLOOKUP(G142,'SKU 对应关系'!$A:$D,3,0),"")</f>
        <v>Oil-TZ</v>
      </c>
      <c r="O142" s="427">
        <v>2</v>
      </c>
      <c r="P142" s="455">
        <v>29.167999999999999</v>
      </c>
      <c r="Q142" s="427" t="s">
        <v>16</v>
      </c>
      <c r="R142" s="422">
        <v>5.6</v>
      </c>
      <c r="S142" s="422"/>
      <c r="T142" s="428">
        <v>33.333333333333336</v>
      </c>
      <c r="U142" s="429">
        <f t="shared" si="13"/>
        <v>196.67413333333332</v>
      </c>
      <c r="V142" s="430">
        <f t="shared" si="14"/>
        <v>1.5365166666666665</v>
      </c>
      <c r="W142" s="431">
        <f t="shared" si="17"/>
        <v>0.22933084577114426</v>
      </c>
      <c r="X142" s="422"/>
      <c r="Y142" s="422"/>
      <c r="Z142" s="428"/>
      <c r="AA142" s="432">
        <v>46051</v>
      </c>
      <c r="AB142" s="432">
        <v>46072</v>
      </c>
      <c r="AC142" s="432"/>
      <c r="AD142" s="433">
        <f>IF(ISNA(VLOOKUP(D142,亚马逊入库配置费!B:F,5,0)),0,VLOOKUP(D142,亚马逊入库配置费!B:F,5,0))</f>
        <v>0.36</v>
      </c>
      <c r="AE142" s="433">
        <f t="shared" si="15"/>
        <v>46.08</v>
      </c>
      <c r="AF142" s="432">
        <v>46089</v>
      </c>
      <c r="AG142" s="90">
        <f t="shared" si="16"/>
        <v>38</v>
      </c>
      <c r="AH142" s="432">
        <v>46118</v>
      </c>
      <c r="AI142" s="427">
        <v>128</v>
      </c>
      <c r="AJ142" s="427">
        <f t="shared" si="18"/>
        <v>29</v>
      </c>
      <c r="AK142" s="427"/>
      <c r="AL142" s="423"/>
      <c r="AM142" s="422"/>
      <c r="AN142" s="422"/>
      <c r="AO142" s="427"/>
      <c r="AP142" s="434"/>
      <c r="AQ142" s="434"/>
      <c r="AR142" s="434"/>
      <c r="AS142" s="434"/>
    </row>
    <row r="143" spans="1:45" ht="12" customHeight="1" x14ac:dyDescent="0.25">
      <c r="A143" s="90">
        <v>142</v>
      </c>
      <c r="B143" s="91"/>
      <c r="C143" s="91" t="s">
        <v>3137</v>
      </c>
      <c r="D143" s="92" t="s">
        <v>3138</v>
      </c>
      <c r="E143" s="91" t="s">
        <v>115</v>
      </c>
      <c r="F143" s="91" t="s">
        <v>0</v>
      </c>
      <c r="G143" s="56" t="s">
        <v>325</v>
      </c>
      <c r="H143" s="91">
        <v>52</v>
      </c>
      <c r="I143" s="91" t="s">
        <v>89</v>
      </c>
      <c r="J143" s="91" t="s">
        <v>8</v>
      </c>
      <c r="K143" s="92" t="s">
        <v>3139</v>
      </c>
      <c r="L143" s="93" t="str">
        <f>VLOOKUP(G143,'SKU 对应关系'!A:E,4,0)</f>
        <v>AP2US-H13</v>
      </c>
      <c r="M143" s="94" t="str">
        <f>_xlfn.IFNA(VLOOKUP(G143,'SKU 对应关系'!A:B,2,0),"")</f>
        <v>AP2US-H13 内置H13滤网桌面式空气净化器2-美规</v>
      </c>
      <c r="N143" s="95" t="str">
        <f>_xlfn.IFNA(VLOOKUP(G143,'SKU 对应关系'!$A:$D,3,0),"")</f>
        <v>AP2</v>
      </c>
      <c r="O143" s="96">
        <v>13</v>
      </c>
      <c r="P143" s="455">
        <v>302</v>
      </c>
      <c r="Q143" s="96" t="s">
        <v>16</v>
      </c>
      <c r="R143" s="91">
        <v>4.2</v>
      </c>
      <c r="S143" s="95">
        <v>200</v>
      </c>
      <c r="T143" s="98">
        <v>200</v>
      </c>
      <c r="U143" s="99">
        <f t="shared" si="13"/>
        <v>1468.4</v>
      </c>
      <c r="V143" s="100">
        <f t="shared" si="14"/>
        <v>28.238461538461539</v>
      </c>
      <c r="W143" s="101">
        <f t="shared" si="17"/>
        <v>4.2146957520091846</v>
      </c>
      <c r="X143" s="95"/>
      <c r="Y143" s="95"/>
      <c r="Z143" s="102"/>
      <c r="AA143" s="103">
        <v>46051</v>
      </c>
      <c r="AB143" s="103">
        <v>46075</v>
      </c>
      <c r="AC143" s="103"/>
      <c r="AD143" s="104">
        <f>IF(ISNA(VLOOKUP(D143,亚马逊入库配置费!B:F,5,0)),0,VLOOKUP(D143,亚马逊入库配置费!B:F,5,0))</f>
        <v>0</v>
      </c>
      <c r="AE143" s="104">
        <f t="shared" si="15"/>
        <v>0</v>
      </c>
      <c r="AF143" s="103">
        <v>46087</v>
      </c>
      <c r="AG143" s="90">
        <f t="shared" si="16"/>
        <v>36</v>
      </c>
      <c r="AH143" s="103">
        <v>46102</v>
      </c>
      <c r="AI143" s="96">
        <v>52</v>
      </c>
      <c r="AJ143" s="427">
        <f t="shared" si="18"/>
        <v>15</v>
      </c>
      <c r="AK143" s="96"/>
      <c r="AL143" s="92"/>
      <c r="AM143" s="91"/>
      <c r="AN143" s="91"/>
      <c r="AO143" s="96"/>
      <c r="AP143" s="105"/>
      <c r="AQ143" s="105"/>
      <c r="AR143" s="105"/>
      <c r="AS143" s="105"/>
    </row>
    <row r="144" spans="1:45" ht="12" customHeight="1" x14ac:dyDescent="0.25">
      <c r="A144" s="90">
        <v>143</v>
      </c>
      <c r="B144" s="91"/>
      <c r="C144" s="91" t="s">
        <v>3140</v>
      </c>
      <c r="D144" s="92" t="s">
        <v>3141</v>
      </c>
      <c r="E144" s="91" t="s">
        <v>115</v>
      </c>
      <c r="F144" s="91" t="s">
        <v>0</v>
      </c>
      <c r="G144" s="56" t="s">
        <v>325</v>
      </c>
      <c r="H144" s="91">
        <v>48</v>
      </c>
      <c r="I144" s="91" t="s">
        <v>89</v>
      </c>
      <c r="J144" s="91" t="s">
        <v>2421</v>
      </c>
      <c r="K144" s="92" t="s">
        <v>18</v>
      </c>
      <c r="L144" s="93" t="str">
        <f>VLOOKUP(G144,'SKU 对应关系'!A:E,4,0)</f>
        <v>AP2US-H13</v>
      </c>
      <c r="M144" s="94" t="str">
        <f>_xlfn.IFNA(VLOOKUP(G144,'SKU 对应关系'!A:B,2,0),"")</f>
        <v>AP2US-H13 内置H13滤网桌面式空气净化器2-美规</v>
      </c>
      <c r="N144" s="95" t="str">
        <f>_xlfn.IFNA(VLOOKUP(G144,'SKU 对应关系'!$A:$D,3,0),"")</f>
        <v>AP2</v>
      </c>
      <c r="O144" s="96">
        <v>12</v>
      </c>
      <c r="P144" s="455">
        <v>280</v>
      </c>
      <c r="Q144" s="96" t="s">
        <v>16</v>
      </c>
      <c r="R144" s="91">
        <v>4.5</v>
      </c>
      <c r="S144" s="95">
        <v>200</v>
      </c>
      <c r="T144" s="98">
        <v>96</v>
      </c>
      <c r="U144" s="99">
        <f t="shared" si="13"/>
        <v>1356</v>
      </c>
      <c r="V144" s="100">
        <f t="shared" si="14"/>
        <v>28.25</v>
      </c>
      <c r="W144" s="101">
        <f t="shared" si="17"/>
        <v>4.2164179104477615</v>
      </c>
      <c r="X144" s="95"/>
      <c r="Y144" s="95"/>
      <c r="Z144" s="102"/>
      <c r="AA144" s="103">
        <v>46051</v>
      </c>
      <c r="AB144" s="103">
        <v>46095</v>
      </c>
      <c r="AC144" s="103"/>
      <c r="AD144" s="104">
        <f>IF(ISNA(VLOOKUP(D144,亚马逊入库配置费!B:F,5,0)),0,VLOOKUP(D144,亚马逊入库配置费!B:F,5,0))</f>
        <v>0</v>
      </c>
      <c r="AE144" s="104">
        <f t="shared" si="15"/>
        <v>0</v>
      </c>
      <c r="AF144" s="103">
        <v>46100</v>
      </c>
      <c r="AG144" s="90">
        <f t="shared" si="16"/>
        <v>49</v>
      </c>
      <c r="AH144" s="103">
        <v>46100</v>
      </c>
      <c r="AI144" s="96">
        <v>48</v>
      </c>
      <c r="AJ144" s="427">
        <f t="shared" si="18"/>
        <v>0</v>
      </c>
      <c r="AK144" s="96"/>
      <c r="AL144" s="92"/>
      <c r="AM144" s="91"/>
      <c r="AN144" s="91"/>
      <c r="AO144" s="96"/>
      <c r="AP144" s="105"/>
      <c r="AQ144" s="105"/>
      <c r="AR144" s="105"/>
      <c r="AS144" s="105"/>
    </row>
    <row r="145" spans="1:45" ht="12" customHeight="1" x14ac:dyDescent="0.25">
      <c r="A145" s="90">
        <v>144</v>
      </c>
      <c r="B145" s="91"/>
      <c r="C145" s="91" t="s">
        <v>3142</v>
      </c>
      <c r="D145" s="92" t="s">
        <v>3143</v>
      </c>
      <c r="E145" s="91" t="s">
        <v>115</v>
      </c>
      <c r="F145" s="91" t="s">
        <v>0</v>
      </c>
      <c r="G145" s="56" t="s">
        <v>325</v>
      </c>
      <c r="H145" s="91">
        <v>52</v>
      </c>
      <c r="I145" s="91" t="s">
        <v>89</v>
      </c>
      <c r="J145" s="91" t="s">
        <v>2421</v>
      </c>
      <c r="K145" s="92" t="s">
        <v>3144</v>
      </c>
      <c r="L145" s="93" t="str">
        <f>VLOOKUP(G145,'SKU 对应关系'!A:E,4,0)</f>
        <v>AP2US-H13</v>
      </c>
      <c r="M145" s="94" t="str">
        <f>_xlfn.IFNA(VLOOKUP(G145,'SKU 对应关系'!A:B,2,0),"")</f>
        <v>AP2US-H13 内置H13滤网桌面式空气净化器2-美规</v>
      </c>
      <c r="N145" s="95" t="str">
        <f>_xlfn.IFNA(VLOOKUP(G145,'SKU 对应关系'!$A:$D,3,0),"")</f>
        <v>AP2</v>
      </c>
      <c r="O145" s="96">
        <v>13</v>
      </c>
      <c r="P145" s="455">
        <v>303</v>
      </c>
      <c r="Q145" s="96" t="s">
        <v>16</v>
      </c>
      <c r="R145" s="91">
        <v>5.5</v>
      </c>
      <c r="S145" s="95">
        <v>200</v>
      </c>
      <c r="T145" s="98">
        <v>200</v>
      </c>
      <c r="U145" s="99">
        <f t="shared" si="13"/>
        <v>1866.5</v>
      </c>
      <c r="V145" s="100">
        <f t="shared" si="14"/>
        <v>35.894230769230766</v>
      </c>
      <c r="W145" s="101">
        <f t="shared" si="17"/>
        <v>5.3573478760045923</v>
      </c>
      <c r="X145" s="95"/>
      <c r="Y145" s="95"/>
      <c r="Z145" s="102"/>
      <c r="AA145" s="103">
        <v>46051</v>
      </c>
      <c r="AB145" s="103">
        <v>46097</v>
      </c>
      <c r="AC145" s="103"/>
      <c r="AD145" s="104">
        <f>IF(ISNA(VLOOKUP(D145,亚马逊入库配置费!B:F,5,0)),0,VLOOKUP(D145,亚马逊入库配置费!B:F,5,0))</f>
        <v>0</v>
      </c>
      <c r="AE145" s="104">
        <f t="shared" si="15"/>
        <v>0</v>
      </c>
      <c r="AF145" s="103">
        <v>46111</v>
      </c>
      <c r="AG145" s="90">
        <f t="shared" si="16"/>
        <v>60</v>
      </c>
      <c r="AH145" s="103">
        <v>46112</v>
      </c>
      <c r="AI145" s="96">
        <v>52</v>
      </c>
      <c r="AJ145" s="427">
        <f t="shared" si="18"/>
        <v>1</v>
      </c>
      <c r="AK145" s="96"/>
      <c r="AL145" s="92"/>
      <c r="AM145" s="91"/>
      <c r="AN145" s="91"/>
      <c r="AO145" s="96"/>
      <c r="AP145" s="105"/>
      <c r="AQ145" s="105"/>
      <c r="AR145" s="105"/>
      <c r="AS145" s="105"/>
    </row>
    <row r="146" spans="1:45" ht="12" customHeight="1" x14ac:dyDescent="0.25">
      <c r="A146" s="90">
        <v>145</v>
      </c>
      <c r="B146" s="91"/>
      <c r="C146" s="91" t="s">
        <v>3140</v>
      </c>
      <c r="D146" s="92" t="s">
        <v>3145</v>
      </c>
      <c r="E146" s="91" t="s">
        <v>115</v>
      </c>
      <c r="F146" s="91" t="s">
        <v>0</v>
      </c>
      <c r="G146" s="56" t="s">
        <v>325</v>
      </c>
      <c r="H146" s="91">
        <v>52</v>
      </c>
      <c r="I146" s="91" t="s">
        <v>89</v>
      </c>
      <c r="J146" s="91" t="s">
        <v>2421</v>
      </c>
      <c r="K146" s="92" t="s">
        <v>3146</v>
      </c>
      <c r="L146" s="93" t="str">
        <f>VLOOKUP(G146,'SKU 对应关系'!A:E,4,0)</f>
        <v>AP2US-H13</v>
      </c>
      <c r="M146" s="94" t="str">
        <f>_xlfn.IFNA(VLOOKUP(G146,'SKU 对应关系'!A:B,2,0),"")</f>
        <v>AP2US-H13 内置H13滤网桌面式空气净化器2-美规</v>
      </c>
      <c r="N146" s="95" t="str">
        <f>_xlfn.IFNA(VLOOKUP(G146,'SKU 对应关系'!$A:$D,3,0),"")</f>
        <v>AP2</v>
      </c>
      <c r="O146" s="96">
        <v>13</v>
      </c>
      <c r="P146" s="455">
        <v>303</v>
      </c>
      <c r="Q146" s="96" t="s">
        <v>16</v>
      </c>
      <c r="R146" s="91">
        <v>4.9000000000000004</v>
      </c>
      <c r="S146" s="106">
        <f>SUMIF(C:C,C145,T:T)</f>
        <v>200</v>
      </c>
      <c r="T146" s="98">
        <v>104</v>
      </c>
      <c r="U146" s="99">
        <f t="shared" si="13"/>
        <v>1588.7</v>
      </c>
      <c r="V146" s="100">
        <f t="shared" si="14"/>
        <v>30.551923076923078</v>
      </c>
      <c r="W146" s="101">
        <f t="shared" si="17"/>
        <v>4.5599885189437428</v>
      </c>
      <c r="X146" s="95"/>
      <c r="Y146" s="95"/>
      <c r="Z146" s="102"/>
      <c r="AA146" s="103">
        <v>46051</v>
      </c>
      <c r="AB146" s="103">
        <v>46095</v>
      </c>
      <c r="AC146" s="103"/>
      <c r="AD146" s="104">
        <f>IF(ISNA(VLOOKUP(D146,亚马逊入库配置费!B:F,5,0)),0,VLOOKUP(D146,亚马逊入库配置费!B:F,5,0))</f>
        <v>0</v>
      </c>
      <c r="AE146" s="104">
        <f t="shared" si="15"/>
        <v>0</v>
      </c>
      <c r="AF146" s="103">
        <v>46109</v>
      </c>
      <c r="AG146" s="90">
        <f t="shared" si="16"/>
        <v>58</v>
      </c>
      <c r="AH146" s="103">
        <v>46110</v>
      </c>
      <c r="AI146" s="96">
        <v>52</v>
      </c>
      <c r="AJ146" s="427">
        <f t="shared" si="18"/>
        <v>1</v>
      </c>
      <c r="AK146" s="96"/>
      <c r="AL146" s="92"/>
      <c r="AM146" s="91"/>
      <c r="AN146" s="91"/>
      <c r="AO146" s="96"/>
      <c r="AP146" s="105"/>
      <c r="AQ146" s="105"/>
      <c r="AR146" s="105"/>
      <c r="AS146" s="105"/>
    </row>
    <row r="147" spans="1:45" ht="12" customHeight="1" x14ac:dyDescent="0.25">
      <c r="A147" s="90">
        <v>146</v>
      </c>
      <c r="B147" s="91"/>
      <c r="C147" s="91" t="s">
        <v>3147</v>
      </c>
      <c r="D147" s="92" t="s">
        <v>3148</v>
      </c>
      <c r="E147" s="91" t="s">
        <v>115</v>
      </c>
      <c r="F147" s="91" t="s">
        <v>0</v>
      </c>
      <c r="G147" s="56" t="s">
        <v>325</v>
      </c>
      <c r="H147" s="91">
        <v>52</v>
      </c>
      <c r="I147" s="91" t="s">
        <v>89</v>
      </c>
      <c r="J147" s="91" t="s">
        <v>2431</v>
      </c>
      <c r="K147" s="92" t="s">
        <v>3149</v>
      </c>
      <c r="L147" s="93" t="str">
        <f>VLOOKUP(G147,'SKU 对应关系'!A:E,4,0)</f>
        <v>AP2US-H13</v>
      </c>
      <c r="M147" s="94" t="str">
        <f>_xlfn.IFNA(VLOOKUP(G147,'SKU 对应关系'!A:B,2,0),"")</f>
        <v>AP2US-H13 内置H13滤网桌面式空气净化器2-美规</v>
      </c>
      <c r="N147" s="95" t="str">
        <f>_xlfn.IFNA(VLOOKUP(G147,'SKU 对应关系'!$A:$D,3,0),"")</f>
        <v>AP2</v>
      </c>
      <c r="O147" s="96">
        <v>13</v>
      </c>
      <c r="P147" s="455">
        <v>302</v>
      </c>
      <c r="Q147" s="96" t="s">
        <v>16</v>
      </c>
      <c r="R147" s="91">
        <v>5.6</v>
      </c>
      <c r="S147" s="95">
        <v>200</v>
      </c>
      <c r="T147" s="98">
        <v>200</v>
      </c>
      <c r="U147" s="99">
        <f t="shared" si="13"/>
        <v>1891.1999999999998</v>
      </c>
      <c r="V147" s="100">
        <f t="shared" si="14"/>
        <v>36.369230769230768</v>
      </c>
      <c r="W147" s="101">
        <f t="shared" si="17"/>
        <v>5.4282433983926515</v>
      </c>
      <c r="X147" s="95"/>
      <c r="Y147" s="95"/>
      <c r="Z147" s="102"/>
      <c r="AA147" s="103">
        <v>46051</v>
      </c>
      <c r="AB147" s="103">
        <v>46095</v>
      </c>
      <c r="AC147" s="103"/>
      <c r="AD147" s="104">
        <f>IF(ISNA(VLOOKUP(D147,亚马逊入库配置费!B:F,5,0)),0,VLOOKUP(D147,亚马逊入库配置费!B:F,5,0))</f>
        <v>0</v>
      </c>
      <c r="AE147" s="104">
        <f t="shared" si="15"/>
        <v>0</v>
      </c>
      <c r="AF147" s="103">
        <v>46120</v>
      </c>
      <c r="AG147" s="90">
        <f t="shared" si="16"/>
        <v>69</v>
      </c>
      <c r="AH147" s="103">
        <v>46134</v>
      </c>
      <c r="AI147" s="96"/>
      <c r="AJ147" s="427">
        <f t="shared" si="18"/>
        <v>14</v>
      </c>
      <c r="AK147" s="96"/>
      <c r="AL147" s="92"/>
      <c r="AM147" s="91"/>
      <c r="AN147" s="91"/>
      <c r="AO147" s="96"/>
      <c r="AP147" s="105"/>
      <c r="AQ147" s="105"/>
      <c r="AR147" s="105"/>
      <c r="AS147" s="105"/>
    </row>
    <row r="148" spans="1:45" ht="12" customHeight="1" x14ac:dyDescent="0.25">
      <c r="A148" s="90">
        <v>147</v>
      </c>
      <c r="B148" s="91"/>
      <c r="C148" s="91" t="s">
        <v>3151</v>
      </c>
      <c r="D148" s="92" t="s">
        <v>3152</v>
      </c>
      <c r="E148" s="91" t="s">
        <v>115</v>
      </c>
      <c r="F148" s="91" t="s">
        <v>0</v>
      </c>
      <c r="G148" s="56" t="s">
        <v>211</v>
      </c>
      <c r="H148" s="91">
        <v>600</v>
      </c>
      <c r="I148" s="91" t="s">
        <v>89</v>
      </c>
      <c r="J148" s="91" t="s">
        <v>8</v>
      </c>
      <c r="K148" s="92" t="s">
        <v>50</v>
      </c>
      <c r="L148" s="93" t="str">
        <f>VLOOKUP(G148,'SKU 对应关系'!A:E,4,0)</f>
        <v>ANX-B</v>
      </c>
      <c r="M148" s="94" t="str">
        <f>_xlfn.IFNA(VLOOKUP(G148,'SKU 对应关系'!A:B,2,0),"")</f>
        <v>ANX-B 便携式扩香仪 黑色</v>
      </c>
      <c r="N148" s="95" t="str">
        <f>_xlfn.IFNA(VLOOKUP(G148,'SKU 对应关系'!$A:$D,3,0),"")</f>
        <v>ANX</v>
      </c>
      <c r="O148" s="96">
        <v>20</v>
      </c>
      <c r="P148" s="455">
        <v>268.53684210526319</v>
      </c>
      <c r="Q148" s="96" t="s">
        <v>16</v>
      </c>
      <c r="R148" s="91">
        <v>3.5</v>
      </c>
      <c r="S148" s="95">
        <v>200</v>
      </c>
      <c r="T148" s="98">
        <v>43.478260869565219</v>
      </c>
      <c r="U148" s="99">
        <f t="shared" si="13"/>
        <v>983.35720823798647</v>
      </c>
      <c r="V148" s="100">
        <f t="shared" si="14"/>
        <v>1.6389286803966441</v>
      </c>
      <c r="W148" s="101">
        <f t="shared" si="17"/>
        <v>0.24461622095472299</v>
      </c>
      <c r="X148" s="95"/>
      <c r="Y148" s="95"/>
      <c r="Z148" s="102"/>
      <c r="AA148" s="103">
        <v>46055</v>
      </c>
      <c r="AB148" s="103">
        <v>46096</v>
      </c>
      <c r="AC148" s="103"/>
      <c r="AD148" s="104">
        <f>IF(ISNA(VLOOKUP(D148,亚马逊入库配置费!B:F,5,0)),0,VLOOKUP(D148,亚马逊入库配置费!B:F,5,0))</f>
        <v>0.41106382978723399</v>
      </c>
      <c r="AE148" s="104">
        <f t="shared" si="15"/>
        <v>246.63829787234039</v>
      </c>
      <c r="AF148" s="103">
        <v>46116</v>
      </c>
      <c r="AG148" s="90">
        <f t="shared" si="16"/>
        <v>61</v>
      </c>
      <c r="AH148" s="103">
        <v>46152</v>
      </c>
      <c r="AI148" s="96"/>
      <c r="AJ148" s="427">
        <f t="shared" si="18"/>
        <v>36</v>
      </c>
      <c r="AK148" s="96"/>
      <c r="AL148" s="92"/>
      <c r="AM148" s="91"/>
      <c r="AN148" s="91"/>
      <c r="AO148" s="96"/>
      <c r="AP148" s="105"/>
      <c r="AQ148" s="105"/>
      <c r="AR148" s="105"/>
      <c r="AS148" s="105"/>
    </row>
    <row r="149" spans="1:45" ht="12" customHeight="1" x14ac:dyDescent="0.25">
      <c r="A149" s="90">
        <v>148</v>
      </c>
      <c r="B149" s="91"/>
      <c r="C149" s="91" t="s">
        <v>3151</v>
      </c>
      <c r="D149" s="92" t="s">
        <v>3152</v>
      </c>
      <c r="E149" s="91" t="s">
        <v>115</v>
      </c>
      <c r="F149" s="91" t="s">
        <v>0</v>
      </c>
      <c r="G149" s="56" t="s">
        <v>606</v>
      </c>
      <c r="H149" s="91">
        <v>180</v>
      </c>
      <c r="I149" s="91" t="s">
        <v>89</v>
      </c>
      <c r="J149" s="91" t="s">
        <v>8</v>
      </c>
      <c r="K149" s="92" t="s">
        <v>50</v>
      </c>
      <c r="L149" s="93" t="str">
        <f>VLOOKUP(G149,'SKU 对应关系'!A:E,4,0)</f>
        <v>ANX-IB</v>
      </c>
      <c r="M149" s="94" t="str">
        <f>_xlfn.IFNA(VLOOKUP(G149,'SKU 对应关系'!A:B,2,0),"")</f>
        <v>ANX-IB 便携式扩香仪 冰蓝色</v>
      </c>
      <c r="N149" s="95" t="str">
        <f>_xlfn.IFNA(VLOOKUP(G149,'SKU 对应关系'!$A:$D,3,0),"")</f>
        <v>ANX</v>
      </c>
      <c r="O149" s="96">
        <v>6</v>
      </c>
      <c r="P149" s="455">
        <v>80.561052631578946</v>
      </c>
      <c r="Q149" s="96" t="s">
        <v>16</v>
      </c>
      <c r="R149" s="91">
        <v>3.5</v>
      </c>
      <c r="S149" s="106">
        <f>SUMIF(C:C,C148,T:T)</f>
        <v>200</v>
      </c>
      <c r="T149" s="98">
        <v>13.043478260869565</v>
      </c>
      <c r="U149" s="99">
        <f t="shared" si="13"/>
        <v>295.00716247139587</v>
      </c>
      <c r="V149" s="100">
        <f t="shared" si="14"/>
        <v>1.6389286803966436</v>
      </c>
      <c r="W149" s="101">
        <f t="shared" si="17"/>
        <v>0.24461622095472293</v>
      </c>
      <c r="X149" s="95"/>
      <c r="Y149" s="95"/>
      <c r="Z149" s="102"/>
      <c r="AA149" s="103">
        <v>46055</v>
      </c>
      <c r="AB149" s="103">
        <v>46096</v>
      </c>
      <c r="AC149" s="103"/>
      <c r="AD149" s="104">
        <f>IF(ISNA(VLOOKUP(D149,亚马逊入库配置费!B:F,5,0)),0,VLOOKUP(D149,亚马逊入库配置费!B:F,5,0))</f>
        <v>0.41106382978723399</v>
      </c>
      <c r="AE149" s="104">
        <f t="shared" si="15"/>
        <v>73.991489361702122</v>
      </c>
      <c r="AF149" s="103">
        <v>46116</v>
      </c>
      <c r="AG149" s="90">
        <f t="shared" si="16"/>
        <v>61</v>
      </c>
      <c r="AH149" s="103">
        <v>46152</v>
      </c>
      <c r="AI149" s="96"/>
      <c r="AJ149" s="427">
        <f t="shared" si="18"/>
        <v>36</v>
      </c>
      <c r="AK149" s="96"/>
      <c r="AL149" s="92"/>
      <c r="AM149" s="91"/>
      <c r="AN149" s="91"/>
      <c r="AO149" s="96"/>
      <c r="AP149" s="105"/>
      <c r="AQ149" s="105"/>
      <c r="AR149" s="105"/>
      <c r="AS149" s="105"/>
    </row>
    <row r="150" spans="1:45" ht="12" customHeight="1" x14ac:dyDescent="0.25">
      <c r="A150" s="90">
        <v>149</v>
      </c>
      <c r="B150" s="91"/>
      <c r="C150" s="91" t="s">
        <v>3151</v>
      </c>
      <c r="D150" s="92" t="s">
        <v>3152</v>
      </c>
      <c r="E150" s="91" t="s">
        <v>115</v>
      </c>
      <c r="F150" s="91" t="s">
        <v>0</v>
      </c>
      <c r="G150" s="56" t="s">
        <v>481</v>
      </c>
      <c r="H150" s="91">
        <v>90</v>
      </c>
      <c r="I150" s="91" t="s">
        <v>89</v>
      </c>
      <c r="J150" s="91" t="s">
        <v>8</v>
      </c>
      <c r="K150" s="92" t="s">
        <v>50</v>
      </c>
      <c r="L150" s="93" t="str">
        <f>VLOOKUP(G150,'SKU 对应关系'!A:E,4,0)</f>
        <v>ANX-SILV</v>
      </c>
      <c r="M150" s="94" t="str">
        <f>_xlfn.IFNA(VLOOKUP(G150,'SKU 对应关系'!A:B,2,0),"")</f>
        <v>ANX-SILV 便携式扩香仪 银色</v>
      </c>
      <c r="N150" s="95" t="str">
        <f>_xlfn.IFNA(VLOOKUP(G150,'SKU 对应关系'!$A:$D,3,0),"")</f>
        <v>ANX</v>
      </c>
      <c r="O150" s="96">
        <v>3</v>
      </c>
      <c r="P150" s="455">
        <v>40.280526315789473</v>
      </c>
      <c r="Q150" s="96" t="s">
        <v>16</v>
      </c>
      <c r="R150" s="91">
        <v>3.5</v>
      </c>
      <c r="S150" s="95"/>
      <c r="T150" s="98">
        <v>6.5217391304347823</v>
      </c>
      <c r="U150" s="99">
        <f t="shared" si="13"/>
        <v>147.50358123569794</v>
      </c>
      <c r="V150" s="100">
        <f t="shared" si="14"/>
        <v>1.6389286803966436</v>
      </c>
      <c r="W150" s="101">
        <f t="shared" si="17"/>
        <v>0.24461622095472293</v>
      </c>
      <c r="X150" s="95"/>
      <c r="Y150" s="95"/>
      <c r="Z150" s="102"/>
      <c r="AA150" s="103">
        <v>46055</v>
      </c>
      <c r="AB150" s="103">
        <v>46096</v>
      </c>
      <c r="AC150" s="103"/>
      <c r="AD150" s="104">
        <f>IF(ISNA(VLOOKUP(D150,亚马逊入库配置费!B:F,5,0)),0,VLOOKUP(D150,亚马逊入库配置费!B:F,5,0))</f>
        <v>0.41106382978723399</v>
      </c>
      <c r="AE150" s="104">
        <f t="shared" si="15"/>
        <v>36.995744680851061</v>
      </c>
      <c r="AF150" s="103">
        <v>46116</v>
      </c>
      <c r="AG150" s="90">
        <f t="shared" si="16"/>
        <v>61</v>
      </c>
      <c r="AH150" s="103">
        <v>46152</v>
      </c>
      <c r="AI150" s="96"/>
      <c r="AJ150" s="427">
        <f t="shared" si="18"/>
        <v>36</v>
      </c>
      <c r="AK150" s="96"/>
      <c r="AL150" s="92"/>
      <c r="AM150" s="91"/>
      <c r="AN150" s="91"/>
      <c r="AO150" s="96"/>
      <c r="AP150" s="105"/>
      <c r="AQ150" s="105"/>
      <c r="AR150" s="105"/>
      <c r="AS150" s="105"/>
    </row>
    <row r="151" spans="1:45" ht="12" customHeight="1" x14ac:dyDescent="0.25">
      <c r="A151" s="90">
        <v>150</v>
      </c>
      <c r="B151" s="91"/>
      <c r="C151" s="91" t="s">
        <v>3151</v>
      </c>
      <c r="D151" s="92" t="s">
        <v>3152</v>
      </c>
      <c r="E151" s="91" t="s">
        <v>115</v>
      </c>
      <c r="F151" s="91" t="s">
        <v>0</v>
      </c>
      <c r="G151" s="56" t="s">
        <v>213</v>
      </c>
      <c r="H151" s="91">
        <v>330</v>
      </c>
      <c r="I151" s="91" t="s">
        <v>89</v>
      </c>
      <c r="J151" s="91" t="s">
        <v>8</v>
      </c>
      <c r="K151" s="92" t="s">
        <v>50</v>
      </c>
      <c r="L151" s="93" t="str">
        <f>VLOOKUP(G151,'SKU 对应关系'!A:E,4,0)</f>
        <v>ANX-DT</v>
      </c>
      <c r="M151" s="94" t="str">
        <f>_xlfn.IFNA(VLOOKUP(G151,'SKU 对应关系'!A:B,2,0),"")</f>
        <v>ANX-DT 便携式扩香仪 沙漠钛色</v>
      </c>
      <c r="N151" s="95" t="str">
        <f>_xlfn.IFNA(VLOOKUP(G151,'SKU 对应关系'!$A:$D,3,0),"")</f>
        <v>ANX</v>
      </c>
      <c r="O151" s="96">
        <v>11</v>
      </c>
      <c r="P151" s="455">
        <v>147.69526315789474</v>
      </c>
      <c r="Q151" s="96" t="s">
        <v>16</v>
      </c>
      <c r="R151" s="91">
        <v>3.5</v>
      </c>
      <c r="S151" s="95"/>
      <c r="T151" s="98">
        <v>23.913043478260871</v>
      </c>
      <c r="U151" s="99">
        <f t="shared" si="13"/>
        <v>540.84646453089249</v>
      </c>
      <c r="V151" s="100">
        <f t="shared" si="14"/>
        <v>1.6389286803966439</v>
      </c>
      <c r="W151" s="101">
        <f t="shared" si="17"/>
        <v>0.24461622095472296</v>
      </c>
      <c r="X151" s="95"/>
      <c r="Y151" s="95"/>
      <c r="Z151" s="102"/>
      <c r="AA151" s="103">
        <v>46055</v>
      </c>
      <c r="AB151" s="103">
        <v>46096</v>
      </c>
      <c r="AC151" s="103"/>
      <c r="AD151" s="104">
        <f>IF(ISNA(VLOOKUP(D151,亚马逊入库配置费!B:F,5,0)),0,VLOOKUP(D151,亚马逊入库配置费!B:F,5,0))</f>
        <v>0.41106382978723399</v>
      </c>
      <c r="AE151" s="104">
        <f t="shared" si="15"/>
        <v>135.6510638297872</v>
      </c>
      <c r="AF151" s="103">
        <v>46116</v>
      </c>
      <c r="AG151" s="90">
        <f t="shared" si="16"/>
        <v>61</v>
      </c>
      <c r="AH151" s="103">
        <v>46152</v>
      </c>
      <c r="AI151" s="96"/>
      <c r="AJ151" s="427">
        <f t="shared" si="18"/>
        <v>36</v>
      </c>
      <c r="AK151" s="96"/>
      <c r="AL151" s="92"/>
      <c r="AM151" s="91"/>
      <c r="AN151" s="91"/>
      <c r="AO151" s="96"/>
      <c r="AP151" s="105"/>
      <c r="AQ151" s="105"/>
      <c r="AR151" s="105"/>
      <c r="AS151" s="105"/>
    </row>
    <row r="152" spans="1:45" ht="12" customHeight="1" x14ac:dyDescent="0.25">
      <c r="A152" s="90">
        <v>151</v>
      </c>
      <c r="B152" s="91"/>
      <c r="C152" s="91" t="s">
        <v>3151</v>
      </c>
      <c r="D152" s="92" t="s">
        <v>3152</v>
      </c>
      <c r="E152" s="91" t="s">
        <v>115</v>
      </c>
      <c r="F152" s="91" t="s">
        <v>0</v>
      </c>
      <c r="G152" s="56" t="s">
        <v>2197</v>
      </c>
      <c r="H152" s="91">
        <v>680</v>
      </c>
      <c r="I152" s="91" t="s">
        <v>89</v>
      </c>
      <c r="J152" s="91" t="s">
        <v>8</v>
      </c>
      <c r="K152" s="92" t="s">
        <v>50</v>
      </c>
      <c r="L152" s="93" t="str">
        <f>VLOOKUP(G152,'SKU 对应关系'!A:E,4,0)</f>
        <v>ANZ-WH</v>
      </c>
      <c r="M152" s="94" t="str">
        <f>_xlfn.IFNA(VLOOKUP(G152,'SKU 对应关系'!A:B,2,0),"")</f>
        <v>ANZ-WH 便携式扩香仪 白色</v>
      </c>
      <c r="N152" s="95" t="str">
        <f>_xlfn.IFNA(VLOOKUP(G152,'SKU 对应关系'!$A:$D,3,0),"")</f>
        <v>ANZ</v>
      </c>
      <c r="O152" s="96">
        <v>17</v>
      </c>
      <c r="P152" s="455">
        <v>228.25631578947369</v>
      </c>
      <c r="Q152" s="96" t="s">
        <v>16</v>
      </c>
      <c r="R152" s="91">
        <v>3.5</v>
      </c>
      <c r="S152" s="95"/>
      <c r="T152" s="98">
        <v>36.956521739130437</v>
      </c>
      <c r="U152" s="99">
        <f t="shared" si="13"/>
        <v>835.85362700228825</v>
      </c>
      <c r="V152" s="100">
        <f t="shared" si="14"/>
        <v>1.2291965102974827</v>
      </c>
      <c r="W152" s="101">
        <f t="shared" si="17"/>
        <v>0.18346216571604218</v>
      </c>
      <c r="X152" s="95"/>
      <c r="Y152" s="95"/>
      <c r="Z152" s="102"/>
      <c r="AA152" s="103">
        <v>46055</v>
      </c>
      <c r="AB152" s="103">
        <v>46096</v>
      </c>
      <c r="AC152" s="103"/>
      <c r="AD152" s="104">
        <f>IF(ISNA(VLOOKUP(D152,亚马逊入库配置费!B:F,5,0)),0,VLOOKUP(D152,亚马逊入库配置费!B:F,5,0))</f>
        <v>0.41106382978723399</v>
      </c>
      <c r="AE152" s="104">
        <f t="shared" si="15"/>
        <v>279.52340425531912</v>
      </c>
      <c r="AF152" s="103">
        <v>46116</v>
      </c>
      <c r="AG152" s="90">
        <f t="shared" si="16"/>
        <v>61</v>
      </c>
      <c r="AH152" s="103">
        <v>46152</v>
      </c>
      <c r="AI152" s="96"/>
      <c r="AJ152" s="427">
        <f t="shared" si="18"/>
        <v>36</v>
      </c>
      <c r="AK152" s="96"/>
      <c r="AL152" s="92"/>
      <c r="AM152" s="91"/>
      <c r="AN152" s="91"/>
      <c r="AO152" s="96"/>
      <c r="AP152" s="105"/>
      <c r="AQ152" s="105"/>
      <c r="AR152" s="105"/>
      <c r="AS152" s="105"/>
    </row>
    <row r="153" spans="1:45" ht="12" customHeight="1" x14ac:dyDescent="0.25">
      <c r="A153" s="90">
        <v>152</v>
      </c>
      <c r="B153" s="91"/>
      <c r="C153" s="91" t="s">
        <v>3151</v>
      </c>
      <c r="D153" s="92" t="s">
        <v>3153</v>
      </c>
      <c r="E153" s="91" t="s">
        <v>115</v>
      </c>
      <c r="F153" s="91" t="s">
        <v>0</v>
      </c>
      <c r="G153" s="56" t="s">
        <v>1186</v>
      </c>
      <c r="H153" s="91">
        <v>90</v>
      </c>
      <c r="I153" s="91" t="s">
        <v>89</v>
      </c>
      <c r="J153" s="91" t="s">
        <v>8</v>
      </c>
      <c r="K153" s="92" t="s">
        <v>32</v>
      </c>
      <c r="L153" s="93" t="str">
        <f>VLOOKUP(G153,'SKU 对应关系'!A:E,4,0)</f>
        <v>ANXKIT-B_4X10ML</v>
      </c>
      <c r="M153" s="94" t="str">
        <f>_xlfn.IFNA(VLOOKUP(G153,'SKU 对应关系'!A:B,2,0),"")</f>
        <v>ANXKIT-B_4X10ML ANX黑色机器+4x10mL香氛油（天竺） 机油套装</v>
      </c>
      <c r="N153" s="95" t="str">
        <f>_xlfn.IFNA(VLOOKUP(G153,'SKU 对应关系'!$A:$D,3,0),"")</f>
        <v>ANX</v>
      </c>
      <c r="O153" s="96">
        <v>3</v>
      </c>
      <c r="P153" s="455">
        <v>50.099999999999994</v>
      </c>
      <c r="Q153" s="96" t="s">
        <v>16</v>
      </c>
      <c r="R153" s="91">
        <v>3.6</v>
      </c>
      <c r="S153" s="95"/>
      <c r="T153" s="98">
        <v>6.5217391304347823</v>
      </c>
      <c r="U153" s="99">
        <f t="shared" si="13"/>
        <v>186.88173913043477</v>
      </c>
      <c r="V153" s="100">
        <f t="shared" si="14"/>
        <v>2.0764637681159419</v>
      </c>
      <c r="W153" s="101">
        <f t="shared" si="17"/>
        <v>0.30991996539043909</v>
      </c>
      <c r="X153" s="95"/>
      <c r="Y153" s="95"/>
      <c r="Z153" s="102"/>
      <c r="AA153" s="103">
        <v>46055</v>
      </c>
      <c r="AB153" s="103">
        <v>46096</v>
      </c>
      <c r="AC153" s="103"/>
      <c r="AD153" s="104">
        <f>IF(ISNA(VLOOKUP(D153,亚马逊入库配置费!B:F,5,0)),0,VLOOKUP(D153,亚马逊入库配置费!B:F,5,0))</f>
        <v>0.44</v>
      </c>
      <c r="AE153" s="104">
        <f t="shared" si="15"/>
        <v>39.6</v>
      </c>
      <c r="AF153" s="103">
        <v>46107</v>
      </c>
      <c r="AG153" s="90">
        <f t="shared" si="16"/>
        <v>52</v>
      </c>
      <c r="AH153" s="103">
        <v>46142</v>
      </c>
      <c r="AI153" s="96"/>
      <c r="AJ153" s="427">
        <f t="shared" si="18"/>
        <v>35</v>
      </c>
      <c r="AK153" s="96"/>
      <c r="AL153" s="92"/>
      <c r="AM153" s="91"/>
      <c r="AN153" s="91"/>
      <c r="AO153" s="96"/>
      <c r="AP153" s="105"/>
      <c r="AQ153" s="105"/>
      <c r="AR153" s="105"/>
      <c r="AS153" s="105"/>
    </row>
    <row r="154" spans="1:45" ht="12" customHeight="1" x14ac:dyDescent="0.25">
      <c r="A154" s="90">
        <v>153</v>
      </c>
      <c r="B154" s="91"/>
      <c r="C154" s="91" t="s">
        <v>3151</v>
      </c>
      <c r="D154" s="92" t="s">
        <v>3153</v>
      </c>
      <c r="E154" s="91" t="s">
        <v>115</v>
      </c>
      <c r="F154" s="91" t="s">
        <v>0</v>
      </c>
      <c r="G154" s="56" t="s">
        <v>2885</v>
      </c>
      <c r="H154" s="91">
        <v>210</v>
      </c>
      <c r="I154" s="91" t="s">
        <v>89</v>
      </c>
      <c r="J154" s="91" t="s">
        <v>8</v>
      </c>
      <c r="K154" s="92" t="s">
        <v>32</v>
      </c>
      <c r="L154" s="93" t="str">
        <f>VLOOKUP(G154,'SKU 对应关系'!A:E,4,0)</f>
        <v>ANZKIT-B_4X10K04_TZ</v>
      </c>
      <c r="M154" s="94" t="str">
        <f>_xlfn.IFNA(VLOOKUP(G154,'SKU 对应关系'!A:B,2,0),"")</f>
        <v>ANZKIT-B_4X10K04_TZ ANZ黑色机器+4x10mL酒店（天竺）香氛油 机油套装</v>
      </c>
      <c r="N154" s="95" t="str">
        <f>_xlfn.IFNA(VLOOKUP(G154,'SKU 对应关系'!$A:$D,3,0),"")</f>
        <v>ANZ</v>
      </c>
      <c r="O154" s="96">
        <v>7</v>
      </c>
      <c r="P154" s="455">
        <v>116.89999999999999</v>
      </c>
      <c r="Q154" s="96" t="s">
        <v>16</v>
      </c>
      <c r="R154" s="91">
        <v>3.6</v>
      </c>
      <c r="S154" s="95"/>
      <c r="T154" s="98">
        <v>15.217391304347826</v>
      </c>
      <c r="U154" s="99">
        <f t="shared" si="13"/>
        <v>436.05739130434779</v>
      </c>
      <c r="V154" s="100">
        <f t="shared" si="14"/>
        <v>2.0764637681159419</v>
      </c>
      <c r="W154" s="101">
        <f t="shared" si="17"/>
        <v>0.30991996539043909</v>
      </c>
      <c r="X154" s="95"/>
      <c r="Y154" s="95"/>
      <c r="Z154" s="102"/>
      <c r="AA154" s="103">
        <v>46055</v>
      </c>
      <c r="AB154" s="103">
        <v>46096</v>
      </c>
      <c r="AC154" s="103"/>
      <c r="AD154" s="104">
        <f>IF(ISNA(VLOOKUP(D154,亚马逊入库配置费!B:F,5,0)),0,VLOOKUP(D154,亚马逊入库配置费!B:F,5,0))</f>
        <v>0.44</v>
      </c>
      <c r="AE154" s="104">
        <f t="shared" si="15"/>
        <v>92.4</v>
      </c>
      <c r="AF154" s="103">
        <v>46107</v>
      </c>
      <c r="AG154" s="90">
        <f t="shared" si="16"/>
        <v>52</v>
      </c>
      <c r="AH154" s="103">
        <v>46142</v>
      </c>
      <c r="AI154" s="96"/>
      <c r="AJ154" s="427">
        <f t="shared" si="18"/>
        <v>35</v>
      </c>
      <c r="AK154" s="96"/>
      <c r="AL154" s="92"/>
      <c r="AM154" s="91"/>
      <c r="AN154" s="91"/>
      <c r="AO154" s="96"/>
      <c r="AP154" s="105"/>
      <c r="AQ154" s="105"/>
      <c r="AR154" s="105"/>
      <c r="AS154" s="105"/>
    </row>
    <row r="155" spans="1:45" ht="12" customHeight="1" x14ac:dyDescent="0.25">
      <c r="A155" s="90">
        <v>154</v>
      </c>
      <c r="B155" s="91"/>
      <c r="C155" s="91" t="s">
        <v>3154</v>
      </c>
      <c r="D155" s="92" t="s">
        <v>3155</v>
      </c>
      <c r="E155" s="91" t="s">
        <v>1164</v>
      </c>
      <c r="F155" s="91" t="s">
        <v>1165</v>
      </c>
      <c r="G155" s="56" t="s">
        <v>163</v>
      </c>
      <c r="H155" s="91">
        <v>120</v>
      </c>
      <c r="I155" s="91" t="s">
        <v>89</v>
      </c>
      <c r="J155" s="91" t="s">
        <v>2064</v>
      </c>
      <c r="K155" s="92" t="s">
        <v>3156</v>
      </c>
      <c r="L155" s="93" t="str">
        <f>VLOOKUP(G155,'SKU 对应关系'!A:E,4,0)</f>
        <v>AN6-B</v>
      </c>
      <c r="M155" s="94" t="str">
        <f>_xlfn.IFNA(VLOOKUP(G155,'SKU 对应关系'!A:B,2,0),"")</f>
        <v>AN6-B 便携式扩香仪 黑色</v>
      </c>
      <c r="N155" s="95" t="str">
        <f>_xlfn.IFNA(VLOOKUP(G155,'SKU 对应关系'!$A:$D,3,0),"")</f>
        <v>AN6</v>
      </c>
      <c r="O155" s="96">
        <v>3</v>
      </c>
      <c r="P155" s="455">
        <v>41.307692307692307</v>
      </c>
      <c r="Q155" s="96" t="s">
        <v>16</v>
      </c>
      <c r="R155" s="91">
        <v>7.3</v>
      </c>
      <c r="S155" s="95">
        <v>250</v>
      </c>
      <c r="T155" s="98">
        <v>57.692307692307693</v>
      </c>
      <c r="U155" s="99">
        <f t="shared" ref="U155:U179" si="19">R155*P155+T155</f>
        <v>359.23846153846154</v>
      </c>
      <c r="V155" s="100">
        <f t="shared" si="14"/>
        <v>2.9936538461538462</v>
      </c>
      <c r="W155" s="101">
        <f t="shared" si="17"/>
        <v>0.44681400688863376</v>
      </c>
      <c r="X155" s="95"/>
      <c r="Y155" s="95"/>
      <c r="Z155" s="102"/>
      <c r="AA155" s="103">
        <v>46055</v>
      </c>
      <c r="AB155" s="103">
        <v>46103</v>
      </c>
      <c r="AC155" s="103"/>
      <c r="AD155" s="104">
        <f>IF(ISNA(VLOOKUP(D155,亚马逊入库配置费!B:F,5,0)),0,VLOOKUP(D155,亚马逊入库配置费!B:F,5,0))</f>
        <v>0</v>
      </c>
      <c r="AE155" s="104">
        <f t="shared" si="15"/>
        <v>0</v>
      </c>
      <c r="AF155" s="103">
        <v>46119</v>
      </c>
      <c r="AG155" s="90">
        <f t="shared" si="16"/>
        <v>64</v>
      </c>
      <c r="AH155" s="103">
        <v>46147</v>
      </c>
      <c r="AI155" s="96"/>
      <c r="AJ155" s="427">
        <f t="shared" si="18"/>
        <v>28</v>
      </c>
      <c r="AK155" s="96"/>
      <c r="AL155" s="92"/>
      <c r="AM155" s="91"/>
      <c r="AN155" s="91"/>
      <c r="AO155" s="96"/>
      <c r="AP155" s="105"/>
      <c r="AQ155" s="105"/>
      <c r="AR155" s="105"/>
      <c r="AS155" s="105"/>
    </row>
    <row r="156" spans="1:45" ht="12" customHeight="1" x14ac:dyDescent="0.25">
      <c r="A156" s="90">
        <v>155</v>
      </c>
      <c r="B156" s="91"/>
      <c r="C156" s="91" t="s">
        <v>3154</v>
      </c>
      <c r="D156" s="92" t="s">
        <v>3155</v>
      </c>
      <c r="E156" s="91" t="s">
        <v>1164</v>
      </c>
      <c r="F156" s="91" t="s">
        <v>1165</v>
      </c>
      <c r="G156" s="56" t="s">
        <v>350</v>
      </c>
      <c r="H156" s="91">
        <v>200</v>
      </c>
      <c r="I156" s="91" t="s">
        <v>89</v>
      </c>
      <c r="J156" s="91" t="s">
        <v>2064</v>
      </c>
      <c r="K156" s="92" t="s">
        <v>3156</v>
      </c>
      <c r="L156" s="93" t="str">
        <f>VLOOKUP(G156,'SKU 对应关系'!A:E,4,0)</f>
        <v>AN6-GL</v>
      </c>
      <c r="M156" s="94" t="str">
        <f>_xlfn.IFNA(VLOOKUP(G156,'SKU 对应关系'!A:B,2,0),"")</f>
        <v>AN6-GL 便携式扩香仪 翠百合色</v>
      </c>
      <c r="N156" s="95" t="str">
        <f>_xlfn.IFNA(VLOOKUP(G156,'SKU 对应关系'!$A:$D,3,0),"")</f>
        <v>AN6</v>
      </c>
      <c r="O156" s="96">
        <v>5</v>
      </c>
      <c r="P156" s="455">
        <v>68.846153846153854</v>
      </c>
      <c r="Q156" s="96" t="s">
        <v>16</v>
      </c>
      <c r="R156" s="91">
        <v>7.3</v>
      </c>
      <c r="S156" s="106">
        <f>SUMIF(C:C,C155,T:T)</f>
        <v>250.00000000000003</v>
      </c>
      <c r="T156" s="98">
        <v>96.15384615384616</v>
      </c>
      <c r="U156" s="99">
        <f t="shared" si="19"/>
        <v>598.73076923076928</v>
      </c>
      <c r="V156" s="100">
        <f t="shared" si="14"/>
        <v>2.9936538461538462</v>
      </c>
      <c r="W156" s="101">
        <f t="shared" si="17"/>
        <v>0.44681400688863376</v>
      </c>
      <c r="X156" s="95"/>
      <c r="Y156" s="95"/>
      <c r="Z156" s="102"/>
      <c r="AA156" s="103">
        <v>46055</v>
      </c>
      <c r="AB156" s="103">
        <v>46103</v>
      </c>
      <c r="AC156" s="103"/>
      <c r="AD156" s="104">
        <f>IF(ISNA(VLOOKUP(D156,亚马逊入库配置费!B:F,5,0)),0,VLOOKUP(D156,亚马逊入库配置费!B:F,5,0))</f>
        <v>0</v>
      </c>
      <c r="AE156" s="104">
        <f t="shared" si="15"/>
        <v>0</v>
      </c>
      <c r="AF156" s="103">
        <v>46119</v>
      </c>
      <c r="AG156" s="90">
        <f t="shared" si="16"/>
        <v>64</v>
      </c>
      <c r="AH156" s="103">
        <v>46147</v>
      </c>
      <c r="AI156" s="96"/>
      <c r="AJ156" s="427">
        <f t="shared" si="18"/>
        <v>28</v>
      </c>
      <c r="AK156" s="96"/>
      <c r="AL156" s="92"/>
      <c r="AM156" s="91"/>
      <c r="AN156" s="91"/>
      <c r="AO156" s="96"/>
      <c r="AP156" s="105"/>
      <c r="AQ156" s="105"/>
      <c r="AR156" s="105"/>
      <c r="AS156" s="105"/>
    </row>
    <row r="157" spans="1:45" ht="12" customHeight="1" x14ac:dyDescent="0.25">
      <c r="A157" s="90">
        <v>156</v>
      </c>
      <c r="B157" s="91"/>
      <c r="C157" s="91" t="s">
        <v>3154</v>
      </c>
      <c r="D157" s="92" t="s">
        <v>3155</v>
      </c>
      <c r="E157" s="91" t="s">
        <v>1164</v>
      </c>
      <c r="F157" s="91" t="s">
        <v>1165</v>
      </c>
      <c r="G157" s="56" t="s">
        <v>165</v>
      </c>
      <c r="H157" s="91">
        <v>200</v>
      </c>
      <c r="I157" s="91" t="s">
        <v>89</v>
      </c>
      <c r="J157" s="91" t="s">
        <v>2064</v>
      </c>
      <c r="K157" s="92" t="s">
        <v>3156</v>
      </c>
      <c r="L157" s="93" t="str">
        <f>VLOOKUP(G157,'SKU 对应关系'!A:E,4,0)</f>
        <v>AN6-W</v>
      </c>
      <c r="M157" s="94" t="str">
        <f>_xlfn.IFNA(VLOOKUP(G157,'SKU 对应关系'!A:B,2,0),"")</f>
        <v>AN6-W 便携式扩香仪 白色</v>
      </c>
      <c r="N157" s="95" t="str">
        <f>_xlfn.IFNA(VLOOKUP(G157,'SKU 对应关系'!$A:$D,3,0),"")</f>
        <v>AN6</v>
      </c>
      <c r="O157" s="96">
        <v>5</v>
      </c>
      <c r="P157" s="455">
        <v>68.846153846153854</v>
      </c>
      <c r="Q157" s="96" t="s">
        <v>16</v>
      </c>
      <c r="R157" s="91">
        <v>7.3</v>
      </c>
      <c r="S157" s="95"/>
      <c r="T157" s="98">
        <v>96.15384615384616</v>
      </c>
      <c r="U157" s="99">
        <f t="shared" si="19"/>
        <v>598.73076923076928</v>
      </c>
      <c r="V157" s="100">
        <f t="shared" si="14"/>
        <v>2.9936538461538462</v>
      </c>
      <c r="W157" s="101">
        <f t="shared" si="17"/>
        <v>0.44681400688863376</v>
      </c>
      <c r="X157" s="95"/>
      <c r="Y157" s="95"/>
      <c r="Z157" s="102"/>
      <c r="AA157" s="103">
        <v>46055</v>
      </c>
      <c r="AB157" s="103">
        <v>46103</v>
      </c>
      <c r="AC157" s="103"/>
      <c r="AD157" s="104">
        <f>IF(ISNA(VLOOKUP(D157,亚马逊入库配置费!B:F,5,0)),0,VLOOKUP(D157,亚马逊入库配置费!B:F,5,0))</f>
        <v>0</v>
      </c>
      <c r="AE157" s="104">
        <f t="shared" si="15"/>
        <v>0</v>
      </c>
      <c r="AF157" s="103">
        <v>46119</v>
      </c>
      <c r="AG157" s="90">
        <f t="shared" si="16"/>
        <v>64</v>
      </c>
      <c r="AH157" s="103">
        <v>46147</v>
      </c>
      <c r="AI157" s="96"/>
      <c r="AJ157" s="427">
        <f t="shared" si="18"/>
        <v>28</v>
      </c>
      <c r="AK157" s="96"/>
      <c r="AL157" s="92"/>
      <c r="AM157" s="91"/>
      <c r="AN157" s="91"/>
      <c r="AO157" s="96"/>
      <c r="AP157" s="105"/>
      <c r="AQ157" s="105"/>
      <c r="AR157" s="105"/>
      <c r="AS157" s="105"/>
    </row>
    <row r="158" spans="1:45" ht="12" customHeight="1" x14ac:dyDescent="0.25">
      <c r="A158" s="90">
        <v>157</v>
      </c>
      <c r="B158" s="91" t="s">
        <v>4417</v>
      </c>
      <c r="C158" s="91" t="s">
        <v>3157</v>
      </c>
      <c r="D158" s="92" t="s">
        <v>3158</v>
      </c>
      <c r="E158" s="91" t="s">
        <v>3159</v>
      </c>
      <c r="F158" s="91" t="s">
        <v>271</v>
      </c>
      <c r="G158" s="56" t="s">
        <v>163</v>
      </c>
      <c r="H158" s="91">
        <v>280</v>
      </c>
      <c r="I158" s="91" t="s">
        <v>263</v>
      </c>
      <c r="J158" s="241" t="s">
        <v>272</v>
      </c>
      <c r="K158" s="92" t="s">
        <v>273</v>
      </c>
      <c r="L158" s="93" t="str">
        <f>VLOOKUP(G158,'SKU 对应关系'!A:E,4,0)</f>
        <v>AN6-B</v>
      </c>
      <c r="M158" s="94" t="str">
        <f>_xlfn.IFNA(VLOOKUP(G158,'SKU 对应关系'!A:B,2,0),"")</f>
        <v>AN6-B 便携式扩香仪 黑色</v>
      </c>
      <c r="N158" s="95" t="str">
        <f>_xlfn.IFNA(VLOOKUP(G158,'SKU 对应关系'!$A:$D,3,0),"")</f>
        <v>AN6</v>
      </c>
      <c r="O158" s="96">
        <v>7</v>
      </c>
      <c r="P158" s="455">
        <v>0.38181818181818178</v>
      </c>
      <c r="Q158" s="96" t="s">
        <v>3264</v>
      </c>
      <c r="R158" s="91">
        <v>740</v>
      </c>
      <c r="S158" s="95">
        <v>1036.08</v>
      </c>
      <c r="T158" s="98">
        <v>659.3236363636363</v>
      </c>
      <c r="U158" s="99">
        <f t="shared" si="19"/>
        <v>941.8690909090908</v>
      </c>
      <c r="V158" s="100">
        <f t="shared" si="14"/>
        <v>3.3638181818181816</v>
      </c>
      <c r="W158" s="101">
        <f t="shared" si="17"/>
        <v>0.50206241519674355</v>
      </c>
      <c r="X158" s="95"/>
      <c r="Y158" s="95"/>
      <c r="Z158" s="102"/>
      <c r="AA158" s="103">
        <v>46055</v>
      </c>
      <c r="AB158" s="103">
        <v>46079</v>
      </c>
      <c r="AC158" s="103"/>
      <c r="AD158" s="104">
        <f>IF(ISNA(VLOOKUP(D158,亚马逊入库配置费!B:F,5,0)),0,VLOOKUP(D158,亚马逊入库配置费!B:F,5,0))</f>
        <v>0</v>
      </c>
      <c r="AE158" s="104">
        <f t="shared" si="15"/>
        <v>0</v>
      </c>
      <c r="AF158" s="103">
        <v>46133</v>
      </c>
      <c r="AG158" s="90">
        <f t="shared" si="16"/>
        <v>78</v>
      </c>
      <c r="AH158" s="103">
        <v>46148</v>
      </c>
      <c r="AI158" s="96"/>
      <c r="AJ158" s="427">
        <f t="shared" si="18"/>
        <v>15</v>
      </c>
      <c r="AK158" s="96"/>
      <c r="AL158" s="92"/>
      <c r="AM158" s="91"/>
      <c r="AN158" s="91"/>
      <c r="AO158" s="96"/>
      <c r="AP158" s="105"/>
      <c r="AQ158" s="105"/>
      <c r="AR158" s="105"/>
      <c r="AS158" s="105"/>
    </row>
    <row r="159" spans="1:45" ht="12" customHeight="1" x14ac:dyDescent="0.25">
      <c r="A159" s="90">
        <v>158</v>
      </c>
      <c r="B159" s="91" t="s">
        <v>4417</v>
      </c>
      <c r="C159" s="91" t="s">
        <v>3157</v>
      </c>
      <c r="D159" s="92" t="s">
        <v>3158</v>
      </c>
      <c r="E159" s="91" t="s">
        <v>3159</v>
      </c>
      <c r="F159" s="91" t="s">
        <v>271</v>
      </c>
      <c r="G159" s="56" t="s">
        <v>165</v>
      </c>
      <c r="H159" s="91">
        <v>40</v>
      </c>
      <c r="I159" s="91" t="s">
        <v>263</v>
      </c>
      <c r="J159" s="241" t="s">
        <v>272</v>
      </c>
      <c r="K159" s="92" t="s">
        <v>273</v>
      </c>
      <c r="L159" s="93" t="str">
        <f>VLOOKUP(G159,'SKU 对应关系'!A:E,4,0)</f>
        <v>AN6-W</v>
      </c>
      <c r="M159" s="94" t="str">
        <f>_xlfn.IFNA(VLOOKUP(G159,'SKU 对应关系'!A:B,2,0),"")</f>
        <v>AN6-W 便携式扩香仪 白色</v>
      </c>
      <c r="N159" s="95" t="str">
        <f>_xlfn.IFNA(VLOOKUP(G159,'SKU 对应关系'!$A:$D,3,0),"")</f>
        <v>AN6</v>
      </c>
      <c r="O159" s="96">
        <v>1</v>
      </c>
      <c r="P159" s="455">
        <v>0.05</v>
      </c>
      <c r="Q159" s="96" t="s">
        <v>3264</v>
      </c>
      <c r="R159" s="91">
        <v>740</v>
      </c>
      <c r="S159" s="106">
        <f>SUMIF(C:C,C158,T:T)</f>
        <v>1036.08</v>
      </c>
      <c r="T159" s="98">
        <v>94.189090909090908</v>
      </c>
      <c r="U159" s="99">
        <f t="shared" si="19"/>
        <v>131.18909090909091</v>
      </c>
      <c r="V159" s="100">
        <f t="shared" si="14"/>
        <v>3.2797272727272726</v>
      </c>
      <c r="W159" s="101">
        <f t="shared" si="17"/>
        <v>0.4895115332428765</v>
      </c>
      <c r="X159" s="95"/>
      <c r="Y159" s="95"/>
      <c r="Z159" s="102"/>
      <c r="AA159" s="103">
        <v>46055</v>
      </c>
      <c r="AB159" s="103">
        <v>46079</v>
      </c>
      <c r="AC159" s="103"/>
      <c r="AD159" s="104">
        <f>IF(ISNA(VLOOKUP(D159,亚马逊入库配置费!B:F,5,0)),0,VLOOKUP(D159,亚马逊入库配置费!B:F,5,0))</f>
        <v>0</v>
      </c>
      <c r="AE159" s="104">
        <f t="shared" si="15"/>
        <v>0</v>
      </c>
      <c r="AF159" s="103">
        <v>46133</v>
      </c>
      <c r="AG159" s="90">
        <f t="shared" si="16"/>
        <v>78</v>
      </c>
      <c r="AH159" s="103">
        <v>46148</v>
      </c>
      <c r="AI159" s="96"/>
      <c r="AJ159" s="427">
        <f t="shared" si="18"/>
        <v>15</v>
      </c>
      <c r="AK159" s="96"/>
      <c r="AL159" s="92"/>
      <c r="AM159" s="91"/>
      <c r="AN159" s="91"/>
      <c r="AO159" s="96"/>
      <c r="AP159" s="105"/>
      <c r="AQ159" s="105"/>
      <c r="AR159" s="105"/>
      <c r="AS159" s="105"/>
    </row>
    <row r="160" spans="1:45" ht="12" customHeight="1" x14ac:dyDescent="0.25">
      <c r="A160" s="90">
        <v>159</v>
      </c>
      <c r="B160" s="91" t="s">
        <v>4417</v>
      </c>
      <c r="C160" s="91" t="s">
        <v>3157</v>
      </c>
      <c r="D160" s="92" t="s">
        <v>3158</v>
      </c>
      <c r="E160" s="91" t="s">
        <v>3159</v>
      </c>
      <c r="F160" s="91" t="s">
        <v>271</v>
      </c>
      <c r="G160" s="56" t="s">
        <v>211</v>
      </c>
      <c r="H160" s="91">
        <v>90</v>
      </c>
      <c r="I160" s="91" t="s">
        <v>263</v>
      </c>
      <c r="J160" s="241" t="s">
        <v>272</v>
      </c>
      <c r="K160" s="92" t="s">
        <v>273</v>
      </c>
      <c r="L160" s="93" t="str">
        <f>VLOOKUP(G160,'SKU 对应关系'!A:E,4,0)</f>
        <v>ANX-B</v>
      </c>
      <c r="M160" s="94" t="str">
        <f>_xlfn.IFNA(VLOOKUP(G160,'SKU 对应关系'!A:B,2,0),"")</f>
        <v>ANX-B 便携式扩香仪 黑色</v>
      </c>
      <c r="N160" s="95" t="str">
        <f>_xlfn.IFNA(VLOOKUP(G160,'SKU 对应关系'!$A:$D,3,0),"")</f>
        <v>ANX</v>
      </c>
      <c r="O160" s="96">
        <v>3</v>
      </c>
      <c r="P160" s="455">
        <v>0.16363636363636364</v>
      </c>
      <c r="Q160" s="96" t="s">
        <v>3264</v>
      </c>
      <c r="R160" s="91">
        <v>740</v>
      </c>
      <c r="S160" s="95"/>
      <c r="T160" s="98">
        <v>282.56727272727272</v>
      </c>
      <c r="U160" s="99">
        <f t="shared" si="19"/>
        <v>403.65818181818179</v>
      </c>
      <c r="V160" s="100">
        <f t="shared" si="14"/>
        <v>4.4850909090909088</v>
      </c>
      <c r="W160" s="101">
        <f t="shared" si="17"/>
        <v>0.66941655359565799</v>
      </c>
      <c r="X160" s="95"/>
      <c r="Y160" s="95"/>
      <c r="Z160" s="102"/>
      <c r="AA160" s="103">
        <v>46055</v>
      </c>
      <c r="AB160" s="103">
        <v>46079</v>
      </c>
      <c r="AC160" s="103"/>
      <c r="AD160" s="104">
        <f>IF(ISNA(VLOOKUP(D160,亚马逊入库配置费!B:F,5,0)),0,VLOOKUP(D160,亚马逊入库配置费!B:F,5,0))</f>
        <v>0</v>
      </c>
      <c r="AE160" s="104">
        <f t="shared" si="15"/>
        <v>0</v>
      </c>
      <c r="AF160" s="103">
        <v>46133</v>
      </c>
      <c r="AG160" s="90">
        <f t="shared" si="16"/>
        <v>78</v>
      </c>
      <c r="AH160" s="103">
        <v>46148</v>
      </c>
      <c r="AI160" s="96"/>
      <c r="AJ160" s="427">
        <f t="shared" si="18"/>
        <v>15</v>
      </c>
      <c r="AK160" s="96"/>
      <c r="AL160" s="92"/>
      <c r="AM160" s="91"/>
      <c r="AN160" s="91"/>
      <c r="AO160" s="96"/>
      <c r="AP160" s="105"/>
      <c r="AQ160" s="105"/>
      <c r="AR160" s="105"/>
      <c r="AS160" s="105"/>
    </row>
    <row r="161" spans="1:45" ht="12" customHeight="1" x14ac:dyDescent="0.25">
      <c r="A161" s="90">
        <v>160</v>
      </c>
      <c r="B161" s="91"/>
      <c r="C161" s="91" t="s">
        <v>3151</v>
      </c>
      <c r="D161" s="92" t="s">
        <v>3160</v>
      </c>
      <c r="E161" s="91" t="s">
        <v>97</v>
      </c>
      <c r="F161" s="91" t="s">
        <v>0</v>
      </c>
      <c r="G161" s="56" t="s">
        <v>1941</v>
      </c>
      <c r="H161" s="91">
        <v>60</v>
      </c>
      <c r="I161" s="91" t="s">
        <v>89</v>
      </c>
      <c r="J161" s="91" t="s">
        <v>8</v>
      </c>
      <c r="K161" s="92" t="s">
        <v>50</v>
      </c>
      <c r="L161" s="93" t="str">
        <f>VLOOKUP(G161,'SKU 对应关系'!A:E,4,0)</f>
        <v>AN8KIT-B_B_2X30K02</v>
      </c>
      <c r="M161" s="94" t="str">
        <f>_xlfn.IFNA(VLOOKUP(G161,'SKU 对应关系'!A:B,2,0),"")</f>
        <v>AN8KIT-B_B_2X30K02 AN8黑色机器两个装+2X30mL香氛油（天竺） 机油套装</v>
      </c>
      <c r="N161" s="95" t="str">
        <f>_xlfn.IFNA(VLOOKUP(G161,'SKU 对应关系'!$A:$D,3,0),"")</f>
        <v>AN8</v>
      </c>
      <c r="O161" s="96">
        <v>3</v>
      </c>
      <c r="P161" s="455">
        <v>40.280769230769238</v>
      </c>
      <c r="Q161" s="96" t="s">
        <v>16</v>
      </c>
      <c r="R161" s="91">
        <v>3.5</v>
      </c>
      <c r="S161" s="95"/>
      <c r="T161" s="98">
        <v>6.5217391304347823</v>
      </c>
      <c r="U161" s="99">
        <f t="shared" si="19"/>
        <v>147.50443143812711</v>
      </c>
      <c r="V161" s="100">
        <f t="shared" si="14"/>
        <v>2.4584071906354521</v>
      </c>
      <c r="W161" s="101">
        <f t="shared" si="17"/>
        <v>0.3669264463635003</v>
      </c>
      <c r="X161" s="95"/>
      <c r="Y161" s="95"/>
      <c r="Z161" s="102"/>
      <c r="AA161" s="103">
        <v>46055</v>
      </c>
      <c r="AB161" s="103">
        <v>46096</v>
      </c>
      <c r="AC161" s="103"/>
      <c r="AD161" s="104">
        <f>IF(ISNA(VLOOKUP(D161,亚马逊入库配置费!B:F,5,0)),0,VLOOKUP(D161,亚马逊入库配置费!B:F,5,0))</f>
        <v>0.45999999999999996</v>
      </c>
      <c r="AE161" s="104">
        <f t="shared" si="15"/>
        <v>27.599999999999998</v>
      </c>
      <c r="AF161" s="103">
        <v>46116</v>
      </c>
      <c r="AG161" s="90">
        <f t="shared" si="16"/>
        <v>61</v>
      </c>
      <c r="AH161" s="103">
        <v>46152</v>
      </c>
      <c r="AI161" s="96"/>
      <c r="AJ161" s="427">
        <f t="shared" si="18"/>
        <v>36</v>
      </c>
      <c r="AK161" s="96"/>
      <c r="AL161" s="92"/>
      <c r="AM161" s="91"/>
      <c r="AN161" s="91"/>
      <c r="AO161" s="96"/>
      <c r="AP161" s="105"/>
      <c r="AQ161" s="105"/>
      <c r="AR161" s="105"/>
      <c r="AS161" s="105"/>
    </row>
    <row r="162" spans="1:45" ht="12" customHeight="1" x14ac:dyDescent="0.25">
      <c r="A162" s="90">
        <v>161</v>
      </c>
      <c r="B162" s="91"/>
      <c r="C162" s="91" t="s">
        <v>3151</v>
      </c>
      <c r="D162" s="92" t="s">
        <v>3160</v>
      </c>
      <c r="E162" s="91" t="s">
        <v>97</v>
      </c>
      <c r="F162" s="91" t="s">
        <v>0</v>
      </c>
      <c r="G162" s="56" t="s">
        <v>1215</v>
      </c>
      <c r="H162" s="91">
        <v>300</v>
      </c>
      <c r="I162" s="91" t="s">
        <v>89</v>
      </c>
      <c r="J162" s="91" t="s">
        <v>8</v>
      </c>
      <c r="K162" s="92" t="s">
        <v>50</v>
      </c>
      <c r="L162" s="93" t="str">
        <f>VLOOKUP(G162,'SKU 对应关系'!A:E,4,0)</f>
        <v>AN8KIT-B_4X10K01</v>
      </c>
      <c r="M162" s="94" t="str">
        <f>_xlfn.IFNA(VLOOKUP(G162,'SKU 对应关系'!A:B,2,0),"")</f>
        <v>AN8KIT-B_4X10K01 AN8黑色机器+4x10mL酒店香氛油 机油套装</v>
      </c>
      <c r="N162" s="95" t="str">
        <f>_xlfn.IFNA(VLOOKUP(G162,'SKU 对应关系'!$A:$D,3,0),"")</f>
        <v>AN8</v>
      </c>
      <c r="O162" s="96">
        <v>10</v>
      </c>
      <c r="P162" s="455">
        <v>134.26923076923077</v>
      </c>
      <c r="Q162" s="96" t="s">
        <v>16</v>
      </c>
      <c r="R162" s="91">
        <v>3.5</v>
      </c>
      <c r="S162" s="95"/>
      <c r="T162" s="98">
        <v>21.739130434782609</v>
      </c>
      <c r="U162" s="99">
        <f t="shared" si="19"/>
        <v>491.68143812709036</v>
      </c>
      <c r="V162" s="100">
        <f t="shared" si="14"/>
        <v>1.6389381270903012</v>
      </c>
      <c r="W162" s="101">
        <f t="shared" si="17"/>
        <v>0.24461763090900016</v>
      </c>
      <c r="X162" s="95"/>
      <c r="Y162" s="95"/>
      <c r="Z162" s="102"/>
      <c r="AA162" s="103">
        <v>46055</v>
      </c>
      <c r="AB162" s="103">
        <v>46096</v>
      </c>
      <c r="AC162" s="103"/>
      <c r="AD162" s="104">
        <f>IF(ISNA(VLOOKUP(D162,亚马逊入库配置费!B:F,5,0)),0,VLOOKUP(D162,亚马逊入库配置费!B:F,5,0))</f>
        <v>0.45999999999999996</v>
      </c>
      <c r="AE162" s="104">
        <f t="shared" si="15"/>
        <v>138</v>
      </c>
      <c r="AF162" s="103">
        <v>46116</v>
      </c>
      <c r="AG162" s="90">
        <f t="shared" si="16"/>
        <v>61</v>
      </c>
      <c r="AH162" s="103">
        <v>46152</v>
      </c>
      <c r="AI162" s="96"/>
      <c r="AJ162" s="427">
        <f t="shared" si="18"/>
        <v>36</v>
      </c>
      <c r="AK162" s="96"/>
      <c r="AL162" s="92"/>
      <c r="AM162" s="91"/>
      <c r="AN162" s="91"/>
      <c r="AO162" s="96"/>
      <c r="AP162" s="105"/>
      <c r="AQ162" s="105"/>
      <c r="AR162" s="105"/>
      <c r="AS162" s="105"/>
    </row>
    <row r="163" spans="1:45" ht="12" customHeight="1" x14ac:dyDescent="0.25">
      <c r="A163" s="90">
        <v>162</v>
      </c>
      <c r="B163" s="91"/>
      <c r="C163" s="91" t="s">
        <v>3151</v>
      </c>
      <c r="D163" s="92" t="s">
        <v>3161</v>
      </c>
      <c r="E163" s="91" t="s">
        <v>97</v>
      </c>
      <c r="F163" s="91" t="s">
        <v>0</v>
      </c>
      <c r="G163" s="56" t="s">
        <v>1217</v>
      </c>
      <c r="H163" s="91">
        <v>120</v>
      </c>
      <c r="I163" s="91" t="s">
        <v>89</v>
      </c>
      <c r="J163" s="91" t="s">
        <v>8</v>
      </c>
      <c r="K163" s="92" t="s">
        <v>50</v>
      </c>
      <c r="L163" s="93" t="str">
        <f>VLOOKUP(G163,'SKU 对应关系'!A:E,4,0)</f>
        <v>AN8KIT-B_B</v>
      </c>
      <c r="M163" s="94" t="str">
        <f>_xlfn.IFNA(VLOOKUP(G163,'SKU 对应关系'!A:B,2,0),"")</f>
        <v>AN8KIT-B_B 便携式扩香仪套装 黑+黑</v>
      </c>
      <c r="N163" s="95" t="str">
        <f>_xlfn.IFNA(VLOOKUP(G163,'SKU 对应关系'!$A:$D,3,0),"")</f>
        <v>AN8</v>
      </c>
      <c r="O163" s="96">
        <v>6</v>
      </c>
      <c r="P163" s="455">
        <v>80.56</v>
      </c>
      <c r="Q163" s="96" t="s">
        <v>16</v>
      </c>
      <c r="R163" s="91">
        <v>3.5</v>
      </c>
      <c r="S163" s="95"/>
      <c r="T163" s="98">
        <v>13.043478260869565</v>
      </c>
      <c r="U163" s="99">
        <f t="shared" si="19"/>
        <v>295.0034782608696</v>
      </c>
      <c r="V163" s="100">
        <f t="shared" si="14"/>
        <v>2.4583623188405799</v>
      </c>
      <c r="W163" s="101">
        <f t="shared" si="17"/>
        <v>0.36691974908068353</v>
      </c>
      <c r="X163" s="95"/>
      <c r="Y163" s="95"/>
      <c r="Z163" s="102"/>
      <c r="AA163" s="103">
        <v>46055</v>
      </c>
      <c r="AB163" s="103">
        <v>46096</v>
      </c>
      <c r="AC163" s="103"/>
      <c r="AD163" s="104">
        <f>IF(ISNA(VLOOKUP(D163,亚马逊入库配置费!B:F,5,0)),0,VLOOKUP(D163,亚马逊入库配置费!B:F,5,0))</f>
        <v>0.38666666666666666</v>
      </c>
      <c r="AE163" s="104">
        <f t="shared" si="15"/>
        <v>46.4</v>
      </c>
      <c r="AF163" s="103">
        <v>46116</v>
      </c>
      <c r="AG163" s="90">
        <f t="shared" si="16"/>
        <v>61</v>
      </c>
      <c r="AH163" s="103">
        <v>46150</v>
      </c>
      <c r="AI163" s="96"/>
      <c r="AJ163" s="427">
        <f t="shared" si="18"/>
        <v>34</v>
      </c>
      <c r="AK163" s="96"/>
      <c r="AL163" s="92"/>
      <c r="AM163" s="91"/>
      <c r="AN163" s="91"/>
      <c r="AO163" s="96"/>
      <c r="AP163" s="105"/>
      <c r="AQ163" s="105"/>
      <c r="AR163" s="105"/>
      <c r="AS163" s="105"/>
    </row>
    <row r="164" spans="1:45" ht="12" customHeight="1" x14ac:dyDescent="0.25">
      <c r="A164" s="90">
        <v>163</v>
      </c>
      <c r="B164" s="91"/>
      <c r="C164" s="91" t="s">
        <v>3151</v>
      </c>
      <c r="D164" s="92" t="s">
        <v>3161</v>
      </c>
      <c r="E164" s="91" t="s">
        <v>97</v>
      </c>
      <c r="F164" s="91" t="s">
        <v>0</v>
      </c>
      <c r="G164" s="56" t="s">
        <v>2136</v>
      </c>
      <c r="H164" s="91">
        <v>240</v>
      </c>
      <c r="I164" s="91" t="s">
        <v>89</v>
      </c>
      <c r="J164" s="91" t="s">
        <v>8</v>
      </c>
      <c r="K164" s="92" t="s">
        <v>50</v>
      </c>
      <c r="L164" s="93" t="str">
        <f>VLOOKUP(G164,'SKU 对应关系'!A:E,4,0)</f>
        <v>AN8-WH</v>
      </c>
      <c r="M164" s="94" t="str">
        <f>_xlfn.IFNA(VLOOKUP(G164,'SKU 对应关系'!A:B,2,0),"")</f>
        <v>AN8-WH 便携式扩香仪 白色</v>
      </c>
      <c r="N164" s="95" t="str">
        <f>_xlfn.IFNA(VLOOKUP(G164,'SKU 对应关系'!$A:$D,3,0),"")</f>
        <v>AN8</v>
      </c>
      <c r="O164" s="96">
        <v>6</v>
      </c>
      <c r="P164" s="455">
        <v>80.56</v>
      </c>
      <c r="Q164" s="96" t="s">
        <v>16</v>
      </c>
      <c r="R164" s="91">
        <v>3.5</v>
      </c>
      <c r="S164" s="95"/>
      <c r="T164" s="98">
        <v>13.043478260869565</v>
      </c>
      <c r="U164" s="99">
        <f t="shared" si="19"/>
        <v>295.0034782608696</v>
      </c>
      <c r="V164" s="100">
        <f t="shared" si="14"/>
        <v>1.2291811594202899</v>
      </c>
      <c r="W164" s="101">
        <f t="shared" si="17"/>
        <v>0.18345987454034177</v>
      </c>
      <c r="X164" s="95"/>
      <c r="Y164" s="95"/>
      <c r="Z164" s="102"/>
      <c r="AA164" s="103">
        <v>46055</v>
      </c>
      <c r="AB164" s="103">
        <v>46096</v>
      </c>
      <c r="AC164" s="103"/>
      <c r="AD164" s="104">
        <f>IF(ISNA(VLOOKUP(D164,亚马逊入库配置费!B:F,5,0)),0,VLOOKUP(D164,亚马逊入库配置费!B:F,5,0))</f>
        <v>0.38666666666666666</v>
      </c>
      <c r="AE164" s="104">
        <f t="shared" si="15"/>
        <v>92.8</v>
      </c>
      <c r="AF164" s="103">
        <v>46116</v>
      </c>
      <c r="AG164" s="90">
        <f t="shared" si="16"/>
        <v>61</v>
      </c>
      <c r="AH164" s="103">
        <v>46150</v>
      </c>
      <c r="AI164" s="96"/>
      <c r="AJ164" s="427">
        <f t="shared" si="18"/>
        <v>34</v>
      </c>
      <c r="AK164" s="96"/>
      <c r="AL164" s="92"/>
      <c r="AM164" s="91"/>
      <c r="AN164" s="91"/>
      <c r="AO164" s="96"/>
      <c r="AP164" s="105"/>
      <c r="AQ164" s="105"/>
      <c r="AR164" s="105"/>
      <c r="AS164" s="105"/>
    </row>
    <row r="165" spans="1:45" ht="12" customHeight="1" x14ac:dyDescent="0.25">
      <c r="A165" s="90">
        <v>164</v>
      </c>
      <c r="B165" s="91"/>
      <c r="C165" s="91" t="s">
        <v>3162</v>
      </c>
      <c r="D165" s="92" t="s">
        <v>3163</v>
      </c>
      <c r="E165" s="91" t="s">
        <v>1037</v>
      </c>
      <c r="F165" s="91" t="s">
        <v>0</v>
      </c>
      <c r="G165" s="56" t="s">
        <v>282</v>
      </c>
      <c r="H165" s="91">
        <v>240</v>
      </c>
      <c r="I165" s="91" t="s">
        <v>207</v>
      </c>
      <c r="J165" s="91" t="s">
        <v>8</v>
      </c>
      <c r="K165" s="92" t="s">
        <v>43</v>
      </c>
      <c r="L165" s="93" t="str">
        <f>VLOOKUP(G165,'SKU 对应关系'!A:E,4,0)</f>
        <v>M1-B</v>
      </c>
      <c r="M165" s="94" t="str">
        <f>_xlfn.IFNA(VLOOKUP(G165,'SKU 对应关系'!A:B,2,0),"")</f>
        <v>M1-B 电子球形把手锁 黑色</v>
      </c>
      <c r="N165" s="95" t="str">
        <f>_xlfn.IFNA(VLOOKUP(G165,'SKU 对应关系'!$A:$D,3,0),"")</f>
        <v>M1</v>
      </c>
      <c r="O165" s="96">
        <v>15</v>
      </c>
      <c r="P165" s="455">
        <v>223.63636363636363</v>
      </c>
      <c r="Q165" s="96" t="s">
        <v>16</v>
      </c>
      <c r="R165" s="91">
        <v>3.3</v>
      </c>
      <c r="S165" s="95">
        <v>200</v>
      </c>
      <c r="T165" s="98">
        <v>38.961038961038959</v>
      </c>
      <c r="U165" s="99">
        <f t="shared" si="19"/>
        <v>776.96103896103887</v>
      </c>
      <c r="V165" s="100">
        <f t="shared" si="14"/>
        <v>3.2373376623376617</v>
      </c>
      <c r="W165" s="101">
        <f t="shared" si="17"/>
        <v>0.48318472572203908</v>
      </c>
      <c r="X165" s="95"/>
      <c r="Y165" s="95"/>
      <c r="Z165" s="102"/>
      <c r="AA165" s="103">
        <v>46059</v>
      </c>
      <c r="AB165" s="103">
        <v>46085</v>
      </c>
      <c r="AC165" s="103"/>
      <c r="AD165" s="104">
        <f>IF(ISNA(VLOOKUP(D165,亚马逊入库配置费!B:F,5,0)),0,VLOOKUP(D165,亚马逊入库配置费!B:F,5,0))</f>
        <v>0.55999999999999994</v>
      </c>
      <c r="AE165" s="104">
        <f t="shared" si="15"/>
        <v>134.39999999999998</v>
      </c>
      <c r="AF165" s="103">
        <v>46092</v>
      </c>
      <c r="AG165" s="90">
        <f t="shared" si="16"/>
        <v>33</v>
      </c>
      <c r="AH165" s="103">
        <v>46131</v>
      </c>
      <c r="AI165" s="96"/>
      <c r="AJ165" s="427">
        <f t="shared" si="18"/>
        <v>39</v>
      </c>
      <c r="AK165" s="96"/>
      <c r="AL165" s="92"/>
      <c r="AM165" s="91"/>
      <c r="AN165" s="91"/>
      <c r="AO165" s="96"/>
      <c r="AP165" s="105"/>
      <c r="AQ165" s="105"/>
      <c r="AR165" s="105"/>
      <c r="AS165" s="105"/>
    </row>
    <row r="166" spans="1:45" ht="12" customHeight="1" x14ac:dyDescent="0.25">
      <c r="A166" s="90">
        <v>165</v>
      </c>
      <c r="B166" s="91"/>
      <c r="C166" s="91" t="s">
        <v>3162</v>
      </c>
      <c r="D166" s="92" t="s">
        <v>3163</v>
      </c>
      <c r="E166" s="91" t="s">
        <v>1037</v>
      </c>
      <c r="F166" s="91" t="s">
        <v>0</v>
      </c>
      <c r="G166" s="56" t="s">
        <v>288</v>
      </c>
      <c r="H166" s="91">
        <v>176</v>
      </c>
      <c r="I166" s="91" t="s">
        <v>207</v>
      </c>
      <c r="J166" s="91" t="s">
        <v>8</v>
      </c>
      <c r="K166" s="92" t="s">
        <v>43</v>
      </c>
      <c r="L166" s="93" t="str">
        <f>VLOOKUP(G166,'SKU 对应关系'!A:E,4,0)</f>
        <v>M1-SILV</v>
      </c>
      <c r="M166" s="94" t="str">
        <f>_xlfn.IFNA(VLOOKUP(G166,'SKU 对应关系'!A:B,2,0),"")</f>
        <v>M1-SILV 电子球形把手锁 银色</v>
      </c>
      <c r="N166" s="95" t="str">
        <f>_xlfn.IFNA(VLOOKUP(G166,'SKU 对应关系'!$A:$D,3,0),"")</f>
        <v>M1</v>
      </c>
      <c r="O166" s="96">
        <v>11</v>
      </c>
      <c r="P166" s="455">
        <v>164</v>
      </c>
      <c r="Q166" s="96" t="s">
        <v>16</v>
      </c>
      <c r="R166" s="91">
        <v>3.3</v>
      </c>
      <c r="S166" s="106">
        <f>SUMIF(C:C,C165,T:T)</f>
        <v>200</v>
      </c>
      <c r="T166" s="98">
        <v>28.571428571428573</v>
      </c>
      <c r="U166" s="99">
        <f t="shared" si="19"/>
        <v>569.77142857142849</v>
      </c>
      <c r="V166" s="100">
        <f t="shared" si="14"/>
        <v>3.2373376623376617</v>
      </c>
      <c r="W166" s="101">
        <f t="shared" si="17"/>
        <v>0.48318472572203908</v>
      </c>
      <c r="X166" s="95"/>
      <c r="Y166" s="95"/>
      <c r="Z166" s="102"/>
      <c r="AA166" s="103">
        <v>46059</v>
      </c>
      <c r="AB166" s="103">
        <v>46085</v>
      </c>
      <c r="AC166" s="103"/>
      <c r="AD166" s="104">
        <f>IF(ISNA(VLOOKUP(D166,亚马逊入库配置费!B:F,5,0)),0,VLOOKUP(D166,亚马逊入库配置费!B:F,5,0))</f>
        <v>0.55999999999999994</v>
      </c>
      <c r="AE166" s="104">
        <f t="shared" si="15"/>
        <v>98.559999999999988</v>
      </c>
      <c r="AF166" s="103">
        <v>46092</v>
      </c>
      <c r="AG166" s="90">
        <f t="shared" si="16"/>
        <v>33</v>
      </c>
      <c r="AH166" s="103">
        <v>46131</v>
      </c>
      <c r="AI166" s="96"/>
      <c r="AJ166" s="427">
        <f t="shared" si="18"/>
        <v>39</v>
      </c>
      <c r="AK166" s="96"/>
      <c r="AL166" s="92"/>
      <c r="AM166" s="91"/>
      <c r="AN166" s="91"/>
      <c r="AO166" s="96"/>
      <c r="AP166" s="105"/>
      <c r="AQ166" s="105"/>
      <c r="AR166" s="105"/>
      <c r="AS166" s="105"/>
    </row>
    <row r="167" spans="1:45" ht="12" customHeight="1" x14ac:dyDescent="0.25">
      <c r="A167" s="90">
        <v>166</v>
      </c>
      <c r="B167" s="91"/>
      <c r="C167" s="91" t="s">
        <v>3162</v>
      </c>
      <c r="D167" s="92" t="s">
        <v>3163</v>
      </c>
      <c r="E167" s="91" t="s">
        <v>1037</v>
      </c>
      <c r="F167" s="91" t="s">
        <v>0</v>
      </c>
      <c r="G167" s="56" t="s">
        <v>284</v>
      </c>
      <c r="H167" s="91">
        <v>304</v>
      </c>
      <c r="I167" s="91" t="s">
        <v>207</v>
      </c>
      <c r="J167" s="91" t="s">
        <v>8</v>
      </c>
      <c r="K167" s="92" t="s">
        <v>43</v>
      </c>
      <c r="L167" s="93" t="str">
        <f>VLOOKUP(G167,'SKU 对应关系'!A:E,4,0)</f>
        <v>MD1-B</v>
      </c>
      <c r="M167" s="94" t="str">
        <f>_xlfn.IFNA(VLOOKUP(G167,'SKU 对应关系'!A:B,2,0),"")</f>
        <v>MD1-B 电子球形把手锁 指纹 黑色</v>
      </c>
      <c r="N167" s="95" t="str">
        <f>_xlfn.IFNA(VLOOKUP(G167,'SKU 对应关系'!$A:$D,3,0),"")</f>
        <v>MD1</v>
      </c>
      <c r="O167" s="96">
        <v>19</v>
      </c>
      <c r="P167" s="455">
        <v>283.27272727272725</v>
      </c>
      <c r="Q167" s="96" t="s">
        <v>16</v>
      </c>
      <c r="R167" s="91">
        <v>3.3</v>
      </c>
      <c r="S167" s="95"/>
      <c r="T167" s="98">
        <v>49.350649350649348</v>
      </c>
      <c r="U167" s="99">
        <f t="shared" si="19"/>
        <v>984.15064935064925</v>
      </c>
      <c r="V167" s="100">
        <f t="shared" si="14"/>
        <v>3.2373376623376622</v>
      </c>
      <c r="W167" s="101">
        <f t="shared" si="17"/>
        <v>0.48318472572203913</v>
      </c>
      <c r="X167" s="95"/>
      <c r="Y167" s="95"/>
      <c r="Z167" s="102"/>
      <c r="AA167" s="103">
        <v>46059</v>
      </c>
      <c r="AB167" s="103">
        <v>46085</v>
      </c>
      <c r="AC167" s="103"/>
      <c r="AD167" s="104">
        <f>IF(ISNA(VLOOKUP(D167,亚马逊入库配置费!B:F,5,0)),0,VLOOKUP(D167,亚马逊入库配置费!B:F,5,0))</f>
        <v>0.55999999999999994</v>
      </c>
      <c r="AE167" s="104">
        <f t="shared" si="15"/>
        <v>170.23999999999998</v>
      </c>
      <c r="AF167" s="103">
        <v>46092</v>
      </c>
      <c r="AG167" s="90">
        <f t="shared" si="16"/>
        <v>33</v>
      </c>
      <c r="AH167" s="103">
        <v>46131</v>
      </c>
      <c r="AI167" s="96"/>
      <c r="AJ167" s="427">
        <f t="shared" si="18"/>
        <v>39</v>
      </c>
      <c r="AK167" s="96"/>
      <c r="AL167" s="92"/>
      <c r="AM167" s="91"/>
      <c r="AN167" s="91"/>
      <c r="AO167" s="96"/>
      <c r="AP167" s="105"/>
      <c r="AQ167" s="105"/>
      <c r="AR167" s="105"/>
      <c r="AS167" s="105"/>
    </row>
    <row r="168" spans="1:45" ht="12" customHeight="1" x14ac:dyDescent="0.25">
      <c r="A168" s="90">
        <v>167</v>
      </c>
      <c r="B168" s="91"/>
      <c r="C168" s="91" t="s">
        <v>3162</v>
      </c>
      <c r="D168" s="92" t="s">
        <v>3163</v>
      </c>
      <c r="E168" s="91" t="s">
        <v>1037</v>
      </c>
      <c r="F168" s="91" t="s">
        <v>0</v>
      </c>
      <c r="G168" s="56" t="s">
        <v>663</v>
      </c>
      <c r="H168" s="91">
        <v>256</v>
      </c>
      <c r="I168" s="91" t="s">
        <v>207</v>
      </c>
      <c r="J168" s="91" t="s">
        <v>8</v>
      </c>
      <c r="K168" s="92" t="s">
        <v>43</v>
      </c>
      <c r="L168" s="93" t="str">
        <f>VLOOKUP(G168,'SKU 对应关系'!A:E,4,0)</f>
        <v>MD1-SILV</v>
      </c>
      <c r="M168" s="94" t="str">
        <f>_xlfn.IFNA(VLOOKUP(G168,'SKU 对应关系'!A:B,2,0),"")</f>
        <v>MD1-SILV 电子球形把手锁 指纹 银色</v>
      </c>
      <c r="N168" s="95" t="str">
        <f>_xlfn.IFNA(VLOOKUP(G168,'SKU 对应关系'!$A:$D,3,0),"")</f>
        <v>MD1</v>
      </c>
      <c r="O168" s="96">
        <v>16</v>
      </c>
      <c r="P168" s="455">
        <v>238.54545454545453</v>
      </c>
      <c r="Q168" s="96" t="s">
        <v>16</v>
      </c>
      <c r="R168" s="91">
        <v>3.3</v>
      </c>
      <c r="S168" s="95"/>
      <c r="T168" s="98">
        <v>41.558441558441558</v>
      </c>
      <c r="U168" s="99">
        <f t="shared" si="19"/>
        <v>828.75844155844152</v>
      </c>
      <c r="V168" s="100">
        <f t="shared" si="14"/>
        <v>3.2373376623376622</v>
      </c>
      <c r="W168" s="101">
        <f t="shared" si="17"/>
        <v>0.48318472572203913</v>
      </c>
      <c r="X168" s="95"/>
      <c r="Y168" s="95"/>
      <c r="Z168" s="102"/>
      <c r="AA168" s="103">
        <v>46059</v>
      </c>
      <c r="AB168" s="103">
        <v>46085</v>
      </c>
      <c r="AC168" s="103"/>
      <c r="AD168" s="104">
        <f>IF(ISNA(VLOOKUP(D168,亚马逊入库配置费!B:F,5,0)),0,VLOOKUP(D168,亚马逊入库配置费!B:F,5,0))</f>
        <v>0.55999999999999994</v>
      </c>
      <c r="AE168" s="104">
        <f t="shared" si="15"/>
        <v>143.35999999999999</v>
      </c>
      <c r="AF168" s="103">
        <v>46092</v>
      </c>
      <c r="AG168" s="90">
        <f t="shared" si="16"/>
        <v>33</v>
      </c>
      <c r="AH168" s="103">
        <v>46131</v>
      </c>
      <c r="AI168" s="96"/>
      <c r="AJ168" s="427">
        <f t="shared" si="18"/>
        <v>39</v>
      </c>
      <c r="AK168" s="96"/>
      <c r="AL168" s="92"/>
      <c r="AM168" s="91"/>
      <c r="AN168" s="91"/>
      <c r="AO168" s="96"/>
      <c r="AP168" s="105"/>
      <c r="AQ168" s="105"/>
      <c r="AR168" s="105"/>
      <c r="AS168" s="105"/>
    </row>
    <row r="169" spans="1:45" ht="12" customHeight="1" x14ac:dyDescent="0.25">
      <c r="A169" s="90">
        <v>168</v>
      </c>
      <c r="B169" s="91"/>
      <c r="C169" s="91" t="s">
        <v>3162</v>
      </c>
      <c r="D169" s="92" t="s">
        <v>3163</v>
      </c>
      <c r="E169" s="91" t="s">
        <v>1037</v>
      </c>
      <c r="F169" s="91" t="s">
        <v>0</v>
      </c>
      <c r="G169" s="56" t="s">
        <v>779</v>
      </c>
      <c r="H169" s="91">
        <v>208</v>
      </c>
      <c r="I169" s="91" t="s">
        <v>207</v>
      </c>
      <c r="J169" s="91" t="s">
        <v>8</v>
      </c>
      <c r="K169" s="92" t="s">
        <v>43</v>
      </c>
      <c r="L169" s="93" t="str">
        <f>VLOOKUP(G169,'SKU 对应关系'!A:E,4,0)</f>
        <v>MK1-B</v>
      </c>
      <c r="M169" s="94" t="str">
        <f>_xlfn.IFNA(VLOOKUP(G169,'SKU 对应关系'!A:B,2,0),"")</f>
        <v>MK1-B 智能球形把手锁 黑色</v>
      </c>
      <c r="N169" s="95" t="str">
        <f>_xlfn.IFNA(VLOOKUP(G169,'SKU 对应关系'!$A:$D,3,0),"")</f>
        <v>MK1</v>
      </c>
      <c r="O169" s="96">
        <v>13</v>
      </c>
      <c r="P169" s="455">
        <v>193.81818181818181</v>
      </c>
      <c r="Q169" s="96" t="s">
        <v>16</v>
      </c>
      <c r="R169" s="91">
        <v>3.3</v>
      </c>
      <c r="S169" s="95"/>
      <c r="T169" s="98">
        <v>33.766233766233768</v>
      </c>
      <c r="U169" s="99">
        <f t="shared" si="19"/>
        <v>673.36623376623368</v>
      </c>
      <c r="V169" s="100">
        <f t="shared" si="14"/>
        <v>3.2373376623376617</v>
      </c>
      <c r="W169" s="101">
        <f t="shared" si="17"/>
        <v>0.48318472572203908</v>
      </c>
      <c r="X169" s="95"/>
      <c r="Y169" s="95"/>
      <c r="Z169" s="102"/>
      <c r="AA169" s="103">
        <v>46059</v>
      </c>
      <c r="AB169" s="103">
        <v>46085</v>
      </c>
      <c r="AC169" s="103"/>
      <c r="AD169" s="104">
        <f>IF(ISNA(VLOOKUP(D169,亚马逊入库配置费!B:F,5,0)),0,VLOOKUP(D169,亚马逊入库配置费!B:F,5,0))</f>
        <v>0.55999999999999994</v>
      </c>
      <c r="AE169" s="104">
        <f t="shared" si="15"/>
        <v>116.47999999999999</v>
      </c>
      <c r="AF169" s="103">
        <v>46092</v>
      </c>
      <c r="AG169" s="90">
        <f t="shared" si="16"/>
        <v>33</v>
      </c>
      <c r="AH169" s="103">
        <v>46131</v>
      </c>
      <c r="AI169" s="96"/>
      <c r="AJ169" s="427">
        <f t="shared" si="18"/>
        <v>39</v>
      </c>
      <c r="AK169" s="96"/>
      <c r="AL169" s="92"/>
      <c r="AM169" s="91"/>
      <c r="AN169" s="91"/>
      <c r="AO169" s="96"/>
      <c r="AP169" s="105"/>
      <c r="AQ169" s="105"/>
      <c r="AR169" s="105"/>
      <c r="AS169" s="105"/>
    </row>
    <row r="170" spans="1:45" ht="12" customHeight="1" x14ac:dyDescent="0.25">
      <c r="A170" s="90">
        <v>169</v>
      </c>
      <c r="B170" s="91"/>
      <c r="C170" s="91" t="s">
        <v>3162</v>
      </c>
      <c r="D170" s="92" t="s">
        <v>3163</v>
      </c>
      <c r="E170" s="91" t="s">
        <v>1037</v>
      </c>
      <c r="F170" s="91" t="s">
        <v>0</v>
      </c>
      <c r="G170" s="56" t="s">
        <v>549</v>
      </c>
      <c r="H170" s="91">
        <v>32</v>
      </c>
      <c r="I170" s="91" t="s">
        <v>207</v>
      </c>
      <c r="J170" s="91" t="s">
        <v>8</v>
      </c>
      <c r="K170" s="92" t="s">
        <v>43</v>
      </c>
      <c r="L170" s="93" t="str">
        <f>VLOOKUP(G170,'SKU 对应关系'!A:E,4,0)</f>
        <v>MK1-SILV</v>
      </c>
      <c r="M170" s="94" t="str">
        <f>_xlfn.IFNA(VLOOKUP(G170,'SKU 对应关系'!A:B,2,0),"")</f>
        <v>MK1-SILV 智能球形把手锁 银色</v>
      </c>
      <c r="N170" s="95" t="str">
        <f>_xlfn.IFNA(VLOOKUP(G170,'SKU 对应关系'!$A:$D,3,0),"")</f>
        <v>MK1</v>
      </c>
      <c r="O170" s="96">
        <v>2</v>
      </c>
      <c r="P170" s="455">
        <v>29.818181818181817</v>
      </c>
      <c r="Q170" s="96" t="s">
        <v>16</v>
      </c>
      <c r="R170" s="91">
        <v>3.3</v>
      </c>
      <c r="S170" s="95"/>
      <c r="T170" s="98">
        <v>5.1948051948051948</v>
      </c>
      <c r="U170" s="99">
        <f t="shared" si="19"/>
        <v>103.59480519480519</v>
      </c>
      <c r="V170" s="100">
        <f t="shared" si="14"/>
        <v>3.2373376623376622</v>
      </c>
      <c r="W170" s="101">
        <f t="shared" si="17"/>
        <v>0.48318472572203913</v>
      </c>
      <c r="X170" s="95"/>
      <c r="Y170" s="95"/>
      <c r="Z170" s="102"/>
      <c r="AA170" s="103">
        <v>46059</v>
      </c>
      <c r="AB170" s="103">
        <v>46085</v>
      </c>
      <c r="AC170" s="103"/>
      <c r="AD170" s="104">
        <f>IF(ISNA(VLOOKUP(D170,亚马逊入库配置费!B:F,5,0)),0,VLOOKUP(D170,亚马逊入库配置费!B:F,5,0))</f>
        <v>0.55999999999999994</v>
      </c>
      <c r="AE170" s="104">
        <f t="shared" si="15"/>
        <v>17.919999999999998</v>
      </c>
      <c r="AF170" s="103">
        <v>46092</v>
      </c>
      <c r="AG170" s="90">
        <f t="shared" si="16"/>
        <v>33</v>
      </c>
      <c r="AH170" s="103">
        <v>46131</v>
      </c>
      <c r="AI170" s="96"/>
      <c r="AJ170" s="427">
        <f t="shared" si="18"/>
        <v>39</v>
      </c>
      <c r="AK170" s="96"/>
      <c r="AL170" s="92"/>
      <c r="AM170" s="91"/>
      <c r="AN170" s="91"/>
      <c r="AO170" s="96"/>
      <c r="AP170" s="105"/>
      <c r="AQ170" s="105"/>
      <c r="AR170" s="105"/>
      <c r="AS170" s="105"/>
    </row>
    <row r="171" spans="1:45" ht="12" customHeight="1" x14ac:dyDescent="0.25">
      <c r="A171" s="90">
        <v>170</v>
      </c>
      <c r="B171" s="91"/>
      <c r="C171" s="91" t="s">
        <v>3162</v>
      </c>
      <c r="D171" s="92" t="s">
        <v>3163</v>
      </c>
      <c r="E171" s="91" t="s">
        <v>1037</v>
      </c>
      <c r="F171" s="91" t="s">
        <v>0</v>
      </c>
      <c r="G171" s="56" t="s">
        <v>551</v>
      </c>
      <c r="H171" s="91">
        <v>16</v>
      </c>
      <c r="I171" s="91" t="s">
        <v>207</v>
      </c>
      <c r="J171" s="91" t="s">
        <v>8</v>
      </c>
      <c r="K171" s="92" t="s">
        <v>43</v>
      </c>
      <c r="L171" s="93" t="str">
        <f>VLOOKUP(G171,'SKU 对应关系'!A:E,4,0)</f>
        <v>MK1-T</v>
      </c>
      <c r="M171" s="94" t="str">
        <f>_xlfn.IFNA(VLOOKUP(G171,'SKU 对应关系'!A:B,2,0),"")</f>
        <v>MK1-T 智能球形把手锁 钛色</v>
      </c>
      <c r="N171" s="95" t="str">
        <f>_xlfn.IFNA(VLOOKUP(G171,'SKU 对应关系'!$A:$D,3,0),"")</f>
        <v>MK1</v>
      </c>
      <c r="O171" s="96">
        <v>1</v>
      </c>
      <c r="P171" s="455">
        <v>14.909090909090908</v>
      </c>
      <c r="Q171" s="96" t="s">
        <v>16</v>
      </c>
      <c r="R171" s="91">
        <v>3.3</v>
      </c>
      <c r="S171" s="95"/>
      <c r="T171" s="98">
        <v>2.5974025974025974</v>
      </c>
      <c r="U171" s="99">
        <f t="shared" si="19"/>
        <v>51.797402597402595</v>
      </c>
      <c r="V171" s="100">
        <f t="shared" si="14"/>
        <v>3.2373376623376622</v>
      </c>
      <c r="W171" s="101">
        <f t="shared" si="17"/>
        <v>0.48318472572203913</v>
      </c>
      <c r="X171" s="95"/>
      <c r="Y171" s="95"/>
      <c r="Z171" s="102"/>
      <c r="AA171" s="103">
        <v>46059</v>
      </c>
      <c r="AB171" s="103">
        <v>46085</v>
      </c>
      <c r="AC171" s="103"/>
      <c r="AD171" s="104">
        <f>IF(ISNA(VLOOKUP(D171,亚马逊入库配置费!B:F,5,0)),0,VLOOKUP(D171,亚马逊入库配置费!B:F,5,0))</f>
        <v>0.55999999999999994</v>
      </c>
      <c r="AE171" s="104">
        <f t="shared" si="15"/>
        <v>8.9599999999999991</v>
      </c>
      <c r="AF171" s="103">
        <v>46092</v>
      </c>
      <c r="AG171" s="90">
        <f t="shared" si="16"/>
        <v>33</v>
      </c>
      <c r="AH171" s="103">
        <v>46131</v>
      </c>
      <c r="AI171" s="96"/>
      <c r="AJ171" s="427">
        <f t="shared" si="18"/>
        <v>39</v>
      </c>
      <c r="AK171" s="96"/>
      <c r="AL171" s="92"/>
      <c r="AM171" s="91"/>
      <c r="AN171" s="91"/>
      <c r="AO171" s="96"/>
      <c r="AP171" s="105"/>
      <c r="AQ171" s="105"/>
      <c r="AR171" s="105"/>
      <c r="AS171" s="105"/>
    </row>
    <row r="172" spans="1:45" ht="12" customHeight="1" x14ac:dyDescent="0.25">
      <c r="A172" s="90">
        <v>171</v>
      </c>
      <c r="B172" s="91"/>
      <c r="C172" s="91" t="s">
        <v>3164</v>
      </c>
      <c r="D172" s="92" t="s">
        <v>3165</v>
      </c>
      <c r="E172" s="91" t="s">
        <v>1037</v>
      </c>
      <c r="F172" s="91" t="s">
        <v>0</v>
      </c>
      <c r="G172" s="56" t="s">
        <v>2441</v>
      </c>
      <c r="H172" s="91">
        <v>144</v>
      </c>
      <c r="I172" s="91" t="s">
        <v>207</v>
      </c>
      <c r="J172" s="91" t="s">
        <v>8</v>
      </c>
      <c r="K172" s="92" t="s">
        <v>10</v>
      </c>
      <c r="L172" s="93" t="str">
        <f>VLOOKUP(G172,'SKU 对应关系'!A:E,4,0)</f>
        <v>G1-DT</v>
      </c>
      <c r="M172" s="94" t="str">
        <f>_xlfn.IFNA(VLOOKUP(G172,'SKU 对应关系'!A:B,2,0),"")</f>
        <v>G1-DT 电子球形把手锁 沙漠钛色</v>
      </c>
      <c r="N172" s="95" t="str">
        <f>_xlfn.IFNA(VLOOKUP(G172,'SKU 对应关系'!$A:$D,3,0),"")</f>
        <v>G1</v>
      </c>
      <c r="O172" s="96">
        <v>9</v>
      </c>
      <c r="P172" s="455">
        <v>121.5</v>
      </c>
      <c r="Q172" s="96" t="s">
        <v>16</v>
      </c>
      <c r="R172" s="91">
        <v>3</v>
      </c>
      <c r="S172" s="95">
        <v>200</v>
      </c>
      <c r="T172" s="98">
        <v>100</v>
      </c>
      <c r="U172" s="99">
        <f t="shared" si="19"/>
        <v>464.5</v>
      </c>
      <c r="V172" s="100">
        <f t="shared" si="14"/>
        <v>3.2256944444444446</v>
      </c>
      <c r="W172" s="101">
        <f t="shared" si="17"/>
        <v>0.48144693200663352</v>
      </c>
      <c r="X172" s="95"/>
      <c r="Y172" s="95"/>
      <c r="Z172" s="102"/>
      <c r="AA172" s="103">
        <v>46059</v>
      </c>
      <c r="AB172" s="103">
        <v>46082</v>
      </c>
      <c r="AC172" s="103"/>
      <c r="AD172" s="104">
        <f>IF(ISNA(VLOOKUP(D172,亚马逊入库配置费!B:F,5,0)),0,VLOOKUP(D172,亚马逊入库配置费!B:F,5,0))</f>
        <v>0.56000000000000005</v>
      </c>
      <c r="AE172" s="104">
        <f t="shared" si="15"/>
        <v>80.640000000000015</v>
      </c>
      <c r="AF172" s="103">
        <v>46094</v>
      </c>
      <c r="AG172" s="90">
        <f t="shared" si="16"/>
        <v>35</v>
      </c>
      <c r="AH172" s="103">
        <v>46128</v>
      </c>
      <c r="AI172" s="96"/>
      <c r="AJ172" s="427">
        <f t="shared" si="18"/>
        <v>34</v>
      </c>
      <c r="AK172" s="96"/>
      <c r="AL172" s="92"/>
      <c r="AM172" s="91"/>
      <c r="AN172" s="91"/>
      <c r="AO172" s="96"/>
      <c r="AP172" s="105"/>
      <c r="AQ172" s="105"/>
      <c r="AR172" s="105"/>
      <c r="AS172" s="105"/>
    </row>
    <row r="173" spans="1:45" ht="12" customHeight="1" x14ac:dyDescent="0.25">
      <c r="A173" s="90">
        <v>172</v>
      </c>
      <c r="B173" s="91"/>
      <c r="C173" s="91" t="s">
        <v>3164</v>
      </c>
      <c r="D173" s="92" t="s">
        <v>3165</v>
      </c>
      <c r="E173" s="91" t="s">
        <v>1037</v>
      </c>
      <c r="F173" s="91" t="s">
        <v>0</v>
      </c>
      <c r="G173" s="56" t="s">
        <v>2443</v>
      </c>
      <c r="H173" s="91">
        <v>144</v>
      </c>
      <c r="I173" s="91" t="s">
        <v>207</v>
      </c>
      <c r="J173" s="91" t="s">
        <v>8</v>
      </c>
      <c r="K173" s="92" t="s">
        <v>10</v>
      </c>
      <c r="L173" s="93" t="str">
        <f>VLOOKUP(G173,'SKU 对应关系'!A:E,4,0)</f>
        <v>G1-SILV</v>
      </c>
      <c r="M173" s="94" t="str">
        <f>_xlfn.IFNA(VLOOKUP(G173,'SKU 对应关系'!A:B,2,0),"")</f>
        <v>G1-SILV 电子球形把手锁 银色</v>
      </c>
      <c r="N173" s="95" t="str">
        <f>_xlfn.IFNA(VLOOKUP(G173,'SKU 对应关系'!$A:$D,3,0),"")</f>
        <v>G1</v>
      </c>
      <c r="O173" s="96">
        <v>9</v>
      </c>
      <c r="P173" s="455">
        <v>121.5</v>
      </c>
      <c r="Q173" s="96" t="s">
        <v>16</v>
      </c>
      <c r="R173" s="91">
        <v>3</v>
      </c>
      <c r="S173" s="106">
        <f>SUMIF(C:C,C172,T:T)</f>
        <v>200</v>
      </c>
      <c r="T173" s="98">
        <v>100</v>
      </c>
      <c r="U173" s="99">
        <f t="shared" si="19"/>
        <v>464.5</v>
      </c>
      <c r="V173" s="100">
        <f t="shared" si="14"/>
        <v>3.2256944444444446</v>
      </c>
      <c r="W173" s="101">
        <f t="shared" si="17"/>
        <v>0.48144693200663352</v>
      </c>
      <c r="X173" s="95"/>
      <c r="Y173" s="95"/>
      <c r="Z173" s="102"/>
      <c r="AA173" s="103">
        <v>46059</v>
      </c>
      <c r="AB173" s="103">
        <v>46082</v>
      </c>
      <c r="AC173" s="103"/>
      <c r="AD173" s="104">
        <f>IF(ISNA(VLOOKUP(D173,亚马逊入库配置费!B:F,5,0)),0,VLOOKUP(D173,亚马逊入库配置费!B:F,5,0))</f>
        <v>0.56000000000000005</v>
      </c>
      <c r="AE173" s="104">
        <f t="shared" si="15"/>
        <v>80.640000000000015</v>
      </c>
      <c r="AF173" s="103">
        <v>46094</v>
      </c>
      <c r="AG173" s="90">
        <f t="shared" si="16"/>
        <v>35</v>
      </c>
      <c r="AH173" s="103">
        <v>46128</v>
      </c>
      <c r="AI173" s="96"/>
      <c r="AJ173" s="427">
        <f t="shared" si="18"/>
        <v>34</v>
      </c>
      <c r="AK173" s="96"/>
      <c r="AL173" s="92"/>
      <c r="AM173" s="91"/>
      <c r="AN173" s="91"/>
      <c r="AO173" s="96"/>
      <c r="AP173" s="105"/>
      <c r="AQ173" s="105"/>
      <c r="AR173" s="105"/>
      <c r="AS173" s="105"/>
    </row>
    <row r="174" spans="1:45" ht="12" customHeight="1" x14ac:dyDescent="0.25">
      <c r="A174" s="90">
        <v>173</v>
      </c>
      <c r="B174" s="91"/>
      <c r="C174" s="91" t="s">
        <v>3166</v>
      </c>
      <c r="D174" s="92" t="s">
        <v>3167</v>
      </c>
      <c r="E174" s="91" t="s">
        <v>115</v>
      </c>
      <c r="F174" s="91" t="s">
        <v>0</v>
      </c>
      <c r="G174" s="56" t="s">
        <v>980</v>
      </c>
      <c r="H174" s="91">
        <v>80</v>
      </c>
      <c r="I174" s="91" t="s">
        <v>207</v>
      </c>
      <c r="J174" s="91" t="s">
        <v>2421</v>
      </c>
      <c r="K174" s="92" t="s">
        <v>3168</v>
      </c>
      <c r="L174" s="93" t="str">
        <f>VLOOKUP(G174,'SKU 对应关系'!A:E,4,0)</f>
        <v>AP2US-H14</v>
      </c>
      <c r="M174" s="94" t="str">
        <f>_xlfn.IFNA(VLOOKUP(G174,'SKU 对应关系'!A:B,2,0),"")</f>
        <v>AP2US-H14 内置H14滤网桌面式空气净化器2-美规</v>
      </c>
      <c r="N174" s="95" t="str">
        <f>_xlfn.IFNA(VLOOKUP(G174,'SKU 对应关系'!$A:$D,3,0),"")</f>
        <v>AP2</v>
      </c>
      <c r="O174" s="96">
        <v>20</v>
      </c>
      <c r="P174" s="455">
        <v>476</v>
      </c>
      <c r="Q174" s="96" t="s">
        <v>16</v>
      </c>
      <c r="R174" s="91">
        <v>4.9000000000000004</v>
      </c>
      <c r="S174" s="95">
        <v>200</v>
      </c>
      <c r="T174" s="98">
        <v>200</v>
      </c>
      <c r="U174" s="99">
        <f t="shared" si="19"/>
        <v>2532.4</v>
      </c>
      <c r="V174" s="100">
        <f t="shared" si="14"/>
        <v>31.655000000000001</v>
      </c>
      <c r="W174" s="101">
        <f t="shared" si="17"/>
        <v>4.7246268656716417</v>
      </c>
      <c r="X174" s="95"/>
      <c r="Y174" s="95"/>
      <c r="Z174" s="102"/>
      <c r="AA174" s="103">
        <v>46056</v>
      </c>
      <c r="AB174" s="103">
        <v>46098</v>
      </c>
      <c r="AC174" s="103"/>
      <c r="AD174" s="104">
        <f>IF(ISNA(VLOOKUP(D174,亚马逊入库配置费!B:F,5,0)),0,VLOOKUP(D174,亚马逊入库配置费!B:F,5,0))</f>
        <v>0</v>
      </c>
      <c r="AE174" s="104">
        <f t="shared" si="15"/>
        <v>0</v>
      </c>
      <c r="AF174" s="103">
        <v>46107</v>
      </c>
      <c r="AG174" s="90">
        <f t="shared" si="16"/>
        <v>51</v>
      </c>
      <c r="AH174" s="103">
        <v>46111</v>
      </c>
      <c r="AI174" s="96">
        <v>80</v>
      </c>
      <c r="AJ174" s="427">
        <f t="shared" si="18"/>
        <v>4</v>
      </c>
      <c r="AK174" s="96"/>
      <c r="AL174" s="92"/>
      <c r="AM174" s="91"/>
      <c r="AN174" s="91"/>
      <c r="AO174" s="96"/>
      <c r="AP174" s="105"/>
      <c r="AQ174" s="105"/>
      <c r="AR174" s="105"/>
      <c r="AS174" s="105"/>
    </row>
    <row r="175" spans="1:45" ht="12" customHeight="1" x14ac:dyDescent="0.25">
      <c r="A175" s="90">
        <v>174</v>
      </c>
      <c r="B175" s="91"/>
      <c r="C175" s="91" t="s">
        <v>3169</v>
      </c>
      <c r="D175" s="92" t="s">
        <v>3170</v>
      </c>
      <c r="E175" s="91" t="s">
        <v>115</v>
      </c>
      <c r="F175" s="91" t="s">
        <v>0</v>
      </c>
      <c r="G175" s="56" t="s">
        <v>980</v>
      </c>
      <c r="H175" s="91">
        <v>80</v>
      </c>
      <c r="I175" s="91" t="s">
        <v>207</v>
      </c>
      <c r="J175" s="91" t="s">
        <v>8</v>
      </c>
      <c r="K175" s="92" t="s">
        <v>49</v>
      </c>
      <c r="L175" s="93" t="str">
        <f>VLOOKUP(G175,'SKU 对应关系'!A:E,4,0)</f>
        <v>AP2US-H14</v>
      </c>
      <c r="M175" s="94" t="str">
        <f>_xlfn.IFNA(VLOOKUP(G175,'SKU 对应关系'!A:B,2,0),"")</f>
        <v>AP2US-H14 内置H14滤网桌面式空气净化器2-美规</v>
      </c>
      <c r="N175" s="95" t="str">
        <f>_xlfn.IFNA(VLOOKUP(G175,'SKU 对应关系'!$A:$D,3,0),"")</f>
        <v>AP2</v>
      </c>
      <c r="O175" s="96">
        <v>20</v>
      </c>
      <c r="P175" s="455">
        <v>474</v>
      </c>
      <c r="Q175" s="96" t="s">
        <v>16</v>
      </c>
      <c r="R175" s="91">
        <v>4.7</v>
      </c>
      <c r="S175" s="95">
        <v>200</v>
      </c>
      <c r="T175" s="98">
        <v>200</v>
      </c>
      <c r="U175" s="99">
        <f t="shared" si="19"/>
        <v>2427.8000000000002</v>
      </c>
      <c r="V175" s="100">
        <f t="shared" si="14"/>
        <v>30.347500000000004</v>
      </c>
      <c r="W175" s="101">
        <f t="shared" si="17"/>
        <v>4.5294776119402993</v>
      </c>
      <c r="X175" s="95"/>
      <c r="Y175" s="95"/>
      <c r="Z175" s="102"/>
      <c r="AA175" s="103">
        <v>46056</v>
      </c>
      <c r="AB175" s="103">
        <v>46102</v>
      </c>
      <c r="AC175" s="103"/>
      <c r="AD175" s="104">
        <f>IF(ISNA(VLOOKUP(D175,亚马逊入库配置费!B:F,5,0)),0,VLOOKUP(D175,亚马逊入库配置费!B:F,5,0))</f>
        <v>0</v>
      </c>
      <c r="AE175" s="104">
        <f t="shared" si="15"/>
        <v>0</v>
      </c>
      <c r="AF175" s="103">
        <v>46111</v>
      </c>
      <c r="AG175" s="90">
        <f t="shared" si="16"/>
        <v>55</v>
      </c>
      <c r="AH175" s="103">
        <v>46112</v>
      </c>
      <c r="AI175" s="96">
        <v>80</v>
      </c>
      <c r="AJ175" s="427">
        <f t="shared" si="18"/>
        <v>1</v>
      </c>
      <c r="AK175" s="96"/>
      <c r="AL175" s="92"/>
      <c r="AM175" s="91"/>
      <c r="AN175" s="91"/>
      <c r="AO175" s="96"/>
      <c r="AP175" s="105"/>
      <c r="AQ175" s="105"/>
      <c r="AR175" s="105"/>
      <c r="AS175" s="105"/>
    </row>
    <row r="176" spans="1:45" ht="12" customHeight="1" x14ac:dyDescent="0.25">
      <c r="A176" s="90">
        <v>175</v>
      </c>
      <c r="B176" s="91"/>
      <c r="C176" s="91" t="s">
        <v>3171</v>
      </c>
      <c r="D176" s="92" t="s">
        <v>3172</v>
      </c>
      <c r="E176" s="91" t="s">
        <v>115</v>
      </c>
      <c r="F176" s="91" t="s">
        <v>0</v>
      </c>
      <c r="G176" s="56" t="s">
        <v>980</v>
      </c>
      <c r="H176" s="91">
        <v>80</v>
      </c>
      <c r="I176" s="91" t="s">
        <v>207</v>
      </c>
      <c r="J176" s="91" t="s">
        <v>2421</v>
      </c>
      <c r="K176" s="92" t="s">
        <v>3173</v>
      </c>
      <c r="L176" s="93" t="str">
        <f>VLOOKUP(G176,'SKU 对应关系'!A:E,4,0)</f>
        <v>AP2US-H14</v>
      </c>
      <c r="M176" s="94" t="str">
        <f>_xlfn.IFNA(VLOOKUP(G176,'SKU 对应关系'!A:B,2,0),"")</f>
        <v>AP2US-H14 内置H14滤网桌面式空气净化器2-美规</v>
      </c>
      <c r="N176" s="95" t="str">
        <f>_xlfn.IFNA(VLOOKUP(G176,'SKU 对应关系'!$A:$D,3,0),"")</f>
        <v>AP2</v>
      </c>
      <c r="O176" s="96">
        <v>20</v>
      </c>
      <c r="P176" s="455">
        <v>478</v>
      </c>
      <c r="Q176" s="96" t="s">
        <v>16</v>
      </c>
      <c r="R176" s="91">
        <v>4.4000000000000004</v>
      </c>
      <c r="S176" s="95">
        <v>200</v>
      </c>
      <c r="T176" s="98">
        <v>200</v>
      </c>
      <c r="U176" s="99">
        <f t="shared" si="19"/>
        <v>2303.2000000000003</v>
      </c>
      <c r="V176" s="100">
        <f t="shared" si="14"/>
        <v>28.790000000000003</v>
      </c>
      <c r="W176" s="101">
        <f t="shared" si="17"/>
        <v>4.2970149253731345</v>
      </c>
      <c r="X176" s="95"/>
      <c r="Y176" s="95"/>
      <c r="Z176" s="102"/>
      <c r="AA176" s="103">
        <v>46056</v>
      </c>
      <c r="AB176" s="103">
        <v>46085</v>
      </c>
      <c r="AC176" s="103"/>
      <c r="AD176" s="104">
        <f>IF(ISNA(VLOOKUP(D176,亚马逊入库配置费!B:F,5,0)),0,VLOOKUP(D176,亚马逊入库配置费!B:F,5,0))</f>
        <v>0</v>
      </c>
      <c r="AE176" s="104">
        <f t="shared" si="15"/>
        <v>0</v>
      </c>
      <c r="AF176" s="103">
        <v>46110</v>
      </c>
      <c r="AG176" s="90">
        <f t="shared" si="16"/>
        <v>54</v>
      </c>
      <c r="AH176" s="103">
        <v>46121</v>
      </c>
      <c r="AI176" s="96">
        <v>80</v>
      </c>
      <c r="AJ176" s="427">
        <f t="shared" si="18"/>
        <v>11</v>
      </c>
      <c r="AK176" s="96"/>
      <c r="AL176" s="92"/>
      <c r="AM176" s="91"/>
      <c r="AN176" s="91"/>
      <c r="AO176" s="96"/>
      <c r="AP176" s="105"/>
      <c r="AQ176" s="105"/>
      <c r="AR176" s="105"/>
      <c r="AS176" s="105"/>
    </row>
    <row r="177" spans="1:45" ht="12" customHeight="1" x14ac:dyDescent="0.25">
      <c r="A177" s="90">
        <v>176</v>
      </c>
      <c r="B177" s="91"/>
      <c r="C177" s="91" t="s">
        <v>3174</v>
      </c>
      <c r="D177" s="92" t="s">
        <v>4176</v>
      </c>
      <c r="E177" s="91" t="s">
        <v>115</v>
      </c>
      <c r="F177" s="91" t="s">
        <v>0</v>
      </c>
      <c r="G177" s="56" t="s">
        <v>980</v>
      </c>
      <c r="H177" s="91">
        <v>80</v>
      </c>
      <c r="I177" s="91" t="s">
        <v>89</v>
      </c>
      <c r="J177" s="91" t="s">
        <v>2431</v>
      </c>
      <c r="K177" s="92" t="s">
        <v>3176</v>
      </c>
      <c r="L177" s="93" t="str">
        <f>VLOOKUP(G177,'SKU 对应关系'!A:E,4,0)</f>
        <v>AP2US-H14</v>
      </c>
      <c r="M177" s="94" t="str">
        <f>_xlfn.IFNA(VLOOKUP(G177,'SKU 对应关系'!A:B,2,0),"")</f>
        <v>AP2US-H14 内置H14滤网桌面式空气净化器2-美规</v>
      </c>
      <c r="N177" s="95" t="str">
        <f>_xlfn.IFNA(VLOOKUP(G177,'SKU 对应关系'!$A:$D,3,0),"")</f>
        <v>AP2</v>
      </c>
      <c r="O177" s="96">
        <v>20</v>
      </c>
      <c r="P177" s="455">
        <v>474</v>
      </c>
      <c r="Q177" s="96" t="s">
        <v>16</v>
      </c>
      <c r="R177" s="91">
        <v>6</v>
      </c>
      <c r="S177" s="95">
        <v>200</v>
      </c>
      <c r="T177" s="98">
        <v>200</v>
      </c>
      <c r="U177" s="99">
        <f t="shared" si="19"/>
        <v>3044</v>
      </c>
      <c r="V177" s="100">
        <f t="shared" si="14"/>
        <v>38.049999999999997</v>
      </c>
      <c r="W177" s="101">
        <f t="shared" si="17"/>
        <v>5.6791044776119399</v>
      </c>
      <c r="X177" s="95"/>
      <c r="Y177" s="95"/>
      <c r="Z177" s="102"/>
      <c r="AA177" s="103">
        <v>46056</v>
      </c>
      <c r="AB177" s="103">
        <v>46119</v>
      </c>
      <c r="AC177" s="103"/>
      <c r="AD177" s="104">
        <f>IF(ISNA(VLOOKUP(D177,亚马逊入库配置费!B:F,5,0)),0,VLOOKUP(D177,亚马逊入库配置费!B:F,5,0))</f>
        <v>0</v>
      </c>
      <c r="AE177" s="104">
        <f t="shared" si="15"/>
        <v>0</v>
      </c>
      <c r="AF177" s="103">
        <v>46130</v>
      </c>
      <c r="AG177" s="90">
        <f t="shared" si="16"/>
        <v>74</v>
      </c>
      <c r="AH177" s="103">
        <v>46140</v>
      </c>
      <c r="AI177" s="96"/>
      <c r="AJ177" s="427">
        <f t="shared" si="18"/>
        <v>10</v>
      </c>
      <c r="AK177" s="96"/>
      <c r="AL177" s="92"/>
      <c r="AM177" s="91"/>
      <c r="AN177" s="91"/>
      <c r="AO177" s="96"/>
      <c r="AP177" s="105"/>
      <c r="AQ177" s="105"/>
      <c r="AR177" s="105"/>
      <c r="AS177" s="105"/>
    </row>
    <row r="178" spans="1:45" ht="12" customHeight="1" x14ac:dyDescent="0.25">
      <c r="A178" s="90">
        <v>177</v>
      </c>
      <c r="B178" s="91"/>
      <c r="C178" s="91" t="s">
        <v>3177</v>
      </c>
      <c r="D178" s="92" t="s">
        <v>3178</v>
      </c>
      <c r="E178" s="91" t="s">
        <v>115</v>
      </c>
      <c r="F178" s="91" t="s">
        <v>0</v>
      </c>
      <c r="G178" s="56" t="s">
        <v>980</v>
      </c>
      <c r="H178" s="91">
        <v>80</v>
      </c>
      <c r="I178" s="91" t="s">
        <v>207</v>
      </c>
      <c r="J178" s="91" t="s">
        <v>4</v>
      </c>
      <c r="K178" s="92" t="s">
        <v>3179</v>
      </c>
      <c r="L178" s="93" t="str">
        <f>VLOOKUP(G178,'SKU 对应关系'!A:E,4,0)</f>
        <v>AP2US-H14</v>
      </c>
      <c r="M178" s="94" t="str">
        <f>_xlfn.IFNA(VLOOKUP(G178,'SKU 对应关系'!A:B,2,0),"")</f>
        <v>AP2US-H14 内置H14滤网桌面式空气净化器2-美规</v>
      </c>
      <c r="N178" s="95" t="str">
        <f>_xlfn.IFNA(VLOOKUP(G178,'SKU 对应关系'!$A:$D,3,0),"")</f>
        <v>AP2</v>
      </c>
      <c r="O178" s="96">
        <v>20</v>
      </c>
      <c r="P178" s="455">
        <v>474</v>
      </c>
      <c r="Q178" s="96" t="s">
        <v>16</v>
      </c>
      <c r="R178" s="91">
        <v>5.7</v>
      </c>
      <c r="S178" s="95">
        <v>200</v>
      </c>
      <c r="T178" s="98">
        <v>200</v>
      </c>
      <c r="U178" s="99">
        <f t="shared" si="19"/>
        <v>2901.8</v>
      </c>
      <c r="V178" s="100">
        <f t="shared" si="14"/>
        <v>36.272500000000001</v>
      </c>
      <c r="W178" s="101">
        <f t="shared" si="17"/>
        <v>5.4138059701492534</v>
      </c>
      <c r="X178" s="95"/>
      <c r="Y178" s="95"/>
      <c r="Z178" s="102"/>
      <c r="AA178" s="103">
        <v>46056</v>
      </c>
      <c r="AB178" s="103">
        <v>46095</v>
      </c>
      <c r="AC178" s="103"/>
      <c r="AD178" s="104">
        <f>IF(ISNA(VLOOKUP(D178,亚马逊入库配置费!B:F,5,0)),0,VLOOKUP(D178,亚马逊入库配置费!B:F,5,0))</f>
        <v>0</v>
      </c>
      <c r="AE178" s="104">
        <f t="shared" si="15"/>
        <v>0</v>
      </c>
      <c r="AF178" s="103">
        <v>46108</v>
      </c>
      <c r="AG178" s="90">
        <f t="shared" si="16"/>
        <v>52</v>
      </c>
      <c r="AH178" s="103">
        <v>46108</v>
      </c>
      <c r="AI178" s="96">
        <v>80</v>
      </c>
      <c r="AJ178" s="427">
        <f t="shared" si="18"/>
        <v>0</v>
      </c>
      <c r="AK178" s="96"/>
      <c r="AL178" s="92"/>
      <c r="AM178" s="91"/>
      <c r="AN178" s="91"/>
      <c r="AO178" s="96"/>
      <c r="AP178" s="105"/>
      <c r="AQ178" s="105"/>
      <c r="AR178" s="105"/>
      <c r="AS178" s="105"/>
    </row>
    <row r="179" spans="1:45" ht="12" customHeight="1" x14ac:dyDescent="0.25">
      <c r="A179" s="90">
        <v>178</v>
      </c>
      <c r="B179" s="91"/>
      <c r="C179" s="91" t="s">
        <v>3180</v>
      </c>
      <c r="D179" s="92" t="s">
        <v>3181</v>
      </c>
      <c r="E179" s="91" t="s">
        <v>1037</v>
      </c>
      <c r="F179" s="91" t="s">
        <v>0</v>
      </c>
      <c r="G179" s="56" t="s">
        <v>779</v>
      </c>
      <c r="H179" s="91">
        <v>160</v>
      </c>
      <c r="I179" s="91" t="s">
        <v>207</v>
      </c>
      <c r="J179" s="91" t="s">
        <v>4</v>
      </c>
      <c r="K179" s="92" t="s">
        <v>43</v>
      </c>
      <c r="L179" s="93" t="str">
        <f>VLOOKUP(G179,'SKU 对应关系'!A:E,4,0)</f>
        <v>MK1-B</v>
      </c>
      <c r="M179" s="94" t="str">
        <f>_xlfn.IFNA(VLOOKUP(G179,'SKU 对应关系'!A:B,2,0),"")</f>
        <v>MK1-B 智能球形把手锁 黑色</v>
      </c>
      <c r="N179" s="95" t="str">
        <f>_xlfn.IFNA(VLOOKUP(G179,'SKU 对应关系'!$A:$D,3,0),"")</f>
        <v>MK1</v>
      </c>
      <c r="O179" s="96">
        <v>10</v>
      </c>
      <c r="P179" s="455">
        <v>142</v>
      </c>
      <c r="Q179" s="96" t="s">
        <v>16</v>
      </c>
      <c r="R179" s="91">
        <v>9.5</v>
      </c>
      <c r="S179" s="95">
        <v>200</v>
      </c>
      <c r="T179" s="98">
        <v>200</v>
      </c>
      <c r="U179" s="99">
        <f t="shared" si="19"/>
        <v>1549</v>
      </c>
      <c r="V179" s="100">
        <f t="shared" si="14"/>
        <v>9.6812500000000004</v>
      </c>
      <c r="W179" s="101">
        <f t="shared" si="17"/>
        <v>1.4449626865671641</v>
      </c>
      <c r="X179" s="95"/>
      <c r="Y179" s="95"/>
      <c r="Z179" s="102"/>
      <c r="AA179" s="103">
        <v>46059</v>
      </c>
      <c r="AB179" s="103">
        <v>46075</v>
      </c>
      <c r="AC179" s="103"/>
      <c r="AD179" s="104">
        <f>IF(ISNA(VLOOKUP(D179,亚马逊入库配置费!B:F,5,0)),0,VLOOKUP(D179,亚马逊入库配置费!B:F,5,0))</f>
        <v>0.55999999999999994</v>
      </c>
      <c r="AE179" s="104">
        <f t="shared" si="15"/>
        <v>89.6</v>
      </c>
      <c r="AF179" s="103">
        <v>46092</v>
      </c>
      <c r="AG179" s="90">
        <f t="shared" si="16"/>
        <v>33</v>
      </c>
      <c r="AH179" s="103">
        <v>46124</v>
      </c>
      <c r="AI179" s="96"/>
      <c r="AJ179" s="427">
        <f t="shared" si="18"/>
        <v>32</v>
      </c>
      <c r="AK179" s="96"/>
      <c r="AL179" s="92"/>
      <c r="AM179" s="91"/>
      <c r="AN179" s="91"/>
      <c r="AO179" s="96"/>
      <c r="AP179" s="105"/>
      <c r="AQ179" s="105"/>
      <c r="AR179" s="105"/>
      <c r="AS179" s="105"/>
    </row>
    <row r="180" spans="1:45" ht="12" customHeight="1" x14ac:dyDescent="0.25">
      <c r="A180" s="90">
        <v>179</v>
      </c>
      <c r="B180" s="91"/>
      <c r="C180" s="91" t="s">
        <v>659</v>
      </c>
      <c r="D180" s="92" t="s">
        <v>4170</v>
      </c>
      <c r="E180" s="91" t="s">
        <v>115</v>
      </c>
      <c r="F180" s="91" t="s">
        <v>0</v>
      </c>
      <c r="G180" s="56" t="s">
        <v>2195</v>
      </c>
      <c r="H180" s="91">
        <v>200</v>
      </c>
      <c r="I180" s="91" t="s">
        <v>89</v>
      </c>
      <c r="J180" s="91" t="s">
        <v>8</v>
      </c>
      <c r="K180" s="92" t="s">
        <v>50</v>
      </c>
      <c r="L180" s="93" t="str">
        <f>VLOOKUP(G180,'SKU 对应关系'!A:E,4,0)</f>
        <v>ANZ-B</v>
      </c>
      <c r="M180" s="94" t="str">
        <f>_xlfn.IFNA(VLOOKUP(G180,'SKU 对应关系'!A:B,2,0),"")</f>
        <v>ANZ-B 便携式扩香仪 黑色</v>
      </c>
      <c r="N180" s="95" t="str">
        <f>_xlfn.IFNA(VLOOKUP(G180,'SKU 对应关系'!$A:$D,3,0),"")</f>
        <v>ANZ</v>
      </c>
      <c r="O180" s="96">
        <v>5</v>
      </c>
      <c r="P180" s="455">
        <v>73.849999999999994</v>
      </c>
      <c r="Q180" s="96" t="s">
        <v>16</v>
      </c>
      <c r="R180" s="91">
        <v>3.3</v>
      </c>
      <c r="S180" s="95">
        <v>200</v>
      </c>
      <c r="T180" s="98">
        <v>7.1942446043165464</v>
      </c>
      <c r="U180" s="99">
        <f t="shared" ref="U180:U195" si="20">R180*P180+T180</f>
        <v>250.89924460431649</v>
      </c>
      <c r="V180" s="100">
        <f t="shared" si="14"/>
        <v>1.2544962230215824</v>
      </c>
      <c r="W180" s="101">
        <f t="shared" ref="W180:W195" si="21">V180/6.7</f>
        <v>0.1872382422420272</v>
      </c>
      <c r="X180" s="95"/>
      <c r="Y180" s="95"/>
      <c r="Z180" s="102"/>
      <c r="AA180" s="103">
        <v>46087</v>
      </c>
      <c r="AB180" s="103">
        <v>46109</v>
      </c>
      <c r="AC180" s="103"/>
      <c r="AD180" s="104">
        <f>IF(ISNA(VLOOKUP(D180,亚马逊入库配置费!B:F,5,0)),0,VLOOKUP(D180,亚马逊入库配置费!B:F,5,0))</f>
        <v>0.36</v>
      </c>
      <c r="AE180" s="104">
        <f t="shared" si="15"/>
        <v>72</v>
      </c>
      <c r="AF180" s="103">
        <v>46116</v>
      </c>
      <c r="AG180" s="90">
        <f t="shared" si="16"/>
        <v>29</v>
      </c>
      <c r="AH180" s="103">
        <v>46149</v>
      </c>
      <c r="AI180" s="96"/>
      <c r="AJ180" s="427">
        <f t="shared" si="18"/>
        <v>33</v>
      </c>
      <c r="AK180" s="96"/>
      <c r="AL180" s="92"/>
      <c r="AM180" s="91"/>
      <c r="AN180" s="91"/>
      <c r="AO180" s="96"/>
      <c r="AP180" s="105"/>
      <c r="AQ180" s="105"/>
      <c r="AR180" s="105"/>
      <c r="AS180" s="105"/>
    </row>
    <row r="181" spans="1:45" ht="12" customHeight="1" x14ac:dyDescent="0.25">
      <c r="A181" s="90">
        <v>180</v>
      </c>
      <c r="B181" s="91"/>
      <c r="C181" s="91" t="s">
        <v>688</v>
      </c>
      <c r="D181" s="92" t="s">
        <v>4171</v>
      </c>
      <c r="E181" s="91" t="s">
        <v>115</v>
      </c>
      <c r="F181" s="91" t="s">
        <v>0</v>
      </c>
      <c r="G181" s="56" t="s">
        <v>2195</v>
      </c>
      <c r="H181" s="91">
        <v>600</v>
      </c>
      <c r="I181" s="91" t="s">
        <v>89</v>
      </c>
      <c r="J181" s="91" t="s">
        <v>2412</v>
      </c>
      <c r="K181" s="92" t="s">
        <v>50</v>
      </c>
      <c r="L181" s="93" t="str">
        <f>VLOOKUP(G181,'SKU 对应关系'!A:E,4,0)</f>
        <v>ANZ-B</v>
      </c>
      <c r="M181" s="94" t="str">
        <f>_xlfn.IFNA(VLOOKUP(G181,'SKU 对应关系'!A:B,2,0),"")</f>
        <v>ANZ-B 便携式扩香仪 黑色</v>
      </c>
      <c r="N181" s="95" t="str">
        <f>_xlfn.IFNA(VLOOKUP(G181,'SKU 对应关系'!$A:$D,3,0),"")</f>
        <v>ANZ</v>
      </c>
      <c r="O181" s="96">
        <v>15</v>
      </c>
      <c r="P181" s="455">
        <v>202</v>
      </c>
      <c r="Q181" s="96" t="s">
        <v>16</v>
      </c>
      <c r="R181" s="91">
        <v>4.2</v>
      </c>
      <c r="S181" s="106">
        <f>SUMIF(C:C,C181,T:T)</f>
        <v>200</v>
      </c>
      <c r="T181" s="98">
        <v>200</v>
      </c>
      <c r="U181" s="99">
        <f t="shared" si="20"/>
        <v>1048.4000000000001</v>
      </c>
      <c r="V181" s="100">
        <f t="shared" si="14"/>
        <v>1.7473333333333334</v>
      </c>
      <c r="W181" s="101">
        <f t="shared" si="21"/>
        <v>0.2607960199004975</v>
      </c>
      <c r="X181" s="95"/>
      <c r="Y181" s="95"/>
      <c r="Z181" s="102"/>
      <c r="AA181" s="103">
        <v>46087</v>
      </c>
      <c r="AB181" s="103">
        <v>46106</v>
      </c>
      <c r="AC181" s="103"/>
      <c r="AD181" s="104">
        <f>IF(ISNA(VLOOKUP(D181,亚马逊入库配置费!B:F,5,0)),0,VLOOKUP(D181,亚马逊入库配置费!B:F,5,0))</f>
        <v>0.36</v>
      </c>
      <c r="AE181" s="104">
        <f t="shared" si="15"/>
        <v>216</v>
      </c>
      <c r="AF181" s="103">
        <v>46116</v>
      </c>
      <c r="AG181" s="90">
        <f t="shared" si="16"/>
        <v>29</v>
      </c>
      <c r="AH181" s="103">
        <v>46141</v>
      </c>
      <c r="AI181" s="96"/>
      <c r="AJ181" s="427">
        <f t="shared" si="18"/>
        <v>25</v>
      </c>
      <c r="AK181" s="96"/>
      <c r="AL181" s="92"/>
      <c r="AM181" s="91"/>
      <c r="AN181" s="91"/>
      <c r="AO181" s="96"/>
      <c r="AP181" s="105"/>
      <c r="AQ181" s="105"/>
      <c r="AR181" s="105"/>
      <c r="AS181" s="105"/>
    </row>
    <row r="182" spans="1:45" ht="12" customHeight="1" x14ac:dyDescent="0.25">
      <c r="A182" s="90">
        <v>181</v>
      </c>
      <c r="B182" s="91"/>
      <c r="C182" s="91" t="s">
        <v>659</v>
      </c>
      <c r="D182" s="92" t="s">
        <v>4172</v>
      </c>
      <c r="E182" s="91" t="s">
        <v>97</v>
      </c>
      <c r="F182" s="91" t="s">
        <v>0</v>
      </c>
      <c r="G182" s="56" t="s">
        <v>163</v>
      </c>
      <c r="H182" s="91">
        <v>800</v>
      </c>
      <c r="I182" s="91" t="s">
        <v>89</v>
      </c>
      <c r="J182" s="91" t="s">
        <v>8</v>
      </c>
      <c r="K182" s="92" t="s">
        <v>50</v>
      </c>
      <c r="L182" s="93" t="str">
        <f>VLOOKUP(G182,'SKU 对应关系'!A:E,4,0)</f>
        <v>AN6-B</v>
      </c>
      <c r="M182" s="94" t="str">
        <f>_xlfn.IFNA(VLOOKUP(G182,'SKU 对应关系'!A:B,2,0),"")</f>
        <v>AN6-B 便携式扩香仪 黑色</v>
      </c>
      <c r="N182" s="95" t="str">
        <f>_xlfn.IFNA(VLOOKUP(G182,'SKU 对应关系'!$A:$D,3,0),"")</f>
        <v>AN6</v>
      </c>
      <c r="O182" s="96">
        <v>20</v>
      </c>
      <c r="P182" s="455">
        <v>295.39555555555557</v>
      </c>
      <c r="Q182" s="96" t="s">
        <v>16</v>
      </c>
      <c r="R182" s="91">
        <v>3.3</v>
      </c>
      <c r="S182" s="95"/>
      <c r="T182" s="98">
        <v>28.776978417266186</v>
      </c>
      <c r="U182" s="99">
        <f t="shared" si="20"/>
        <v>1003.5823117505995</v>
      </c>
      <c r="V182" s="100">
        <f t="shared" si="14"/>
        <v>1.2544778896882494</v>
      </c>
      <c r="W182" s="101">
        <f t="shared" si="21"/>
        <v>0.18723550592361929</v>
      </c>
      <c r="X182" s="95"/>
      <c r="Y182" s="95"/>
      <c r="Z182" s="102"/>
      <c r="AA182" s="103">
        <v>46087</v>
      </c>
      <c r="AB182" s="103">
        <v>46109</v>
      </c>
      <c r="AC182" s="103"/>
      <c r="AD182" s="104">
        <f>IF(ISNA(VLOOKUP(D182,亚马逊入库配置费!B:F,5,0)),0,VLOOKUP(D182,亚马逊入库配置费!B:F,5,0))</f>
        <v>0.3721518987341772</v>
      </c>
      <c r="AE182" s="104">
        <f t="shared" si="15"/>
        <v>297.72151898734177</v>
      </c>
      <c r="AF182" s="103">
        <v>46116</v>
      </c>
      <c r="AG182" s="90">
        <f t="shared" si="16"/>
        <v>29</v>
      </c>
      <c r="AH182" s="103">
        <v>46151</v>
      </c>
      <c r="AI182" s="96"/>
      <c r="AJ182" s="427">
        <f t="shared" si="18"/>
        <v>35</v>
      </c>
      <c r="AK182" s="96"/>
      <c r="AL182" s="92"/>
      <c r="AM182" s="91"/>
      <c r="AN182" s="91"/>
      <c r="AO182" s="96"/>
      <c r="AP182" s="105"/>
      <c r="AQ182" s="105"/>
      <c r="AR182" s="105"/>
      <c r="AS182" s="105"/>
    </row>
    <row r="183" spans="1:45" ht="12" customHeight="1" x14ac:dyDescent="0.25">
      <c r="A183" s="90">
        <v>182</v>
      </c>
      <c r="B183" s="91"/>
      <c r="C183" s="91" t="s">
        <v>659</v>
      </c>
      <c r="D183" s="92" t="s">
        <v>4172</v>
      </c>
      <c r="E183" s="91" t="s">
        <v>97</v>
      </c>
      <c r="F183" s="91" t="s">
        <v>0</v>
      </c>
      <c r="G183" s="56" t="s">
        <v>165</v>
      </c>
      <c r="H183" s="91">
        <v>480</v>
      </c>
      <c r="I183" s="91" t="s">
        <v>89</v>
      </c>
      <c r="J183" s="91" t="s">
        <v>8</v>
      </c>
      <c r="K183" s="92" t="s">
        <v>50</v>
      </c>
      <c r="L183" s="93" t="str">
        <f>VLOOKUP(G183,'SKU 对应关系'!A:E,4,0)</f>
        <v>AN6-W</v>
      </c>
      <c r="M183" s="94" t="str">
        <f>_xlfn.IFNA(VLOOKUP(G183,'SKU 对应关系'!A:B,2,0),"")</f>
        <v>AN6-W 便携式扩香仪 白色</v>
      </c>
      <c r="N183" s="95" t="str">
        <f>_xlfn.IFNA(VLOOKUP(G183,'SKU 对应关系'!$A:$D,3,0),"")</f>
        <v>AN6</v>
      </c>
      <c r="O183" s="96">
        <v>12</v>
      </c>
      <c r="P183" s="455">
        <v>177.23733333333334</v>
      </c>
      <c r="Q183" s="96" t="s">
        <v>16</v>
      </c>
      <c r="R183" s="91">
        <v>3.3</v>
      </c>
      <c r="S183" s="106"/>
      <c r="T183" s="98">
        <v>17.266187050359711</v>
      </c>
      <c r="U183" s="99">
        <f t="shared" si="20"/>
        <v>602.14938705035968</v>
      </c>
      <c r="V183" s="100">
        <f t="shared" si="14"/>
        <v>1.2544778896882494</v>
      </c>
      <c r="W183" s="101">
        <f t="shared" si="21"/>
        <v>0.18723550592361929</v>
      </c>
      <c r="X183" s="95"/>
      <c r="Y183" s="95"/>
      <c r="Z183" s="102"/>
      <c r="AA183" s="103">
        <v>46087</v>
      </c>
      <c r="AB183" s="103">
        <v>46109</v>
      </c>
      <c r="AC183" s="103"/>
      <c r="AD183" s="104">
        <f>IF(ISNA(VLOOKUP(D183,亚马逊入库配置费!B:F,5,0)),0,VLOOKUP(D183,亚马逊入库配置费!B:F,5,0))</f>
        <v>0.3721518987341772</v>
      </c>
      <c r="AE183" s="104">
        <f t="shared" si="15"/>
        <v>178.63291139240505</v>
      </c>
      <c r="AF183" s="103">
        <v>46116</v>
      </c>
      <c r="AG183" s="90">
        <f t="shared" si="16"/>
        <v>29</v>
      </c>
      <c r="AH183" s="103">
        <v>46151</v>
      </c>
      <c r="AI183" s="96"/>
      <c r="AJ183" s="427">
        <f t="shared" si="18"/>
        <v>35</v>
      </c>
      <c r="AK183" s="96"/>
      <c r="AL183" s="92"/>
      <c r="AM183" s="91"/>
      <c r="AN183" s="91"/>
      <c r="AO183" s="96"/>
      <c r="AP183" s="105"/>
      <c r="AQ183" s="105"/>
      <c r="AR183" s="105"/>
      <c r="AS183" s="105"/>
    </row>
    <row r="184" spans="1:45" ht="12" customHeight="1" x14ac:dyDescent="0.25">
      <c r="A184" s="90">
        <v>183</v>
      </c>
      <c r="B184" s="91"/>
      <c r="C184" s="91" t="s">
        <v>659</v>
      </c>
      <c r="D184" s="92" t="s">
        <v>4172</v>
      </c>
      <c r="E184" s="91" t="s">
        <v>97</v>
      </c>
      <c r="F184" s="91" t="s">
        <v>0</v>
      </c>
      <c r="G184" s="56" t="s">
        <v>1217</v>
      </c>
      <c r="H184" s="91">
        <v>240</v>
      </c>
      <c r="I184" s="91" t="s">
        <v>89</v>
      </c>
      <c r="J184" s="91" t="s">
        <v>8</v>
      </c>
      <c r="K184" s="92" t="s">
        <v>50</v>
      </c>
      <c r="L184" s="93" t="str">
        <f>VLOOKUP(G184,'SKU 对应关系'!A:E,4,0)</f>
        <v>AN8KIT-B_B</v>
      </c>
      <c r="M184" s="94" t="str">
        <f>_xlfn.IFNA(VLOOKUP(G184,'SKU 对应关系'!A:B,2,0),"")</f>
        <v>AN8KIT-B_B 便携式扩香仪套装 黑+黑</v>
      </c>
      <c r="N184" s="95" t="str">
        <f>_xlfn.IFNA(VLOOKUP(G184,'SKU 对应关系'!$A:$D,3,0),"")</f>
        <v>AN8</v>
      </c>
      <c r="O184" s="96">
        <v>12</v>
      </c>
      <c r="P184" s="455">
        <v>177.23733333333334</v>
      </c>
      <c r="Q184" s="96" t="s">
        <v>16</v>
      </c>
      <c r="R184" s="91">
        <v>3.3</v>
      </c>
      <c r="S184" s="95"/>
      <c r="T184" s="98">
        <v>17.266187050359711</v>
      </c>
      <c r="U184" s="99">
        <f t="shared" si="20"/>
        <v>602.14938705035968</v>
      </c>
      <c r="V184" s="100">
        <f t="shared" si="14"/>
        <v>2.5089557793764987</v>
      </c>
      <c r="W184" s="101">
        <f t="shared" si="21"/>
        <v>0.37447101184723858</v>
      </c>
      <c r="X184" s="95"/>
      <c r="Y184" s="95"/>
      <c r="Z184" s="102"/>
      <c r="AA184" s="103">
        <v>46087</v>
      </c>
      <c r="AB184" s="103">
        <v>46109</v>
      </c>
      <c r="AC184" s="103"/>
      <c r="AD184" s="104">
        <f>IF(ISNA(VLOOKUP(D184,亚马逊入库配置费!B:F,5,0)),0,VLOOKUP(D184,亚马逊入库配置费!B:F,5,0))</f>
        <v>0.3721518987341772</v>
      </c>
      <c r="AE184" s="104">
        <f t="shared" si="15"/>
        <v>89.316455696202524</v>
      </c>
      <c r="AF184" s="103">
        <v>46116</v>
      </c>
      <c r="AG184" s="90">
        <f t="shared" si="16"/>
        <v>29</v>
      </c>
      <c r="AH184" s="103">
        <v>46151</v>
      </c>
      <c r="AI184" s="96"/>
      <c r="AJ184" s="427">
        <f t="shared" si="18"/>
        <v>35</v>
      </c>
      <c r="AK184" s="96"/>
      <c r="AL184" s="92"/>
      <c r="AM184" s="91"/>
      <c r="AN184" s="91"/>
      <c r="AO184" s="96"/>
      <c r="AP184" s="105"/>
      <c r="AQ184" s="105"/>
      <c r="AR184" s="105"/>
      <c r="AS184" s="105"/>
    </row>
    <row r="185" spans="1:45" ht="12" customHeight="1" x14ac:dyDescent="0.25">
      <c r="A185" s="90">
        <v>184</v>
      </c>
      <c r="B185" s="91"/>
      <c r="C185" s="91" t="s">
        <v>659</v>
      </c>
      <c r="D185" s="92" t="s">
        <v>4172</v>
      </c>
      <c r="E185" s="91" t="s">
        <v>97</v>
      </c>
      <c r="F185" s="91" t="s">
        <v>0</v>
      </c>
      <c r="G185" s="56" t="s">
        <v>2964</v>
      </c>
      <c r="H185" s="91">
        <v>60</v>
      </c>
      <c r="I185" s="91" t="s">
        <v>89</v>
      </c>
      <c r="J185" s="91" t="s">
        <v>8</v>
      </c>
      <c r="K185" s="92" t="s">
        <v>50</v>
      </c>
      <c r="L185" s="93" t="str">
        <f>VLOOKUP(G185,'SKU 对应关系'!A:E,4,0)</f>
        <v>RD1PJ-BOT</v>
      </c>
      <c r="M185" s="94" t="str">
        <f>_xlfn.IFNA(VLOOKUP(G185,'SKU 对应关系'!A:B,2,0),"")</f>
        <v>RD1PJ-BOT 便携式扩香仪100mL带盖替换玻璃瓶</v>
      </c>
      <c r="N185" s="95" t="str">
        <f>_xlfn.IFNA(VLOOKUP(G185,'SKU 对应关系'!$A:$D,3,0),"")</f>
        <v>RD1-AC</v>
      </c>
      <c r="O185" s="96">
        <v>1</v>
      </c>
      <c r="P185" s="455">
        <v>14.769777777777778</v>
      </c>
      <c r="Q185" s="96" t="s">
        <v>16</v>
      </c>
      <c r="R185" s="91">
        <v>3.3</v>
      </c>
      <c r="S185" s="95"/>
      <c r="T185" s="98">
        <v>1.4388489208633093</v>
      </c>
      <c r="U185" s="99">
        <f t="shared" si="20"/>
        <v>50.179115587529971</v>
      </c>
      <c r="V185" s="100">
        <f t="shared" si="14"/>
        <v>0.8363185931254995</v>
      </c>
      <c r="W185" s="101">
        <f t="shared" si="21"/>
        <v>0.12482367061574619</v>
      </c>
      <c r="X185" s="95"/>
      <c r="Y185" s="95"/>
      <c r="Z185" s="102"/>
      <c r="AA185" s="103">
        <v>46087</v>
      </c>
      <c r="AB185" s="103">
        <v>46109</v>
      </c>
      <c r="AC185" s="103"/>
      <c r="AD185" s="104">
        <f>IF(ISNA(VLOOKUP(D185,亚马逊入库配置费!B:F,5,0)),0,VLOOKUP(D185,亚马逊入库配置费!B:F,5,0))</f>
        <v>0.3721518987341772</v>
      </c>
      <c r="AE185" s="104">
        <f t="shared" si="15"/>
        <v>22.329113924050631</v>
      </c>
      <c r="AF185" s="103">
        <v>46116</v>
      </c>
      <c r="AG185" s="90">
        <f t="shared" si="16"/>
        <v>29</v>
      </c>
      <c r="AH185" s="103">
        <v>46151</v>
      </c>
      <c r="AI185" s="96"/>
      <c r="AJ185" s="427">
        <f t="shared" si="18"/>
        <v>35</v>
      </c>
      <c r="AK185" s="96"/>
      <c r="AL185" s="92"/>
      <c r="AM185" s="91"/>
      <c r="AN185" s="91"/>
      <c r="AO185" s="96"/>
      <c r="AP185" s="105"/>
      <c r="AQ185" s="105"/>
      <c r="AR185" s="105"/>
      <c r="AS185" s="105"/>
    </row>
    <row r="186" spans="1:45" ht="12" customHeight="1" x14ac:dyDescent="0.25">
      <c r="A186" s="90">
        <v>185</v>
      </c>
      <c r="B186" s="91"/>
      <c r="C186" s="91" t="s">
        <v>659</v>
      </c>
      <c r="D186" s="92" t="s">
        <v>4173</v>
      </c>
      <c r="E186" s="91" t="s">
        <v>97</v>
      </c>
      <c r="F186" s="91" t="s">
        <v>0</v>
      </c>
      <c r="G186" s="56" t="s">
        <v>1195</v>
      </c>
      <c r="H186" s="91">
        <v>300</v>
      </c>
      <c r="I186" s="91" t="s">
        <v>89</v>
      </c>
      <c r="J186" s="91" t="s">
        <v>8</v>
      </c>
      <c r="K186" s="92" t="s">
        <v>50</v>
      </c>
      <c r="L186" s="93" t="str">
        <f>VLOOKUP(G186,'SKU 对应关系'!A:E,4,0)</f>
        <v>AN6KIT-B_4X10ML</v>
      </c>
      <c r="M186" s="94" t="str">
        <f>_xlfn.IFNA(VLOOKUP(G186,'SKU 对应关系'!A:B,2,0),"")</f>
        <v>AN6KIT-B_4X10ML AN6黑色机器+4x10mL香氛油（天竺） 机油套装</v>
      </c>
      <c r="N186" s="95" t="str">
        <f>_xlfn.IFNA(VLOOKUP(G186,'SKU 对应关系'!$A:$D,3,0),"")</f>
        <v>AN6</v>
      </c>
      <c r="O186" s="96">
        <v>10</v>
      </c>
      <c r="P186" s="455">
        <v>147.69753086419752</v>
      </c>
      <c r="Q186" s="96" t="s">
        <v>16</v>
      </c>
      <c r="R186" s="91">
        <v>3.3</v>
      </c>
      <c r="S186" s="95"/>
      <c r="T186" s="98">
        <v>14.388489208633093</v>
      </c>
      <c r="U186" s="99">
        <f t="shared" si="20"/>
        <v>501.79034106048488</v>
      </c>
      <c r="V186" s="100">
        <f t="shared" si="14"/>
        <v>1.6726344702016163</v>
      </c>
      <c r="W186" s="101">
        <f t="shared" si="21"/>
        <v>0.24964693585098749</v>
      </c>
      <c r="X186" s="95"/>
      <c r="Y186" s="95"/>
      <c r="Z186" s="102"/>
      <c r="AA186" s="103">
        <v>46087</v>
      </c>
      <c r="AB186" s="103">
        <v>46109</v>
      </c>
      <c r="AC186" s="103"/>
      <c r="AD186" s="104">
        <f>IF(ISNA(VLOOKUP(D186,亚马逊入库配置费!B:F,5,0)),0,VLOOKUP(D186,亚马逊入库配置费!B:F,5,0))</f>
        <v>0.44</v>
      </c>
      <c r="AE186" s="104">
        <f t="shared" si="15"/>
        <v>132</v>
      </c>
      <c r="AF186" s="103">
        <v>46116</v>
      </c>
      <c r="AG186" s="90">
        <f t="shared" si="16"/>
        <v>29</v>
      </c>
      <c r="AH186" s="103">
        <v>46151</v>
      </c>
      <c r="AI186" s="96"/>
      <c r="AJ186" s="427">
        <f t="shared" si="18"/>
        <v>35</v>
      </c>
      <c r="AK186" s="96"/>
      <c r="AL186" s="92"/>
      <c r="AM186" s="91"/>
      <c r="AN186" s="91"/>
      <c r="AO186" s="96"/>
      <c r="AP186" s="105"/>
      <c r="AQ186" s="105"/>
      <c r="AR186" s="105"/>
      <c r="AS186" s="105"/>
    </row>
    <row r="187" spans="1:45" ht="12" customHeight="1" x14ac:dyDescent="0.25">
      <c r="A187" s="90">
        <v>186</v>
      </c>
      <c r="B187" s="91"/>
      <c r="C187" s="91" t="s">
        <v>659</v>
      </c>
      <c r="D187" s="92" t="s">
        <v>4173</v>
      </c>
      <c r="E187" s="91" t="s">
        <v>97</v>
      </c>
      <c r="F187" s="91" t="s">
        <v>0</v>
      </c>
      <c r="G187" s="56" t="s">
        <v>1215</v>
      </c>
      <c r="H187" s="91">
        <v>1200</v>
      </c>
      <c r="I187" s="91" t="s">
        <v>89</v>
      </c>
      <c r="J187" s="91" t="s">
        <v>8</v>
      </c>
      <c r="K187" s="92" t="s">
        <v>50</v>
      </c>
      <c r="L187" s="93" t="str">
        <f>VLOOKUP(G187,'SKU 对应关系'!A:E,4,0)</f>
        <v>AN8KIT-B_4X10K01</v>
      </c>
      <c r="M187" s="94" t="str">
        <f>_xlfn.IFNA(VLOOKUP(G187,'SKU 对应关系'!A:B,2,0),"")</f>
        <v>AN8KIT-B_4X10K01 AN8黑色机器+4x10mL酒店香氛油 机油套装</v>
      </c>
      <c r="N187" s="95" t="str">
        <f>_xlfn.IFNA(VLOOKUP(G187,'SKU 对应关系'!$A:$D,3,0),"")</f>
        <v>AN8</v>
      </c>
      <c r="O187" s="96">
        <v>40</v>
      </c>
      <c r="P187" s="455">
        <v>590.79012345679007</v>
      </c>
      <c r="Q187" s="96" t="s">
        <v>16</v>
      </c>
      <c r="R187" s="91">
        <v>3.3</v>
      </c>
      <c r="S187" s="95"/>
      <c r="T187" s="98">
        <v>57.553956834532372</v>
      </c>
      <c r="U187" s="99">
        <f t="shared" si="20"/>
        <v>2007.1613642419395</v>
      </c>
      <c r="V187" s="100">
        <f t="shared" si="14"/>
        <v>1.6726344702016163</v>
      </c>
      <c r="W187" s="101">
        <f t="shared" si="21"/>
        <v>0.24964693585098749</v>
      </c>
      <c r="X187" s="95"/>
      <c r="Y187" s="95"/>
      <c r="Z187" s="102"/>
      <c r="AA187" s="103">
        <v>46087</v>
      </c>
      <c r="AB187" s="103">
        <v>46109</v>
      </c>
      <c r="AC187" s="103"/>
      <c r="AD187" s="104">
        <f>IF(ISNA(VLOOKUP(D187,亚马逊入库配置费!B:F,5,0)),0,VLOOKUP(D187,亚马逊入库配置费!B:F,5,0))</f>
        <v>0.44</v>
      </c>
      <c r="AE187" s="104">
        <f t="shared" si="15"/>
        <v>528</v>
      </c>
      <c r="AF187" s="103">
        <v>46116</v>
      </c>
      <c r="AG187" s="90">
        <f t="shared" si="16"/>
        <v>29</v>
      </c>
      <c r="AH187" s="103">
        <v>46151</v>
      </c>
      <c r="AI187" s="96"/>
      <c r="AJ187" s="427">
        <f t="shared" si="18"/>
        <v>35</v>
      </c>
      <c r="AK187" s="96"/>
      <c r="AL187" s="92"/>
      <c r="AM187" s="91"/>
      <c r="AN187" s="91"/>
      <c r="AO187" s="96"/>
      <c r="AP187" s="105"/>
      <c r="AQ187" s="105"/>
      <c r="AR187" s="105"/>
      <c r="AS187" s="105"/>
    </row>
    <row r="188" spans="1:45" ht="12" customHeight="1" x14ac:dyDescent="0.25">
      <c r="A188" s="90">
        <v>187</v>
      </c>
      <c r="B188" s="91"/>
      <c r="C188" s="91" t="s">
        <v>659</v>
      </c>
      <c r="D188" s="92" t="s">
        <v>4173</v>
      </c>
      <c r="E188" s="91" t="s">
        <v>97</v>
      </c>
      <c r="F188" s="91" t="s">
        <v>0</v>
      </c>
      <c r="G188" s="56" t="s">
        <v>1902</v>
      </c>
      <c r="H188" s="91">
        <v>450</v>
      </c>
      <c r="I188" s="91" t="s">
        <v>89</v>
      </c>
      <c r="J188" s="91" t="s">
        <v>8</v>
      </c>
      <c r="K188" s="92" t="s">
        <v>50</v>
      </c>
      <c r="L188" s="93" t="str">
        <f>VLOOKUP(G188,'SKU 对应关系'!A:E,4,0)</f>
        <v>AN8KIT-WH_4X10K01</v>
      </c>
      <c r="M188" s="94" t="str">
        <f>_xlfn.IFNA(VLOOKUP(G188,'SKU 对应关系'!A:B,2,0),"")</f>
        <v>AN8KIT-WH_4X10K01 AN8白色机器+4x10mL酒店香氛油 机油套装</v>
      </c>
      <c r="N188" s="95" t="str">
        <f>_xlfn.IFNA(VLOOKUP(G188,'SKU 对应关系'!$A:$D,3,0),"")</f>
        <v>AN8</v>
      </c>
      <c r="O188" s="96">
        <v>15</v>
      </c>
      <c r="P188" s="455">
        <v>221.5462962962963</v>
      </c>
      <c r="Q188" s="96" t="s">
        <v>16</v>
      </c>
      <c r="R188" s="91">
        <v>3.3</v>
      </c>
      <c r="S188" s="95"/>
      <c r="T188" s="98">
        <v>21.582733812949641</v>
      </c>
      <c r="U188" s="99">
        <f t="shared" si="20"/>
        <v>752.6855115907274</v>
      </c>
      <c r="V188" s="100">
        <f t="shared" si="14"/>
        <v>1.6726344702016165</v>
      </c>
      <c r="W188" s="101">
        <f t="shared" si="21"/>
        <v>0.24964693585098752</v>
      </c>
      <c r="X188" s="95"/>
      <c r="Y188" s="95"/>
      <c r="Z188" s="102"/>
      <c r="AA188" s="103">
        <v>46087</v>
      </c>
      <c r="AB188" s="103">
        <v>46109</v>
      </c>
      <c r="AC188" s="103"/>
      <c r="AD188" s="104">
        <f>IF(ISNA(VLOOKUP(D188,亚马逊入库配置费!B:F,5,0)),0,VLOOKUP(D188,亚马逊入库配置费!B:F,5,0))</f>
        <v>0.44</v>
      </c>
      <c r="AE188" s="104">
        <f t="shared" si="15"/>
        <v>198</v>
      </c>
      <c r="AF188" s="103">
        <v>46116</v>
      </c>
      <c r="AG188" s="90">
        <f t="shared" si="16"/>
        <v>29</v>
      </c>
      <c r="AH188" s="103">
        <v>46151</v>
      </c>
      <c r="AI188" s="96"/>
      <c r="AJ188" s="427">
        <f t="shared" si="18"/>
        <v>35</v>
      </c>
      <c r="AK188" s="96"/>
      <c r="AL188" s="92"/>
      <c r="AM188" s="91"/>
      <c r="AN188" s="91"/>
      <c r="AO188" s="96"/>
      <c r="AP188" s="105"/>
      <c r="AQ188" s="105"/>
      <c r="AR188" s="105"/>
      <c r="AS188" s="105"/>
    </row>
    <row r="189" spans="1:45" ht="12" customHeight="1" x14ac:dyDescent="0.25">
      <c r="A189" s="90">
        <v>188</v>
      </c>
      <c r="B189" s="91"/>
      <c r="C189" s="91" t="s">
        <v>659</v>
      </c>
      <c r="D189" s="92" t="s">
        <v>4173</v>
      </c>
      <c r="E189" s="91" t="s">
        <v>97</v>
      </c>
      <c r="F189" s="91" t="s">
        <v>0</v>
      </c>
      <c r="G189" s="56" t="s">
        <v>2342</v>
      </c>
      <c r="H189" s="91">
        <v>320</v>
      </c>
      <c r="I189" s="91" t="s">
        <v>89</v>
      </c>
      <c r="J189" s="91" t="s">
        <v>8</v>
      </c>
      <c r="K189" s="92" t="s">
        <v>50</v>
      </c>
      <c r="L189" s="93" t="str">
        <f>VLOOKUP(G189,'SKU 对应关系'!A:E,4,0)</f>
        <v>RD1KIT-T_2X30K04</v>
      </c>
      <c r="M189" s="94" t="str">
        <f>_xlfn.IFNA(VLOOKUP(G189,'SKU 对应关系'!A:B,2,0),"")</f>
        <v>RD1KIT-T_2X30K04 RD1沙漠钛色机器+2X30mL酒店香氛油 机油套装</v>
      </c>
      <c r="N189" s="95" t="str">
        <f>_xlfn.IFNA(VLOOKUP(G189,'SKU 对应关系'!$A:$D,3,0),"")</f>
        <v>RD1</v>
      </c>
      <c r="O189" s="96">
        <v>16</v>
      </c>
      <c r="P189" s="455">
        <v>236.31604938271605</v>
      </c>
      <c r="Q189" s="96" t="s">
        <v>16</v>
      </c>
      <c r="R189" s="91">
        <v>3.3</v>
      </c>
      <c r="S189" s="95"/>
      <c r="T189" s="98">
        <v>23.021582733812949</v>
      </c>
      <c r="U189" s="99">
        <f t="shared" si="20"/>
        <v>802.86454569677585</v>
      </c>
      <c r="V189" s="100">
        <f t="shared" si="14"/>
        <v>2.5089517053024246</v>
      </c>
      <c r="W189" s="101">
        <f t="shared" si="21"/>
        <v>0.37447040377648128</v>
      </c>
      <c r="X189" s="95"/>
      <c r="Y189" s="95"/>
      <c r="Z189" s="102"/>
      <c r="AA189" s="103">
        <v>46087</v>
      </c>
      <c r="AB189" s="103">
        <v>46109</v>
      </c>
      <c r="AC189" s="103"/>
      <c r="AD189" s="104">
        <f>IF(ISNA(VLOOKUP(D189,亚马逊入库配置费!B:F,5,0)),0,VLOOKUP(D189,亚马逊入库配置费!B:F,5,0))</f>
        <v>0.44</v>
      </c>
      <c r="AE189" s="104">
        <f t="shared" si="15"/>
        <v>140.80000000000001</v>
      </c>
      <c r="AF189" s="103">
        <v>46116</v>
      </c>
      <c r="AG189" s="90">
        <f t="shared" si="16"/>
        <v>29</v>
      </c>
      <c r="AH189" s="103">
        <v>46151</v>
      </c>
      <c r="AI189" s="96"/>
      <c r="AJ189" s="427">
        <f t="shared" si="18"/>
        <v>35</v>
      </c>
      <c r="AK189" s="96"/>
      <c r="AL189" s="92"/>
      <c r="AM189" s="91"/>
      <c r="AN189" s="91"/>
      <c r="AO189" s="96"/>
      <c r="AP189" s="105"/>
      <c r="AQ189" s="105"/>
      <c r="AR189" s="105"/>
      <c r="AS189" s="105"/>
    </row>
    <row r="190" spans="1:45" ht="12" customHeight="1" x14ac:dyDescent="0.25">
      <c r="A190" s="90">
        <v>189</v>
      </c>
      <c r="B190" s="91"/>
      <c r="C190" s="91" t="s">
        <v>680</v>
      </c>
      <c r="D190" s="92" t="s">
        <v>4205</v>
      </c>
      <c r="E190" s="91" t="s">
        <v>86</v>
      </c>
      <c r="F190" s="91" t="s">
        <v>87</v>
      </c>
      <c r="G190" s="56" t="s">
        <v>163</v>
      </c>
      <c r="H190" s="91">
        <v>160</v>
      </c>
      <c r="I190" s="91" t="s">
        <v>89</v>
      </c>
      <c r="J190" s="91" t="s">
        <v>90</v>
      </c>
      <c r="K190" s="92" t="s">
        <v>2530</v>
      </c>
      <c r="L190" s="93" t="str">
        <f>VLOOKUP(G190,'SKU 对应关系'!A:E,4,0)</f>
        <v>AN6-B</v>
      </c>
      <c r="M190" s="94" t="str">
        <f>_xlfn.IFNA(VLOOKUP(G190,'SKU 对应关系'!A:B,2,0),"")</f>
        <v>AN6-B 便携式扩香仪 黑色</v>
      </c>
      <c r="N190" s="95" t="str">
        <f>_xlfn.IFNA(VLOOKUP(G190,'SKU 对应关系'!$A:$D,3,0),"")</f>
        <v>AN6</v>
      </c>
      <c r="O190" s="96">
        <v>4</v>
      </c>
      <c r="P190" s="455">
        <v>54.8</v>
      </c>
      <c r="Q190" s="96" t="s">
        <v>16</v>
      </c>
      <c r="R190" s="91">
        <v>6</v>
      </c>
      <c r="S190" s="95">
        <v>200</v>
      </c>
      <c r="T190" s="98">
        <v>80</v>
      </c>
      <c r="U190" s="99">
        <f t="shared" si="20"/>
        <v>408.79999999999995</v>
      </c>
      <c r="V190" s="100">
        <f t="shared" si="14"/>
        <v>2.5549999999999997</v>
      </c>
      <c r="W190" s="101">
        <f t="shared" si="21"/>
        <v>0.38134328358208952</v>
      </c>
      <c r="X190" s="95"/>
      <c r="Y190" s="95"/>
      <c r="Z190" s="102"/>
      <c r="AA190" s="103">
        <v>46087</v>
      </c>
      <c r="AB190" s="103">
        <v>46121</v>
      </c>
      <c r="AC190" s="103"/>
      <c r="AD190" s="104">
        <f>IF(ISNA(VLOOKUP(D190,亚马逊入库配置费!B:F,5,0)),0,VLOOKUP(D190,亚马逊入库配置费!B:F,5,0))</f>
        <v>0</v>
      </c>
      <c r="AE190" s="104">
        <f t="shared" si="15"/>
        <v>0</v>
      </c>
      <c r="AF190" s="103">
        <v>46125</v>
      </c>
      <c r="AG190" s="90">
        <f t="shared" si="16"/>
        <v>38</v>
      </c>
      <c r="AH190" s="103">
        <v>46155</v>
      </c>
      <c r="AI190" s="96"/>
      <c r="AJ190" s="427">
        <f t="shared" si="18"/>
        <v>30</v>
      </c>
      <c r="AK190" s="96"/>
      <c r="AL190" s="92"/>
      <c r="AM190" s="91"/>
      <c r="AN190" s="91"/>
      <c r="AO190" s="96"/>
      <c r="AP190" s="105"/>
      <c r="AQ190" s="105"/>
      <c r="AR190" s="105"/>
      <c r="AS190" s="105"/>
    </row>
    <row r="191" spans="1:45" ht="12" customHeight="1" x14ac:dyDescent="0.25">
      <c r="A191" s="90">
        <v>190</v>
      </c>
      <c r="B191" s="91"/>
      <c r="C191" s="91" t="s">
        <v>680</v>
      </c>
      <c r="D191" s="92" t="s">
        <v>4174</v>
      </c>
      <c r="E191" s="91" t="s">
        <v>86</v>
      </c>
      <c r="F191" s="91" t="s">
        <v>87</v>
      </c>
      <c r="G191" s="56" t="s">
        <v>165</v>
      </c>
      <c r="H191" s="91">
        <v>200</v>
      </c>
      <c r="I191" s="91" t="s">
        <v>89</v>
      </c>
      <c r="J191" s="91" t="s">
        <v>90</v>
      </c>
      <c r="K191" s="92" t="s">
        <v>2530</v>
      </c>
      <c r="L191" s="93" t="str">
        <f>VLOOKUP(G191,'SKU 对应关系'!A:E,4,0)</f>
        <v>AN6-W</v>
      </c>
      <c r="M191" s="94" t="str">
        <f>_xlfn.IFNA(VLOOKUP(G191,'SKU 对应关系'!A:B,2,0),"")</f>
        <v>AN6-W 便携式扩香仪 白色</v>
      </c>
      <c r="N191" s="95" t="str">
        <f>_xlfn.IFNA(VLOOKUP(G191,'SKU 对应关系'!$A:$D,3,0),"")</f>
        <v>AN6</v>
      </c>
      <c r="O191" s="96">
        <v>5</v>
      </c>
      <c r="P191" s="455">
        <v>68.5</v>
      </c>
      <c r="Q191" s="96" t="s">
        <v>16</v>
      </c>
      <c r="R191" s="91">
        <v>6</v>
      </c>
      <c r="S191" s="106">
        <f>SUMIF(C:C,C190,T:T)</f>
        <v>200</v>
      </c>
      <c r="T191" s="98">
        <v>100</v>
      </c>
      <c r="U191" s="99">
        <f t="shared" si="20"/>
        <v>511</v>
      </c>
      <c r="V191" s="100">
        <f t="shared" si="14"/>
        <v>2.5550000000000002</v>
      </c>
      <c r="W191" s="101">
        <f t="shared" si="21"/>
        <v>0.38134328358208958</v>
      </c>
      <c r="X191" s="95"/>
      <c r="Y191" s="95"/>
      <c r="Z191" s="102"/>
      <c r="AA191" s="103">
        <v>46087</v>
      </c>
      <c r="AB191" s="103">
        <v>46121</v>
      </c>
      <c r="AC191" s="103"/>
      <c r="AD191" s="104">
        <f>IF(ISNA(VLOOKUP(D191,亚马逊入库配置费!B:F,5,0)),0,VLOOKUP(D191,亚马逊入库配置费!B:F,5,0))</f>
        <v>0</v>
      </c>
      <c r="AE191" s="104">
        <f t="shared" si="15"/>
        <v>0</v>
      </c>
      <c r="AF191" s="103">
        <v>46125</v>
      </c>
      <c r="AG191" s="90">
        <f t="shared" si="16"/>
        <v>38</v>
      </c>
      <c r="AH191" s="103">
        <v>46155</v>
      </c>
      <c r="AI191" s="96"/>
      <c r="AJ191" s="427">
        <f t="shared" si="18"/>
        <v>30</v>
      </c>
      <c r="AK191" s="96"/>
      <c r="AL191" s="92"/>
      <c r="AM191" s="91"/>
      <c r="AN191" s="91"/>
      <c r="AO191" s="96"/>
      <c r="AP191" s="105"/>
      <c r="AQ191" s="105"/>
      <c r="AR191" s="105"/>
      <c r="AS191" s="105"/>
    </row>
    <row r="192" spans="1:45" ht="12" customHeight="1" x14ac:dyDescent="0.25">
      <c r="A192" s="90">
        <v>191</v>
      </c>
      <c r="B192" s="91"/>
      <c r="C192" s="91" t="s">
        <v>680</v>
      </c>
      <c r="D192" s="92" t="s">
        <v>4174</v>
      </c>
      <c r="E192" s="91" t="s">
        <v>86</v>
      </c>
      <c r="F192" s="91" t="s">
        <v>87</v>
      </c>
      <c r="G192" s="56" t="s">
        <v>355</v>
      </c>
      <c r="H192" s="91">
        <v>150</v>
      </c>
      <c r="I192" s="91" t="s">
        <v>89</v>
      </c>
      <c r="J192" s="91" t="s">
        <v>90</v>
      </c>
      <c r="K192" s="92" t="s">
        <v>2530</v>
      </c>
      <c r="L192" s="93" t="str">
        <f>VLOOKUP(G192,'SKU 对应关系'!A:E,4,0)</f>
        <v>AN6NZ-B</v>
      </c>
      <c r="M192" s="94" t="str">
        <f>_xlfn.IFNA(VLOOKUP(G192,'SKU 对应关系'!A:B,2,0),"")</f>
        <v>AN6NZ-B AN6喷嘴配件套装 黑色</v>
      </c>
      <c r="N192" s="95" t="str">
        <f>_xlfn.IFNA(VLOOKUP(G192,'SKU 对应关系'!$A:$D,3,0),"")</f>
        <v>AN6-AC</v>
      </c>
      <c r="O192" s="96">
        <v>0.75</v>
      </c>
      <c r="P192" s="455">
        <v>10.274999999999999</v>
      </c>
      <c r="Q192" s="96" t="s">
        <v>16</v>
      </c>
      <c r="R192" s="91">
        <v>6</v>
      </c>
      <c r="S192" s="95"/>
      <c r="T192" s="98">
        <v>15</v>
      </c>
      <c r="U192" s="99">
        <f t="shared" si="20"/>
        <v>76.649999999999991</v>
      </c>
      <c r="V192" s="100">
        <f t="shared" si="14"/>
        <v>0.5109999999999999</v>
      </c>
      <c r="W192" s="101">
        <f t="shared" si="21"/>
        <v>7.6268656716417887E-2</v>
      </c>
      <c r="X192" s="95"/>
      <c r="Y192" s="95"/>
      <c r="Z192" s="102"/>
      <c r="AA192" s="103">
        <v>46087</v>
      </c>
      <c r="AB192" s="103">
        <v>46121</v>
      </c>
      <c r="AC192" s="103"/>
      <c r="AD192" s="104">
        <f>IF(ISNA(VLOOKUP(D192,亚马逊入库配置费!B:F,5,0)),0,VLOOKUP(D192,亚马逊入库配置费!B:F,5,0))</f>
        <v>0</v>
      </c>
      <c r="AE192" s="104">
        <f t="shared" si="15"/>
        <v>0</v>
      </c>
      <c r="AF192" s="103">
        <v>46125</v>
      </c>
      <c r="AG192" s="90">
        <f t="shared" si="16"/>
        <v>38</v>
      </c>
      <c r="AH192" s="103">
        <v>46155</v>
      </c>
      <c r="AI192" s="96"/>
      <c r="AJ192" s="427">
        <f t="shared" si="18"/>
        <v>30</v>
      </c>
      <c r="AK192" s="96"/>
      <c r="AL192" s="92"/>
      <c r="AM192" s="91"/>
      <c r="AN192" s="91"/>
      <c r="AO192" s="96"/>
      <c r="AP192" s="105"/>
      <c r="AQ192" s="105"/>
      <c r="AR192" s="105"/>
      <c r="AS192" s="105"/>
    </row>
    <row r="193" spans="1:45" ht="12" customHeight="1" x14ac:dyDescent="0.25">
      <c r="A193" s="90">
        <v>192</v>
      </c>
      <c r="B193" s="91"/>
      <c r="C193" s="91" t="s">
        <v>680</v>
      </c>
      <c r="D193" s="92" t="s">
        <v>4174</v>
      </c>
      <c r="E193" s="91" t="s">
        <v>86</v>
      </c>
      <c r="F193" s="91" t="s">
        <v>87</v>
      </c>
      <c r="G193" s="56" t="s">
        <v>357</v>
      </c>
      <c r="H193" s="91">
        <v>50</v>
      </c>
      <c r="I193" s="91" t="s">
        <v>89</v>
      </c>
      <c r="J193" s="91" t="s">
        <v>90</v>
      </c>
      <c r="K193" s="92" t="s">
        <v>2530</v>
      </c>
      <c r="L193" s="93" t="str">
        <f>VLOOKUP(G193,'SKU 对应关系'!A:E,4,0)</f>
        <v>AN6NZ-W</v>
      </c>
      <c r="M193" s="94" t="str">
        <f>_xlfn.IFNA(VLOOKUP(G193,'SKU 对应关系'!A:B,2,0),"")</f>
        <v>AN6NZ-W AN6喷嘴配件套装 白色</v>
      </c>
      <c r="N193" s="95" t="str">
        <f>_xlfn.IFNA(VLOOKUP(G193,'SKU 对应关系'!$A:$D,3,0),"")</f>
        <v>AN6-AC</v>
      </c>
      <c r="O193" s="96">
        <v>0.25</v>
      </c>
      <c r="P193" s="455">
        <v>3.4249999999999998</v>
      </c>
      <c r="Q193" s="96" t="s">
        <v>16</v>
      </c>
      <c r="R193" s="91">
        <v>6</v>
      </c>
      <c r="S193" s="95"/>
      <c r="T193" s="98">
        <v>5</v>
      </c>
      <c r="U193" s="99">
        <f t="shared" si="20"/>
        <v>25.549999999999997</v>
      </c>
      <c r="V193" s="100">
        <f t="shared" si="14"/>
        <v>0.5109999999999999</v>
      </c>
      <c r="W193" s="101">
        <f t="shared" si="21"/>
        <v>7.6268656716417887E-2</v>
      </c>
      <c r="X193" s="95"/>
      <c r="Y193" s="95"/>
      <c r="Z193" s="102"/>
      <c r="AA193" s="103">
        <v>46087</v>
      </c>
      <c r="AB193" s="103">
        <v>46121</v>
      </c>
      <c r="AC193" s="103"/>
      <c r="AD193" s="104">
        <f>IF(ISNA(VLOOKUP(D193,亚马逊入库配置费!B:F,5,0)),0,VLOOKUP(D193,亚马逊入库配置费!B:F,5,0))</f>
        <v>0</v>
      </c>
      <c r="AE193" s="104">
        <f t="shared" si="15"/>
        <v>0</v>
      </c>
      <c r="AF193" s="103">
        <v>46125</v>
      </c>
      <c r="AG193" s="90">
        <f t="shared" si="16"/>
        <v>38</v>
      </c>
      <c r="AH193" s="103">
        <v>46155</v>
      </c>
      <c r="AI193" s="96"/>
      <c r="AJ193" s="427">
        <f t="shared" si="18"/>
        <v>30</v>
      </c>
      <c r="AK193" s="96"/>
      <c r="AL193" s="92"/>
      <c r="AM193" s="91"/>
      <c r="AN193" s="91"/>
      <c r="AO193" s="96"/>
      <c r="AP193" s="105"/>
      <c r="AQ193" s="105"/>
      <c r="AR193" s="105"/>
      <c r="AS193" s="105"/>
    </row>
    <row r="194" spans="1:45" ht="12" customHeight="1" x14ac:dyDescent="0.25">
      <c r="A194" s="90">
        <v>193</v>
      </c>
      <c r="B194" s="91"/>
      <c r="C194" s="91" t="s">
        <v>659</v>
      </c>
      <c r="D194" s="92" t="s">
        <v>4175</v>
      </c>
      <c r="E194" s="91" t="s">
        <v>97</v>
      </c>
      <c r="F194" s="91" t="s">
        <v>0</v>
      </c>
      <c r="G194" s="56" t="s">
        <v>163</v>
      </c>
      <c r="H194" s="91">
        <v>200</v>
      </c>
      <c r="I194" s="91" t="s">
        <v>89</v>
      </c>
      <c r="J194" s="91" t="s">
        <v>8</v>
      </c>
      <c r="K194" s="92" t="s">
        <v>50</v>
      </c>
      <c r="L194" s="93" t="str">
        <f>VLOOKUP(G194,'SKU 对应关系'!A:E,4,0)</f>
        <v>AN6-B</v>
      </c>
      <c r="M194" s="94" t="str">
        <f>_xlfn.IFNA(VLOOKUP(G194,'SKU 对应关系'!A:B,2,0),"")</f>
        <v>AN6-B 便携式扩香仪 黑色</v>
      </c>
      <c r="N194" s="95" t="str">
        <f>_xlfn.IFNA(VLOOKUP(G194,'SKU 对应关系'!$A:$D,3,0),"")</f>
        <v>AN6</v>
      </c>
      <c r="O194" s="96">
        <v>5</v>
      </c>
      <c r="P194" s="455">
        <v>73.849999999999994</v>
      </c>
      <c r="Q194" s="96" t="s">
        <v>16</v>
      </c>
      <c r="R194" s="91">
        <v>3.3</v>
      </c>
      <c r="S194" s="95"/>
      <c r="T194" s="98">
        <v>7.1942446043165464</v>
      </c>
      <c r="U194" s="99">
        <f t="shared" si="20"/>
        <v>250.89924460431649</v>
      </c>
      <c r="V194" s="100">
        <f t="shared" ref="V194:V257" si="22">U194/H194</f>
        <v>1.2544962230215824</v>
      </c>
      <c r="W194" s="101">
        <f t="shared" si="21"/>
        <v>0.1872382422420272</v>
      </c>
      <c r="X194" s="95"/>
      <c r="Y194" s="95"/>
      <c r="Z194" s="102"/>
      <c r="AA194" s="103">
        <v>46087</v>
      </c>
      <c r="AB194" s="103">
        <v>46109</v>
      </c>
      <c r="AC194" s="103"/>
      <c r="AD194" s="104">
        <f>IF(ISNA(VLOOKUP(D194,亚马逊入库配置费!B:F,5,0)),0,VLOOKUP(D194,亚马逊入库配置费!B:F,5,0))</f>
        <v>0.36</v>
      </c>
      <c r="AE194" s="104">
        <f t="shared" ref="AE194:AE208" si="23">AD194*H194</f>
        <v>72</v>
      </c>
      <c r="AF194" s="103">
        <v>46116</v>
      </c>
      <c r="AG194" s="90">
        <f t="shared" ref="AG194:AG257" si="24">AF194-AA194</f>
        <v>29</v>
      </c>
      <c r="AH194" s="103">
        <v>46148</v>
      </c>
      <c r="AI194" s="96"/>
      <c r="AJ194" s="427">
        <f t="shared" si="18"/>
        <v>32</v>
      </c>
      <c r="AK194" s="96"/>
      <c r="AL194" s="92"/>
      <c r="AM194" s="91"/>
      <c r="AN194" s="91"/>
      <c r="AO194" s="96"/>
      <c r="AP194" s="105"/>
      <c r="AQ194" s="105"/>
      <c r="AR194" s="105"/>
      <c r="AS194" s="105"/>
    </row>
    <row r="195" spans="1:45" ht="12" customHeight="1" x14ac:dyDescent="0.25">
      <c r="A195" s="90">
        <v>194</v>
      </c>
      <c r="B195" s="91"/>
      <c r="C195" s="91" t="s">
        <v>659</v>
      </c>
      <c r="D195" s="92" t="s">
        <v>4175</v>
      </c>
      <c r="E195" s="91" t="s">
        <v>97</v>
      </c>
      <c r="F195" s="91" t="s">
        <v>0</v>
      </c>
      <c r="G195" s="56" t="s">
        <v>876</v>
      </c>
      <c r="H195" s="91">
        <v>120</v>
      </c>
      <c r="I195" s="91" t="s">
        <v>89</v>
      </c>
      <c r="J195" s="91" t="s">
        <v>8</v>
      </c>
      <c r="K195" s="92" t="s">
        <v>50</v>
      </c>
      <c r="L195" s="93" t="str">
        <f>VLOOKUP(G195,'SKU 对应关系'!A:E,4,0)</f>
        <v>AN6-LV</v>
      </c>
      <c r="M195" s="94" t="str">
        <f>_xlfn.IFNA(VLOOKUP(G195,'SKU 对应关系'!A:B,2,0),"")</f>
        <v>AN6-LV 便携式扩香仪 薰衣草</v>
      </c>
      <c r="N195" s="95" t="str">
        <f>_xlfn.IFNA(VLOOKUP(G195,'SKU 对应关系'!$A:$D,3,0),"")</f>
        <v>AN6</v>
      </c>
      <c r="O195" s="96">
        <v>3</v>
      </c>
      <c r="P195" s="455">
        <v>44.31</v>
      </c>
      <c r="Q195" s="96" t="s">
        <v>16</v>
      </c>
      <c r="R195" s="91">
        <v>3.3</v>
      </c>
      <c r="S195" s="95"/>
      <c r="T195" s="98">
        <v>4.3165467625899279</v>
      </c>
      <c r="U195" s="99">
        <f t="shared" si="20"/>
        <v>150.53954676258994</v>
      </c>
      <c r="V195" s="100">
        <f t="shared" si="22"/>
        <v>1.2544962230215828</v>
      </c>
      <c r="W195" s="101">
        <f t="shared" si="21"/>
        <v>0.18723824224202729</v>
      </c>
      <c r="X195" s="95"/>
      <c r="Y195" s="95"/>
      <c r="Z195" s="102"/>
      <c r="AA195" s="103">
        <v>46087</v>
      </c>
      <c r="AB195" s="103">
        <v>46109</v>
      </c>
      <c r="AC195" s="103"/>
      <c r="AD195" s="104">
        <f>IF(ISNA(VLOOKUP(D195,亚马逊入库配置费!B:F,5,0)),0,VLOOKUP(D195,亚马逊入库配置费!B:F,5,0))</f>
        <v>0.36</v>
      </c>
      <c r="AE195" s="104">
        <f t="shared" si="23"/>
        <v>43.199999999999996</v>
      </c>
      <c r="AF195" s="103">
        <v>46116</v>
      </c>
      <c r="AG195" s="90">
        <f t="shared" si="24"/>
        <v>29</v>
      </c>
      <c r="AH195" s="103">
        <v>46148</v>
      </c>
      <c r="AI195" s="96"/>
      <c r="AJ195" s="427">
        <f t="shared" ref="AJ195:AJ258" si="25">AH195-AF195</f>
        <v>32</v>
      </c>
      <c r="AK195" s="96"/>
      <c r="AL195" s="92"/>
      <c r="AM195" s="91"/>
      <c r="AN195" s="91"/>
      <c r="AO195" s="96"/>
      <c r="AP195" s="105"/>
      <c r="AQ195" s="105"/>
      <c r="AR195" s="105"/>
      <c r="AS195" s="105"/>
    </row>
    <row r="196" spans="1:45" ht="12" customHeight="1" x14ac:dyDescent="0.25">
      <c r="A196" s="90">
        <v>195</v>
      </c>
      <c r="B196" s="91"/>
      <c r="C196" s="91" t="s">
        <v>731</v>
      </c>
      <c r="D196" s="92" t="s">
        <v>4179</v>
      </c>
      <c r="E196" s="91" t="s">
        <v>115</v>
      </c>
      <c r="F196" s="91" t="s">
        <v>0</v>
      </c>
      <c r="G196" s="56" t="s">
        <v>2195</v>
      </c>
      <c r="H196" s="91">
        <v>400</v>
      </c>
      <c r="I196" s="91" t="s">
        <v>89</v>
      </c>
      <c r="J196" s="91" t="s">
        <v>4</v>
      </c>
      <c r="K196" s="92" t="s">
        <v>43</v>
      </c>
      <c r="L196" s="93" t="str">
        <f>VLOOKUP(G196,'SKU 对应关系'!A:E,4,0)</f>
        <v>ANZ-B</v>
      </c>
      <c r="M196" s="94" t="str">
        <f>_xlfn.IFNA(VLOOKUP(G196,'SKU 对应关系'!A:B,2,0),"")</f>
        <v>ANZ-B 便携式扩香仪 黑色</v>
      </c>
      <c r="N196" s="95" t="str">
        <f>_xlfn.IFNA(VLOOKUP(G196,'SKU 对应关系'!$A:$D,3,0),"")</f>
        <v>ANZ</v>
      </c>
      <c r="O196" s="96">
        <v>10</v>
      </c>
      <c r="P196" s="455">
        <v>136</v>
      </c>
      <c r="Q196" s="96" t="s">
        <v>16</v>
      </c>
      <c r="R196" s="91">
        <v>6.3</v>
      </c>
      <c r="S196" s="241">
        <v>200</v>
      </c>
      <c r="T196" s="465">
        <v>40</v>
      </c>
      <c r="U196" s="99">
        <f t="shared" ref="U196:U234" si="26">R196*P196+T196</f>
        <v>896.8</v>
      </c>
      <c r="V196" s="100">
        <f t="shared" si="22"/>
        <v>2.242</v>
      </c>
      <c r="W196" s="101">
        <f t="shared" ref="W196:W234" si="27">V196/6.7</f>
        <v>0.33462686567164179</v>
      </c>
      <c r="X196" s="95"/>
      <c r="Y196" s="95"/>
      <c r="Z196" s="102"/>
      <c r="AA196" s="103">
        <v>46094</v>
      </c>
      <c r="AB196" s="103">
        <v>46110</v>
      </c>
      <c r="AC196" s="103"/>
      <c r="AD196" s="104">
        <f>IF(ISNA(VLOOKUP(D196,亚马逊入库配置费!B:F,5,0)),0,VLOOKUP(D196,亚马逊入库配置费!B:F,5,0))</f>
        <v>0.36</v>
      </c>
      <c r="AE196" s="104">
        <f t="shared" si="23"/>
        <v>144</v>
      </c>
      <c r="AF196" s="103">
        <v>46115</v>
      </c>
      <c r="AG196" s="90">
        <f t="shared" si="24"/>
        <v>21</v>
      </c>
      <c r="AH196" s="103">
        <v>46147</v>
      </c>
      <c r="AI196" s="96"/>
      <c r="AJ196" s="427">
        <f t="shared" si="25"/>
        <v>32</v>
      </c>
      <c r="AK196" s="96"/>
      <c r="AL196" s="92"/>
      <c r="AM196" s="91"/>
      <c r="AN196" s="91"/>
      <c r="AO196" s="96"/>
      <c r="AP196" s="105"/>
      <c r="AQ196" s="105"/>
      <c r="AR196" s="105"/>
      <c r="AS196" s="105"/>
    </row>
    <row r="197" spans="1:45" ht="12" customHeight="1" x14ac:dyDescent="0.25">
      <c r="A197" s="90">
        <v>196</v>
      </c>
      <c r="B197" s="91"/>
      <c r="C197" s="91" t="s">
        <v>4180</v>
      </c>
      <c r="D197" s="92" t="s">
        <v>4181</v>
      </c>
      <c r="E197" s="91" t="s">
        <v>115</v>
      </c>
      <c r="F197" s="91" t="s">
        <v>0</v>
      </c>
      <c r="G197" s="56" t="s">
        <v>608</v>
      </c>
      <c r="H197" s="91">
        <v>120</v>
      </c>
      <c r="I197" s="91" t="s">
        <v>89</v>
      </c>
      <c r="J197" s="91" t="s">
        <v>8</v>
      </c>
      <c r="K197" s="92" t="s">
        <v>43</v>
      </c>
      <c r="L197" s="93" t="str">
        <f>VLOOKUP(G197,'SKU 对应关系'!A:E,4,0)</f>
        <v>ANX-SG</v>
      </c>
      <c r="M197" s="94" t="str">
        <f>_xlfn.IFNA(VLOOKUP(G197,'SKU 对应关系'!A:B,2,0),"")</f>
        <v>ANX-SG 便携式扩香仪 太空灰色</v>
      </c>
      <c r="N197" s="95" t="str">
        <f>_xlfn.IFNA(VLOOKUP(G197,'SKU 对应关系'!$A:$D,3,0),"")</f>
        <v>ANX</v>
      </c>
      <c r="O197" s="96">
        <v>4</v>
      </c>
      <c r="P197" s="455">
        <v>53</v>
      </c>
      <c r="Q197" s="96" t="s">
        <v>16</v>
      </c>
      <c r="R197" s="91">
        <v>3.1</v>
      </c>
      <c r="S197" s="95">
        <v>200</v>
      </c>
      <c r="T197" s="98">
        <v>50</v>
      </c>
      <c r="U197" s="99">
        <f t="shared" si="26"/>
        <v>214.3</v>
      </c>
      <c r="V197" s="100">
        <f t="shared" si="22"/>
        <v>1.7858333333333334</v>
      </c>
      <c r="W197" s="101">
        <f t="shared" si="27"/>
        <v>0.26654228855721396</v>
      </c>
      <c r="X197" s="95"/>
      <c r="Y197" s="95"/>
      <c r="Z197" s="102"/>
      <c r="AA197" s="103">
        <v>46094</v>
      </c>
      <c r="AB197" s="103">
        <v>46118</v>
      </c>
      <c r="AC197" s="103"/>
      <c r="AD197" s="104">
        <f>IF(ISNA(VLOOKUP(D197,亚马逊入库配置费!B:F,5,0)),0,VLOOKUP(D197,亚马逊入库配置费!B:F,5,0))</f>
        <v>0.376</v>
      </c>
      <c r="AE197" s="104">
        <f t="shared" si="23"/>
        <v>45.12</v>
      </c>
      <c r="AF197" s="103">
        <v>46129</v>
      </c>
      <c r="AG197" s="90">
        <f t="shared" si="24"/>
        <v>35</v>
      </c>
      <c r="AH197" s="103">
        <v>46161</v>
      </c>
      <c r="AI197" s="96"/>
      <c r="AJ197" s="427">
        <f t="shared" si="25"/>
        <v>32</v>
      </c>
      <c r="AK197" s="96"/>
      <c r="AL197" s="92"/>
      <c r="AM197" s="91"/>
      <c r="AN197" s="91"/>
      <c r="AO197" s="96"/>
      <c r="AP197" s="105"/>
      <c r="AQ197" s="105"/>
      <c r="AR197" s="105"/>
      <c r="AS197" s="105"/>
    </row>
    <row r="198" spans="1:45" ht="12" customHeight="1" x14ac:dyDescent="0.25">
      <c r="A198" s="90">
        <v>197</v>
      </c>
      <c r="B198" s="91"/>
      <c r="C198" s="91" t="s">
        <v>4180</v>
      </c>
      <c r="D198" s="92" t="s">
        <v>4181</v>
      </c>
      <c r="E198" s="91" t="s">
        <v>115</v>
      </c>
      <c r="F198" s="91" t="s">
        <v>0</v>
      </c>
      <c r="G198" s="56" t="s">
        <v>2195</v>
      </c>
      <c r="H198" s="91">
        <v>480</v>
      </c>
      <c r="I198" s="91" t="s">
        <v>89</v>
      </c>
      <c r="J198" s="91" t="s">
        <v>8</v>
      </c>
      <c r="K198" s="92" t="s">
        <v>43</v>
      </c>
      <c r="L198" s="93" t="str">
        <f>VLOOKUP(G198,'SKU 对应关系'!A:E,4,0)</f>
        <v>ANZ-B</v>
      </c>
      <c r="M198" s="94" t="str">
        <f>_xlfn.IFNA(VLOOKUP(G198,'SKU 对应关系'!A:B,2,0),"")</f>
        <v>ANZ-B 便携式扩香仪 黑色</v>
      </c>
      <c r="N198" s="95" t="str">
        <f>_xlfn.IFNA(VLOOKUP(G198,'SKU 对应关系'!$A:$D,3,0),"")</f>
        <v>ANZ</v>
      </c>
      <c r="O198" s="96">
        <v>12</v>
      </c>
      <c r="P198" s="455">
        <v>159</v>
      </c>
      <c r="Q198" s="96" t="s">
        <v>16</v>
      </c>
      <c r="R198" s="91">
        <v>3.1</v>
      </c>
      <c r="S198" s="106">
        <f>SUMIF(C:C,C197,T:T)</f>
        <v>200</v>
      </c>
      <c r="T198" s="98">
        <v>150</v>
      </c>
      <c r="U198" s="99">
        <f t="shared" si="26"/>
        <v>642.90000000000009</v>
      </c>
      <c r="V198" s="100">
        <f t="shared" si="22"/>
        <v>1.3393750000000002</v>
      </c>
      <c r="W198" s="101">
        <f t="shared" si="27"/>
        <v>0.19990671641791047</v>
      </c>
      <c r="X198" s="95"/>
      <c r="Y198" s="95"/>
      <c r="Z198" s="102"/>
      <c r="AA198" s="103">
        <v>46094</v>
      </c>
      <c r="AB198" s="103">
        <v>46118</v>
      </c>
      <c r="AC198" s="103"/>
      <c r="AD198" s="104">
        <f>IF(ISNA(VLOOKUP(D198,亚马逊入库配置费!B:F,5,0)),0,VLOOKUP(D198,亚马逊入库配置费!B:F,5,0))</f>
        <v>0.376</v>
      </c>
      <c r="AE198" s="104">
        <f t="shared" si="23"/>
        <v>180.48</v>
      </c>
      <c r="AF198" s="103">
        <v>46129</v>
      </c>
      <c r="AG198" s="90">
        <f t="shared" si="24"/>
        <v>35</v>
      </c>
      <c r="AH198" s="103">
        <v>46161</v>
      </c>
      <c r="AI198" s="96"/>
      <c r="AJ198" s="427">
        <f t="shared" si="25"/>
        <v>32</v>
      </c>
      <c r="AK198" s="96"/>
      <c r="AL198" s="92"/>
      <c r="AM198" s="91"/>
      <c r="AN198" s="91"/>
      <c r="AO198" s="96"/>
      <c r="AP198" s="105"/>
      <c r="AQ198" s="105"/>
      <c r="AR198" s="105"/>
      <c r="AS198" s="105"/>
    </row>
    <row r="199" spans="1:45" ht="12" customHeight="1" x14ac:dyDescent="0.25">
      <c r="A199" s="90">
        <v>198</v>
      </c>
      <c r="B199" s="91"/>
      <c r="C199" s="91" t="s">
        <v>4182</v>
      </c>
      <c r="D199" s="92" t="s">
        <v>4183</v>
      </c>
      <c r="E199" s="91" t="s">
        <v>254</v>
      </c>
      <c r="F199" s="91" t="s">
        <v>255</v>
      </c>
      <c r="G199" s="56" t="s">
        <v>350</v>
      </c>
      <c r="H199" s="91">
        <v>240</v>
      </c>
      <c r="I199" s="91" t="s">
        <v>89</v>
      </c>
      <c r="J199" s="91" t="s">
        <v>2313</v>
      </c>
      <c r="K199" s="92" t="s">
        <v>437</v>
      </c>
      <c r="L199" s="93" t="str">
        <f>VLOOKUP(G199,'SKU 对应关系'!A:E,4,0)</f>
        <v>AN6-GL</v>
      </c>
      <c r="M199" s="94" t="str">
        <f>_xlfn.IFNA(VLOOKUP(G199,'SKU 对应关系'!A:B,2,0),"")</f>
        <v>AN6-GL 便携式扩香仪 翠百合色</v>
      </c>
      <c r="N199" s="95" t="str">
        <f>_xlfn.IFNA(VLOOKUP(G199,'SKU 对应关系'!$A:$D,3,0),"")</f>
        <v>AN6</v>
      </c>
      <c r="O199" s="96">
        <v>6</v>
      </c>
      <c r="P199" s="455">
        <v>80.400000000000006</v>
      </c>
      <c r="Q199" s="96" t="s">
        <v>16</v>
      </c>
      <c r="R199" s="91">
        <v>4.0999999999999996</v>
      </c>
      <c r="S199" s="95">
        <v>500</v>
      </c>
      <c r="T199" s="98">
        <v>300</v>
      </c>
      <c r="U199" s="99">
        <f t="shared" si="26"/>
        <v>629.64</v>
      </c>
      <c r="V199" s="100">
        <f t="shared" si="22"/>
        <v>2.6234999999999999</v>
      </c>
      <c r="W199" s="101">
        <f t="shared" si="27"/>
        <v>0.39156716417910448</v>
      </c>
      <c r="X199" s="95">
        <v>428.1</v>
      </c>
      <c r="Y199" s="95">
        <v>256.86</v>
      </c>
      <c r="Z199" s="102" t="s">
        <v>345</v>
      </c>
      <c r="AA199" s="103">
        <v>46094</v>
      </c>
      <c r="AB199" s="103">
        <v>46138</v>
      </c>
      <c r="AC199" s="103"/>
      <c r="AD199" s="104">
        <f>IF(ISNA(VLOOKUP(D199,亚马逊入库配置费!B:F,5,0)),0,VLOOKUP(D199,亚马逊入库配置费!B:F,5,0))</f>
        <v>0</v>
      </c>
      <c r="AE199" s="104">
        <f t="shared" si="23"/>
        <v>0</v>
      </c>
      <c r="AF199" s="103">
        <v>46143</v>
      </c>
      <c r="AG199" s="90">
        <f t="shared" si="24"/>
        <v>49</v>
      </c>
      <c r="AH199" s="103">
        <v>46174</v>
      </c>
      <c r="AI199" s="96"/>
      <c r="AJ199" s="427">
        <f t="shared" si="25"/>
        <v>31</v>
      </c>
      <c r="AK199" s="96"/>
      <c r="AL199" s="92"/>
      <c r="AM199" s="91"/>
      <c r="AN199" s="91"/>
      <c r="AO199" s="96"/>
      <c r="AP199" s="105"/>
      <c r="AQ199" s="105"/>
      <c r="AR199" s="105"/>
      <c r="AS199" s="105"/>
    </row>
    <row r="200" spans="1:45" ht="12" customHeight="1" x14ac:dyDescent="0.25">
      <c r="A200" s="90">
        <v>199</v>
      </c>
      <c r="B200" s="91"/>
      <c r="C200" s="91" t="s">
        <v>4182</v>
      </c>
      <c r="D200" s="92" t="s">
        <v>4183</v>
      </c>
      <c r="E200" s="91" t="s">
        <v>254</v>
      </c>
      <c r="F200" s="91" t="s">
        <v>255</v>
      </c>
      <c r="G200" s="56" t="s">
        <v>352</v>
      </c>
      <c r="H200" s="91">
        <v>80</v>
      </c>
      <c r="I200" s="91" t="s">
        <v>89</v>
      </c>
      <c r="J200" s="91" t="s">
        <v>2313</v>
      </c>
      <c r="K200" s="92" t="s">
        <v>437</v>
      </c>
      <c r="L200" s="93" t="str">
        <f>VLOOKUP(G200,'SKU 对应关系'!A:E,4,0)</f>
        <v>AN6-LB</v>
      </c>
      <c r="M200" s="94" t="str">
        <f>_xlfn.IFNA(VLOOKUP(G200,'SKU 对应关系'!A:B,2,0),"")</f>
        <v>AN6-LB 便携式扩香仪 浅钢蓝色</v>
      </c>
      <c r="N200" s="95" t="str">
        <f>_xlfn.IFNA(VLOOKUP(G200,'SKU 对应关系'!$A:$D,3,0),"")</f>
        <v>AN6</v>
      </c>
      <c r="O200" s="96">
        <v>2</v>
      </c>
      <c r="P200" s="455">
        <v>26.8</v>
      </c>
      <c r="Q200" s="96" t="s">
        <v>16</v>
      </c>
      <c r="R200" s="91">
        <v>4.0999999999999996</v>
      </c>
      <c r="S200" s="106">
        <f>SUMIF(C:C,C199,T:T)</f>
        <v>500</v>
      </c>
      <c r="T200" s="98">
        <v>100</v>
      </c>
      <c r="U200" s="99">
        <f t="shared" si="26"/>
        <v>209.88</v>
      </c>
      <c r="V200" s="100">
        <f t="shared" si="22"/>
        <v>2.6234999999999999</v>
      </c>
      <c r="W200" s="101">
        <f t="shared" si="27"/>
        <v>0.39156716417910448</v>
      </c>
      <c r="X200" s="95"/>
      <c r="Y200" s="95">
        <v>85.62</v>
      </c>
      <c r="Z200" s="102" t="s">
        <v>345</v>
      </c>
      <c r="AA200" s="103">
        <v>46094</v>
      </c>
      <c r="AB200" s="103">
        <v>46138</v>
      </c>
      <c r="AC200" s="103"/>
      <c r="AD200" s="104">
        <f>IF(ISNA(VLOOKUP(D200,亚马逊入库配置费!B:F,5,0)),0,VLOOKUP(D200,亚马逊入库配置费!B:F,5,0))</f>
        <v>0</v>
      </c>
      <c r="AE200" s="104">
        <f t="shared" si="23"/>
        <v>0</v>
      </c>
      <c r="AF200" s="103">
        <v>46143</v>
      </c>
      <c r="AG200" s="90">
        <f t="shared" si="24"/>
        <v>49</v>
      </c>
      <c r="AH200" s="103">
        <v>46174</v>
      </c>
      <c r="AI200" s="96"/>
      <c r="AJ200" s="427">
        <f t="shared" si="25"/>
        <v>31</v>
      </c>
      <c r="AK200" s="96"/>
      <c r="AL200" s="92"/>
      <c r="AM200" s="91"/>
      <c r="AN200" s="91"/>
      <c r="AO200" s="96"/>
      <c r="AP200" s="105"/>
      <c r="AQ200" s="105"/>
      <c r="AR200" s="105"/>
      <c r="AS200" s="105"/>
    </row>
    <row r="201" spans="1:45" ht="12" customHeight="1" x14ac:dyDescent="0.25">
      <c r="A201" s="90">
        <v>200</v>
      </c>
      <c r="B201" s="91"/>
      <c r="C201" s="91" t="s">
        <v>4182</v>
      </c>
      <c r="D201" s="92" t="s">
        <v>4183</v>
      </c>
      <c r="E201" s="91" t="s">
        <v>254</v>
      </c>
      <c r="F201" s="91" t="s">
        <v>255</v>
      </c>
      <c r="G201" s="56" t="s">
        <v>608</v>
      </c>
      <c r="H201" s="91">
        <v>60</v>
      </c>
      <c r="I201" s="91" t="s">
        <v>89</v>
      </c>
      <c r="J201" s="91" t="s">
        <v>2313</v>
      </c>
      <c r="K201" s="92" t="s">
        <v>437</v>
      </c>
      <c r="L201" s="93" t="str">
        <f>VLOOKUP(G201,'SKU 对应关系'!A:E,4,0)</f>
        <v>ANX-SG</v>
      </c>
      <c r="M201" s="94" t="str">
        <f>_xlfn.IFNA(VLOOKUP(G201,'SKU 对应关系'!A:B,2,0),"")</f>
        <v>ANX-SG 便携式扩香仪 太空灰色</v>
      </c>
      <c r="N201" s="95" t="str">
        <f>_xlfn.IFNA(VLOOKUP(G201,'SKU 对应关系'!$A:$D,3,0),"")</f>
        <v>ANX</v>
      </c>
      <c r="O201" s="96">
        <v>2</v>
      </c>
      <c r="P201" s="455">
        <v>26.8</v>
      </c>
      <c r="Q201" s="96" t="s">
        <v>16</v>
      </c>
      <c r="R201" s="91">
        <v>4.0999999999999996</v>
      </c>
      <c r="S201" s="95"/>
      <c r="T201" s="98">
        <v>100</v>
      </c>
      <c r="U201" s="99">
        <f t="shared" si="26"/>
        <v>209.88</v>
      </c>
      <c r="V201" s="100">
        <f t="shared" si="22"/>
        <v>3.4979999999999998</v>
      </c>
      <c r="W201" s="101">
        <f t="shared" si="27"/>
        <v>0.52208955223880593</v>
      </c>
      <c r="X201" s="95"/>
      <c r="Y201" s="95">
        <v>85.62</v>
      </c>
      <c r="Z201" s="102" t="s">
        <v>345</v>
      </c>
      <c r="AA201" s="103">
        <v>46094</v>
      </c>
      <c r="AB201" s="103">
        <v>46138</v>
      </c>
      <c r="AC201" s="103"/>
      <c r="AD201" s="104">
        <f>IF(ISNA(VLOOKUP(D201,亚马逊入库配置费!B:F,5,0)),0,VLOOKUP(D201,亚马逊入库配置费!B:F,5,0))</f>
        <v>0</v>
      </c>
      <c r="AE201" s="104">
        <f t="shared" si="23"/>
        <v>0</v>
      </c>
      <c r="AF201" s="103">
        <v>46143</v>
      </c>
      <c r="AG201" s="90">
        <f t="shared" si="24"/>
        <v>49</v>
      </c>
      <c r="AH201" s="103">
        <v>46174</v>
      </c>
      <c r="AI201" s="96"/>
      <c r="AJ201" s="427">
        <f t="shared" si="25"/>
        <v>31</v>
      </c>
      <c r="AK201" s="96"/>
      <c r="AL201" s="92"/>
      <c r="AM201" s="91"/>
      <c r="AN201" s="91"/>
      <c r="AO201" s="96"/>
      <c r="AP201" s="105"/>
      <c r="AQ201" s="105"/>
      <c r="AR201" s="105"/>
      <c r="AS201" s="105"/>
    </row>
    <row r="202" spans="1:45" ht="12" customHeight="1" x14ac:dyDescent="0.25">
      <c r="A202" s="90">
        <v>201</v>
      </c>
      <c r="B202" s="91"/>
      <c r="C202" s="91" t="s">
        <v>4184</v>
      </c>
      <c r="D202" s="92" t="s">
        <v>4185</v>
      </c>
      <c r="E202" s="91" t="s">
        <v>1164</v>
      </c>
      <c r="F202" s="91" t="s">
        <v>1165</v>
      </c>
      <c r="G202" s="56" t="s">
        <v>350</v>
      </c>
      <c r="H202" s="91">
        <v>240</v>
      </c>
      <c r="I202" s="91" t="s">
        <v>207</v>
      </c>
      <c r="J202" s="91" t="s">
        <v>2064</v>
      </c>
      <c r="K202" s="92" t="s">
        <v>4186</v>
      </c>
      <c r="L202" s="93" t="str">
        <f>VLOOKUP(G202,'SKU 对应关系'!A:E,4,0)</f>
        <v>AN6-GL</v>
      </c>
      <c r="M202" s="94" t="str">
        <f>_xlfn.IFNA(VLOOKUP(G202,'SKU 对应关系'!A:B,2,0),"")</f>
        <v>AN6-GL 便携式扩香仪 翠百合色</v>
      </c>
      <c r="N202" s="95" t="str">
        <f>_xlfn.IFNA(VLOOKUP(G202,'SKU 对应关系'!$A:$D,3,0),"")</f>
        <v>AN6</v>
      </c>
      <c r="O202" s="96">
        <v>6</v>
      </c>
      <c r="P202" s="455">
        <v>81.599999999999994</v>
      </c>
      <c r="Q202" s="96" t="s">
        <v>16</v>
      </c>
      <c r="R202" s="91">
        <v>6.7</v>
      </c>
      <c r="S202" s="95">
        <v>250</v>
      </c>
      <c r="T202" s="98">
        <v>150</v>
      </c>
      <c r="U202" s="99">
        <f t="shared" si="26"/>
        <v>696.72</v>
      </c>
      <c r="V202" s="100">
        <f t="shared" si="22"/>
        <v>2.903</v>
      </c>
      <c r="W202" s="101">
        <f t="shared" si="27"/>
        <v>0.43328358208955225</v>
      </c>
      <c r="X202" s="95"/>
      <c r="Y202" s="95"/>
      <c r="Z202" s="102" t="s">
        <v>345</v>
      </c>
      <c r="AA202" s="103">
        <v>46095</v>
      </c>
      <c r="AB202" s="103">
        <v>46130</v>
      </c>
      <c r="AC202" s="103"/>
      <c r="AD202" s="104">
        <f>IF(ISNA(VLOOKUP(D202,亚马逊入库配置费!B:F,5,0)),0,VLOOKUP(D202,亚马逊入库配置费!B:F,5,0))</f>
        <v>0</v>
      </c>
      <c r="AE202" s="104">
        <f t="shared" si="23"/>
        <v>0</v>
      </c>
      <c r="AF202" s="103">
        <v>46164</v>
      </c>
      <c r="AG202" s="90">
        <f t="shared" si="24"/>
        <v>69</v>
      </c>
      <c r="AH202" s="103"/>
      <c r="AI202" s="96"/>
      <c r="AJ202" s="427">
        <f t="shared" si="25"/>
        <v>-46164</v>
      </c>
      <c r="AK202" s="96"/>
      <c r="AL202" s="92"/>
      <c r="AM202" s="91"/>
      <c r="AN202" s="91"/>
      <c r="AO202" s="96"/>
      <c r="AP202" s="105"/>
      <c r="AQ202" s="105"/>
      <c r="AR202" s="105"/>
      <c r="AS202" s="105"/>
    </row>
    <row r="203" spans="1:45" ht="12" customHeight="1" x14ac:dyDescent="0.25">
      <c r="A203" s="90">
        <v>202</v>
      </c>
      <c r="B203" s="91"/>
      <c r="C203" s="91" t="s">
        <v>4184</v>
      </c>
      <c r="D203" s="92" t="s">
        <v>4185</v>
      </c>
      <c r="E203" s="91" t="s">
        <v>1164</v>
      </c>
      <c r="F203" s="91" t="s">
        <v>1165</v>
      </c>
      <c r="G203" s="56" t="s">
        <v>165</v>
      </c>
      <c r="H203" s="91">
        <v>160</v>
      </c>
      <c r="I203" s="91" t="s">
        <v>207</v>
      </c>
      <c r="J203" s="91" t="s">
        <v>2064</v>
      </c>
      <c r="K203" s="92" t="s">
        <v>4186</v>
      </c>
      <c r="L203" s="93" t="str">
        <f>VLOOKUP(G203,'SKU 对应关系'!A:E,4,0)</f>
        <v>AN6-W</v>
      </c>
      <c r="M203" s="94" t="str">
        <f>_xlfn.IFNA(VLOOKUP(G203,'SKU 对应关系'!A:B,2,0),"")</f>
        <v>AN6-W 便携式扩香仪 白色</v>
      </c>
      <c r="N203" s="95" t="str">
        <f>_xlfn.IFNA(VLOOKUP(G203,'SKU 对应关系'!$A:$D,3,0),"")</f>
        <v>AN6</v>
      </c>
      <c r="O203" s="96">
        <v>4</v>
      </c>
      <c r="P203" s="455">
        <v>54.4</v>
      </c>
      <c r="Q203" s="96" t="s">
        <v>16</v>
      </c>
      <c r="R203" s="91">
        <v>6.7</v>
      </c>
      <c r="S203" s="106">
        <f>SUMIF(C:C,C202,T:T)</f>
        <v>250</v>
      </c>
      <c r="T203" s="98">
        <v>100</v>
      </c>
      <c r="U203" s="99">
        <f t="shared" si="26"/>
        <v>464.48</v>
      </c>
      <c r="V203" s="100">
        <f t="shared" si="22"/>
        <v>2.903</v>
      </c>
      <c r="W203" s="101">
        <f t="shared" si="27"/>
        <v>0.43328358208955225</v>
      </c>
      <c r="X203" s="95"/>
      <c r="Y203" s="95"/>
      <c r="Z203" s="102" t="s">
        <v>345</v>
      </c>
      <c r="AA203" s="103">
        <v>46095</v>
      </c>
      <c r="AB203" s="103">
        <v>46130</v>
      </c>
      <c r="AC203" s="103"/>
      <c r="AD203" s="104">
        <f>IF(ISNA(VLOOKUP(D203,亚马逊入库配置费!B:F,5,0)),0,VLOOKUP(D203,亚马逊入库配置费!B:F,5,0))</f>
        <v>0</v>
      </c>
      <c r="AE203" s="104">
        <f t="shared" si="23"/>
        <v>0</v>
      </c>
      <c r="AF203" s="103">
        <v>46164</v>
      </c>
      <c r="AG203" s="90">
        <f t="shared" si="24"/>
        <v>69</v>
      </c>
      <c r="AH203" s="103"/>
      <c r="AI203" s="96"/>
      <c r="AJ203" s="427">
        <f t="shared" si="25"/>
        <v>-46164</v>
      </c>
      <c r="AK203" s="96"/>
      <c r="AL203" s="92"/>
      <c r="AM203" s="91"/>
      <c r="AN203" s="91"/>
      <c r="AO203" s="96"/>
      <c r="AP203" s="105"/>
      <c r="AQ203" s="105"/>
      <c r="AR203" s="105"/>
      <c r="AS203" s="105"/>
    </row>
    <row r="204" spans="1:45" ht="12" customHeight="1" x14ac:dyDescent="0.25">
      <c r="A204" s="90">
        <v>203</v>
      </c>
      <c r="B204" s="91"/>
      <c r="C204" s="91" t="s">
        <v>4187</v>
      </c>
      <c r="D204" s="92" t="s">
        <v>4188</v>
      </c>
      <c r="E204" s="91" t="s">
        <v>97</v>
      </c>
      <c r="F204" s="91" t="s">
        <v>0</v>
      </c>
      <c r="G204" s="56" t="s">
        <v>1215</v>
      </c>
      <c r="H204" s="91">
        <v>510</v>
      </c>
      <c r="I204" s="91" t="s">
        <v>4253</v>
      </c>
      <c r="J204" s="91" t="s">
        <v>8</v>
      </c>
      <c r="K204" s="92" t="s">
        <v>44</v>
      </c>
      <c r="L204" s="93" t="str">
        <f>VLOOKUP(G204,'SKU 对应关系'!A:E,4,0)</f>
        <v>AN8KIT-B_4X10K01</v>
      </c>
      <c r="M204" s="94" t="str">
        <f>_xlfn.IFNA(VLOOKUP(G204,'SKU 对应关系'!A:B,2,0),"")</f>
        <v>AN8KIT-B_4X10K01 AN8黑色机器+4x10mL酒店香氛油 机油套装</v>
      </c>
      <c r="N204" s="95" t="str">
        <f>_xlfn.IFNA(VLOOKUP(G204,'SKU 对应关系'!$A:$D,3,0),"")</f>
        <v>AN8</v>
      </c>
      <c r="O204" s="96">
        <v>17</v>
      </c>
      <c r="P204" s="455">
        <v>273</v>
      </c>
      <c r="Q204" s="96" t="s">
        <v>16</v>
      </c>
      <c r="R204" s="91">
        <v>3.2</v>
      </c>
      <c r="S204" s="95">
        <v>200</v>
      </c>
      <c r="T204" s="98">
        <v>200</v>
      </c>
      <c r="U204" s="99">
        <f t="shared" si="26"/>
        <v>1073.5999999999999</v>
      </c>
      <c r="V204" s="100">
        <f t="shared" si="22"/>
        <v>2.1050980392156862</v>
      </c>
      <c r="W204" s="101">
        <f t="shared" si="27"/>
        <v>0.31419373719637106</v>
      </c>
      <c r="X204" s="95"/>
      <c r="Y204" s="95"/>
      <c r="Z204" s="102" t="s">
        <v>345</v>
      </c>
      <c r="AA204" s="103">
        <v>46095</v>
      </c>
      <c r="AB204" s="103">
        <v>46116</v>
      </c>
      <c r="AC204" s="103"/>
      <c r="AD204" s="104">
        <f>IF(ISNA(VLOOKUP(D204,亚马逊入库配置费!B:F,5,0)),0,VLOOKUP(D204,亚马逊入库配置费!B:F,5,0))</f>
        <v>0.44</v>
      </c>
      <c r="AE204" s="104">
        <f t="shared" si="23"/>
        <v>224.4</v>
      </c>
      <c r="AF204" s="103">
        <v>46123</v>
      </c>
      <c r="AG204" s="90">
        <f t="shared" si="24"/>
        <v>28</v>
      </c>
      <c r="AH204" s="103">
        <v>46154</v>
      </c>
      <c r="AI204" s="96"/>
      <c r="AJ204" s="427">
        <f t="shared" si="25"/>
        <v>31</v>
      </c>
      <c r="AK204" s="96"/>
      <c r="AL204" s="92"/>
      <c r="AM204" s="91"/>
      <c r="AN204" s="91"/>
      <c r="AO204" s="96"/>
      <c r="AP204" s="105"/>
      <c r="AQ204" s="105"/>
      <c r="AR204" s="105"/>
      <c r="AS204" s="105"/>
    </row>
    <row r="205" spans="1:45" ht="12" customHeight="1" x14ac:dyDescent="0.25">
      <c r="A205" s="90">
        <v>204</v>
      </c>
      <c r="B205" s="91"/>
      <c r="C205" s="91" t="s">
        <v>747</v>
      </c>
      <c r="D205" s="92" t="s">
        <v>4189</v>
      </c>
      <c r="E205" s="91" t="s">
        <v>97</v>
      </c>
      <c r="F205" s="91" t="s">
        <v>0</v>
      </c>
      <c r="G205" s="56" t="s">
        <v>1215</v>
      </c>
      <c r="H205" s="91">
        <v>1800</v>
      </c>
      <c r="I205" s="91" t="s">
        <v>207</v>
      </c>
      <c r="J205" s="91" t="s">
        <v>2412</v>
      </c>
      <c r="K205" s="92" t="s">
        <v>44</v>
      </c>
      <c r="L205" s="93" t="str">
        <f>VLOOKUP(G205,'SKU 对应关系'!A:E,4,0)</f>
        <v>AN8KIT-B_4X10K01</v>
      </c>
      <c r="M205" s="94" t="str">
        <f>_xlfn.IFNA(VLOOKUP(G205,'SKU 对应关系'!A:B,2,0),"")</f>
        <v>AN8KIT-B_4X10K01 AN8黑色机器+4x10mL酒店香氛油 机油套装</v>
      </c>
      <c r="N205" s="95" t="str">
        <f>_xlfn.IFNA(VLOOKUP(G205,'SKU 对应关系'!$A:$D,3,0),"")</f>
        <v>AN8</v>
      </c>
      <c r="O205" s="96">
        <v>60</v>
      </c>
      <c r="P205" s="455">
        <v>968.99999999999989</v>
      </c>
      <c r="Q205" s="96" t="s">
        <v>16</v>
      </c>
      <c r="R205" s="91">
        <v>4.2</v>
      </c>
      <c r="S205" s="95">
        <v>200</v>
      </c>
      <c r="T205" s="98">
        <v>200</v>
      </c>
      <c r="U205" s="99">
        <f t="shared" si="26"/>
        <v>4269.7999999999993</v>
      </c>
      <c r="V205" s="100">
        <f t="shared" si="22"/>
        <v>2.3721111111111108</v>
      </c>
      <c r="W205" s="101">
        <f t="shared" si="27"/>
        <v>0.35404643449419565</v>
      </c>
      <c r="X205" s="95"/>
      <c r="Y205" s="95"/>
      <c r="Z205" s="102" t="s">
        <v>345</v>
      </c>
      <c r="AA205" s="103">
        <v>46095</v>
      </c>
      <c r="AB205" s="103">
        <v>46114</v>
      </c>
      <c r="AC205" s="103"/>
      <c r="AD205" s="104">
        <f>IF(ISNA(VLOOKUP(D205,亚马逊入库配置费!B:F,5,0)),0,VLOOKUP(D205,亚马逊入库配置费!B:F,5,0))</f>
        <v>0.44</v>
      </c>
      <c r="AE205" s="104">
        <f t="shared" si="23"/>
        <v>792</v>
      </c>
      <c r="AF205" s="103">
        <v>46123</v>
      </c>
      <c r="AG205" s="90">
        <f t="shared" si="24"/>
        <v>28</v>
      </c>
      <c r="AH205" s="103">
        <v>46157</v>
      </c>
      <c r="AI205" s="96"/>
      <c r="AJ205" s="427">
        <f t="shared" si="25"/>
        <v>34</v>
      </c>
      <c r="AK205" s="96"/>
      <c r="AL205" s="92"/>
      <c r="AM205" s="91"/>
      <c r="AN205" s="91"/>
      <c r="AO205" s="96"/>
      <c r="AP205" s="105"/>
      <c r="AQ205" s="105"/>
      <c r="AR205" s="105"/>
      <c r="AS205" s="105"/>
    </row>
    <row r="206" spans="1:45" ht="12" customHeight="1" x14ac:dyDescent="0.25">
      <c r="A206" s="90">
        <v>205</v>
      </c>
      <c r="B206" s="91"/>
      <c r="C206" s="91" t="s">
        <v>4190</v>
      </c>
      <c r="D206" s="92" t="s">
        <v>4736</v>
      </c>
      <c r="E206" s="91" t="s">
        <v>97</v>
      </c>
      <c r="F206" s="91" t="s">
        <v>0</v>
      </c>
      <c r="G206" s="56" t="s">
        <v>163</v>
      </c>
      <c r="H206" s="91">
        <v>1400</v>
      </c>
      <c r="I206" s="91" t="s">
        <v>207</v>
      </c>
      <c r="J206" s="91" t="s">
        <v>8</v>
      </c>
      <c r="K206" s="92" t="s">
        <v>32</v>
      </c>
      <c r="L206" s="93" t="str">
        <f>VLOOKUP(G206,'SKU 对应关系'!A:E,4,0)</f>
        <v>AN6-B</v>
      </c>
      <c r="M206" s="94" t="str">
        <f>_xlfn.IFNA(VLOOKUP(G206,'SKU 对应关系'!A:B,2,0),"")</f>
        <v>AN6-B 便携式扩香仪 黑色</v>
      </c>
      <c r="N206" s="95" t="str">
        <f>_xlfn.IFNA(VLOOKUP(G206,'SKU 对应关系'!$A:$D,3,0),"")</f>
        <v>AN6</v>
      </c>
      <c r="O206" s="96">
        <v>35</v>
      </c>
      <c r="P206" s="455">
        <v>535.15</v>
      </c>
      <c r="Q206" s="96" t="s">
        <v>16</v>
      </c>
      <c r="R206" s="91">
        <v>3.5</v>
      </c>
      <c r="S206" s="95">
        <v>200</v>
      </c>
      <c r="T206" s="98">
        <v>41.420118343195263</v>
      </c>
      <c r="U206" s="99">
        <f t="shared" si="26"/>
        <v>1914.4451183431952</v>
      </c>
      <c r="V206" s="100">
        <f t="shared" si="22"/>
        <v>1.3674607988165679</v>
      </c>
      <c r="W206" s="101">
        <f t="shared" si="27"/>
        <v>0.20409862668903997</v>
      </c>
      <c r="X206" s="95"/>
      <c r="Y206" s="95"/>
      <c r="Z206" s="102" t="s">
        <v>345</v>
      </c>
      <c r="AA206" s="103">
        <v>46095</v>
      </c>
      <c r="AB206" s="103">
        <v>46116</v>
      </c>
      <c r="AC206" s="103"/>
      <c r="AD206" s="104">
        <f>IF(ISNA(VLOOKUP(D206,亚马逊入库配置费!B:F,5,0)),0,VLOOKUP(D206,亚马逊入库配置费!B:F,5,0))</f>
        <v>0.36533333333333334</v>
      </c>
      <c r="AE206" s="104">
        <f t="shared" si="23"/>
        <v>511.4666666666667</v>
      </c>
      <c r="AF206" s="103">
        <v>46122</v>
      </c>
      <c r="AG206" s="90">
        <f t="shared" si="24"/>
        <v>27</v>
      </c>
      <c r="AH206" s="103">
        <v>46182</v>
      </c>
      <c r="AI206" s="96"/>
      <c r="AJ206" s="427">
        <f t="shared" si="25"/>
        <v>60</v>
      </c>
      <c r="AK206" s="96"/>
      <c r="AL206" s="92"/>
      <c r="AM206" s="91"/>
      <c r="AN206" s="91"/>
      <c r="AO206" s="96"/>
      <c r="AP206" s="105"/>
      <c r="AQ206" s="105"/>
      <c r="AR206" s="105"/>
      <c r="AS206" s="105"/>
    </row>
    <row r="207" spans="1:45" ht="12" customHeight="1" x14ac:dyDescent="0.25">
      <c r="A207" s="90">
        <v>206</v>
      </c>
      <c r="B207" s="91"/>
      <c r="C207" s="91" t="s">
        <v>4190</v>
      </c>
      <c r="D207" s="92" t="s">
        <v>4191</v>
      </c>
      <c r="E207" s="91" t="s">
        <v>97</v>
      </c>
      <c r="F207" s="91" t="s">
        <v>0</v>
      </c>
      <c r="G207" s="56" t="s">
        <v>876</v>
      </c>
      <c r="H207" s="91">
        <v>120</v>
      </c>
      <c r="I207" s="91" t="s">
        <v>207</v>
      </c>
      <c r="J207" s="91" t="s">
        <v>8</v>
      </c>
      <c r="K207" s="92" t="s">
        <v>32</v>
      </c>
      <c r="L207" s="93" t="str">
        <f>VLOOKUP(G207,'SKU 对应关系'!A:E,4,0)</f>
        <v>AN6-LV</v>
      </c>
      <c r="M207" s="94" t="str">
        <f>_xlfn.IFNA(VLOOKUP(G207,'SKU 对应关系'!A:B,2,0),"")</f>
        <v>AN6-LV 便携式扩香仪 薰衣草</v>
      </c>
      <c r="N207" s="95" t="str">
        <f>_xlfn.IFNA(VLOOKUP(G207,'SKU 对应关系'!$A:$D,3,0),"")</f>
        <v>AN6</v>
      </c>
      <c r="O207" s="96">
        <v>3</v>
      </c>
      <c r="P207" s="455">
        <v>45.870000000000005</v>
      </c>
      <c r="Q207" s="96" t="s">
        <v>16</v>
      </c>
      <c r="R207" s="91">
        <v>3.5</v>
      </c>
      <c r="S207" s="106">
        <f>SUMIF(C:C,C206,T:T)</f>
        <v>200</v>
      </c>
      <c r="T207" s="98">
        <v>3.5502958579881656</v>
      </c>
      <c r="U207" s="99">
        <f t="shared" si="26"/>
        <v>164.09529585798819</v>
      </c>
      <c r="V207" s="100">
        <f t="shared" si="22"/>
        <v>1.3674607988165683</v>
      </c>
      <c r="W207" s="101">
        <f t="shared" si="27"/>
        <v>0.20409862668904005</v>
      </c>
      <c r="X207" s="95"/>
      <c r="Y207" s="95"/>
      <c r="Z207" s="102" t="s">
        <v>345</v>
      </c>
      <c r="AA207" s="103">
        <v>46095</v>
      </c>
      <c r="AB207" s="103">
        <v>46116</v>
      </c>
      <c r="AC207" s="103"/>
      <c r="AD207" s="104">
        <f>IF(ISNA(VLOOKUP(D207,亚马逊入库配置费!B:F,5,0)),0,VLOOKUP(D207,亚马逊入库配置费!B:F,5,0))</f>
        <v>0.36533333333333334</v>
      </c>
      <c r="AE207" s="104">
        <f t="shared" si="23"/>
        <v>43.84</v>
      </c>
      <c r="AF207" s="103">
        <v>46122</v>
      </c>
      <c r="AG207" s="90">
        <f t="shared" si="24"/>
        <v>27</v>
      </c>
      <c r="AH207" s="103">
        <v>46182</v>
      </c>
      <c r="AI207" s="96"/>
      <c r="AJ207" s="427">
        <f t="shared" si="25"/>
        <v>60</v>
      </c>
      <c r="AK207" s="96"/>
      <c r="AL207" s="92"/>
      <c r="AM207" s="91"/>
      <c r="AN207" s="91"/>
      <c r="AO207" s="96"/>
      <c r="AP207" s="105"/>
      <c r="AQ207" s="105"/>
      <c r="AR207" s="105"/>
      <c r="AS207" s="105"/>
    </row>
    <row r="208" spans="1:45" ht="12" customHeight="1" x14ac:dyDescent="0.25">
      <c r="A208" s="90">
        <v>207</v>
      </c>
      <c r="B208" s="91"/>
      <c r="C208" s="91" t="s">
        <v>4190</v>
      </c>
      <c r="D208" s="92" t="s">
        <v>4191</v>
      </c>
      <c r="E208" s="91" t="s">
        <v>97</v>
      </c>
      <c r="F208" s="91" t="s">
        <v>0</v>
      </c>
      <c r="G208" s="56" t="s">
        <v>165</v>
      </c>
      <c r="H208" s="91">
        <v>600</v>
      </c>
      <c r="I208" s="91" t="s">
        <v>207</v>
      </c>
      <c r="J208" s="91" t="s">
        <v>8</v>
      </c>
      <c r="K208" s="92" t="s">
        <v>32</v>
      </c>
      <c r="L208" s="93" t="str">
        <f>VLOOKUP(G208,'SKU 对应关系'!A:E,4,0)</f>
        <v>AN6-W</v>
      </c>
      <c r="M208" s="94" t="str">
        <f>_xlfn.IFNA(VLOOKUP(G208,'SKU 对应关系'!A:B,2,0),"")</f>
        <v>AN6-W 便携式扩香仪 白色</v>
      </c>
      <c r="N208" s="95" t="str">
        <f>_xlfn.IFNA(VLOOKUP(G208,'SKU 对应关系'!$A:$D,3,0),"")</f>
        <v>AN6</v>
      </c>
      <c r="O208" s="96">
        <v>15</v>
      </c>
      <c r="P208" s="455">
        <v>229.35000000000002</v>
      </c>
      <c r="Q208" s="96" t="s">
        <v>16</v>
      </c>
      <c r="R208" s="91">
        <v>3.5</v>
      </c>
      <c r="S208" s="95"/>
      <c r="T208" s="98">
        <v>17.751479289940828</v>
      </c>
      <c r="U208" s="99">
        <f t="shared" si="26"/>
        <v>820.47647928994093</v>
      </c>
      <c r="V208" s="100">
        <f t="shared" si="22"/>
        <v>1.3674607988165681</v>
      </c>
      <c r="W208" s="101">
        <f t="shared" si="27"/>
        <v>0.20409862668904002</v>
      </c>
      <c r="X208" s="95"/>
      <c r="Y208" s="95"/>
      <c r="Z208" s="102" t="s">
        <v>345</v>
      </c>
      <c r="AA208" s="103">
        <v>46095</v>
      </c>
      <c r="AB208" s="103">
        <v>46116</v>
      </c>
      <c r="AC208" s="103"/>
      <c r="AD208" s="104">
        <f>IF(ISNA(VLOOKUP(D208,亚马逊入库配置费!B:F,5,0)),0,VLOOKUP(D208,亚马逊入库配置费!B:F,5,0))</f>
        <v>0.36533333333333334</v>
      </c>
      <c r="AE208" s="104">
        <f t="shared" si="23"/>
        <v>219.20000000000002</v>
      </c>
      <c r="AF208" s="103">
        <v>46122</v>
      </c>
      <c r="AG208" s="90">
        <f t="shared" si="24"/>
        <v>27</v>
      </c>
      <c r="AH208" s="103">
        <v>46182</v>
      </c>
      <c r="AI208" s="96"/>
      <c r="AJ208" s="427">
        <f t="shared" si="25"/>
        <v>60</v>
      </c>
      <c r="AK208" s="96"/>
      <c r="AL208" s="92"/>
      <c r="AM208" s="91"/>
      <c r="AN208" s="91"/>
      <c r="AO208" s="96"/>
      <c r="AP208" s="105"/>
      <c r="AQ208" s="105"/>
      <c r="AR208" s="105"/>
      <c r="AS208" s="105"/>
    </row>
    <row r="209" spans="1:45" ht="12" customHeight="1" x14ac:dyDescent="0.25">
      <c r="A209" s="90">
        <v>208</v>
      </c>
      <c r="B209" s="91"/>
      <c r="C209" s="91" t="s">
        <v>4190</v>
      </c>
      <c r="D209" s="92" t="s">
        <v>4191</v>
      </c>
      <c r="E209" s="91" t="s">
        <v>97</v>
      </c>
      <c r="F209" s="91" t="s">
        <v>0</v>
      </c>
      <c r="G209" s="56" t="s">
        <v>786</v>
      </c>
      <c r="H209" s="91">
        <v>200</v>
      </c>
      <c r="I209" s="91" t="s">
        <v>207</v>
      </c>
      <c r="J209" s="91" t="s">
        <v>8</v>
      </c>
      <c r="K209" s="92" t="s">
        <v>32</v>
      </c>
      <c r="L209" s="93" t="str">
        <f>VLOOKUP(G209,'SKU 对应关系'!A:E,4,0)</f>
        <v>AN6-YG</v>
      </c>
      <c r="M209" s="94" t="str">
        <f>_xlfn.IFNA(VLOOKUP(G209,'SKU 对应关系'!A:B,2,0),"")</f>
        <v>AN6-YG 便携式扩香仪 乳酪色</v>
      </c>
      <c r="N209" s="95" t="str">
        <f>_xlfn.IFNA(VLOOKUP(G209,'SKU 对应关系'!$A:$D,3,0),"")</f>
        <v>AN6</v>
      </c>
      <c r="O209" s="96">
        <v>5</v>
      </c>
      <c r="P209" s="455">
        <v>76.45</v>
      </c>
      <c r="Q209" s="96" t="s">
        <v>16</v>
      </c>
      <c r="R209" s="91">
        <v>3.5</v>
      </c>
      <c r="S209" s="95"/>
      <c r="T209" s="98">
        <v>5.9171597633136095</v>
      </c>
      <c r="U209" s="99">
        <f t="shared" si="26"/>
        <v>273.49215976331362</v>
      </c>
      <c r="V209" s="100">
        <f t="shared" si="22"/>
        <v>1.3674607988165681</v>
      </c>
      <c r="W209" s="101">
        <f t="shared" si="27"/>
        <v>0.20409862668904002</v>
      </c>
      <c r="X209" s="95"/>
      <c r="Y209" s="95"/>
      <c r="Z209" s="102" t="s">
        <v>345</v>
      </c>
      <c r="AA209" s="103">
        <v>46095</v>
      </c>
      <c r="AB209" s="103">
        <v>46116</v>
      </c>
      <c r="AC209" s="103"/>
      <c r="AD209" s="104">
        <f>IF(ISNA(VLOOKUP(D209,亚马逊入库配置费!B:F,5,0)),0,VLOOKUP(D209,亚马逊入库配置费!B:F,5,0))</f>
        <v>0.36533333333333334</v>
      </c>
      <c r="AE209" s="104">
        <f t="shared" ref="AE209:AE272" si="28">AD209*H209</f>
        <v>73.066666666666663</v>
      </c>
      <c r="AF209" s="103">
        <v>46122</v>
      </c>
      <c r="AG209" s="90">
        <f t="shared" si="24"/>
        <v>27</v>
      </c>
      <c r="AH209" s="103">
        <v>46182</v>
      </c>
      <c r="AI209" s="96"/>
      <c r="AJ209" s="427">
        <f t="shared" si="25"/>
        <v>60</v>
      </c>
      <c r="AK209" s="96"/>
      <c r="AL209" s="92"/>
      <c r="AM209" s="91"/>
      <c r="AN209" s="91"/>
      <c r="AO209" s="96"/>
      <c r="AP209" s="105"/>
      <c r="AQ209" s="105"/>
      <c r="AR209" s="105"/>
      <c r="AS209" s="105"/>
    </row>
    <row r="210" spans="1:45" ht="12" customHeight="1" x14ac:dyDescent="0.25">
      <c r="A210" s="90">
        <v>209</v>
      </c>
      <c r="B210" s="91"/>
      <c r="C210" s="91" t="s">
        <v>4190</v>
      </c>
      <c r="D210" s="92" t="s">
        <v>4191</v>
      </c>
      <c r="E210" s="91" t="s">
        <v>97</v>
      </c>
      <c r="F210" s="91" t="s">
        <v>0</v>
      </c>
      <c r="G210" s="56" t="s">
        <v>2279</v>
      </c>
      <c r="H210" s="91">
        <v>180</v>
      </c>
      <c r="I210" s="91" t="s">
        <v>207</v>
      </c>
      <c r="J210" s="91" t="s">
        <v>8</v>
      </c>
      <c r="K210" s="92" t="s">
        <v>32</v>
      </c>
      <c r="L210" s="93" t="str">
        <f>VLOOKUP(G210,'SKU 对应关系'!A:E,4,0)</f>
        <v>RD1-B</v>
      </c>
      <c r="M210" s="94" t="str">
        <f>_xlfn.IFNA(VLOOKUP(G210,'SKU 对应关系'!A:B,2,0),"")</f>
        <v>RD1-B 便携式扩香仪 黑色</v>
      </c>
      <c r="N210" s="95" t="str">
        <f>_xlfn.IFNA(VLOOKUP(G210,'SKU 对应关系'!$A:$D,3,0),"")</f>
        <v>RD1</v>
      </c>
      <c r="O210" s="96">
        <v>6</v>
      </c>
      <c r="P210" s="455">
        <v>91.740000000000009</v>
      </c>
      <c r="Q210" s="96" t="s">
        <v>16</v>
      </c>
      <c r="R210" s="91">
        <v>3.5</v>
      </c>
      <c r="S210" s="95"/>
      <c r="T210" s="98">
        <v>7.1005917159763312</v>
      </c>
      <c r="U210" s="99">
        <f t="shared" si="26"/>
        <v>328.19059171597638</v>
      </c>
      <c r="V210" s="100">
        <f t="shared" si="22"/>
        <v>1.8232810650887576</v>
      </c>
      <c r="W210" s="101">
        <f t="shared" si="27"/>
        <v>0.27213150225205335</v>
      </c>
      <c r="X210" s="95"/>
      <c r="Y210" s="95"/>
      <c r="Z210" s="102" t="s">
        <v>345</v>
      </c>
      <c r="AA210" s="103">
        <v>46095</v>
      </c>
      <c r="AB210" s="103">
        <v>46116</v>
      </c>
      <c r="AC210" s="103"/>
      <c r="AD210" s="104">
        <f>IF(ISNA(VLOOKUP(D210,亚马逊入库配置费!B:F,5,0)),0,VLOOKUP(D210,亚马逊入库配置费!B:F,5,0))</f>
        <v>0.36533333333333334</v>
      </c>
      <c r="AE210" s="104">
        <f t="shared" si="28"/>
        <v>65.760000000000005</v>
      </c>
      <c r="AF210" s="103">
        <v>46122</v>
      </c>
      <c r="AG210" s="90">
        <f t="shared" si="24"/>
        <v>27</v>
      </c>
      <c r="AH210" s="103">
        <v>46182</v>
      </c>
      <c r="AI210" s="96"/>
      <c r="AJ210" s="427">
        <f t="shared" si="25"/>
        <v>60</v>
      </c>
      <c r="AK210" s="96"/>
      <c r="AL210" s="92"/>
      <c r="AM210" s="91"/>
      <c r="AN210" s="91"/>
      <c r="AO210" s="96"/>
      <c r="AP210" s="105"/>
      <c r="AQ210" s="105"/>
      <c r="AR210" s="105"/>
      <c r="AS210" s="105"/>
    </row>
    <row r="211" spans="1:45" ht="12" customHeight="1" x14ac:dyDescent="0.25">
      <c r="A211" s="90">
        <v>210</v>
      </c>
      <c r="B211" s="91"/>
      <c r="C211" s="91" t="s">
        <v>4190</v>
      </c>
      <c r="D211" s="92" t="s">
        <v>4191</v>
      </c>
      <c r="E211" s="91" t="s">
        <v>97</v>
      </c>
      <c r="F211" s="91" t="s">
        <v>0</v>
      </c>
      <c r="G211" s="56" t="s">
        <v>355</v>
      </c>
      <c r="H211" s="91">
        <v>200</v>
      </c>
      <c r="I211" s="91" t="s">
        <v>207</v>
      </c>
      <c r="J211" s="91" t="s">
        <v>8</v>
      </c>
      <c r="K211" s="92" t="s">
        <v>32</v>
      </c>
      <c r="L211" s="93" t="str">
        <f>VLOOKUP(G211,'SKU 对应关系'!A:E,4,0)</f>
        <v>AN6NZ-B</v>
      </c>
      <c r="M211" s="94" t="str">
        <f>_xlfn.IFNA(VLOOKUP(G211,'SKU 对应关系'!A:B,2,0),"")</f>
        <v>AN6NZ-B AN6喷嘴配件套装 黑色</v>
      </c>
      <c r="N211" s="95" t="str">
        <f>_xlfn.IFNA(VLOOKUP(G211,'SKU 对应关系'!$A:$D,3,0),"")</f>
        <v>AN6-AC</v>
      </c>
      <c r="O211" s="96">
        <v>1</v>
      </c>
      <c r="P211" s="455">
        <v>15.290000000000001</v>
      </c>
      <c r="Q211" s="96" t="s">
        <v>16</v>
      </c>
      <c r="R211" s="91">
        <v>3.5</v>
      </c>
      <c r="S211" s="95"/>
      <c r="T211" s="98">
        <v>1.1834319526627219</v>
      </c>
      <c r="U211" s="99">
        <f t="shared" si="26"/>
        <v>54.698431952662723</v>
      </c>
      <c r="V211" s="100">
        <f t="shared" si="22"/>
        <v>0.27349215976331359</v>
      </c>
      <c r="W211" s="101">
        <f t="shared" si="27"/>
        <v>4.0819725337807998E-2</v>
      </c>
      <c r="X211" s="95"/>
      <c r="Y211" s="95"/>
      <c r="Z211" s="102" t="s">
        <v>345</v>
      </c>
      <c r="AA211" s="103">
        <v>46095</v>
      </c>
      <c r="AB211" s="103">
        <v>46116</v>
      </c>
      <c r="AC211" s="103"/>
      <c r="AD211" s="104">
        <f>IF(ISNA(VLOOKUP(D211,亚马逊入库配置费!B:F,5,0)),0,VLOOKUP(D211,亚马逊入库配置费!B:F,5,0))</f>
        <v>0.36533333333333334</v>
      </c>
      <c r="AE211" s="104">
        <f t="shared" si="28"/>
        <v>73.066666666666663</v>
      </c>
      <c r="AF211" s="103">
        <v>46122</v>
      </c>
      <c r="AG211" s="90">
        <f t="shared" si="24"/>
        <v>27</v>
      </c>
      <c r="AH211" s="103">
        <v>46182</v>
      </c>
      <c r="AI211" s="96"/>
      <c r="AJ211" s="427">
        <f t="shared" si="25"/>
        <v>60</v>
      </c>
      <c r="AK211" s="96"/>
      <c r="AL211" s="92"/>
      <c r="AM211" s="91"/>
      <c r="AN211" s="91"/>
      <c r="AO211" s="96"/>
      <c r="AP211" s="105"/>
      <c r="AQ211" s="105"/>
      <c r="AR211" s="105"/>
      <c r="AS211" s="105"/>
    </row>
    <row r="212" spans="1:45" ht="12" customHeight="1" x14ac:dyDescent="0.25">
      <c r="A212" s="90">
        <v>211</v>
      </c>
      <c r="B212" s="91"/>
      <c r="C212" s="91" t="s">
        <v>4190</v>
      </c>
      <c r="D212" s="92" t="s">
        <v>4737</v>
      </c>
      <c r="E212" s="91" t="s">
        <v>97</v>
      </c>
      <c r="F212" s="91" t="s">
        <v>0</v>
      </c>
      <c r="G212" s="56" t="s">
        <v>1195</v>
      </c>
      <c r="H212" s="91">
        <v>390</v>
      </c>
      <c r="I212" s="91" t="s">
        <v>207</v>
      </c>
      <c r="J212" s="91" t="s">
        <v>8</v>
      </c>
      <c r="K212" s="92" t="s">
        <v>32</v>
      </c>
      <c r="L212" s="93" t="str">
        <f>VLOOKUP(G212,'SKU 对应关系'!A:E,4,0)</f>
        <v>AN6KIT-B_4X10ML</v>
      </c>
      <c r="M212" s="94" t="str">
        <f>_xlfn.IFNA(VLOOKUP(G212,'SKU 对应关系'!A:B,2,0),"")</f>
        <v>AN6KIT-B_4X10ML AN6黑色机器+4x10mL香氛油（天竺） 机油套装</v>
      </c>
      <c r="N212" s="95" t="str">
        <f>_xlfn.IFNA(VLOOKUP(G212,'SKU 对应关系'!$A:$D,3,0),"")</f>
        <v>AN6</v>
      </c>
      <c r="O212" s="96">
        <v>13</v>
      </c>
      <c r="P212" s="455">
        <v>198.76875000000001</v>
      </c>
      <c r="Q212" s="96" t="s">
        <v>16</v>
      </c>
      <c r="R212" s="91">
        <v>3.5</v>
      </c>
      <c r="S212" s="95"/>
      <c r="T212" s="98">
        <v>15.384615384615385</v>
      </c>
      <c r="U212" s="99">
        <f t="shared" si="26"/>
        <v>711.07524038461543</v>
      </c>
      <c r="V212" s="100">
        <f t="shared" si="22"/>
        <v>1.8232698471400395</v>
      </c>
      <c r="W212" s="101">
        <f t="shared" si="27"/>
        <v>0.27212982793134916</v>
      </c>
      <c r="X212" s="95"/>
      <c r="Y212" s="95"/>
      <c r="Z212" s="102" t="s">
        <v>345</v>
      </c>
      <c r="AA212" s="103">
        <v>46095</v>
      </c>
      <c r="AB212" s="103">
        <v>46116</v>
      </c>
      <c r="AC212" s="103"/>
      <c r="AD212" s="104">
        <f>IF(ISNA(VLOOKUP(D212,亚马逊入库配置费!B:F,5,0)),0,VLOOKUP(D212,亚马逊入库配置费!B:F,5,0))</f>
        <v>0.44</v>
      </c>
      <c r="AE212" s="104">
        <f t="shared" si="28"/>
        <v>171.6</v>
      </c>
      <c r="AF212" s="103">
        <v>46122</v>
      </c>
      <c r="AG212" s="90">
        <f t="shared" si="24"/>
        <v>27</v>
      </c>
      <c r="AH212" s="103">
        <v>46182</v>
      </c>
      <c r="AI212" s="96"/>
      <c r="AJ212" s="427">
        <f t="shared" si="25"/>
        <v>60</v>
      </c>
      <c r="AK212" s="96"/>
      <c r="AL212" s="92"/>
      <c r="AM212" s="91"/>
      <c r="AN212" s="91"/>
      <c r="AO212" s="96"/>
      <c r="AP212" s="105"/>
      <c r="AQ212" s="105"/>
      <c r="AR212" s="105"/>
      <c r="AS212" s="105"/>
    </row>
    <row r="213" spans="1:45" ht="12" customHeight="1" x14ac:dyDescent="0.25">
      <c r="A213" s="90">
        <v>212</v>
      </c>
      <c r="B213" s="91"/>
      <c r="C213" s="91" t="s">
        <v>4190</v>
      </c>
      <c r="D213" s="92" t="s">
        <v>4192</v>
      </c>
      <c r="E213" s="91" t="s">
        <v>97</v>
      </c>
      <c r="F213" s="91" t="s">
        <v>0</v>
      </c>
      <c r="G213" s="56" t="s">
        <v>2963</v>
      </c>
      <c r="H213" s="91">
        <v>120</v>
      </c>
      <c r="I213" s="91" t="s">
        <v>207</v>
      </c>
      <c r="J213" s="91" t="s">
        <v>8</v>
      </c>
      <c r="K213" s="92" t="s">
        <v>32</v>
      </c>
      <c r="L213" s="93" t="str">
        <f>VLOOKUP(G213,'SKU 对应关系'!A:E,4,0)</f>
        <v>AN6KIT-WH_4X10K04_TZ</v>
      </c>
      <c r="M213" s="94" t="str">
        <f>_xlfn.IFNA(VLOOKUP(G213,'SKU 对应关系'!A:B,2,0),"")</f>
        <v>AN6KIT-WH_4X10K04_TZ AN6白色机器+4x10mL酒店（天竺）香氛油 机油套装</v>
      </c>
      <c r="N213" s="95" t="str">
        <f>_xlfn.IFNA(VLOOKUP(G213,'SKU 对应关系'!$A:$D,3,0),"")</f>
        <v>AN6</v>
      </c>
      <c r="O213" s="96">
        <v>4</v>
      </c>
      <c r="P213" s="455">
        <v>61.159615384615385</v>
      </c>
      <c r="Q213" s="96" t="s">
        <v>16</v>
      </c>
      <c r="R213" s="91">
        <v>3.5</v>
      </c>
      <c r="S213" s="95"/>
      <c r="T213" s="98">
        <v>4.7337278106508878</v>
      </c>
      <c r="U213" s="99">
        <f t="shared" si="26"/>
        <v>218.79238165680474</v>
      </c>
      <c r="V213" s="100">
        <f t="shared" si="22"/>
        <v>1.8232698471400395</v>
      </c>
      <c r="W213" s="101">
        <f t="shared" si="27"/>
        <v>0.27212982793134916</v>
      </c>
      <c r="X213" s="95"/>
      <c r="Y213" s="95"/>
      <c r="Z213" s="102" t="s">
        <v>345</v>
      </c>
      <c r="AA213" s="103">
        <v>46095</v>
      </c>
      <c r="AB213" s="103">
        <v>46116</v>
      </c>
      <c r="AC213" s="103"/>
      <c r="AD213" s="104">
        <f>IF(ISNA(VLOOKUP(D213,亚马逊入库配置费!B:F,5,0)),0,VLOOKUP(D213,亚马逊入库配置费!B:F,5,0))</f>
        <v>0.44</v>
      </c>
      <c r="AE213" s="104">
        <f t="shared" si="28"/>
        <v>52.8</v>
      </c>
      <c r="AF213" s="103">
        <v>46122</v>
      </c>
      <c r="AG213" s="90">
        <f t="shared" si="24"/>
        <v>27</v>
      </c>
      <c r="AH213" s="103">
        <v>46182</v>
      </c>
      <c r="AI213" s="96"/>
      <c r="AJ213" s="427">
        <f t="shared" si="25"/>
        <v>60</v>
      </c>
      <c r="AK213" s="96"/>
      <c r="AL213" s="92"/>
      <c r="AM213" s="91"/>
      <c r="AN213" s="91"/>
      <c r="AO213" s="96"/>
      <c r="AP213" s="105"/>
      <c r="AQ213" s="105"/>
      <c r="AR213" s="105"/>
      <c r="AS213" s="105"/>
    </row>
    <row r="214" spans="1:45" ht="12" customHeight="1" x14ac:dyDescent="0.25">
      <c r="A214" s="90">
        <v>213</v>
      </c>
      <c r="B214" s="91"/>
      <c r="C214" s="91" t="s">
        <v>4190</v>
      </c>
      <c r="D214" s="92" t="s">
        <v>4192</v>
      </c>
      <c r="E214" s="91" t="s">
        <v>97</v>
      </c>
      <c r="F214" s="91" t="s">
        <v>0</v>
      </c>
      <c r="G214" s="56" t="s">
        <v>1215</v>
      </c>
      <c r="H214" s="91">
        <v>2100</v>
      </c>
      <c r="I214" s="91" t="s">
        <v>207</v>
      </c>
      <c r="J214" s="91" t="s">
        <v>8</v>
      </c>
      <c r="K214" s="92" t="s">
        <v>32</v>
      </c>
      <c r="L214" s="93" t="str">
        <f>VLOOKUP(G214,'SKU 对应关系'!A:E,4,0)</f>
        <v>AN8KIT-B_4X10K01</v>
      </c>
      <c r="M214" s="94" t="str">
        <f>_xlfn.IFNA(VLOOKUP(G214,'SKU 对应关系'!A:B,2,0),"")</f>
        <v>AN8KIT-B_4X10K01 AN8黑色机器+4x10mL酒店香氛油 机油套装</v>
      </c>
      <c r="N214" s="95" t="str">
        <f>_xlfn.IFNA(VLOOKUP(G214,'SKU 对应关系'!$A:$D,3,0),"")</f>
        <v>AN8</v>
      </c>
      <c r="O214" s="96">
        <v>70</v>
      </c>
      <c r="P214" s="455">
        <v>1070.2932692307693</v>
      </c>
      <c r="Q214" s="96" t="s">
        <v>16</v>
      </c>
      <c r="R214" s="91">
        <v>3.5</v>
      </c>
      <c r="S214" s="95"/>
      <c r="T214" s="98">
        <v>82.840236686390526</v>
      </c>
      <c r="U214" s="99">
        <f t="shared" si="26"/>
        <v>3828.866678994083</v>
      </c>
      <c r="V214" s="100">
        <f t="shared" si="22"/>
        <v>1.8232698471400395</v>
      </c>
      <c r="W214" s="101">
        <f t="shared" si="27"/>
        <v>0.27212982793134916</v>
      </c>
      <c r="X214" s="95"/>
      <c r="Y214" s="95"/>
      <c r="Z214" s="102" t="s">
        <v>345</v>
      </c>
      <c r="AA214" s="103">
        <v>46095</v>
      </c>
      <c r="AB214" s="103">
        <v>46116</v>
      </c>
      <c r="AC214" s="103"/>
      <c r="AD214" s="104">
        <f>IF(ISNA(VLOOKUP(D214,亚马逊入库配置费!B:F,5,0)),0,VLOOKUP(D214,亚马逊入库配置费!B:F,5,0))</f>
        <v>0.44</v>
      </c>
      <c r="AE214" s="104">
        <f t="shared" si="28"/>
        <v>924</v>
      </c>
      <c r="AF214" s="103">
        <v>46122</v>
      </c>
      <c r="AG214" s="90">
        <f t="shared" si="24"/>
        <v>27</v>
      </c>
      <c r="AH214" s="103">
        <v>46182</v>
      </c>
      <c r="AI214" s="96"/>
      <c r="AJ214" s="427">
        <f t="shared" si="25"/>
        <v>60</v>
      </c>
      <c r="AK214" s="96"/>
      <c r="AL214" s="92"/>
      <c r="AM214" s="91"/>
      <c r="AN214" s="91"/>
      <c r="AO214" s="96"/>
      <c r="AP214" s="105"/>
      <c r="AQ214" s="105"/>
      <c r="AR214" s="105"/>
      <c r="AS214" s="105"/>
    </row>
    <row r="215" spans="1:45" ht="12" customHeight="1" x14ac:dyDescent="0.25">
      <c r="A215" s="90">
        <v>214</v>
      </c>
      <c r="B215" s="91"/>
      <c r="C215" s="91" t="s">
        <v>4190</v>
      </c>
      <c r="D215" s="92" t="s">
        <v>4192</v>
      </c>
      <c r="E215" s="91" t="s">
        <v>97</v>
      </c>
      <c r="F215" s="91" t="s">
        <v>0</v>
      </c>
      <c r="G215" s="56" t="s">
        <v>1902</v>
      </c>
      <c r="H215" s="91">
        <v>510</v>
      </c>
      <c r="I215" s="91" t="s">
        <v>207</v>
      </c>
      <c r="J215" s="91" t="s">
        <v>8</v>
      </c>
      <c r="K215" s="92" t="s">
        <v>32</v>
      </c>
      <c r="L215" s="93" t="str">
        <f>VLOOKUP(G215,'SKU 对应关系'!A:E,4,0)</f>
        <v>AN8KIT-WH_4X10K01</v>
      </c>
      <c r="M215" s="94" t="str">
        <f>_xlfn.IFNA(VLOOKUP(G215,'SKU 对应关系'!A:B,2,0),"")</f>
        <v>AN8KIT-WH_4X10K01 AN8白色机器+4x10mL酒店香氛油 机油套装</v>
      </c>
      <c r="N215" s="95" t="str">
        <f>_xlfn.IFNA(VLOOKUP(G215,'SKU 对应关系'!$A:$D,3,0),"")</f>
        <v>AN8</v>
      </c>
      <c r="O215" s="96">
        <v>17</v>
      </c>
      <c r="P215" s="455">
        <v>259.9283653846154</v>
      </c>
      <c r="Q215" s="96" t="s">
        <v>16</v>
      </c>
      <c r="R215" s="91">
        <v>3.5</v>
      </c>
      <c r="S215" s="95"/>
      <c r="T215" s="98">
        <v>20.118343195266274</v>
      </c>
      <c r="U215" s="99">
        <f t="shared" si="26"/>
        <v>929.86762204142008</v>
      </c>
      <c r="V215" s="100">
        <f t="shared" si="22"/>
        <v>1.8232698471400393</v>
      </c>
      <c r="W215" s="101">
        <f t="shared" si="27"/>
        <v>0.27212982793134916</v>
      </c>
      <c r="X215" s="95"/>
      <c r="Y215" s="95"/>
      <c r="Z215" s="102" t="s">
        <v>345</v>
      </c>
      <c r="AA215" s="103">
        <v>46095</v>
      </c>
      <c r="AB215" s="103">
        <v>46116</v>
      </c>
      <c r="AC215" s="103"/>
      <c r="AD215" s="104">
        <f>IF(ISNA(VLOOKUP(D215,亚马逊入库配置费!B:F,5,0)),0,VLOOKUP(D215,亚马逊入库配置费!B:F,5,0))</f>
        <v>0.44</v>
      </c>
      <c r="AE215" s="104">
        <f t="shared" si="28"/>
        <v>224.4</v>
      </c>
      <c r="AF215" s="103">
        <v>46122</v>
      </c>
      <c r="AG215" s="90">
        <f t="shared" si="24"/>
        <v>27</v>
      </c>
      <c r="AH215" s="103">
        <v>46182</v>
      </c>
      <c r="AI215" s="96"/>
      <c r="AJ215" s="427">
        <f t="shared" si="25"/>
        <v>60</v>
      </c>
      <c r="AK215" s="96"/>
      <c r="AL215" s="92"/>
      <c r="AM215" s="91"/>
      <c r="AN215" s="91"/>
      <c r="AO215" s="96"/>
      <c r="AP215" s="105"/>
      <c r="AQ215" s="105"/>
      <c r="AR215" s="105"/>
      <c r="AS215" s="105"/>
    </row>
    <row r="216" spans="1:45" ht="12" customHeight="1" x14ac:dyDescent="0.25">
      <c r="A216" s="90">
        <v>215</v>
      </c>
      <c r="B216" s="91"/>
      <c r="C216" s="91" t="s">
        <v>731</v>
      </c>
      <c r="D216" s="92" t="s">
        <v>4193</v>
      </c>
      <c r="E216" s="91" t="s">
        <v>97</v>
      </c>
      <c r="F216" s="91" t="s">
        <v>0</v>
      </c>
      <c r="G216" s="56" t="s">
        <v>163</v>
      </c>
      <c r="H216" s="91">
        <v>400</v>
      </c>
      <c r="I216" s="91" t="s">
        <v>89</v>
      </c>
      <c r="J216" s="91" t="s">
        <v>4</v>
      </c>
      <c r="K216" s="92" t="s">
        <v>15</v>
      </c>
      <c r="L216" s="93" t="str">
        <f>VLOOKUP(G216,'SKU 对应关系'!A:E,4,0)</f>
        <v>AN6-B</v>
      </c>
      <c r="M216" s="94" t="str">
        <f>_xlfn.IFNA(VLOOKUP(G216,'SKU 对应关系'!A:B,2,0),"")</f>
        <v>AN6-B 便携式扩香仪 黑色</v>
      </c>
      <c r="N216" s="95" t="str">
        <f>_xlfn.IFNA(VLOOKUP(G216,'SKU 对应关系'!$A:$D,3,0),"")</f>
        <v>AN6</v>
      </c>
      <c r="O216" s="96">
        <v>10</v>
      </c>
      <c r="P216" s="455">
        <v>155</v>
      </c>
      <c r="Q216" s="96" t="s">
        <v>16</v>
      </c>
      <c r="R216" s="91">
        <v>7.7</v>
      </c>
      <c r="S216" s="241">
        <v>200</v>
      </c>
      <c r="T216" s="465">
        <v>40</v>
      </c>
      <c r="U216" s="99">
        <f t="shared" si="26"/>
        <v>1233.5</v>
      </c>
      <c r="V216" s="100">
        <f t="shared" si="22"/>
        <v>3.0837500000000002</v>
      </c>
      <c r="W216" s="101">
        <f t="shared" si="27"/>
        <v>0.46026119402985077</v>
      </c>
      <c r="X216" s="95"/>
      <c r="Y216" s="95"/>
      <c r="Z216" s="102" t="s">
        <v>345</v>
      </c>
      <c r="AA216" s="103">
        <v>46094</v>
      </c>
      <c r="AB216" s="103">
        <v>46110</v>
      </c>
      <c r="AC216" s="103"/>
      <c r="AD216" s="104">
        <f>IF(ISNA(VLOOKUP(D216,亚马逊入库配置费!B:F,5,0)),0,VLOOKUP(D216,亚马逊入库配置费!B:F,5,0))</f>
        <v>0.41538461538461541</v>
      </c>
      <c r="AE216" s="104">
        <f t="shared" si="28"/>
        <v>166.15384615384616</v>
      </c>
      <c r="AF216" s="103">
        <v>46115</v>
      </c>
      <c r="AG216" s="90">
        <f t="shared" si="24"/>
        <v>21</v>
      </c>
      <c r="AH216" s="103">
        <v>46150</v>
      </c>
      <c r="AI216" s="96"/>
      <c r="AJ216" s="427">
        <f t="shared" si="25"/>
        <v>35</v>
      </c>
      <c r="AK216" s="96"/>
      <c r="AL216" s="92"/>
      <c r="AM216" s="91"/>
      <c r="AN216" s="91"/>
      <c r="AO216" s="96"/>
      <c r="AP216" s="105"/>
      <c r="AQ216" s="105"/>
      <c r="AR216" s="105"/>
      <c r="AS216" s="105"/>
    </row>
    <row r="217" spans="1:45" ht="12" customHeight="1" x14ac:dyDescent="0.25">
      <c r="A217" s="90">
        <v>216</v>
      </c>
      <c r="B217" s="91"/>
      <c r="C217" s="91" t="s">
        <v>731</v>
      </c>
      <c r="D217" s="92" t="s">
        <v>4193</v>
      </c>
      <c r="E217" s="91" t="s">
        <v>97</v>
      </c>
      <c r="F217" s="91" t="s">
        <v>0</v>
      </c>
      <c r="G217" s="56" t="s">
        <v>1215</v>
      </c>
      <c r="H217" s="91">
        <v>900</v>
      </c>
      <c r="I217" s="91" t="s">
        <v>89</v>
      </c>
      <c r="J217" s="91" t="s">
        <v>4</v>
      </c>
      <c r="K217" s="92" t="s">
        <v>15</v>
      </c>
      <c r="L217" s="93" t="str">
        <f>VLOOKUP(G217,'SKU 对应关系'!A:E,4,0)</f>
        <v>AN8KIT-B_4X10K01</v>
      </c>
      <c r="M217" s="94" t="str">
        <f>_xlfn.IFNA(VLOOKUP(G217,'SKU 对应关系'!A:B,2,0),"")</f>
        <v>AN8KIT-B_4X10K01 AN8黑色机器+4x10mL酒店香氛油 机油套装</v>
      </c>
      <c r="N217" s="95" t="str">
        <f>_xlfn.IFNA(VLOOKUP(G217,'SKU 对应关系'!$A:$D,3,0),"")</f>
        <v>AN8</v>
      </c>
      <c r="O217" s="96">
        <v>30</v>
      </c>
      <c r="P217" s="455">
        <v>465</v>
      </c>
      <c r="Q217" s="96" t="s">
        <v>16</v>
      </c>
      <c r="R217" s="91">
        <v>7.7</v>
      </c>
      <c r="S217" s="466">
        <f>SUMIF(C:C,C216,T:T)</f>
        <v>200</v>
      </c>
      <c r="T217" s="465">
        <v>120</v>
      </c>
      <c r="U217" s="99">
        <f t="shared" si="26"/>
        <v>3700.5</v>
      </c>
      <c r="V217" s="100">
        <f t="shared" si="22"/>
        <v>4.1116666666666664</v>
      </c>
      <c r="W217" s="101">
        <f t="shared" si="27"/>
        <v>0.61368159203980088</v>
      </c>
      <c r="X217" s="95"/>
      <c r="Y217" s="95"/>
      <c r="Z217" s="102" t="s">
        <v>345</v>
      </c>
      <c r="AA217" s="103">
        <v>46094</v>
      </c>
      <c r="AB217" s="103">
        <v>46110</v>
      </c>
      <c r="AC217" s="103"/>
      <c r="AD217" s="104">
        <f>IF(ISNA(VLOOKUP(D217,亚马逊入库配置费!B:F,5,0)),0,VLOOKUP(D217,亚马逊入库配置费!B:F,5,0))</f>
        <v>0.41538461538461541</v>
      </c>
      <c r="AE217" s="104">
        <f t="shared" si="28"/>
        <v>373.84615384615387</v>
      </c>
      <c r="AF217" s="103">
        <v>46115</v>
      </c>
      <c r="AG217" s="90">
        <f t="shared" si="24"/>
        <v>21</v>
      </c>
      <c r="AH217" s="103">
        <v>46150</v>
      </c>
      <c r="AI217" s="96"/>
      <c r="AJ217" s="427">
        <f t="shared" si="25"/>
        <v>35</v>
      </c>
      <c r="AK217" s="96"/>
      <c r="AL217" s="92"/>
      <c r="AM217" s="91"/>
      <c r="AN217" s="91"/>
      <c r="AO217" s="96"/>
      <c r="AP217" s="105"/>
      <c r="AQ217" s="105"/>
      <c r="AR217" s="105"/>
      <c r="AS217" s="105"/>
    </row>
    <row r="218" spans="1:45" ht="12" customHeight="1" x14ac:dyDescent="0.25">
      <c r="A218" s="90">
        <v>217</v>
      </c>
      <c r="B218" s="91"/>
      <c r="C218" s="91" t="s">
        <v>4194</v>
      </c>
      <c r="D218" s="92" t="s">
        <v>4195</v>
      </c>
      <c r="E218" s="91" t="s">
        <v>86</v>
      </c>
      <c r="F218" s="91" t="s">
        <v>87</v>
      </c>
      <c r="G218" s="56" t="s">
        <v>93</v>
      </c>
      <c r="H218" s="91">
        <v>72</v>
      </c>
      <c r="I218" s="91" t="s">
        <v>117</v>
      </c>
      <c r="J218" s="91" t="s">
        <v>90</v>
      </c>
      <c r="K218" s="92" t="s">
        <v>2530</v>
      </c>
      <c r="L218" s="93" t="str">
        <f>VLOOKUP(G218,'SKU 对应关系'!A:E,4,0)</f>
        <v>ANW-W</v>
      </c>
      <c r="M218" s="94" t="str">
        <f>_xlfn.IFNA(VLOOKUP(G218,'SKU 对应关系'!A:B,2,0),"")</f>
        <v>ANW-W 智能扩香仪 白色</v>
      </c>
      <c r="N218" s="95" t="str">
        <f>_xlfn.IFNA(VLOOKUP(G218,'SKU 对应关系'!$A:$D,3,0),"")</f>
        <v>ANW</v>
      </c>
      <c r="O218" s="96">
        <v>6</v>
      </c>
      <c r="P218" s="455">
        <v>86</v>
      </c>
      <c r="Q218" s="96" t="s">
        <v>16</v>
      </c>
      <c r="R218" s="91">
        <v>6.5</v>
      </c>
      <c r="S218" s="95">
        <v>350</v>
      </c>
      <c r="T218" s="98">
        <v>350</v>
      </c>
      <c r="U218" s="99">
        <f t="shared" si="26"/>
        <v>909</v>
      </c>
      <c r="V218" s="100">
        <f t="shared" si="22"/>
        <v>12.625</v>
      </c>
      <c r="W218" s="101">
        <f t="shared" si="27"/>
        <v>1.8843283582089552</v>
      </c>
      <c r="X218" s="95"/>
      <c r="Y218" s="95"/>
      <c r="Z218" s="102" t="s">
        <v>345</v>
      </c>
      <c r="AA218" s="103">
        <v>46094</v>
      </c>
      <c r="AB218" s="103">
        <v>46125</v>
      </c>
      <c r="AC218" s="103"/>
      <c r="AD218" s="104">
        <f>IF(ISNA(VLOOKUP(D218,亚马逊入库配置费!B:F,5,0)),0,VLOOKUP(D218,亚马逊入库配置费!B:F,5,0))</f>
        <v>0</v>
      </c>
      <c r="AE218" s="104">
        <f t="shared" si="28"/>
        <v>0</v>
      </c>
      <c r="AF218" s="103">
        <v>46137</v>
      </c>
      <c r="AG218" s="90">
        <f t="shared" si="24"/>
        <v>43</v>
      </c>
      <c r="AH218" s="103">
        <v>46143</v>
      </c>
      <c r="AI218" s="96"/>
      <c r="AJ218" s="427">
        <f t="shared" si="25"/>
        <v>6</v>
      </c>
      <c r="AK218" s="96"/>
      <c r="AL218" s="92"/>
      <c r="AM218" s="91"/>
      <c r="AN218" s="91"/>
      <c r="AO218" s="96"/>
      <c r="AP218" s="105"/>
      <c r="AQ218" s="105"/>
      <c r="AR218" s="105"/>
      <c r="AS218" s="105"/>
    </row>
    <row r="219" spans="1:45" ht="12" customHeight="1" x14ac:dyDescent="0.25">
      <c r="A219" s="90">
        <v>218</v>
      </c>
      <c r="B219" s="91"/>
      <c r="C219" s="91" t="s">
        <v>4196</v>
      </c>
      <c r="D219" s="92" t="s">
        <v>4197</v>
      </c>
      <c r="E219" s="91" t="s">
        <v>97</v>
      </c>
      <c r="F219" s="91" t="s">
        <v>0</v>
      </c>
      <c r="G219" s="56" t="s">
        <v>93</v>
      </c>
      <c r="H219" s="91">
        <v>480</v>
      </c>
      <c r="I219" s="91" t="s">
        <v>117</v>
      </c>
      <c r="J219" s="91" t="s">
        <v>8</v>
      </c>
      <c r="K219" s="92" t="s">
        <v>42</v>
      </c>
      <c r="L219" s="93" t="str">
        <f>VLOOKUP(G219,'SKU 对应关系'!A:E,4,0)</f>
        <v>ANW-W</v>
      </c>
      <c r="M219" s="94" t="str">
        <f>_xlfn.IFNA(VLOOKUP(G219,'SKU 对应关系'!A:B,2,0),"")</f>
        <v>ANW-W 智能扩香仪 白色</v>
      </c>
      <c r="N219" s="95" t="str">
        <f>_xlfn.IFNA(VLOOKUP(G219,'SKU 对应关系'!$A:$D,3,0),"")</f>
        <v>ANW</v>
      </c>
      <c r="O219" s="96">
        <v>40</v>
      </c>
      <c r="P219" s="455">
        <v>572</v>
      </c>
      <c r="Q219" s="96" t="s">
        <v>16</v>
      </c>
      <c r="R219" s="91">
        <v>3.2</v>
      </c>
      <c r="S219" s="95">
        <v>350</v>
      </c>
      <c r="T219" s="98">
        <v>350</v>
      </c>
      <c r="U219" s="99">
        <f t="shared" si="26"/>
        <v>2180.4</v>
      </c>
      <c r="V219" s="100">
        <f t="shared" si="22"/>
        <v>4.5425000000000004</v>
      </c>
      <c r="W219" s="101">
        <f t="shared" si="27"/>
        <v>0.67798507462686575</v>
      </c>
      <c r="X219" s="95"/>
      <c r="Y219" s="95"/>
      <c r="Z219" s="102" t="s">
        <v>345</v>
      </c>
      <c r="AA219" s="103">
        <v>46094</v>
      </c>
      <c r="AB219" s="103">
        <v>46116</v>
      </c>
      <c r="AC219" s="103"/>
      <c r="AD219" s="104">
        <f>IF(ISNA(VLOOKUP(D219,亚马逊入库配置费!B:F,5,0)),0,VLOOKUP(D219,亚马逊入库配置费!B:F,5,0))</f>
        <v>0.56000000000000005</v>
      </c>
      <c r="AE219" s="104">
        <f t="shared" si="28"/>
        <v>268.8</v>
      </c>
      <c r="AF219" s="103">
        <v>46122</v>
      </c>
      <c r="AG219" s="90">
        <f t="shared" si="24"/>
        <v>28</v>
      </c>
      <c r="AH219" s="103">
        <v>46153</v>
      </c>
      <c r="AI219" s="96"/>
      <c r="AJ219" s="427">
        <f t="shared" si="25"/>
        <v>31</v>
      </c>
      <c r="AK219" s="96"/>
      <c r="AL219" s="92"/>
      <c r="AM219" s="91"/>
      <c r="AN219" s="91"/>
      <c r="AO219" s="96"/>
      <c r="AP219" s="105"/>
      <c r="AQ219" s="105"/>
      <c r="AR219" s="105"/>
      <c r="AS219" s="105"/>
    </row>
    <row r="220" spans="1:45" ht="12" customHeight="1" x14ac:dyDescent="0.25">
      <c r="A220" s="90">
        <v>219</v>
      </c>
      <c r="B220" s="91"/>
      <c r="C220" s="91" t="s">
        <v>724</v>
      </c>
      <c r="D220" s="92" t="s">
        <v>4198</v>
      </c>
      <c r="E220" s="91" t="s">
        <v>115</v>
      </c>
      <c r="F220" s="91" t="s">
        <v>0</v>
      </c>
      <c r="G220" s="56" t="s">
        <v>2981</v>
      </c>
      <c r="H220" s="91">
        <v>684</v>
      </c>
      <c r="I220" s="91" t="s">
        <v>1767</v>
      </c>
      <c r="J220" s="91" t="s">
        <v>8</v>
      </c>
      <c r="K220" s="92" t="s">
        <v>46</v>
      </c>
      <c r="L220" s="93" t="str">
        <f>VLOOKUP(G220,'SKU 对应关系'!A:E,4,0)</f>
        <v>HOTEL6KIT1-6X10K01</v>
      </c>
      <c r="M220" s="94" t="str">
        <f>_xlfn.IFNA(VLOOKUP(G220,'SKU 对应关系'!A:B,2,0),"")</f>
        <v>HOTEL6KIT1-6X10K01 酒店香氛油6款10mL套装</v>
      </c>
      <c r="N220" s="95" t="str">
        <f>_xlfn.IFNA(VLOOKUP(G220,'SKU 对应关系'!$A:$D,3,0),"")</f>
        <v>Oil-HQ</v>
      </c>
      <c r="O220" s="96">
        <v>9</v>
      </c>
      <c r="P220" s="455">
        <v>0.46800000000000003</v>
      </c>
      <c r="Q220" s="96" t="s">
        <v>3264</v>
      </c>
      <c r="R220" s="91">
        <v>1380</v>
      </c>
      <c r="S220" s="95">
        <v>180</v>
      </c>
      <c r="T220" s="98">
        <v>77.142857142857139</v>
      </c>
      <c r="U220" s="99">
        <f t="shared" si="26"/>
        <v>722.98285714285714</v>
      </c>
      <c r="V220" s="100">
        <f t="shared" si="22"/>
        <v>1.0569924812030076</v>
      </c>
      <c r="W220" s="101">
        <f t="shared" si="27"/>
        <v>0.15776007182134441</v>
      </c>
      <c r="X220" s="95"/>
      <c r="Y220" s="95"/>
      <c r="Z220" s="102" t="s">
        <v>345</v>
      </c>
      <c r="AA220" s="103">
        <v>46094</v>
      </c>
      <c r="AB220" s="103">
        <v>46116</v>
      </c>
      <c r="AC220" s="103"/>
      <c r="AD220" s="104">
        <f>IF(ISNA(VLOOKUP(D220,亚马逊入库配置费!B:F,5,0)),0,VLOOKUP(D220,亚马逊入库配置费!B:F,5,0))</f>
        <v>0.36</v>
      </c>
      <c r="AE220" s="104">
        <f t="shared" si="28"/>
        <v>246.23999999999998</v>
      </c>
      <c r="AF220" s="103">
        <v>46129</v>
      </c>
      <c r="AG220" s="90">
        <f t="shared" si="24"/>
        <v>35</v>
      </c>
      <c r="AH220" s="103">
        <v>46155</v>
      </c>
      <c r="AI220" s="96"/>
      <c r="AJ220" s="427">
        <f t="shared" si="25"/>
        <v>26</v>
      </c>
      <c r="AK220" s="96"/>
      <c r="AL220" s="92"/>
      <c r="AM220" s="91"/>
      <c r="AN220" s="91"/>
      <c r="AO220" s="96"/>
      <c r="AP220" s="105"/>
      <c r="AQ220" s="105"/>
      <c r="AR220" s="105"/>
      <c r="AS220" s="105"/>
    </row>
    <row r="221" spans="1:45" ht="12" customHeight="1" x14ac:dyDescent="0.25">
      <c r="A221" s="90">
        <v>220</v>
      </c>
      <c r="B221" s="91"/>
      <c r="C221" s="91" t="s">
        <v>724</v>
      </c>
      <c r="D221" s="92" t="s">
        <v>4198</v>
      </c>
      <c r="E221" s="91" t="s">
        <v>115</v>
      </c>
      <c r="F221" s="91" t="s">
        <v>0</v>
      </c>
      <c r="G221" s="56" t="s">
        <v>1057</v>
      </c>
      <c r="H221" s="91">
        <v>90</v>
      </c>
      <c r="I221" s="91" t="s">
        <v>1767</v>
      </c>
      <c r="J221" s="91" t="s">
        <v>8</v>
      </c>
      <c r="K221" s="92" t="s">
        <v>46</v>
      </c>
      <c r="L221" s="93" t="str">
        <f>VLOOKUP(G221,'SKU 对应关系'!A:E,4,0)</f>
        <v>A-MWAY-100</v>
      </c>
      <c r="M221" s="94" t="str">
        <f>_xlfn.IFNA(VLOOKUP(G221,'SKU 对应关系'!A:B,2,0),"")</f>
        <v>A-MWAY Deluxe-100 特定香型香氛油100mL</v>
      </c>
      <c r="N221" s="95" t="str">
        <f>_xlfn.IFNA(VLOOKUP(G221,'SKU 对应关系'!$A:$D,3,0),"")</f>
        <v>Oil-HQ</v>
      </c>
      <c r="O221" s="96">
        <v>1</v>
      </c>
      <c r="P221" s="455">
        <v>5.2000000000000005E-2</v>
      </c>
      <c r="Q221" s="96" t="s">
        <v>3264</v>
      </c>
      <c r="R221" s="91">
        <v>1380</v>
      </c>
      <c r="S221" s="106">
        <f>SUMIF(C:C,C220,T:T)</f>
        <v>180</v>
      </c>
      <c r="T221" s="98">
        <v>8.5714285714285712</v>
      </c>
      <c r="U221" s="99">
        <f t="shared" si="26"/>
        <v>80.331428571428575</v>
      </c>
      <c r="V221" s="100">
        <f t="shared" si="22"/>
        <v>0.89257142857142857</v>
      </c>
      <c r="W221" s="101">
        <f t="shared" si="27"/>
        <v>0.13321961620469083</v>
      </c>
      <c r="X221" s="95"/>
      <c r="Y221" s="95"/>
      <c r="Z221" s="102" t="s">
        <v>345</v>
      </c>
      <c r="AA221" s="103">
        <v>46094</v>
      </c>
      <c r="AB221" s="103">
        <v>46116</v>
      </c>
      <c r="AC221" s="103"/>
      <c r="AD221" s="104">
        <f>IF(ISNA(VLOOKUP(D221,亚马逊入库配置费!B:F,5,0)),0,VLOOKUP(D221,亚马逊入库配置费!B:F,5,0))</f>
        <v>0.36</v>
      </c>
      <c r="AE221" s="104">
        <f t="shared" si="28"/>
        <v>32.4</v>
      </c>
      <c r="AF221" s="103">
        <v>46129</v>
      </c>
      <c r="AG221" s="90">
        <f t="shared" si="24"/>
        <v>35</v>
      </c>
      <c r="AH221" s="103">
        <v>46155</v>
      </c>
      <c r="AI221" s="96"/>
      <c r="AJ221" s="427">
        <f t="shared" si="25"/>
        <v>26</v>
      </c>
      <c r="AK221" s="96"/>
      <c r="AL221" s="92"/>
      <c r="AM221" s="91"/>
      <c r="AN221" s="91"/>
      <c r="AO221" s="96"/>
      <c r="AP221" s="105"/>
      <c r="AQ221" s="105"/>
      <c r="AR221" s="105"/>
      <c r="AS221" s="105"/>
    </row>
    <row r="222" spans="1:45" ht="12" customHeight="1" x14ac:dyDescent="0.25">
      <c r="A222" s="90">
        <v>221</v>
      </c>
      <c r="B222" s="91"/>
      <c r="C222" s="91" t="s">
        <v>724</v>
      </c>
      <c r="D222" s="92" t="s">
        <v>4199</v>
      </c>
      <c r="E222" s="91" t="s">
        <v>97</v>
      </c>
      <c r="F222" s="91" t="s">
        <v>0</v>
      </c>
      <c r="G222" s="56" t="s">
        <v>316</v>
      </c>
      <c r="H222" s="91">
        <v>540</v>
      </c>
      <c r="I222" s="91" t="s">
        <v>1767</v>
      </c>
      <c r="J222" s="91" t="s">
        <v>8</v>
      </c>
      <c r="K222" s="92" t="s">
        <v>46</v>
      </c>
      <c r="L222" s="93" t="str">
        <f>VLOOKUP(G222,'SKU 对应关系'!A:E,4,0)</f>
        <v>A-RZ3-100</v>
      </c>
      <c r="M222" s="94" t="str">
        <f>_xlfn.IFNA(VLOOKUP(G222,'SKU 对应关系'!A:B,2,0),"")</f>
        <v>A-Ritz Carlton Hotel 3-100 丽思卡尔顿酒店3香氛油100mL</v>
      </c>
      <c r="N222" s="95" t="str">
        <f>_xlfn.IFNA(VLOOKUP(G222,'SKU 对应关系'!$A:$D,3,0),"")</f>
        <v>Oil-HQ</v>
      </c>
      <c r="O222" s="96">
        <v>6</v>
      </c>
      <c r="P222" s="455">
        <v>0.31636363636363635</v>
      </c>
      <c r="Q222" s="96" t="s">
        <v>3264</v>
      </c>
      <c r="R222" s="91">
        <v>1380</v>
      </c>
      <c r="S222" s="95"/>
      <c r="T222" s="98">
        <v>51.428571428571431</v>
      </c>
      <c r="U222" s="99">
        <f t="shared" si="26"/>
        <v>488.01038961038961</v>
      </c>
      <c r="V222" s="100">
        <f t="shared" si="22"/>
        <v>0.90372294372294371</v>
      </c>
      <c r="W222" s="101">
        <f t="shared" si="27"/>
        <v>0.13488402145118564</v>
      </c>
      <c r="X222" s="95"/>
      <c r="Y222" s="95"/>
      <c r="Z222" s="102" t="s">
        <v>345</v>
      </c>
      <c r="AA222" s="103">
        <v>46094</v>
      </c>
      <c r="AB222" s="103">
        <v>46116</v>
      </c>
      <c r="AC222" s="103"/>
      <c r="AD222" s="104">
        <f>IF(ISNA(VLOOKUP(D222,亚马逊入库配置费!B:F,5,0)),0,VLOOKUP(D222,亚马逊入库配置费!B:F,5,0))</f>
        <v>0.3725</v>
      </c>
      <c r="AE222" s="104">
        <f t="shared" si="28"/>
        <v>201.15</v>
      </c>
      <c r="AF222" s="103">
        <v>46124</v>
      </c>
      <c r="AG222" s="90">
        <f t="shared" si="24"/>
        <v>30</v>
      </c>
      <c r="AH222" s="103">
        <v>46156</v>
      </c>
      <c r="AI222" s="96"/>
      <c r="AJ222" s="427">
        <f t="shared" si="25"/>
        <v>32</v>
      </c>
      <c r="AK222" s="96"/>
      <c r="AL222" s="92"/>
      <c r="AM222" s="91"/>
      <c r="AN222" s="91"/>
      <c r="AO222" s="96"/>
      <c r="AP222" s="105"/>
      <c r="AQ222" s="105"/>
      <c r="AR222" s="105"/>
      <c r="AS222" s="105"/>
    </row>
    <row r="223" spans="1:45" ht="12" customHeight="1" x14ac:dyDescent="0.25">
      <c r="A223" s="90">
        <v>222</v>
      </c>
      <c r="B223" s="91"/>
      <c r="C223" s="91" t="s">
        <v>724</v>
      </c>
      <c r="D223" s="92" t="s">
        <v>4199</v>
      </c>
      <c r="E223" s="91" t="s">
        <v>97</v>
      </c>
      <c r="F223" s="91" t="s">
        <v>0</v>
      </c>
      <c r="G223" s="56" t="s">
        <v>1312</v>
      </c>
      <c r="H223" s="91">
        <v>100</v>
      </c>
      <c r="I223" s="91" t="s">
        <v>1767</v>
      </c>
      <c r="J223" s="91" t="s">
        <v>8</v>
      </c>
      <c r="K223" s="92" t="s">
        <v>46</v>
      </c>
      <c r="L223" s="93" t="str">
        <f>VLOOKUP(G223,'SKU 对应关系'!A:E,4,0)</f>
        <v>RZ-500ML</v>
      </c>
      <c r="M223" s="94" t="str">
        <f>_xlfn.IFNA(VLOOKUP(G223,'SKU 对应关系'!A:B,2,0),"")</f>
        <v>RZ-500ML 丽思卡尔顿酒店3香氛油500mL</v>
      </c>
      <c r="N223" s="95" t="str">
        <f>_xlfn.IFNA(VLOOKUP(G223,'SKU 对应关系'!$A:$D,3,0),"")</f>
        <v>Oil-HQ</v>
      </c>
      <c r="O223" s="96">
        <v>5</v>
      </c>
      <c r="P223" s="455">
        <v>0.26363636363636361</v>
      </c>
      <c r="Q223" s="96" t="s">
        <v>3264</v>
      </c>
      <c r="R223" s="91">
        <v>1380</v>
      </c>
      <c r="S223" s="95"/>
      <c r="T223" s="98">
        <v>42.857142857142854</v>
      </c>
      <c r="U223" s="99">
        <f t="shared" si="26"/>
        <v>406.67532467532465</v>
      </c>
      <c r="V223" s="100">
        <f t="shared" si="22"/>
        <v>4.0667532467532466</v>
      </c>
      <c r="W223" s="101">
        <f t="shared" si="27"/>
        <v>0.6069780965303353</v>
      </c>
      <c r="X223" s="95"/>
      <c r="Y223" s="95"/>
      <c r="Z223" s="102" t="s">
        <v>345</v>
      </c>
      <c r="AA223" s="103">
        <v>46094</v>
      </c>
      <c r="AB223" s="103">
        <v>46116</v>
      </c>
      <c r="AC223" s="103"/>
      <c r="AD223" s="104">
        <f>IF(ISNA(VLOOKUP(D223,亚马逊入库配置费!B:F,5,0)),0,VLOOKUP(D223,亚马逊入库配置费!B:F,5,0))</f>
        <v>0.3725</v>
      </c>
      <c r="AE223" s="104">
        <f t="shared" si="28"/>
        <v>37.25</v>
      </c>
      <c r="AF223" s="103">
        <v>46124</v>
      </c>
      <c r="AG223" s="90">
        <f t="shared" si="24"/>
        <v>30</v>
      </c>
      <c r="AH223" s="103">
        <v>46156</v>
      </c>
      <c r="AI223" s="96"/>
      <c r="AJ223" s="427">
        <f t="shared" si="25"/>
        <v>32</v>
      </c>
      <c r="AK223" s="96"/>
      <c r="AL223" s="92"/>
      <c r="AM223" s="91"/>
      <c r="AN223" s="91"/>
      <c r="AO223" s="96"/>
      <c r="AP223" s="105"/>
      <c r="AQ223" s="105"/>
      <c r="AR223" s="105"/>
      <c r="AS223" s="105"/>
    </row>
    <row r="224" spans="1:45" ht="12" customHeight="1" x14ac:dyDescent="0.25">
      <c r="A224" s="90">
        <v>223</v>
      </c>
      <c r="B224" s="91"/>
      <c r="C224" s="91" t="s">
        <v>706</v>
      </c>
      <c r="D224" s="92" t="s">
        <v>4200</v>
      </c>
      <c r="E224" s="91" t="s">
        <v>115</v>
      </c>
      <c r="F224" s="91" t="s">
        <v>0</v>
      </c>
      <c r="G224" s="56" t="s">
        <v>2937</v>
      </c>
      <c r="H224" s="91">
        <v>192</v>
      </c>
      <c r="I224" s="91" t="s">
        <v>1767</v>
      </c>
      <c r="J224" s="91" t="s">
        <v>8</v>
      </c>
      <c r="K224" s="92" t="s">
        <v>46</v>
      </c>
      <c r="L224" s="93" t="str">
        <f>VLOOKUP(G224,'SKU 对应关系'!A:E,4,0)</f>
        <v>SJ1-100ML_TZ</v>
      </c>
      <c r="M224" s="94" t="str">
        <f>_xlfn.IFNA(VLOOKUP(G224,'SKU 对应关系'!A:B,2,0),"")</f>
        <v>SJ1-100ML_TZ 四季酒店100mL香氛油（天竺） 销售包装</v>
      </c>
      <c r="N224" s="95" t="str">
        <f>_xlfn.IFNA(VLOOKUP(G224,'SKU 对应关系'!$A:$D,3,0),"")</f>
        <v>Oil-TZ</v>
      </c>
      <c r="O224" s="96">
        <v>3</v>
      </c>
      <c r="P224" s="455">
        <v>0.125</v>
      </c>
      <c r="Q224" s="96" t="s">
        <v>3264</v>
      </c>
      <c r="R224" s="91">
        <v>1380</v>
      </c>
      <c r="S224" s="95">
        <v>180</v>
      </c>
      <c r="T224" s="98">
        <v>20.76923076923077</v>
      </c>
      <c r="U224" s="99">
        <f t="shared" si="26"/>
        <v>193.26923076923077</v>
      </c>
      <c r="V224" s="100">
        <f t="shared" si="22"/>
        <v>1.0066105769230769</v>
      </c>
      <c r="W224" s="101">
        <f t="shared" si="27"/>
        <v>0.15024038461538461</v>
      </c>
      <c r="X224" s="95"/>
      <c r="Y224" s="95"/>
      <c r="Z224" s="102" t="s">
        <v>345</v>
      </c>
      <c r="AA224" s="103">
        <v>46094</v>
      </c>
      <c r="AB224" s="103">
        <v>46116</v>
      </c>
      <c r="AC224" s="103"/>
      <c r="AD224" s="104">
        <f>IF(ISNA(VLOOKUP(D224,亚马逊入库配置费!B:F,5,0)),0,VLOOKUP(D224,亚马逊入库配置费!B:F,5,0))</f>
        <v>0.36000000000000004</v>
      </c>
      <c r="AE224" s="104">
        <f t="shared" si="28"/>
        <v>69.12</v>
      </c>
      <c r="AF224" s="103">
        <v>46129</v>
      </c>
      <c r="AG224" s="90">
        <f t="shared" si="24"/>
        <v>35</v>
      </c>
      <c r="AH224" s="103">
        <v>46164</v>
      </c>
      <c r="AI224" s="96"/>
      <c r="AJ224" s="427">
        <f t="shared" si="25"/>
        <v>35</v>
      </c>
      <c r="AK224" s="96"/>
      <c r="AL224" s="92"/>
      <c r="AM224" s="91"/>
      <c r="AN224" s="91"/>
      <c r="AO224" s="96"/>
      <c r="AP224" s="105"/>
      <c r="AQ224" s="105"/>
      <c r="AR224" s="105"/>
      <c r="AS224" s="105"/>
    </row>
    <row r="225" spans="1:45" ht="12" customHeight="1" x14ac:dyDescent="0.25">
      <c r="A225" s="90">
        <v>224</v>
      </c>
      <c r="B225" s="91"/>
      <c r="C225" s="91" t="s">
        <v>706</v>
      </c>
      <c r="D225" s="92" t="s">
        <v>4200</v>
      </c>
      <c r="E225" s="91" t="s">
        <v>115</v>
      </c>
      <c r="F225" s="91" t="s">
        <v>0</v>
      </c>
      <c r="G225" s="56" t="s">
        <v>1925</v>
      </c>
      <c r="H225" s="91">
        <v>128</v>
      </c>
      <c r="I225" s="91" t="s">
        <v>1767</v>
      </c>
      <c r="J225" s="91" t="s">
        <v>8</v>
      </c>
      <c r="K225" s="92" t="s">
        <v>46</v>
      </c>
      <c r="L225" s="93" t="str">
        <f>VLOOKUP(G225,'SKU 对应关系'!A:E,4,0)</f>
        <v>TX331_100ML</v>
      </c>
      <c r="M225" s="94" t="str">
        <f>_xlfn.IFNA(VLOOKUP(G225,'SKU 对应关系'!A:B,2,0),"")</f>
        <v>TX331_100ML 檀香33号100mL香氛油（天竺） 销售包装</v>
      </c>
      <c r="N225" s="95" t="str">
        <f>_xlfn.IFNA(VLOOKUP(G225,'SKU 对应关系'!$A:$D,3,0),"")</f>
        <v>Oil-TZ</v>
      </c>
      <c r="O225" s="96">
        <v>2</v>
      </c>
      <c r="P225" s="455">
        <v>8.3333333333333329E-2</v>
      </c>
      <c r="Q225" s="96" t="s">
        <v>3264</v>
      </c>
      <c r="R225" s="91">
        <v>1380</v>
      </c>
      <c r="S225" s="106">
        <f>SUMIF(C:C,C224,T:T)</f>
        <v>180</v>
      </c>
      <c r="T225" s="98">
        <v>13.846153846153847</v>
      </c>
      <c r="U225" s="99">
        <f t="shared" si="26"/>
        <v>128.84615384615384</v>
      </c>
      <c r="V225" s="100">
        <f t="shared" si="22"/>
        <v>1.0066105769230769</v>
      </c>
      <c r="W225" s="101">
        <f t="shared" si="27"/>
        <v>0.15024038461538461</v>
      </c>
      <c r="X225" s="95"/>
      <c r="Y225" s="95"/>
      <c r="Z225" s="102" t="s">
        <v>345</v>
      </c>
      <c r="AA225" s="103">
        <v>46094</v>
      </c>
      <c r="AB225" s="103">
        <v>46116</v>
      </c>
      <c r="AC225" s="103"/>
      <c r="AD225" s="104">
        <f>IF(ISNA(VLOOKUP(D225,亚马逊入库配置费!B:F,5,0)),0,VLOOKUP(D225,亚马逊入库配置费!B:F,5,0))</f>
        <v>0.36000000000000004</v>
      </c>
      <c r="AE225" s="104">
        <f t="shared" si="28"/>
        <v>46.080000000000005</v>
      </c>
      <c r="AF225" s="103">
        <v>46129</v>
      </c>
      <c r="AG225" s="90">
        <f t="shared" si="24"/>
        <v>35</v>
      </c>
      <c r="AH225" s="103">
        <v>46164</v>
      </c>
      <c r="AI225" s="96"/>
      <c r="AJ225" s="427">
        <f t="shared" si="25"/>
        <v>35</v>
      </c>
      <c r="AK225" s="96"/>
      <c r="AL225" s="92"/>
      <c r="AM225" s="91"/>
      <c r="AN225" s="91"/>
      <c r="AO225" s="96"/>
      <c r="AP225" s="105"/>
      <c r="AQ225" s="105"/>
      <c r="AR225" s="105"/>
      <c r="AS225" s="105"/>
    </row>
    <row r="226" spans="1:45" ht="12" customHeight="1" x14ac:dyDescent="0.25">
      <c r="A226" s="90">
        <v>225</v>
      </c>
      <c r="B226" s="91"/>
      <c r="C226" s="91" t="s">
        <v>706</v>
      </c>
      <c r="D226" s="92" t="s">
        <v>4200</v>
      </c>
      <c r="E226" s="91" t="s">
        <v>115</v>
      </c>
      <c r="F226" s="91" t="s">
        <v>0</v>
      </c>
      <c r="G226" s="56" t="s">
        <v>2863</v>
      </c>
      <c r="H226" s="91">
        <v>384</v>
      </c>
      <c r="I226" s="91" t="s">
        <v>1767</v>
      </c>
      <c r="J226" s="91" t="s">
        <v>8</v>
      </c>
      <c r="K226" s="92" t="s">
        <v>46</v>
      </c>
      <c r="L226" s="93" t="str">
        <f>VLOOKUP(G226,'SKU 对应关系'!A:E,4,0)</f>
        <v>W1-100ML_TZ</v>
      </c>
      <c r="M226" s="94" t="str">
        <f>_xlfn.IFNA(VLOOKUP(G226,'SKU 对应关系'!A:B,2,0),"")</f>
        <v>W1-100ML_TZ W酒店100mL香氛油（天竺） 销售包装</v>
      </c>
      <c r="N226" s="95" t="str">
        <f>_xlfn.IFNA(VLOOKUP(G226,'SKU 对应关系'!$A:$D,3,0),"")</f>
        <v>Oil-TZ</v>
      </c>
      <c r="O226" s="96">
        <v>6</v>
      </c>
      <c r="P226" s="455">
        <v>0.25</v>
      </c>
      <c r="Q226" s="96" t="s">
        <v>3264</v>
      </c>
      <c r="R226" s="91">
        <v>1380</v>
      </c>
      <c r="S226" s="95"/>
      <c r="T226" s="98">
        <v>41.53846153846154</v>
      </c>
      <c r="U226" s="99">
        <f t="shared" si="26"/>
        <v>386.53846153846155</v>
      </c>
      <c r="V226" s="100">
        <f t="shared" si="22"/>
        <v>1.0066105769230769</v>
      </c>
      <c r="W226" s="101">
        <f t="shared" si="27"/>
        <v>0.15024038461538461</v>
      </c>
      <c r="X226" s="95"/>
      <c r="Y226" s="95"/>
      <c r="Z226" s="102" t="s">
        <v>345</v>
      </c>
      <c r="AA226" s="103">
        <v>46094</v>
      </c>
      <c r="AB226" s="103">
        <v>46116</v>
      </c>
      <c r="AC226" s="103"/>
      <c r="AD226" s="104">
        <f>IF(ISNA(VLOOKUP(D226,亚马逊入库配置费!B:F,5,0)),0,VLOOKUP(D226,亚马逊入库配置费!B:F,5,0))</f>
        <v>0.36000000000000004</v>
      </c>
      <c r="AE226" s="104">
        <f t="shared" si="28"/>
        <v>138.24</v>
      </c>
      <c r="AF226" s="103">
        <v>46129</v>
      </c>
      <c r="AG226" s="90">
        <f t="shared" si="24"/>
        <v>35</v>
      </c>
      <c r="AH226" s="103">
        <v>46164</v>
      </c>
      <c r="AI226" s="96"/>
      <c r="AJ226" s="427">
        <f t="shared" si="25"/>
        <v>35</v>
      </c>
      <c r="AK226" s="96"/>
      <c r="AL226" s="92"/>
      <c r="AM226" s="91"/>
      <c r="AN226" s="91"/>
      <c r="AO226" s="96"/>
      <c r="AP226" s="105"/>
      <c r="AQ226" s="105"/>
      <c r="AR226" s="105"/>
      <c r="AS226" s="105"/>
    </row>
    <row r="227" spans="1:45" ht="12" customHeight="1" x14ac:dyDescent="0.25">
      <c r="A227" s="90">
        <v>226</v>
      </c>
      <c r="B227" s="91"/>
      <c r="C227" s="91" t="s">
        <v>706</v>
      </c>
      <c r="D227" s="92" t="s">
        <v>4200</v>
      </c>
      <c r="E227" s="91" t="s">
        <v>115</v>
      </c>
      <c r="F227" s="91" t="s">
        <v>0</v>
      </c>
      <c r="G227" s="56" t="s">
        <v>2862</v>
      </c>
      <c r="H227" s="91">
        <v>256</v>
      </c>
      <c r="I227" s="91" t="s">
        <v>1767</v>
      </c>
      <c r="J227" s="91" t="s">
        <v>8</v>
      </c>
      <c r="K227" s="92" t="s">
        <v>46</v>
      </c>
      <c r="L227" s="93" t="str">
        <f>VLOOKUP(G227,'SKU 对应关系'!A:E,4,0)</f>
        <v>WST1-100ML_TZ</v>
      </c>
      <c r="M227" s="94" t="str">
        <f>_xlfn.IFNA(VLOOKUP(G227,'SKU 对应关系'!A:B,2,0),"")</f>
        <v>WST1-100ML_TZ 威斯汀酒店白茶100mL香氛油（天竺） 销售包装</v>
      </c>
      <c r="N227" s="95" t="str">
        <f>_xlfn.IFNA(VLOOKUP(G227,'SKU 对应关系'!$A:$D,3,0),"")</f>
        <v>Oil-TZ</v>
      </c>
      <c r="O227" s="96">
        <v>4</v>
      </c>
      <c r="P227" s="455">
        <v>0.16666666666666666</v>
      </c>
      <c r="Q227" s="96" t="s">
        <v>3264</v>
      </c>
      <c r="R227" s="91">
        <v>1380</v>
      </c>
      <c r="S227" s="95"/>
      <c r="T227" s="98">
        <v>27.692307692307693</v>
      </c>
      <c r="U227" s="99">
        <f t="shared" si="26"/>
        <v>257.69230769230768</v>
      </c>
      <c r="V227" s="100">
        <f t="shared" si="22"/>
        <v>1.0066105769230769</v>
      </c>
      <c r="W227" s="101">
        <f t="shared" si="27"/>
        <v>0.15024038461538461</v>
      </c>
      <c r="X227" s="95"/>
      <c r="Y227" s="95"/>
      <c r="Z227" s="102" t="s">
        <v>345</v>
      </c>
      <c r="AA227" s="103">
        <v>46094</v>
      </c>
      <c r="AB227" s="103">
        <v>46116</v>
      </c>
      <c r="AC227" s="103"/>
      <c r="AD227" s="104">
        <f>IF(ISNA(VLOOKUP(D227,亚马逊入库配置费!B:F,5,0)),0,VLOOKUP(D227,亚马逊入库配置费!B:F,5,0))</f>
        <v>0.36000000000000004</v>
      </c>
      <c r="AE227" s="104">
        <f t="shared" si="28"/>
        <v>92.160000000000011</v>
      </c>
      <c r="AF227" s="103">
        <v>46129</v>
      </c>
      <c r="AG227" s="90">
        <f t="shared" si="24"/>
        <v>35</v>
      </c>
      <c r="AH227" s="103">
        <v>46164</v>
      </c>
      <c r="AI227" s="96"/>
      <c r="AJ227" s="427">
        <f t="shared" si="25"/>
        <v>35</v>
      </c>
      <c r="AK227" s="96"/>
      <c r="AL227" s="92"/>
      <c r="AM227" s="91"/>
      <c r="AN227" s="91"/>
      <c r="AO227" s="96"/>
      <c r="AP227" s="105"/>
      <c r="AQ227" s="105"/>
      <c r="AR227" s="105"/>
      <c r="AS227" s="105"/>
    </row>
    <row r="228" spans="1:45" ht="12" customHeight="1" x14ac:dyDescent="0.25">
      <c r="A228" s="90">
        <v>227</v>
      </c>
      <c r="B228" s="91"/>
      <c r="C228" s="91" t="s">
        <v>706</v>
      </c>
      <c r="D228" s="92" t="s">
        <v>4200</v>
      </c>
      <c r="E228" s="91" t="s">
        <v>115</v>
      </c>
      <c r="F228" s="91" t="s">
        <v>0</v>
      </c>
      <c r="G228" s="56" t="s">
        <v>2295</v>
      </c>
      <c r="H228" s="91">
        <v>384</v>
      </c>
      <c r="I228" s="91" t="s">
        <v>1767</v>
      </c>
      <c r="J228" s="91" t="s">
        <v>8</v>
      </c>
      <c r="K228" s="92" t="s">
        <v>46</v>
      </c>
      <c r="L228" s="93" t="str">
        <f>VLOOKUP(G228,'SKU 对应关系'!A:E,4,0)</f>
        <v>HILTON1-100ML_TZ</v>
      </c>
      <c r="M228" s="94" t="str">
        <f>_xlfn.IFNA(VLOOKUP(G228,'SKU 对应关系'!A:B,2,0),"")</f>
        <v>HILTON1-100ML_TZ 希尔顿酒店100mL香氛油（天竺） 销售包装</v>
      </c>
      <c r="N228" s="95" t="str">
        <f>_xlfn.IFNA(VLOOKUP(G228,'SKU 对应关系'!$A:$D,3,0),"")</f>
        <v>Oil-TZ</v>
      </c>
      <c r="O228" s="96">
        <v>6</v>
      </c>
      <c r="P228" s="455">
        <v>0.25</v>
      </c>
      <c r="Q228" s="96" t="s">
        <v>3264</v>
      </c>
      <c r="R228" s="91">
        <v>1380</v>
      </c>
      <c r="S228" s="95"/>
      <c r="T228" s="98">
        <v>41.53846153846154</v>
      </c>
      <c r="U228" s="99">
        <f t="shared" si="26"/>
        <v>386.53846153846155</v>
      </c>
      <c r="V228" s="100">
        <f t="shared" si="22"/>
        <v>1.0066105769230769</v>
      </c>
      <c r="W228" s="101">
        <f t="shared" si="27"/>
        <v>0.15024038461538461</v>
      </c>
      <c r="X228" s="95"/>
      <c r="Y228" s="95"/>
      <c r="Z228" s="102" t="s">
        <v>345</v>
      </c>
      <c r="AA228" s="103">
        <v>46094</v>
      </c>
      <c r="AB228" s="103">
        <v>46116</v>
      </c>
      <c r="AC228" s="103"/>
      <c r="AD228" s="104">
        <f>IF(ISNA(VLOOKUP(D228,亚马逊入库配置费!B:F,5,0)),0,VLOOKUP(D228,亚马逊入库配置费!B:F,5,0))</f>
        <v>0.36000000000000004</v>
      </c>
      <c r="AE228" s="104">
        <f t="shared" si="28"/>
        <v>138.24</v>
      </c>
      <c r="AF228" s="103">
        <v>46129</v>
      </c>
      <c r="AG228" s="90">
        <f t="shared" si="24"/>
        <v>35</v>
      </c>
      <c r="AH228" s="103">
        <v>46164</v>
      </c>
      <c r="AI228" s="96"/>
      <c r="AJ228" s="427">
        <f t="shared" si="25"/>
        <v>35</v>
      </c>
      <c r="AK228" s="96"/>
      <c r="AL228" s="92"/>
      <c r="AM228" s="91"/>
      <c r="AN228" s="91"/>
      <c r="AO228" s="96"/>
      <c r="AP228" s="105"/>
      <c r="AQ228" s="105"/>
      <c r="AR228" s="105"/>
      <c r="AS228" s="105"/>
    </row>
    <row r="229" spans="1:45" ht="12" customHeight="1" x14ac:dyDescent="0.25">
      <c r="A229" s="90">
        <v>228</v>
      </c>
      <c r="B229" s="91"/>
      <c r="C229" s="91" t="s">
        <v>706</v>
      </c>
      <c r="D229" s="92" t="s">
        <v>4200</v>
      </c>
      <c r="E229" s="91" t="s">
        <v>115</v>
      </c>
      <c r="F229" s="91" t="s">
        <v>0</v>
      </c>
      <c r="G229" s="56" t="s">
        <v>1929</v>
      </c>
      <c r="H229" s="91">
        <v>128</v>
      </c>
      <c r="I229" s="91" t="s">
        <v>1767</v>
      </c>
      <c r="J229" s="91" t="s">
        <v>8</v>
      </c>
      <c r="K229" s="92" t="s">
        <v>46</v>
      </c>
      <c r="L229" s="93" t="str">
        <f>VLOOKUP(G229,'SKU 对应关系'!A:E,4,0)</f>
        <v>YZTT1_100ML</v>
      </c>
      <c r="M229" s="94" t="str">
        <f>_xlfn.IFNA(VLOOKUP(G229,'SKU 对应关系'!A:B,2,0),"")</f>
        <v>YZTT1_100ML 柚子天堂100mL香氛油（天竺） 销售包装</v>
      </c>
      <c r="N229" s="95" t="str">
        <f>_xlfn.IFNA(VLOOKUP(G229,'SKU 对应关系'!$A:$D,3,0),"")</f>
        <v>Oil-TZ</v>
      </c>
      <c r="O229" s="96">
        <v>2</v>
      </c>
      <c r="P229" s="455">
        <v>8.3333333333333329E-2</v>
      </c>
      <c r="Q229" s="96" t="s">
        <v>3264</v>
      </c>
      <c r="R229" s="91">
        <v>1380</v>
      </c>
      <c r="S229" s="95"/>
      <c r="T229" s="98">
        <v>13.846153846153847</v>
      </c>
      <c r="U229" s="99">
        <f t="shared" si="26"/>
        <v>128.84615384615384</v>
      </c>
      <c r="V229" s="100">
        <f t="shared" si="22"/>
        <v>1.0066105769230769</v>
      </c>
      <c r="W229" s="101">
        <f t="shared" si="27"/>
        <v>0.15024038461538461</v>
      </c>
      <c r="X229" s="95"/>
      <c r="Y229" s="95"/>
      <c r="Z229" s="102" t="s">
        <v>345</v>
      </c>
      <c r="AA229" s="103">
        <v>46094</v>
      </c>
      <c r="AB229" s="103">
        <v>46116</v>
      </c>
      <c r="AC229" s="103"/>
      <c r="AD229" s="104">
        <f>IF(ISNA(VLOOKUP(D229,亚马逊入库配置费!B:F,5,0)),0,VLOOKUP(D229,亚马逊入库配置费!B:F,5,0))</f>
        <v>0.36000000000000004</v>
      </c>
      <c r="AE229" s="104">
        <f t="shared" si="28"/>
        <v>46.080000000000005</v>
      </c>
      <c r="AF229" s="103">
        <v>46129</v>
      </c>
      <c r="AG229" s="90">
        <f t="shared" si="24"/>
        <v>35</v>
      </c>
      <c r="AH229" s="103">
        <v>46164</v>
      </c>
      <c r="AI229" s="96"/>
      <c r="AJ229" s="427">
        <f t="shared" si="25"/>
        <v>35</v>
      </c>
      <c r="AK229" s="96"/>
      <c r="AL229" s="92"/>
      <c r="AM229" s="91"/>
      <c r="AN229" s="91"/>
      <c r="AO229" s="96"/>
      <c r="AP229" s="105"/>
      <c r="AQ229" s="105"/>
      <c r="AR229" s="105"/>
      <c r="AS229" s="105"/>
    </row>
    <row r="230" spans="1:45" ht="12" customHeight="1" x14ac:dyDescent="0.25">
      <c r="A230" s="90">
        <v>229</v>
      </c>
      <c r="B230" s="91"/>
      <c r="C230" s="91" t="s">
        <v>706</v>
      </c>
      <c r="D230" s="92" t="s">
        <v>4200</v>
      </c>
      <c r="E230" s="91" t="s">
        <v>115</v>
      </c>
      <c r="F230" s="91" t="s">
        <v>0</v>
      </c>
      <c r="G230" s="56" t="s">
        <v>1927</v>
      </c>
      <c r="H230" s="91">
        <v>64</v>
      </c>
      <c r="I230" s="91" t="s">
        <v>1767</v>
      </c>
      <c r="J230" s="91" t="s">
        <v>8</v>
      </c>
      <c r="K230" s="92" t="s">
        <v>46</v>
      </c>
      <c r="L230" s="93" t="str">
        <f>VLOOKUP(G230,'SKU 对应关系'!A:E,4,0)</f>
        <v>TXY1_100ML</v>
      </c>
      <c r="M230" s="94" t="str">
        <f>_xlfn.IFNA(VLOOKUP(G230,'SKU 对应关系'!A:B,2,0),"")</f>
        <v>TXY1_100ML 桃星云100mL香氛油（天竺） 销售包装</v>
      </c>
      <c r="N230" s="95" t="str">
        <f>_xlfn.IFNA(VLOOKUP(G230,'SKU 对应关系'!$A:$D,3,0),"")</f>
        <v>Oil-TZ</v>
      </c>
      <c r="O230" s="96">
        <v>1</v>
      </c>
      <c r="P230" s="455">
        <v>4.1666666666666664E-2</v>
      </c>
      <c r="Q230" s="96" t="s">
        <v>3264</v>
      </c>
      <c r="R230" s="91">
        <v>1380</v>
      </c>
      <c r="S230" s="95"/>
      <c r="T230" s="98">
        <v>6.9230769230769234</v>
      </c>
      <c r="U230" s="99">
        <f t="shared" si="26"/>
        <v>64.42307692307692</v>
      </c>
      <c r="V230" s="100">
        <f t="shared" si="22"/>
        <v>1.0066105769230769</v>
      </c>
      <c r="W230" s="101">
        <f t="shared" si="27"/>
        <v>0.15024038461538461</v>
      </c>
      <c r="X230" s="95"/>
      <c r="Y230" s="95"/>
      <c r="Z230" s="102" t="s">
        <v>345</v>
      </c>
      <c r="AA230" s="103">
        <v>46094</v>
      </c>
      <c r="AB230" s="103">
        <v>46116</v>
      </c>
      <c r="AC230" s="103"/>
      <c r="AD230" s="104">
        <f>IF(ISNA(VLOOKUP(D230,亚马逊入库配置费!B:F,5,0)),0,VLOOKUP(D230,亚马逊入库配置费!B:F,5,0))</f>
        <v>0.36000000000000004</v>
      </c>
      <c r="AE230" s="104">
        <f t="shared" si="28"/>
        <v>23.040000000000003</v>
      </c>
      <c r="AF230" s="103">
        <v>46129</v>
      </c>
      <c r="AG230" s="90">
        <f t="shared" si="24"/>
        <v>35</v>
      </c>
      <c r="AH230" s="103">
        <v>46164</v>
      </c>
      <c r="AI230" s="96"/>
      <c r="AJ230" s="427">
        <f t="shared" si="25"/>
        <v>35</v>
      </c>
      <c r="AK230" s="96"/>
      <c r="AL230" s="92"/>
      <c r="AM230" s="91"/>
      <c r="AN230" s="91"/>
      <c r="AO230" s="96"/>
      <c r="AP230" s="105"/>
      <c r="AQ230" s="105"/>
      <c r="AR230" s="105"/>
      <c r="AS230" s="105"/>
    </row>
    <row r="231" spans="1:45" ht="12" customHeight="1" x14ac:dyDescent="0.25">
      <c r="A231" s="90">
        <v>230</v>
      </c>
      <c r="B231" s="464" t="s">
        <v>4254</v>
      </c>
      <c r="C231" s="91" t="s">
        <v>706</v>
      </c>
      <c r="D231" s="92" t="s">
        <v>4201</v>
      </c>
      <c r="E231" s="91" t="s">
        <v>4202</v>
      </c>
      <c r="F231" s="91" t="s">
        <v>0</v>
      </c>
      <c r="G231" s="56" t="s">
        <v>4135</v>
      </c>
      <c r="H231" s="91">
        <v>128</v>
      </c>
      <c r="I231" s="91" t="s">
        <v>1767</v>
      </c>
      <c r="J231" s="91" t="s">
        <v>8</v>
      </c>
      <c r="K231" s="92" t="s">
        <v>10</v>
      </c>
      <c r="L231" s="93" t="str">
        <f>VLOOKUP(G231,'SKU 对应关系'!A:E,4,0)</f>
        <v>ATS1_100ML_TZ</v>
      </c>
      <c r="M231" s="94" t="str">
        <f>_xlfn.IFNA(VLOOKUP(G231,'SKU 对应关系'!A:B,2,0),"")</f>
        <v>ATS1_100ML_TZ 亚特兰蒂斯酒店100mL香氛油（天竺） 销售包装</v>
      </c>
      <c r="N231" s="95" t="str">
        <f>_xlfn.IFNA(VLOOKUP(G231,'SKU 对应关系'!$A:$D,3,0),"")</f>
        <v>Oil-TZ</v>
      </c>
      <c r="O231" s="96">
        <v>2</v>
      </c>
      <c r="P231" s="455">
        <v>30</v>
      </c>
      <c r="Q231" s="96" t="s">
        <v>16</v>
      </c>
      <c r="R231" s="91">
        <v>6.3</v>
      </c>
      <c r="S231" s="95"/>
      <c r="T231" s="98">
        <v>13.846153846153847</v>
      </c>
      <c r="U231" s="99">
        <f t="shared" si="26"/>
        <v>202.84615384615384</v>
      </c>
      <c r="V231" s="100">
        <f t="shared" si="22"/>
        <v>1.5847355769230769</v>
      </c>
      <c r="W231" s="101">
        <f t="shared" si="27"/>
        <v>0.23652769804822044</v>
      </c>
      <c r="X231" s="95"/>
      <c r="Y231" s="95"/>
      <c r="Z231" s="102" t="s">
        <v>345</v>
      </c>
      <c r="AA231" s="103">
        <v>46094</v>
      </c>
      <c r="AB231" s="103">
        <v>46116</v>
      </c>
      <c r="AC231" s="103"/>
      <c r="AD231" s="104">
        <f>IF(ISNA(VLOOKUP(D231,亚马逊入库配置费!B:F,5,0)),0,VLOOKUP(D231,亚马逊入库配置费!B:F,5,0))</f>
        <v>0.36</v>
      </c>
      <c r="AE231" s="104">
        <f t="shared" si="28"/>
        <v>46.08</v>
      </c>
      <c r="AF231" s="103">
        <v>46128</v>
      </c>
      <c r="AG231" s="90">
        <f t="shared" si="24"/>
        <v>34</v>
      </c>
      <c r="AH231" s="103">
        <v>46157</v>
      </c>
      <c r="AI231" s="96"/>
      <c r="AJ231" s="427">
        <f t="shared" si="25"/>
        <v>29</v>
      </c>
      <c r="AK231" s="96"/>
      <c r="AL231" s="92"/>
      <c r="AM231" s="91"/>
      <c r="AN231" s="91"/>
      <c r="AO231" s="96"/>
      <c r="AP231" s="105"/>
      <c r="AQ231" s="105"/>
      <c r="AR231" s="105"/>
      <c r="AS231" s="105"/>
    </row>
    <row r="232" spans="1:45" ht="12" customHeight="1" x14ac:dyDescent="0.25">
      <c r="A232" s="90">
        <v>231</v>
      </c>
      <c r="B232" s="91"/>
      <c r="C232" s="91" t="s">
        <v>4203</v>
      </c>
      <c r="D232" s="92" t="s">
        <v>4204</v>
      </c>
      <c r="E232" s="91" t="s">
        <v>1971</v>
      </c>
      <c r="F232" s="91" t="s">
        <v>87</v>
      </c>
      <c r="G232" s="56" t="s">
        <v>300</v>
      </c>
      <c r="H232" s="91">
        <v>600</v>
      </c>
      <c r="I232" s="91" t="s">
        <v>207</v>
      </c>
      <c r="J232" s="91" t="s">
        <v>90</v>
      </c>
      <c r="K232" s="92" t="s">
        <v>1967</v>
      </c>
      <c r="L232" s="93" t="str">
        <f>VLOOKUP(G232,'SKU 对应关系'!A:E,4,0)</f>
        <v>K1-B</v>
      </c>
      <c r="M232" s="94" t="str">
        <f>_xlfn.IFNA(VLOOKUP(G232,'SKU 对应关系'!A:B,2,0),"")</f>
        <v>K1-B 电子球形把手锁-黑色</v>
      </c>
      <c r="N232" s="95" t="str">
        <f>_xlfn.IFNA(VLOOKUP(G232,'SKU 对应关系'!$A:$D,3,0),"")</f>
        <v>K1</v>
      </c>
      <c r="O232" s="96">
        <v>50</v>
      </c>
      <c r="P232" s="455">
        <v>676.71232876712338</v>
      </c>
      <c r="Q232" s="96" t="s">
        <v>16</v>
      </c>
      <c r="R232" s="91">
        <v>6</v>
      </c>
      <c r="S232" s="95">
        <v>250</v>
      </c>
      <c r="T232" s="98">
        <v>171.23287671232876</v>
      </c>
      <c r="U232" s="99">
        <f t="shared" si="26"/>
        <v>4231.5068493150693</v>
      </c>
      <c r="V232" s="100">
        <f t="shared" si="22"/>
        <v>7.0525114155251156</v>
      </c>
      <c r="W232" s="101">
        <f t="shared" si="27"/>
        <v>1.0526136441082261</v>
      </c>
      <c r="X232" s="95"/>
      <c r="Y232" s="95"/>
      <c r="Z232" s="102" t="s">
        <v>345</v>
      </c>
      <c r="AA232" s="103">
        <v>46094</v>
      </c>
      <c r="AB232" s="103">
        <v>46126</v>
      </c>
      <c r="AC232" s="103"/>
      <c r="AD232" s="104">
        <f>IF(ISNA(VLOOKUP(D232,亚马逊入库配置费!B:F,5,0)),0,VLOOKUP(D232,亚马逊入库配置费!B:F,5,0))</f>
        <v>0</v>
      </c>
      <c r="AE232" s="104">
        <f t="shared" si="28"/>
        <v>0</v>
      </c>
      <c r="AF232" s="103">
        <v>46139</v>
      </c>
      <c r="AG232" s="90">
        <f t="shared" si="24"/>
        <v>45</v>
      </c>
      <c r="AH232" s="103">
        <v>46170</v>
      </c>
      <c r="AI232" s="96"/>
      <c r="AJ232" s="427">
        <f t="shared" si="25"/>
        <v>31</v>
      </c>
      <c r="AK232" s="96"/>
      <c r="AL232" s="92"/>
      <c r="AM232" s="91"/>
      <c r="AN232" s="91"/>
      <c r="AO232" s="96"/>
      <c r="AP232" s="105"/>
      <c r="AQ232" s="105"/>
      <c r="AR232" s="105"/>
      <c r="AS232" s="105"/>
    </row>
    <row r="233" spans="1:45" ht="12" customHeight="1" x14ac:dyDescent="0.25">
      <c r="A233" s="90">
        <v>232</v>
      </c>
      <c r="B233" s="91"/>
      <c r="C233" s="91" t="s">
        <v>4203</v>
      </c>
      <c r="D233" s="92" t="s">
        <v>4204</v>
      </c>
      <c r="E233" s="91" t="s">
        <v>1971</v>
      </c>
      <c r="F233" s="91" t="s">
        <v>87</v>
      </c>
      <c r="G233" s="56" t="s">
        <v>564</v>
      </c>
      <c r="H233" s="91">
        <v>72</v>
      </c>
      <c r="I233" s="91" t="s">
        <v>207</v>
      </c>
      <c r="J233" s="91" t="s">
        <v>90</v>
      </c>
      <c r="K233" s="92" t="s">
        <v>1967</v>
      </c>
      <c r="L233" s="93" t="str">
        <f>VLOOKUP(G233,'SKU 对应关系'!A:E,4,0)</f>
        <v>K1-S+S</v>
      </c>
      <c r="M233" s="94" t="str">
        <f>_xlfn.IFNA(VLOOKUP(G233,'SKU 对应关系'!A:B,2,0),"")</f>
        <v>K1-S+S 电子球形把手锁-镍镍</v>
      </c>
      <c r="N233" s="95" t="str">
        <f>_xlfn.IFNA(VLOOKUP(G233,'SKU 对应关系'!$A:$D,3,0),"")</f>
        <v>K1</v>
      </c>
      <c r="O233" s="96">
        <v>6</v>
      </c>
      <c r="P233" s="455">
        <v>81.205479452054803</v>
      </c>
      <c r="Q233" s="96" t="s">
        <v>16</v>
      </c>
      <c r="R233" s="91">
        <v>6</v>
      </c>
      <c r="S233" s="106">
        <f>SUMIF(C:C,C232,T:T)</f>
        <v>250</v>
      </c>
      <c r="T233" s="98">
        <v>20.547945205479451</v>
      </c>
      <c r="U233" s="99">
        <f t="shared" si="26"/>
        <v>507.78082191780823</v>
      </c>
      <c r="V233" s="100">
        <f t="shared" si="22"/>
        <v>7.0525114155251138</v>
      </c>
      <c r="W233" s="101">
        <f t="shared" si="27"/>
        <v>1.0526136441082259</v>
      </c>
      <c r="X233" s="95"/>
      <c r="Y233" s="95"/>
      <c r="Z233" s="102" t="s">
        <v>345</v>
      </c>
      <c r="AA233" s="103">
        <v>46094</v>
      </c>
      <c r="AB233" s="103">
        <v>46126</v>
      </c>
      <c r="AC233" s="103"/>
      <c r="AD233" s="104">
        <f>IF(ISNA(VLOOKUP(D233,亚马逊入库配置费!B:F,5,0)),0,VLOOKUP(D233,亚马逊入库配置费!B:F,5,0))</f>
        <v>0</v>
      </c>
      <c r="AE233" s="104">
        <f t="shared" si="28"/>
        <v>0</v>
      </c>
      <c r="AF233" s="103">
        <v>46139</v>
      </c>
      <c r="AG233" s="90">
        <f t="shared" si="24"/>
        <v>45</v>
      </c>
      <c r="AH233" s="103">
        <v>46170</v>
      </c>
      <c r="AI233" s="96"/>
      <c r="AJ233" s="427">
        <f t="shared" si="25"/>
        <v>31</v>
      </c>
      <c r="AK233" s="96"/>
      <c r="AL233" s="92"/>
      <c r="AM233" s="91"/>
      <c r="AN233" s="91"/>
      <c r="AO233" s="96"/>
      <c r="AP233" s="105"/>
      <c r="AQ233" s="105"/>
      <c r="AR233" s="105"/>
      <c r="AS233" s="105"/>
    </row>
    <row r="234" spans="1:45" ht="12" customHeight="1" x14ac:dyDescent="0.25">
      <c r="A234" s="90">
        <v>233</v>
      </c>
      <c r="B234" s="91"/>
      <c r="C234" s="91" t="s">
        <v>4203</v>
      </c>
      <c r="D234" s="92" t="s">
        <v>4204</v>
      </c>
      <c r="E234" s="91" t="s">
        <v>1971</v>
      </c>
      <c r="F234" s="91" t="s">
        <v>87</v>
      </c>
      <c r="G234" s="56" t="s">
        <v>296</v>
      </c>
      <c r="H234" s="91">
        <v>204</v>
      </c>
      <c r="I234" s="91" t="s">
        <v>207</v>
      </c>
      <c r="J234" s="91" t="s">
        <v>90</v>
      </c>
      <c r="K234" s="92" t="s">
        <v>1967</v>
      </c>
      <c r="L234" s="93" t="str">
        <f>VLOOKUP(G234,'SKU 对应关系'!A:E,4,0)</f>
        <v>K1-SILV</v>
      </c>
      <c r="M234" s="94" t="str">
        <f>_xlfn.IFNA(VLOOKUP(G234,'SKU 对应关系'!A:B,2,0),"")</f>
        <v>K1-SILV 电子球形把手锁-银镍</v>
      </c>
      <c r="N234" s="95" t="str">
        <f>_xlfn.IFNA(VLOOKUP(G234,'SKU 对应关系'!$A:$D,3,0),"")</f>
        <v>K1</v>
      </c>
      <c r="O234" s="96">
        <v>17</v>
      </c>
      <c r="P234" s="455">
        <v>230.08219178082194</v>
      </c>
      <c r="Q234" s="96" t="s">
        <v>16</v>
      </c>
      <c r="R234" s="91">
        <v>6</v>
      </c>
      <c r="S234" s="95"/>
      <c r="T234" s="98">
        <v>58.219178082191782</v>
      </c>
      <c r="U234" s="99">
        <f t="shared" si="26"/>
        <v>1438.7123287671234</v>
      </c>
      <c r="V234" s="100">
        <f t="shared" si="22"/>
        <v>7.0525114155251147</v>
      </c>
      <c r="W234" s="101">
        <f t="shared" si="27"/>
        <v>1.0526136441082261</v>
      </c>
      <c r="X234" s="95"/>
      <c r="Y234" s="95"/>
      <c r="Z234" s="102" t="s">
        <v>345</v>
      </c>
      <c r="AA234" s="103">
        <v>46094</v>
      </c>
      <c r="AB234" s="103">
        <v>46126</v>
      </c>
      <c r="AC234" s="103"/>
      <c r="AD234" s="104">
        <f>IF(ISNA(VLOOKUP(D234,亚马逊入库配置费!B:F,5,0)),0,VLOOKUP(D234,亚马逊入库配置费!B:F,5,0))</f>
        <v>0</v>
      </c>
      <c r="AE234" s="104">
        <f t="shared" si="28"/>
        <v>0</v>
      </c>
      <c r="AF234" s="103">
        <v>46139</v>
      </c>
      <c r="AG234" s="90">
        <f t="shared" si="24"/>
        <v>45</v>
      </c>
      <c r="AH234" s="103">
        <v>46170</v>
      </c>
      <c r="AI234" s="96"/>
      <c r="AJ234" s="427">
        <f t="shared" si="25"/>
        <v>31</v>
      </c>
      <c r="AK234" s="96"/>
      <c r="AL234" s="92"/>
      <c r="AM234" s="91"/>
      <c r="AN234" s="91"/>
      <c r="AO234" s="96"/>
      <c r="AP234" s="105"/>
      <c r="AQ234" s="105"/>
      <c r="AR234" s="105"/>
      <c r="AS234" s="105"/>
    </row>
    <row r="235" spans="1:45" ht="12" customHeight="1" x14ac:dyDescent="0.25">
      <c r="A235" s="90">
        <v>234</v>
      </c>
      <c r="B235" s="91"/>
      <c r="C235" s="91" t="s">
        <v>4222</v>
      </c>
      <c r="D235" s="92" t="s">
        <v>4223</v>
      </c>
      <c r="E235" s="91" t="s">
        <v>115</v>
      </c>
      <c r="F235" s="91" t="s">
        <v>0</v>
      </c>
      <c r="G235" s="56" t="s">
        <v>2195</v>
      </c>
      <c r="H235" s="91">
        <v>600</v>
      </c>
      <c r="I235" s="91" t="s">
        <v>1767</v>
      </c>
      <c r="J235" s="91" t="s">
        <v>4</v>
      </c>
      <c r="K235" s="92" t="s">
        <v>43</v>
      </c>
      <c r="L235" s="93" t="str">
        <f>VLOOKUP(G235,'SKU 对应关系'!A:E,4,0)</f>
        <v>ANZ-B</v>
      </c>
      <c r="M235" s="94" t="str">
        <f>_xlfn.IFNA(VLOOKUP(G235,'SKU 对应关系'!A:B,2,0),"")</f>
        <v>ANZ-B 便携式扩香仪 黑色</v>
      </c>
      <c r="N235" s="95" t="str">
        <f>_xlfn.IFNA(VLOOKUP(G235,'SKU 对应关系'!$A:$D,3,0),"")</f>
        <v>ANZ</v>
      </c>
      <c r="O235" s="96">
        <v>15</v>
      </c>
      <c r="P235" s="455">
        <v>0.78</v>
      </c>
      <c r="Q235" s="96" t="s">
        <v>3264</v>
      </c>
      <c r="R235" s="91">
        <v>1830</v>
      </c>
      <c r="S235" s="95">
        <v>180</v>
      </c>
      <c r="T235" s="98">
        <v>69.230769230769226</v>
      </c>
      <c r="U235" s="99">
        <f t="shared" ref="U235" si="29">R235*P235+T235</f>
        <v>1496.6307692307694</v>
      </c>
      <c r="V235" s="100">
        <f t="shared" ref="V235" si="30">U235/H235</f>
        <v>2.4943846153846154</v>
      </c>
      <c r="W235" s="101">
        <f t="shared" ref="W235" si="31">V235/6.7</f>
        <v>0.37229621125143514</v>
      </c>
      <c r="X235" s="95"/>
      <c r="Y235" s="95"/>
      <c r="Z235" s="102" t="s">
        <v>345</v>
      </c>
      <c r="AA235" s="103">
        <v>46102</v>
      </c>
      <c r="AB235" s="103">
        <v>46117</v>
      </c>
      <c r="AC235" s="103"/>
      <c r="AD235" s="104">
        <f>IF(ISNA(VLOOKUP(D235,亚马逊入库配置费!B:F,5,0)),0,VLOOKUP(D235,亚马逊入库配置费!B:F,5,0))</f>
        <v>0.36</v>
      </c>
      <c r="AE235" s="104">
        <f t="shared" si="28"/>
        <v>216</v>
      </c>
      <c r="AF235" s="103">
        <v>46122</v>
      </c>
      <c r="AG235" s="90">
        <f t="shared" si="24"/>
        <v>20</v>
      </c>
      <c r="AH235" s="103">
        <v>46156</v>
      </c>
      <c r="AI235" s="96"/>
      <c r="AJ235" s="427">
        <f t="shared" si="25"/>
        <v>34</v>
      </c>
      <c r="AK235" s="96"/>
      <c r="AL235" s="92"/>
      <c r="AM235" s="91"/>
      <c r="AN235" s="91"/>
      <c r="AO235" s="96"/>
      <c r="AP235" s="105"/>
      <c r="AQ235" s="105"/>
      <c r="AR235" s="105"/>
      <c r="AS235" s="105"/>
    </row>
    <row r="236" spans="1:45" ht="12" customHeight="1" x14ac:dyDescent="0.25">
      <c r="A236" s="90">
        <v>235</v>
      </c>
      <c r="B236" s="91"/>
      <c r="C236" s="91" t="s">
        <v>4224</v>
      </c>
      <c r="D236" s="92" t="s">
        <v>4225</v>
      </c>
      <c r="E236" s="91" t="s">
        <v>115</v>
      </c>
      <c r="F236" s="91" t="s">
        <v>0</v>
      </c>
      <c r="G236" s="56" t="s">
        <v>2885</v>
      </c>
      <c r="H236" s="91">
        <v>300</v>
      </c>
      <c r="I236" s="91" t="s">
        <v>207</v>
      </c>
      <c r="J236" s="91" t="s">
        <v>8</v>
      </c>
      <c r="K236" s="92" t="s">
        <v>10</v>
      </c>
      <c r="L236" s="93" t="str">
        <f>VLOOKUP(G236,'SKU 对应关系'!A:E,4,0)</f>
        <v>ANZKIT-B_4X10K04_TZ</v>
      </c>
      <c r="M236" s="94" t="str">
        <f>_xlfn.IFNA(VLOOKUP(G236,'SKU 对应关系'!A:B,2,0),"")</f>
        <v>ANZKIT-B_4X10K04_TZ ANZ黑色机器+4x10mL酒店（天竺）香氛油 机油套装</v>
      </c>
      <c r="N236" s="95" t="str">
        <f>_xlfn.IFNA(VLOOKUP(G236,'SKU 对应关系'!$A:$D,3,0),"")</f>
        <v>ANZ</v>
      </c>
      <c r="O236" s="96">
        <v>10</v>
      </c>
      <c r="P236" s="455">
        <v>154.5</v>
      </c>
      <c r="Q236" s="96" t="s">
        <v>16</v>
      </c>
      <c r="R236" s="91">
        <v>3.6</v>
      </c>
      <c r="S236" s="95">
        <v>200</v>
      </c>
      <c r="T236" s="98">
        <v>14.492753623188406</v>
      </c>
      <c r="U236" s="99">
        <f t="shared" ref="U236:U282" si="32">R236*P236+T236</f>
        <v>570.69275362318842</v>
      </c>
      <c r="V236" s="100">
        <f t="shared" si="22"/>
        <v>1.9023091787439614</v>
      </c>
      <c r="W236" s="101">
        <f t="shared" ref="W236:W282" si="33">V236/6.7</f>
        <v>0.28392674309611365</v>
      </c>
      <c r="X236" s="95"/>
      <c r="Y236" s="95"/>
      <c r="Z236" s="102" t="s">
        <v>345</v>
      </c>
      <c r="AA236" s="103">
        <v>46102</v>
      </c>
      <c r="AB236" s="103">
        <v>46122</v>
      </c>
      <c r="AC236" s="103"/>
      <c r="AD236" s="104">
        <f>IF(ISNA(VLOOKUP(D236,亚马逊入库配置费!B:F,5,0)),0,VLOOKUP(D236,亚马逊入库配置费!B:F,5,0))</f>
        <v>0.44</v>
      </c>
      <c r="AE236" s="104">
        <f t="shared" si="28"/>
        <v>132</v>
      </c>
      <c r="AF236" s="103">
        <v>46129</v>
      </c>
      <c r="AG236" s="90">
        <f t="shared" si="24"/>
        <v>27</v>
      </c>
      <c r="AH236" s="103">
        <v>46162</v>
      </c>
      <c r="AI236" s="96"/>
      <c r="AJ236" s="427">
        <f t="shared" si="25"/>
        <v>33</v>
      </c>
      <c r="AK236" s="96"/>
      <c r="AL236" s="92"/>
      <c r="AM236" s="91"/>
      <c r="AN236" s="91"/>
      <c r="AO236" s="96"/>
      <c r="AP236" s="105"/>
      <c r="AQ236" s="105"/>
      <c r="AR236" s="105"/>
      <c r="AS236" s="105"/>
    </row>
    <row r="237" spans="1:45" ht="12" customHeight="1" x14ac:dyDescent="0.25">
      <c r="A237" s="90">
        <v>236</v>
      </c>
      <c r="B237" s="91"/>
      <c r="C237" s="91" t="s">
        <v>4224</v>
      </c>
      <c r="D237" s="92" t="s">
        <v>4225</v>
      </c>
      <c r="E237" s="91" t="s">
        <v>115</v>
      </c>
      <c r="F237" s="91" t="s">
        <v>0</v>
      </c>
      <c r="G237" s="56" t="s">
        <v>4131</v>
      </c>
      <c r="H237" s="91">
        <v>300</v>
      </c>
      <c r="I237" s="91" t="s">
        <v>207</v>
      </c>
      <c r="J237" s="91" t="s">
        <v>8</v>
      </c>
      <c r="K237" s="92" t="s">
        <v>10</v>
      </c>
      <c r="L237" s="93" t="str">
        <f>VLOOKUP(G237,'SKU 对应关系'!A:E,4,0)</f>
        <v>ANZKIT-W_4X10K04_TZ</v>
      </c>
      <c r="M237" s="94" t="str">
        <f>_xlfn.IFNA(VLOOKUP(G237,'SKU 对应关系'!A:B,2,0),"")</f>
        <v>ANZKIT-W_4X10K04_TZ ANZ白色机器+4x10mL酒店（天竺）香氛油 机油套装</v>
      </c>
      <c r="N237" s="95" t="str">
        <f>_xlfn.IFNA(VLOOKUP(G237,'SKU 对应关系'!$A:$D,3,0),"")</f>
        <v>ANZ</v>
      </c>
      <c r="O237" s="96">
        <v>10</v>
      </c>
      <c r="P237" s="455">
        <v>154.5</v>
      </c>
      <c r="Q237" s="96" t="s">
        <v>16</v>
      </c>
      <c r="R237" s="91">
        <v>3.6</v>
      </c>
      <c r="S237" s="106">
        <f>SUMIF(C:C,C236,T:T)</f>
        <v>200</v>
      </c>
      <c r="T237" s="98">
        <v>14.492753623188406</v>
      </c>
      <c r="U237" s="99">
        <f t="shared" si="32"/>
        <v>570.69275362318842</v>
      </c>
      <c r="V237" s="100">
        <f t="shared" si="22"/>
        <v>1.9023091787439614</v>
      </c>
      <c r="W237" s="101">
        <f t="shared" si="33"/>
        <v>0.28392674309611365</v>
      </c>
      <c r="X237" s="95"/>
      <c r="Y237" s="95"/>
      <c r="Z237" s="102" t="s">
        <v>345</v>
      </c>
      <c r="AA237" s="103">
        <v>46102</v>
      </c>
      <c r="AB237" s="103">
        <v>46122</v>
      </c>
      <c r="AC237" s="103"/>
      <c r="AD237" s="104">
        <f>IF(ISNA(VLOOKUP(D237,亚马逊入库配置费!B:F,5,0)),0,VLOOKUP(D237,亚马逊入库配置费!B:F,5,0))</f>
        <v>0.44</v>
      </c>
      <c r="AE237" s="104">
        <f t="shared" si="28"/>
        <v>132</v>
      </c>
      <c r="AF237" s="103">
        <v>46129</v>
      </c>
      <c r="AG237" s="90">
        <f t="shared" si="24"/>
        <v>27</v>
      </c>
      <c r="AH237" s="103">
        <v>46162</v>
      </c>
      <c r="AI237" s="96"/>
      <c r="AJ237" s="427">
        <f t="shared" si="25"/>
        <v>33</v>
      </c>
      <c r="AK237" s="96"/>
      <c r="AL237" s="92"/>
      <c r="AM237" s="91"/>
      <c r="AN237" s="91"/>
      <c r="AO237" s="96"/>
      <c r="AP237" s="105"/>
      <c r="AQ237" s="105"/>
      <c r="AR237" s="105"/>
      <c r="AS237" s="105"/>
    </row>
    <row r="238" spans="1:45" ht="12" customHeight="1" x14ac:dyDescent="0.25">
      <c r="A238" s="90">
        <v>237</v>
      </c>
      <c r="B238" s="91"/>
      <c r="C238" s="91" t="s">
        <v>4226</v>
      </c>
      <c r="D238" s="92" t="s">
        <v>4227</v>
      </c>
      <c r="E238" s="91" t="s">
        <v>115</v>
      </c>
      <c r="F238" s="91" t="s">
        <v>0</v>
      </c>
      <c r="G238" s="56" t="s">
        <v>209</v>
      </c>
      <c r="H238" s="91">
        <v>128</v>
      </c>
      <c r="I238" s="91" t="s">
        <v>117</v>
      </c>
      <c r="J238" s="91" t="s">
        <v>8</v>
      </c>
      <c r="K238" s="92" t="s">
        <v>44</v>
      </c>
      <c r="L238" s="93" t="str">
        <f>VLOOKUP(G238,'SKU 对应关系'!A:E,4,0)</f>
        <v>ANX-2PC-BB</v>
      </c>
      <c r="M238" s="94" t="str">
        <f>_xlfn.IFNA(VLOOKUP(G238,'SKU 对应关系'!A:B,2,0),"")</f>
        <v>ANX-2PC-BB 便携式扩香仪套装 黑+黑</v>
      </c>
      <c r="N238" s="95" t="str">
        <f>_xlfn.IFNA(VLOOKUP(G238,'SKU 对应关系'!$A:$D,3,0),"")</f>
        <v>ANX</v>
      </c>
      <c r="O238" s="96">
        <v>8</v>
      </c>
      <c r="P238" s="455">
        <v>106.73696969696971</v>
      </c>
      <c r="Q238" s="96" t="s">
        <v>16</v>
      </c>
      <c r="R238" s="91">
        <v>2.8</v>
      </c>
      <c r="S238" s="95">
        <v>200</v>
      </c>
      <c r="T238" s="98">
        <v>8.1218274111675122</v>
      </c>
      <c r="U238" s="99">
        <f t="shared" si="32"/>
        <v>306.98534256268266</v>
      </c>
      <c r="V238" s="100">
        <f t="shared" si="22"/>
        <v>2.3983229887709583</v>
      </c>
      <c r="W238" s="101">
        <f t="shared" si="33"/>
        <v>0.35795865504044155</v>
      </c>
      <c r="X238" s="95"/>
      <c r="Y238" s="95"/>
      <c r="Z238" s="102" t="s">
        <v>345</v>
      </c>
      <c r="AA238" s="103">
        <v>46103</v>
      </c>
      <c r="AB238" s="103">
        <v>46122</v>
      </c>
      <c r="AC238" s="103"/>
      <c r="AD238" s="104">
        <f>IF(ISNA(VLOOKUP(D238,亚马逊入库配置费!B:F,5,0)),0,VLOOKUP(D238,亚马逊入库配置费!B:F,5,0))</f>
        <v>0.38269503546099293</v>
      </c>
      <c r="AE238" s="104">
        <f t="shared" si="28"/>
        <v>48.984964539007095</v>
      </c>
      <c r="AF238" s="103">
        <v>46140</v>
      </c>
      <c r="AG238" s="90">
        <f t="shared" si="24"/>
        <v>37</v>
      </c>
      <c r="AH238" s="103">
        <v>46173</v>
      </c>
      <c r="AI238" s="96"/>
      <c r="AJ238" s="427">
        <f t="shared" si="25"/>
        <v>33</v>
      </c>
      <c r="AK238" s="96"/>
      <c r="AL238" s="92"/>
      <c r="AM238" s="91"/>
      <c r="AN238" s="91"/>
      <c r="AO238" s="96"/>
      <c r="AP238" s="105"/>
      <c r="AQ238" s="105"/>
      <c r="AR238" s="105"/>
      <c r="AS238" s="105"/>
    </row>
    <row r="239" spans="1:45" ht="12" customHeight="1" x14ac:dyDescent="0.25">
      <c r="A239" s="90">
        <v>238</v>
      </c>
      <c r="B239" s="91"/>
      <c r="C239" s="91" t="s">
        <v>4226</v>
      </c>
      <c r="D239" s="92" t="s">
        <v>4227</v>
      </c>
      <c r="E239" s="91" t="s">
        <v>115</v>
      </c>
      <c r="F239" s="91" t="s">
        <v>0</v>
      </c>
      <c r="G239" s="56" t="s">
        <v>2195</v>
      </c>
      <c r="H239" s="91">
        <v>1000</v>
      </c>
      <c r="I239" s="91" t="s">
        <v>117</v>
      </c>
      <c r="J239" s="91" t="s">
        <v>8</v>
      </c>
      <c r="K239" s="92" t="s">
        <v>44</v>
      </c>
      <c r="L239" s="93" t="str">
        <f>VLOOKUP(G239,'SKU 对应关系'!A:E,4,0)</f>
        <v>ANZ-B</v>
      </c>
      <c r="M239" s="94" t="str">
        <f>_xlfn.IFNA(VLOOKUP(G239,'SKU 对应关系'!A:B,2,0),"")</f>
        <v>ANZ-B 便携式扩香仪 黑色</v>
      </c>
      <c r="N239" s="95" t="str">
        <f>_xlfn.IFNA(VLOOKUP(G239,'SKU 对应关系'!$A:$D,3,0),"")</f>
        <v>ANZ</v>
      </c>
      <c r="O239" s="96">
        <v>25</v>
      </c>
      <c r="P239" s="455">
        <v>333.55303030303037</v>
      </c>
      <c r="Q239" s="96" t="s">
        <v>16</v>
      </c>
      <c r="R239" s="91">
        <v>2.8</v>
      </c>
      <c r="S239" s="106">
        <f>SUMIF(C:C,C238,T:T)</f>
        <v>199.99999999999997</v>
      </c>
      <c r="T239" s="98">
        <v>25.380710659898476</v>
      </c>
      <c r="U239" s="99">
        <f t="shared" si="32"/>
        <v>959.32919550838346</v>
      </c>
      <c r="V239" s="100">
        <f t="shared" si="22"/>
        <v>0.95932919550838347</v>
      </c>
      <c r="W239" s="101">
        <f t="shared" si="33"/>
        <v>0.14318346201617663</v>
      </c>
      <c r="X239" s="95"/>
      <c r="Y239" s="95"/>
      <c r="Z239" s="102" t="s">
        <v>345</v>
      </c>
      <c r="AA239" s="103">
        <v>46103</v>
      </c>
      <c r="AB239" s="103">
        <v>46122</v>
      </c>
      <c r="AC239" s="103"/>
      <c r="AD239" s="104">
        <f>IF(ISNA(VLOOKUP(D239,亚马逊入库配置费!B:F,5,0)),0,VLOOKUP(D239,亚马逊入库配置费!B:F,5,0))</f>
        <v>0.38269503546099293</v>
      </c>
      <c r="AE239" s="104">
        <f t="shared" si="28"/>
        <v>382.69503546099293</v>
      </c>
      <c r="AF239" s="103">
        <v>46140</v>
      </c>
      <c r="AG239" s="90">
        <f t="shared" si="24"/>
        <v>37</v>
      </c>
      <c r="AH239" s="103">
        <v>46173</v>
      </c>
      <c r="AI239" s="96"/>
      <c r="AJ239" s="427">
        <f t="shared" si="25"/>
        <v>33</v>
      </c>
      <c r="AK239" s="96"/>
      <c r="AL239" s="92"/>
      <c r="AM239" s="91"/>
      <c r="AN239" s="91"/>
      <c r="AO239" s="96"/>
      <c r="AP239" s="105"/>
      <c r="AQ239" s="105"/>
      <c r="AR239" s="105"/>
      <c r="AS239" s="105"/>
    </row>
    <row r="240" spans="1:45" ht="12" customHeight="1" x14ac:dyDescent="0.25">
      <c r="A240" s="90">
        <v>239</v>
      </c>
      <c r="B240" s="91"/>
      <c r="C240" s="91" t="s">
        <v>4222</v>
      </c>
      <c r="D240" s="92" t="s">
        <v>4228</v>
      </c>
      <c r="E240" s="91" t="s">
        <v>97</v>
      </c>
      <c r="F240" s="91" t="s">
        <v>0</v>
      </c>
      <c r="G240" s="56" t="s">
        <v>2279</v>
      </c>
      <c r="H240" s="91">
        <v>600</v>
      </c>
      <c r="I240" s="91" t="s">
        <v>1767</v>
      </c>
      <c r="J240" s="91" t="s">
        <v>4</v>
      </c>
      <c r="K240" s="92" t="s">
        <v>43</v>
      </c>
      <c r="L240" s="93" t="str">
        <f>VLOOKUP(G240,'SKU 对应关系'!A:E,4,0)</f>
        <v>RD1-B</v>
      </c>
      <c r="M240" s="94" t="str">
        <f>_xlfn.IFNA(VLOOKUP(G240,'SKU 对应关系'!A:B,2,0),"")</f>
        <v>RD1-B 便携式扩香仪 黑色</v>
      </c>
      <c r="N240" s="95" t="str">
        <f>_xlfn.IFNA(VLOOKUP(G240,'SKU 对应关系'!$A:$D,3,0),"")</f>
        <v>RD1</v>
      </c>
      <c r="O240" s="96">
        <v>20</v>
      </c>
      <c r="P240" s="455">
        <v>1.0333333333333332</v>
      </c>
      <c r="Q240" s="96" t="s">
        <v>3264</v>
      </c>
      <c r="R240" s="91">
        <v>1830</v>
      </c>
      <c r="S240" s="95">
        <v>180</v>
      </c>
      <c r="T240" s="98">
        <v>92.307692307692307</v>
      </c>
      <c r="U240" s="99">
        <f t="shared" ref="U240:U241" si="34">R240*P240+T240</f>
        <v>1983.3076923076922</v>
      </c>
      <c r="V240" s="100">
        <f t="shared" ref="V240:V241" si="35">U240/H240</f>
        <v>3.3055128205128201</v>
      </c>
      <c r="W240" s="101">
        <f t="shared" ref="W240:W241" si="36">V240/6.7</f>
        <v>0.49336012246459998</v>
      </c>
      <c r="X240" s="95"/>
      <c r="Y240" s="95"/>
      <c r="Z240" s="102" t="s">
        <v>345</v>
      </c>
      <c r="AA240" s="103">
        <v>46102</v>
      </c>
      <c r="AB240" s="103">
        <v>46117</v>
      </c>
      <c r="AC240" s="103"/>
      <c r="AD240" s="104">
        <f>IF(ISNA(VLOOKUP(D240,亚马逊入库配置费!B:F,5,0)),0,VLOOKUP(D240,亚马逊入库配置费!B:F,5,0))</f>
        <v>0.44</v>
      </c>
      <c r="AE240" s="104">
        <f t="shared" si="28"/>
        <v>264</v>
      </c>
      <c r="AF240" s="103">
        <v>46122</v>
      </c>
      <c r="AG240" s="90">
        <f t="shared" si="24"/>
        <v>20</v>
      </c>
      <c r="AH240" s="103">
        <v>46156</v>
      </c>
      <c r="AI240" s="96"/>
      <c r="AJ240" s="427">
        <f t="shared" si="25"/>
        <v>34</v>
      </c>
      <c r="AK240" s="96"/>
      <c r="AL240" s="92"/>
      <c r="AM240" s="91"/>
      <c r="AN240" s="91"/>
      <c r="AO240" s="96"/>
      <c r="AP240" s="105"/>
      <c r="AQ240" s="105"/>
      <c r="AR240" s="105"/>
      <c r="AS240" s="105"/>
    </row>
    <row r="241" spans="1:45" ht="12" customHeight="1" x14ac:dyDescent="0.25">
      <c r="A241" s="90">
        <v>240</v>
      </c>
      <c r="B241" s="91"/>
      <c r="C241" s="91" t="s">
        <v>4222</v>
      </c>
      <c r="D241" s="92" t="s">
        <v>4228</v>
      </c>
      <c r="E241" s="91" t="s">
        <v>97</v>
      </c>
      <c r="F241" s="91" t="s">
        <v>0</v>
      </c>
      <c r="G241" s="56" t="s">
        <v>2281</v>
      </c>
      <c r="H241" s="91">
        <v>120</v>
      </c>
      <c r="I241" s="91" t="s">
        <v>1767</v>
      </c>
      <c r="J241" s="91" t="s">
        <v>4</v>
      </c>
      <c r="K241" s="92" t="s">
        <v>43</v>
      </c>
      <c r="L241" s="93" t="str">
        <f>VLOOKUP(G241,'SKU 对应关系'!A:E,4,0)</f>
        <v>RD1-DT</v>
      </c>
      <c r="M241" s="94" t="str">
        <f>_xlfn.IFNA(VLOOKUP(G241,'SKU 对应关系'!A:B,2,0),"")</f>
        <v>RD1-DT 便携式扩香仪 沙漠钛色</v>
      </c>
      <c r="N241" s="95" t="str">
        <f>_xlfn.IFNA(VLOOKUP(G241,'SKU 对应关系'!$A:$D,3,0),"")</f>
        <v>RD1</v>
      </c>
      <c r="O241" s="96">
        <v>4</v>
      </c>
      <c r="P241" s="455">
        <v>0.20666666666666667</v>
      </c>
      <c r="Q241" s="96" t="s">
        <v>3264</v>
      </c>
      <c r="R241" s="91">
        <v>1830</v>
      </c>
      <c r="S241" s="106">
        <f>SUMIF(C:C,C240,T:T)</f>
        <v>180</v>
      </c>
      <c r="T241" s="98">
        <v>18.46153846153846</v>
      </c>
      <c r="U241" s="99">
        <f t="shared" si="34"/>
        <v>396.66153846153844</v>
      </c>
      <c r="V241" s="100">
        <f t="shared" si="35"/>
        <v>3.3055128205128201</v>
      </c>
      <c r="W241" s="101">
        <f t="shared" si="36"/>
        <v>0.49336012246459998</v>
      </c>
      <c r="X241" s="95"/>
      <c r="Y241" s="95"/>
      <c r="Z241" s="102" t="s">
        <v>345</v>
      </c>
      <c r="AA241" s="103">
        <v>46102</v>
      </c>
      <c r="AB241" s="103">
        <v>46117</v>
      </c>
      <c r="AC241" s="103"/>
      <c r="AD241" s="104">
        <f>IF(ISNA(VLOOKUP(D241,亚马逊入库配置费!B:F,5,0)),0,VLOOKUP(D241,亚马逊入库配置费!B:F,5,0))</f>
        <v>0.44</v>
      </c>
      <c r="AE241" s="104">
        <f t="shared" si="28"/>
        <v>52.8</v>
      </c>
      <c r="AF241" s="103">
        <v>46122</v>
      </c>
      <c r="AG241" s="90">
        <f t="shared" si="24"/>
        <v>20</v>
      </c>
      <c r="AH241" s="103">
        <v>46156</v>
      </c>
      <c r="AI241" s="96"/>
      <c r="AJ241" s="427">
        <f t="shared" si="25"/>
        <v>34</v>
      </c>
      <c r="AK241" s="96"/>
      <c r="AL241" s="92"/>
      <c r="AM241" s="91"/>
      <c r="AN241" s="91"/>
      <c r="AO241" s="96"/>
      <c r="AP241" s="105"/>
      <c r="AQ241" s="105"/>
      <c r="AR241" s="105"/>
      <c r="AS241" s="105"/>
    </row>
    <row r="242" spans="1:45" ht="12" customHeight="1" x14ac:dyDescent="0.25">
      <c r="A242" s="90">
        <v>241</v>
      </c>
      <c r="B242" s="91"/>
      <c r="C242" s="91" t="s">
        <v>4224</v>
      </c>
      <c r="D242" s="92" t="s">
        <v>4229</v>
      </c>
      <c r="E242" s="91" t="s">
        <v>97</v>
      </c>
      <c r="F242" s="91" t="s">
        <v>0</v>
      </c>
      <c r="G242" s="56" t="s">
        <v>2962</v>
      </c>
      <c r="H242" s="91">
        <v>240</v>
      </c>
      <c r="I242" s="91" t="s">
        <v>207</v>
      </c>
      <c r="J242" s="91" t="s">
        <v>8</v>
      </c>
      <c r="K242" s="92" t="s">
        <v>46</v>
      </c>
      <c r="L242" s="93" t="str">
        <f>VLOOKUP(G242,'SKU 对应关系'!A:E,4,0)</f>
        <v>AN6KIT-B_4X10K04_TZ</v>
      </c>
      <c r="M242" s="94" t="str">
        <f>_xlfn.IFNA(VLOOKUP(G242,'SKU 对应关系'!A:B,2,0),"")</f>
        <v>AN6KIT-B_4X10K04_TZ AN6黑色机器+4x10mL酒店（天竺）香氛油 机油套装</v>
      </c>
      <c r="N242" s="95" t="str">
        <f>_xlfn.IFNA(VLOOKUP(G242,'SKU 对应关系'!$A:$D,3,0),"")</f>
        <v>AN6</v>
      </c>
      <c r="O242" s="96">
        <v>8</v>
      </c>
      <c r="P242" s="455">
        <v>129.83050847457628</v>
      </c>
      <c r="Q242" s="96" t="s">
        <v>16</v>
      </c>
      <c r="R242" s="91">
        <v>3.6</v>
      </c>
      <c r="S242" s="95">
        <v>200</v>
      </c>
      <c r="T242" s="98">
        <v>11.594202898550725</v>
      </c>
      <c r="U242" s="99">
        <f t="shared" si="32"/>
        <v>478.98403340702538</v>
      </c>
      <c r="V242" s="100">
        <f t="shared" si="22"/>
        <v>1.9957668058626057</v>
      </c>
      <c r="W242" s="101">
        <f t="shared" si="33"/>
        <v>0.29787564266606054</v>
      </c>
      <c r="X242" s="95"/>
      <c r="Y242" s="95"/>
      <c r="Z242" s="102" t="s">
        <v>345</v>
      </c>
      <c r="AA242" s="103">
        <v>46102</v>
      </c>
      <c r="AB242" s="103">
        <v>46122</v>
      </c>
      <c r="AC242" s="103"/>
      <c r="AD242" s="104">
        <f>IF(ISNA(VLOOKUP(D242,亚马逊入库配置费!B:F,5,0)),0,VLOOKUP(D242,亚马逊入库配置费!B:F,5,0))</f>
        <v>0.43999999999999995</v>
      </c>
      <c r="AE242" s="104">
        <f t="shared" si="28"/>
        <v>105.6</v>
      </c>
      <c r="AF242" s="103">
        <v>46132</v>
      </c>
      <c r="AG242" s="90">
        <f t="shared" si="24"/>
        <v>30</v>
      </c>
      <c r="AH242" s="103">
        <v>46167</v>
      </c>
      <c r="AI242" s="96"/>
      <c r="AJ242" s="427">
        <f t="shared" si="25"/>
        <v>35</v>
      </c>
      <c r="AK242" s="96"/>
      <c r="AL242" s="92"/>
      <c r="AM242" s="91"/>
      <c r="AN242" s="91"/>
      <c r="AO242" s="96"/>
      <c r="AP242" s="105"/>
      <c r="AQ242" s="105"/>
      <c r="AR242" s="105"/>
      <c r="AS242" s="105"/>
    </row>
    <row r="243" spans="1:45" ht="12" customHeight="1" x14ac:dyDescent="0.25">
      <c r="A243" s="90">
        <v>242</v>
      </c>
      <c r="B243" s="91"/>
      <c r="C243" s="91" t="s">
        <v>4224</v>
      </c>
      <c r="D243" s="92" t="s">
        <v>4229</v>
      </c>
      <c r="E243" s="91" t="s">
        <v>97</v>
      </c>
      <c r="F243" s="91" t="s">
        <v>0</v>
      </c>
      <c r="G243" s="56" t="s">
        <v>1195</v>
      </c>
      <c r="H243" s="91">
        <v>300</v>
      </c>
      <c r="I243" s="91" t="s">
        <v>207</v>
      </c>
      <c r="J243" s="91" t="s">
        <v>8</v>
      </c>
      <c r="K243" s="92" t="s">
        <v>46</v>
      </c>
      <c r="L243" s="93" t="str">
        <f>VLOOKUP(G243,'SKU 对应关系'!A:E,4,0)</f>
        <v>AN6KIT-B_4X10ML</v>
      </c>
      <c r="M243" s="94" t="str">
        <f>_xlfn.IFNA(VLOOKUP(G243,'SKU 对应关系'!A:B,2,0),"")</f>
        <v>AN6KIT-B_4X10ML AN6黑色机器+4x10mL香氛油（天竺） 机油套装</v>
      </c>
      <c r="N243" s="95" t="str">
        <f>_xlfn.IFNA(VLOOKUP(G243,'SKU 对应关系'!$A:$D,3,0),"")</f>
        <v>AN6</v>
      </c>
      <c r="O243" s="96">
        <v>10</v>
      </c>
      <c r="P243" s="455">
        <v>162.28813559322035</v>
      </c>
      <c r="Q243" s="96" t="s">
        <v>16</v>
      </c>
      <c r="R243" s="91">
        <v>3.6</v>
      </c>
      <c r="S243" s="106">
        <f>SUMIF(C:C,C242,T:T)</f>
        <v>200</v>
      </c>
      <c r="T243" s="98">
        <v>14.492753623188406</v>
      </c>
      <c r="U243" s="99">
        <f t="shared" si="32"/>
        <v>598.73004175878168</v>
      </c>
      <c r="V243" s="100">
        <f t="shared" si="22"/>
        <v>1.9957668058626057</v>
      </c>
      <c r="W243" s="101">
        <f t="shared" si="33"/>
        <v>0.29787564266606054</v>
      </c>
      <c r="X243" s="95"/>
      <c r="Y243" s="95"/>
      <c r="Z243" s="102" t="s">
        <v>345</v>
      </c>
      <c r="AA243" s="103">
        <v>46102</v>
      </c>
      <c r="AB243" s="103">
        <v>46122</v>
      </c>
      <c r="AC243" s="103"/>
      <c r="AD243" s="104">
        <f>IF(ISNA(VLOOKUP(D243,亚马逊入库配置费!B:F,5,0)),0,VLOOKUP(D243,亚马逊入库配置费!B:F,5,0))</f>
        <v>0.43999999999999995</v>
      </c>
      <c r="AE243" s="104">
        <f t="shared" si="28"/>
        <v>131.99999999999997</v>
      </c>
      <c r="AF243" s="103">
        <v>46132</v>
      </c>
      <c r="AG243" s="90">
        <f t="shared" si="24"/>
        <v>30</v>
      </c>
      <c r="AH243" s="103">
        <v>46167</v>
      </c>
      <c r="AI243" s="96"/>
      <c r="AJ243" s="427">
        <f t="shared" si="25"/>
        <v>35</v>
      </c>
      <c r="AK243" s="96"/>
      <c r="AL243" s="92"/>
      <c r="AM243" s="91"/>
      <c r="AN243" s="91"/>
      <c r="AO243" s="96"/>
      <c r="AP243" s="105"/>
      <c r="AQ243" s="105"/>
      <c r="AR243" s="105"/>
      <c r="AS243" s="105"/>
    </row>
    <row r="244" spans="1:45" ht="12" customHeight="1" x14ac:dyDescent="0.25">
      <c r="A244" s="90">
        <v>243</v>
      </c>
      <c r="B244" s="91"/>
      <c r="C244" s="91" t="s">
        <v>4224</v>
      </c>
      <c r="D244" s="92" t="s">
        <v>4229</v>
      </c>
      <c r="E244" s="91" t="s">
        <v>97</v>
      </c>
      <c r="F244" s="91" t="s">
        <v>0</v>
      </c>
      <c r="G244" s="56" t="s">
        <v>1198</v>
      </c>
      <c r="H244" s="91">
        <v>90</v>
      </c>
      <c r="I244" s="91" t="s">
        <v>207</v>
      </c>
      <c r="J244" s="91" t="s">
        <v>8</v>
      </c>
      <c r="K244" s="92" t="s">
        <v>46</v>
      </c>
      <c r="L244" s="93" t="str">
        <f>VLOOKUP(G244,'SKU 对应关系'!A:E,4,0)</f>
        <v>AN6KIT-WH_4X10ML</v>
      </c>
      <c r="M244" s="94" t="str">
        <f>_xlfn.IFNA(VLOOKUP(G244,'SKU 对应关系'!A:B,2,0),"")</f>
        <v>AN6KIT-WH_4X10ML AN6白色机器+4x10mL香氛油（天竺） 机油套装</v>
      </c>
      <c r="N244" s="95" t="str">
        <f>_xlfn.IFNA(VLOOKUP(G244,'SKU 对应关系'!$A:$D,3,0),"")</f>
        <v>AN6</v>
      </c>
      <c r="O244" s="96">
        <v>3</v>
      </c>
      <c r="P244" s="455">
        <v>48.686440677966104</v>
      </c>
      <c r="Q244" s="96" t="s">
        <v>16</v>
      </c>
      <c r="R244" s="91">
        <v>3.6</v>
      </c>
      <c r="S244" s="95"/>
      <c r="T244" s="98">
        <v>4.3478260869565215</v>
      </c>
      <c r="U244" s="99">
        <f t="shared" si="32"/>
        <v>179.61901252763451</v>
      </c>
      <c r="V244" s="100">
        <f t="shared" si="22"/>
        <v>1.9957668058626057</v>
      </c>
      <c r="W244" s="101">
        <f t="shared" si="33"/>
        <v>0.29787564266606054</v>
      </c>
      <c r="X244" s="95"/>
      <c r="Y244" s="95"/>
      <c r="Z244" s="102" t="s">
        <v>345</v>
      </c>
      <c r="AA244" s="103">
        <v>46102</v>
      </c>
      <c r="AB244" s="103">
        <v>46122</v>
      </c>
      <c r="AC244" s="103"/>
      <c r="AD244" s="104">
        <f>IF(ISNA(VLOOKUP(D244,亚马逊入库配置费!B:F,5,0)),0,VLOOKUP(D244,亚马逊入库配置费!B:F,5,0))</f>
        <v>0.43999999999999995</v>
      </c>
      <c r="AE244" s="104">
        <f t="shared" si="28"/>
        <v>39.599999999999994</v>
      </c>
      <c r="AF244" s="103">
        <v>46132</v>
      </c>
      <c r="AG244" s="90">
        <f t="shared" si="24"/>
        <v>30</v>
      </c>
      <c r="AH244" s="103">
        <v>46167</v>
      </c>
      <c r="AI244" s="96"/>
      <c r="AJ244" s="427">
        <f t="shared" si="25"/>
        <v>35</v>
      </c>
      <c r="AK244" s="96"/>
      <c r="AL244" s="92"/>
      <c r="AM244" s="91"/>
      <c r="AN244" s="91"/>
      <c r="AO244" s="96"/>
      <c r="AP244" s="105"/>
      <c r="AQ244" s="105"/>
      <c r="AR244" s="105"/>
      <c r="AS244" s="105"/>
    </row>
    <row r="245" spans="1:45" ht="12" customHeight="1" x14ac:dyDescent="0.25">
      <c r="A245" s="90">
        <v>244</v>
      </c>
      <c r="B245" s="91"/>
      <c r="C245" s="91" t="s">
        <v>4224</v>
      </c>
      <c r="D245" s="92" t="s">
        <v>4229</v>
      </c>
      <c r="E245" s="91" t="s">
        <v>97</v>
      </c>
      <c r="F245" s="91" t="s">
        <v>0</v>
      </c>
      <c r="G245" s="56" t="s">
        <v>1215</v>
      </c>
      <c r="H245" s="91">
        <v>2100</v>
      </c>
      <c r="I245" s="91" t="s">
        <v>207</v>
      </c>
      <c r="J245" s="91" t="s">
        <v>8</v>
      </c>
      <c r="K245" s="92" t="s">
        <v>46</v>
      </c>
      <c r="L245" s="93" t="str">
        <f>VLOOKUP(G245,'SKU 对应关系'!A:E,4,0)</f>
        <v>AN8KIT-B_4X10K01</v>
      </c>
      <c r="M245" s="94" t="str">
        <f>_xlfn.IFNA(VLOOKUP(G245,'SKU 对应关系'!A:B,2,0),"")</f>
        <v>AN8KIT-B_4X10K01 AN8黑色机器+4x10mL酒店香氛油 机油套装</v>
      </c>
      <c r="N245" s="95" t="str">
        <f>_xlfn.IFNA(VLOOKUP(G245,'SKU 对应关系'!$A:$D,3,0),"")</f>
        <v>AN8</v>
      </c>
      <c r="O245" s="96">
        <v>70</v>
      </c>
      <c r="P245" s="455">
        <v>1136.0169491525423</v>
      </c>
      <c r="Q245" s="96" t="s">
        <v>16</v>
      </c>
      <c r="R245" s="91">
        <v>3.6</v>
      </c>
      <c r="S245" s="95"/>
      <c r="T245" s="98">
        <v>101.44927536231884</v>
      </c>
      <c r="U245" s="99">
        <f t="shared" si="32"/>
        <v>4191.1102923114713</v>
      </c>
      <c r="V245" s="100">
        <f t="shared" si="22"/>
        <v>1.9957668058626055</v>
      </c>
      <c r="W245" s="101">
        <f t="shared" si="33"/>
        <v>0.29787564266606054</v>
      </c>
      <c r="X245" s="95"/>
      <c r="Y245" s="95"/>
      <c r="Z245" s="102" t="s">
        <v>345</v>
      </c>
      <c r="AA245" s="103">
        <v>46102</v>
      </c>
      <c r="AB245" s="103">
        <v>46122</v>
      </c>
      <c r="AC245" s="103"/>
      <c r="AD245" s="104">
        <f>IF(ISNA(VLOOKUP(D245,亚马逊入库配置费!B:F,5,0)),0,VLOOKUP(D245,亚马逊入库配置费!B:F,5,0))</f>
        <v>0.43999999999999995</v>
      </c>
      <c r="AE245" s="104">
        <f t="shared" si="28"/>
        <v>923.99999999999989</v>
      </c>
      <c r="AF245" s="103">
        <v>46132</v>
      </c>
      <c r="AG245" s="90">
        <f t="shared" si="24"/>
        <v>30</v>
      </c>
      <c r="AH245" s="103">
        <v>46167</v>
      </c>
      <c r="AI245" s="96"/>
      <c r="AJ245" s="427">
        <f t="shared" si="25"/>
        <v>35</v>
      </c>
      <c r="AK245" s="96"/>
      <c r="AL245" s="92"/>
      <c r="AM245" s="91"/>
      <c r="AN245" s="91"/>
      <c r="AO245" s="96"/>
      <c r="AP245" s="105"/>
      <c r="AQ245" s="105"/>
      <c r="AR245" s="105"/>
      <c r="AS245" s="105"/>
    </row>
    <row r="246" spans="1:45" ht="12" customHeight="1" x14ac:dyDescent="0.25">
      <c r="A246" s="90">
        <v>245</v>
      </c>
      <c r="B246" s="91"/>
      <c r="C246" s="91" t="s">
        <v>4224</v>
      </c>
      <c r="D246" s="92" t="s">
        <v>4229</v>
      </c>
      <c r="E246" s="91" t="s">
        <v>97</v>
      </c>
      <c r="F246" s="91" t="s">
        <v>0</v>
      </c>
      <c r="G246" s="56" t="s">
        <v>1902</v>
      </c>
      <c r="H246" s="91">
        <v>30</v>
      </c>
      <c r="I246" s="91" t="s">
        <v>207</v>
      </c>
      <c r="J246" s="91" t="s">
        <v>8</v>
      </c>
      <c r="K246" s="92" t="s">
        <v>46</v>
      </c>
      <c r="L246" s="93" t="str">
        <f>VLOOKUP(G246,'SKU 对应关系'!A:E,4,0)</f>
        <v>AN8KIT-WH_4X10K01</v>
      </c>
      <c r="M246" s="94" t="str">
        <f>_xlfn.IFNA(VLOOKUP(G246,'SKU 对应关系'!A:B,2,0),"")</f>
        <v>AN8KIT-WH_4X10K01 AN8白色机器+4x10mL酒店香氛油 机油套装</v>
      </c>
      <c r="N246" s="95" t="str">
        <f>_xlfn.IFNA(VLOOKUP(G246,'SKU 对应关系'!$A:$D,3,0),"")</f>
        <v>AN8</v>
      </c>
      <c r="O246" s="96">
        <v>1</v>
      </c>
      <c r="P246" s="455">
        <v>16.228813559322035</v>
      </c>
      <c r="Q246" s="96" t="s">
        <v>16</v>
      </c>
      <c r="R246" s="91">
        <v>3.6</v>
      </c>
      <c r="S246" s="95"/>
      <c r="T246" s="98">
        <v>1.4492753623188406</v>
      </c>
      <c r="U246" s="99">
        <f t="shared" si="32"/>
        <v>59.873004175878172</v>
      </c>
      <c r="V246" s="100">
        <f t="shared" si="22"/>
        <v>1.9957668058626057</v>
      </c>
      <c r="W246" s="101">
        <f t="shared" si="33"/>
        <v>0.29787564266606054</v>
      </c>
      <c r="X246" s="95"/>
      <c r="Y246" s="95"/>
      <c r="Z246" s="102" t="s">
        <v>345</v>
      </c>
      <c r="AA246" s="103">
        <v>46102</v>
      </c>
      <c r="AB246" s="103">
        <v>46122</v>
      </c>
      <c r="AC246" s="103"/>
      <c r="AD246" s="104">
        <f>IF(ISNA(VLOOKUP(D246,亚马逊入库配置费!B:F,5,0)),0,VLOOKUP(D246,亚马逊入库配置费!B:F,5,0))</f>
        <v>0.43999999999999995</v>
      </c>
      <c r="AE246" s="104">
        <f t="shared" si="28"/>
        <v>13.2</v>
      </c>
      <c r="AF246" s="103">
        <v>46132</v>
      </c>
      <c r="AG246" s="90">
        <f t="shared" si="24"/>
        <v>30</v>
      </c>
      <c r="AH246" s="103">
        <v>46167</v>
      </c>
      <c r="AI246" s="96"/>
      <c r="AJ246" s="427">
        <f t="shared" si="25"/>
        <v>35</v>
      </c>
      <c r="AK246" s="96"/>
      <c r="AL246" s="92"/>
      <c r="AM246" s="91"/>
      <c r="AN246" s="91"/>
      <c r="AO246" s="96"/>
      <c r="AP246" s="105"/>
      <c r="AQ246" s="105"/>
      <c r="AR246" s="105"/>
      <c r="AS246" s="105"/>
    </row>
    <row r="247" spans="1:45" ht="12" customHeight="1" x14ac:dyDescent="0.25">
      <c r="A247" s="90">
        <v>246</v>
      </c>
      <c r="B247" s="91"/>
      <c r="C247" s="91" t="s">
        <v>4224</v>
      </c>
      <c r="D247" s="92" t="s">
        <v>4229</v>
      </c>
      <c r="E247" s="91" t="s">
        <v>97</v>
      </c>
      <c r="F247" s="91" t="s">
        <v>0</v>
      </c>
      <c r="G247" s="56" t="s">
        <v>4230</v>
      </c>
      <c r="H247" s="91">
        <v>780</v>
      </c>
      <c r="I247" s="91" t="s">
        <v>207</v>
      </c>
      <c r="J247" s="91" t="s">
        <v>8</v>
      </c>
      <c r="K247" s="92" t="s">
        <v>46</v>
      </c>
      <c r="L247" s="93" t="str">
        <f>VLOOKUP(G247,'SKU 对应关系'!A:E,4,0)</f>
        <v>AN8KIT-WH_4X10K05_TZ</v>
      </c>
      <c r="M247" s="94" t="str">
        <f>_xlfn.IFNA(VLOOKUP(G247,'SKU 对应关系'!A:B,2,0),"")</f>
        <v>AN8KIT-WH_4X10K05_TZ AN8白色机器+4x10mL（天竺）酒店香氛油 机油套装</v>
      </c>
      <c r="N247" s="95" t="str">
        <f>_xlfn.IFNA(VLOOKUP(G247,'SKU 对应关系'!$A:$D,3,0),"")</f>
        <v>AN8</v>
      </c>
      <c r="O247" s="96">
        <v>26</v>
      </c>
      <c r="P247" s="455">
        <v>421.94915254237287</v>
      </c>
      <c r="Q247" s="96" t="s">
        <v>16</v>
      </c>
      <c r="R247" s="91">
        <v>3.6</v>
      </c>
      <c r="S247" s="95"/>
      <c r="T247" s="98">
        <v>37.681159420289852</v>
      </c>
      <c r="U247" s="99">
        <f t="shared" si="32"/>
        <v>1556.6981085728321</v>
      </c>
      <c r="V247" s="100">
        <f t="shared" si="22"/>
        <v>1.9957668058626052</v>
      </c>
      <c r="W247" s="101">
        <f t="shared" si="33"/>
        <v>0.29787564266606048</v>
      </c>
      <c r="X247" s="95"/>
      <c r="Y247" s="95"/>
      <c r="Z247" s="102" t="s">
        <v>345</v>
      </c>
      <c r="AA247" s="103">
        <v>46102</v>
      </c>
      <c r="AB247" s="103">
        <v>46122</v>
      </c>
      <c r="AC247" s="103"/>
      <c r="AD247" s="104">
        <f>IF(ISNA(VLOOKUP(D247,亚马逊入库配置费!B:F,5,0)),0,VLOOKUP(D247,亚马逊入库配置费!B:F,5,0))</f>
        <v>0.43999999999999995</v>
      </c>
      <c r="AE247" s="104">
        <f t="shared" si="28"/>
        <v>343.19999999999993</v>
      </c>
      <c r="AF247" s="103">
        <v>46132</v>
      </c>
      <c r="AG247" s="90">
        <f t="shared" si="24"/>
        <v>30</v>
      </c>
      <c r="AH247" s="103">
        <v>46167</v>
      </c>
      <c r="AI247" s="96"/>
      <c r="AJ247" s="427">
        <f t="shared" si="25"/>
        <v>35</v>
      </c>
      <c r="AK247" s="96"/>
      <c r="AL247" s="92"/>
      <c r="AM247" s="91"/>
      <c r="AN247" s="91"/>
      <c r="AO247" s="96"/>
      <c r="AP247" s="105"/>
      <c r="AQ247" s="105"/>
      <c r="AR247" s="105"/>
      <c r="AS247" s="105"/>
    </row>
    <row r="248" spans="1:45" ht="12" customHeight="1" x14ac:dyDescent="0.25">
      <c r="A248" s="90">
        <v>247</v>
      </c>
      <c r="B248" s="91"/>
      <c r="C248" s="91" t="s">
        <v>4231</v>
      </c>
      <c r="D248" s="92" t="s">
        <v>4232</v>
      </c>
      <c r="E248" s="91" t="s">
        <v>97</v>
      </c>
      <c r="F248" s="91" t="s">
        <v>0</v>
      </c>
      <c r="G248" s="56" t="s">
        <v>163</v>
      </c>
      <c r="H248" s="91">
        <v>1200</v>
      </c>
      <c r="I248" s="91" t="s">
        <v>117</v>
      </c>
      <c r="J248" s="91" t="s">
        <v>8</v>
      </c>
      <c r="K248" s="92" t="s">
        <v>15</v>
      </c>
      <c r="L248" s="93" t="str">
        <f>VLOOKUP(G248,'SKU 对应关系'!A:E,4,0)</f>
        <v>AN6-B</v>
      </c>
      <c r="M248" s="94" t="str">
        <f>_xlfn.IFNA(VLOOKUP(G248,'SKU 对应关系'!A:B,2,0),"")</f>
        <v>AN6-B 便携式扩香仪 黑色</v>
      </c>
      <c r="N248" s="95" t="str">
        <f>_xlfn.IFNA(VLOOKUP(G248,'SKU 对应关系'!$A:$D,3,0),"")</f>
        <v>AN6</v>
      </c>
      <c r="O248" s="96">
        <v>30</v>
      </c>
      <c r="P248" s="455">
        <v>420</v>
      </c>
      <c r="Q248" s="96" t="s">
        <v>16</v>
      </c>
      <c r="R248" s="91">
        <v>3.2</v>
      </c>
      <c r="S248" s="95">
        <v>200</v>
      </c>
      <c r="T248" s="98">
        <v>71.428571428571431</v>
      </c>
      <c r="U248" s="99">
        <f t="shared" si="32"/>
        <v>1415.4285714285713</v>
      </c>
      <c r="V248" s="100">
        <f t="shared" si="22"/>
        <v>1.1795238095238094</v>
      </c>
      <c r="W248" s="101">
        <f t="shared" si="33"/>
        <v>0.17604832977967305</v>
      </c>
      <c r="X248" s="95"/>
      <c r="Y248" s="95"/>
      <c r="Z248" s="102" t="s">
        <v>345</v>
      </c>
      <c r="AA248" s="103">
        <v>46103</v>
      </c>
      <c r="AB248" s="103">
        <v>46131</v>
      </c>
      <c r="AC248" s="103"/>
      <c r="AD248" s="104">
        <f>IF(ISNA(VLOOKUP(D248,亚马逊入库配置费!B:F,5,0)),0,VLOOKUP(D248,亚马逊入库配置费!B:F,5,0))</f>
        <v>0.37841269841269842</v>
      </c>
      <c r="AE248" s="104">
        <f t="shared" si="28"/>
        <v>454.09523809523813</v>
      </c>
      <c r="AF248" s="103">
        <v>46139</v>
      </c>
      <c r="AG248" s="90">
        <f t="shared" si="24"/>
        <v>36</v>
      </c>
      <c r="AH248" s="103">
        <v>46169</v>
      </c>
      <c r="AI248" s="96"/>
      <c r="AJ248" s="427">
        <f t="shared" si="25"/>
        <v>30</v>
      </c>
      <c r="AK248" s="96"/>
      <c r="AL248" s="92"/>
      <c r="AM248" s="91"/>
      <c r="AN248" s="91"/>
      <c r="AO248" s="96"/>
      <c r="AP248" s="105"/>
      <c r="AQ248" s="105"/>
      <c r="AR248" s="105"/>
      <c r="AS248" s="105"/>
    </row>
    <row r="249" spans="1:45" ht="12" customHeight="1" x14ac:dyDescent="0.25">
      <c r="A249" s="90">
        <v>248</v>
      </c>
      <c r="B249" s="91"/>
      <c r="C249" s="91" t="s">
        <v>4231</v>
      </c>
      <c r="D249" s="92" t="s">
        <v>4232</v>
      </c>
      <c r="E249" s="91" t="s">
        <v>97</v>
      </c>
      <c r="F249" s="91" t="s">
        <v>0</v>
      </c>
      <c r="G249" s="56" t="s">
        <v>876</v>
      </c>
      <c r="H249" s="91">
        <v>120</v>
      </c>
      <c r="I249" s="91" t="s">
        <v>117</v>
      </c>
      <c r="J249" s="91" t="s">
        <v>8</v>
      </c>
      <c r="K249" s="92" t="s">
        <v>15</v>
      </c>
      <c r="L249" s="93" t="str">
        <f>VLOOKUP(G249,'SKU 对应关系'!A:E,4,0)</f>
        <v>AN6-LV</v>
      </c>
      <c r="M249" s="94" t="str">
        <f>_xlfn.IFNA(VLOOKUP(G249,'SKU 对应关系'!A:B,2,0),"")</f>
        <v>AN6-LV 便携式扩香仪 薰衣草</v>
      </c>
      <c r="N249" s="95" t="str">
        <f>_xlfn.IFNA(VLOOKUP(G249,'SKU 对应关系'!$A:$D,3,0),"")</f>
        <v>AN6</v>
      </c>
      <c r="O249" s="96">
        <v>3</v>
      </c>
      <c r="P249" s="455">
        <v>42</v>
      </c>
      <c r="Q249" s="96" t="s">
        <v>16</v>
      </c>
      <c r="R249" s="91">
        <v>3.2</v>
      </c>
      <c r="S249" s="106">
        <f>SUMIF(C:C,C248,T:T)</f>
        <v>200</v>
      </c>
      <c r="T249" s="98">
        <v>7.1428571428571432</v>
      </c>
      <c r="U249" s="99">
        <f t="shared" si="32"/>
        <v>141.54285714285714</v>
      </c>
      <c r="V249" s="100">
        <f t="shared" si="22"/>
        <v>1.1795238095238096</v>
      </c>
      <c r="W249" s="101">
        <f t="shared" si="33"/>
        <v>0.17604832977967308</v>
      </c>
      <c r="X249" s="95"/>
      <c r="Y249" s="95"/>
      <c r="Z249" s="102" t="s">
        <v>345</v>
      </c>
      <c r="AA249" s="103">
        <v>46103</v>
      </c>
      <c r="AB249" s="103">
        <v>46131</v>
      </c>
      <c r="AC249" s="103"/>
      <c r="AD249" s="104">
        <f>IF(ISNA(VLOOKUP(D249,亚马逊入库配置费!B:F,5,0)),0,VLOOKUP(D249,亚马逊入库配置费!B:F,5,0))</f>
        <v>0.37841269841269842</v>
      </c>
      <c r="AE249" s="104">
        <f t="shared" si="28"/>
        <v>45.409523809523812</v>
      </c>
      <c r="AF249" s="103">
        <v>46139</v>
      </c>
      <c r="AG249" s="90">
        <f t="shared" si="24"/>
        <v>36</v>
      </c>
      <c r="AH249" s="103">
        <v>46169</v>
      </c>
      <c r="AI249" s="96"/>
      <c r="AJ249" s="427">
        <f t="shared" si="25"/>
        <v>30</v>
      </c>
      <c r="AK249" s="96"/>
      <c r="AL249" s="92"/>
      <c r="AM249" s="91"/>
      <c r="AN249" s="91"/>
      <c r="AO249" s="96"/>
      <c r="AP249" s="105"/>
      <c r="AQ249" s="105"/>
      <c r="AR249" s="105"/>
      <c r="AS249" s="105"/>
    </row>
    <row r="250" spans="1:45" ht="12" customHeight="1" x14ac:dyDescent="0.25">
      <c r="A250" s="90">
        <v>249</v>
      </c>
      <c r="B250" s="91"/>
      <c r="C250" s="91" t="s">
        <v>4231</v>
      </c>
      <c r="D250" s="92" t="s">
        <v>4232</v>
      </c>
      <c r="E250" s="91" t="s">
        <v>97</v>
      </c>
      <c r="F250" s="91" t="s">
        <v>0</v>
      </c>
      <c r="G250" s="56" t="s">
        <v>165</v>
      </c>
      <c r="H250" s="91">
        <v>400</v>
      </c>
      <c r="I250" s="91" t="s">
        <v>117</v>
      </c>
      <c r="J250" s="91" t="s">
        <v>8</v>
      </c>
      <c r="K250" s="92" t="s">
        <v>15</v>
      </c>
      <c r="L250" s="93" t="str">
        <f>VLOOKUP(G250,'SKU 对应关系'!A:E,4,0)</f>
        <v>AN6-W</v>
      </c>
      <c r="M250" s="94" t="str">
        <f>_xlfn.IFNA(VLOOKUP(G250,'SKU 对应关系'!A:B,2,0),"")</f>
        <v>AN6-W 便携式扩香仪 白色</v>
      </c>
      <c r="N250" s="95" t="str">
        <f>_xlfn.IFNA(VLOOKUP(G250,'SKU 对应关系'!$A:$D,3,0),"")</f>
        <v>AN6</v>
      </c>
      <c r="O250" s="96">
        <v>10</v>
      </c>
      <c r="P250" s="455">
        <v>140</v>
      </c>
      <c r="Q250" s="96" t="s">
        <v>16</v>
      </c>
      <c r="R250" s="91">
        <v>3.2</v>
      </c>
      <c r="S250" s="95"/>
      <c r="T250" s="98">
        <v>23.80952380952381</v>
      </c>
      <c r="U250" s="99">
        <f t="shared" si="32"/>
        <v>471.8095238095238</v>
      </c>
      <c r="V250" s="100">
        <f t="shared" si="22"/>
        <v>1.1795238095238094</v>
      </c>
      <c r="W250" s="101">
        <f t="shared" si="33"/>
        <v>0.17604832977967305</v>
      </c>
      <c r="X250" s="95"/>
      <c r="Y250" s="95"/>
      <c r="Z250" s="102" t="s">
        <v>345</v>
      </c>
      <c r="AA250" s="103">
        <v>46103</v>
      </c>
      <c r="AB250" s="103">
        <v>46131</v>
      </c>
      <c r="AC250" s="103"/>
      <c r="AD250" s="104">
        <f>IF(ISNA(VLOOKUP(D250,亚马逊入库配置费!B:F,5,0)),0,VLOOKUP(D250,亚马逊入库配置费!B:F,5,0))</f>
        <v>0.37841269841269842</v>
      </c>
      <c r="AE250" s="104">
        <f t="shared" si="28"/>
        <v>151.36507936507937</v>
      </c>
      <c r="AF250" s="103">
        <v>46139</v>
      </c>
      <c r="AG250" s="90">
        <f t="shared" si="24"/>
        <v>36</v>
      </c>
      <c r="AH250" s="103">
        <v>46169</v>
      </c>
      <c r="AI250" s="96"/>
      <c r="AJ250" s="427">
        <f t="shared" si="25"/>
        <v>30</v>
      </c>
      <c r="AK250" s="96"/>
      <c r="AL250" s="92"/>
      <c r="AM250" s="91"/>
      <c r="AN250" s="91"/>
      <c r="AO250" s="96"/>
      <c r="AP250" s="105"/>
      <c r="AQ250" s="105"/>
      <c r="AR250" s="105"/>
      <c r="AS250" s="105"/>
    </row>
    <row r="251" spans="1:45" ht="12" customHeight="1" x14ac:dyDescent="0.25">
      <c r="A251" s="90">
        <v>250</v>
      </c>
      <c r="B251" s="91"/>
      <c r="C251" s="91" t="s">
        <v>4231</v>
      </c>
      <c r="D251" s="92" t="s">
        <v>4232</v>
      </c>
      <c r="E251" s="91" t="s">
        <v>97</v>
      </c>
      <c r="F251" s="91" t="s">
        <v>0</v>
      </c>
      <c r="G251" s="56" t="s">
        <v>1213</v>
      </c>
      <c r="H251" s="91">
        <v>160</v>
      </c>
      <c r="I251" s="91" t="s">
        <v>117</v>
      </c>
      <c r="J251" s="91" t="s">
        <v>8</v>
      </c>
      <c r="K251" s="92" t="s">
        <v>15</v>
      </c>
      <c r="L251" s="93" t="str">
        <f>VLOOKUP(G251,'SKU 对应关系'!A:E,4,0)</f>
        <v>AN8-B</v>
      </c>
      <c r="M251" s="94" t="str">
        <f>_xlfn.IFNA(VLOOKUP(G251,'SKU 对应关系'!A:B,2,0),"")</f>
        <v>AN8-B 便携式扩香仪 黑色</v>
      </c>
      <c r="N251" s="95" t="str">
        <f>_xlfn.IFNA(VLOOKUP(G251,'SKU 对应关系'!$A:$D,3,0),"")</f>
        <v>AN8</v>
      </c>
      <c r="O251" s="96">
        <v>4</v>
      </c>
      <c r="P251" s="455">
        <v>56</v>
      </c>
      <c r="Q251" s="96" t="s">
        <v>16</v>
      </c>
      <c r="R251" s="91">
        <v>3.2</v>
      </c>
      <c r="S251" s="95"/>
      <c r="T251" s="98">
        <v>9.5238095238095237</v>
      </c>
      <c r="U251" s="99">
        <f t="shared" si="32"/>
        <v>188.72380952380954</v>
      </c>
      <c r="V251" s="100">
        <f t="shared" si="22"/>
        <v>1.1795238095238096</v>
      </c>
      <c r="W251" s="101">
        <f t="shared" si="33"/>
        <v>0.17604832977967308</v>
      </c>
      <c r="X251" s="95"/>
      <c r="Y251" s="95"/>
      <c r="Z251" s="102" t="s">
        <v>345</v>
      </c>
      <c r="AA251" s="103">
        <v>46103</v>
      </c>
      <c r="AB251" s="103">
        <v>46131</v>
      </c>
      <c r="AC251" s="103"/>
      <c r="AD251" s="104">
        <f>IF(ISNA(VLOOKUP(D251,亚马逊入库配置费!B:F,5,0)),0,VLOOKUP(D251,亚马逊入库配置费!B:F,5,0))</f>
        <v>0.37841269841269842</v>
      </c>
      <c r="AE251" s="104">
        <f t="shared" si="28"/>
        <v>60.546031746031744</v>
      </c>
      <c r="AF251" s="103">
        <v>46139</v>
      </c>
      <c r="AG251" s="90">
        <f t="shared" si="24"/>
        <v>36</v>
      </c>
      <c r="AH251" s="103">
        <v>46169</v>
      </c>
      <c r="AI251" s="96"/>
      <c r="AJ251" s="427">
        <f t="shared" si="25"/>
        <v>30</v>
      </c>
      <c r="AK251" s="96"/>
      <c r="AL251" s="92"/>
      <c r="AM251" s="91"/>
      <c r="AN251" s="91"/>
      <c r="AO251" s="96"/>
      <c r="AP251" s="105"/>
      <c r="AQ251" s="105"/>
      <c r="AR251" s="105"/>
      <c r="AS251" s="105"/>
    </row>
    <row r="252" spans="1:45" ht="12" customHeight="1" x14ac:dyDescent="0.25">
      <c r="A252" s="90">
        <v>251</v>
      </c>
      <c r="B252" s="91"/>
      <c r="C252" s="91" t="s">
        <v>4231</v>
      </c>
      <c r="D252" s="92" t="s">
        <v>4232</v>
      </c>
      <c r="E252" s="91" t="s">
        <v>97</v>
      </c>
      <c r="F252" s="91" t="s">
        <v>0</v>
      </c>
      <c r="G252" s="56" t="s">
        <v>1217</v>
      </c>
      <c r="H252" s="91">
        <v>100</v>
      </c>
      <c r="I252" s="91" t="s">
        <v>117</v>
      </c>
      <c r="J252" s="91" t="s">
        <v>8</v>
      </c>
      <c r="K252" s="92" t="s">
        <v>15</v>
      </c>
      <c r="L252" s="93" t="str">
        <f>VLOOKUP(G252,'SKU 对应关系'!A:E,4,0)</f>
        <v>AN8KIT-B_B</v>
      </c>
      <c r="M252" s="94" t="str">
        <f>_xlfn.IFNA(VLOOKUP(G252,'SKU 对应关系'!A:B,2,0),"")</f>
        <v>AN8KIT-B_B 便携式扩香仪套装 黑+黑</v>
      </c>
      <c r="N252" s="95" t="str">
        <f>_xlfn.IFNA(VLOOKUP(G252,'SKU 对应关系'!$A:$D,3,0),"")</f>
        <v>AN8</v>
      </c>
      <c r="O252" s="96">
        <v>5</v>
      </c>
      <c r="P252" s="455">
        <v>70</v>
      </c>
      <c r="Q252" s="96" t="s">
        <v>16</v>
      </c>
      <c r="R252" s="91">
        <v>3.2</v>
      </c>
      <c r="S252" s="95"/>
      <c r="T252" s="98">
        <v>11.904761904761905</v>
      </c>
      <c r="U252" s="99">
        <f t="shared" si="32"/>
        <v>235.9047619047619</v>
      </c>
      <c r="V252" s="100">
        <f t="shared" si="22"/>
        <v>2.3590476190476188</v>
      </c>
      <c r="W252" s="101">
        <f t="shared" si="33"/>
        <v>0.3520966595593461</v>
      </c>
      <c r="X252" s="95"/>
      <c r="Y252" s="95"/>
      <c r="Z252" s="102" t="s">
        <v>345</v>
      </c>
      <c r="AA252" s="103">
        <v>46103</v>
      </c>
      <c r="AB252" s="103">
        <v>46131</v>
      </c>
      <c r="AC252" s="103"/>
      <c r="AD252" s="104">
        <f>IF(ISNA(VLOOKUP(D252,亚马逊入库配置费!B:F,5,0)),0,VLOOKUP(D252,亚马逊入库配置费!B:F,5,0))</f>
        <v>0.37841269841269842</v>
      </c>
      <c r="AE252" s="104">
        <f t="shared" si="28"/>
        <v>37.841269841269842</v>
      </c>
      <c r="AF252" s="103">
        <v>46139</v>
      </c>
      <c r="AG252" s="90">
        <f t="shared" si="24"/>
        <v>36</v>
      </c>
      <c r="AH252" s="103">
        <v>46169</v>
      </c>
      <c r="AI252" s="96"/>
      <c r="AJ252" s="427">
        <f t="shared" si="25"/>
        <v>30</v>
      </c>
      <c r="AK252" s="96"/>
      <c r="AL252" s="92"/>
      <c r="AM252" s="91"/>
      <c r="AN252" s="91"/>
      <c r="AO252" s="96"/>
      <c r="AP252" s="105"/>
      <c r="AQ252" s="105"/>
      <c r="AR252" s="105"/>
      <c r="AS252" s="105"/>
    </row>
    <row r="253" spans="1:45" ht="12" customHeight="1" x14ac:dyDescent="0.25">
      <c r="A253" s="90">
        <v>252</v>
      </c>
      <c r="B253" s="91"/>
      <c r="C253" s="91" t="s">
        <v>4231</v>
      </c>
      <c r="D253" s="92" t="s">
        <v>4232</v>
      </c>
      <c r="E253" s="91" t="s">
        <v>97</v>
      </c>
      <c r="F253" s="91" t="s">
        <v>0</v>
      </c>
      <c r="G253" s="56" t="s">
        <v>2279</v>
      </c>
      <c r="H253" s="91">
        <v>390</v>
      </c>
      <c r="I253" s="91" t="s">
        <v>117</v>
      </c>
      <c r="J253" s="91" t="s">
        <v>8</v>
      </c>
      <c r="K253" s="92" t="s">
        <v>15</v>
      </c>
      <c r="L253" s="93" t="str">
        <f>VLOOKUP(G253,'SKU 对应关系'!A:E,4,0)</f>
        <v>RD1-B</v>
      </c>
      <c r="M253" s="94" t="str">
        <f>_xlfn.IFNA(VLOOKUP(G253,'SKU 对应关系'!A:B,2,0),"")</f>
        <v>RD1-B 便携式扩香仪 黑色</v>
      </c>
      <c r="N253" s="95" t="str">
        <f>_xlfn.IFNA(VLOOKUP(G253,'SKU 对应关系'!$A:$D,3,0),"")</f>
        <v>RD1</v>
      </c>
      <c r="O253" s="96">
        <v>13</v>
      </c>
      <c r="P253" s="455">
        <v>182</v>
      </c>
      <c r="Q253" s="96" t="s">
        <v>16</v>
      </c>
      <c r="R253" s="91">
        <v>3.2</v>
      </c>
      <c r="S253" s="95"/>
      <c r="T253" s="98">
        <v>30.952380952380953</v>
      </c>
      <c r="U253" s="99">
        <f t="shared" si="32"/>
        <v>613.35238095238094</v>
      </c>
      <c r="V253" s="100">
        <f t="shared" si="22"/>
        <v>1.5726984126984127</v>
      </c>
      <c r="W253" s="101">
        <f t="shared" si="33"/>
        <v>0.2347311063728974</v>
      </c>
      <c r="X253" s="95"/>
      <c r="Y253" s="95"/>
      <c r="Z253" s="102" t="s">
        <v>345</v>
      </c>
      <c r="AA253" s="103">
        <v>46103</v>
      </c>
      <c r="AB253" s="103">
        <v>46131</v>
      </c>
      <c r="AC253" s="103"/>
      <c r="AD253" s="104">
        <f>IF(ISNA(VLOOKUP(D253,亚马逊入库配置费!B:F,5,0)),0,VLOOKUP(D253,亚马逊入库配置费!B:F,5,0))</f>
        <v>0.37841269841269842</v>
      </c>
      <c r="AE253" s="104">
        <f t="shared" si="28"/>
        <v>147.5809523809524</v>
      </c>
      <c r="AF253" s="103">
        <v>46139</v>
      </c>
      <c r="AG253" s="90">
        <f t="shared" si="24"/>
        <v>36</v>
      </c>
      <c r="AH253" s="103">
        <v>46169</v>
      </c>
      <c r="AI253" s="96"/>
      <c r="AJ253" s="427">
        <f t="shared" si="25"/>
        <v>30</v>
      </c>
      <c r="AK253" s="96"/>
      <c r="AL253" s="92"/>
      <c r="AM253" s="91"/>
      <c r="AN253" s="91"/>
      <c r="AO253" s="96"/>
      <c r="AP253" s="105"/>
      <c r="AQ253" s="105"/>
      <c r="AR253" s="105"/>
      <c r="AS253" s="105"/>
    </row>
    <row r="254" spans="1:45" ht="12" customHeight="1" x14ac:dyDescent="0.25">
      <c r="A254" s="90">
        <v>253</v>
      </c>
      <c r="B254" s="91"/>
      <c r="C254" s="91" t="s">
        <v>4231</v>
      </c>
      <c r="D254" s="92" t="s">
        <v>4232</v>
      </c>
      <c r="E254" s="91" t="s">
        <v>97</v>
      </c>
      <c r="F254" s="91" t="s">
        <v>0</v>
      </c>
      <c r="G254" s="56" t="s">
        <v>2964</v>
      </c>
      <c r="H254" s="91">
        <v>60</v>
      </c>
      <c r="I254" s="91" t="s">
        <v>117</v>
      </c>
      <c r="J254" s="91" t="s">
        <v>8</v>
      </c>
      <c r="K254" s="92" t="s">
        <v>15</v>
      </c>
      <c r="L254" s="93" t="str">
        <f>VLOOKUP(G254,'SKU 对应关系'!A:E,4,0)</f>
        <v>RD1PJ-BOT</v>
      </c>
      <c r="M254" s="94" t="str">
        <f>_xlfn.IFNA(VLOOKUP(G254,'SKU 对应关系'!A:B,2,0),"")</f>
        <v>RD1PJ-BOT 便携式扩香仪100mL带盖替换玻璃瓶</v>
      </c>
      <c r="N254" s="95" t="str">
        <f>_xlfn.IFNA(VLOOKUP(G254,'SKU 对应关系'!$A:$D,3,0),"")</f>
        <v>RD1-AC</v>
      </c>
      <c r="O254" s="96">
        <v>1</v>
      </c>
      <c r="P254" s="455">
        <v>14</v>
      </c>
      <c r="Q254" s="96" t="s">
        <v>16</v>
      </c>
      <c r="R254" s="91">
        <v>3.2</v>
      </c>
      <c r="S254" s="95"/>
      <c r="T254" s="98">
        <v>2.3809523809523809</v>
      </c>
      <c r="U254" s="99">
        <f t="shared" si="32"/>
        <v>47.180952380952384</v>
      </c>
      <c r="V254" s="100">
        <f t="shared" si="22"/>
        <v>0.78634920634920635</v>
      </c>
      <c r="W254" s="101">
        <f t="shared" si="33"/>
        <v>0.1173655531864487</v>
      </c>
      <c r="X254" s="95"/>
      <c r="Y254" s="95"/>
      <c r="Z254" s="102" t="s">
        <v>345</v>
      </c>
      <c r="AA254" s="103">
        <v>46103</v>
      </c>
      <c r="AB254" s="103">
        <v>46131</v>
      </c>
      <c r="AC254" s="103"/>
      <c r="AD254" s="104">
        <f>IF(ISNA(VLOOKUP(D254,亚马逊入库配置费!B:F,5,0)),0,VLOOKUP(D254,亚马逊入库配置费!B:F,5,0))</f>
        <v>0.37841269841269842</v>
      </c>
      <c r="AE254" s="104">
        <f t="shared" si="28"/>
        <v>22.704761904761906</v>
      </c>
      <c r="AF254" s="103">
        <v>46139</v>
      </c>
      <c r="AG254" s="90">
        <f t="shared" si="24"/>
        <v>36</v>
      </c>
      <c r="AH254" s="103">
        <v>46169</v>
      </c>
      <c r="AI254" s="96"/>
      <c r="AJ254" s="427">
        <f t="shared" si="25"/>
        <v>30</v>
      </c>
      <c r="AK254" s="96"/>
      <c r="AL254" s="92"/>
      <c r="AM254" s="91"/>
      <c r="AN254" s="91"/>
      <c r="AO254" s="96"/>
      <c r="AP254" s="105"/>
      <c r="AQ254" s="105"/>
      <c r="AR254" s="105"/>
      <c r="AS254" s="105"/>
    </row>
    <row r="255" spans="1:45" ht="12" customHeight="1" x14ac:dyDescent="0.25">
      <c r="A255" s="90">
        <v>254</v>
      </c>
      <c r="B255" s="91"/>
      <c r="C255" s="91" t="s">
        <v>4231</v>
      </c>
      <c r="D255" s="92" t="s">
        <v>4232</v>
      </c>
      <c r="E255" s="91" t="s">
        <v>97</v>
      </c>
      <c r="F255" s="91" t="s">
        <v>0</v>
      </c>
      <c r="G255" s="56" t="s">
        <v>2281</v>
      </c>
      <c r="H255" s="91">
        <v>90</v>
      </c>
      <c r="I255" s="91" t="s">
        <v>117</v>
      </c>
      <c r="J255" s="91" t="s">
        <v>8</v>
      </c>
      <c r="K255" s="92" t="s">
        <v>15</v>
      </c>
      <c r="L255" s="93" t="str">
        <f>VLOOKUP(G255,'SKU 对应关系'!A:E,4,0)</f>
        <v>RD1-DT</v>
      </c>
      <c r="M255" s="94" t="str">
        <f>_xlfn.IFNA(VLOOKUP(G255,'SKU 对应关系'!A:B,2,0),"")</f>
        <v>RD1-DT 便携式扩香仪 沙漠钛色</v>
      </c>
      <c r="N255" s="95" t="str">
        <f>_xlfn.IFNA(VLOOKUP(G255,'SKU 对应关系'!$A:$D,3,0),"")</f>
        <v>RD1</v>
      </c>
      <c r="O255" s="96">
        <v>3</v>
      </c>
      <c r="P255" s="455">
        <v>42</v>
      </c>
      <c r="Q255" s="96" t="s">
        <v>16</v>
      </c>
      <c r="R255" s="91">
        <v>3.2</v>
      </c>
      <c r="S255" s="95"/>
      <c r="T255" s="98">
        <v>7.1428571428571432</v>
      </c>
      <c r="U255" s="99">
        <f t="shared" si="32"/>
        <v>141.54285714285714</v>
      </c>
      <c r="V255" s="100">
        <f t="shared" si="22"/>
        <v>1.5726984126984127</v>
      </c>
      <c r="W255" s="101">
        <f t="shared" si="33"/>
        <v>0.2347311063728974</v>
      </c>
      <c r="X255" s="95"/>
      <c r="Y255" s="95"/>
      <c r="Z255" s="102" t="s">
        <v>345</v>
      </c>
      <c r="AA255" s="103">
        <v>46103</v>
      </c>
      <c r="AB255" s="103">
        <v>46131</v>
      </c>
      <c r="AC255" s="103"/>
      <c r="AD255" s="104">
        <f>IF(ISNA(VLOOKUP(D255,亚马逊入库配置费!B:F,5,0)),0,VLOOKUP(D255,亚马逊入库配置费!B:F,5,0))</f>
        <v>0.37841269841269842</v>
      </c>
      <c r="AE255" s="104">
        <f t="shared" si="28"/>
        <v>34.057142857142857</v>
      </c>
      <c r="AF255" s="103">
        <v>46139</v>
      </c>
      <c r="AG255" s="90">
        <f t="shared" si="24"/>
        <v>36</v>
      </c>
      <c r="AH255" s="103">
        <v>46169</v>
      </c>
      <c r="AI255" s="96"/>
      <c r="AJ255" s="427">
        <f t="shared" si="25"/>
        <v>30</v>
      </c>
      <c r="AK255" s="96"/>
      <c r="AL255" s="92"/>
      <c r="AM255" s="91"/>
      <c r="AN255" s="91"/>
      <c r="AO255" s="96"/>
      <c r="AP255" s="105"/>
      <c r="AQ255" s="105"/>
      <c r="AR255" s="105"/>
      <c r="AS255" s="105"/>
    </row>
    <row r="256" spans="1:45" ht="12" customHeight="1" x14ac:dyDescent="0.25">
      <c r="A256" s="90">
        <v>255</v>
      </c>
      <c r="B256" s="91"/>
      <c r="C256" s="91" t="s">
        <v>4233</v>
      </c>
      <c r="D256" s="92" t="s">
        <v>4234</v>
      </c>
      <c r="E256" s="91" t="s">
        <v>4202</v>
      </c>
      <c r="F256" s="91" t="s">
        <v>0</v>
      </c>
      <c r="G256" s="56" t="s">
        <v>2938</v>
      </c>
      <c r="H256" s="91">
        <v>90</v>
      </c>
      <c r="I256" s="91" t="s">
        <v>117</v>
      </c>
      <c r="J256" s="91" t="s">
        <v>2412</v>
      </c>
      <c r="K256" s="92" t="s">
        <v>9</v>
      </c>
      <c r="L256" s="93" t="str">
        <f>VLOOKUP(G256,'SKU 对应关系'!A:E,4,0)</f>
        <v>RDXKIT-B_US_2X100K04</v>
      </c>
      <c r="M256" s="94" t="str">
        <f>_xlfn.IFNA(VLOOKUP(G256,'SKU 对应关系'!A:B,2,0),"")</f>
        <v>RDXKIT-B_US_2X100K04 RDX黑色机器+2X100mL酒店香氛油（天竺） 机油套装</v>
      </c>
      <c r="N256" s="95" t="str">
        <f>_xlfn.IFNA(VLOOKUP(G256,'SKU 对应关系'!$A:$D,3,0),"")</f>
        <v>RDX</v>
      </c>
      <c r="O256" s="96">
        <v>10</v>
      </c>
      <c r="P256" s="455">
        <v>148</v>
      </c>
      <c r="Q256" s="96" t="s">
        <v>16</v>
      </c>
      <c r="R256" s="91">
        <v>4.5</v>
      </c>
      <c r="S256" s="95">
        <v>200</v>
      </c>
      <c r="T256" s="98">
        <v>200</v>
      </c>
      <c r="U256" s="99">
        <f t="shared" si="32"/>
        <v>866</v>
      </c>
      <c r="V256" s="100">
        <f t="shared" si="22"/>
        <v>9.6222222222222218</v>
      </c>
      <c r="W256" s="101">
        <f t="shared" si="33"/>
        <v>1.4361525704809286</v>
      </c>
      <c r="X256" s="95"/>
      <c r="Y256" s="95"/>
      <c r="Z256" s="102" t="s">
        <v>345</v>
      </c>
      <c r="AA256" s="103">
        <v>46103</v>
      </c>
      <c r="AB256" s="103">
        <v>46119</v>
      </c>
      <c r="AC256" s="103"/>
      <c r="AD256" s="104">
        <f>IF(ISNA(VLOOKUP(D256,亚马逊入库配置费!B:F,5,0)),0,VLOOKUP(D256,亚马逊入库配置费!B:F,5,0))</f>
        <v>0.7</v>
      </c>
      <c r="AE256" s="104">
        <f t="shared" si="28"/>
        <v>62.999999999999993</v>
      </c>
      <c r="AF256" s="103">
        <v>46138</v>
      </c>
      <c r="AG256" s="90">
        <f t="shared" si="24"/>
        <v>35</v>
      </c>
      <c r="AH256" s="103">
        <v>46165</v>
      </c>
      <c r="AI256" s="96"/>
      <c r="AJ256" s="427">
        <f t="shared" si="25"/>
        <v>27</v>
      </c>
      <c r="AK256" s="96"/>
      <c r="AL256" s="92"/>
      <c r="AM256" s="91"/>
      <c r="AN256" s="91"/>
      <c r="AO256" s="96"/>
      <c r="AP256" s="105"/>
      <c r="AQ256" s="105"/>
      <c r="AR256" s="105"/>
      <c r="AS256" s="105"/>
    </row>
    <row r="257" spans="1:45" ht="12" customHeight="1" x14ac:dyDescent="0.25">
      <c r="A257" s="90">
        <v>256</v>
      </c>
      <c r="B257" s="91"/>
      <c r="C257" s="91" t="s">
        <v>4226</v>
      </c>
      <c r="D257" s="92" t="s">
        <v>4235</v>
      </c>
      <c r="E257" s="91" t="s">
        <v>4202</v>
      </c>
      <c r="F257" s="91" t="s">
        <v>0</v>
      </c>
      <c r="G257" s="56" t="s">
        <v>2938</v>
      </c>
      <c r="H257" s="91">
        <v>360</v>
      </c>
      <c r="I257" s="91" t="s">
        <v>117</v>
      </c>
      <c r="J257" s="91" t="s">
        <v>8</v>
      </c>
      <c r="K257" s="92" t="s">
        <v>9</v>
      </c>
      <c r="L257" s="93" t="str">
        <f>VLOOKUP(G257,'SKU 对应关系'!A:E,4,0)</f>
        <v>RDXKIT-B_US_2X100K04</v>
      </c>
      <c r="M257" s="94" t="str">
        <f>_xlfn.IFNA(VLOOKUP(G257,'SKU 对应关系'!A:B,2,0),"")</f>
        <v>RDXKIT-B_US_2X100K04 RDX黑色机器+2X100mL酒店香氛油（天竺） 机油套装</v>
      </c>
      <c r="N257" s="95" t="str">
        <f>_xlfn.IFNA(VLOOKUP(G257,'SKU 对应关系'!$A:$D,3,0),"")</f>
        <v>RDX</v>
      </c>
      <c r="O257" s="96">
        <v>40</v>
      </c>
      <c r="P257" s="455">
        <v>592</v>
      </c>
      <c r="Q257" s="96" t="s">
        <v>16</v>
      </c>
      <c r="R257" s="91">
        <v>3.6</v>
      </c>
      <c r="S257" s="106">
        <f>SUMIF(C:C,C256,T:T)</f>
        <v>200</v>
      </c>
      <c r="T257" s="98">
        <v>40.609137055837564</v>
      </c>
      <c r="U257" s="99">
        <f t="shared" si="32"/>
        <v>2171.8091370558377</v>
      </c>
      <c r="V257" s="100">
        <f t="shared" si="22"/>
        <v>6.0328031584884378</v>
      </c>
      <c r="W257" s="101">
        <f t="shared" si="33"/>
        <v>0.90041838186394596</v>
      </c>
      <c r="X257" s="95"/>
      <c r="Y257" s="95"/>
      <c r="Z257" s="102" t="s">
        <v>345</v>
      </c>
      <c r="AA257" s="103">
        <v>46103</v>
      </c>
      <c r="AB257" s="103">
        <v>46122</v>
      </c>
      <c r="AC257" s="103"/>
      <c r="AD257" s="104">
        <f>IF(ISNA(VLOOKUP(D257,亚马逊入库配置费!B:F,5,0)),0,VLOOKUP(D257,亚马逊入库配置费!B:F,5,0))</f>
        <v>0.7</v>
      </c>
      <c r="AE257" s="104">
        <f t="shared" si="28"/>
        <v>251.99999999999997</v>
      </c>
      <c r="AF257" s="103">
        <v>46138</v>
      </c>
      <c r="AG257" s="90">
        <f t="shared" si="24"/>
        <v>35</v>
      </c>
      <c r="AH257" s="103">
        <v>46164</v>
      </c>
      <c r="AI257" s="96"/>
      <c r="AJ257" s="427">
        <f t="shared" si="25"/>
        <v>26</v>
      </c>
      <c r="AK257" s="96"/>
      <c r="AL257" s="92"/>
      <c r="AM257" s="91"/>
      <c r="AN257" s="91"/>
      <c r="AO257" s="96"/>
      <c r="AP257" s="105"/>
      <c r="AQ257" s="105"/>
      <c r="AR257" s="105"/>
      <c r="AS257" s="105"/>
    </row>
    <row r="258" spans="1:45" ht="12" customHeight="1" x14ac:dyDescent="0.25">
      <c r="A258" s="90">
        <v>257</v>
      </c>
      <c r="B258" s="91"/>
      <c r="C258" s="91" t="s">
        <v>4236</v>
      </c>
      <c r="D258" s="92" t="s">
        <v>4237</v>
      </c>
      <c r="E258" s="91" t="s">
        <v>2607</v>
      </c>
      <c r="F258" s="91" t="s">
        <v>1073</v>
      </c>
      <c r="G258" s="56" t="s">
        <v>961</v>
      </c>
      <c r="H258" s="91">
        <v>30</v>
      </c>
      <c r="I258" s="91" t="s">
        <v>1074</v>
      </c>
      <c r="J258" s="91" t="s">
        <v>2102</v>
      </c>
      <c r="K258" s="92" t="s">
        <v>1075</v>
      </c>
      <c r="L258" s="93" t="str">
        <f>VLOOKUP(G258,'SKU 对应关系'!A:E,4,0)</f>
        <v>AND-IB</v>
      </c>
      <c r="M258" s="94" t="str">
        <f>_xlfn.IFNA(VLOOKUP(G258,'SKU 对应关系'!A:B,2,0),"")</f>
        <v>AND-IB 便携式双喷扩香仪 冰蓝色</v>
      </c>
      <c r="N258" s="95" t="str">
        <f>_xlfn.IFNA(VLOOKUP(G258,'SKU 对应关系'!$A:$D,3,0),"")</f>
        <v>AND</v>
      </c>
      <c r="O258" s="96">
        <v>1</v>
      </c>
      <c r="P258" s="455">
        <v>13.636363636363637</v>
      </c>
      <c r="Q258" s="96" t="s">
        <v>16</v>
      </c>
      <c r="R258" s="91">
        <v>6.5</v>
      </c>
      <c r="S258" s="95">
        <v>350</v>
      </c>
      <c r="T258" s="98">
        <v>15.909090909090908</v>
      </c>
      <c r="U258" s="99">
        <f t="shared" si="32"/>
        <v>104.54545454545455</v>
      </c>
      <c r="V258" s="100">
        <f t="shared" ref="V258:V321" si="37">U258/H258</f>
        <v>3.4848484848484849</v>
      </c>
      <c r="W258" s="101">
        <f t="shared" si="33"/>
        <v>0.52012663952962457</v>
      </c>
      <c r="X258" s="95"/>
      <c r="Y258" s="95"/>
      <c r="Z258" s="102" t="s">
        <v>345</v>
      </c>
      <c r="AA258" s="103">
        <v>46104</v>
      </c>
      <c r="AB258" s="103">
        <v>46134</v>
      </c>
      <c r="AC258" s="103"/>
      <c r="AD258" s="104">
        <f>IF(ISNA(VLOOKUP(D258,亚马逊入库配置费!B:F,5,0)),0,VLOOKUP(D258,亚马逊入库配置费!B:F,5,0))</f>
        <v>0</v>
      </c>
      <c r="AE258" s="104">
        <f t="shared" si="28"/>
        <v>0</v>
      </c>
      <c r="AF258" s="103">
        <v>46152</v>
      </c>
      <c r="AG258" s="90">
        <f t="shared" ref="AG258:AG321" si="38">AF258-AA258</f>
        <v>48</v>
      </c>
      <c r="AH258" s="103">
        <v>46168</v>
      </c>
      <c r="AI258" s="96"/>
      <c r="AJ258" s="427">
        <f t="shared" si="25"/>
        <v>16</v>
      </c>
      <c r="AK258" s="96"/>
      <c r="AL258" s="92"/>
      <c r="AM258" s="91"/>
      <c r="AN258" s="91"/>
      <c r="AO258" s="96"/>
      <c r="AP258" s="105"/>
      <c r="AQ258" s="105"/>
      <c r="AR258" s="105"/>
      <c r="AS258" s="105"/>
    </row>
    <row r="259" spans="1:45" ht="12" customHeight="1" x14ac:dyDescent="0.25">
      <c r="A259" s="90">
        <v>258</v>
      </c>
      <c r="B259" s="91"/>
      <c r="C259" s="91" t="s">
        <v>4236</v>
      </c>
      <c r="D259" s="92" t="s">
        <v>4237</v>
      </c>
      <c r="E259" s="91" t="s">
        <v>2607</v>
      </c>
      <c r="F259" s="91" t="s">
        <v>1073</v>
      </c>
      <c r="G259" s="56" t="s">
        <v>953</v>
      </c>
      <c r="H259" s="91">
        <v>120</v>
      </c>
      <c r="I259" s="91" t="s">
        <v>1074</v>
      </c>
      <c r="J259" s="91" t="s">
        <v>2102</v>
      </c>
      <c r="K259" s="92" t="s">
        <v>1075</v>
      </c>
      <c r="L259" s="93" t="str">
        <f>VLOOKUP(G259,'SKU 对应关系'!A:E,4,0)</f>
        <v>AND-B</v>
      </c>
      <c r="M259" s="94" t="str">
        <f>_xlfn.IFNA(VLOOKUP(G259,'SKU 对应关系'!A:B,2,0),"")</f>
        <v>AND-B 便携式双喷扩香仪 黑色</v>
      </c>
      <c r="N259" s="95" t="str">
        <f>_xlfn.IFNA(VLOOKUP(G259,'SKU 对应关系'!$A:$D,3,0),"")</f>
        <v>AND</v>
      </c>
      <c r="O259" s="96">
        <v>4</v>
      </c>
      <c r="P259" s="455">
        <v>54.545454545454547</v>
      </c>
      <c r="Q259" s="96" t="s">
        <v>16</v>
      </c>
      <c r="R259" s="91">
        <v>6.5</v>
      </c>
      <c r="S259" s="106">
        <f>SUMIF(C:C,C258,T:T)</f>
        <v>350</v>
      </c>
      <c r="T259" s="98">
        <v>63.636363636363633</v>
      </c>
      <c r="U259" s="99">
        <f t="shared" si="32"/>
        <v>418.18181818181819</v>
      </c>
      <c r="V259" s="100">
        <f t="shared" si="37"/>
        <v>3.4848484848484849</v>
      </c>
      <c r="W259" s="101">
        <f t="shared" si="33"/>
        <v>0.52012663952962457</v>
      </c>
      <c r="X259" s="95"/>
      <c r="Y259" s="95"/>
      <c r="Z259" s="102" t="s">
        <v>345</v>
      </c>
      <c r="AA259" s="103">
        <v>46104</v>
      </c>
      <c r="AB259" s="103">
        <v>46134</v>
      </c>
      <c r="AC259" s="103"/>
      <c r="AD259" s="104">
        <f>IF(ISNA(VLOOKUP(D259,亚马逊入库配置费!B:F,5,0)),0,VLOOKUP(D259,亚马逊入库配置费!B:F,5,0))</f>
        <v>0</v>
      </c>
      <c r="AE259" s="104">
        <f t="shared" si="28"/>
        <v>0</v>
      </c>
      <c r="AF259" s="103">
        <v>46152</v>
      </c>
      <c r="AG259" s="90">
        <f t="shared" si="38"/>
        <v>48</v>
      </c>
      <c r="AH259" s="103">
        <v>46168</v>
      </c>
      <c r="AI259" s="96"/>
      <c r="AJ259" s="427">
        <f t="shared" ref="AJ259:AJ322" si="39">AH259-AF259</f>
        <v>16</v>
      </c>
      <c r="AK259" s="96"/>
      <c r="AL259" s="92"/>
      <c r="AM259" s="91"/>
      <c r="AN259" s="91"/>
      <c r="AO259" s="96"/>
      <c r="AP259" s="105"/>
      <c r="AQ259" s="105"/>
      <c r="AR259" s="105"/>
      <c r="AS259" s="105"/>
    </row>
    <row r="260" spans="1:45" ht="12" customHeight="1" x14ac:dyDescent="0.25">
      <c r="A260" s="90">
        <v>259</v>
      </c>
      <c r="B260" s="91"/>
      <c r="C260" s="91" t="s">
        <v>4236</v>
      </c>
      <c r="D260" s="92" t="s">
        <v>4237</v>
      </c>
      <c r="E260" s="91" t="s">
        <v>2607</v>
      </c>
      <c r="F260" s="91" t="s">
        <v>1073</v>
      </c>
      <c r="G260" s="56" t="s">
        <v>957</v>
      </c>
      <c r="H260" s="91">
        <v>90</v>
      </c>
      <c r="I260" s="91" t="s">
        <v>1074</v>
      </c>
      <c r="J260" s="91" t="s">
        <v>2102</v>
      </c>
      <c r="K260" s="92" t="s">
        <v>1075</v>
      </c>
      <c r="L260" s="93" t="str">
        <f>VLOOKUP(G260,'SKU 对应关系'!A:E,4,0)</f>
        <v>AND-DT</v>
      </c>
      <c r="M260" s="94" t="str">
        <f>_xlfn.IFNA(VLOOKUP(G260,'SKU 对应关系'!A:B,2,0),"")</f>
        <v>AND-DT 便携式双喷扩香仪 沙漠钛色</v>
      </c>
      <c r="N260" s="95" t="str">
        <f>_xlfn.IFNA(VLOOKUP(G260,'SKU 对应关系'!$A:$D,3,0),"")</f>
        <v>AND</v>
      </c>
      <c r="O260" s="96">
        <v>3</v>
      </c>
      <c r="P260" s="455">
        <v>40.909090909090907</v>
      </c>
      <c r="Q260" s="96" t="s">
        <v>16</v>
      </c>
      <c r="R260" s="91">
        <v>6.5</v>
      </c>
      <c r="S260" s="95"/>
      <c r="T260" s="98">
        <v>47.727272727272727</v>
      </c>
      <c r="U260" s="99">
        <f t="shared" si="32"/>
        <v>313.63636363636363</v>
      </c>
      <c r="V260" s="100">
        <f t="shared" si="37"/>
        <v>3.4848484848484849</v>
      </c>
      <c r="W260" s="101">
        <f t="shared" si="33"/>
        <v>0.52012663952962457</v>
      </c>
      <c r="X260" s="95"/>
      <c r="Y260" s="95"/>
      <c r="Z260" s="102" t="s">
        <v>345</v>
      </c>
      <c r="AA260" s="103">
        <v>46104</v>
      </c>
      <c r="AB260" s="103">
        <v>46134</v>
      </c>
      <c r="AC260" s="103"/>
      <c r="AD260" s="104">
        <f>IF(ISNA(VLOOKUP(D260,亚马逊入库配置费!B:F,5,0)),0,VLOOKUP(D260,亚马逊入库配置费!B:F,5,0))</f>
        <v>0</v>
      </c>
      <c r="AE260" s="104">
        <f t="shared" si="28"/>
        <v>0</v>
      </c>
      <c r="AF260" s="103">
        <v>46152</v>
      </c>
      <c r="AG260" s="90">
        <f t="shared" si="38"/>
        <v>48</v>
      </c>
      <c r="AH260" s="103">
        <v>46168</v>
      </c>
      <c r="AI260" s="96"/>
      <c r="AJ260" s="427">
        <f t="shared" si="39"/>
        <v>16</v>
      </c>
      <c r="AK260" s="96"/>
      <c r="AL260" s="92"/>
      <c r="AM260" s="91"/>
      <c r="AN260" s="91"/>
      <c r="AO260" s="96"/>
      <c r="AP260" s="105"/>
      <c r="AQ260" s="105"/>
      <c r="AR260" s="105"/>
      <c r="AS260" s="105"/>
    </row>
    <row r="261" spans="1:45" ht="12" customHeight="1" x14ac:dyDescent="0.25">
      <c r="A261" s="90">
        <v>260</v>
      </c>
      <c r="B261" s="91"/>
      <c r="C261" s="91" t="s">
        <v>4236</v>
      </c>
      <c r="D261" s="92" t="s">
        <v>4237</v>
      </c>
      <c r="E261" s="91" t="s">
        <v>2607</v>
      </c>
      <c r="F261" s="91" t="s">
        <v>1073</v>
      </c>
      <c r="G261" s="56" t="s">
        <v>211</v>
      </c>
      <c r="H261" s="91">
        <v>210</v>
      </c>
      <c r="I261" s="91" t="s">
        <v>1074</v>
      </c>
      <c r="J261" s="91" t="s">
        <v>2102</v>
      </c>
      <c r="K261" s="92" t="s">
        <v>1075</v>
      </c>
      <c r="L261" s="93" t="str">
        <f>VLOOKUP(G261,'SKU 对应关系'!A:E,4,0)</f>
        <v>ANX-B</v>
      </c>
      <c r="M261" s="94" t="str">
        <f>_xlfn.IFNA(VLOOKUP(G261,'SKU 对应关系'!A:B,2,0),"")</f>
        <v>ANX-B 便携式扩香仪 黑色</v>
      </c>
      <c r="N261" s="95" t="str">
        <f>_xlfn.IFNA(VLOOKUP(G261,'SKU 对应关系'!$A:$D,3,0),"")</f>
        <v>ANX</v>
      </c>
      <c r="O261" s="96">
        <v>7</v>
      </c>
      <c r="P261" s="455">
        <v>95.454545454545453</v>
      </c>
      <c r="Q261" s="96" t="s">
        <v>16</v>
      </c>
      <c r="R261" s="91">
        <v>6.5</v>
      </c>
      <c r="S261" s="95"/>
      <c r="T261" s="98">
        <v>111.36363636363636</v>
      </c>
      <c r="U261" s="99">
        <f t="shared" si="32"/>
        <v>731.81818181818187</v>
      </c>
      <c r="V261" s="100">
        <f t="shared" si="37"/>
        <v>3.4848484848484853</v>
      </c>
      <c r="W261" s="101">
        <f t="shared" si="33"/>
        <v>0.52012663952962468</v>
      </c>
      <c r="X261" s="95"/>
      <c r="Y261" s="95"/>
      <c r="Z261" s="102" t="s">
        <v>345</v>
      </c>
      <c r="AA261" s="103">
        <v>46104</v>
      </c>
      <c r="AB261" s="103">
        <v>46134</v>
      </c>
      <c r="AC261" s="103"/>
      <c r="AD261" s="104">
        <f>IF(ISNA(VLOOKUP(D261,亚马逊入库配置费!B:F,5,0)),0,VLOOKUP(D261,亚马逊入库配置费!B:F,5,0))</f>
        <v>0</v>
      </c>
      <c r="AE261" s="104">
        <f t="shared" si="28"/>
        <v>0</v>
      </c>
      <c r="AF261" s="103">
        <v>46152</v>
      </c>
      <c r="AG261" s="90">
        <f t="shared" si="38"/>
        <v>48</v>
      </c>
      <c r="AH261" s="103">
        <v>46168</v>
      </c>
      <c r="AI261" s="96"/>
      <c r="AJ261" s="427">
        <f t="shared" si="39"/>
        <v>16</v>
      </c>
      <c r="AK261" s="96"/>
      <c r="AL261" s="92"/>
      <c r="AM261" s="91"/>
      <c r="AN261" s="91"/>
      <c r="AO261" s="96"/>
      <c r="AP261" s="105"/>
      <c r="AQ261" s="105"/>
      <c r="AR261" s="105"/>
      <c r="AS261" s="105"/>
    </row>
    <row r="262" spans="1:45" ht="12" customHeight="1" x14ac:dyDescent="0.25">
      <c r="A262" s="90">
        <v>261</v>
      </c>
      <c r="B262" s="91"/>
      <c r="C262" s="91" t="s">
        <v>4236</v>
      </c>
      <c r="D262" s="92" t="s">
        <v>4237</v>
      </c>
      <c r="E262" s="91" t="s">
        <v>2607</v>
      </c>
      <c r="F262" s="91" t="s">
        <v>1073</v>
      </c>
      <c r="G262" s="56" t="s">
        <v>608</v>
      </c>
      <c r="H262" s="91">
        <v>60</v>
      </c>
      <c r="I262" s="91" t="s">
        <v>1074</v>
      </c>
      <c r="J262" s="91" t="s">
        <v>2102</v>
      </c>
      <c r="K262" s="92" t="s">
        <v>1075</v>
      </c>
      <c r="L262" s="93" t="str">
        <f>VLOOKUP(G262,'SKU 对应关系'!A:E,4,0)</f>
        <v>ANX-SG</v>
      </c>
      <c r="M262" s="94" t="str">
        <f>_xlfn.IFNA(VLOOKUP(G262,'SKU 对应关系'!A:B,2,0),"")</f>
        <v>ANX-SG 便携式扩香仪 太空灰色</v>
      </c>
      <c r="N262" s="95" t="str">
        <f>_xlfn.IFNA(VLOOKUP(G262,'SKU 对应关系'!$A:$D,3,0),"")</f>
        <v>ANX</v>
      </c>
      <c r="O262" s="96">
        <v>2</v>
      </c>
      <c r="P262" s="455">
        <v>27.272727272727273</v>
      </c>
      <c r="Q262" s="96" t="s">
        <v>16</v>
      </c>
      <c r="R262" s="91">
        <v>6.5</v>
      </c>
      <c r="S262" s="95"/>
      <c r="T262" s="98">
        <v>31.818181818181817</v>
      </c>
      <c r="U262" s="99">
        <f t="shared" si="32"/>
        <v>209.09090909090909</v>
      </c>
      <c r="V262" s="100">
        <f t="shared" si="37"/>
        <v>3.4848484848484849</v>
      </c>
      <c r="W262" s="101">
        <f t="shared" si="33"/>
        <v>0.52012663952962457</v>
      </c>
      <c r="X262" s="95"/>
      <c r="Y262" s="95"/>
      <c r="Z262" s="102" t="s">
        <v>345</v>
      </c>
      <c r="AA262" s="103">
        <v>46104</v>
      </c>
      <c r="AB262" s="103">
        <v>46134</v>
      </c>
      <c r="AC262" s="103"/>
      <c r="AD262" s="104">
        <f>IF(ISNA(VLOOKUP(D262,亚马逊入库配置费!B:F,5,0)),0,VLOOKUP(D262,亚马逊入库配置费!B:F,5,0))</f>
        <v>0</v>
      </c>
      <c r="AE262" s="104">
        <f t="shared" si="28"/>
        <v>0</v>
      </c>
      <c r="AF262" s="103">
        <v>46152</v>
      </c>
      <c r="AG262" s="90">
        <f t="shared" si="38"/>
        <v>48</v>
      </c>
      <c r="AH262" s="103">
        <v>46168</v>
      </c>
      <c r="AI262" s="96"/>
      <c r="AJ262" s="427">
        <f t="shared" si="39"/>
        <v>16</v>
      </c>
      <c r="AK262" s="96"/>
      <c r="AL262" s="92"/>
      <c r="AM262" s="91"/>
      <c r="AN262" s="91"/>
      <c r="AO262" s="96"/>
      <c r="AP262" s="105"/>
      <c r="AQ262" s="105"/>
      <c r="AR262" s="105"/>
      <c r="AS262" s="105"/>
    </row>
    <row r="263" spans="1:45" ht="12" customHeight="1" x14ac:dyDescent="0.25">
      <c r="A263" s="90">
        <v>262</v>
      </c>
      <c r="B263" s="91"/>
      <c r="C263" s="91" t="s">
        <v>4236</v>
      </c>
      <c r="D263" s="92" t="s">
        <v>4237</v>
      </c>
      <c r="E263" s="91" t="s">
        <v>2607</v>
      </c>
      <c r="F263" s="91" t="s">
        <v>1073</v>
      </c>
      <c r="G263" s="56" t="s">
        <v>481</v>
      </c>
      <c r="H263" s="91">
        <v>60</v>
      </c>
      <c r="I263" s="91" t="s">
        <v>1074</v>
      </c>
      <c r="J263" s="91" t="s">
        <v>2102</v>
      </c>
      <c r="K263" s="92" t="s">
        <v>1075</v>
      </c>
      <c r="L263" s="93" t="str">
        <f>VLOOKUP(G263,'SKU 对应关系'!A:E,4,0)</f>
        <v>ANX-SILV</v>
      </c>
      <c r="M263" s="94" t="str">
        <f>_xlfn.IFNA(VLOOKUP(G263,'SKU 对应关系'!A:B,2,0),"")</f>
        <v>ANX-SILV 便携式扩香仪 银色</v>
      </c>
      <c r="N263" s="95" t="str">
        <f>_xlfn.IFNA(VLOOKUP(G263,'SKU 对应关系'!$A:$D,3,0),"")</f>
        <v>ANX</v>
      </c>
      <c r="O263" s="96">
        <v>2</v>
      </c>
      <c r="P263" s="455">
        <v>27.272727272727273</v>
      </c>
      <c r="Q263" s="96" t="s">
        <v>16</v>
      </c>
      <c r="R263" s="91">
        <v>6.5</v>
      </c>
      <c r="S263" s="95"/>
      <c r="T263" s="98">
        <v>31.818181818181817</v>
      </c>
      <c r="U263" s="99">
        <f t="shared" si="32"/>
        <v>209.09090909090909</v>
      </c>
      <c r="V263" s="100">
        <f t="shared" si="37"/>
        <v>3.4848484848484849</v>
      </c>
      <c r="W263" s="101">
        <f t="shared" si="33"/>
        <v>0.52012663952962457</v>
      </c>
      <c r="X263" s="95"/>
      <c r="Y263" s="95"/>
      <c r="Z263" s="102" t="s">
        <v>345</v>
      </c>
      <c r="AA263" s="103">
        <v>46104</v>
      </c>
      <c r="AB263" s="103">
        <v>46134</v>
      </c>
      <c r="AC263" s="103"/>
      <c r="AD263" s="104">
        <f>IF(ISNA(VLOOKUP(D263,亚马逊入库配置费!B:F,5,0)),0,VLOOKUP(D263,亚马逊入库配置费!B:F,5,0))</f>
        <v>0</v>
      </c>
      <c r="AE263" s="104">
        <f t="shared" si="28"/>
        <v>0</v>
      </c>
      <c r="AF263" s="103">
        <v>46152</v>
      </c>
      <c r="AG263" s="90">
        <f t="shared" si="38"/>
        <v>48</v>
      </c>
      <c r="AH263" s="103">
        <v>46168</v>
      </c>
      <c r="AI263" s="96"/>
      <c r="AJ263" s="427">
        <f t="shared" si="39"/>
        <v>16</v>
      </c>
      <c r="AK263" s="96"/>
      <c r="AL263" s="92"/>
      <c r="AM263" s="91"/>
      <c r="AN263" s="91"/>
      <c r="AO263" s="96"/>
      <c r="AP263" s="105"/>
      <c r="AQ263" s="105"/>
      <c r="AR263" s="105"/>
      <c r="AS263" s="105"/>
    </row>
    <row r="264" spans="1:45" ht="12" customHeight="1" x14ac:dyDescent="0.25">
      <c r="A264" s="90">
        <v>263</v>
      </c>
      <c r="B264" s="91"/>
      <c r="C264" s="91" t="s">
        <v>4236</v>
      </c>
      <c r="D264" s="92" t="s">
        <v>4237</v>
      </c>
      <c r="E264" s="91" t="s">
        <v>2607</v>
      </c>
      <c r="F264" s="91" t="s">
        <v>1073</v>
      </c>
      <c r="G264" s="56" t="s">
        <v>2279</v>
      </c>
      <c r="H264" s="91">
        <v>90</v>
      </c>
      <c r="I264" s="91" t="s">
        <v>1074</v>
      </c>
      <c r="J264" s="91" t="s">
        <v>2102</v>
      </c>
      <c r="K264" s="92" t="s">
        <v>1075</v>
      </c>
      <c r="L264" s="93" t="str">
        <f>VLOOKUP(G264,'SKU 对应关系'!A:E,4,0)</f>
        <v>RD1-B</v>
      </c>
      <c r="M264" s="94" t="str">
        <f>_xlfn.IFNA(VLOOKUP(G264,'SKU 对应关系'!A:B,2,0),"")</f>
        <v>RD1-B 便携式扩香仪 黑色</v>
      </c>
      <c r="N264" s="95" t="str">
        <f>_xlfn.IFNA(VLOOKUP(G264,'SKU 对应关系'!$A:$D,3,0),"")</f>
        <v>RD1</v>
      </c>
      <c r="O264" s="96">
        <v>3</v>
      </c>
      <c r="P264" s="455">
        <v>40.909090909090907</v>
      </c>
      <c r="Q264" s="96" t="s">
        <v>16</v>
      </c>
      <c r="R264" s="91">
        <v>6.5</v>
      </c>
      <c r="S264" s="95"/>
      <c r="T264" s="98">
        <v>47.727272727272727</v>
      </c>
      <c r="U264" s="99">
        <f t="shared" si="32"/>
        <v>313.63636363636363</v>
      </c>
      <c r="V264" s="100">
        <f t="shared" si="37"/>
        <v>3.4848484848484849</v>
      </c>
      <c r="W264" s="101">
        <f t="shared" si="33"/>
        <v>0.52012663952962457</v>
      </c>
      <c r="X264" s="95"/>
      <c r="Y264" s="95"/>
      <c r="Z264" s="102" t="s">
        <v>345</v>
      </c>
      <c r="AA264" s="103">
        <v>46104</v>
      </c>
      <c r="AB264" s="103">
        <v>46134</v>
      </c>
      <c r="AC264" s="103"/>
      <c r="AD264" s="104">
        <f>IF(ISNA(VLOOKUP(D264,亚马逊入库配置费!B:F,5,0)),0,VLOOKUP(D264,亚马逊入库配置费!B:F,5,0))</f>
        <v>0</v>
      </c>
      <c r="AE264" s="104">
        <f t="shared" si="28"/>
        <v>0</v>
      </c>
      <c r="AF264" s="103">
        <v>46152</v>
      </c>
      <c r="AG264" s="90">
        <f t="shared" si="38"/>
        <v>48</v>
      </c>
      <c r="AH264" s="103">
        <v>46168</v>
      </c>
      <c r="AI264" s="96"/>
      <c r="AJ264" s="427">
        <f t="shared" si="39"/>
        <v>16</v>
      </c>
      <c r="AK264" s="96"/>
      <c r="AL264" s="92"/>
      <c r="AM264" s="91"/>
      <c r="AN264" s="91"/>
      <c r="AO264" s="96"/>
      <c r="AP264" s="105"/>
      <c r="AQ264" s="105"/>
      <c r="AR264" s="105"/>
      <c r="AS264" s="105"/>
    </row>
    <row r="265" spans="1:45" ht="12" customHeight="1" x14ac:dyDescent="0.25">
      <c r="A265" s="90">
        <v>264</v>
      </c>
      <c r="B265" s="91"/>
      <c r="C265" s="91" t="s">
        <v>4226</v>
      </c>
      <c r="D265" s="92" t="s">
        <v>4238</v>
      </c>
      <c r="E265" s="91" t="s">
        <v>2411</v>
      </c>
      <c r="F265" s="91" t="s">
        <v>0</v>
      </c>
      <c r="G265" s="56" t="s">
        <v>4133</v>
      </c>
      <c r="H265" s="91">
        <v>150</v>
      </c>
      <c r="I265" s="91" t="s">
        <v>117</v>
      </c>
      <c r="J265" s="91" t="s">
        <v>8</v>
      </c>
      <c r="K265" s="92" t="s">
        <v>44</v>
      </c>
      <c r="L265" s="93" t="str">
        <f>VLOOKUP(G265,'SKU 对应关系'!A:E,4,0)</f>
        <v>ANZKIT-W_SJ30ML</v>
      </c>
      <c r="M265" s="94" t="str">
        <f>_xlfn.IFNA(VLOOKUP(G265,'SKU 对应关系'!A:B,2,0),"")</f>
        <v>ANZKIT-W_SJ30ML ANZ白色机器+30mL四季酒店香氛油（天竺） 机油套装</v>
      </c>
      <c r="N265" s="95" t="str">
        <f>_xlfn.IFNA(VLOOKUP(G265,'SKU 对应关系'!$A:$D,3,0),"")</f>
        <v>ANZ</v>
      </c>
      <c r="O265" s="96">
        <v>5</v>
      </c>
      <c r="P265" s="455">
        <v>66.709999999999994</v>
      </c>
      <c r="Q265" s="96" t="s">
        <v>16</v>
      </c>
      <c r="R265" s="91">
        <v>2.8</v>
      </c>
      <c r="S265" s="95">
        <v>200</v>
      </c>
      <c r="T265" s="98">
        <v>5.0761421319796955</v>
      </c>
      <c r="U265" s="99">
        <f t="shared" si="32"/>
        <v>191.86414213197969</v>
      </c>
      <c r="V265" s="100">
        <f t="shared" si="37"/>
        <v>1.2790942808798647</v>
      </c>
      <c r="W265" s="101">
        <f t="shared" si="33"/>
        <v>0.19090959416117381</v>
      </c>
      <c r="X265" s="95"/>
      <c r="Y265" s="95"/>
      <c r="Z265" s="102" t="s">
        <v>345</v>
      </c>
      <c r="AA265" s="103">
        <v>46103</v>
      </c>
      <c r="AB265" s="103">
        <v>46122</v>
      </c>
      <c r="AC265" s="103"/>
      <c r="AD265" s="104">
        <f>IF(ISNA(VLOOKUP(D265,亚马逊入库配置费!B:F,5,0)),0,VLOOKUP(D265,亚马逊入库配置费!B:F,5,0))</f>
        <v>0.44</v>
      </c>
      <c r="AE265" s="104">
        <f t="shared" si="28"/>
        <v>66</v>
      </c>
      <c r="AF265" s="103">
        <v>46143</v>
      </c>
      <c r="AG265" s="90">
        <f t="shared" si="38"/>
        <v>40</v>
      </c>
      <c r="AH265" s="103">
        <v>46167</v>
      </c>
      <c r="AI265" s="96"/>
      <c r="AJ265" s="427">
        <f t="shared" si="39"/>
        <v>24</v>
      </c>
      <c r="AK265" s="96"/>
      <c r="AL265" s="92"/>
      <c r="AM265" s="91"/>
      <c r="AN265" s="91"/>
      <c r="AO265" s="96"/>
      <c r="AP265" s="105"/>
      <c r="AQ265" s="105"/>
      <c r="AR265" s="105"/>
      <c r="AS265" s="105"/>
    </row>
    <row r="266" spans="1:45" ht="12" customHeight="1" x14ac:dyDescent="0.25">
      <c r="A266" s="90">
        <v>265</v>
      </c>
      <c r="B266" s="91"/>
      <c r="C266" s="91" t="s">
        <v>4226</v>
      </c>
      <c r="D266" s="92" t="s">
        <v>4239</v>
      </c>
      <c r="E266" s="91" t="s">
        <v>1037</v>
      </c>
      <c r="F266" s="91" t="s">
        <v>0</v>
      </c>
      <c r="G266" s="56" t="s">
        <v>288</v>
      </c>
      <c r="H266" s="91">
        <v>32</v>
      </c>
      <c r="I266" s="91" t="s">
        <v>117</v>
      </c>
      <c r="J266" s="91" t="s">
        <v>8</v>
      </c>
      <c r="K266" s="92" t="s">
        <v>43</v>
      </c>
      <c r="L266" s="93" t="str">
        <f>VLOOKUP(G266,'SKU 对应关系'!A:E,4,0)</f>
        <v>M1-SILV</v>
      </c>
      <c r="M266" s="94" t="str">
        <f>_xlfn.IFNA(VLOOKUP(G266,'SKU 对应关系'!A:B,2,0),"")</f>
        <v>M1-SILV 电子球形把手锁 银色</v>
      </c>
      <c r="N266" s="95" t="str">
        <f>_xlfn.IFNA(VLOOKUP(G266,'SKU 对应关系'!$A:$D,3,0),"")</f>
        <v>M1</v>
      </c>
      <c r="O266" s="96">
        <v>2</v>
      </c>
      <c r="P266" s="455">
        <v>30.153846153846153</v>
      </c>
      <c r="Q266" s="96" t="s">
        <v>16</v>
      </c>
      <c r="R266" s="91">
        <v>2.8</v>
      </c>
      <c r="S266" s="106">
        <f>SUMIF(C:C,C265,T:T)</f>
        <v>199.99999999999997</v>
      </c>
      <c r="T266" s="98">
        <v>2.030456852791878</v>
      </c>
      <c r="U266" s="99">
        <f t="shared" si="32"/>
        <v>86.461226083561101</v>
      </c>
      <c r="V266" s="100">
        <f t="shared" si="37"/>
        <v>2.7019133151112844</v>
      </c>
      <c r="W266" s="101">
        <f t="shared" si="33"/>
        <v>0.40327064404646035</v>
      </c>
      <c r="X266" s="95"/>
      <c r="Y266" s="95"/>
      <c r="Z266" s="102" t="s">
        <v>345</v>
      </c>
      <c r="AA266" s="103">
        <v>46101</v>
      </c>
      <c r="AB266" s="103">
        <v>46122</v>
      </c>
      <c r="AC266" s="103"/>
      <c r="AD266" s="104">
        <f>IF(ISNA(VLOOKUP(D266,亚马逊入库配置费!B:F,5,0)),0,VLOOKUP(D266,亚马逊入库配置费!B:F,5,0))</f>
        <v>0.56000000000000005</v>
      </c>
      <c r="AE266" s="104">
        <f t="shared" si="28"/>
        <v>17.920000000000002</v>
      </c>
      <c r="AF266" s="103">
        <v>46135</v>
      </c>
      <c r="AG266" s="90">
        <f t="shared" si="38"/>
        <v>34</v>
      </c>
      <c r="AH266" s="103">
        <v>46165</v>
      </c>
      <c r="AI266" s="96"/>
      <c r="AJ266" s="427">
        <f t="shared" si="39"/>
        <v>30</v>
      </c>
      <c r="AK266" s="96"/>
      <c r="AL266" s="92"/>
      <c r="AM266" s="91"/>
      <c r="AN266" s="91"/>
      <c r="AO266" s="96"/>
      <c r="AP266" s="105"/>
      <c r="AQ266" s="105"/>
      <c r="AR266" s="105"/>
      <c r="AS266" s="105"/>
    </row>
    <row r="267" spans="1:45" ht="12" customHeight="1" x14ac:dyDescent="0.25">
      <c r="A267" s="90">
        <v>266</v>
      </c>
      <c r="B267" s="91"/>
      <c r="C267" s="91" t="s">
        <v>4226</v>
      </c>
      <c r="D267" s="92" t="s">
        <v>4239</v>
      </c>
      <c r="E267" s="91" t="s">
        <v>1037</v>
      </c>
      <c r="F267" s="91" t="s">
        <v>0</v>
      </c>
      <c r="G267" s="56" t="s">
        <v>284</v>
      </c>
      <c r="H267" s="91">
        <v>176</v>
      </c>
      <c r="I267" s="91" t="s">
        <v>117</v>
      </c>
      <c r="J267" s="91" t="s">
        <v>8</v>
      </c>
      <c r="K267" s="92" t="s">
        <v>43</v>
      </c>
      <c r="L267" s="93" t="str">
        <f>VLOOKUP(G267,'SKU 对应关系'!A:E,4,0)</f>
        <v>MD1-B</v>
      </c>
      <c r="M267" s="94" t="str">
        <f>_xlfn.IFNA(VLOOKUP(G267,'SKU 对应关系'!A:B,2,0),"")</f>
        <v>MD1-B 电子球形把手锁 指纹 黑色</v>
      </c>
      <c r="N267" s="95" t="str">
        <f>_xlfn.IFNA(VLOOKUP(G267,'SKU 对应关系'!$A:$D,3,0),"")</f>
        <v>MD1</v>
      </c>
      <c r="O267" s="96">
        <v>11</v>
      </c>
      <c r="P267" s="455">
        <v>165.84615384615384</v>
      </c>
      <c r="Q267" s="96" t="s">
        <v>16</v>
      </c>
      <c r="R267" s="91">
        <v>2.8</v>
      </c>
      <c r="S267" s="95"/>
      <c r="T267" s="98">
        <v>11.167512690355331</v>
      </c>
      <c r="U267" s="99">
        <f t="shared" si="32"/>
        <v>475.53674345958609</v>
      </c>
      <c r="V267" s="100">
        <f t="shared" si="37"/>
        <v>2.7019133151112844</v>
      </c>
      <c r="W267" s="101">
        <f t="shared" si="33"/>
        <v>0.40327064404646035</v>
      </c>
      <c r="X267" s="95"/>
      <c r="Y267" s="95"/>
      <c r="Z267" s="102" t="s">
        <v>345</v>
      </c>
      <c r="AA267" s="103">
        <v>46101</v>
      </c>
      <c r="AB267" s="103">
        <v>46122</v>
      </c>
      <c r="AC267" s="103"/>
      <c r="AD267" s="104">
        <f>IF(ISNA(VLOOKUP(D267,亚马逊入库配置费!B:F,5,0)),0,VLOOKUP(D267,亚马逊入库配置费!B:F,5,0))</f>
        <v>0.56000000000000005</v>
      </c>
      <c r="AE267" s="104">
        <f t="shared" si="28"/>
        <v>98.56</v>
      </c>
      <c r="AF267" s="103">
        <v>46135</v>
      </c>
      <c r="AG267" s="90">
        <f t="shared" si="38"/>
        <v>34</v>
      </c>
      <c r="AH267" s="103">
        <v>46165</v>
      </c>
      <c r="AI267" s="96"/>
      <c r="AJ267" s="427">
        <f t="shared" si="39"/>
        <v>30</v>
      </c>
      <c r="AK267" s="96"/>
      <c r="AL267" s="92"/>
      <c r="AM267" s="91"/>
      <c r="AN267" s="91"/>
      <c r="AO267" s="96"/>
      <c r="AP267" s="105"/>
      <c r="AQ267" s="105"/>
      <c r="AR267" s="105"/>
      <c r="AS267" s="105"/>
    </row>
    <row r="268" spans="1:45" ht="12" customHeight="1" x14ac:dyDescent="0.25">
      <c r="A268" s="90">
        <v>267</v>
      </c>
      <c r="B268" s="91"/>
      <c r="C268" s="91" t="s">
        <v>4240</v>
      </c>
      <c r="D268" s="92" t="s">
        <v>4241</v>
      </c>
      <c r="E268" s="91" t="s">
        <v>1037</v>
      </c>
      <c r="F268" s="91" t="s">
        <v>0</v>
      </c>
      <c r="G268" s="56" t="s">
        <v>288</v>
      </c>
      <c r="H268" s="91">
        <v>80</v>
      </c>
      <c r="I268" s="91" t="s">
        <v>1767</v>
      </c>
      <c r="J268" s="91" t="s">
        <v>4</v>
      </c>
      <c r="K268" s="92" t="s">
        <v>43</v>
      </c>
      <c r="L268" s="93" t="str">
        <f>VLOOKUP(G268,'SKU 对应关系'!A:E,4,0)</f>
        <v>M1-SILV</v>
      </c>
      <c r="M268" s="94" t="str">
        <f>_xlfn.IFNA(VLOOKUP(G268,'SKU 对应关系'!A:B,2,0),"")</f>
        <v>M1-SILV 电子球形把手锁 银色</v>
      </c>
      <c r="N268" s="95" t="str">
        <f>_xlfn.IFNA(VLOOKUP(G268,'SKU 对应关系'!$A:$D,3,0),"")</f>
        <v>M1</v>
      </c>
      <c r="O268" s="96">
        <v>5</v>
      </c>
      <c r="P268" s="455">
        <v>0.32599999999999996</v>
      </c>
      <c r="Q268" s="96" t="s">
        <v>3264</v>
      </c>
      <c r="R268" s="91">
        <v>1830</v>
      </c>
      <c r="S268" s="95">
        <v>180</v>
      </c>
      <c r="T268" s="98">
        <v>36</v>
      </c>
      <c r="U268" s="99">
        <f t="shared" si="32"/>
        <v>632.57999999999993</v>
      </c>
      <c r="V268" s="100">
        <f t="shared" si="37"/>
        <v>7.9072499999999994</v>
      </c>
      <c r="W268" s="101">
        <f t="shared" si="33"/>
        <v>1.1801865671641789</v>
      </c>
      <c r="X268" s="95"/>
      <c r="Y268" s="95"/>
      <c r="Z268" s="102" t="s">
        <v>345</v>
      </c>
      <c r="AA268" s="103">
        <v>46101</v>
      </c>
      <c r="AB268" s="103">
        <v>46117</v>
      </c>
      <c r="AC268" s="103"/>
      <c r="AD268" s="104">
        <f>IF(ISNA(VLOOKUP(D268,亚马逊入库配置费!B:F,5,0)),0,VLOOKUP(D268,亚马逊入库配置费!B:F,5,0))</f>
        <v>0.56000000000000005</v>
      </c>
      <c r="AE268" s="104">
        <f t="shared" si="28"/>
        <v>44.800000000000004</v>
      </c>
      <c r="AF268" s="103">
        <v>46122</v>
      </c>
      <c r="AG268" s="90">
        <f t="shared" si="38"/>
        <v>21</v>
      </c>
      <c r="AH268" s="103">
        <v>46156</v>
      </c>
      <c r="AI268" s="96"/>
      <c r="AJ268" s="427">
        <f t="shared" si="39"/>
        <v>34</v>
      </c>
      <c r="AK268" s="96"/>
      <c r="AL268" s="92"/>
      <c r="AM268" s="91"/>
      <c r="AN268" s="91"/>
      <c r="AO268" s="96"/>
      <c r="AP268" s="105"/>
      <c r="AQ268" s="105"/>
      <c r="AR268" s="105"/>
      <c r="AS268" s="105"/>
    </row>
    <row r="269" spans="1:45" ht="12" customHeight="1" x14ac:dyDescent="0.25">
      <c r="A269" s="90">
        <v>268</v>
      </c>
      <c r="B269" s="91"/>
      <c r="C269" s="91" t="s">
        <v>4240</v>
      </c>
      <c r="D269" s="92" t="s">
        <v>4241</v>
      </c>
      <c r="E269" s="91" t="s">
        <v>1037</v>
      </c>
      <c r="F269" s="91" t="s">
        <v>0</v>
      </c>
      <c r="G269" s="56" t="s">
        <v>284</v>
      </c>
      <c r="H269" s="91">
        <v>320</v>
      </c>
      <c r="I269" s="91" t="s">
        <v>1767</v>
      </c>
      <c r="J269" s="91" t="s">
        <v>4</v>
      </c>
      <c r="K269" s="92" t="s">
        <v>43</v>
      </c>
      <c r="L269" s="93" t="str">
        <f>VLOOKUP(G269,'SKU 对应关系'!A:E,4,0)</f>
        <v>MD1-B</v>
      </c>
      <c r="M269" s="94" t="str">
        <f>_xlfn.IFNA(VLOOKUP(G269,'SKU 对应关系'!A:B,2,0),"")</f>
        <v>MD1-B 电子球形把手锁 指纹 黑色</v>
      </c>
      <c r="N269" s="95" t="str">
        <f>_xlfn.IFNA(VLOOKUP(G269,'SKU 对应关系'!$A:$D,3,0),"")</f>
        <v>MD1</v>
      </c>
      <c r="O269" s="96">
        <v>20</v>
      </c>
      <c r="P269" s="455">
        <v>1.3039999999999998</v>
      </c>
      <c r="Q269" s="96" t="s">
        <v>3264</v>
      </c>
      <c r="R269" s="91">
        <v>1830</v>
      </c>
      <c r="S269" s="106">
        <f>SUMIF(C:C,C268,T:T)</f>
        <v>180</v>
      </c>
      <c r="T269" s="98">
        <v>144</v>
      </c>
      <c r="U269" s="99">
        <f t="shared" si="32"/>
        <v>2530.3199999999997</v>
      </c>
      <c r="V269" s="100">
        <f t="shared" si="37"/>
        <v>7.9072499999999994</v>
      </c>
      <c r="W269" s="101">
        <f t="shared" si="33"/>
        <v>1.1801865671641789</v>
      </c>
      <c r="X269" s="95"/>
      <c r="Y269" s="95"/>
      <c r="Z269" s="102" t="s">
        <v>345</v>
      </c>
      <c r="AA269" s="103">
        <v>46101</v>
      </c>
      <c r="AB269" s="103">
        <v>46117</v>
      </c>
      <c r="AC269" s="103"/>
      <c r="AD269" s="104">
        <f>IF(ISNA(VLOOKUP(D269,亚马逊入库配置费!B:F,5,0)),0,VLOOKUP(D269,亚马逊入库配置费!B:F,5,0))</f>
        <v>0.56000000000000005</v>
      </c>
      <c r="AE269" s="104">
        <f t="shared" si="28"/>
        <v>179.20000000000002</v>
      </c>
      <c r="AF269" s="103">
        <v>46122</v>
      </c>
      <c r="AG269" s="90">
        <f t="shared" si="38"/>
        <v>21</v>
      </c>
      <c r="AH269" s="103">
        <v>46156</v>
      </c>
      <c r="AI269" s="96"/>
      <c r="AJ269" s="427">
        <f t="shared" si="39"/>
        <v>34</v>
      </c>
      <c r="AK269" s="96"/>
      <c r="AL269" s="92"/>
      <c r="AM269" s="91"/>
      <c r="AN269" s="91"/>
      <c r="AO269" s="96"/>
      <c r="AP269" s="105"/>
      <c r="AQ269" s="105"/>
      <c r="AR269" s="105"/>
      <c r="AS269" s="105"/>
    </row>
    <row r="270" spans="1:45" ht="12" customHeight="1" x14ac:dyDescent="0.25">
      <c r="A270" s="90">
        <v>269</v>
      </c>
      <c r="B270" s="91"/>
      <c r="C270" s="91" t="s">
        <v>4231</v>
      </c>
      <c r="D270" s="92" t="s">
        <v>4242</v>
      </c>
      <c r="E270" s="91" t="s">
        <v>97</v>
      </c>
      <c r="F270" s="91" t="s">
        <v>0</v>
      </c>
      <c r="G270" s="56" t="s">
        <v>2179</v>
      </c>
      <c r="H270" s="91">
        <v>180</v>
      </c>
      <c r="I270" s="91" t="s">
        <v>117</v>
      </c>
      <c r="J270" s="91" t="s">
        <v>8</v>
      </c>
      <c r="K270" s="92" t="s">
        <v>15</v>
      </c>
      <c r="L270" s="93" t="str">
        <f>VLOOKUP(G270,'SKU 对应关系'!A:E,4,0)</f>
        <v>ANWKIT-WH_US_2X100K03</v>
      </c>
      <c r="M270" s="94" t="str">
        <f>_xlfn.IFNA(VLOOKUP(G270,'SKU 对应关系'!A:B,2,0),"")</f>
        <v>ANWKIT-WH_US_2X100K03 ANW白色机器+2X100mL酒店香氛油（天竺） 机油套装</v>
      </c>
      <c r="N270" s="95" t="str">
        <f>_xlfn.IFNA(VLOOKUP(G270,'SKU 对应关系'!$A:$D,3,0),"")</f>
        <v>ANW</v>
      </c>
      <c r="O270" s="96">
        <v>15</v>
      </c>
      <c r="P270" s="455">
        <v>256</v>
      </c>
      <c r="Q270" s="96" t="s">
        <v>16</v>
      </c>
      <c r="R270" s="91">
        <v>3.2</v>
      </c>
      <c r="S270" s="106">
        <v>200</v>
      </c>
      <c r="T270" s="98">
        <v>35.714285714285715</v>
      </c>
      <c r="U270" s="99">
        <f t="shared" si="32"/>
        <v>854.91428571428571</v>
      </c>
      <c r="V270" s="100">
        <f t="shared" si="37"/>
        <v>4.7495238095238097</v>
      </c>
      <c r="W270" s="101">
        <f t="shared" si="33"/>
        <v>0.7088841506751955</v>
      </c>
      <c r="X270" s="95"/>
      <c r="Y270" s="95"/>
      <c r="Z270" s="102" t="s">
        <v>345</v>
      </c>
      <c r="AA270" s="103">
        <v>46101</v>
      </c>
      <c r="AB270" s="103">
        <v>46131</v>
      </c>
      <c r="AC270" s="103"/>
      <c r="AD270" s="104">
        <f>IF(ISNA(VLOOKUP(D270,亚马逊入库配置费!B:F,5,0)),0,VLOOKUP(D270,亚马逊入库配置费!B:F,5,0))</f>
        <v>0.55999999999999994</v>
      </c>
      <c r="AE270" s="104">
        <f t="shared" si="28"/>
        <v>100.79999999999998</v>
      </c>
      <c r="AF270" s="103">
        <v>46139</v>
      </c>
      <c r="AG270" s="90">
        <f t="shared" si="38"/>
        <v>38</v>
      </c>
      <c r="AH270" s="103">
        <v>46167</v>
      </c>
      <c r="AI270" s="96"/>
      <c r="AJ270" s="427">
        <f t="shared" si="39"/>
        <v>28</v>
      </c>
      <c r="AK270" s="96"/>
      <c r="AL270" s="92"/>
      <c r="AM270" s="91"/>
      <c r="AN270" s="91"/>
      <c r="AO270" s="96"/>
      <c r="AP270" s="105"/>
      <c r="AQ270" s="105"/>
      <c r="AR270" s="105"/>
      <c r="AS270" s="105"/>
    </row>
    <row r="271" spans="1:45" ht="12" customHeight="1" x14ac:dyDescent="0.25">
      <c r="A271" s="90">
        <v>270</v>
      </c>
      <c r="B271" s="91"/>
      <c r="C271" s="91" t="s">
        <v>4243</v>
      </c>
      <c r="D271" s="92" t="s">
        <v>4244</v>
      </c>
      <c r="E271" s="91" t="s">
        <v>97</v>
      </c>
      <c r="F271" s="91" t="s">
        <v>0</v>
      </c>
      <c r="G271" s="56" t="s">
        <v>2172</v>
      </c>
      <c r="H271" s="91">
        <v>288</v>
      </c>
      <c r="I271" s="91" t="s">
        <v>117</v>
      </c>
      <c r="J271" s="91" t="s">
        <v>4</v>
      </c>
      <c r="K271" s="92" t="s">
        <v>43</v>
      </c>
      <c r="L271" s="93" t="str">
        <f>VLOOKUP(G271,'SKU 对应关系'!A:E,4,0)</f>
        <v>ANP-W_US</v>
      </c>
      <c r="M271" s="94" t="str">
        <f>_xlfn.IFNA(VLOOKUP(G271,'SKU 对应关系'!A:B,2,0),"")</f>
        <v>ANP-W_US 墙插式智能扩香仪 白色</v>
      </c>
      <c r="N271" s="95" t="str">
        <f>_xlfn.IFNA(VLOOKUP(G271,'SKU 对应关系'!$A:$D,3,0),"")</f>
        <v>ANP</v>
      </c>
      <c r="O271" s="96">
        <v>9</v>
      </c>
      <c r="P271" s="455">
        <v>143</v>
      </c>
      <c r="Q271" s="96" t="s">
        <v>16</v>
      </c>
      <c r="R271" s="91">
        <v>8.5</v>
      </c>
      <c r="S271" s="95">
        <v>200</v>
      </c>
      <c r="T271" s="98">
        <v>200</v>
      </c>
      <c r="U271" s="99">
        <f t="shared" si="32"/>
        <v>1415.5</v>
      </c>
      <c r="V271" s="100">
        <f t="shared" si="37"/>
        <v>4.9149305555555554</v>
      </c>
      <c r="W271" s="101">
        <f t="shared" si="33"/>
        <v>0.73357172470978438</v>
      </c>
      <c r="X271" s="95"/>
      <c r="Y271" s="95"/>
      <c r="Z271" s="102" t="s">
        <v>345</v>
      </c>
      <c r="AA271" s="103">
        <v>46101</v>
      </c>
      <c r="AB271" s="103">
        <v>46117</v>
      </c>
      <c r="AC271" s="103"/>
      <c r="AD271" s="104">
        <f>IF(ISNA(VLOOKUP(D271,亚马逊入库配置费!B:F,5,0)),0,VLOOKUP(D271,亚马逊入库配置费!B:F,5,0))</f>
        <v>0.44</v>
      </c>
      <c r="AE271" s="104">
        <f t="shared" si="28"/>
        <v>126.72</v>
      </c>
      <c r="AF271" s="103">
        <v>46127</v>
      </c>
      <c r="AG271" s="90">
        <f t="shared" si="38"/>
        <v>26</v>
      </c>
      <c r="AH271" s="103">
        <v>46156</v>
      </c>
      <c r="AI271" s="96"/>
      <c r="AJ271" s="427">
        <f t="shared" si="39"/>
        <v>29</v>
      </c>
      <c r="AK271" s="96"/>
      <c r="AL271" s="92"/>
      <c r="AM271" s="91"/>
      <c r="AN271" s="91"/>
      <c r="AO271" s="96"/>
      <c r="AP271" s="105"/>
      <c r="AQ271" s="105"/>
      <c r="AR271" s="105"/>
      <c r="AS271" s="105"/>
    </row>
    <row r="272" spans="1:45" ht="12" customHeight="1" x14ac:dyDescent="0.25">
      <c r="A272" s="90">
        <v>271</v>
      </c>
      <c r="B272" s="91"/>
      <c r="C272" s="91" t="s">
        <v>4226</v>
      </c>
      <c r="D272" s="92" t="s">
        <v>4245</v>
      </c>
      <c r="E272" s="91" t="s">
        <v>97</v>
      </c>
      <c r="F272" s="91" t="s">
        <v>0</v>
      </c>
      <c r="G272" s="56" t="s">
        <v>88</v>
      </c>
      <c r="H272" s="91">
        <v>180</v>
      </c>
      <c r="I272" s="91" t="s">
        <v>117</v>
      </c>
      <c r="J272" s="91" t="s">
        <v>8</v>
      </c>
      <c r="K272" s="92" t="s">
        <v>10</v>
      </c>
      <c r="L272" s="93" t="str">
        <f>VLOOKUP(G272,'SKU 对应关系'!A:E,4,0)</f>
        <v>ANW-B</v>
      </c>
      <c r="M272" s="94" t="str">
        <f>_xlfn.IFNA(VLOOKUP(G272,'SKU 对应关系'!A:B,2,0),"")</f>
        <v>ANW-B 智能扩香仪 黑色</v>
      </c>
      <c r="N272" s="95" t="str">
        <f>_xlfn.IFNA(VLOOKUP(G272,'SKU 对应关系'!$A:$D,3,0),"")</f>
        <v>ANW</v>
      </c>
      <c r="O272" s="96">
        <v>15</v>
      </c>
      <c r="P272" s="455">
        <v>214.24242424242422</v>
      </c>
      <c r="Q272" s="96" t="s">
        <v>16</v>
      </c>
      <c r="R272" s="91">
        <v>3.6</v>
      </c>
      <c r="S272" s="106">
        <f>SUMIF(C:C,C271,T:T)</f>
        <v>200</v>
      </c>
      <c r="T272" s="98">
        <v>15.228426395939087</v>
      </c>
      <c r="U272" s="99">
        <f t="shared" si="32"/>
        <v>786.50115366866635</v>
      </c>
      <c r="V272" s="100">
        <f t="shared" si="37"/>
        <v>4.3694508537148131</v>
      </c>
      <c r="W272" s="101">
        <f t="shared" si="33"/>
        <v>0.65215684383803174</v>
      </c>
      <c r="X272" s="95"/>
      <c r="Y272" s="95"/>
      <c r="Z272" s="102" t="s">
        <v>345</v>
      </c>
      <c r="AA272" s="103">
        <v>46101</v>
      </c>
      <c r="AB272" s="103">
        <v>46122</v>
      </c>
      <c r="AC272" s="103"/>
      <c r="AD272" s="104">
        <f>IF(ISNA(VLOOKUP(D272,亚马逊入库配置费!B:F,5,0)),0,VLOOKUP(D272,亚马逊入库配置费!B:F,5,0))</f>
        <v>0.54788643533123027</v>
      </c>
      <c r="AE272" s="104">
        <f t="shared" si="28"/>
        <v>98.61955835962145</v>
      </c>
      <c r="AF272" s="103">
        <v>46133</v>
      </c>
      <c r="AG272" s="90">
        <f t="shared" si="38"/>
        <v>32</v>
      </c>
      <c r="AH272" s="103">
        <v>46168</v>
      </c>
      <c r="AI272" s="96"/>
      <c r="AJ272" s="427">
        <f t="shared" si="39"/>
        <v>35</v>
      </c>
      <c r="AK272" s="96"/>
      <c r="AL272" s="92"/>
      <c r="AM272" s="91"/>
      <c r="AN272" s="91"/>
      <c r="AO272" s="96"/>
      <c r="AP272" s="105"/>
      <c r="AQ272" s="105"/>
      <c r="AR272" s="105"/>
      <c r="AS272" s="105"/>
    </row>
    <row r="273" spans="1:45" ht="12" customHeight="1" x14ac:dyDescent="0.25">
      <c r="A273" s="90">
        <v>272</v>
      </c>
      <c r="B273" s="91"/>
      <c r="C273" s="91" t="s">
        <v>4226</v>
      </c>
      <c r="D273" s="92" t="s">
        <v>4245</v>
      </c>
      <c r="E273" s="91" t="s">
        <v>97</v>
      </c>
      <c r="F273" s="91" t="s">
        <v>0</v>
      </c>
      <c r="G273" s="56" t="s">
        <v>93</v>
      </c>
      <c r="H273" s="91">
        <v>960</v>
      </c>
      <c r="I273" s="91" t="s">
        <v>117</v>
      </c>
      <c r="J273" s="91" t="s">
        <v>8</v>
      </c>
      <c r="K273" s="92" t="s">
        <v>10</v>
      </c>
      <c r="L273" s="93" t="str">
        <f>VLOOKUP(G273,'SKU 对应关系'!A:E,4,0)</f>
        <v>ANW-W</v>
      </c>
      <c r="M273" s="94" t="str">
        <f>_xlfn.IFNA(VLOOKUP(G273,'SKU 对应关系'!A:B,2,0),"")</f>
        <v>ANW-W 智能扩香仪 白色</v>
      </c>
      <c r="N273" s="95" t="str">
        <f>_xlfn.IFNA(VLOOKUP(G273,'SKU 对应关系'!$A:$D,3,0),"")</f>
        <v>ANW</v>
      </c>
      <c r="O273" s="96">
        <v>80</v>
      </c>
      <c r="P273" s="455">
        <v>1142.6262626262626</v>
      </c>
      <c r="Q273" s="96" t="s">
        <v>16</v>
      </c>
      <c r="R273" s="91">
        <v>3.6</v>
      </c>
      <c r="S273" s="95">
        <v>200</v>
      </c>
      <c r="T273" s="98">
        <v>81.218274111675129</v>
      </c>
      <c r="U273" s="99">
        <f t="shared" si="32"/>
        <v>4194.6728195662199</v>
      </c>
      <c r="V273" s="100">
        <f t="shared" si="37"/>
        <v>4.3694508537148122</v>
      </c>
      <c r="W273" s="101">
        <f t="shared" si="33"/>
        <v>0.65215684383803163</v>
      </c>
      <c r="X273" s="95"/>
      <c r="Y273" s="95"/>
      <c r="Z273" s="102" t="s">
        <v>345</v>
      </c>
      <c r="AA273" s="103">
        <v>46101</v>
      </c>
      <c r="AB273" s="103">
        <v>46122</v>
      </c>
      <c r="AC273" s="103"/>
      <c r="AD273" s="104">
        <f>IF(ISNA(VLOOKUP(D273,亚马逊入库配置费!B:F,5,0)),0,VLOOKUP(D273,亚马逊入库配置费!B:F,5,0))</f>
        <v>0.54788643533123027</v>
      </c>
      <c r="AE273" s="104">
        <f t="shared" ref="AE273:AE336" si="40">AD273*H273</f>
        <v>525.97097791798103</v>
      </c>
      <c r="AF273" s="103">
        <v>46133</v>
      </c>
      <c r="AG273" s="90">
        <f t="shared" si="38"/>
        <v>32</v>
      </c>
      <c r="AH273" s="103">
        <v>46168</v>
      </c>
      <c r="AI273" s="96"/>
      <c r="AJ273" s="427">
        <f t="shared" si="39"/>
        <v>35</v>
      </c>
      <c r="AK273" s="96"/>
      <c r="AL273" s="92"/>
      <c r="AM273" s="91"/>
      <c r="AN273" s="91"/>
      <c r="AO273" s="96"/>
      <c r="AP273" s="105"/>
      <c r="AQ273" s="105"/>
      <c r="AR273" s="105"/>
      <c r="AS273" s="105"/>
    </row>
    <row r="274" spans="1:45" ht="12" customHeight="1" x14ac:dyDescent="0.25">
      <c r="A274" s="90">
        <v>273</v>
      </c>
      <c r="B274" s="91"/>
      <c r="C274" s="91" t="s">
        <v>4226</v>
      </c>
      <c r="D274" s="92" t="s">
        <v>4245</v>
      </c>
      <c r="E274" s="91" t="s">
        <v>97</v>
      </c>
      <c r="F274" s="91" t="s">
        <v>0</v>
      </c>
      <c r="G274" s="56" t="s">
        <v>2172</v>
      </c>
      <c r="H274" s="91">
        <v>128</v>
      </c>
      <c r="I274" s="91" t="s">
        <v>117</v>
      </c>
      <c r="J274" s="91" t="s">
        <v>8</v>
      </c>
      <c r="K274" s="92" t="s">
        <v>10</v>
      </c>
      <c r="L274" s="93" t="str">
        <f>VLOOKUP(G274,'SKU 对应关系'!A:E,4,0)</f>
        <v>ANP-W_US</v>
      </c>
      <c r="M274" s="94" t="str">
        <f>_xlfn.IFNA(VLOOKUP(G274,'SKU 对应关系'!A:B,2,0),"")</f>
        <v>ANP-W_US 墙插式智能扩香仪 白色</v>
      </c>
      <c r="N274" s="95" t="str">
        <f>_xlfn.IFNA(VLOOKUP(G274,'SKU 对应关系'!$A:$D,3,0),"")</f>
        <v>ANP</v>
      </c>
      <c r="O274" s="96">
        <v>4</v>
      </c>
      <c r="P274" s="455">
        <v>57.131313131313128</v>
      </c>
      <c r="Q274" s="96" t="s">
        <v>16</v>
      </c>
      <c r="R274" s="91">
        <v>3.6</v>
      </c>
      <c r="S274" s="106">
        <f>SUMIF(C:C,C273,T:T)</f>
        <v>199.99999999999997</v>
      </c>
      <c r="T274" s="98">
        <v>4.0609137055837561</v>
      </c>
      <c r="U274" s="99">
        <f t="shared" si="32"/>
        <v>209.733640978311</v>
      </c>
      <c r="V274" s="100">
        <f t="shared" si="37"/>
        <v>1.6385440701430547</v>
      </c>
      <c r="W274" s="101">
        <f t="shared" si="33"/>
        <v>0.24455881643926189</v>
      </c>
      <c r="X274" s="95"/>
      <c r="Y274" s="95"/>
      <c r="Z274" s="102" t="s">
        <v>345</v>
      </c>
      <c r="AA274" s="103">
        <v>46101</v>
      </c>
      <c r="AB274" s="103">
        <v>46122</v>
      </c>
      <c r="AC274" s="103"/>
      <c r="AD274" s="104">
        <f>IF(ISNA(VLOOKUP(D274,亚马逊入库配置费!B:F,5,0)),0,VLOOKUP(D274,亚马逊入库配置费!B:F,5,0))</f>
        <v>0.54788643533123027</v>
      </c>
      <c r="AE274" s="104">
        <f t="shared" si="40"/>
        <v>70.129463722397475</v>
      </c>
      <c r="AF274" s="103">
        <v>46133</v>
      </c>
      <c r="AG274" s="90">
        <f t="shared" si="38"/>
        <v>32</v>
      </c>
      <c r="AH274" s="103">
        <v>46168</v>
      </c>
      <c r="AI274" s="96"/>
      <c r="AJ274" s="427">
        <f t="shared" si="39"/>
        <v>35</v>
      </c>
      <c r="AK274" s="96"/>
      <c r="AL274" s="92"/>
      <c r="AM274" s="91"/>
      <c r="AN274" s="91"/>
      <c r="AO274" s="96"/>
      <c r="AP274" s="105"/>
      <c r="AQ274" s="105"/>
      <c r="AR274" s="105"/>
      <c r="AS274" s="105"/>
    </row>
    <row r="275" spans="1:45" ht="12" customHeight="1" x14ac:dyDescent="0.25">
      <c r="A275" s="90">
        <v>274</v>
      </c>
      <c r="B275" s="91"/>
      <c r="C275" s="91" t="s">
        <v>4246</v>
      </c>
      <c r="D275" s="92" t="s">
        <v>4247</v>
      </c>
      <c r="E275" s="91" t="s">
        <v>115</v>
      </c>
      <c r="F275" s="91" t="s">
        <v>0</v>
      </c>
      <c r="G275" s="56" t="s">
        <v>2937</v>
      </c>
      <c r="H275" s="91">
        <v>192</v>
      </c>
      <c r="I275" s="91" t="s">
        <v>1767</v>
      </c>
      <c r="J275" s="91" t="s">
        <v>8</v>
      </c>
      <c r="K275" s="92" t="s">
        <v>44</v>
      </c>
      <c r="L275" s="93" t="str">
        <f>VLOOKUP(G275,'SKU 对应关系'!A:E,4,0)</f>
        <v>SJ1-100ML_TZ</v>
      </c>
      <c r="M275" s="94" t="str">
        <f>_xlfn.IFNA(VLOOKUP(G275,'SKU 对应关系'!A:B,2,0),"")</f>
        <v>SJ1-100ML_TZ 四季酒店100mL香氛油（天竺） 销售包装</v>
      </c>
      <c r="N275" s="95" t="str">
        <f>_xlfn.IFNA(VLOOKUP(G275,'SKU 对应关系'!$A:$D,3,0),"")</f>
        <v>Oil-TZ</v>
      </c>
      <c r="O275" s="96">
        <v>3</v>
      </c>
      <c r="P275" s="455">
        <v>0.125</v>
      </c>
      <c r="Q275" s="96" t="s">
        <v>3264</v>
      </c>
      <c r="R275" s="91">
        <v>1030</v>
      </c>
      <c r="S275" s="95">
        <v>180</v>
      </c>
      <c r="T275" s="98">
        <v>20.76923076923077</v>
      </c>
      <c r="U275" s="99">
        <f t="shared" si="32"/>
        <v>149.51923076923077</v>
      </c>
      <c r="V275" s="100">
        <f t="shared" si="37"/>
        <v>0.77874599358974361</v>
      </c>
      <c r="W275" s="101">
        <f t="shared" si="33"/>
        <v>0.11623074531190203</v>
      </c>
      <c r="X275" s="95"/>
      <c r="Y275" s="95"/>
      <c r="Z275" s="102" t="s">
        <v>345</v>
      </c>
      <c r="AA275" s="103">
        <v>46101</v>
      </c>
      <c r="AB275" s="103">
        <v>46119</v>
      </c>
      <c r="AC275" s="103"/>
      <c r="AD275" s="104">
        <f>IF(ISNA(VLOOKUP(D275,亚马逊入库配置费!B:F,5,0)),0,VLOOKUP(D275,亚马逊入库配置费!B:F,5,0))</f>
        <v>0.36333333333333334</v>
      </c>
      <c r="AE275" s="104">
        <f t="shared" si="40"/>
        <v>69.760000000000005</v>
      </c>
      <c r="AF275" s="103">
        <v>46128</v>
      </c>
      <c r="AG275" s="90">
        <f t="shared" si="38"/>
        <v>27</v>
      </c>
      <c r="AH275" s="103">
        <v>46158</v>
      </c>
      <c r="AI275" s="96"/>
      <c r="AJ275" s="427">
        <f t="shared" si="39"/>
        <v>30</v>
      </c>
      <c r="AK275" s="96"/>
      <c r="AL275" s="92"/>
      <c r="AM275" s="91"/>
      <c r="AN275" s="91"/>
      <c r="AO275" s="96"/>
      <c r="AP275" s="105"/>
      <c r="AQ275" s="105"/>
      <c r="AR275" s="105"/>
      <c r="AS275" s="105"/>
    </row>
    <row r="276" spans="1:45" ht="12" customHeight="1" x14ac:dyDescent="0.25">
      <c r="A276" s="90">
        <v>275</v>
      </c>
      <c r="B276" s="91"/>
      <c r="C276" s="91" t="s">
        <v>4246</v>
      </c>
      <c r="D276" s="92" t="s">
        <v>4247</v>
      </c>
      <c r="E276" s="91" t="s">
        <v>115</v>
      </c>
      <c r="F276" s="91" t="s">
        <v>0</v>
      </c>
      <c r="G276" s="56" t="s">
        <v>1925</v>
      </c>
      <c r="H276" s="91">
        <v>640</v>
      </c>
      <c r="I276" s="91" t="s">
        <v>1767</v>
      </c>
      <c r="J276" s="91" t="s">
        <v>8</v>
      </c>
      <c r="K276" s="92" t="s">
        <v>44</v>
      </c>
      <c r="L276" s="93" t="str">
        <f>VLOOKUP(G276,'SKU 对应关系'!A:E,4,0)</f>
        <v>TX331_100ML</v>
      </c>
      <c r="M276" s="94" t="str">
        <f>_xlfn.IFNA(VLOOKUP(G276,'SKU 对应关系'!A:B,2,0),"")</f>
        <v>TX331_100ML 檀香33号100mL香氛油（天竺） 销售包装</v>
      </c>
      <c r="N276" s="95" t="str">
        <f>_xlfn.IFNA(VLOOKUP(G276,'SKU 对应关系'!$A:$D,3,0),"")</f>
        <v>Oil-TZ</v>
      </c>
      <c r="O276" s="96">
        <v>10</v>
      </c>
      <c r="P276" s="455">
        <v>0.41666666666666663</v>
      </c>
      <c r="Q276" s="96" t="s">
        <v>3264</v>
      </c>
      <c r="R276" s="91">
        <v>1030</v>
      </c>
      <c r="S276" s="106">
        <f>SUMIF(C:C,C275,T:T)</f>
        <v>180</v>
      </c>
      <c r="T276" s="98">
        <v>69.230769230769226</v>
      </c>
      <c r="U276" s="99">
        <f t="shared" si="32"/>
        <v>498.39743589743586</v>
      </c>
      <c r="V276" s="100">
        <f t="shared" si="37"/>
        <v>0.7787459935897435</v>
      </c>
      <c r="W276" s="101">
        <f t="shared" si="33"/>
        <v>0.11623074531190201</v>
      </c>
      <c r="X276" s="95"/>
      <c r="Y276" s="95"/>
      <c r="Z276" s="102" t="s">
        <v>345</v>
      </c>
      <c r="AA276" s="103">
        <v>46101</v>
      </c>
      <c r="AB276" s="103">
        <v>46119</v>
      </c>
      <c r="AC276" s="103"/>
      <c r="AD276" s="104">
        <f>IF(ISNA(VLOOKUP(D276,亚马逊入库配置费!B:F,5,0)),0,VLOOKUP(D276,亚马逊入库配置费!B:F,5,0))</f>
        <v>0.36333333333333334</v>
      </c>
      <c r="AE276" s="104">
        <f t="shared" si="40"/>
        <v>232.53333333333333</v>
      </c>
      <c r="AF276" s="103">
        <v>46128</v>
      </c>
      <c r="AG276" s="90">
        <f t="shared" si="38"/>
        <v>27</v>
      </c>
      <c r="AH276" s="103">
        <v>46158</v>
      </c>
      <c r="AI276" s="96"/>
      <c r="AJ276" s="427">
        <f t="shared" si="39"/>
        <v>30</v>
      </c>
      <c r="AK276" s="96"/>
      <c r="AL276" s="92"/>
      <c r="AM276" s="91"/>
      <c r="AN276" s="91"/>
      <c r="AO276" s="96"/>
      <c r="AP276" s="105"/>
      <c r="AQ276" s="105"/>
      <c r="AR276" s="105"/>
      <c r="AS276" s="105"/>
    </row>
    <row r="277" spans="1:45" ht="12" customHeight="1" x14ac:dyDescent="0.25">
      <c r="A277" s="90">
        <v>276</v>
      </c>
      <c r="B277" s="91"/>
      <c r="C277" s="91" t="s">
        <v>4246</v>
      </c>
      <c r="D277" s="92" t="s">
        <v>4247</v>
      </c>
      <c r="E277" s="91" t="s">
        <v>115</v>
      </c>
      <c r="F277" s="91" t="s">
        <v>0</v>
      </c>
      <c r="G277" s="56" t="s">
        <v>2295</v>
      </c>
      <c r="H277" s="91">
        <v>192</v>
      </c>
      <c r="I277" s="91" t="s">
        <v>1767</v>
      </c>
      <c r="J277" s="91" t="s">
        <v>8</v>
      </c>
      <c r="K277" s="92" t="s">
        <v>44</v>
      </c>
      <c r="L277" s="93" t="str">
        <f>VLOOKUP(G277,'SKU 对应关系'!A:E,4,0)</f>
        <v>HILTON1-100ML_TZ</v>
      </c>
      <c r="M277" s="94" t="str">
        <f>_xlfn.IFNA(VLOOKUP(G277,'SKU 对应关系'!A:B,2,0),"")</f>
        <v>HILTON1-100ML_TZ 希尔顿酒店100mL香氛油（天竺） 销售包装</v>
      </c>
      <c r="N277" s="95" t="str">
        <f>_xlfn.IFNA(VLOOKUP(G277,'SKU 对应关系'!$A:$D,3,0),"")</f>
        <v>Oil-TZ</v>
      </c>
      <c r="O277" s="96">
        <v>3</v>
      </c>
      <c r="P277" s="455">
        <v>0.125</v>
      </c>
      <c r="Q277" s="96" t="s">
        <v>3264</v>
      </c>
      <c r="R277" s="91">
        <v>1030</v>
      </c>
      <c r="S277" s="95"/>
      <c r="T277" s="98">
        <v>20.76923076923077</v>
      </c>
      <c r="U277" s="99">
        <f t="shared" si="32"/>
        <v>149.51923076923077</v>
      </c>
      <c r="V277" s="100">
        <f t="shared" si="37"/>
        <v>0.77874599358974361</v>
      </c>
      <c r="W277" s="101">
        <f t="shared" si="33"/>
        <v>0.11623074531190203</v>
      </c>
      <c r="X277" s="95"/>
      <c r="Y277" s="95"/>
      <c r="Z277" s="102" t="s">
        <v>345</v>
      </c>
      <c r="AA277" s="103">
        <v>46101</v>
      </c>
      <c r="AB277" s="103">
        <v>46119</v>
      </c>
      <c r="AC277" s="103"/>
      <c r="AD277" s="104">
        <f>IF(ISNA(VLOOKUP(D277,亚马逊入库配置费!B:F,5,0)),0,VLOOKUP(D277,亚马逊入库配置费!B:F,5,0))</f>
        <v>0.36333333333333334</v>
      </c>
      <c r="AE277" s="104">
        <f t="shared" si="40"/>
        <v>69.760000000000005</v>
      </c>
      <c r="AF277" s="103">
        <v>46128</v>
      </c>
      <c r="AG277" s="90">
        <f t="shared" si="38"/>
        <v>27</v>
      </c>
      <c r="AH277" s="103">
        <v>46158</v>
      </c>
      <c r="AI277" s="96"/>
      <c r="AJ277" s="427">
        <f t="shared" si="39"/>
        <v>30</v>
      </c>
      <c r="AK277" s="96"/>
      <c r="AL277" s="92"/>
      <c r="AM277" s="91"/>
      <c r="AN277" s="91"/>
      <c r="AO277" s="96"/>
      <c r="AP277" s="105"/>
      <c r="AQ277" s="105"/>
      <c r="AR277" s="105"/>
      <c r="AS277" s="105"/>
    </row>
    <row r="278" spans="1:45" ht="12" customHeight="1" x14ac:dyDescent="0.25">
      <c r="A278" s="90">
        <v>277</v>
      </c>
      <c r="B278" s="91"/>
      <c r="C278" s="91" t="s">
        <v>4246</v>
      </c>
      <c r="D278" s="92" t="s">
        <v>4247</v>
      </c>
      <c r="E278" s="91" t="s">
        <v>115</v>
      </c>
      <c r="F278" s="91" t="s">
        <v>0</v>
      </c>
      <c r="G278" s="56" t="s">
        <v>2297</v>
      </c>
      <c r="H278" s="91">
        <v>64</v>
      </c>
      <c r="I278" s="91" t="s">
        <v>1767</v>
      </c>
      <c r="J278" s="91" t="s">
        <v>8</v>
      </c>
      <c r="K278" s="92" t="s">
        <v>44</v>
      </c>
      <c r="L278" s="93" t="str">
        <f>VLOOKUP(G278,'SKU 对应关系'!A:E,4,0)</f>
        <v>YH1-100ML_TZ</v>
      </c>
      <c r="M278" s="94" t="str">
        <f>_xlfn.IFNA(VLOOKUP(G278,'SKU 对应关系'!A:B,2,0),"")</f>
        <v>YH1-100ML_TZ 樱花100mL香氛油（天竺）销售包装</v>
      </c>
      <c r="N278" s="95" t="str">
        <f>_xlfn.IFNA(VLOOKUP(G278,'SKU 对应关系'!$A:$D,3,0),"")</f>
        <v>Oil-TZ</v>
      </c>
      <c r="O278" s="96">
        <v>1</v>
      </c>
      <c r="P278" s="455">
        <v>4.1666666666666664E-2</v>
      </c>
      <c r="Q278" s="96" t="s">
        <v>3264</v>
      </c>
      <c r="R278" s="91">
        <v>1030</v>
      </c>
      <c r="S278" s="95"/>
      <c r="T278" s="98">
        <v>6.9230769230769234</v>
      </c>
      <c r="U278" s="99">
        <f t="shared" si="32"/>
        <v>49.839743589743591</v>
      </c>
      <c r="V278" s="100">
        <f t="shared" si="37"/>
        <v>0.77874599358974361</v>
      </c>
      <c r="W278" s="101">
        <f t="shared" si="33"/>
        <v>0.11623074531190203</v>
      </c>
      <c r="X278" s="95"/>
      <c r="Y278" s="95"/>
      <c r="Z278" s="102" t="s">
        <v>345</v>
      </c>
      <c r="AA278" s="103">
        <v>46101</v>
      </c>
      <c r="AB278" s="103">
        <v>46119</v>
      </c>
      <c r="AC278" s="103"/>
      <c r="AD278" s="104">
        <f>IF(ISNA(VLOOKUP(D278,亚马逊入库配置费!B:F,5,0)),0,VLOOKUP(D278,亚马逊入库配置费!B:F,5,0))</f>
        <v>0.36333333333333334</v>
      </c>
      <c r="AE278" s="104">
        <f t="shared" si="40"/>
        <v>23.253333333333334</v>
      </c>
      <c r="AF278" s="103">
        <v>46128</v>
      </c>
      <c r="AG278" s="90">
        <f t="shared" si="38"/>
        <v>27</v>
      </c>
      <c r="AH278" s="103">
        <v>46158</v>
      </c>
      <c r="AI278" s="96"/>
      <c r="AJ278" s="427">
        <f t="shared" si="39"/>
        <v>30</v>
      </c>
      <c r="AK278" s="96"/>
      <c r="AL278" s="92"/>
      <c r="AM278" s="91"/>
      <c r="AN278" s="91"/>
      <c r="AO278" s="96"/>
      <c r="AP278" s="105"/>
      <c r="AQ278" s="105"/>
      <c r="AR278" s="105"/>
      <c r="AS278" s="105"/>
    </row>
    <row r="279" spans="1:45" ht="12" customHeight="1" x14ac:dyDescent="0.25">
      <c r="A279" s="90">
        <v>278</v>
      </c>
      <c r="B279" s="91"/>
      <c r="C279" s="91" t="s">
        <v>4246</v>
      </c>
      <c r="D279" s="92" t="s">
        <v>4247</v>
      </c>
      <c r="E279" s="91" t="s">
        <v>115</v>
      </c>
      <c r="F279" s="91" t="s">
        <v>0</v>
      </c>
      <c r="G279" s="56" t="s">
        <v>1929</v>
      </c>
      <c r="H279" s="91">
        <v>256</v>
      </c>
      <c r="I279" s="91" t="s">
        <v>1767</v>
      </c>
      <c r="J279" s="91" t="s">
        <v>8</v>
      </c>
      <c r="K279" s="92" t="s">
        <v>44</v>
      </c>
      <c r="L279" s="93" t="str">
        <f>VLOOKUP(G279,'SKU 对应关系'!A:E,4,0)</f>
        <v>YZTT1_100ML</v>
      </c>
      <c r="M279" s="94" t="str">
        <f>_xlfn.IFNA(VLOOKUP(G279,'SKU 对应关系'!A:B,2,0),"")</f>
        <v>YZTT1_100ML 柚子天堂100mL香氛油（天竺） 销售包装</v>
      </c>
      <c r="N279" s="95" t="str">
        <f>_xlfn.IFNA(VLOOKUP(G279,'SKU 对应关系'!$A:$D,3,0),"")</f>
        <v>Oil-TZ</v>
      </c>
      <c r="O279" s="96">
        <v>4</v>
      </c>
      <c r="P279" s="455">
        <v>0.16666666666666666</v>
      </c>
      <c r="Q279" s="96" t="s">
        <v>3264</v>
      </c>
      <c r="R279" s="91">
        <v>1030</v>
      </c>
      <c r="S279" s="95"/>
      <c r="T279" s="98">
        <v>27.692307692307693</v>
      </c>
      <c r="U279" s="99">
        <f t="shared" si="32"/>
        <v>199.35897435897436</v>
      </c>
      <c r="V279" s="100">
        <f t="shared" si="37"/>
        <v>0.77874599358974361</v>
      </c>
      <c r="W279" s="101">
        <f t="shared" si="33"/>
        <v>0.11623074531190203</v>
      </c>
      <c r="X279" s="95"/>
      <c r="Y279" s="95"/>
      <c r="Z279" s="102" t="s">
        <v>345</v>
      </c>
      <c r="AA279" s="103">
        <v>46101</v>
      </c>
      <c r="AB279" s="103">
        <v>46119</v>
      </c>
      <c r="AC279" s="103"/>
      <c r="AD279" s="104">
        <f>IF(ISNA(VLOOKUP(D279,亚马逊入库配置费!B:F,5,0)),0,VLOOKUP(D279,亚马逊入库配置费!B:F,5,0))</f>
        <v>0.36333333333333334</v>
      </c>
      <c r="AE279" s="104">
        <f t="shared" si="40"/>
        <v>93.013333333333335</v>
      </c>
      <c r="AF279" s="103">
        <v>46128</v>
      </c>
      <c r="AG279" s="90">
        <f t="shared" si="38"/>
        <v>27</v>
      </c>
      <c r="AH279" s="103">
        <v>46158</v>
      </c>
      <c r="AI279" s="96"/>
      <c r="AJ279" s="427">
        <f t="shared" si="39"/>
        <v>30</v>
      </c>
      <c r="AK279" s="96"/>
      <c r="AL279" s="92"/>
      <c r="AM279" s="91"/>
      <c r="AN279" s="91"/>
      <c r="AO279" s="96"/>
      <c r="AP279" s="105"/>
      <c r="AQ279" s="105"/>
      <c r="AR279" s="105"/>
      <c r="AS279" s="105"/>
    </row>
    <row r="280" spans="1:45" ht="12" customHeight="1" x14ac:dyDescent="0.25">
      <c r="A280" s="90">
        <v>279</v>
      </c>
      <c r="B280" s="91"/>
      <c r="C280" s="91" t="s">
        <v>4246</v>
      </c>
      <c r="D280" s="92" t="s">
        <v>4247</v>
      </c>
      <c r="E280" s="91" t="s">
        <v>115</v>
      </c>
      <c r="F280" s="91" t="s">
        <v>0</v>
      </c>
      <c r="G280" s="56" t="s">
        <v>1927</v>
      </c>
      <c r="H280" s="91">
        <v>192</v>
      </c>
      <c r="I280" s="91" t="s">
        <v>1767</v>
      </c>
      <c r="J280" s="91" t="s">
        <v>8</v>
      </c>
      <c r="K280" s="92" t="s">
        <v>44</v>
      </c>
      <c r="L280" s="93" t="str">
        <f>VLOOKUP(G280,'SKU 对应关系'!A:E,4,0)</f>
        <v>TXY1_100ML</v>
      </c>
      <c r="M280" s="94" t="str">
        <f>_xlfn.IFNA(VLOOKUP(G280,'SKU 对应关系'!A:B,2,0),"")</f>
        <v>TXY1_100ML 桃星云100mL香氛油（天竺） 销售包装</v>
      </c>
      <c r="N280" s="95" t="str">
        <f>_xlfn.IFNA(VLOOKUP(G280,'SKU 对应关系'!$A:$D,3,0),"")</f>
        <v>Oil-TZ</v>
      </c>
      <c r="O280" s="96">
        <v>3</v>
      </c>
      <c r="P280" s="455">
        <v>0.125</v>
      </c>
      <c r="Q280" s="96" t="s">
        <v>3264</v>
      </c>
      <c r="R280" s="91">
        <v>1030</v>
      </c>
      <c r="S280" s="95"/>
      <c r="T280" s="98">
        <v>20.76923076923077</v>
      </c>
      <c r="U280" s="99">
        <f t="shared" si="32"/>
        <v>149.51923076923077</v>
      </c>
      <c r="V280" s="100">
        <f t="shared" si="37"/>
        <v>0.77874599358974361</v>
      </c>
      <c r="W280" s="101">
        <f t="shared" si="33"/>
        <v>0.11623074531190203</v>
      </c>
      <c r="X280" s="95"/>
      <c r="Y280" s="95"/>
      <c r="Z280" s="102" t="s">
        <v>345</v>
      </c>
      <c r="AA280" s="103">
        <v>46101</v>
      </c>
      <c r="AB280" s="103">
        <v>46119</v>
      </c>
      <c r="AC280" s="103"/>
      <c r="AD280" s="104">
        <f>IF(ISNA(VLOOKUP(D280,亚马逊入库配置费!B:F,5,0)),0,VLOOKUP(D280,亚马逊入库配置费!B:F,5,0))</f>
        <v>0.36333333333333334</v>
      </c>
      <c r="AE280" s="104">
        <f t="shared" si="40"/>
        <v>69.760000000000005</v>
      </c>
      <c r="AF280" s="103">
        <v>46128</v>
      </c>
      <c r="AG280" s="90">
        <f t="shared" si="38"/>
        <v>27</v>
      </c>
      <c r="AH280" s="103">
        <v>46158</v>
      </c>
      <c r="AI280" s="96"/>
      <c r="AJ280" s="427">
        <f t="shared" si="39"/>
        <v>30</v>
      </c>
      <c r="AK280" s="96"/>
      <c r="AL280" s="92"/>
      <c r="AM280" s="91"/>
      <c r="AN280" s="91"/>
      <c r="AO280" s="96"/>
      <c r="AP280" s="105"/>
      <c r="AQ280" s="105"/>
      <c r="AR280" s="105"/>
      <c r="AS280" s="105"/>
    </row>
    <row r="281" spans="1:45" ht="12" customHeight="1" x14ac:dyDescent="0.25">
      <c r="A281" s="90">
        <v>280</v>
      </c>
      <c r="B281" s="91" t="s">
        <v>4255</v>
      </c>
      <c r="C281" s="91" t="s">
        <v>4246</v>
      </c>
      <c r="D281" s="92" t="s">
        <v>4248</v>
      </c>
      <c r="E281" s="91" t="s">
        <v>4202</v>
      </c>
      <c r="F281" s="91" t="s">
        <v>0</v>
      </c>
      <c r="G281" s="56" t="s">
        <v>4249</v>
      </c>
      <c r="H281" s="91">
        <v>128</v>
      </c>
      <c r="I281" s="91" t="s">
        <v>1767</v>
      </c>
      <c r="J281" s="91" t="s">
        <v>8</v>
      </c>
      <c r="K281" s="92" t="s">
        <v>15</v>
      </c>
      <c r="L281" s="93" t="str">
        <f>VLOOKUP(G281,'SKU 对应关系'!A:E,4,0)</f>
        <v>BGR1_100ML_TZ</v>
      </c>
      <c r="M281" s="94" t="str">
        <f>_xlfn.IFNA(VLOOKUP(G281,'SKU 对应关系'!A:B,2,0),"")</f>
        <v>BGR1_100ML_TZ 宝格丽酒店100mL香氛油（天竺） 销售包装</v>
      </c>
      <c r="N281" s="95" t="str">
        <f>_xlfn.IFNA(VLOOKUP(G281,'SKU 对应关系'!$A:$D,3,0),"")</f>
        <v>Oil-TZ</v>
      </c>
      <c r="O281" s="96">
        <v>2</v>
      </c>
      <c r="P281" s="455">
        <v>30</v>
      </c>
      <c r="Q281" s="96" t="s">
        <v>16</v>
      </c>
      <c r="R281" s="91">
        <v>6.6</v>
      </c>
      <c r="S281" s="95"/>
      <c r="T281" s="98">
        <v>13.846153846153847</v>
      </c>
      <c r="U281" s="99">
        <f t="shared" si="32"/>
        <v>211.84615384615384</v>
      </c>
      <c r="V281" s="100">
        <f t="shared" si="37"/>
        <v>1.6550480769230769</v>
      </c>
      <c r="W281" s="101">
        <f t="shared" si="33"/>
        <v>0.24702210103329506</v>
      </c>
      <c r="X281" s="95"/>
      <c r="Y281" s="95"/>
      <c r="Z281" s="102" t="s">
        <v>345</v>
      </c>
      <c r="AA281" s="103">
        <v>46101</v>
      </c>
      <c r="AB281" s="103">
        <v>46119</v>
      </c>
      <c r="AC281" s="103"/>
      <c r="AD281" s="104">
        <f>IF(ISNA(VLOOKUP(D281,亚马逊入库配置费!B:F,5,0)),0,VLOOKUP(D281,亚马逊入库配置费!B:F,5,0))</f>
        <v>0.36</v>
      </c>
      <c r="AE281" s="104">
        <f t="shared" si="40"/>
        <v>46.08</v>
      </c>
      <c r="AF281" s="103">
        <v>46131</v>
      </c>
      <c r="AG281" s="90">
        <f t="shared" si="38"/>
        <v>30</v>
      </c>
      <c r="AH281" s="103">
        <v>46157</v>
      </c>
      <c r="AI281" s="96"/>
      <c r="AJ281" s="427">
        <f t="shared" si="39"/>
        <v>26</v>
      </c>
      <c r="AK281" s="96"/>
      <c r="AL281" s="92"/>
      <c r="AM281" s="91"/>
      <c r="AN281" s="91"/>
      <c r="AO281" s="96"/>
      <c r="AP281" s="105"/>
      <c r="AQ281" s="105"/>
      <c r="AR281" s="105"/>
      <c r="AS281" s="105"/>
    </row>
    <row r="282" spans="1:45" ht="12" customHeight="1" x14ac:dyDescent="0.25">
      <c r="A282" s="90">
        <v>281</v>
      </c>
      <c r="B282" s="91"/>
      <c r="C282" s="91" t="s">
        <v>4226</v>
      </c>
      <c r="D282" s="92" t="s">
        <v>4250</v>
      </c>
      <c r="E282" s="91" t="s">
        <v>115</v>
      </c>
      <c r="F282" s="91" t="s">
        <v>0</v>
      </c>
      <c r="G282" s="56" t="s">
        <v>614</v>
      </c>
      <c r="H282" s="91">
        <v>252</v>
      </c>
      <c r="I282" s="91" t="s">
        <v>117</v>
      </c>
      <c r="J282" s="91" t="s">
        <v>8</v>
      </c>
      <c r="K282" s="92" t="s">
        <v>42</v>
      </c>
      <c r="L282" s="93" t="str">
        <f>VLOOKUP(G282,'SKU 对应关系'!A:E,4,0)</f>
        <v>AP2F-H14</v>
      </c>
      <c r="M282" s="94" t="str">
        <f>_xlfn.IFNA(VLOOKUP(G282,'SKU 对应关系'!A:B,2,0),"")</f>
        <v>AP2F-H14 空气净化器滤网2-H14</v>
      </c>
      <c r="N282" s="95" t="str">
        <f>_xlfn.IFNA(VLOOKUP(G282,'SKU 对应关系'!$A:$D,3,0),"")</f>
        <v>AP2F</v>
      </c>
      <c r="O282" s="96">
        <v>7</v>
      </c>
      <c r="P282" s="455">
        <v>154</v>
      </c>
      <c r="Q282" s="96" t="s">
        <v>16</v>
      </c>
      <c r="R282" s="91">
        <v>2.8</v>
      </c>
      <c r="S282" s="106">
        <v>200</v>
      </c>
      <c r="T282" s="98">
        <v>7.1065989847715736</v>
      </c>
      <c r="U282" s="99">
        <f t="shared" si="32"/>
        <v>438.30659898477154</v>
      </c>
      <c r="V282" s="100">
        <f t="shared" si="37"/>
        <v>1.7393119007332205</v>
      </c>
      <c r="W282" s="101">
        <f t="shared" si="33"/>
        <v>0.25959879115421203</v>
      </c>
      <c r="X282" s="95"/>
      <c r="Y282" s="95"/>
      <c r="Z282" s="102" t="s">
        <v>345</v>
      </c>
      <c r="AA282" s="103">
        <v>46101</v>
      </c>
      <c r="AB282" s="103">
        <v>46122</v>
      </c>
      <c r="AC282" s="103"/>
      <c r="AD282" s="104">
        <f>IF(ISNA(VLOOKUP(D282,亚马逊入库配置费!B:F,5,0)),0,VLOOKUP(D282,亚马逊入库配置费!B:F,5,0))</f>
        <v>0.56000000000000005</v>
      </c>
      <c r="AE282" s="104">
        <f t="shared" si="40"/>
        <v>141.12</v>
      </c>
      <c r="AF282" s="103">
        <v>46131</v>
      </c>
      <c r="AG282" s="90">
        <f t="shared" si="38"/>
        <v>30</v>
      </c>
      <c r="AH282" s="103">
        <v>46159</v>
      </c>
      <c r="AI282" s="96"/>
      <c r="AJ282" s="427">
        <f t="shared" si="39"/>
        <v>28</v>
      </c>
      <c r="AK282" s="96"/>
      <c r="AL282" s="92"/>
      <c r="AM282" s="91"/>
      <c r="AN282" s="91"/>
      <c r="AO282" s="96"/>
      <c r="AP282" s="105"/>
      <c r="AQ282" s="105"/>
      <c r="AR282" s="105"/>
      <c r="AS282" s="105"/>
    </row>
    <row r="283" spans="1:45" ht="12" customHeight="1" x14ac:dyDescent="0.25">
      <c r="A283" s="90">
        <v>282</v>
      </c>
      <c r="B283" s="91"/>
      <c r="C283" s="91" t="s">
        <v>4289</v>
      </c>
      <c r="D283" s="92" t="s">
        <v>4290</v>
      </c>
      <c r="E283" s="91" t="s">
        <v>97</v>
      </c>
      <c r="F283" s="91" t="s">
        <v>0</v>
      </c>
      <c r="G283" s="56" t="s">
        <v>4291</v>
      </c>
      <c r="H283" s="91">
        <v>1200</v>
      </c>
      <c r="I283" s="91" t="s">
        <v>207</v>
      </c>
      <c r="J283" s="91" t="s">
        <v>4</v>
      </c>
      <c r="K283" s="92" t="s">
        <v>9</v>
      </c>
      <c r="L283" s="93" t="str">
        <f>VLOOKUP(G283,'SKU 对应关系'!A:E,4,0)</f>
        <v>AN8KIT-B_4X10K05_TZ</v>
      </c>
      <c r="M283" s="94" t="str">
        <f>_xlfn.IFNA(VLOOKUP(G283,'SKU 对应关系'!A:B,2,0),"")</f>
        <v>AN8KIT-B_4X10K05_TZ AN8黑色机器+4x10mL（天竺）酒店香氛油 机油套装</v>
      </c>
      <c r="N283" s="95" t="str">
        <f>_xlfn.IFNA(VLOOKUP(G283,'SKU 对应关系'!$A:$D,3,0),"")</f>
        <v>AN8</v>
      </c>
      <c r="O283" s="96">
        <v>40</v>
      </c>
      <c r="P283" s="580">
        <v>648</v>
      </c>
      <c r="Q283" s="96" t="s">
        <v>16</v>
      </c>
      <c r="R283" s="91">
        <v>9.4</v>
      </c>
      <c r="S283" s="95">
        <v>200</v>
      </c>
      <c r="T283" s="98">
        <v>200</v>
      </c>
      <c r="U283" s="99">
        <f t="shared" ref="U283:U339" si="41">R283*P283+T283</f>
        <v>6291.2</v>
      </c>
      <c r="V283" s="100">
        <f t="shared" si="37"/>
        <v>5.2426666666666666</v>
      </c>
      <c r="W283" s="101">
        <f t="shared" ref="W283:W339" si="42">V283/6.7</f>
        <v>0.78248756218905469</v>
      </c>
      <c r="X283" s="95"/>
      <c r="Y283" s="95"/>
      <c r="Z283" s="102" t="s">
        <v>345</v>
      </c>
      <c r="AA283" s="103">
        <v>46109</v>
      </c>
      <c r="AB283" s="103">
        <v>46126</v>
      </c>
      <c r="AC283" s="103"/>
      <c r="AD283" s="104">
        <f>IF(ISNA(VLOOKUP(D283,亚马逊入库配置费!B:F,5,0)),0,VLOOKUP(D283,亚马逊入库配置费!B:F,5,0))</f>
        <v>0.44</v>
      </c>
      <c r="AE283" s="104">
        <f t="shared" si="40"/>
        <v>528</v>
      </c>
      <c r="AF283" s="103">
        <v>46134</v>
      </c>
      <c r="AG283" s="90">
        <f t="shared" si="38"/>
        <v>25</v>
      </c>
      <c r="AH283" s="103">
        <v>46163</v>
      </c>
      <c r="AI283" s="96"/>
      <c r="AJ283" s="427">
        <f t="shared" si="39"/>
        <v>29</v>
      </c>
      <c r="AK283" s="96"/>
      <c r="AL283" s="92"/>
      <c r="AM283" s="91"/>
      <c r="AN283" s="91"/>
      <c r="AO283" s="96"/>
      <c r="AP283" s="105"/>
      <c r="AQ283" s="105"/>
      <c r="AR283" s="105"/>
      <c r="AS283" s="105"/>
    </row>
    <row r="284" spans="1:45" ht="12" customHeight="1" x14ac:dyDescent="0.25">
      <c r="A284" s="90">
        <v>283</v>
      </c>
      <c r="B284" s="91"/>
      <c r="C284" s="91" t="s">
        <v>4292</v>
      </c>
      <c r="D284" s="92" t="s">
        <v>4293</v>
      </c>
      <c r="E284" s="91" t="s">
        <v>97</v>
      </c>
      <c r="F284" s="91" t="s">
        <v>0</v>
      </c>
      <c r="G284" s="56" t="s">
        <v>163</v>
      </c>
      <c r="H284" s="91">
        <v>2000</v>
      </c>
      <c r="I284" s="91" t="s">
        <v>207</v>
      </c>
      <c r="J284" s="91" t="s">
        <v>8</v>
      </c>
      <c r="K284" s="92" t="s">
        <v>46</v>
      </c>
      <c r="L284" s="93" t="str">
        <f>VLOOKUP(G284,'SKU 对应关系'!A:E,4,0)</f>
        <v>AN6-B</v>
      </c>
      <c r="M284" s="94" t="str">
        <f>_xlfn.IFNA(VLOOKUP(G284,'SKU 对应关系'!A:B,2,0),"")</f>
        <v>AN6-B 便携式扩香仪 黑色</v>
      </c>
      <c r="N284" s="95" t="str">
        <f>_xlfn.IFNA(VLOOKUP(G284,'SKU 对应关系'!$A:$D,3,0),"")</f>
        <v>AN6</v>
      </c>
      <c r="O284" s="96">
        <v>50</v>
      </c>
      <c r="P284" s="580">
        <v>681.18279569892468</v>
      </c>
      <c r="Q284" s="96" t="s">
        <v>16</v>
      </c>
      <c r="R284" s="91">
        <v>3.9</v>
      </c>
      <c r="S284" s="95">
        <v>200</v>
      </c>
      <c r="T284" s="98">
        <v>68.493150684931507</v>
      </c>
      <c r="U284" s="99">
        <f t="shared" si="41"/>
        <v>2725.106053910738</v>
      </c>
      <c r="V284" s="100">
        <f t="shared" si="37"/>
        <v>1.362553026955369</v>
      </c>
      <c r="W284" s="101">
        <f t="shared" si="42"/>
        <v>0.20336612342617447</v>
      </c>
      <c r="X284" s="95"/>
      <c r="Y284" s="95"/>
      <c r="Z284" s="102" t="s">
        <v>345</v>
      </c>
      <c r="AA284" s="103">
        <v>46109</v>
      </c>
      <c r="AB284" s="103">
        <v>46129</v>
      </c>
      <c r="AC284" s="103"/>
      <c r="AD284" s="104">
        <f>IF(ISNA(VLOOKUP(D284,亚马逊入库配置费!B:F,5,0)),0,VLOOKUP(D284,亚马逊入库配置费!B:F,5,0))</f>
        <v>0.36416666666666669</v>
      </c>
      <c r="AE284" s="104">
        <f t="shared" si="40"/>
        <v>728.33333333333337</v>
      </c>
      <c r="AF284" s="103">
        <v>46146</v>
      </c>
      <c r="AG284" s="90">
        <f t="shared" si="38"/>
        <v>37</v>
      </c>
      <c r="AH284" s="103">
        <v>46178</v>
      </c>
      <c r="AI284" s="96"/>
      <c r="AJ284" s="427">
        <f t="shared" si="39"/>
        <v>32</v>
      </c>
      <c r="AK284" s="96"/>
      <c r="AL284" s="92"/>
      <c r="AM284" s="91"/>
      <c r="AN284" s="91"/>
      <c r="AO284" s="96"/>
      <c r="AP284" s="105"/>
      <c r="AQ284" s="105"/>
      <c r="AR284" s="105"/>
      <c r="AS284" s="105"/>
    </row>
    <row r="285" spans="1:45" ht="12" customHeight="1" x14ac:dyDescent="0.25">
      <c r="A285" s="90">
        <v>284</v>
      </c>
      <c r="B285" s="91"/>
      <c r="C285" s="91" t="s">
        <v>4292</v>
      </c>
      <c r="D285" s="92" t="s">
        <v>4293</v>
      </c>
      <c r="E285" s="91" t="s">
        <v>97</v>
      </c>
      <c r="F285" s="91" t="s">
        <v>0</v>
      </c>
      <c r="G285" s="56" t="s">
        <v>876</v>
      </c>
      <c r="H285" s="91">
        <v>120</v>
      </c>
      <c r="I285" s="91" t="s">
        <v>207</v>
      </c>
      <c r="J285" s="91" t="s">
        <v>8</v>
      </c>
      <c r="K285" s="92" t="s">
        <v>46</v>
      </c>
      <c r="L285" s="93" t="str">
        <f>VLOOKUP(G285,'SKU 对应关系'!A:E,4,0)</f>
        <v>AN6-LV</v>
      </c>
      <c r="M285" s="94" t="str">
        <f>_xlfn.IFNA(VLOOKUP(G285,'SKU 对应关系'!A:B,2,0),"")</f>
        <v>AN6-LV 便携式扩香仪 薰衣草</v>
      </c>
      <c r="N285" s="95" t="str">
        <f>_xlfn.IFNA(VLOOKUP(G285,'SKU 对应关系'!$A:$D,3,0),"")</f>
        <v>AN6</v>
      </c>
      <c r="O285" s="96">
        <v>3</v>
      </c>
      <c r="P285" s="580">
        <v>40.87096774193548</v>
      </c>
      <c r="Q285" s="96" t="s">
        <v>16</v>
      </c>
      <c r="R285" s="91">
        <v>3.9</v>
      </c>
      <c r="S285" s="106">
        <v>200</v>
      </c>
      <c r="T285" s="98">
        <v>4.1095890410958908</v>
      </c>
      <c r="U285" s="99">
        <f t="shared" si="41"/>
        <v>163.50636323464425</v>
      </c>
      <c r="V285" s="100">
        <f t="shared" si="37"/>
        <v>1.3625530269553687</v>
      </c>
      <c r="W285" s="101">
        <f t="shared" si="42"/>
        <v>0.20336612342617444</v>
      </c>
      <c r="X285" s="95"/>
      <c r="Y285" s="95"/>
      <c r="Z285" s="102" t="s">
        <v>345</v>
      </c>
      <c r="AA285" s="103">
        <v>46109</v>
      </c>
      <c r="AB285" s="103">
        <v>46129</v>
      </c>
      <c r="AC285" s="103"/>
      <c r="AD285" s="104">
        <f>IF(ISNA(VLOOKUP(D285,亚马逊入库配置费!B:F,5,0)),0,VLOOKUP(D285,亚马逊入库配置费!B:F,5,0))</f>
        <v>0.36416666666666669</v>
      </c>
      <c r="AE285" s="104">
        <f t="shared" si="40"/>
        <v>43.7</v>
      </c>
      <c r="AF285" s="103">
        <v>46146</v>
      </c>
      <c r="AG285" s="90">
        <f t="shared" si="38"/>
        <v>37</v>
      </c>
      <c r="AH285" s="103">
        <v>46178</v>
      </c>
      <c r="AI285" s="96"/>
      <c r="AJ285" s="427">
        <f t="shared" si="39"/>
        <v>32</v>
      </c>
      <c r="AK285" s="96"/>
      <c r="AL285" s="92"/>
      <c r="AM285" s="91"/>
      <c r="AN285" s="91"/>
      <c r="AO285" s="96"/>
      <c r="AP285" s="105"/>
      <c r="AQ285" s="105"/>
      <c r="AR285" s="105"/>
      <c r="AS285" s="105"/>
    </row>
    <row r="286" spans="1:45" ht="12" customHeight="1" x14ac:dyDescent="0.25">
      <c r="A286" s="90">
        <v>285</v>
      </c>
      <c r="B286" s="91"/>
      <c r="C286" s="91" t="s">
        <v>4292</v>
      </c>
      <c r="D286" s="92" t="s">
        <v>4293</v>
      </c>
      <c r="E286" s="91" t="s">
        <v>97</v>
      </c>
      <c r="F286" s="91" t="s">
        <v>0</v>
      </c>
      <c r="G286" s="56" t="s">
        <v>165</v>
      </c>
      <c r="H286" s="91">
        <v>600</v>
      </c>
      <c r="I286" s="91" t="s">
        <v>207</v>
      </c>
      <c r="J286" s="91" t="s">
        <v>8</v>
      </c>
      <c r="K286" s="92" t="s">
        <v>46</v>
      </c>
      <c r="L286" s="93" t="str">
        <f>VLOOKUP(G286,'SKU 对应关系'!A:E,4,0)</f>
        <v>AN6-W</v>
      </c>
      <c r="M286" s="94" t="str">
        <f>_xlfn.IFNA(VLOOKUP(G286,'SKU 对应关系'!A:B,2,0),"")</f>
        <v>AN6-W 便携式扩香仪 白色</v>
      </c>
      <c r="N286" s="95" t="str">
        <f>_xlfn.IFNA(VLOOKUP(G286,'SKU 对应关系'!$A:$D,3,0),"")</f>
        <v>AN6</v>
      </c>
      <c r="O286" s="96">
        <v>15</v>
      </c>
      <c r="P286" s="580">
        <v>204.35483870967741</v>
      </c>
      <c r="Q286" s="96" t="s">
        <v>16</v>
      </c>
      <c r="R286" s="91">
        <v>3.9</v>
      </c>
      <c r="S286" s="95"/>
      <c r="T286" s="98">
        <v>20.547945205479451</v>
      </c>
      <c r="U286" s="99">
        <f t="shared" si="41"/>
        <v>817.53181617322127</v>
      </c>
      <c r="V286" s="100">
        <f t="shared" si="37"/>
        <v>1.3625530269553687</v>
      </c>
      <c r="W286" s="101">
        <f t="shared" si="42"/>
        <v>0.20336612342617444</v>
      </c>
      <c r="X286" s="95"/>
      <c r="Y286" s="95"/>
      <c r="Z286" s="102" t="s">
        <v>345</v>
      </c>
      <c r="AA286" s="103">
        <v>46109</v>
      </c>
      <c r="AB286" s="103">
        <v>46129</v>
      </c>
      <c r="AC286" s="103"/>
      <c r="AD286" s="104">
        <f>IF(ISNA(VLOOKUP(D286,亚马逊入库配置费!B:F,5,0)),0,VLOOKUP(D286,亚马逊入库配置费!B:F,5,0))</f>
        <v>0.36416666666666669</v>
      </c>
      <c r="AE286" s="104">
        <f t="shared" si="40"/>
        <v>218.50000000000003</v>
      </c>
      <c r="AF286" s="103">
        <v>46146</v>
      </c>
      <c r="AG286" s="90">
        <f t="shared" si="38"/>
        <v>37</v>
      </c>
      <c r="AH286" s="103">
        <v>46178</v>
      </c>
      <c r="AI286" s="96"/>
      <c r="AJ286" s="427">
        <f t="shared" si="39"/>
        <v>32</v>
      </c>
      <c r="AK286" s="96"/>
      <c r="AL286" s="92"/>
      <c r="AM286" s="91"/>
      <c r="AN286" s="91"/>
      <c r="AO286" s="96"/>
      <c r="AP286" s="105"/>
      <c r="AQ286" s="105"/>
      <c r="AR286" s="105"/>
      <c r="AS286" s="105"/>
    </row>
    <row r="287" spans="1:45" ht="12" customHeight="1" x14ac:dyDescent="0.25">
      <c r="A287" s="90">
        <v>286</v>
      </c>
      <c r="B287" s="91"/>
      <c r="C287" s="91" t="s">
        <v>4292</v>
      </c>
      <c r="D287" s="92" t="s">
        <v>4293</v>
      </c>
      <c r="E287" s="91" t="s">
        <v>97</v>
      </c>
      <c r="F287" s="91" t="s">
        <v>0</v>
      </c>
      <c r="G287" s="56" t="s">
        <v>786</v>
      </c>
      <c r="H287" s="91">
        <v>200</v>
      </c>
      <c r="I287" s="91" t="s">
        <v>207</v>
      </c>
      <c r="J287" s="91" t="s">
        <v>8</v>
      </c>
      <c r="K287" s="92" t="s">
        <v>46</v>
      </c>
      <c r="L287" s="93" t="str">
        <f>VLOOKUP(G287,'SKU 对应关系'!A:E,4,0)</f>
        <v>AN6-YG</v>
      </c>
      <c r="M287" s="94" t="str">
        <f>_xlfn.IFNA(VLOOKUP(G287,'SKU 对应关系'!A:B,2,0),"")</f>
        <v>AN6-YG 便携式扩香仪 乳酪色</v>
      </c>
      <c r="N287" s="95" t="str">
        <f>_xlfn.IFNA(VLOOKUP(G287,'SKU 对应关系'!$A:$D,3,0),"")</f>
        <v>AN6</v>
      </c>
      <c r="O287" s="96">
        <v>5</v>
      </c>
      <c r="P287" s="580">
        <v>68.118279569892465</v>
      </c>
      <c r="Q287" s="96" t="s">
        <v>16</v>
      </c>
      <c r="R287" s="91">
        <v>3.9</v>
      </c>
      <c r="S287" s="95"/>
      <c r="T287" s="98">
        <v>6.8493150684931505</v>
      </c>
      <c r="U287" s="99">
        <f t="shared" si="41"/>
        <v>272.51060539107374</v>
      </c>
      <c r="V287" s="100">
        <f t="shared" si="37"/>
        <v>1.3625530269553687</v>
      </c>
      <c r="W287" s="101">
        <f t="shared" si="42"/>
        <v>0.20336612342617444</v>
      </c>
      <c r="X287" s="95"/>
      <c r="Y287" s="95"/>
      <c r="Z287" s="102" t="s">
        <v>345</v>
      </c>
      <c r="AA287" s="103">
        <v>46109</v>
      </c>
      <c r="AB287" s="103">
        <v>46129</v>
      </c>
      <c r="AC287" s="103"/>
      <c r="AD287" s="104">
        <f>IF(ISNA(VLOOKUP(D287,亚马逊入库配置费!B:F,5,0)),0,VLOOKUP(D287,亚马逊入库配置费!B:F,5,0))</f>
        <v>0.36416666666666669</v>
      </c>
      <c r="AE287" s="104">
        <f t="shared" si="40"/>
        <v>72.833333333333343</v>
      </c>
      <c r="AF287" s="103">
        <v>46146</v>
      </c>
      <c r="AG287" s="90">
        <f t="shared" si="38"/>
        <v>37</v>
      </c>
      <c r="AH287" s="103">
        <v>46178</v>
      </c>
      <c r="AI287" s="96"/>
      <c r="AJ287" s="427">
        <f t="shared" si="39"/>
        <v>32</v>
      </c>
      <c r="AK287" s="96"/>
      <c r="AL287" s="92"/>
      <c r="AM287" s="91"/>
      <c r="AN287" s="91"/>
      <c r="AO287" s="96"/>
      <c r="AP287" s="105"/>
      <c r="AQ287" s="105"/>
      <c r="AR287" s="105"/>
      <c r="AS287" s="105"/>
    </row>
    <row r="288" spans="1:45" ht="12" customHeight="1" x14ac:dyDescent="0.25">
      <c r="A288" s="90">
        <v>287</v>
      </c>
      <c r="B288" s="91"/>
      <c r="C288" s="91" t="s">
        <v>4292</v>
      </c>
      <c r="D288" s="92" t="s">
        <v>4293</v>
      </c>
      <c r="E288" s="91" t="s">
        <v>97</v>
      </c>
      <c r="F288" s="91" t="s">
        <v>0</v>
      </c>
      <c r="G288" s="56" t="s">
        <v>1213</v>
      </c>
      <c r="H288" s="91">
        <v>320</v>
      </c>
      <c r="I288" s="91" t="s">
        <v>207</v>
      </c>
      <c r="J288" s="91" t="s">
        <v>8</v>
      </c>
      <c r="K288" s="92" t="s">
        <v>46</v>
      </c>
      <c r="L288" s="93" t="str">
        <f>VLOOKUP(G288,'SKU 对应关系'!A:E,4,0)</f>
        <v>AN8-B</v>
      </c>
      <c r="M288" s="94" t="str">
        <f>_xlfn.IFNA(VLOOKUP(G288,'SKU 对应关系'!A:B,2,0),"")</f>
        <v>AN8-B 便携式扩香仪 黑色</v>
      </c>
      <c r="N288" s="95" t="str">
        <f>_xlfn.IFNA(VLOOKUP(G288,'SKU 对应关系'!$A:$D,3,0),"")</f>
        <v>AN8</v>
      </c>
      <c r="O288" s="96">
        <v>8</v>
      </c>
      <c r="P288" s="580">
        <v>108.98924731182795</v>
      </c>
      <c r="Q288" s="96" t="s">
        <v>16</v>
      </c>
      <c r="R288" s="91">
        <v>3.9</v>
      </c>
      <c r="S288" s="95"/>
      <c r="T288" s="98">
        <v>10.95890410958904</v>
      </c>
      <c r="U288" s="99">
        <f t="shared" si="41"/>
        <v>436.01696862571799</v>
      </c>
      <c r="V288" s="100">
        <f t="shared" si="37"/>
        <v>1.3625530269553687</v>
      </c>
      <c r="W288" s="101">
        <f t="shared" si="42"/>
        <v>0.20336612342617444</v>
      </c>
      <c r="X288" s="95"/>
      <c r="Y288" s="95"/>
      <c r="Z288" s="102" t="s">
        <v>345</v>
      </c>
      <c r="AA288" s="103">
        <v>46109</v>
      </c>
      <c r="AB288" s="103">
        <v>46129</v>
      </c>
      <c r="AC288" s="103"/>
      <c r="AD288" s="104">
        <f>IF(ISNA(VLOOKUP(D288,亚马逊入库配置费!B:F,5,0)),0,VLOOKUP(D288,亚马逊入库配置费!B:F,5,0))</f>
        <v>0.36416666666666669</v>
      </c>
      <c r="AE288" s="104">
        <f t="shared" si="40"/>
        <v>116.53333333333335</v>
      </c>
      <c r="AF288" s="103">
        <v>46146</v>
      </c>
      <c r="AG288" s="90">
        <f t="shared" si="38"/>
        <v>37</v>
      </c>
      <c r="AH288" s="103">
        <v>46178</v>
      </c>
      <c r="AI288" s="96"/>
      <c r="AJ288" s="427">
        <f t="shared" si="39"/>
        <v>32</v>
      </c>
      <c r="AK288" s="96"/>
      <c r="AL288" s="92"/>
      <c r="AM288" s="91"/>
      <c r="AN288" s="91"/>
      <c r="AO288" s="96"/>
      <c r="AP288" s="105"/>
      <c r="AQ288" s="105"/>
      <c r="AR288" s="105"/>
      <c r="AS288" s="105"/>
    </row>
    <row r="289" spans="1:45" ht="12" customHeight="1" x14ac:dyDescent="0.25">
      <c r="A289" s="90">
        <v>288</v>
      </c>
      <c r="B289" s="91"/>
      <c r="C289" s="91" t="s">
        <v>4292</v>
      </c>
      <c r="D289" s="92" t="s">
        <v>4293</v>
      </c>
      <c r="E289" s="91" t="s">
        <v>97</v>
      </c>
      <c r="F289" s="91" t="s">
        <v>0</v>
      </c>
      <c r="G289" s="56" t="s">
        <v>1217</v>
      </c>
      <c r="H289" s="91">
        <v>200</v>
      </c>
      <c r="I289" s="91" t="s">
        <v>207</v>
      </c>
      <c r="J289" s="91" t="s">
        <v>8</v>
      </c>
      <c r="K289" s="92" t="s">
        <v>46</v>
      </c>
      <c r="L289" s="93" t="str">
        <f>VLOOKUP(G289,'SKU 对应关系'!A:E,4,0)</f>
        <v>AN8KIT-B_B</v>
      </c>
      <c r="M289" s="94" t="str">
        <f>_xlfn.IFNA(VLOOKUP(G289,'SKU 对应关系'!A:B,2,0),"")</f>
        <v>AN8KIT-B_B 便携式扩香仪套装 黑+黑</v>
      </c>
      <c r="N289" s="95" t="str">
        <f>_xlfn.IFNA(VLOOKUP(G289,'SKU 对应关系'!$A:$D,3,0),"")</f>
        <v>AN8</v>
      </c>
      <c r="O289" s="96">
        <v>10</v>
      </c>
      <c r="P289" s="580">
        <v>136.23655913978493</v>
      </c>
      <c r="Q289" s="96" t="s">
        <v>16</v>
      </c>
      <c r="R289" s="91">
        <v>3.9</v>
      </c>
      <c r="S289" s="95"/>
      <c r="T289" s="98">
        <v>13.698630136986301</v>
      </c>
      <c r="U289" s="99">
        <f t="shared" si="41"/>
        <v>545.02121078214748</v>
      </c>
      <c r="V289" s="100">
        <f t="shared" si="37"/>
        <v>2.7251060539107375</v>
      </c>
      <c r="W289" s="101">
        <f t="shared" si="42"/>
        <v>0.40673224685234888</v>
      </c>
      <c r="X289" s="95"/>
      <c r="Y289" s="95"/>
      <c r="Z289" s="102" t="s">
        <v>345</v>
      </c>
      <c r="AA289" s="103">
        <v>46109</v>
      </c>
      <c r="AB289" s="103">
        <v>46129</v>
      </c>
      <c r="AC289" s="103"/>
      <c r="AD289" s="104">
        <f>IF(ISNA(VLOOKUP(D289,亚马逊入库配置费!B:F,5,0)),0,VLOOKUP(D289,亚马逊入库配置费!B:F,5,0))</f>
        <v>0.36416666666666669</v>
      </c>
      <c r="AE289" s="104">
        <f t="shared" si="40"/>
        <v>72.833333333333343</v>
      </c>
      <c r="AF289" s="103">
        <v>46146</v>
      </c>
      <c r="AG289" s="90">
        <f t="shared" si="38"/>
        <v>37</v>
      </c>
      <c r="AH289" s="103">
        <v>46178</v>
      </c>
      <c r="AI289" s="96"/>
      <c r="AJ289" s="427">
        <f t="shared" si="39"/>
        <v>32</v>
      </c>
      <c r="AK289" s="96"/>
      <c r="AL289" s="92"/>
      <c r="AM289" s="91"/>
      <c r="AN289" s="91"/>
      <c r="AO289" s="96"/>
      <c r="AP289" s="105"/>
      <c r="AQ289" s="105"/>
      <c r="AR289" s="105"/>
      <c r="AS289" s="105"/>
    </row>
    <row r="290" spans="1:45" ht="12" customHeight="1" x14ac:dyDescent="0.25">
      <c r="A290" s="90">
        <v>289</v>
      </c>
      <c r="B290" s="91"/>
      <c r="C290" s="91" t="s">
        <v>4292</v>
      </c>
      <c r="D290" s="92" t="s">
        <v>4293</v>
      </c>
      <c r="E290" s="91" t="s">
        <v>97</v>
      </c>
      <c r="F290" s="91" t="s">
        <v>0</v>
      </c>
      <c r="G290" s="56" t="s">
        <v>355</v>
      </c>
      <c r="H290" s="91">
        <v>200</v>
      </c>
      <c r="I290" s="91" t="s">
        <v>207</v>
      </c>
      <c r="J290" s="91" t="s">
        <v>8</v>
      </c>
      <c r="K290" s="92" t="s">
        <v>46</v>
      </c>
      <c r="L290" s="93" t="str">
        <f>VLOOKUP(G290,'SKU 对应关系'!A:E,4,0)</f>
        <v>AN6NZ-B</v>
      </c>
      <c r="M290" s="94" t="str">
        <f>_xlfn.IFNA(VLOOKUP(G290,'SKU 对应关系'!A:B,2,0),"")</f>
        <v>AN6NZ-B AN6喷嘴配件套装 黑色</v>
      </c>
      <c r="N290" s="95" t="str">
        <f>_xlfn.IFNA(VLOOKUP(G290,'SKU 对应关系'!$A:$D,3,0),"")</f>
        <v>AN6-AC</v>
      </c>
      <c r="O290" s="96">
        <v>1</v>
      </c>
      <c r="P290" s="580">
        <v>13.623655913978494</v>
      </c>
      <c r="Q290" s="96" t="s">
        <v>16</v>
      </c>
      <c r="R290" s="91">
        <v>3.9</v>
      </c>
      <c r="S290" s="95"/>
      <c r="T290" s="98">
        <v>1.3698630136986301</v>
      </c>
      <c r="U290" s="99">
        <f t="shared" si="41"/>
        <v>54.502121078214749</v>
      </c>
      <c r="V290" s="100">
        <f t="shared" si="37"/>
        <v>0.27251060539107375</v>
      </c>
      <c r="W290" s="101">
        <f t="shared" si="42"/>
        <v>4.0673224685234884E-2</v>
      </c>
      <c r="X290" s="95"/>
      <c r="Y290" s="95"/>
      <c r="Z290" s="102" t="s">
        <v>345</v>
      </c>
      <c r="AA290" s="103">
        <v>46109</v>
      </c>
      <c r="AB290" s="103">
        <v>46129</v>
      </c>
      <c r="AC290" s="103"/>
      <c r="AD290" s="104">
        <f>IF(ISNA(VLOOKUP(D290,亚马逊入库配置费!B:F,5,0)),0,VLOOKUP(D290,亚马逊入库配置费!B:F,5,0))</f>
        <v>0.36416666666666669</v>
      </c>
      <c r="AE290" s="104">
        <f t="shared" si="40"/>
        <v>72.833333333333343</v>
      </c>
      <c r="AF290" s="103">
        <v>46146</v>
      </c>
      <c r="AG290" s="90">
        <f t="shared" si="38"/>
        <v>37</v>
      </c>
      <c r="AH290" s="103">
        <v>46178</v>
      </c>
      <c r="AI290" s="96"/>
      <c r="AJ290" s="427">
        <f t="shared" si="39"/>
        <v>32</v>
      </c>
      <c r="AK290" s="96"/>
      <c r="AL290" s="92"/>
      <c r="AM290" s="91"/>
      <c r="AN290" s="91"/>
      <c r="AO290" s="96"/>
      <c r="AP290" s="105"/>
      <c r="AQ290" s="105"/>
      <c r="AR290" s="105"/>
      <c r="AS290" s="105"/>
    </row>
    <row r="291" spans="1:45" ht="12" customHeight="1" x14ac:dyDescent="0.25">
      <c r="A291" s="90">
        <v>290</v>
      </c>
      <c r="B291" s="91"/>
      <c r="C291" s="91" t="s">
        <v>4292</v>
      </c>
      <c r="D291" s="92" t="s">
        <v>4293</v>
      </c>
      <c r="E291" s="91" t="s">
        <v>97</v>
      </c>
      <c r="F291" s="91" t="s">
        <v>0</v>
      </c>
      <c r="G291" s="56" t="s">
        <v>355</v>
      </c>
      <c r="H291" s="91">
        <v>100</v>
      </c>
      <c r="I291" s="91" t="s">
        <v>207</v>
      </c>
      <c r="J291" s="91" t="s">
        <v>8</v>
      </c>
      <c r="K291" s="92" t="s">
        <v>46</v>
      </c>
      <c r="L291" s="93" t="str">
        <f>VLOOKUP(G291,'SKU 对应关系'!A:E,4,0)</f>
        <v>AN6NZ-B</v>
      </c>
      <c r="M291" s="94" t="str">
        <f>_xlfn.IFNA(VLOOKUP(G291,'SKU 对应关系'!A:B,2,0),"")</f>
        <v>AN6NZ-B AN6喷嘴配件套装 黑色</v>
      </c>
      <c r="N291" s="95" t="str">
        <f>_xlfn.IFNA(VLOOKUP(G291,'SKU 对应关系'!$A:$D,3,0),"")</f>
        <v>AN6-AC</v>
      </c>
      <c r="O291" s="96">
        <v>0.5</v>
      </c>
      <c r="P291" s="580">
        <v>6.811827956989247</v>
      </c>
      <c r="Q291" s="96" t="s">
        <v>16</v>
      </c>
      <c r="R291" s="91">
        <v>3.9</v>
      </c>
      <c r="S291" s="95"/>
      <c r="T291" s="98">
        <v>0.68493150684931503</v>
      </c>
      <c r="U291" s="99">
        <f t="shared" si="41"/>
        <v>27.251060539107375</v>
      </c>
      <c r="V291" s="100">
        <f t="shared" si="37"/>
        <v>0.27251060539107375</v>
      </c>
      <c r="W291" s="101">
        <f t="shared" si="42"/>
        <v>4.0673224685234884E-2</v>
      </c>
      <c r="X291" s="95"/>
      <c r="Y291" s="95"/>
      <c r="Z291" s="102" t="s">
        <v>345</v>
      </c>
      <c r="AA291" s="103">
        <v>46109</v>
      </c>
      <c r="AB291" s="103">
        <v>46129</v>
      </c>
      <c r="AC291" s="103"/>
      <c r="AD291" s="104">
        <f>IF(ISNA(VLOOKUP(D291,亚马逊入库配置费!B:F,5,0)),0,VLOOKUP(D291,亚马逊入库配置费!B:F,5,0))</f>
        <v>0.36416666666666669</v>
      </c>
      <c r="AE291" s="104">
        <f t="shared" si="40"/>
        <v>36.416666666666671</v>
      </c>
      <c r="AF291" s="103">
        <v>46146</v>
      </c>
      <c r="AG291" s="90">
        <f t="shared" si="38"/>
        <v>37</v>
      </c>
      <c r="AH291" s="103">
        <v>46178</v>
      </c>
      <c r="AI291" s="96"/>
      <c r="AJ291" s="427">
        <f t="shared" si="39"/>
        <v>32</v>
      </c>
      <c r="AK291" s="96"/>
      <c r="AL291" s="92"/>
      <c r="AM291" s="91"/>
      <c r="AN291" s="91"/>
      <c r="AO291" s="96"/>
      <c r="AP291" s="105"/>
      <c r="AQ291" s="105"/>
      <c r="AR291" s="105"/>
      <c r="AS291" s="105"/>
    </row>
    <row r="292" spans="1:45" ht="11.75" customHeight="1" x14ac:dyDescent="0.25">
      <c r="A292" s="90">
        <v>291</v>
      </c>
      <c r="B292" s="91"/>
      <c r="C292" s="91" t="s">
        <v>4292</v>
      </c>
      <c r="D292" s="92" t="s">
        <v>4293</v>
      </c>
      <c r="E292" s="91" t="s">
        <v>97</v>
      </c>
      <c r="F292" s="91" t="s">
        <v>0</v>
      </c>
      <c r="G292" s="56" t="s">
        <v>357</v>
      </c>
      <c r="H292" s="91">
        <v>100</v>
      </c>
      <c r="I292" s="91" t="s">
        <v>207</v>
      </c>
      <c r="J292" s="91" t="s">
        <v>8</v>
      </c>
      <c r="K292" s="92" t="s">
        <v>46</v>
      </c>
      <c r="L292" s="93" t="str">
        <f>VLOOKUP(G292,'SKU 对应关系'!A:E,4,0)</f>
        <v>AN6NZ-W</v>
      </c>
      <c r="M292" s="94" t="str">
        <f>_xlfn.IFNA(VLOOKUP(G292,'SKU 对应关系'!A:B,2,0),"")</f>
        <v>AN6NZ-W AN6喷嘴配件套装 白色</v>
      </c>
      <c r="N292" s="95" t="str">
        <f>_xlfn.IFNA(VLOOKUP(G292,'SKU 对应关系'!$A:$D,3,0),"")</f>
        <v>AN6-AC</v>
      </c>
      <c r="O292" s="96">
        <v>0.5</v>
      </c>
      <c r="P292" s="580">
        <v>6.811827956989247</v>
      </c>
      <c r="Q292" s="96" t="s">
        <v>16</v>
      </c>
      <c r="R292" s="91">
        <v>3.9</v>
      </c>
      <c r="S292" s="95"/>
      <c r="T292" s="98">
        <v>0.68493150684931503</v>
      </c>
      <c r="U292" s="99">
        <f t="shared" si="41"/>
        <v>27.251060539107375</v>
      </c>
      <c r="V292" s="100">
        <f t="shared" si="37"/>
        <v>0.27251060539107375</v>
      </c>
      <c r="W292" s="101">
        <f t="shared" si="42"/>
        <v>4.0673224685234884E-2</v>
      </c>
      <c r="X292" s="95"/>
      <c r="Y292" s="95"/>
      <c r="Z292" s="102" t="s">
        <v>345</v>
      </c>
      <c r="AA292" s="103">
        <v>46109</v>
      </c>
      <c r="AB292" s="103">
        <v>46129</v>
      </c>
      <c r="AC292" s="103"/>
      <c r="AD292" s="104">
        <f>IF(ISNA(VLOOKUP(D292,亚马逊入库配置费!B:F,5,0)),0,VLOOKUP(D292,亚马逊入库配置费!B:F,5,0))</f>
        <v>0.36416666666666669</v>
      </c>
      <c r="AE292" s="104">
        <f t="shared" si="40"/>
        <v>36.416666666666671</v>
      </c>
      <c r="AF292" s="103">
        <v>46146</v>
      </c>
      <c r="AG292" s="90">
        <f t="shared" si="38"/>
        <v>37</v>
      </c>
      <c r="AH292" s="103">
        <v>46178</v>
      </c>
      <c r="AI292" s="96"/>
      <c r="AJ292" s="427">
        <f t="shared" si="39"/>
        <v>32</v>
      </c>
      <c r="AK292" s="96"/>
      <c r="AL292" s="92"/>
      <c r="AM292" s="91"/>
      <c r="AN292" s="91"/>
      <c r="AO292" s="96"/>
      <c r="AP292" s="105"/>
      <c r="AQ292" s="105"/>
      <c r="AR292" s="105"/>
      <c r="AS292" s="105"/>
    </row>
    <row r="293" spans="1:45" ht="12" customHeight="1" x14ac:dyDescent="0.25">
      <c r="A293" s="90">
        <v>292</v>
      </c>
      <c r="B293" s="91"/>
      <c r="C293" s="91" t="s">
        <v>4294</v>
      </c>
      <c r="D293" s="92" t="s">
        <v>4295</v>
      </c>
      <c r="E293" s="91" t="s">
        <v>97</v>
      </c>
      <c r="F293" s="91" t="s">
        <v>0</v>
      </c>
      <c r="G293" s="56" t="s">
        <v>2962</v>
      </c>
      <c r="H293" s="91">
        <v>300</v>
      </c>
      <c r="I293" s="91" t="s">
        <v>89</v>
      </c>
      <c r="J293" s="91" t="s">
        <v>8</v>
      </c>
      <c r="K293" s="92" t="s">
        <v>13</v>
      </c>
      <c r="L293" s="93" t="str">
        <f>VLOOKUP(G293,'SKU 对应关系'!A:E,4,0)</f>
        <v>AN6KIT-B_4X10K04_TZ</v>
      </c>
      <c r="M293" s="94" t="str">
        <f>_xlfn.IFNA(VLOOKUP(G293,'SKU 对应关系'!A:B,2,0),"")</f>
        <v>AN6KIT-B_4X10K04_TZ AN6黑色机器+4x10mL酒店（天竺）香氛油 机油套装</v>
      </c>
      <c r="N293" s="95" t="str">
        <f>_xlfn.IFNA(VLOOKUP(G293,'SKU 对应关系'!$A:$D,3,0),"")</f>
        <v>AN6</v>
      </c>
      <c r="O293" s="96">
        <v>10</v>
      </c>
      <c r="P293" s="580">
        <v>158.79611650485435</v>
      </c>
      <c r="Q293" s="96" t="s">
        <v>16</v>
      </c>
      <c r="R293" s="91">
        <v>4.2</v>
      </c>
      <c r="S293" s="95">
        <v>200</v>
      </c>
      <c r="T293" s="98">
        <v>14.492753623188406</v>
      </c>
      <c r="U293" s="99">
        <f t="shared" si="41"/>
        <v>681.43644294357671</v>
      </c>
      <c r="V293" s="100">
        <f t="shared" si="37"/>
        <v>2.2714548098119223</v>
      </c>
      <c r="W293" s="101">
        <f t="shared" si="42"/>
        <v>0.33902310594207796</v>
      </c>
      <c r="X293" s="95"/>
      <c r="Y293" s="95"/>
      <c r="Z293" s="102" t="s">
        <v>345</v>
      </c>
      <c r="AA293" s="103">
        <v>46109</v>
      </c>
      <c r="AB293" s="103">
        <v>46131</v>
      </c>
      <c r="AC293" s="103"/>
      <c r="AD293" s="104">
        <f>IF(ISNA(VLOOKUP(D293,亚马逊入库配置费!B:F,5,0)),0,VLOOKUP(D293,亚马逊入库配置费!B:F,5,0))</f>
        <v>0.43999999999999995</v>
      </c>
      <c r="AE293" s="104">
        <f t="shared" si="40"/>
        <v>131.99999999999997</v>
      </c>
      <c r="AF293" s="103">
        <v>46141</v>
      </c>
      <c r="AG293" s="90">
        <f t="shared" si="38"/>
        <v>32</v>
      </c>
      <c r="AH293" s="103">
        <v>46181</v>
      </c>
      <c r="AI293" s="96"/>
      <c r="AJ293" s="427">
        <f t="shared" si="39"/>
        <v>40</v>
      </c>
      <c r="AK293" s="96"/>
      <c r="AL293" s="92"/>
      <c r="AM293" s="91"/>
      <c r="AN293" s="91"/>
      <c r="AO293" s="96"/>
      <c r="AP293" s="105"/>
      <c r="AQ293" s="105"/>
      <c r="AR293" s="105"/>
      <c r="AS293" s="105"/>
    </row>
    <row r="294" spans="1:45" ht="12" customHeight="1" x14ac:dyDescent="0.25">
      <c r="A294" s="90">
        <v>293</v>
      </c>
      <c r="B294" s="91"/>
      <c r="C294" s="91" t="s">
        <v>4294</v>
      </c>
      <c r="D294" s="92" t="s">
        <v>4295</v>
      </c>
      <c r="E294" s="91" t="s">
        <v>97</v>
      </c>
      <c r="F294" s="91" t="s">
        <v>0</v>
      </c>
      <c r="G294" s="56" t="s">
        <v>1215</v>
      </c>
      <c r="H294" s="91">
        <v>570</v>
      </c>
      <c r="I294" s="91" t="s">
        <v>89</v>
      </c>
      <c r="J294" s="91" t="s">
        <v>8</v>
      </c>
      <c r="K294" s="92" t="s">
        <v>13</v>
      </c>
      <c r="L294" s="93" t="str">
        <f>VLOOKUP(G294,'SKU 对应关系'!A:E,4,0)</f>
        <v>AN8KIT-B_4X10K01</v>
      </c>
      <c r="M294" s="94" t="str">
        <f>_xlfn.IFNA(VLOOKUP(G294,'SKU 对应关系'!A:B,2,0),"")</f>
        <v>AN8KIT-B_4X10K01 AN8黑色机器+4x10mL酒店香氛油 机油套装</v>
      </c>
      <c r="N294" s="95" t="str">
        <f>_xlfn.IFNA(VLOOKUP(G294,'SKU 对应关系'!$A:$D,3,0),"")</f>
        <v>AN8</v>
      </c>
      <c r="O294" s="96">
        <v>19</v>
      </c>
      <c r="P294" s="580">
        <v>301.71262135922331</v>
      </c>
      <c r="Q294" s="96" t="s">
        <v>16</v>
      </c>
      <c r="R294" s="91">
        <v>4.2</v>
      </c>
      <c r="S294" s="106">
        <v>200</v>
      </c>
      <c r="T294" s="98">
        <v>27.536231884057973</v>
      </c>
      <c r="U294" s="99">
        <f t="shared" si="41"/>
        <v>1294.7292415927959</v>
      </c>
      <c r="V294" s="100">
        <f t="shared" si="37"/>
        <v>2.2714548098119227</v>
      </c>
      <c r="W294" s="101">
        <f t="shared" si="42"/>
        <v>0.33902310594207802</v>
      </c>
      <c r="X294" s="95"/>
      <c r="Y294" s="95"/>
      <c r="Z294" s="102" t="s">
        <v>345</v>
      </c>
      <c r="AA294" s="103">
        <v>46109</v>
      </c>
      <c r="AB294" s="103">
        <v>46131</v>
      </c>
      <c r="AC294" s="103"/>
      <c r="AD294" s="104">
        <f>IF(ISNA(VLOOKUP(D294,亚马逊入库配置费!B:F,5,0)),0,VLOOKUP(D294,亚马逊入库配置费!B:F,5,0))</f>
        <v>0.43999999999999995</v>
      </c>
      <c r="AE294" s="104">
        <f t="shared" si="40"/>
        <v>250.79999999999998</v>
      </c>
      <c r="AF294" s="103">
        <v>46141</v>
      </c>
      <c r="AG294" s="90">
        <f t="shared" si="38"/>
        <v>32</v>
      </c>
      <c r="AH294" s="103">
        <v>46181</v>
      </c>
      <c r="AI294" s="96"/>
      <c r="AJ294" s="427">
        <f t="shared" si="39"/>
        <v>40</v>
      </c>
      <c r="AK294" s="96"/>
      <c r="AL294" s="92"/>
      <c r="AM294" s="91"/>
      <c r="AN294" s="91"/>
      <c r="AO294" s="96"/>
      <c r="AP294" s="105"/>
      <c r="AQ294" s="105"/>
      <c r="AR294" s="105"/>
      <c r="AS294" s="105"/>
    </row>
    <row r="295" spans="1:45" ht="12" customHeight="1" x14ac:dyDescent="0.25">
      <c r="A295" s="90">
        <v>294</v>
      </c>
      <c r="B295" s="91"/>
      <c r="C295" s="91" t="s">
        <v>4294</v>
      </c>
      <c r="D295" s="92" t="s">
        <v>4295</v>
      </c>
      <c r="E295" s="91" t="s">
        <v>97</v>
      </c>
      <c r="F295" s="91" t="s">
        <v>0</v>
      </c>
      <c r="G295" s="56" t="s">
        <v>4291</v>
      </c>
      <c r="H295" s="91">
        <v>1500</v>
      </c>
      <c r="I295" s="91" t="s">
        <v>89</v>
      </c>
      <c r="J295" s="91" t="s">
        <v>8</v>
      </c>
      <c r="K295" s="92" t="s">
        <v>13</v>
      </c>
      <c r="L295" s="93" t="str">
        <f>VLOOKUP(G295,'SKU 对应关系'!A:E,4,0)</f>
        <v>AN8KIT-B_4X10K05_TZ</v>
      </c>
      <c r="M295" s="94" t="str">
        <f>_xlfn.IFNA(VLOOKUP(G295,'SKU 对应关系'!A:B,2,0),"")</f>
        <v>AN8KIT-B_4X10K05_TZ AN8黑色机器+4x10mL（天竺）酒店香氛油 机油套装</v>
      </c>
      <c r="N295" s="95" t="str">
        <f>_xlfn.IFNA(VLOOKUP(G295,'SKU 对应关系'!$A:$D,3,0),"")</f>
        <v>AN8</v>
      </c>
      <c r="O295" s="96">
        <v>50</v>
      </c>
      <c r="P295" s="580">
        <v>793.98058252427188</v>
      </c>
      <c r="Q295" s="96" t="s">
        <v>16</v>
      </c>
      <c r="R295" s="91">
        <v>4.2</v>
      </c>
      <c r="S295" s="95"/>
      <c r="T295" s="98">
        <v>72.463768115942031</v>
      </c>
      <c r="U295" s="99">
        <f t="shared" si="41"/>
        <v>3407.1822147178841</v>
      </c>
      <c r="V295" s="100">
        <f t="shared" si="37"/>
        <v>2.2714548098119227</v>
      </c>
      <c r="W295" s="101">
        <f t="shared" si="42"/>
        <v>0.33902310594207802</v>
      </c>
      <c r="X295" s="95"/>
      <c r="Y295" s="95"/>
      <c r="Z295" s="102" t="s">
        <v>345</v>
      </c>
      <c r="AA295" s="103">
        <v>46109</v>
      </c>
      <c r="AB295" s="103">
        <v>46131</v>
      </c>
      <c r="AC295" s="103"/>
      <c r="AD295" s="104">
        <f>IF(ISNA(VLOOKUP(D295,亚马逊入库配置费!B:F,5,0)),0,VLOOKUP(D295,亚马逊入库配置费!B:F,5,0))</f>
        <v>0.43999999999999995</v>
      </c>
      <c r="AE295" s="104">
        <f t="shared" si="40"/>
        <v>659.99999999999989</v>
      </c>
      <c r="AF295" s="103">
        <v>46141</v>
      </c>
      <c r="AG295" s="90">
        <f t="shared" si="38"/>
        <v>32</v>
      </c>
      <c r="AH295" s="103">
        <v>46181</v>
      </c>
      <c r="AI295" s="96"/>
      <c r="AJ295" s="427">
        <f t="shared" si="39"/>
        <v>40</v>
      </c>
      <c r="AK295" s="96"/>
      <c r="AL295" s="92"/>
      <c r="AM295" s="91"/>
      <c r="AN295" s="91"/>
      <c r="AO295" s="96"/>
      <c r="AP295" s="105"/>
      <c r="AQ295" s="105"/>
      <c r="AR295" s="105"/>
      <c r="AS295" s="105"/>
    </row>
    <row r="296" spans="1:45" ht="12" customHeight="1" x14ac:dyDescent="0.25">
      <c r="A296" s="90">
        <v>295</v>
      </c>
      <c r="B296" s="91"/>
      <c r="C296" s="91" t="s">
        <v>4294</v>
      </c>
      <c r="D296" s="92" t="s">
        <v>4295</v>
      </c>
      <c r="E296" s="91" t="s">
        <v>97</v>
      </c>
      <c r="F296" s="91" t="s">
        <v>0</v>
      </c>
      <c r="G296" s="56" t="s">
        <v>4230</v>
      </c>
      <c r="H296" s="91">
        <v>720</v>
      </c>
      <c r="I296" s="91" t="s">
        <v>89</v>
      </c>
      <c r="J296" s="91" t="s">
        <v>8</v>
      </c>
      <c r="K296" s="92" t="s">
        <v>13</v>
      </c>
      <c r="L296" s="93" t="str">
        <f>VLOOKUP(G296,'SKU 对应关系'!A:E,4,0)</f>
        <v>AN8KIT-WH_4X10K05_TZ</v>
      </c>
      <c r="M296" s="94" t="str">
        <f>_xlfn.IFNA(VLOOKUP(G296,'SKU 对应关系'!A:B,2,0),"")</f>
        <v>AN8KIT-WH_4X10K05_TZ AN8白色机器+4x10mL（天竺）酒店香氛油 机油套装</v>
      </c>
      <c r="N296" s="95" t="str">
        <f>_xlfn.IFNA(VLOOKUP(G296,'SKU 对应关系'!$A:$D,3,0),"")</f>
        <v>AN8</v>
      </c>
      <c r="O296" s="96">
        <v>24</v>
      </c>
      <c r="P296" s="580">
        <v>381.11067961165048</v>
      </c>
      <c r="Q296" s="96" t="s">
        <v>16</v>
      </c>
      <c r="R296" s="91">
        <v>4.2</v>
      </c>
      <c r="S296" s="95"/>
      <c r="T296" s="98">
        <v>34.782608695652172</v>
      </c>
      <c r="U296" s="99">
        <f t="shared" si="41"/>
        <v>1635.4474630645843</v>
      </c>
      <c r="V296" s="100">
        <f t="shared" si="37"/>
        <v>2.2714548098119227</v>
      </c>
      <c r="W296" s="101">
        <f t="shared" si="42"/>
        <v>0.33902310594207802</v>
      </c>
      <c r="X296" s="95"/>
      <c r="Y296" s="95"/>
      <c r="Z296" s="102" t="s">
        <v>345</v>
      </c>
      <c r="AA296" s="103">
        <v>46109</v>
      </c>
      <c r="AB296" s="103">
        <v>46131</v>
      </c>
      <c r="AC296" s="103"/>
      <c r="AD296" s="104">
        <f>IF(ISNA(VLOOKUP(D296,亚马逊入库配置费!B:F,5,0)),0,VLOOKUP(D296,亚马逊入库配置费!B:F,5,0))</f>
        <v>0.43999999999999995</v>
      </c>
      <c r="AE296" s="104">
        <f t="shared" si="40"/>
        <v>316.79999999999995</v>
      </c>
      <c r="AF296" s="103">
        <v>46141</v>
      </c>
      <c r="AG296" s="90">
        <f t="shared" si="38"/>
        <v>32</v>
      </c>
      <c r="AH296" s="103">
        <v>46181</v>
      </c>
      <c r="AI296" s="96"/>
      <c r="AJ296" s="427">
        <f t="shared" si="39"/>
        <v>40</v>
      </c>
      <c r="AK296" s="96"/>
      <c r="AL296" s="92"/>
      <c r="AM296" s="91"/>
      <c r="AN296" s="91"/>
      <c r="AO296" s="96"/>
      <c r="AP296" s="105"/>
      <c r="AQ296" s="105"/>
      <c r="AR296" s="105"/>
      <c r="AS296" s="105"/>
    </row>
    <row r="297" spans="1:45" ht="12" customHeight="1" x14ac:dyDescent="0.25">
      <c r="A297" s="90">
        <v>296</v>
      </c>
      <c r="B297" s="91"/>
      <c r="C297" s="91" t="s">
        <v>4294</v>
      </c>
      <c r="D297" s="92" t="s">
        <v>4296</v>
      </c>
      <c r="E297" s="91" t="s">
        <v>2411</v>
      </c>
      <c r="F297" s="91" t="s">
        <v>0</v>
      </c>
      <c r="G297" s="56" t="s">
        <v>4133</v>
      </c>
      <c r="H297" s="91">
        <v>150</v>
      </c>
      <c r="I297" s="91" t="s">
        <v>89</v>
      </c>
      <c r="J297" s="91" t="s">
        <v>8</v>
      </c>
      <c r="K297" s="92" t="s">
        <v>13</v>
      </c>
      <c r="L297" s="93" t="str">
        <f>VLOOKUP(G297,'SKU 对应关系'!A:E,4,0)</f>
        <v>ANZKIT-W_SJ30ML</v>
      </c>
      <c r="M297" s="94" t="str">
        <f>_xlfn.IFNA(VLOOKUP(G297,'SKU 对应关系'!A:B,2,0),"")</f>
        <v>ANZKIT-W_SJ30ML ANZ白色机器+30mL四季酒店香氛油（天竺） 机油套装</v>
      </c>
      <c r="N297" s="95" t="str">
        <f>_xlfn.IFNA(VLOOKUP(G297,'SKU 对应关系'!$A:$D,3,0),"")</f>
        <v>ANZ</v>
      </c>
      <c r="O297" s="96">
        <v>5</v>
      </c>
      <c r="P297" s="580">
        <v>79.400000000000006</v>
      </c>
      <c r="Q297" s="96" t="s">
        <v>16</v>
      </c>
      <c r="R297" s="91">
        <v>4.2</v>
      </c>
      <c r="S297" s="95"/>
      <c r="T297" s="98">
        <v>7.2463768115942031</v>
      </c>
      <c r="U297" s="99">
        <f t="shared" si="41"/>
        <v>340.72637681159421</v>
      </c>
      <c r="V297" s="100">
        <f t="shared" si="37"/>
        <v>2.2715091787439614</v>
      </c>
      <c r="W297" s="101">
        <f t="shared" si="42"/>
        <v>0.33903122070805392</v>
      </c>
      <c r="X297" s="95"/>
      <c r="Y297" s="95"/>
      <c r="Z297" s="102" t="s">
        <v>345</v>
      </c>
      <c r="AA297" s="103">
        <v>46109</v>
      </c>
      <c r="AB297" s="103">
        <v>46131</v>
      </c>
      <c r="AC297" s="103"/>
      <c r="AD297" s="104">
        <f>IF(ISNA(VLOOKUP(D297,亚马逊入库配置费!B:F,5,0)),0,VLOOKUP(D297,亚马逊入库配置费!B:F,5,0))</f>
        <v>0.44</v>
      </c>
      <c r="AE297" s="104">
        <f t="shared" si="40"/>
        <v>66</v>
      </c>
      <c r="AF297" s="103">
        <v>46148</v>
      </c>
      <c r="AG297" s="90">
        <f t="shared" si="38"/>
        <v>39</v>
      </c>
      <c r="AH297" s="103">
        <v>46157</v>
      </c>
      <c r="AI297" s="96"/>
      <c r="AJ297" s="427">
        <f t="shared" si="39"/>
        <v>9</v>
      </c>
      <c r="AK297" s="96"/>
      <c r="AL297" s="92"/>
      <c r="AM297" s="91"/>
      <c r="AN297" s="91"/>
      <c r="AO297" s="96"/>
      <c r="AP297" s="105"/>
      <c r="AQ297" s="105"/>
      <c r="AR297" s="105"/>
      <c r="AS297" s="105"/>
    </row>
    <row r="298" spans="1:45" ht="12" customHeight="1" x14ac:dyDescent="0.25">
      <c r="A298" s="90">
        <v>297</v>
      </c>
      <c r="B298" s="91"/>
      <c r="C298" s="91" t="s">
        <v>4297</v>
      </c>
      <c r="D298" s="92" t="s">
        <v>4298</v>
      </c>
      <c r="E298" s="91" t="s">
        <v>115</v>
      </c>
      <c r="F298" s="91" t="s">
        <v>0</v>
      </c>
      <c r="G298" s="56" t="s">
        <v>2195</v>
      </c>
      <c r="H298" s="91">
        <v>800</v>
      </c>
      <c r="I298" s="91" t="s">
        <v>207</v>
      </c>
      <c r="J298" s="91" t="s">
        <v>2412</v>
      </c>
      <c r="K298" s="92" t="s">
        <v>10</v>
      </c>
      <c r="L298" s="93" t="str">
        <f>VLOOKUP(G298,'SKU 对应关系'!A:E,4,0)</f>
        <v>ANZ-B</v>
      </c>
      <c r="M298" s="94" t="str">
        <f>_xlfn.IFNA(VLOOKUP(G298,'SKU 对应关系'!A:B,2,0),"")</f>
        <v>ANZ-B 便携式扩香仪 黑色</v>
      </c>
      <c r="N298" s="95" t="str">
        <f>_xlfn.IFNA(VLOOKUP(G298,'SKU 对应关系'!$A:$D,3,0),"")</f>
        <v>ANZ</v>
      </c>
      <c r="O298" s="96">
        <v>20</v>
      </c>
      <c r="P298" s="580">
        <v>287.14</v>
      </c>
      <c r="Q298" s="96" t="s">
        <v>16</v>
      </c>
      <c r="R298" s="91">
        <v>4.9000000000000004</v>
      </c>
      <c r="S298" s="95">
        <v>200</v>
      </c>
      <c r="T298" s="98">
        <v>142.85714285714286</v>
      </c>
      <c r="U298" s="99">
        <f t="shared" si="41"/>
        <v>1549.843142857143</v>
      </c>
      <c r="V298" s="100">
        <f t="shared" si="37"/>
        <v>1.9373039285714286</v>
      </c>
      <c r="W298" s="101">
        <f t="shared" si="42"/>
        <v>0.28914984008528782</v>
      </c>
      <c r="X298" s="95"/>
      <c r="Y298" s="95"/>
      <c r="Z298" s="102" t="s">
        <v>345</v>
      </c>
      <c r="AA298" s="103">
        <v>46109</v>
      </c>
      <c r="AB298" s="103">
        <v>46124</v>
      </c>
      <c r="AC298" s="103"/>
      <c r="AD298" s="104">
        <f>IF(ISNA(VLOOKUP(D298,亚马逊入库配置费!B:F,5,0)),0,VLOOKUP(D298,亚马逊入库配置费!B:F,5,0))</f>
        <v>0.36</v>
      </c>
      <c r="AE298" s="104">
        <f t="shared" si="40"/>
        <v>288</v>
      </c>
      <c r="AF298" s="103">
        <v>46145</v>
      </c>
      <c r="AG298" s="90">
        <f t="shared" si="38"/>
        <v>36</v>
      </c>
      <c r="AH298" s="103">
        <v>46177</v>
      </c>
      <c r="AI298" s="96"/>
      <c r="AJ298" s="427">
        <f t="shared" si="39"/>
        <v>32</v>
      </c>
      <c r="AK298" s="96"/>
      <c r="AL298" s="92"/>
      <c r="AM298" s="91"/>
      <c r="AN298" s="91"/>
      <c r="AO298" s="96"/>
      <c r="AP298" s="105"/>
      <c r="AQ298" s="105"/>
      <c r="AR298" s="105"/>
      <c r="AS298" s="105"/>
    </row>
    <row r="299" spans="1:45" ht="12" customHeight="1" x14ac:dyDescent="0.25">
      <c r="A299" s="90">
        <v>298</v>
      </c>
      <c r="B299" s="91"/>
      <c r="C299" s="91" t="s">
        <v>4297</v>
      </c>
      <c r="D299" s="92" t="s">
        <v>4299</v>
      </c>
      <c r="E299" s="91" t="s">
        <v>115</v>
      </c>
      <c r="F299" s="91" t="s">
        <v>0</v>
      </c>
      <c r="G299" s="56" t="s">
        <v>2885</v>
      </c>
      <c r="H299" s="91">
        <v>240</v>
      </c>
      <c r="I299" s="91" t="s">
        <v>207</v>
      </c>
      <c r="J299" s="91" t="s">
        <v>2412</v>
      </c>
      <c r="K299" s="92" t="s">
        <v>10</v>
      </c>
      <c r="L299" s="93" t="str">
        <f>VLOOKUP(G299,'SKU 对应关系'!A:E,4,0)</f>
        <v>ANZKIT-B_4X10K04_TZ</v>
      </c>
      <c r="M299" s="94" t="str">
        <f>_xlfn.IFNA(VLOOKUP(G299,'SKU 对应关系'!A:B,2,0),"")</f>
        <v>ANZKIT-B_4X10K04_TZ ANZ黑色机器+4x10mL酒店（天竺）香氛油 机油套装</v>
      </c>
      <c r="N299" s="95" t="str">
        <f>_xlfn.IFNA(VLOOKUP(G299,'SKU 对应关系'!$A:$D,3,0),"")</f>
        <v>ANZ</v>
      </c>
      <c r="O299" s="96">
        <v>8</v>
      </c>
      <c r="P299" s="580">
        <v>114.86</v>
      </c>
      <c r="Q299" s="96" t="s">
        <v>16</v>
      </c>
      <c r="R299" s="91">
        <v>4.9000000000000004</v>
      </c>
      <c r="S299" s="106">
        <v>200</v>
      </c>
      <c r="T299" s="98">
        <v>57.142857142857146</v>
      </c>
      <c r="U299" s="99">
        <f t="shared" si="41"/>
        <v>619.95685714285719</v>
      </c>
      <c r="V299" s="100">
        <f t="shared" si="37"/>
        <v>2.5831535714285718</v>
      </c>
      <c r="W299" s="101">
        <f t="shared" si="42"/>
        <v>0.38554530916844354</v>
      </c>
      <c r="X299" s="95"/>
      <c r="Y299" s="95"/>
      <c r="Z299" s="102" t="s">
        <v>345</v>
      </c>
      <c r="AA299" s="103">
        <v>46109</v>
      </c>
      <c r="AB299" s="103">
        <v>46124</v>
      </c>
      <c r="AC299" s="103"/>
      <c r="AD299" s="104">
        <f>IF(ISNA(VLOOKUP(D299,亚马逊入库配置费!B:F,5,0)),0,VLOOKUP(D299,亚马逊入库配置费!B:F,5,0))</f>
        <v>0.44</v>
      </c>
      <c r="AE299" s="104">
        <f t="shared" si="40"/>
        <v>105.6</v>
      </c>
      <c r="AF299" s="103">
        <v>46145</v>
      </c>
      <c r="AG299" s="90">
        <f t="shared" si="38"/>
        <v>36</v>
      </c>
      <c r="AH299" s="103">
        <v>46178</v>
      </c>
      <c r="AI299" s="96"/>
      <c r="AJ299" s="427">
        <f t="shared" si="39"/>
        <v>33</v>
      </c>
      <c r="AK299" s="96"/>
      <c r="AL299" s="92"/>
      <c r="AM299" s="91"/>
      <c r="AN299" s="91"/>
      <c r="AO299" s="96"/>
      <c r="AP299" s="105"/>
      <c r="AQ299" s="105"/>
      <c r="AR299" s="105"/>
      <c r="AS299" s="105"/>
    </row>
    <row r="300" spans="1:45" ht="12" customHeight="1" x14ac:dyDescent="0.25">
      <c r="A300" s="90">
        <v>299</v>
      </c>
      <c r="B300" s="91"/>
      <c r="C300" s="91" t="s">
        <v>4294</v>
      </c>
      <c r="D300" s="92" t="s">
        <v>4300</v>
      </c>
      <c r="E300" s="91" t="s">
        <v>115</v>
      </c>
      <c r="F300" s="91" t="s">
        <v>0</v>
      </c>
      <c r="G300" s="56" t="s">
        <v>2885</v>
      </c>
      <c r="H300" s="91">
        <v>360</v>
      </c>
      <c r="I300" s="91" t="s">
        <v>89</v>
      </c>
      <c r="J300" s="91" t="s">
        <v>8</v>
      </c>
      <c r="K300" s="92" t="s">
        <v>10</v>
      </c>
      <c r="L300" s="93" t="str">
        <f>VLOOKUP(G300,'SKU 对应关系'!A:E,4,0)</f>
        <v>ANZKIT-B_4X10K04_TZ</v>
      </c>
      <c r="M300" s="94" t="str">
        <f>_xlfn.IFNA(VLOOKUP(G300,'SKU 对应关系'!A:B,2,0),"")</f>
        <v>ANZKIT-B_4X10K04_TZ ANZ黑色机器+4x10mL酒店（天竺）香氛油 机油套装</v>
      </c>
      <c r="N300" s="95" t="str">
        <f>_xlfn.IFNA(VLOOKUP(G300,'SKU 对应关系'!$A:$D,3,0),"")</f>
        <v>ANZ</v>
      </c>
      <c r="O300" s="96">
        <v>12</v>
      </c>
      <c r="P300" s="580">
        <v>192.54545454545456</v>
      </c>
      <c r="Q300" s="96" t="s">
        <v>16</v>
      </c>
      <c r="R300" s="91">
        <v>4.3</v>
      </c>
      <c r="S300" s="95">
        <v>200</v>
      </c>
      <c r="T300" s="98">
        <v>17.391304347826086</v>
      </c>
      <c r="U300" s="99">
        <f t="shared" si="41"/>
        <v>845.33675889328072</v>
      </c>
      <c r="V300" s="100">
        <f t="shared" si="37"/>
        <v>2.3481576635924464</v>
      </c>
      <c r="W300" s="101">
        <f t="shared" si="42"/>
        <v>0.35047129307349945</v>
      </c>
      <c r="X300" s="95"/>
      <c r="Y300" s="95"/>
      <c r="Z300" s="102" t="s">
        <v>345</v>
      </c>
      <c r="AA300" s="103">
        <v>46109</v>
      </c>
      <c r="AB300" s="103">
        <v>46131</v>
      </c>
      <c r="AC300" s="103"/>
      <c r="AD300" s="104">
        <f>IF(ISNA(VLOOKUP(D300,亚马逊入库配置费!B:F,5,0)),0,VLOOKUP(D300,亚马逊入库配置费!B:F,5,0))</f>
        <v>0.43999999999999995</v>
      </c>
      <c r="AE300" s="104">
        <f t="shared" si="40"/>
        <v>158.39999999999998</v>
      </c>
      <c r="AF300" s="103">
        <v>46145</v>
      </c>
      <c r="AG300" s="90">
        <f t="shared" si="38"/>
        <v>36</v>
      </c>
      <c r="AH300" s="103">
        <v>46180</v>
      </c>
      <c r="AI300" s="96"/>
      <c r="AJ300" s="427">
        <f t="shared" si="39"/>
        <v>35</v>
      </c>
      <c r="AK300" s="96"/>
      <c r="AL300" s="92"/>
      <c r="AM300" s="91"/>
      <c r="AN300" s="91"/>
      <c r="AO300" s="96"/>
      <c r="AP300" s="105"/>
      <c r="AQ300" s="105"/>
      <c r="AR300" s="105"/>
      <c r="AS300" s="105"/>
    </row>
    <row r="301" spans="1:45" ht="12" customHeight="1" x14ac:dyDescent="0.25">
      <c r="A301" s="90">
        <v>300</v>
      </c>
      <c r="B301" s="91"/>
      <c r="C301" s="91" t="s">
        <v>4294</v>
      </c>
      <c r="D301" s="92" t="s">
        <v>4300</v>
      </c>
      <c r="E301" s="91" t="s">
        <v>115</v>
      </c>
      <c r="F301" s="91" t="s">
        <v>0</v>
      </c>
      <c r="G301" s="56" t="s">
        <v>4131</v>
      </c>
      <c r="H301" s="91">
        <v>300</v>
      </c>
      <c r="I301" s="91" t="s">
        <v>89</v>
      </c>
      <c r="J301" s="91" t="s">
        <v>8</v>
      </c>
      <c r="K301" s="92" t="s">
        <v>10</v>
      </c>
      <c r="L301" s="93" t="str">
        <f>VLOOKUP(G301,'SKU 对应关系'!A:E,4,0)</f>
        <v>ANZKIT-W_4X10K04_TZ</v>
      </c>
      <c r="M301" s="94" t="str">
        <f>_xlfn.IFNA(VLOOKUP(G301,'SKU 对应关系'!A:B,2,0),"")</f>
        <v>ANZKIT-W_4X10K04_TZ ANZ白色机器+4x10mL酒店（天竺）香氛油 机油套装</v>
      </c>
      <c r="N301" s="95" t="str">
        <f>_xlfn.IFNA(VLOOKUP(G301,'SKU 对应关系'!$A:$D,3,0),"")</f>
        <v>ANZ</v>
      </c>
      <c r="O301" s="96">
        <v>10</v>
      </c>
      <c r="P301" s="580">
        <v>160.45454545454547</v>
      </c>
      <c r="Q301" s="96" t="s">
        <v>16</v>
      </c>
      <c r="R301" s="91">
        <v>4.3</v>
      </c>
      <c r="S301" s="106">
        <v>200</v>
      </c>
      <c r="T301" s="98">
        <v>14.492753623188406</v>
      </c>
      <c r="U301" s="99">
        <f t="shared" si="41"/>
        <v>704.44729907773387</v>
      </c>
      <c r="V301" s="100">
        <f t="shared" si="37"/>
        <v>2.3481576635924464</v>
      </c>
      <c r="W301" s="101">
        <f t="shared" si="42"/>
        <v>0.35047129307349945</v>
      </c>
      <c r="X301" s="95"/>
      <c r="Y301" s="95"/>
      <c r="Z301" s="102" t="s">
        <v>345</v>
      </c>
      <c r="AA301" s="103">
        <v>46109</v>
      </c>
      <c r="AB301" s="103">
        <v>46131</v>
      </c>
      <c r="AC301" s="103"/>
      <c r="AD301" s="104">
        <f>IF(ISNA(VLOOKUP(D301,亚马逊入库配置费!B:F,5,0)),0,VLOOKUP(D301,亚马逊入库配置费!B:F,5,0))</f>
        <v>0.43999999999999995</v>
      </c>
      <c r="AE301" s="104">
        <f t="shared" si="40"/>
        <v>131.99999999999997</v>
      </c>
      <c r="AF301" s="103">
        <v>46145</v>
      </c>
      <c r="AG301" s="90">
        <f t="shared" si="38"/>
        <v>36</v>
      </c>
      <c r="AH301" s="103">
        <v>46180</v>
      </c>
      <c r="AI301" s="96"/>
      <c r="AJ301" s="427">
        <f t="shared" si="39"/>
        <v>35</v>
      </c>
      <c r="AK301" s="96"/>
      <c r="AL301" s="92"/>
      <c r="AM301" s="91"/>
      <c r="AN301" s="91"/>
      <c r="AO301" s="96"/>
      <c r="AP301" s="105"/>
      <c r="AQ301" s="105"/>
      <c r="AR301" s="105"/>
      <c r="AS301" s="105"/>
    </row>
    <row r="302" spans="1:45" ht="12" customHeight="1" x14ac:dyDescent="0.25">
      <c r="A302" s="90">
        <v>301</v>
      </c>
      <c r="B302" s="91"/>
      <c r="C302" s="91" t="s">
        <v>4301</v>
      </c>
      <c r="D302" s="92" t="s">
        <v>4302</v>
      </c>
      <c r="E302" s="91" t="s">
        <v>115</v>
      </c>
      <c r="F302" s="91" t="s">
        <v>0</v>
      </c>
      <c r="G302" s="56" t="s">
        <v>211</v>
      </c>
      <c r="H302" s="91">
        <v>180</v>
      </c>
      <c r="I302" s="91" t="s">
        <v>117</v>
      </c>
      <c r="J302" s="91" t="s">
        <v>8</v>
      </c>
      <c r="K302" s="92" t="s">
        <v>10</v>
      </c>
      <c r="L302" s="93" t="str">
        <f>VLOOKUP(G302,'SKU 对应关系'!A:E,4,0)</f>
        <v>ANX-B</v>
      </c>
      <c r="M302" s="94" t="str">
        <f>_xlfn.IFNA(VLOOKUP(G302,'SKU 对应关系'!A:B,2,0),"")</f>
        <v>ANX-B 便携式扩香仪 黑色</v>
      </c>
      <c r="N302" s="95" t="str">
        <f>_xlfn.IFNA(VLOOKUP(G302,'SKU 对应关系'!$A:$D,3,0),"")</f>
        <v>ANX</v>
      </c>
      <c r="O302" s="96">
        <v>6</v>
      </c>
      <c r="P302" s="580">
        <v>76.89473684210526</v>
      </c>
      <c r="Q302" s="96" t="s">
        <v>16</v>
      </c>
      <c r="R302" s="91">
        <v>4</v>
      </c>
      <c r="S302" s="95">
        <v>200</v>
      </c>
      <c r="T302" s="98">
        <v>12</v>
      </c>
      <c r="U302" s="99">
        <f t="shared" si="41"/>
        <v>319.57894736842104</v>
      </c>
      <c r="V302" s="100">
        <f t="shared" si="37"/>
        <v>1.775438596491228</v>
      </c>
      <c r="W302" s="101">
        <f t="shared" si="42"/>
        <v>0.26499083529719819</v>
      </c>
      <c r="X302" s="95"/>
      <c r="Y302" s="95"/>
      <c r="Z302" s="102" t="s">
        <v>345</v>
      </c>
      <c r="AA302" s="103">
        <v>46109</v>
      </c>
      <c r="AB302" s="103">
        <v>46130</v>
      </c>
      <c r="AC302" s="103"/>
      <c r="AD302" s="104">
        <f>IF(ISNA(VLOOKUP(D302,亚马逊入库配置费!B:F,5,0)),0,VLOOKUP(D302,亚马逊入库配置费!B:F,5,0))</f>
        <v>0.38244604316546765</v>
      </c>
      <c r="AE302" s="104">
        <f t="shared" si="40"/>
        <v>68.840287769784183</v>
      </c>
      <c r="AF302" s="103">
        <v>46137</v>
      </c>
      <c r="AG302" s="90">
        <f t="shared" si="38"/>
        <v>28</v>
      </c>
      <c r="AH302" s="103">
        <v>46178</v>
      </c>
      <c r="AI302" s="96"/>
      <c r="AJ302" s="427">
        <f t="shared" si="39"/>
        <v>41</v>
      </c>
      <c r="AK302" s="96"/>
      <c r="AL302" s="92"/>
      <c r="AM302" s="91"/>
      <c r="AN302" s="91"/>
      <c r="AO302" s="96"/>
      <c r="AP302" s="105"/>
      <c r="AQ302" s="105"/>
      <c r="AR302" s="105"/>
      <c r="AS302" s="105"/>
    </row>
    <row r="303" spans="1:45" ht="12" customHeight="1" x14ac:dyDescent="0.25">
      <c r="A303" s="90">
        <v>302</v>
      </c>
      <c r="B303" s="91"/>
      <c r="C303" s="91" t="s">
        <v>4301</v>
      </c>
      <c r="D303" s="92" t="s">
        <v>4302</v>
      </c>
      <c r="E303" s="91" t="s">
        <v>115</v>
      </c>
      <c r="F303" s="91" t="s">
        <v>0</v>
      </c>
      <c r="G303" s="56" t="s">
        <v>213</v>
      </c>
      <c r="H303" s="91">
        <v>210</v>
      </c>
      <c r="I303" s="91" t="s">
        <v>117</v>
      </c>
      <c r="J303" s="91" t="s">
        <v>8</v>
      </c>
      <c r="K303" s="92" t="s">
        <v>10</v>
      </c>
      <c r="L303" s="93" t="str">
        <f>VLOOKUP(G303,'SKU 对应关系'!A:E,4,0)</f>
        <v>ANX-DT</v>
      </c>
      <c r="M303" s="94" t="str">
        <f>_xlfn.IFNA(VLOOKUP(G303,'SKU 对应关系'!A:B,2,0),"")</f>
        <v>ANX-DT 便携式扩香仪 沙漠钛色</v>
      </c>
      <c r="N303" s="95" t="str">
        <f>_xlfn.IFNA(VLOOKUP(G303,'SKU 对应关系'!$A:$D,3,0),"")</f>
        <v>ANX</v>
      </c>
      <c r="O303" s="96">
        <v>7</v>
      </c>
      <c r="P303" s="580">
        <v>89.71052631578948</v>
      </c>
      <c r="Q303" s="96" t="s">
        <v>16</v>
      </c>
      <c r="R303" s="91">
        <v>4</v>
      </c>
      <c r="S303" s="106">
        <v>200</v>
      </c>
      <c r="T303" s="98">
        <v>14</v>
      </c>
      <c r="U303" s="99">
        <f t="shared" si="41"/>
        <v>372.84210526315792</v>
      </c>
      <c r="V303" s="100">
        <f t="shared" si="37"/>
        <v>1.7754385964912283</v>
      </c>
      <c r="W303" s="101">
        <f t="shared" si="42"/>
        <v>0.26499083529719825</v>
      </c>
      <c r="X303" s="95"/>
      <c r="Y303" s="95"/>
      <c r="Z303" s="102" t="s">
        <v>345</v>
      </c>
      <c r="AA303" s="103">
        <v>46109</v>
      </c>
      <c r="AB303" s="103">
        <v>46130</v>
      </c>
      <c r="AC303" s="103"/>
      <c r="AD303" s="104">
        <f>IF(ISNA(VLOOKUP(D303,亚马逊入库配置费!B:F,5,0)),0,VLOOKUP(D303,亚马逊入库配置费!B:F,5,0))</f>
        <v>0.38244604316546765</v>
      </c>
      <c r="AE303" s="104">
        <f t="shared" si="40"/>
        <v>80.313669064748211</v>
      </c>
      <c r="AF303" s="103">
        <v>46137</v>
      </c>
      <c r="AG303" s="90">
        <f t="shared" si="38"/>
        <v>28</v>
      </c>
      <c r="AH303" s="103">
        <v>46178</v>
      </c>
      <c r="AI303" s="96"/>
      <c r="AJ303" s="427">
        <f t="shared" si="39"/>
        <v>41</v>
      </c>
      <c r="AK303" s="96"/>
      <c r="AL303" s="92"/>
      <c r="AM303" s="91"/>
      <c r="AN303" s="91"/>
      <c r="AO303" s="96"/>
      <c r="AP303" s="105"/>
      <c r="AQ303" s="105"/>
      <c r="AR303" s="105"/>
      <c r="AS303" s="105"/>
    </row>
    <row r="304" spans="1:45" ht="12" customHeight="1" x14ac:dyDescent="0.25">
      <c r="A304" s="90">
        <v>303</v>
      </c>
      <c r="B304" s="91"/>
      <c r="C304" s="91" t="s">
        <v>4301</v>
      </c>
      <c r="D304" s="92" t="s">
        <v>4302</v>
      </c>
      <c r="E304" s="91" t="s">
        <v>115</v>
      </c>
      <c r="F304" s="91" t="s">
        <v>0</v>
      </c>
      <c r="G304" s="56" t="s">
        <v>2195</v>
      </c>
      <c r="H304" s="91">
        <v>600</v>
      </c>
      <c r="I304" s="91" t="s">
        <v>117</v>
      </c>
      <c r="J304" s="91" t="s">
        <v>8</v>
      </c>
      <c r="K304" s="92" t="s">
        <v>10</v>
      </c>
      <c r="L304" s="93" t="str">
        <f>VLOOKUP(G304,'SKU 对应关系'!A:E,4,0)</f>
        <v>ANZ-B</v>
      </c>
      <c r="M304" s="94" t="str">
        <f>_xlfn.IFNA(VLOOKUP(G304,'SKU 对应关系'!A:B,2,0),"")</f>
        <v>ANZ-B 便携式扩香仪 黑色</v>
      </c>
      <c r="N304" s="95" t="str">
        <f>_xlfn.IFNA(VLOOKUP(G304,'SKU 对应关系'!$A:$D,3,0),"")</f>
        <v>ANZ</v>
      </c>
      <c r="O304" s="96">
        <v>15</v>
      </c>
      <c r="P304" s="580">
        <v>192.23684210526315</v>
      </c>
      <c r="Q304" s="96" t="s">
        <v>16</v>
      </c>
      <c r="R304" s="91">
        <v>4</v>
      </c>
      <c r="S304" s="95"/>
      <c r="T304" s="98">
        <v>30</v>
      </c>
      <c r="U304" s="99">
        <f t="shared" si="41"/>
        <v>798.9473684210526</v>
      </c>
      <c r="V304" s="100">
        <f t="shared" si="37"/>
        <v>1.331578947368421</v>
      </c>
      <c r="W304" s="101">
        <f t="shared" si="42"/>
        <v>0.19874312647289866</v>
      </c>
      <c r="X304" s="95"/>
      <c r="Y304" s="95"/>
      <c r="Z304" s="102" t="s">
        <v>345</v>
      </c>
      <c r="AA304" s="103">
        <v>46109</v>
      </c>
      <c r="AB304" s="103">
        <v>46130</v>
      </c>
      <c r="AC304" s="103"/>
      <c r="AD304" s="104">
        <f>IF(ISNA(VLOOKUP(D304,亚马逊入库配置费!B:F,5,0)),0,VLOOKUP(D304,亚马逊入库配置费!B:F,5,0))</f>
        <v>0.38244604316546765</v>
      </c>
      <c r="AE304" s="104">
        <f t="shared" si="40"/>
        <v>229.46762589928059</v>
      </c>
      <c r="AF304" s="103">
        <v>46137</v>
      </c>
      <c r="AG304" s="90">
        <f t="shared" si="38"/>
        <v>28</v>
      </c>
      <c r="AH304" s="103">
        <v>46178</v>
      </c>
      <c r="AI304" s="96"/>
      <c r="AJ304" s="427">
        <f t="shared" si="39"/>
        <v>41</v>
      </c>
      <c r="AK304" s="96"/>
      <c r="AL304" s="92"/>
      <c r="AM304" s="91"/>
      <c r="AN304" s="91"/>
      <c r="AO304" s="96"/>
      <c r="AP304" s="105"/>
      <c r="AQ304" s="105"/>
      <c r="AR304" s="105"/>
      <c r="AS304" s="105"/>
    </row>
    <row r="305" spans="1:45" ht="12" customHeight="1" x14ac:dyDescent="0.25">
      <c r="A305" s="90">
        <v>304</v>
      </c>
      <c r="B305" s="91"/>
      <c r="C305" s="91" t="s">
        <v>4301</v>
      </c>
      <c r="D305" s="92" t="s">
        <v>4302</v>
      </c>
      <c r="E305" s="91" t="s">
        <v>115</v>
      </c>
      <c r="F305" s="91" t="s">
        <v>0</v>
      </c>
      <c r="G305" s="56" t="s">
        <v>2197</v>
      </c>
      <c r="H305" s="91">
        <v>400</v>
      </c>
      <c r="I305" s="91" t="s">
        <v>117</v>
      </c>
      <c r="J305" s="91" t="s">
        <v>8</v>
      </c>
      <c r="K305" s="92" t="s">
        <v>10</v>
      </c>
      <c r="L305" s="93" t="str">
        <f>VLOOKUP(G305,'SKU 对应关系'!A:E,4,0)</f>
        <v>ANZ-WH</v>
      </c>
      <c r="M305" s="94" t="str">
        <f>_xlfn.IFNA(VLOOKUP(G305,'SKU 对应关系'!A:B,2,0),"")</f>
        <v>ANZ-WH 便携式扩香仪 白色</v>
      </c>
      <c r="N305" s="95" t="str">
        <f>_xlfn.IFNA(VLOOKUP(G305,'SKU 对应关系'!$A:$D,3,0),"")</f>
        <v>ANZ</v>
      </c>
      <c r="O305" s="96">
        <v>10</v>
      </c>
      <c r="P305" s="580">
        <v>128.15789473684211</v>
      </c>
      <c r="Q305" s="96" t="s">
        <v>16</v>
      </c>
      <c r="R305" s="91">
        <v>4</v>
      </c>
      <c r="S305" s="95"/>
      <c r="T305" s="98">
        <v>20</v>
      </c>
      <c r="U305" s="99">
        <f t="shared" si="41"/>
        <v>532.63157894736844</v>
      </c>
      <c r="V305" s="100">
        <f t="shared" si="37"/>
        <v>1.3315789473684212</v>
      </c>
      <c r="W305" s="101">
        <f t="shared" si="42"/>
        <v>0.19874312647289868</v>
      </c>
      <c r="X305" s="95"/>
      <c r="Y305" s="95"/>
      <c r="Z305" s="102" t="s">
        <v>345</v>
      </c>
      <c r="AA305" s="103">
        <v>46109</v>
      </c>
      <c r="AB305" s="103">
        <v>46130</v>
      </c>
      <c r="AC305" s="103"/>
      <c r="AD305" s="104">
        <f>IF(ISNA(VLOOKUP(D305,亚马逊入库配置费!B:F,5,0)),0,VLOOKUP(D305,亚马逊入库配置费!B:F,5,0))</f>
        <v>0.38244604316546765</v>
      </c>
      <c r="AE305" s="104">
        <f t="shared" si="40"/>
        <v>152.97841726618705</v>
      </c>
      <c r="AF305" s="103">
        <v>46137</v>
      </c>
      <c r="AG305" s="90">
        <f t="shared" si="38"/>
        <v>28</v>
      </c>
      <c r="AH305" s="103">
        <v>46178</v>
      </c>
      <c r="AI305" s="96"/>
      <c r="AJ305" s="427">
        <f t="shared" si="39"/>
        <v>41</v>
      </c>
      <c r="AK305" s="96"/>
      <c r="AL305" s="92"/>
      <c r="AM305" s="91"/>
      <c r="AN305" s="91"/>
      <c r="AO305" s="96"/>
      <c r="AP305" s="105"/>
      <c r="AQ305" s="105"/>
      <c r="AR305" s="105"/>
      <c r="AS305" s="105"/>
    </row>
    <row r="306" spans="1:45" ht="12" customHeight="1" x14ac:dyDescent="0.25">
      <c r="A306" s="90">
        <v>305</v>
      </c>
      <c r="B306" s="91"/>
      <c r="C306" s="91" t="s">
        <v>4303</v>
      </c>
      <c r="D306" s="92" t="s">
        <v>4304</v>
      </c>
      <c r="E306" s="91" t="s">
        <v>254</v>
      </c>
      <c r="F306" s="91" t="s">
        <v>255</v>
      </c>
      <c r="G306" s="56" t="s">
        <v>853</v>
      </c>
      <c r="H306" s="91">
        <v>80</v>
      </c>
      <c r="I306" s="91" t="s">
        <v>89</v>
      </c>
      <c r="J306" s="91" t="s">
        <v>2313</v>
      </c>
      <c r="K306" s="92" t="s">
        <v>437</v>
      </c>
      <c r="L306" s="93" t="str">
        <f>VLOOKUP(G306,'SKU 对应关系'!A:E,4,0)</f>
        <v>AN6-G</v>
      </c>
      <c r="M306" s="94" t="str">
        <f>_xlfn.IFNA(VLOOKUP(G306,'SKU 对应关系'!A:B,2,0),"")</f>
        <v>AN6-G 便携式扩香仪 灰色</v>
      </c>
      <c r="N306" s="95" t="str">
        <f>_xlfn.IFNA(VLOOKUP(G306,'SKU 对应关系'!$A:$D,3,0),"")</f>
        <v>AN6</v>
      </c>
      <c r="O306" s="96">
        <v>2</v>
      </c>
      <c r="P306" s="580">
        <v>24.5</v>
      </c>
      <c r="Q306" s="96" t="s">
        <v>16</v>
      </c>
      <c r="R306" s="91">
        <v>4.5999999999999996</v>
      </c>
      <c r="S306" s="95">
        <v>550</v>
      </c>
      <c r="T306" s="98">
        <v>68.75</v>
      </c>
      <c r="U306" s="99">
        <f t="shared" si="41"/>
        <v>181.45</v>
      </c>
      <c r="V306" s="100">
        <f t="shared" si="37"/>
        <v>2.2681249999999999</v>
      </c>
      <c r="W306" s="101">
        <f t="shared" si="42"/>
        <v>0.33852611940298505</v>
      </c>
      <c r="X306" s="95">
        <v>635.94000000000005</v>
      </c>
      <c r="Y306" s="95">
        <v>79.492500000000007</v>
      </c>
      <c r="Z306" s="102" t="s">
        <v>345</v>
      </c>
      <c r="AA306" s="103">
        <v>46109</v>
      </c>
      <c r="AB306" s="103">
        <v>46153</v>
      </c>
      <c r="AC306" s="103"/>
      <c r="AD306" s="104">
        <f>IF(ISNA(VLOOKUP(D306,亚马逊入库配置费!B:F,5,0)),0,VLOOKUP(D306,亚马逊入库配置费!B:F,5,0))</f>
        <v>0</v>
      </c>
      <c r="AE306" s="104">
        <f t="shared" si="40"/>
        <v>0</v>
      </c>
      <c r="AF306" s="103">
        <v>46160</v>
      </c>
      <c r="AG306" s="90">
        <f t="shared" si="38"/>
        <v>51</v>
      </c>
      <c r="AH306" s="103">
        <v>46175</v>
      </c>
      <c r="AI306" s="96"/>
      <c r="AJ306" s="427">
        <f t="shared" si="39"/>
        <v>15</v>
      </c>
      <c r="AK306" s="96"/>
      <c r="AL306" s="92"/>
      <c r="AM306" s="91"/>
      <c r="AN306" s="91"/>
      <c r="AO306" s="96"/>
      <c r="AP306" s="105"/>
      <c r="AQ306" s="105"/>
      <c r="AR306" s="105"/>
      <c r="AS306" s="105"/>
    </row>
    <row r="307" spans="1:45" ht="12" customHeight="1" x14ac:dyDescent="0.25">
      <c r="A307" s="90">
        <v>306</v>
      </c>
      <c r="B307" s="91"/>
      <c r="C307" s="91" t="s">
        <v>4303</v>
      </c>
      <c r="D307" s="92" t="s">
        <v>4304</v>
      </c>
      <c r="E307" s="91" t="s">
        <v>254</v>
      </c>
      <c r="F307" s="91" t="s">
        <v>255</v>
      </c>
      <c r="G307" s="56" t="s">
        <v>211</v>
      </c>
      <c r="H307" s="91">
        <v>210</v>
      </c>
      <c r="I307" s="91" t="s">
        <v>89</v>
      </c>
      <c r="J307" s="91" t="s">
        <v>2313</v>
      </c>
      <c r="K307" s="92" t="s">
        <v>437</v>
      </c>
      <c r="L307" s="93" t="str">
        <f>VLOOKUP(G307,'SKU 对应关系'!A:E,4,0)</f>
        <v>ANX-B</v>
      </c>
      <c r="M307" s="94" t="str">
        <f>_xlfn.IFNA(VLOOKUP(G307,'SKU 对应关系'!A:B,2,0),"")</f>
        <v>ANX-B 便携式扩香仪 黑色</v>
      </c>
      <c r="N307" s="95" t="str">
        <f>_xlfn.IFNA(VLOOKUP(G307,'SKU 对应关系'!$A:$D,3,0),"")</f>
        <v>ANX</v>
      </c>
      <c r="O307" s="96">
        <v>7</v>
      </c>
      <c r="P307" s="580">
        <v>85.75</v>
      </c>
      <c r="Q307" s="96" t="s">
        <v>16</v>
      </c>
      <c r="R307" s="91">
        <v>4.5999999999999996</v>
      </c>
      <c r="S307" s="106">
        <v>550</v>
      </c>
      <c r="T307" s="98">
        <v>240.625</v>
      </c>
      <c r="U307" s="99">
        <f t="shared" si="41"/>
        <v>635.07500000000005</v>
      </c>
      <c r="V307" s="100">
        <f t="shared" si="37"/>
        <v>3.0241666666666669</v>
      </c>
      <c r="W307" s="101">
        <f t="shared" si="42"/>
        <v>0.4513681592039801</v>
      </c>
      <c r="X307" s="95"/>
      <c r="Y307" s="95">
        <v>278.22375</v>
      </c>
      <c r="Z307" s="102" t="s">
        <v>345</v>
      </c>
      <c r="AA307" s="103">
        <v>46109</v>
      </c>
      <c r="AB307" s="103">
        <v>46153</v>
      </c>
      <c r="AC307" s="103"/>
      <c r="AD307" s="104">
        <f>IF(ISNA(VLOOKUP(D307,亚马逊入库配置费!B:F,5,0)),0,VLOOKUP(D307,亚马逊入库配置费!B:F,5,0))</f>
        <v>0</v>
      </c>
      <c r="AE307" s="104">
        <f t="shared" si="40"/>
        <v>0</v>
      </c>
      <c r="AF307" s="103">
        <v>46160</v>
      </c>
      <c r="AG307" s="90">
        <f t="shared" si="38"/>
        <v>51</v>
      </c>
      <c r="AH307" s="103">
        <v>46175</v>
      </c>
      <c r="AI307" s="96"/>
      <c r="AJ307" s="427">
        <f t="shared" si="39"/>
        <v>15</v>
      </c>
      <c r="AK307" s="96"/>
      <c r="AL307" s="92"/>
      <c r="AM307" s="91"/>
      <c r="AN307" s="91"/>
      <c r="AO307" s="96"/>
      <c r="AP307" s="105"/>
      <c r="AQ307" s="105"/>
      <c r="AR307" s="105"/>
      <c r="AS307" s="105"/>
    </row>
    <row r="308" spans="1:45" ht="12" customHeight="1" x14ac:dyDescent="0.25">
      <c r="A308" s="90">
        <v>307</v>
      </c>
      <c r="B308" s="91"/>
      <c r="C308" s="91" t="s">
        <v>4303</v>
      </c>
      <c r="D308" s="92" t="s">
        <v>4304</v>
      </c>
      <c r="E308" s="91" t="s">
        <v>254</v>
      </c>
      <c r="F308" s="91" t="s">
        <v>255</v>
      </c>
      <c r="G308" s="56" t="s">
        <v>213</v>
      </c>
      <c r="H308" s="91">
        <v>90</v>
      </c>
      <c r="I308" s="91" t="s">
        <v>89</v>
      </c>
      <c r="J308" s="91" t="s">
        <v>2313</v>
      </c>
      <c r="K308" s="92" t="s">
        <v>437</v>
      </c>
      <c r="L308" s="93" t="str">
        <f>VLOOKUP(G308,'SKU 对应关系'!A:E,4,0)</f>
        <v>ANX-DT</v>
      </c>
      <c r="M308" s="94" t="str">
        <f>_xlfn.IFNA(VLOOKUP(G308,'SKU 对应关系'!A:B,2,0),"")</f>
        <v>ANX-DT 便携式扩香仪 沙漠钛色</v>
      </c>
      <c r="N308" s="95" t="str">
        <f>_xlfn.IFNA(VLOOKUP(G308,'SKU 对应关系'!$A:$D,3,0),"")</f>
        <v>ANX</v>
      </c>
      <c r="O308" s="96">
        <v>3</v>
      </c>
      <c r="P308" s="580">
        <v>36.75</v>
      </c>
      <c r="Q308" s="96" t="s">
        <v>16</v>
      </c>
      <c r="R308" s="91">
        <v>4.5999999999999996</v>
      </c>
      <c r="S308" s="95"/>
      <c r="T308" s="98">
        <v>103.125</v>
      </c>
      <c r="U308" s="99">
        <f t="shared" si="41"/>
        <v>272.17499999999995</v>
      </c>
      <c r="V308" s="100">
        <f t="shared" si="37"/>
        <v>3.024166666666666</v>
      </c>
      <c r="W308" s="101">
        <f t="shared" si="42"/>
        <v>0.45136815920397999</v>
      </c>
      <c r="X308" s="95"/>
      <c r="Y308" s="95">
        <v>119.23875000000001</v>
      </c>
      <c r="Z308" s="102" t="s">
        <v>345</v>
      </c>
      <c r="AA308" s="103">
        <v>46109</v>
      </c>
      <c r="AB308" s="103">
        <v>46153</v>
      </c>
      <c r="AC308" s="103"/>
      <c r="AD308" s="104">
        <f>IF(ISNA(VLOOKUP(D308,亚马逊入库配置费!B:F,5,0)),0,VLOOKUP(D308,亚马逊入库配置费!B:F,5,0))</f>
        <v>0</v>
      </c>
      <c r="AE308" s="104">
        <f t="shared" si="40"/>
        <v>0</v>
      </c>
      <c r="AF308" s="103">
        <v>46160</v>
      </c>
      <c r="AG308" s="90">
        <f t="shared" si="38"/>
        <v>51</v>
      </c>
      <c r="AH308" s="103">
        <v>46175</v>
      </c>
      <c r="AI308" s="96"/>
      <c r="AJ308" s="427">
        <f t="shared" si="39"/>
        <v>15</v>
      </c>
      <c r="AK308" s="96"/>
      <c r="AL308" s="92"/>
      <c r="AM308" s="91"/>
      <c r="AN308" s="91"/>
      <c r="AO308" s="96"/>
      <c r="AP308" s="105"/>
      <c r="AQ308" s="105"/>
      <c r="AR308" s="105"/>
      <c r="AS308" s="105"/>
    </row>
    <row r="309" spans="1:45" ht="12" customHeight="1" x14ac:dyDescent="0.25">
      <c r="A309" s="90">
        <v>308</v>
      </c>
      <c r="B309" s="91"/>
      <c r="C309" s="91" t="s">
        <v>4303</v>
      </c>
      <c r="D309" s="92" t="s">
        <v>4304</v>
      </c>
      <c r="E309" s="91" t="s">
        <v>254</v>
      </c>
      <c r="F309" s="91" t="s">
        <v>255</v>
      </c>
      <c r="G309" s="56" t="s">
        <v>608</v>
      </c>
      <c r="H309" s="91">
        <v>60</v>
      </c>
      <c r="I309" s="91" t="s">
        <v>89</v>
      </c>
      <c r="J309" s="91" t="s">
        <v>2313</v>
      </c>
      <c r="K309" s="92" t="s">
        <v>437</v>
      </c>
      <c r="L309" s="93" t="str">
        <f>VLOOKUP(G309,'SKU 对应关系'!A:E,4,0)</f>
        <v>ANX-SG</v>
      </c>
      <c r="M309" s="94" t="str">
        <f>_xlfn.IFNA(VLOOKUP(G309,'SKU 对应关系'!A:B,2,0),"")</f>
        <v>ANX-SG 便携式扩香仪 太空灰色</v>
      </c>
      <c r="N309" s="95" t="str">
        <f>_xlfn.IFNA(VLOOKUP(G309,'SKU 对应关系'!$A:$D,3,0),"")</f>
        <v>ANX</v>
      </c>
      <c r="O309" s="96">
        <v>2</v>
      </c>
      <c r="P309" s="580">
        <v>24.5</v>
      </c>
      <c r="Q309" s="96" t="s">
        <v>16</v>
      </c>
      <c r="R309" s="91">
        <v>4.5999999999999996</v>
      </c>
      <c r="S309" s="95"/>
      <c r="T309" s="98">
        <v>68.75</v>
      </c>
      <c r="U309" s="99">
        <f t="shared" si="41"/>
        <v>181.45</v>
      </c>
      <c r="V309" s="100">
        <f t="shared" si="37"/>
        <v>3.0241666666666664</v>
      </c>
      <c r="W309" s="101">
        <f t="shared" si="42"/>
        <v>0.45136815920398005</v>
      </c>
      <c r="X309" s="95"/>
      <c r="Y309" s="95">
        <v>79.492500000000007</v>
      </c>
      <c r="Z309" s="102" t="s">
        <v>345</v>
      </c>
      <c r="AA309" s="103">
        <v>46109</v>
      </c>
      <c r="AB309" s="103">
        <v>46153</v>
      </c>
      <c r="AC309" s="103"/>
      <c r="AD309" s="104">
        <f>IF(ISNA(VLOOKUP(D309,亚马逊入库配置费!B:F,5,0)),0,VLOOKUP(D309,亚马逊入库配置费!B:F,5,0))</f>
        <v>0</v>
      </c>
      <c r="AE309" s="104">
        <f t="shared" si="40"/>
        <v>0</v>
      </c>
      <c r="AF309" s="103">
        <v>46160</v>
      </c>
      <c r="AG309" s="90">
        <f t="shared" si="38"/>
        <v>51</v>
      </c>
      <c r="AH309" s="103">
        <v>46175</v>
      </c>
      <c r="AI309" s="96"/>
      <c r="AJ309" s="427">
        <f t="shared" si="39"/>
        <v>15</v>
      </c>
      <c r="AK309" s="96"/>
      <c r="AL309" s="92"/>
      <c r="AM309" s="91"/>
      <c r="AN309" s="91"/>
      <c r="AO309" s="96"/>
      <c r="AP309" s="105"/>
      <c r="AQ309" s="105"/>
      <c r="AR309" s="105"/>
      <c r="AS309" s="105"/>
    </row>
    <row r="310" spans="1:45" ht="12" customHeight="1" x14ac:dyDescent="0.25">
      <c r="A310" s="90">
        <v>309</v>
      </c>
      <c r="B310" s="91"/>
      <c r="C310" s="91" t="s">
        <v>4303</v>
      </c>
      <c r="D310" s="92" t="s">
        <v>4304</v>
      </c>
      <c r="E310" s="91" t="s">
        <v>254</v>
      </c>
      <c r="F310" s="91" t="s">
        <v>255</v>
      </c>
      <c r="G310" s="56" t="s">
        <v>481</v>
      </c>
      <c r="H310" s="91">
        <v>60</v>
      </c>
      <c r="I310" s="91" t="s">
        <v>89</v>
      </c>
      <c r="J310" s="91" t="s">
        <v>2313</v>
      </c>
      <c r="K310" s="92" t="s">
        <v>437</v>
      </c>
      <c r="L310" s="93" t="str">
        <f>VLOOKUP(G310,'SKU 对应关系'!A:E,4,0)</f>
        <v>ANX-SILV</v>
      </c>
      <c r="M310" s="94" t="str">
        <f>_xlfn.IFNA(VLOOKUP(G310,'SKU 对应关系'!A:B,2,0),"")</f>
        <v>ANX-SILV 便携式扩香仪 银色</v>
      </c>
      <c r="N310" s="95" t="str">
        <f>_xlfn.IFNA(VLOOKUP(G310,'SKU 对应关系'!$A:$D,3,0),"")</f>
        <v>ANX</v>
      </c>
      <c r="O310" s="96">
        <v>2</v>
      </c>
      <c r="P310" s="580">
        <v>24.5</v>
      </c>
      <c r="Q310" s="96" t="s">
        <v>16</v>
      </c>
      <c r="R310" s="91">
        <v>4.5999999999999996</v>
      </c>
      <c r="S310" s="95"/>
      <c r="T310" s="98">
        <v>68.75</v>
      </c>
      <c r="U310" s="99">
        <f t="shared" si="41"/>
        <v>181.45</v>
      </c>
      <c r="V310" s="100">
        <f t="shared" si="37"/>
        <v>3.0241666666666664</v>
      </c>
      <c r="W310" s="101">
        <f t="shared" si="42"/>
        <v>0.45136815920398005</v>
      </c>
      <c r="X310" s="95"/>
      <c r="Y310" s="95">
        <v>79.492500000000007</v>
      </c>
      <c r="Z310" s="102" t="s">
        <v>345</v>
      </c>
      <c r="AA310" s="103">
        <v>46109</v>
      </c>
      <c r="AB310" s="103">
        <v>46153</v>
      </c>
      <c r="AC310" s="103"/>
      <c r="AD310" s="104">
        <f>IF(ISNA(VLOOKUP(D310,亚马逊入库配置费!B:F,5,0)),0,VLOOKUP(D310,亚马逊入库配置费!B:F,5,0))</f>
        <v>0</v>
      </c>
      <c r="AE310" s="104">
        <f t="shared" si="40"/>
        <v>0</v>
      </c>
      <c r="AF310" s="103">
        <v>46160</v>
      </c>
      <c r="AG310" s="90">
        <f t="shared" si="38"/>
        <v>51</v>
      </c>
      <c r="AH310" s="103">
        <v>46175</v>
      </c>
      <c r="AI310" s="96"/>
      <c r="AJ310" s="427">
        <f t="shared" si="39"/>
        <v>15</v>
      </c>
      <c r="AK310" s="96"/>
      <c r="AL310" s="92"/>
      <c r="AM310" s="91"/>
      <c r="AN310" s="91"/>
      <c r="AO310" s="96"/>
      <c r="AP310" s="105"/>
      <c r="AQ310" s="105"/>
      <c r="AR310" s="105"/>
      <c r="AS310" s="105"/>
    </row>
    <row r="311" spans="1:45" ht="12" customHeight="1" x14ac:dyDescent="0.25">
      <c r="A311" s="90">
        <v>310</v>
      </c>
      <c r="B311" s="91"/>
      <c r="C311" s="91" t="s">
        <v>4305</v>
      </c>
      <c r="D311" s="92" t="s">
        <v>4306</v>
      </c>
      <c r="E311" s="91" t="s">
        <v>1164</v>
      </c>
      <c r="F311" s="91" t="s">
        <v>1165</v>
      </c>
      <c r="G311" s="56" t="s">
        <v>4291</v>
      </c>
      <c r="H311" s="91">
        <v>150</v>
      </c>
      <c r="I311" s="91" t="s">
        <v>207</v>
      </c>
      <c r="J311" s="91" t="s">
        <v>2064</v>
      </c>
      <c r="K311" s="92" t="s">
        <v>4186</v>
      </c>
      <c r="L311" s="93" t="str">
        <f>VLOOKUP(G311,'SKU 对应关系'!A:E,4,0)</f>
        <v>AN8KIT-B_4X10K05_TZ</v>
      </c>
      <c r="M311" s="94" t="str">
        <f>_xlfn.IFNA(VLOOKUP(G311,'SKU 对应关系'!A:B,2,0),"")</f>
        <v>AN8KIT-B_4X10K05_TZ AN8黑色机器+4x10mL（天竺）酒店香氛油 机油套装</v>
      </c>
      <c r="N311" s="95" t="str">
        <f>_xlfn.IFNA(VLOOKUP(G311,'SKU 对应关系'!$A:$D,3,0),"")</f>
        <v>AN8</v>
      </c>
      <c r="O311" s="96">
        <v>5</v>
      </c>
      <c r="P311" s="580">
        <v>79.5</v>
      </c>
      <c r="Q311" s="96" t="s">
        <v>16</v>
      </c>
      <c r="R311" s="91">
        <v>9.6</v>
      </c>
      <c r="S311" s="95">
        <v>250</v>
      </c>
      <c r="T311" s="98">
        <v>125</v>
      </c>
      <c r="U311" s="99">
        <f t="shared" si="41"/>
        <v>888.19999999999993</v>
      </c>
      <c r="V311" s="100">
        <f t="shared" si="37"/>
        <v>5.9213333333333331</v>
      </c>
      <c r="W311" s="101">
        <f t="shared" si="42"/>
        <v>0.88378109452736309</v>
      </c>
      <c r="X311" s="95"/>
      <c r="Y311" s="95"/>
      <c r="Z311" s="102"/>
      <c r="AA311" s="103">
        <v>46107</v>
      </c>
      <c r="AB311" s="103">
        <v>46151</v>
      </c>
      <c r="AC311" s="103"/>
      <c r="AD311" s="104">
        <f>IF(ISNA(VLOOKUP(D311,亚马逊入库配置费!B:F,5,0)),0,VLOOKUP(D311,亚马逊入库配置费!B:F,5,0))</f>
        <v>0</v>
      </c>
      <c r="AE311" s="104">
        <f t="shared" si="40"/>
        <v>0</v>
      </c>
      <c r="AF311" s="103">
        <v>46176</v>
      </c>
      <c r="AG311" s="577">
        <f t="shared" si="38"/>
        <v>69</v>
      </c>
      <c r="AH311" s="103"/>
      <c r="AI311" s="96"/>
      <c r="AJ311" s="427">
        <f t="shared" si="39"/>
        <v>-46176</v>
      </c>
      <c r="AK311" s="96"/>
      <c r="AL311" s="92"/>
      <c r="AM311" s="91"/>
      <c r="AN311" s="91"/>
      <c r="AO311" s="96"/>
      <c r="AP311" s="105"/>
      <c r="AQ311" s="105"/>
      <c r="AR311" s="105"/>
      <c r="AS311" s="105"/>
    </row>
    <row r="312" spans="1:45" ht="12" customHeight="1" x14ac:dyDescent="0.25">
      <c r="A312" s="90">
        <v>311</v>
      </c>
      <c r="B312" s="91"/>
      <c r="C312" s="91" t="s">
        <v>4305</v>
      </c>
      <c r="D312" s="92" t="s">
        <v>4306</v>
      </c>
      <c r="E312" s="91" t="s">
        <v>1164</v>
      </c>
      <c r="F312" s="91" t="s">
        <v>1165</v>
      </c>
      <c r="G312" s="56" t="s">
        <v>4230</v>
      </c>
      <c r="H312" s="91">
        <v>90</v>
      </c>
      <c r="I312" s="91" t="s">
        <v>207</v>
      </c>
      <c r="J312" s="91" t="s">
        <v>2064</v>
      </c>
      <c r="K312" s="92" t="s">
        <v>4186</v>
      </c>
      <c r="L312" s="93" t="str">
        <f>VLOOKUP(G312,'SKU 对应关系'!A:E,4,0)</f>
        <v>AN8KIT-WH_4X10K05_TZ</v>
      </c>
      <c r="M312" s="94" t="str">
        <f>_xlfn.IFNA(VLOOKUP(G312,'SKU 对应关系'!A:B,2,0),"")</f>
        <v>AN8KIT-WH_4X10K05_TZ AN8白色机器+4x10mL（天竺）酒店香氛油 机油套装</v>
      </c>
      <c r="N312" s="95" t="str">
        <f>_xlfn.IFNA(VLOOKUP(G312,'SKU 对应关系'!$A:$D,3,0),"")</f>
        <v>AN8</v>
      </c>
      <c r="O312" s="96">
        <v>3</v>
      </c>
      <c r="P312" s="580">
        <v>47.7</v>
      </c>
      <c r="Q312" s="96" t="s">
        <v>16</v>
      </c>
      <c r="R312" s="91">
        <v>9.6</v>
      </c>
      <c r="S312" s="106">
        <v>250</v>
      </c>
      <c r="T312" s="98">
        <v>75</v>
      </c>
      <c r="U312" s="99">
        <f t="shared" si="41"/>
        <v>532.92000000000007</v>
      </c>
      <c r="V312" s="100">
        <f t="shared" si="37"/>
        <v>5.921333333333334</v>
      </c>
      <c r="W312" s="101">
        <f t="shared" si="42"/>
        <v>0.88378109452736331</v>
      </c>
      <c r="X312" s="95"/>
      <c r="Y312" s="95"/>
      <c r="Z312" s="102"/>
      <c r="AA312" s="103">
        <v>46107</v>
      </c>
      <c r="AB312" s="103">
        <v>46151</v>
      </c>
      <c r="AC312" s="103"/>
      <c r="AD312" s="104">
        <f>IF(ISNA(VLOOKUP(D312,亚马逊入库配置费!B:F,5,0)),0,VLOOKUP(D312,亚马逊入库配置费!B:F,5,0))</f>
        <v>0</v>
      </c>
      <c r="AE312" s="104">
        <f t="shared" si="40"/>
        <v>0</v>
      </c>
      <c r="AF312" s="103">
        <v>46176</v>
      </c>
      <c r="AG312" s="577">
        <f t="shared" si="38"/>
        <v>69</v>
      </c>
      <c r="AH312" s="103"/>
      <c r="AI312" s="96"/>
      <c r="AJ312" s="427">
        <f t="shared" si="39"/>
        <v>-46176</v>
      </c>
      <c r="AK312" s="96"/>
      <c r="AL312" s="92"/>
      <c r="AM312" s="91"/>
      <c r="AN312" s="91"/>
      <c r="AO312" s="96"/>
      <c r="AP312" s="105"/>
      <c r="AQ312" s="105"/>
      <c r="AR312" s="105"/>
      <c r="AS312" s="105"/>
    </row>
    <row r="313" spans="1:45" ht="12" customHeight="1" x14ac:dyDescent="0.25">
      <c r="A313" s="90">
        <v>312</v>
      </c>
      <c r="B313" s="91"/>
      <c r="C313" s="91" t="s">
        <v>4294</v>
      </c>
      <c r="D313" s="92" t="s">
        <v>4307</v>
      </c>
      <c r="E313" s="91" t="s">
        <v>2411</v>
      </c>
      <c r="F313" s="91" t="s">
        <v>0</v>
      </c>
      <c r="G313" s="56" t="s">
        <v>2866</v>
      </c>
      <c r="H313" s="91">
        <v>160</v>
      </c>
      <c r="I313" s="91" t="s">
        <v>89</v>
      </c>
      <c r="J313" s="91" t="s">
        <v>8</v>
      </c>
      <c r="K313" s="92" t="s">
        <v>15</v>
      </c>
      <c r="L313" s="93" t="str">
        <f>VLOOKUP(G313,'SKU 对应关系'!A:E,4,0)</f>
        <v>ANZKIT-B_B</v>
      </c>
      <c r="M313" s="94" t="str">
        <f>_xlfn.IFNA(VLOOKUP(G313,'SKU 对应关系'!A:B,2,0),"")</f>
        <v>ANZKIT-B_B 便携式扩香仪 黑色 两个装</v>
      </c>
      <c r="N313" s="95" t="str">
        <f>_xlfn.IFNA(VLOOKUP(G313,'SKU 对应关系'!$A:$D,3,0),"")</f>
        <v>ANZ</v>
      </c>
      <c r="O313" s="96">
        <v>8</v>
      </c>
      <c r="P313" s="580">
        <v>104</v>
      </c>
      <c r="Q313" s="96" t="s">
        <v>16</v>
      </c>
      <c r="R313" s="91">
        <v>4.0999999999999996</v>
      </c>
      <c r="S313" s="106">
        <v>200</v>
      </c>
      <c r="T313" s="98">
        <v>11.594202898550725</v>
      </c>
      <c r="U313" s="99">
        <f t="shared" si="41"/>
        <v>437.99420289855072</v>
      </c>
      <c r="V313" s="100">
        <f t="shared" si="37"/>
        <v>2.7374637681159419</v>
      </c>
      <c r="W313" s="101">
        <f t="shared" si="42"/>
        <v>0.40857668180834955</v>
      </c>
      <c r="X313" s="95"/>
      <c r="Y313" s="95"/>
      <c r="Z313" s="102"/>
      <c r="AA313" s="103">
        <v>46109</v>
      </c>
      <c r="AB313" s="103">
        <v>46131</v>
      </c>
      <c r="AC313" s="103"/>
      <c r="AD313" s="104">
        <f>IF(ISNA(VLOOKUP(D313,亚马逊入库配置费!B:F,5,0)),0,VLOOKUP(D313,亚马逊入库配置费!B:F,5,0))</f>
        <v>0.44000000000000006</v>
      </c>
      <c r="AE313" s="104">
        <f t="shared" si="40"/>
        <v>70.400000000000006</v>
      </c>
      <c r="AF313" s="103">
        <v>46144</v>
      </c>
      <c r="AG313" s="90">
        <f t="shared" si="38"/>
        <v>35</v>
      </c>
      <c r="AH313" s="103">
        <v>46168</v>
      </c>
      <c r="AI313" s="96"/>
      <c r="AJ313" s="427">
        <f t="shared" si="39"/>
        <v>24</v>
      </c>
      <c r="AK313" s="96"/>
      <c r="AL313" s="92"/>
      <c r="AM313" s="91"/>
      <c r="AN313" s="91"/>
      <c r="AO313" s="96"/>
      <c r="AP313" s="105"/>
      <c r="AQ313" s="105"/>
      <c r="AR313" s="105"/>
      <c r="AS313" s="105"/>
    </row>
    <row r="314" spans="1:45" ht="12" customHeight="1" x14ac:dyDescent="0.25">
      <c r="A314" s="90">
        <v>313</v>
      </c>
      <c r="B314" s="91"/>
      <c r="C314" s="91" t="s">
        <v>789</v>
      </c>
      <c r="D314" s="92" t="s">
        <v>4308</v>
      </c>
      <c r="E314" s="91" t="s">
        <v>1037</v>
      </c>
      <c r="F314" s="91" t="s">
        <v>0</v>
      </c>
      <c r="G314" s="56" t="s">
        <v>282</v>
      </c>
      <c r="H314" s="91">
        <v>192</v>
      </c>
      <c r="I314" s="91" t="s">
        <v>117</v>
      </c>
      <c r="J314" s="91" t="s">
        <v>8</v>
      </c>
      <c r="K314" s="92" t="s">
        <v>13</v>
      </c>
      <c r="L314" s="93" t="str">
        <f>VLOOKUP(G314,'SKU 对应关系'!A:E,4,0)</f>
        <v>M1-B</v>
      </c>
      <c r="M314" s="94" t="str">
        <f>_xlfn.IFNA(VLOOKUP(G314,'SKU 对应关系'!A:B,2,0),"")</f>
        <v>M1-B 电子球形把手锁 黑色</v>
      </c>
      <c r="N314" s="95" t="str">
        <f>_xlfn.IFNA(VLOOKUP(G314,'SKU 对应关系'!$A:$D,3,0),"")</f>
        <v>M1</v>
      </c>
      <c r="O314" s="96">
        <v>12</v>
      </c>
      <c r="P314" s="580">
        <v>175.99924528301887</v>
      </c>
      <c r="Q314" s="96" t="s">
        <v>16</v>
      </c>
      <c r="R314" s="91">
        <v>3.9</v>
      </c>
      <c r="S314" s="95">
        <v>200</v>
      </c>
      <c r="T314" s="98">
        <v>38.095238095238095</v>
      </c>
      <c r="U314" s="99">
        <f t="shared" si="41"/>
        <v>724.49229469901161</v>
      </c>
      <c r="V314" s="100">
        <f t="shared" si="37"/>
        <v>3.7733973682240189</v>
      </c>
      <c r="W314" s="101">
        <f t="shared" si="42"/>
        <v>0.56319363704836101</v>
      </c>
      <c r="X314" s="95"/>
      <c r="Y314" s="95"/>
      <c r="Z314" s="102"/>
      <c r="AA314" s="103">
        <v>46108</v>
      </c>
      <c r="AB314" s="103">
        <v>46125</v>
      </c>
      <c r="AC314" s="103"/>
      <c r="AD314" s="104">
        <f>IF(ISNA(VLOOKUP(D314,亚马逊入库配置费!B:F,5,0)),0,VLOOKUP(D314,亚马逊入库配置费!B:F,5,0))</f>
        <v>0.55999999999999994</v>
      </c>
      <c r="AE314" s="104">
        <f t="shared" si="40"/>
        <v>107.51999999999998</v>
      </c>
      <c r="AF314" s="103">
        <v>46138</v>
      </c>
      <c r="AG314" s="90">
        <f t="shared" si="38"/>
        <v>30</v>
      </c>
      <c r="AH314" s="103">
        <v>46168</v>
      </c>
      <c r="AI314" s="96"/>
      <c r="AJ314" s="427">
        <f t="shared" si="39"/>
        <v>30</v>
      </c>
      <c r="AK314" s="96"/>
      <c r="AL314" s="92"/>
      <c r="AM314" s="91"/>
      <c r="AN314" s="91"/>
      <c r="AO314" s="96"/>
      <c r="AP314" s="105"/>
      <c r="AQ314" s="105"/>
      <c r="AR314" s="105"/>
      <c r="AS314" s="105"/>
    </row>
    <row r="315" spans="1:45" ht="12" customHeight="1" x14ac:dyDescent="0.25">
      <c r="A315" s="90">
        <v>314</v>
      </c>
      <c r="B315" s="91"/>
      <c r="C315" s="91" t="s">
        <v>789</v>
      </c>
      <c r="D315" s="92" t="s">
        <v>4308</v>
      </c>
      <c r="E315" s="91" t="s">
        <v>1037</v>
      </c>
      <c r="F315" s="91" t="s">
        <v>0</v>
      </c>
      <c r="G315" s="56" t="s">
        <v>279</v>
      </c>
      <c r="H315" s="91">
        <v>64</v>
      </c>
      <c r="I315" s="91" t="s">
        <v>117</v>
      </c>
      <c r="J315" s="91" t="s">
        <v>8</v>
      </c>
      <c r="K315" s="92" t="s">
        <v>13</v>
      </c>
      <c r="L315" s="93" t="str">
        <f>VLOOKUP(G315,'SKU 对应关系'!A:E,4,0)</f>
        <v>M1-T</v>
      </c>
      <c r="M315" s="94" t="str">
        <f>_xlfn.IFNA(VLOOKUP(G315,'SKU 对应关系'!A:B,2,0),"")</f>
        <v>M1-T 电子球形把手锁 钛灰色</v>
      </c>
      <c r="N315" s="95" t="str">
        <f>_xlfn.IFNA(VLOOKUP(G315,'SKU 对应关系'!$A:$D,3,0),"")</f>
        <v>M1</v>
      </c>
      <c r="O315" s="96">
        <v>4</v>
      </c>
      <c r="P315" s="580">
        <v>58.666415094339627</v>
      </c>
      <c r="Q315" s="96" t="s">
        <v>16</v>
      </c>
      <c r="R315" s="91">
        <v>3.9</v>
      </c>
      <c r="S315" s="106">
        <v>200</v>
      </c>
      <c r="T315" s="98">
        <v>12.698412698412698</v>
      </c>
      <c r="U315" s="99">
        <f t="shared" si="41"/>
        <v>241.49743156633724</v>
      </c>
      <c r="V315" s="100">
        <f t="shared" si="37"/>
        <v>3.7733973682240194</v>
      </c>
      <c r="W315" s="101">
        <f t="shared" si="42"/>
        <v>0.56319363704836112</v>
      </c>
      <c r="X315" s="95"/>
      <c r="Y315" s="95"/>
      <c r="Z315" s="102"/>
      <c r="AA315" s="103">
        <v>46108</v>
      </c>
      <c r="AB315" s="103">
        <v>46125</v>
      </c>
      <c r="AC315" s="103"/>
      <c r="AD315" s="104">
        <f>IF(ISNA(VLOOKUP(D315,亚马逊入库配置费!B:F,5,0)),0,VLOOKUP(D315,亚马逊入库配置费!B:F,5,0))</f>
        <v>0.55999999999999994</v>
      </c>
      <c r="AE315" s="104">
        <f t="shared" si="40"/>
        <v>35.839999999999996</v>
      </c>
      <c r="AF315" s="103">
        <v>46138</v>
      </c>
      <c r="AG315" s="90">
        <f t="shared" si="38"/>
        <v>30</v>
      </c>
      <c r="AH315" s="103">
        <v>46168</v>
      </c>
      <c r="AI315" s="96"/>
      <c r="AJ315" s="427">
        <f t="shared" si="39"/>
        <v>30</v>
      </c>
      <c r="AK315" s="96"/>
      <c r="AL315" s="92"/>
      <c r="AM315" s="91"/>
      <c r="AN315" s="91"/>
      <c r="AO315" s="96"/>
      <c r="AP315" s="105"/>
      <c r="AQ315" s="105"/>
      <c r="AR315" s="105"/>
      <c r="AS315" s="105"/>
    </row>
    <row r="316" spans="1:45" ht="12" customHeight="1" x14ac:dyDescent="0.25">
      <c r="A316" s="90">
        <v>315</v>
      </c>
      <c r="B316" s="91"/>
      <c r="C316" s="91" t="s">
        <v>789</v>
      </c>
      <c r="D316" s="92" t="s">
        <v>4308</v>
      </c>
      <c r="E316" s="91" t="s">
        <v>1037</v>
      </c>
      <c r="F316" s="91" t="s">
        <v>0</v>
      </c>
      <c r="G316" s="56" t="s">
        <v>284</v>
      </c>
      <c r="H316" s="91">
        <v>528</v>
      </c>
      <c r="I316" s="91" t="s">
        <v>117</v>
      </c>
      <c r="J316" s="91" t="s">
        <v>8</v>
      </c>
      <c r="K316" s="92" t="s">
        <v>13</v>
      </c>
      <c r="L316" s="93" t="str">
        <f>VLOOKUP(G316,'SKU 对应关系'!A:E,4,0)</f>
        <v>MD1-B</v>
      </c>
      <c r="M316" s="94" t="str">
        <f>_xlfn.IFNA(VLOOKUP(G316,'SKU 对应关系'!A:B,2,0),"")</f>
        <v>MD1-B 电子球形把手锁 指纹 黑色</v>
      </c>
      <c r="N316" s="95" t="str">
        <f>_xlfn.IFNA(VLOOKUP(G316,'SKU 对应关系'!$A:$D,3,0),"")</f>
        <v>MD1</v>
      </c>
      <c r="O316" s="96">
        <v>33</v>
      </c>
      <c r="P316" s="580">
        <v>483.99792452830189</v>
      </c>
      <c r="Q316" s="96" t="s">
        <v>16</v>
      </c>
      <c r="R316" s="91">
        <v>3.9</v>
      </c>
      <c r="S316" s="95"/>
      <c r="T316" s="98">
        <v>104.76190476190476</v>
      </c>
      <c r="U316" s="99">
        <f t="shared" si="41"/>
        <v>1992.3538104222821</v>
      </c>
      <c r="V316" s="100">
        <f t="shared" si="37"/>
        <v>3.7733973682240189</v>
      </c>
      <c r="W316" s="101">
        <f t="shared" si="42"/>
        <v>0.56319363704836101</v>
      </c>
      <c r="X316" s="95"/>
      <c r="Y316" s="95"/>
      <c r="Z316" s="102"/>
      <c r="AA316" s="103">
        <v>46108</v>
      </c>
      <c r="AB316" s="103">
        <v>46125</v>
      </c>
      <c r="AC316" s="103"/>
      <c r="AD316" s="104">
        <f>IF(ISNA(VLOOKUP(D316,亚马逊入库配置费!B:F,5,0)),0,VLOOKUP(D316,亚马逊入库配置费!B:F,5,0))</f>
        <v>0.55999999999999994</v>
      </c>
      <c r="AE316" s="104">
        <f t="shared" si="40"/>
        <v>295.67999999999995</v>
      </c>
      <c r="AF316" s="103">
        <v>46138</v>
      </c>
      <c r="AG316" s="90">
        <f t="shared" si="38"/>
        <v>30</v>
      </c>
      <c r="AH316" s="103">
        <v>46168</v>
      </c>
      <c r="AI316" s="96"/>
      <c r="AJ316" s="427">
        <f t="shared" si="39"/>
        <v>30</v>
      </c>
      <c r="AK316" s="96"/>
      <c r="AL316" s="92"/>
      <c r="AM316" s="91"/>
      <c r="AN316" s="91"/>
      <c r="AO316" s="96"/>
      <c r="AP316" s="105"/>
      <c r="AQ316" s="105"/>
      <c r="AR316" s="105"/>
      <c r="AS316" s="105"/>
    </row>
    <row r="317" spans="1:45" ht="12" customHeight="1" x14ac:dyDescent="0.25">
      <c r="A317" s="90">
        <v>316</v>
      </c>
      <c r="B317" s="91"/>
      <c r="C317" s="91" t="s">
        <v>789</v>
      </c>
      <c r="D317" s="92" t="s">
        <v>4308</v>
      </c>
      <c r="E317" s="91" t="s">
        <v>1037</v>
      </c>
      <c r="F317" s="91" t="s">
        <v>0</v>
      </c>
      <c r="G317" s="56" t="s">
        <v>556</v>
      </c>
      <c r="H317" s="91">
        <v>16</v>
      </c>
      <c r="I317" s="91" t="s">
        <v>117</v>
      </c>
      <c r="J317" s="91" t="s">
        <v>8</v>
      </c>
      <c r="K317" s="92" t="s">
        <v>13</v>
      </c>
      <c r="L317" s="93" t="str">
        <f>VLOOKUP(G317,'SKU 对应关系'!A:E,4,0)</f>
        <v>MD1-T</v>
      </c>
      <c r="M317" s="94" t="str">
        <f>_xlfn.IFNA(VLOOKUP(G317,'SKU 对应关系'!A:B,2,0),"")</f>
        <v>MD1-T 电子球形把手锁 指纹 钛灰色</v>
      </c>
      <c r="N317" s="95" t="str">
        <f>_xlfn.IFNA(VLOOKUP(G317,'SKU 对应关系'!$A:$D,3,0),"")</f>
        <v>MD1</v>
      </c>
      <c r="O317" s="96">
        <v>1</v>
      </c>
      <c r="P317" s="580">
        <v>14.666603773584907</v>
      </c>
      <c r="Q317" s="96" t="s">
        <v>16</v>
      </c>
      <c r="R317" s="91">
        <v>3.9</v>
      </c>
      <c r="S317" s="95"/>
      <c r="T317" s="98">
        <v>3.1746031746031744</v>
      </c>
      <c r="U317" s="99">
        <f t="shared" si="41"/>
        <v>60.37435789158431</v>
      </c>
      <c r="V317" s="100">
        <f t="shared" si="37"/>
        <v>3.7733973682240194</v>
      </c>
      <c r="W317" s="101">
        <f t="shared" si="42"/>
        <v>0.56319363704836112</v>
      </c>
      <c r="X317" s="95"/>
      <c r="Y317" s="95"/>
      <c r="Z317" s="102"/>
      <c r="AA317" s="103">
        <v>46108</v>
      </c>
      <c r="AB317" s="103">
        <v>46125</v>
      </c>
      <c r="AC317" s="103"/>
      <c r="AD317" s="104">
        <f>IF(ISNA(VLOOKUP(D317,亚马逊入库配置费!B:F,5,0)),0,VLOOKUP(D317,亚马逊入库配置费!B:F,5,0))</f>
        <v>0.55999999999999994</v>
      </c>
      <c r="AE317" s="104">
        <f t="shared" si="40"/>
        <v>8.9599999999999991</v>
      </c>
      <c r="AF317" s="103">
        <v>46138</v>
      </c>
      <c r="AG317" s="90">
        <f t="shared" si="38"/>
        <v>30</v>
      </c>
      <c r="AH317" s="103">
        <v>46168</v>
      </c>
      <c r="AI317" s="96"/>
      <c r="AJ317" s="427">
        <f t="shared" si="39"/>
        <v>30</v>
      </c>
      <c r="AK317" s="96"/>
      <c r="AL317" s="92"/>
      <c r="AM317" s="91"/>
      <c r="AN317" s="91"/>
      <c r="AO317" s="96"/>
      <c r="AP317" s="105"/>
      <c r="AQ317" s="105"/>
      <c r="AR317" s="105"/>
      <c r="AS317" s="105"/>
    </row>
    <row r="318" spans="1:45" ht="12" customHeight="1" x14ac:dyDescent="0.25">
      <c r="A318" s="90">
        <v>317</v>
      </c>
      <c r="B318" s="91"/>
      <c r="C318" s="91" t="s">
        <v>789</v>
      </c>
      <c r="D318" s="92" t="s">
        <v>4308</v>
      </c>
      <c r="E318" s="91" t="s">
        <v>1037</v>
      </c>
      <c r="F318" s="91" t="s">
        <v>0</v>
      </c>
      <c r="G318" s="56" t="s">
        <v>779</v>
      </c>
      <c r="H318" s="91">
        <v>32</v>
      </c>
      <c r="I318" s="91" t="s">
        <v>117</v>
      </c>
      <c r="J318" s="91" t="s">
        <v>8</v>
      </c>
      <c r="K318" s="92" t="s">
        <v>13</v>
      </c>
      <c r="L318" s="93" t="str">
        <f>VLOOKUP(G318,'SKU 对应关系'!A:E,4,0)</f>
        <v>MK1-B</v>
      </c>
      <c r="M318" s="94" t="str">
        <f>_xlfn.IFNA(VLOOKUP(G318,'SKU 对应关系'!A:B,2,0),"")</f>
        <v>MK1-B 智能球形把手锁 黑色</v>
      </c>
      <c r="N318" s="95" t="str">
        <f>_xlfn.IFNA(VLOOKUP(G318,'SKU 对应关系'!$A:$D,3,0),"")</f>
        <v>MK1</v>
      </c>
      <c r="O318" s="96">
        <v>2</v>
      </c>
      <c r="P318" s="580">
        <v>29.333207547169813</v>
      </c>
      <c r="Q318" s="96" t="s">
        <v>16</v>
      </c>
      <c r="R318" s="91">
        <v>3.9</v>
      </c>
      <c r="S318" s="95"/>
      <c r="T318" s="98">
        <v>6.3492063492063489</v>
      </c>
      <c r="U318" s="99">
        <f t="shared" si="41"/>
        <v>120.74871578316862</v>
      </c>
      <c r="V318" s="100">
        <f t="shared" si="37"/>
        <v>3.7733973682240194</v>
      </c>
      <c r="W318" s="101">
        <f t="shared" si="42"/>
        <v>0.56319363704836112</v>
      </c>
      <c r="X318" s="95"/>
      <c r="Y318" s="95"/>
      <c r="Z318" s="102"/>
      <c r="AA318" s="103">
        <v>46108</v>
      </c>
      <c r="AB318" s="103">
        <v>46125</v>
      </c>
      <c r="AC318" s="103"/>
      <c r="AD318" s="104">
        <f>IF(ISNA(VLOOKUP(D318,亚马逊入库配置费!B:F,5,0)),0,VLOOKUP(D318,亚马逊入库配置费!B:F,5,0))</f>
        <v>0.55999999999999994</v>
      </c>
      <c r="AE318" s="104">
        <f t="shared" si="40"/>
        <v>17.919999999999998</v>
      </c>
      <c r="AF318" s="103">
        <v>46138</v>
      </c>
      <c r="AG318" s="90">
        <f t="shared" si="38"/>
        <v>30</v>
      </c>
      <c r="AH318" s="103">
        <v>46168</v>
      </c>
      <c r="AI318" s="96"/>
      <c r="AJ318" s="427">
        <f t="shared" si="39"/>
        <v>30</v>
      </c>
      <c r="AK318" s="96"/>
      <c r="AL318" s="92"/>
      <c r="AM318" s="91"/>
      <c r="AN318" s="91"/>
      <c r="AO318" s="96"/>
      <c r="AP318" s="105"/>
      <c r="AQ318" s="105"/>
      <c r="AR318" s="105"/>
      <c r="AS318" s="105"/>
    </row>
    <row r="319" spans="1:45" ht="12" customHeight="1" x14ac:dyDescent="0.25">
      <c r="A319" s="90">
        <v>318</v>
      </c>
      <c r="B319" s="91"/>
      <c r="C319" s="91" t="s">
        <v>789</v>
      </c>
      <c r="D319" s="92" t="s">
        <v>4308</v>
      </c>
      <c r="E319" s="91" t="s">
        <v>1037</v>
      </c>
      <c r="F319" s="91" t="s">
        <v>0</v>
      </c>
      <c r="G319" s="56" t="s">
        <v>551</v>
      </c>
      <c r="H319" s="91">
        <v>16</v>
      </c>
      <c r="I319" s="91" t="s">
        <v>117</v>
      </c>
      <c r="J319" s="91" t="s">
        <v>8</v>
      </c>
      <c r="K319" s="92" t="s">
        <v>13</v>
      </c>
      <c r="L319" s="93" t="str">
        <f>VLOOKUP(G319,'SKU 对应关系'!A:E,4,0)</f>
        <v>MK1-T</v>
      </c>
      <c r="M319" s="94" t="str">
        <f>_xlfn.IFNA(VLOOKUP(G319,'SKU 对应关系'!A:B,2,0),"")</f>
        <v>MK1-T 智能球形把手锁 钛色</v>
      </c>
      <c r="N319" s="95" t="str">
        <f>_xlfn.IFNA(VLOOKUP(G319,'SKU 对应关系'!$A:$D,3,0),"")</f>
        <v>MK1</v>
      </c>
      <c r="O319" s="96">
        <v>1</v>
      </c>
      <c r="P319" s="580">
        <v>14.666603773584907</v>
      </c>
      <c r="Q319" s="96" t="s">
        <v>16</v>
      </c>
      <c r="R319" s="91">
        <v>3.9</v>
      </c>
      <c r="S319" s="95"/>
      <c r="T319" s="98">
        <v>3.1746031746031744</v>
      </c>
      <c r="U319" s="99">
        <f t="shared" si="41"/>
        <v>60.37435789158431</v>
      </c>
      <c r="V319" s="100">
        <f t="shared" si="37"/>
        <v>3.7733973682240194</v>
      </c>
      <c r="W319" s="101">
        <f t="shared" si="42"/>
        <v>0.56319363704836112</v>
      </c>
      <c r="X319" s="95"/>
      <c r="Y319" s="95"/>
      <c r="Z319" s="102"/>
      <c r="AA319" s="103">
        <v>46108</v>
      </c>
      <c r="AB319" s="103">
        <v>46125</v>
      </c>
      <c r="AC319" s="103"/>
      <c r="AD319" s="104">
        <f>IF(ISNA(VLOOKUP(D319,亚马逊入库配置费!B:F,5,0)),0,VLOOKUP(D319,亚马逊入库配置费!B:F,5,0))</f>
        <v>0.55999999999999994</v>
      </c>
      <c r="AE319" s="104">
        <f t="shared" si="40"/>
        <v>8.9599999999999991</v>
      </c>
      <c r="AF319" s="103">
        <v>46138</v>
      </c>
      <c r="AG319" s="90">
        <f t="shared" si="38"/>
        <v>30</v>
      </c>
      <c r="AH319" s="103">
        <v>46168</v>
      </c>
      <c r="AI319" s="96"/>
      <c r="AJ319" s="427">
        <f t="shared" si="39"/>
        <v>30</v>
      </c>
      <c r="AK319" s="96"/>
      <c r="AL319" s="92"/>
      <c r="AM319" s="91"/>
      <c r="AN319" s="91"/>
      <c r="AO319" s="96"/>
      <c r="AP319" s="105"/>
      <c r="AQ319" s="105"/>
      <c r="AR319" s="105"/>
      <c r="AS319" s="105"/>
    </row>
    <row r="320" spans="1:45" ht="12" customHeight="1" x14ac:dyDescent="0.25">
      <c r="A320" s="90">
        <v>319</v>
      </c>
      <c r="B320" s="91"/>
      <c r="C320" s="91" t="s">
        <v>813</v>
      </c>
      <c r="D320" s="92" t="s">
        <v>4309</v>
      </c>
      <c r="E320" s="91" t="s">
        <v>1037</v>
      </c>
      <c r="F320" s="91" t="s">
        <v>0</v>
      </c>
      <c r="G320" s="56" t="s">
        <v>282</v>
      </c>
      <c r="H320" s="91">
        <v>176</v>
      </c>
      <c r="I320" s="91" t="s">
        <v>117</v>
      </c>
      <c r="J320" s="91" t="s">
        <v>2412</v>
      </c>
      <c r="K320" s="92" t="s">
        <v>44</v>
      </c>
      <c r="L320" s="93" t="str">
        <f>VLOOKUP(G320,'SKU 对应关系'!A:E,4,0)</f>
        <v>M1-B</v>
      </c>
      <c r="M320" s="94" t="str">
        <f>_xlfn.IFNA(VLOOKUP(G320,'SKU 对应关系'!A:B,2,0),"")</f>
        <v>M1-B 电子球形把手锁 黑色</v>
      </c>
      <c r="N320" s="95" t="str">
        <f>_xlfn.IFNA(VLOOKUP(G320,'SKU 对应关系'!$A:$D,3,0),"")</f>
        <v>M1</v>
      </c>
      <c r="O320" s="96">
        <v>11</v>
      </c>
      <c r="P320" s="580">
        <v>159</v>
      </c>
      <c r="Q320" s="96" t="s">
        <v>16</v>
      </c>
      <c r="R320" s="91">
        <v>4.3</v>
      </c>
      <c r="S320" s="95">
        <v>200</v>
      </c>
      <c r="T320" s="98">
        <v>200</v>
      </c>
      <c r="U320" s="99">
        <f t="shared" si="41"/>
        <v>883.69999999999993</v>
      </c>
      <c r="V320" s="100">
        <f t="shared" si="37"/>
        <v>5.0210227272727268</v>
      </c>
      <c r="W320" s="101">
        <f t="shared" si="42"/>
        <v>0.74940637720488457</v>
      </c>
      <c r="X320" s="95"/>
      <c r="Y320" s="95"/>
      <c r="Z320" s="102"/>
      <c r="AA320" s="103">
        <v>46108</v>
      </c>
      <c r="AB320" s="103">
        <v>46126</v>
      </c>
      <c r="AC320" s="103"/>
      <c r="AD320" s="104">
        <f>IF(ISNA(VLOOKUP(D320,亚马逊入库配置费!B:F,5,0)),0,VLOOKUP(D320,亚马逊入库配置费!B:F,5,0))</f>
        <v>0.56000000000000005</v>
      </c>
      <c r="AE320" s="104">
        <f t="shared" si="40"/>
        <v>98.56</v>
      </c>
      <c r="AF320" s="103">
        <v>46138</v>
      </c>
      <c r="AG320" s="90">
        <f t="shared" si="38"/>
        <v>30</v>
      </c>
      <c r="AH320" s="103">
        <v>46173</v>
      </c>
      <c r="AI320" s="96"/>
      <c r="AJ320" s="427">
        <f t="shared" si="39"/>
        <v>35</v>
      </c>
      <c r="AK320" s="96"/>
      <c r="AL320" s="92"/>
      <c r="AM320" s="91"/>
      <c r="AN320" s="91"/>
      <c r="AO320" s="96"/>
      <c r="AP320" s="105"/>
      <c r="AQ320" s="105"/>
      <c r="AR320" s="105"/>
      <c r="AS320" s="105"/>
    </row>
    <row r="321" spans="1:45" ht="12" customHeight="1" x14ac:dyDescent="0.25">
      <c r="A321" s="90">
        <v>320</v>
      </c>
      <c r="B321" s="91"/>
      <c r="C321" s="91" t="s">
        <v>789</v>
      </c>
      <c r="D321" s="92" t="s">
        <v>4310</v>
      </c>
      <c r="E321" s="91" t="s">
        <v>1037</v>
      </c>
      <c r="F321" s="91" t="s">
        <v>0</v>
      </c>
      <c r="G321" s="56" t="s">
        <v>2439</v>
      </c>
      <c r="H321" s="91">
        <v>160</v>
      </c>
      <c r="I321" s="91" t="s">
        <v>117</v>
      </c>
      <c r="J321" s="91" t="s">
        <v>8</v>
      </c>
      <c r="K321" s="92" t="s">
        <v>13</v>
      </c>
      <c r="L321" s="93" t="str">
        <f>VLOOKUP(G321,'SKU 对应关系'!A:E,4,0)</f>
        <v>G1-B</v>
      </c>
      <c r="M321" s="94" t="str">
        <f>_xlfn.IFNA(VLOOKUP(G321,'SKU 对应关系'!A:B,2,0),"")</f>
        <v>G1-B 电子球形把手锁 黑色</v>
      </c>
      <c r="N321" s="95" t="str">
        <f>_xlfn.IFNA(VLOOKUP(G321,'SKU 对应关系'!$A:$D,3,0),"")</f>
        <v>G1</v>
      </c>
      <c r="O321" s="96">
        <v>10</v>
      </c>
      <c r="P321" s="580">
        <v>146.66999999999999</v>
      </c>
      <c r="Q321" s="96" t="s">
        <v>16</v>
      </c>
      <c r="R321" s="91">
        <v>3.9</v>
      </c>
      <c r="S321" s="106">
        <v>200</v>
      </c>
      <c r="T321" s="98">
        <v>31.746031746031747</v>
      </c>
      <c r="U321" s="99">
        <f t="shared" si="41"/>
        <v>603.75903174603172</v>
      </c>
      <c r="V321" s="100">
        <f t="shared" si="37"/>
        <v>3.7734939484126984</v>
      </c>
      <c r="W321" s="101">
        <f t="shared" si="42"/>
        <v>0.56320805200189528</v>
      </c>
      <c r="X321" s="95"/>
      <c r="Y321" s="95"/>
      <c r="Z321" s="102"/>
      <c r="AA321" s="103">
        <v>46108</v>
      </c>
      <c r="AB321" s="103">
        <v>46125</v>
      </c>
      <c r="AC321" s="103"/>
      <c r="AD321" s="104">
        <f>IF(ISNA(VLOOKUP(D321,亚马逊入库配置费!B:F,5,0)),0,VLOOKUP(D321,亚马逊入库配置费!B:F,5,0))</f>
        <v>0.55999999999999994</v>
      </c>
      <c r="AE321" s="104">
        <f t="shared" si="40"/>
        <v>89.6</v>
      </c>
      <c r="AF321" s="103">
        <v>46138</v>
      </c>
      <c r="AG321" s="90">
        <f t="shared" si="38"/>
        <v>30</v>
      </c>
      <c r="AH321" s="103">
        <v>46159</v>
      </c>
      <c r="AI321" s="96"/>
      <c r="AJ321" s="427">
        <f t="shared" si="39"/>
        <v>21</v>
      </c>
      <c r="AK321" s="96"/>
      <c r="AL321" s="92"/>
      <c r="AM321" s="91"/>
      <c r="AN321" s="91"/>
      <c r="AO321" s="96"/>
      <c r="AP321" s="105"/>
      <c r="AQ321" s="105"/>
      <c r="AR321" s="105"/>
      <c r="AS321" s="105"/>
    </row>
    <row r="322" spans="1:45" ht="12" customHeight="1" x14ac:dyDescent="0.25">
      <c r="A322" s="90">
        <v>321</v>
      </c>
      <c r="B322" s="91"/>
      <c r="C322" s="91" t="s">
        <v>805</v>
      </c>
      <c r="D322" s="92" t="s">
        <v>4311</v>
      </c>
      <c r="E322" s="91" t="s">
        <v>2560</v>
      </c>
      <c r="F322" s="91" t="s">
        <v>87</v>
      </c>
      <c r="G322" s="56" t="s">
        <v>282</v>
      </c>
      <c r="H322" s="91">
        <v>32</v>
      </c>
      <c r="I322" s="91" t="s">
        <v>117</v>
      </c>
      <c r="J322" s="91" t="s">
        <v>90</v>
      </c>
      <c r="K322" s="92" t="s">
        <v>815</v>
      </c>
      <c r="L322" s="93" t="str">
        <f>VLOOKUP(G322,'SKU 对应关系'!A:E,4,0)</f>
        <v>M1-B</v>
      </c>
      <c r="M322" s="94" t="str">
        <f>_xlfn.IFNA(VLOOKUP(G322,'SKU 对应关系'!A:B,2,0),"")</f>
        <v>M1-B 电子球形把手锁 黑色</v>
      </c>
      <c r="N322" s="95" t="str">
        <f>_xlfn.IFNA(VLOOKUP(G322,'SKU 对应关系'!$A:$D,3,0),"")</f>
        <v>M1</v>
      </c>
      <c r="O322" s="96">
        <v>2</v>
      </c>
      <c r="P322" s="580">
        <v>29.666666666666668</v>
      </c>
      <c r="Q322" s="96" t="s">
        <v>16</v>
      </c>
      <c r="R322" s="91">
        <v>5</v>
      </c>
      <c r="S322" s="95">
        <v>350</v>
      </c>
      <c r="T322" s="98">
        <v>116.66666666666667</v>
      </c>
      <c r="U322" s="99">
        <f t="shared" si="41"/>
        <v>265</v>
      </c>
      <c r="V322" s="100">
        <f t="shared" ref="V322:V385" si="43">U322/H322</f>
        <v>8.28125</v>
      </c>
      <c r="W322" s="101">
        <f t="shared" si="42"/>
        <v>1.2360074626865671</v>
      </c>
      <c r="X322" s="95"/>
      <c r="Y322" s="95"/>
      <c r="Z322" s="102"/>
      <c r="AA322" s="103">
        <v>46108</v>
      </c>
      <c r="AB322" s="103">
        <v>46132</v>
      </c>
      <c r="AC322" s="103"/>
      <c r="AD322" s="104">
        <f>IF(ISNA(VLOOKUP(D322,亚马逊入库配置费!B:F,5,0)),0,VLOOKUP(D322,亚马逊入库配置费!B:F,5,0))</f>
        <v>0</v>
      </c>
      <c r="AE322" s="104">
        <f t="shared" si="40"/>
        <v>0</v>
      </c>
      <c r="AF322" s="103">
        <v>46151</v>
      </c>
      <c r="AG322" s="90">
        <f t="shared" ref="AG322:AG385" si="44">AF322-AA322</f>
        <v>43</v>
      </c>
      <c r="AH322" s="103">
        <v>46175</v>
      </c>
      <c r="AI322" s="96"/>
      <c r="AJ322" s="427">
        <f t="shared" si="39"/>
        <v>24</v>
      </c>
      <c r="AK322" s="96"/>
      <c r="AL322" s="92"/>
      <c r="AM322" s="91"/>
      <c r="AN322" s="91"/>
      <c r="AO322" s="96"/>
      <c r="AP322" s="105"/>
      <c r="AQ322" s="105"/>
      <c r="AR322" s="105"/>
      <c r="AS322" s="105"/>
    </row>
    <row r="323" spans="1:45" ht="12" customHeight="1" x14ac:dyDescent="0.25">
      <c r="A323" s="90">
        <v>322</v>
      </c>
      <c r="B323" s="91"/>
      <c r="C323" s="91" t="s">
        <v>805</v>
      </c>
      <c r="D323" s="92" t="s">
        <v>4311</v>
      </c>
      <c r="E323" s="91" t="s">
        <v>2560</v>
      </c>
      <c r="F323" s="91" t="s">
        <v>87</v>
      </c>
      <c r="G323" s="56" t="s">
        <v>284</v>
      </c>
      <c r="H323" s="91">
        <v>48</v>
      </c>
      <c r="I323" s="91" t="s">
        <v>117</v>
      </c>
      <c r="J323" s="91" t="s">
        <v>90</v>
      </c>
      <c r="K323" s="92" t="s">
        <v>815</v>
      </c>
      <c r="L323" s="93" t="str">
        <f>VLOOKUP(G323,'SKU 对应关系'!A:E,4,0)</f>
        <v>MD1-B</v>
      </c>
      <c r="M323" s="94" t="str">
        <f>_xlfn.IFNA(VLOOKUP(G323,'SKU 对应关系'!A:B,2,0),"")</f>
        <v>MD1-B 电子球形把手锁 指纹 黑色</v>
      </c>
      <c r="N323" s="95" t="str">
        <f>_xlfn.IFNA(VLOOKUP(G323,'SKU 对应关系'!$A:$D,3,0),"")</f>
        <v>MD1</v>
      </c>
      <c r="O323" s="96">
        <v>3</v>
      </c>
      <c r="P323" s="580">
        <v>44.5</v>
      </c>
      <c r="Q323" s="96" t="s">
        <v>16</v>
      </c>
      <c r="R323" s="91">
        <v>5</v>
      </c>
      <c r="S323" s="106">
        <v>200</v>
      </c>
      <c r="T323" s="98">
        <v>175</v>
      </c>
      <c r="U323" s="99">
        <f t="shared" si="41"/>
        <v>397.5</v>
      </c>
      <c r="V323" s="100">
        <f t="shared" si="43"/>
        <v>8.28125</v>
      </c>
      <c r="W323" s="101">
        <f t="shared" si="42"/>
        <v>1.2360074626865671</v>
      </c>
      <c r="X323" s="95"/>
      <c r="Y323" s="95"/>
      <c r="Z323" s="102"/>
      <c r="AA323" s="103">
        <v>46108</v>
      </c>
      <c r="AB323" s="103">
        <v>46132</v>
      </c>
      <c r="AC323" s="103"/>
      <c r="AD323" s="104">
        <f>IF(ISNA(VLOOKUP(D323,亚马逊入库配置费!B:F,5,0)),0,VLOOKUP(D323,亚马逊入库配置费!B:F,5,0))</f>
        <v>0</v>
      </c>
      <c r="AE323" s="104">
        <f t="shared" si="40"/>
        <v>0</v>
      </c>
      <c r="AF323" s="103">
        <v>46151</v>
      </c>
      <c r="AG323" s="90">
        <f t="shared" si="44"/>
        <v>43</v>
      </c>
      <c r="AH323" s="103">
        <v>46175</v>
      </c>
      <c r="AI323" s="96"/>
      <c r="AJ323" s="427">
        <f t="shared" ref="AJ323:AJ339" si="45">AH323-AF323</f>
        <v>24</v>
      </c>
      <c r="AK323" s="96"/>
      <c r="AL323" s="92"/>
      <c r="AM323" s="91"/>
      <c r="AN323" s="91"/>
      <c r="AO323" s="96"/>
      <c r="AP323" s="105"/>
      <c r="AQ323" s="105"/>
      <c r="AR323" s="105"/>
      <c r="AS323" s="105"/>
    </row>
    <row r="324" spans="1:45" ht="12" customHeight="1" x14ac:dyDescent="0.25">
      <c r="A324" s="90">
        <v>323</v>
      </c>
      <c r="B324" s="91"/>
      <c r="C324" s="91" t="s">
        <v>805</v>
      </c>
      <c r="D324" s="92" t="s">
        <v>4311</v>
      </c>
      <c r="E324" s="91" t="s">
        <v>2560</v>
      </c>
      <c r="F324" s="91" t="s">
        <v>87</v>
      </c>
      <c r="G324" s="56" t="s">
        <v>779</v>
      </c>
      <c r="H324" s="91">
        <v>16</v>
      </c>
      <c r="I324" s="91" t="s">
        <v>117</v>
      </c>
      <c r="J324" s="91" t="s">
        <v>90</v>
      </c>
      <c r="K324" s="92" t="s">
        <v>815</v>
      </c>
      <c r="L324" s="93" t="str">
        <f>VLOOKUP(G324,'SKU 对应关系'!A:E,4,0)</f>
        <v>MK1-B</v>
      </c>
      <c r="M324" s="94" t="str">
        <f>_xlfn.IFNA(VLOOKUP(G324,'SKU 对应关系'!A:B,2,0),"")</f>
        <v>MK1-B 智能球形把手锁 黑色</v>
      </c>
      <c r="N324" s="95" t="str">
        <f>_xlfn.IFNA(VLOOKUP(G324,'SKU 对应关系'!$A:$D,3,0),"")</f>
        <v>MK1</v>
      </c>
      <c r="O324" s="96">
        <v>1</v>
      </c>
      <c r="P324" s="580">
        <v>14.833333333333334</v>
      </c>
      <c r="Q324" s="96" t="s">
        <v>16</v>
      </c>
      <c r="R324" s="91">
        <v>5</v>
      </c>
      <c r="S324" s="95"/>
      <c r="T324" s="98">
        <v>58.333333333333336</v>
      </c>
      <c r="U324" s="99">
        <f t="shared" si="41"/>
        <v>132.5</v>
      </c>
      <c r="V324" s="100">
        <f t="shared" si="43"/>
        <v>8.28125</v>
      </c>
      <c r="W324" s="101">
        <f t="shared" si="42"/>
        <v>1.2360074626865671</v>
      </c>
      <c r="X324" s="95"/>
      <c r="Y324" s="95"/>
      <c r="Z324" s="102"/>
      <c r="AA324" s="103">
        <v>46108</v>
      </c>
      <c r="AB324" s="103">
        <v>46132</v>
      </c>
      <c r="AC324" s="103"/>
      <c r="AD324" s="104">
        <f>IF(ISNA(VLOOKUP(D324,亚马逊入库配置费!B:F,5,0)),0,VLOOKUP(D324,亚马逊入库配置费!B:F,5,0))</f>
        <v>0</v>
      </c>
      <c r="AE324" s="104">
        <f t="shared" si="40"/>
        <v>0</v>
      </c>
      <c r="AF324" s="103">
        <v>46151</v>
      </c>
      <c r="AG324" s="90">
        <f t="shared" si="44"/>
        <v>43</v>
      </c>
      <c r="AH324" s="103">
        <v>46175</v>
      </c>
      <c r="AI324" s="96"/>
      <c r="AJ324" s="427">
        <f t="shared" si="45"/>
        <v>24</v>
      </c>
      <c r="AK324" s="96"/>
      <c r="AL324" s="92"/>
      <c r="AM324" s="91"/>
      <c r="AN324" s="91"/>
      <c r="AO324" s="96"/>
      <c r="AP324" s="105"/>
      <c r="AQ324" s="105"/>
      <c r="AR324" s="105"/>
      <c r="AS324" s="105"/>
    </row>
    <row r="325" spans="1:45" ht="12" customHeight="1" x14ac:dyDescent="0.25">
      <c r="A325" s="90">
        <v>324</v>
      </c>
      <c r="B325" s="91"/>
      <c r="C325" s="91" t="s">
        <v>4292</v>
      </c>
      <c r="D325" s="92" t="s">
        <v>4312</v>
      </c>
      <c r="E325" s="91" t="s">
        <v>97</v>
      </c>
      <c r="F325" s="91" t="s">
        <v>0</v>
      </c>
      <c r="G325" s="56" t="s">
        <v>2177</v>
      </c>
      <c r="H325" s="91">
        <v>360</v>
      </c>
      <c r="I325" s="91" t="s">
        <v>207</v>
      </c>
      <c r="J325" s="91" t="s">
        <v>8</v>
      </c>
      <c r="K325" s="92" t="s">
        <v>13</v>
      </c>
      <c r="L325" s="93" t="str">
        <f>VLOOKUP(G325,'SKU 对应关系'!A:E,4,0)</f>
        <v>ANWKIT-B_US_2X100K03</v>
      </c>
      <c r="M325" s="94" t="str">
        <f>_xlfn.IFNA(VLOOKUP(G325,'SKU 对应关系'!A:B,2,0),"")</f>
        <v>ANWKIT-B_US_2X100K03 ANW黑色机器+2X100mL酒店香氛油（天竺） 机油套装</v>
      </c>
      <c r="N325" s="95" t="str">
        <f>_xlfn.IFNA(VLOOKUP(G325,'SKU 对应关系'!$A:$D,3,0),"")</f>
        <v>ANW</v>
      </c>
      <c r="O325" s="96">
        <v>30</v>
      </c>
      <c r="P325" s="580">
        <v>522.45283018867917</v>
      </c>
      <c r="Q325" s="96" t="s">
        <v>16</v>
      </c>
      <c r="R325" s="91">
        <v>4.2</v>
      </c>
      <c r="S325" s="95">
        <v>200</v>
      </c>
      <c r="T325" s="98">
        <v>41.095890410958901</v>
      </c>
      <c r="U325" s="99">
        <f t="shared" si="41"/>
        <v>2235.3977772034114</v>
      </c>
      <c r="V325" s="100">
        <f t="shared" si="43"/>
        <v>6.2094382700094757</v>
      </c>
      <c r="W325" s="101">
        <f t="shared" si="42"/>
        <v>0.92678183134469783</v>
      </c>
      <c r="X325" s="95"/>
      <c r="Y325" s="95"/>
      <c r="Z325" s="102"/>
      <c r="AA325" s="103">
        <v>46109</v>
      </c>
      <c r="AB325" s="103">
        <v>46129</v>
      </c>
      <c r="AC325" s="103"/>
      <c r="AD325" s="104">
        <f>IF(ISNA(VLOOKUP(D325,亚马逊入库配置费!B:F,5,0)),0,VLOOKUP(D325,亚马逊入库配置费!B:F,5,0))</f>
        <v>0.56000000000000005</v>
      </c>
      <c r="AE325" s="104">
        <f t="shared" si="40"/>
        <v>201.60000000000002</v>
      </c>
      <c r="AF325" s="103">
        <v>46147</v>
      </c>
      <c r="AG325" s="90">
        <f t="shared" si="44"/>
        <v>38</v>
      </c>
      <c r="AH325" s="103"/>
      <c r="AI325" s="96"/>
      <c r="AJ325" s="427">
        <f t="shared" si="45"/>
        <v>-46147</v>
      </c>
      <c r="AK325" s="96"/>
      <c r="AL325" s="92"/>
      <c r="AM325" s="91"/>
      <c r="AN325" s="91"/>
      <c r="AO325" s="96"/>
      <c r="AP325" s="105"/>
      <c r="AQ325" s="105"/>
      <c r="AR325" s="105"/>
      <c r="AS325" s="105"/>
    </row>
    <row r="326" spans="1:45" ht="12" customHeight="1" x14ac:dyDescent="0.25">
      <c r="A326" s="90">
        <v>325</v>
      </c>
      <c r="B326" s="91"/>
      <c r="C326" s="91" t="s">
        <v>4292</v>
      </c>
      <c r="D326" s="92" t="s">
        <v>4312</v>
      </c>
      <c r="E326" s="91" t="s">
        <v>97</v>
      </c>
      <c r="F326" s="91" t="s">
        <v>0</v>
      </c>
      <c r="G326" s="56" t="s">
        <v>2179</v>
      </c>
      <c r="H326" s="91">
        <v>276</v>
      </c>
      <c r="I326" s="91" t="s">
        <v>207</v>
      </c>
      <c r="J326" s="91" t="s">
        <v>8</v>
      </c>
      <c r="K326" s="92" t="s">
        <v>13</v>
      </c>
      <c r="L326" s="93" t="str">
        <f>VLOOKUP(G326,'SKU 对应关系'!A:E,4,0)</f>
        <v>ANWKIT-WH_US_2X100K03</v>
      </c>
      <c r="M326" s="94" t="str">
        <f>_xlfn.IFNA(VLOOKUP(G326,'SKU 对应关系'!A:B,2,0),"")</f>
        <v>ANWKIT-WH_US_2X100K03 ANW白色机器+2X100mL酒店香氛油（天竺） 机油套装</v>
      </c>
      <c r="N326" s="95" t="str">
        <f>_xlfn.IFNA(VLOOKUP(G326,'SKU 对应关系'!$A:$D,3,0),"")</f>
        <v>ANW</v>
      </c>
      <c r="O326" s="96">
        <v>23</v>
      </c>
      <c r="P326" s="580">
        <v>400.54716981132071</v>
      </c>
      <c r="Q326" s="96" t="s">
        <v>16</v>
      </c>
      <c r="R326" s="91">
        <v>4.2</v>
      </c>
      <c r="S326" s="95"/>
      <c r="T326" s="98">
        <v>31.506849315068493</v>
      </c>
      <c r="U326" s="99">
        <f t="shared" si="41"/>
        <v>1713.8049625226154</v>
      </c>
      <c r="V326" s="100">
        <f t="shared" si="43"/>
        <v>6.2094382700094757</v>
      </c>
      <c r="W326" s="101">
        <f t="shared" si="42"/>
        <v>0.92678183134469783</v>
      </c>
      <c r="X326" s="95"/>
      <c r="Y326" s="95"/>
      <c r="Z326" s="102"/>
      <c r="AA326" s="103">
        <v>46109</v>
      </c>
      <c r="AB326" s="103">
        <v>46129</v>
      </c>
      <c r="AC326" s="103"/>
      <c r="AD326" s="104">
        <f>IF(ISNA(VLOOKUP(D326,亚马逊入库配置费!B:F,5,0)),0,VLOOKUP(D326,亚马逊入库配置费!B:F,5,0))</f>
        <v>0.56000000000000005</v>
      </c>
      <c r="AE326" s="104">
        <f t="shared" si="40"/>
        <v>154.56</v>
      </c>
      <c r="AF326" s="103">
        <v>46147</v>
      </c>
      <c r="AG326" s="90">
        <f t="shared" si="44"/>
        <v>38</v>
      </c>
      <c r="AH326" s="103"/>
      <c r="AI326" s="96"/>
      <c r="AJ326" s="427">
        <f t="shared" si="45"/>
        <v>-46147</v>
      </c>
      <c r="AK326" s="96"/>
      <c r="AL326" s="92"/>
      <c r="AM326" s="91"/>
      <c r="AN326" s="91"/>
      <c r="AO326" s="96"/>
      <c r="AP326" s="105"/>
      <c r="AQ326" s="105"/>
      <c r="AR326" s="105"/>
      <c r="AS326" s="105"/>
    </row>
    <row r="327" spans="1:45" ht="12" customHeight="1" x14ac:dyDescent="0.25">
      <c r="A327" s="90">
        <v>326</v>
      </c>
      <c r="B327" s="91"/>
      <c r="C327" s="91" t="s">
        <v>4313</v>
      </c>
      <c r="D327" s="92" t="s">
        <v>4314</v>
      </c>
      <c r="E327" s="91" t="s">
        <v>4202</v>
      </c>
      <c r="F327" s="91" t="s">
        <v>0</v>
      </c>
      <c r="G327" s="56" t="s">
        <v>2984</v>
      </c>
      <c r="H327" s="91">
        <v>192</v>
      </c>
      <c r="I327" s="91" t="s">
        <v>207</v>
      </c>
      <c r="J327" s="91" t="s">
        <v>8</v>
      </c>
      <c r="K327" s="92" t="s">
        <v>32</v>
      </c>
      <c r="L327" s="93" t="str">
        <f>VLOOKUP(G327,'SKU 对应关系'!A:E,4,0)</f>
        <v>ANPKIT-B_US_3X20K01_TZ</v>
      </c>
      <c r="M327" s="94" t="str">
        <f>_xlfn.IFNA(VLOOKUP(G327,'SKU 对应关系'!A:B,2,0),"")</f>
        <v>ANPKIT-B_US_3X20K01_TZ ANP黑色机器+3X20mL酒店香氛油（天竺） 机油套装</v>
      </c>
      <c r="N327" s="95" t="str">
        <f>_xlfn.IFNA(VLOOKUP(G327,'SKU 对应关系'!$A:$D,3,0),"")</f>
        <v>ANP</v>
      </c>
      <c r="O327" s="96">
        <v>6</v>
      </c>
      <c r="P327" s="580">
        <v>120.89999999999999</v>
      </c>
      <c r="Q327" s="96" t="s">
        <v>16</v>
      </c>
      <c r="R327" s="91">
        <v>4.2</v>
      </c>
      <c r="S327" s="95">
        <v>200</v>
      </c>
      <c r="T327" s="98">
        <v>60</v>
      </c>
      <c r="U327" s="99">
        <f t="shared" si="41"/>
        <v>567.78</v>
      </c>
      <c r="V327" s="100">
        <f t="shared" si="43"/>
        <v>2.9571874999999999</v>
      </c>
      <c r="W327" s="101">
        <f t="shared" si="42"/>
        <v>0.44137126865671639</v>
      </c>
      <c r="X327" s="95"/>
      <c r="Y327" s="95"/>
      <c r="Z327" s="102"/>
      <c r="AA327" s="103">
        <v>46109</v>
      </c>
      <c r="AB327" s="103">
        <v>46129</v>
      </c>
      <c r="AC327" s="103"/>
      <c r="AD327" s="104">
        <f>IF(ISNA(VLOOKUP(D327,亚马逊入库配置费!B:F,5,0)),0,VLOOKUP(D327,亚马逊入库配置费!B:F,5,0))</f>
        <v>0.42870056497175141</v>
      </c>
      <c r="AE327" s="104">
        <f t="shared" si="40"/>
        <v>82.310508474576267</v>
      </c>
      <c r="AF327" s="103">
        <v>46141</v>
      </c>
      <c r="AG327" s="90">
        <f t="shared" si="44"/>
        <v>32</v>
      </c>
      <c r="AH327" s="103">
        <v>46170</v>
      </c>
      <c r="AI327" s="96"/>
      <c r="AJ327" s="427">
        <f t="shared" si="45"/>
        <v>29</v>
      </c>
      <c r="AK327" s="96"/>
      <c r="AL327" s="92"/>
      <c r="AM327" s="91"/>
      <c r="AN327" s="91"/>
      <c r="AO327" s="96"/>
      <c r="AP327" s="105"/>
      <c r="AQ327" s="105"/>
      <c r="AR327" s="105"/>
      <c r="AS327" s="105"/>
    </row>
    <row r="328" spans="1:45" ht="12" customHeight="1" x14ac:dyDescent="0.25">
      <c r="A328" s="90">
        <v>327</v>
      </c>
      <c r="B328" s="91"/>
      <c r="C328" s="91" t="s">
        <v>4313</v>
      </c>
      <c r="D328" s="92" t="s">
        <v>4314</v>
      </c>
      <c r="E328" s="91" t="s">
        <v>4202</v>
      </c>
      <c r="F328" s="91" t="s">
        <v>0</v>
      </c>
      <c r="G328" s="56" t="s">
        <v>2986</v>
      </c>
      <c r="H328" s="91">
        <v>416</v>
      </c>
      <c r="I328" s="91" t="s">
        <v>207</v>
      </c>
      <c r="J328" s="91" t="s">
        <v>8</v>
      </c>
      <c r="K328" s="92" t="s">
        <v>32</v>
      </c>
      <c r="L328" s="93" t="str">
        <f>VLOOKUP(G328,'SKU 对应关系'!A:E,4,0)</f>
        <v>ANPKIT-WH_US_3X20K01_TZ</v>
      </c>
      <c r="M328" s="94" t="str">
        <f>_xlfn.IFNA(VLOOKUP(G328,'SKU 对应关系'!A:B,2,0),"")</f>
        <v>ANPKIT-WH_US_3X20K01_TZ ANP白色机器+3X20mL酒店香氛油（天竺） 机油套装</v>
      </c>
      <c r="N328" s="95" t="str">
        <f>_xlfn.IFNA(VLOOKUP(G328,'SKU 对应关系'!$A:$D,3,0),"")</f>
        <v>ANP</v>
      </c>
      <c r="O328" s="96">
        <v>13</v>
      </c>
      <c r="P328" s="580">
        <v>261.95</v>
      </c>
      <c r="Q328" s="96" t="s">
        <v>16</v>
      </c>
      <c r="R328" s="91">
        <v>4.2</v>
      </c>
      <c r="S328" s="106">
        <v>200</v>
      </c>
      <c r="T328" s="98">
        <v>130</v>
      </c>
      <c r="U328" s="99">
        <f t="shared" si="41"/>
        <v>1230.19</v>
      </c>
      <c r="V328" s="100">
        <f t="shared" si="43"/>
        <v>2.9571875000000003</v>
      </c>
      <c r="W328" s="101">
        <f t="shared" si="42"/>
        <v>0.44137126865671644</v>
      </c>
      <c r="X328" s="95"/>
      <c r="Y328" s="95"/>
      <c r="Z328" s="102"/>
      <c r="AA328" s="103">
        <v>46109</v>
      </c>
      <c r="AB328" s="103">
        <v>46129</v>
      </c>
      <c r="AC328" s="103"/>
      <c r="AD328" s="104">
        <f>IF(ISNA(VLOOKUP(D328,亚马逊入库配置费!B:F,5,0)),0,VLOOKUP(D328,亚马逊入库配置费!B:F,5,0))</f>
        <v>0.42870056497175141</v>
      </c>
      <c r="AE328" s="104">
        <f t="shared" si="40"/>
        <v>178.33943502824857</v>
      </c>
      <c r="AF328" s="103">
        <v>46141</v>
      </c>
      <c r="AG328" s="90">
        <f t="shared" si="44"/>
        <v>32</v>
      </c>
      <c r="AH328" s="103">
        <v>46170</v>
      </c>
      <c r="AI328" s="96"/>
      <c r="AJ328" s="427">
        <f t="shared" si="45"/>
        <v>29</v>
      </c>
      <c r="AK328" s="96"/>
      <c r="AL328" s="92"/>
      <c r="AM328" s="91"/>
      <c r="AN328" s="91"/>
      <c r="AO328" s="96"/>
      <c r="AP328" s="105"/>
      <c r="AQ328" s="105"/>
      <c r="AR328" s="105"/>
      <c r="AS328" s="105"/>
    </row>
    <row r="329" spans="1:45" ht="12" customHeight="1" x14ac:dyDescent="0.25">
      <c r="A329" s="90">
        <v>328</v>
      </c>
      <c r="B329" s="91"/>
      <c r="C329" s="91" t="s">
        <v>4313</v>
      </c>
      <c r="D329" s="92" t="s">
        <v>4314</v>
      </c>
      <c r="E329" s="91" t="s">
        <v>4202</v>
      </c>
      <c r="F329" s="91" t="s">
        <v>0</v>
      </c>
      <c r="G329" s="56" t="s">
        <v>2965</v>
      </c>
      <c r="H329" s="91">
        <v>100</v>
      </c>
      <c r="I329" s="91" t="s">
        <v>207</v>
      </c>
      <c r="J329" s="91" t="s">
        <v>8</v>
      </c>
      <c r="K329" s="92" t="s">
        <v>32</v>
      </c>
      <c r="L329" s="93" t="str">
        <f>VLOOKUP(G329,'SKU 对应关系'!A:E,4,0)</f>
        <v>ANPPJ-BOT</v>
      </c>
      <c r="M329" s="94" t="str">
        <f>_xlfn.IFNA(VLOOKUP(G329,'SKU 对应关系'!A:B,2,0),"")</f>
        <v>ANPPJ-BOT 墙插式智能扩香仪160mL带盖替换瓶</v>
      </c>
      <c r="N329" s="95" t="str">
        <f>_xlfn.IFNA(VLOOKUP(G329,'SKU 对应关系'!$A:$D,3,0),"")</f>
        <v>ANP-AC</v>
      </c>
      <c r="O329" s="96">
        <v>1</v>
      </c>
      <c r="P329" s="580">
        <v>20.149999999999999</v>
      </c>
      <c r="Q329" s="96" t="s">
        <v>16</v>
      </c>
      <c r="R329" s="91">
        <v>4.2</v>
      </c>
      <c r="S329" s="95"/>
      <c r="T329" s="98">
        <v>10</v>
      </c>
      <c r="U329" s="99">
        <f t="shared" si="41"/>
        <v>94.63</v>
      </c>
      <c r="V329" s="100">
        <f t="shared" si="43"/>
        <v>0.94629999999999992</v>
      </c>
      <c r="W329" s="101">
        <f t="shared" si="42"/>
        <v>0.14123880597014923</v>
      </c>
      <c r="X329" s="95"/>
      <c r="Y329" s="95"/>
      <c r="Z329" s="102"/>
      <c r="AA329" s="103">
        <v>46109</v>
      </c>
      <c r="AB329" s="103">
        <v>46129</v>
      </c>
      <c r="AC329" s="103"/>
      <c r="AD329" s="104">
        <f>IF(ISNA(VLOOKUP(D329,亚马逊入库配置费!B:F,5,0)),0,VLOOKUP(D329,亚马逊入库配置费!B:F,5,0))</f>
        <v>0.42870056497175141</v>
      </c>
      <c r="AE329" s="104">
        <f t="shared" si="40"/>
        <v>42.870056497175142</v>
      </c>
      <c r="AF329" s="103">
        <v>46141</v>
      </c>
      <c r="AG329" s="90">
        <f t="shared" si="44"/>
        <v>32</v>
      </c>
      <c r="AH329" s="103">
        <v>46170</v>
      </c>
      <c r="AI329" s="96"/>
      <c r="AJ329" s="427">
        <f t="shared" si="45"/>
        <v>29</v>
      </c>
      <c r="AK329" s="96"/>
      <c r="AL329" s="92"/>
      <c r="AM329" s="91"/>
      <c r="AN329" s="91"/>
      <c r="AO329" s="96"/>
      <c r="AP329" s="105"/>
      <c r="AQ329" s="105"/>
      <c r="AR329" s="105"/>
      <c r="AS329" s="105"/>
    </row>
    <row r="330" spans="1:45" ht="12" customHeight="1" x14ac:dyDescent="0.25">
      <c r="A330" s="90">
        <v>329</v>
      </c>
      <c r="B330" s="91"/>
      <c r="C330" s="91" t="s">
        <v>4301</v>
      </c>
      <c r="D330" s="92" t="s">
        <v>4315</v>
      </c>
      <c r="E330" s="91" t="s">
        <v>97</v>
      </c>
      <c r="F330" s="91" t="s">
        <v>0</v>
      </c>
      <c r="G330" s="56" t="s">
        <v>88</v>
      </c>
      <c r="H330" s="91">
        <v>180</v>
      </c>
      <c r="I330" s="91" t="s">
        <v>117</v>
      </c>
      <c r="J330" s="91" t="s">
        <v>8</v>
      </c>
      <c r="K330" s="92" t="s">
        <v>50</v>
      </c>
      <c r="L330" s="93" t="str">
        <f>VLOOKUP(G330,'SKU 对应关系'!A:E,4,0)</f>
        <v>ANW-B</v>
      </c>
      <c r="M330" s="94" t="str">
        <f>_xlfn.IFNA(VLOOKUP(G330,'SKU 对应关系'!A:B,2,0),"")</f>
        <v>ANW-B 智能扩香仪 黑色</v>
      </c>
      <c r="N330" s="95" t="str">
        <f>_xlfn.IFNA(VLOOKUP(G330,'SKU 对应关系'!$A:$D,3,0),"")</f>
        <v>ANW</v>
      </c>
      <c r="O330" s="96">
        <v>15</v>
      </c>
      <c r="P330" s="580">
        <v>213.62903225806451</v>
      </c>
      <c r="Q330" s="96" t="s">
        <v>16</v>
      </c>
      <c r="R330" s="91">
        <v>4</v>
      </c>
      <c r="S330" s="95">
        <v>200</v>
      </c>
      <c r="T330" s="98">
        <v>30</v>
      </c>
      <c r="U330" s="99">
        <f t="shared" si="41"/>
        <v>884.51612903225805</v>
      </c>
      <c r="V330" s="100">
        <f t="shared" si="43"/>
        <v>4.913978494623656</v>
      </c>
      <c r="W330" s="101">
        <f t="shared" si="42"/>
        <v>0.73342962606323225</v>
      </c>
      <c r="X330" s="95"/>
      <c r="Y330" s="95"/>
      <c r="Z330" s="102"/>
      <c r="AA330" s="103">
        <v>46108</v>
      </c>
      <c r="AB330" s="103">
        <v>46130</v>
      </c>
      <c r="AC330" s="103"/>
      <c r="AD330" s="104">
        <f>IF(ISNA(VLOOKUP(D330,亚马逊入库配置费!B:F,5,0)),0,VLOOKUP(D330,亚马逊入库配置费!B:F,5,0))</f>
        <v>0.50218809980806134</v>
      </c>
      <c r="AE330" s="104">
        <f t="shared" si="40"/>
        <v>90.393857965451048</v>
      </c>
      <c r="AF330" s="103">
        <v>46142</v>
      </c>
      <c r="AG330" s="90">
        <f t="shared" si="44"/>
        <v>34</v>
      </c>
      <c r="AH330" s="103">
        <v>46179</v>
      </c>
      <c r="AI330" s="96"/>
      <c r="AJ330" s="427">
        <f t="shared" si="45"/>
        <v>37</v>
      </c>
      <c r="AK330" s="96"/>
      <c r="AL330" s="92"/>
      <c r="AM330" s="91"/>
      <c r="AN330" s="91"/>
      <c r="AO330" s="96"/>
      <c r="AP330" s="105"/>
      <c r="AQ330" s="105"/>
      <c r="AR330" s="105"/>
      <c r="AS330" s="105"/>
    </row>
    <row r="331" spans="1:45" ht="12" customHeight="1" x14ac:dyDescent="0.25">
      <c r="A331" s="90">
        <v>330</v>
      </c>
      <c r="B331" s="91"/>
      <c r="C331" s="91" t="s">
        <v>4301</v>
      </c>
      <c r="D331" s="92" t="s">
        <v>4315</v>
      </c>
      <c r="E331" s="91" t="s">
        <v>97</v>
      </c>
      <c r="F331" s="91" t="s">
        <v>0</v>
      </c>
      <c r="G331" s="56" t="s">
        <v>93</v>
      </c>
      <c r="H331" s="91">
        <v>420</v>
      </c>
      <c r="I331" s="91" t="s">
        <v>117</v>
      </c>
      <c r="J331" s="91" t="s">
        <v>8</v>
      </c>
      <c r="K331" s="92" t="s">
        <v>50</v>
      </c>
      <c r="L331" s="93" t="str">
        <f>VLOOKUP(G331,'SKU 对应关系'!A:E,4,0)</f>
        <v>ANW-W</v>
      </c>
      <c r="M331" s="94" t="str">
        <f>_xlfn.IFNA(VLOOKUP(G331,'SKU 对应关系'!A:B,2,0),"")</f>
        <v>ANW-W 智能扩香仪 白色</v>
      </c>
      <c r="N331" s="95" t="str">
        <f>_xlfn.IFNA(VLOOKUP(G331,'SKU 对应关系'!$A:$D,3,0),"")</f>
        <v>ANW</v>
      </c>
      <c r="O331" s="96">
        <v>35</v>
      </c>
      <c r="P331" s="580">
        <v>498.4677419354839</v>
      </c>
      <c r="Q331" s="96" t="s">
        <v>16</v>
      </c>
      <c r="R331" s="91">
        <v>4</v>
      </c>
      <c r="S331" s="106">
        <v>200</v>
      </c>
      <c r="T331" s="98">
        <v>70</v>
      </c>
      <c r="U331" s="99">
        <f t="shared" si="41"/>
        <v>2063.8709677419356</v>
      </c>
      <c r="V331" s="100">
        <f t="shared" si="43"/>
        <v>4.913978494623656</v>
      </c>
      <c r="W331" s="101">
        <f t="shared" si="42"/>
        <v>0.73342962606323225</v>
      </c>
      <c r="X331" s="95"/>
      <c r="Y331" s="95"/>
      <c r="Z331" s="102"/>
      <c r="AA331" s="103">
        <v>46108</v>
      </c>
      <c r="AB331" s="103">
        <v>46130</v>
      </c>
      <c r="AC331" s="103"/>
      <c r="AD331" s="104">
        <f>IF(ISNA(VLOOKUP(D331,亚马逊入库配置费!B:F,5,0)),0,VLOOKUP(D331,亚马逊入库配置费!B:F,5,0))</f>
        <v>0.50218809980806134</v>
      </c>
      <c r="AE331" s="104">
        <f t="shared" si="40"/>
        <v>210.91900191938575</v>
      </c>
      <c r="AF331" s="103">
        <v>46142</v>
      </c>
      <c r="AG331" s="90">
        <f t="shared" si="44"/>
        <v>34</v>
      </c>
      <c r="AH331" s="103">
        <v>46179</v>
      </c>
      <c r="AI331" s="96"/>
      <c r="AJ331" s="427">
        <f t="shared" si="45"/>
        <v>37</v>
      </c>
      <c r="AK331" s="96"/>
      <c r="AL331" s="92"/>
      <c r="AM331" s="91"/>
      <c r="AN331" s="91"/>
      <c r="AO331" s="96"/>
      <c r="AP331" s="105"/>
      <c r="AQ331" s="105"/>
      <c r="AR331" s="105"/>
      <c r="AS331" s="105"/>
    </row>
    <row r="332" spans="1:45" ht="12" customHeight="1" x14ac:dyDescent="0.25">
      <c r="A332" s="90">
        <v>331</v>
      </c>
      <c r="B332" s="91"/>
      <c r="C332" s="91" t="s">
        <v>4301</v>
      </c>
      <c r="D332" s="92" t="s">
        <v>4315</v>
      </c>
      <c r="E332" s="91" t="s">
        <v>97</v>
      </c>
      <c r="F332" s="91" t="s">
        <v>0</v>
      </c>
      <c r="G332" s="56" t="s">
        <v>2172</v>
      </c>
      <c r="H332" s="91">
        <v>352</v>
      </c>
      <c r="I332" s="91" t="s">
        <v>117</v>
      </c>
      <c r="J332" s="91" t="s">
        <v>8</v>
      </c>
      <c r="K332" s="92" t="s">
        <v>50</v>
      </c>
      <c r="L332" s="93" t="str">
        <f>VLOOKUP(G332,'SKU 对应关系'!A:E,4,0)</f>
        <v>ANP-W_US</v>
      </c>
      <c r="M332" s="94" t="str">
        <f>_xlfn.IFNA(VLOOKUP(G332,'SKU 对应关系'!A:B,2,0),"")</f>
        <v>ANP-W_US 墙插式智能扩香仪 白色</v>
      </c>
      <c r="N332" s="95" t="str">
        <f>_xlfn.IFNA(VLOOKUP(G332,'SKU 对应关系'!$A:$D,3,0),"")</f>
        <v>ANP</v>
      </c>
      <c r="O332" s="96">
        <v>11</v>
      </c>
      <c r="P332" s="580">
        <v>156.66129032258064</v>
      </c>
      <c r="Q332" s="96" t="s">
        <v>16</v>
      </c>
      <c r="R332" s="91">
        <v>4</v>
      </c>
      <c r="S332" s="95"/>
      <c r="T332" s="98">
        <v>22</v>
      </c>
      <c r="U332" s="99">
        <f t="shared" si="41"/>
        <v>648.64516129032256</v>
      </c>
      <c r="V332" s="100">
        <f t="shared" si="43"/>
        <v>1.842741935483871</v>
      </c>
      <c r="W332" s="101">
        <f t="shared" si="42"/>
        <v>0.27503610977371207</v>
      </c>
      <c r="X332" s="95"/>
      <c r="Y332" s="95"/>
      <c r="Z332" s="102"/>
      <c r="AA332" s="103">
        <v>46108</v>
      </c>
      <c r="AB332" s="103">
        <v>46130</v>
      </c>
      <c r="AC332" s="103"/>
      <c r="AD332" s="104">
        <f>IF(ISNA(VLOOKUP(D332,亚马逊入库配置费!B:F,5,0)),0,VLOOKUP(D332,亚马逊入库配置费!B:F,5,0))</f>
        <v>0.50218809980806134</v>
      </c>
      <c r="AE332" s="104">
        <f t="shared" si="40"/>
        <v>176.77021113243759</v>
      </c>
      <c r="AF332" s="103">
        <v>46142</v>
      </c>
      <c r="AG332" s="90">
        <f t="shared" si="44"/>
        <v>34</v>
      </c>
      <c r="AH332" s="103">
        <v>46179</v>
      </c>
      <c r="AI332" s="96"/>
      <c r="AJ332" s="427">
        <f t="shared" si="45"/>
        <v>37</v>
      </c>
      <c r="AK332" s="96"/>
      <c r="AL332" s="92"/>
      <c r="AM332" s="91"/>
      <c r="AN332" s="91"/>
      <c r="AO332" s="96"/>
      <c r="AP332" s="105"/>
      <c r="AQ332" s="105"/>
      <c r="AR332" s="105"/>
      <c r="AS332" s="105"/>
    </row>
    <row r="333" spans="1:45" ht="12" customHeight="1" x14ac:dyDescent="0.25">
      <c r="A333" s="90">
        <v>332</v>
      </c>
      <c r="B333" s="91"/>
      <c r="C333" s="91" t="s">
        <v>4301</v>
      </c>
      <c r="D333" s="92" t="s">
        <v>4315</v>
      </c>
      <c r="E333" s="91" t="s">
        <v>97</v>
      </c>
      <c r="F333" s="91" t="s">
        <v>0</v>
      </c>
      <c r="G333" s="56" t="s">
        <v>98</v>
      </c>
      <c r="H333" s="91">
        <v>90</v>
      </c>
      <c r="I333" s="91" t="s">
        <v>117</v>
      </c>
      <c r="J333" s="91" t="s">
        <v>8</v>
      </c>
      <c r="K333" s="92" t="s">
        <v>50</v>
      </c>
      <c r="L333" s="93" t="str">
        <f>VLOOKUP(G333,'SKU 对应关系'!A:E,4,0)</f>
        <v>ANW-Wbot</v>
      </c>
      <c r="M333" s="94" t="str">
        <f>_xlfn.IFNA(VLOOKUP(G333,'SKU 对应关系'!A:B,2,0),"")</f>
        <v>ANW-Wbot ANW带盖瓶子 白喷头</v>
      </c>
      <c r="N333" s="95" t="str">
        <f>_xlfn.IFNA(VLOOKUP(G333,'SKU 对应关系'!$A:$D,3,0),"")</f>
        <v>ANW-AC</v>
      </c>
      <c r="O333" s="96">
        <v>1</v>
      </c>
      <c r="P333" s="580">
        <v>14.241935483870968</v>
      </c>
      <c r="Q333" s="96" t="s">
        <v>16</v>
      </c>
      <c r="R333" s="91">
        <v>4</v>
      </c>
      <c r="S333" s="95"/>
      <c r="T333" s="98">
        <v>2</v>
      </c>
      <c r="U333" s="99">
        <f t="shared" si="41"/>
        <v>58.967741935483872</v>
      </c>
      <c r="V333" s="100">
        <f t="shared" si="43"/>
        <v>0.65519713261648749</v>
      </c>
      <c r="W333" s="101">
        <f t="shared" si="42"/>
        <v>9.7790616808430972E-2</v>
      </c>
      <c r="X333" s="95"/>
      <c r="Y333" s="95"/>
      <c r="Z333" s="102"/>
      <c r="AA333" s="103">
        <v>46108</v>
      </c>
      <c r="AB333" s="103">
        <v>46130</v>
      </c>
      <c r="AC333" s="103"/>
      <c r="AD333" s="104">
        <f>IF(ISNA(VLOOKUP(D333,亚马逊入库配置费!B:F,5,0)),0,VLOOKUP(D333,亚马逊入库配置费!B:F,5,0))</f>
        <v>0.50218809980806134</v>
      </c>
      <c r="AE333" s="104">
        <f t="shared" si="40"/>
        <v>45.196928982725524</v>
      </c>
      <c r="AF333" s="103">
        <v>46142</v>
      </c>
      <c r="AG333" s="90">
        <f t="shared" si="44"/>
        <v>34</v>
      </c>
      <c r="AH333" s="103">
        <v>46179</v>
      </c>
      <c r="AI333" s="96"/>
      <c r="AJ333" s="427">
        <f t="shared" si="45"/>
        <v>37</v>
      </c>
      <c r="AK333" s="96"/>
      <c r="AL333" s="92"/>
      <c r="AM333" s="91"/>
      <c r="AN333" s="91"/>
      <c r="AO333" s="96"/>
      <c r="AP333" s="105"/>
      <c r="AQ333" s="105"/>
      <c r="AR333" s="105"/>
      <c r="AS333" s="105"/>
    </row>
    <row r="334" spans="1:45" ht="12" customHeight="1" x14ac:dyDescent="0.25">
      <c r="A334" s="90">
        <v>333</v>
      </c>
      <c r="B334" s="91"/>
      <c r="C334" s="91" t="s">
        <v>784</v>
      </c>
      <c r="D334" s="92" t="s">
        <v>4316</v>
      </c>
      <c r="E334" s="91" t="s">
        <v>97</v>
      </c>
      <c r="F334" s="91" t="s">
        <v>0</v>
      </c>
      <c r="G334" s="56" t="s">
        <v>316</v>
      </c>
      <c r="H334" s="91">
        <v>1350</v>
      </c>
      <c r="I334" s="91" t="s">
        <v>1767</v>
      </c>
      <c r="J334" s="91" t="s">
        <v>8</v>
      </c>
      <c r="K334" s="92" t="s">
        <v>15</v>
      </c>
      <c r="L334" s="93" t="str">
        <f>VLOOKUP(G334,'SKU 对应关系'!A:E,4,0)</f>
        <v>A-RZ3-100</v>
      </c>
      <c r="M334" s="94" t="str">
        <f>_xlfn.IFNA(VLOOKUP(G334,'SKU 对应关系'!A:B,2,0),"")</f>
        <v>A-Ritz Carlton Hotel 3-100 丽思卡尔顿酒店3香氛油100mL</v>
      </c>
      <c r="N334" s="95" t="str">
        <f>_xlfn.IFNA(VLOOKUP(G334,'SKU 对应关系'!$A:$D,3,0),"")</f>
        <v>Oil-HQ</v>
      </c>
      <c r="O334" s="96">
        <v>15</v>
      </c>
      <c r="P334" s="580">
        <v>1</v>
      </c>
      <c r="Q334" s="96" t="s">
        <v>3264</v>
      </c>
      <c r="R334" s="91">
        <v>1180</v>
      </c>
      <c r="S334" s="95">
        <v>180</v>
      </c>
      <c r="T334" s="98">
        <v>72.972972972972968</v>
      </c>
      <c r="U334" s="99">
        <f t="shared" si="41"/>
        <v>1252.9729729729729</v>
      </c>
      <c r="V334" s="100">
        <f t="shared" si="43"/>
        <v>0.92812812812812806</v>
      </c>
      <c r="W334" s="101">
        <f t="shared" si="42"/>
        <v>0.13852658628778031</v>
      </c>
      <c r="X334" s="95"/>
      <c r="Y334" s="95"/>
      <c r="Z334" s="102"/>
      <c r="AA334" s="103">
        <v>46108</v>
      </c>
      <c r="AB334" s="103">
        <v>46130</v>
      </c>
      <c r="AC334" s="103"/>
      <c r="AD334" s="104">
        <f>IF(ISNA(VLOOKUP(D334,亚马逊入库配置费!B:F,5,0)),0,VLOOKUP(D334,亚马逊入库配置费!B:F,5,0))</f>
        <v>0.36</v>
      </c>
      <c r="AE334" s="104">
        <f t="shared" si="40"/>
        <v>486</v>
      </c>
      <c r="AF334" s="103">
        <v>46139</v>
      </c>
      <c r="AG334" s="90">
        <f t="shared" si="44"/>
        <v>31</v>
      </c>
      <c r="AH334" s="103">
        <v>46167</v>
      </c>
      <c r="AI334" s="96"/>
      <c r="AJ334" s="427">
        <f t="shared" si="45"/>
        <v>28</v>
      </c>
      <c r="AK334" s="96"/>
      <c r="AL334" s="92"/>
      <c r="AM334" s="91"/>
      <c r="AN334" s="91"/>
      <c r="AO334" s="96"/>
      <c r="AP334" s="105"/>
      <c r="AQ334" s="105"/>
      <c r="AR334" s="105"/>
      <c r="AS334" s="105"/>
    </row>
    <row r="335" spans="1:45" ht="12" customHeight="1" x14ac:dyDescent="0.25">
      <c r="A335" s="90">
        <v>334</v>
      </c>
      <c r="B335" s="91" t="s">
        <v>4320</v>
      </c>
      <c r="C335" s="91" t="s">
        <v>784</v>
      </c>
      <c r="D335" s="92" t="s">
        <v>4317</v>
      </c>
      <c r="E335" s="91" t="s">
        <v>115</v>
      </c>
      <c r="F335" s="91" t="s">
        <v>0</v>
      </c>
      <c r="G335" s="56" t="s">
        <v>2981</v>
      </c>
      <c r="H335" s="91">
        <v>760</v>
      </c>
      <c r="I335" s="91" t="s">
        <v>1767</v>
      </c>
      <c r="J335" s="91" t="s">
        <v>8</v>
      </c>
      <c r="K335" s="92" t="s">
        <v>44</v>
      </c>
      <c r="L335" s="93" t="str">
        <f>VLOOKUP(G335,'SKU 对应关系'!A:E,4,0)</f>
        <v>HOTEL6KIT1-6X10K01</v>
      </c>
      <c r="M335" s="94" t="str">
        <f>_xlfn.IFNA(VLOOKUP(G335,'SKU 对应关系'!A:B,2,0),"")</f>
        <v>HOTEL6KIT1-6X10K01 酒店香氛油6款10mL套装</v>
      </c>
      <c r="N335" s="95" t="str">
        <f>_xlfn.IFNA(VLOOKUP(G335,'SKU 对应关系'!$A:$D,3,0),"")</f>
        <v>Oil-HQ</v>
      </c>
      <c r="O335" s="96">
        <v>10</v>
      </c>
      <c r="P335" s="580">
        <v>0.49</v>
      </c>
      <c r="Q335" s="96" t="s">
        <v>3264</v>
      </c>
      <c r="R335" s="91">
        <v>1030</v>
      </c>
      <c r="S335" s="106">
        <v>180</v>
      </c>
      <c r="T335" s="98">
        <v>48.648648648648646</v>
      </c>
      <c r="U335" s="99">
        <f t="shared" si="41"/>
        <v>553.34864864864858</v>
      </c>
      <c r="V335" s="100">
        <f t="shared" si="43"/>
        <v>0.72809032716927446</v>
      </c>
      <c r="W335" s="101">
        <f t="shared" si="42"/>
        <v>0.10867019808496634</v>
      </c>
      <c r="X335" s="95"/>
      <c r="Y335" s="95"/>
      <c r="Z335" s="102"/>
      <c r="AA335" s="103">
        <v>46108</v>
      </c>
      <c r="AB335" s="103">
        <v>46130</v>
      </c>
      <c r="AC335" s="103"/>
      <c r="AD335" s="104">
        <f>IF(ISNA(VLOOKUP(D335,亚马逊入库配置费!B:F,5,0)),0,VLOOKUP(D335,亚马逊入库配置费!B:F,5,0))</f>
        <v>0.36000000000000004</v>
      </c>
      <c r="AE335" s="104">
        <f t="shared" si="40"/>
        <v>273.60000000000002</v>
      </c>
      <c r="AF335" s="103">
        <v>46144</v>
      </c>
      <c r="AG335" s="90">
        <f t="shared" si="44"/>
        <v>36</v>
      </c>
      <c r="AH335" s="103">
        <v>46174</v>
      </c>
      <c r="AI335" s="96"/>
      <c r="AJ335" s="427">
        <f t="shared" si="45"/>
        <v>30</v>
      </c>
      <c r="AK335" s="96"/>
      <c r="AL335" s="92"/>
      <c r="AM335" s="91"/>
      <c r="AN335" s="91"/>
      <c r="AO335" s="96"/>
      <c r="AP335" s="105"/>
      <c r="AQ335" s="105"/>
      <c r="AR335" s="105"/>
      <c r="AS335" s="105"/>
    </row>
    <row r="336" spans="1:45" ht="12" customHeight="1" x14ac:dyDescent="0.25">
      <c r="A336" s="90">
        <v>335</v>
      </c>
      <c r="B336" s="91" t="s">
        <v>4321</v>
      </c>
      <c r="C336" s="91" t="s">
        <v>784</v>
      </c>
      <c r="D336" s="92" t="s">
        <v>4318</v>
      </c>
      <c r="E336" s="91" t="s">
        <v>115</v>
      </c>
      <c r="F336" s="91" t="s">
        <v>0</v>
      </c>
      <c r="G336" s="56" t="s">
        <v>2937</v>
      </c>
      <c r="H336" s="91">
        <v>256</v>
      </c>
      <c r="I336" s="91" t="s">
        <v>1767</v>
      </c>
      <c r="J336" s="91" t="s">
        <v>8</v>
      </c>
      <c r="K336" s="92" t="s">
        <v>44</v>
      </c>
      <c r="L336" s="93" t="str">
        <f>VLOOKUP(G336,'SKU 对应关系'!A:E,4,0)</f>
        <v>SJ1-100ML_TZ</v>
      </c>
      <c r="M336" s="94" t="str">
        <f>_xlfn.IFNA(VLOOKUP(G336,'SKU 对应关系'!A:B,2,0),"")</f>
        <v>SJ1-100ML_TZ 四季酒店100mL香氛油（天竺） 销售包装</v>
      </c>
      <c r="N336" s="95" t="str">
        <f>_xlfn.IFNA(VLOOKUP(G336,'SKU 对应关系'!$A:$D,3,0),"")</f>
        <v>Oil-TZ</v>
      </c>
      <c r="O336" s="96">
        <v>4</v>
      </c>
      <c r="P336" s="580">
        <v>0.19666666666666666</v>
      </c>
      <c r="Q336" s="96" t="s">
        <v>3264</v>
      </c>
      <c r="R336" s="91">
        <v>1030</v>
      </c>
      <c r="S336" s="106"/>
      <c r="T336" s="98">
        <v>19.45945945945946</v>
      </c>
      <c r="U336" s="99">
        <f t="shared" si="41"/>
        <v>222.02612612612612</v>
      </c>
      <c r="V336" s="100">
        <f t="shared" si="43"/>
        <v>0.86728955518018014</v>
      </c>
      <c r="W336" s="101">
        <f t="shared" si="42"/>
        <v>0.12944620226569853</v>
      </c>
      <c r="X336" s="95"/>
      <c r="Y336" s="95"/>
      <c r="Z336" s="102"/>
      <c r="AA336" s="103">
        <v>46108</v>
      </c>
      <c r="AB336" s="103">
        <v>46130</v>
      </c>
      <c r="AC336" s="103"/>
      <c r="AD336" s="104">
        <f>IF(ISNA(VLOOKUP(D336,亚马逊入库配置费!B:F,5,0)),0,VLOOKUP(D336,亚马逊入库配置费!B:F,5,0))</f>
        <v>0.36000000000000004</v>
      </c>
      <c r="AE336" s="104">
        <f t="shared" si="40"/>
        <v>92.160000000000011</v>
      </c>
      <c r="AF336" s="103">
        <v>46144</v>
      </c>
      <c r="AG336" s="90">
        <f t="shared" si="44"/>
        <v>36</v>
      </c>
      <c r="AH336" s="103">
        <v>46175</v>
      </c>
      <c r="AI336" s="96"/>
      <c r="AJ336" s="427">
        <f t="shared" si="45"/>
        <v>31</v>
      </c>
      <c r="AK336" s="96"/>
      <c r="AL336" s="92"/>
      <c r="AM336" s="91"/>
      <c r="AN336" s="91"/>
      <c r="AO336" s="96"/>
      <c r="AP336" s="105"/>
      <c r="AQ336" s="105"/>
      <c r="AR336" s="105"/>
      <c r="AS336" s="105"/>
    </row>
    <row r="337" spans="1:45" ht="12" customHeight="1" x14ac:dyDescent="0.25">
      <c r="A337" s="90">
        <v>336</v>
      </c>
      <c r="B337" s="91"/>
      <c r="C337" s="91" t="s">
        <v>784</v>
      </c>
      <c r="D337" s="92" t="s">
        <v>4318</v>
      </c>
      <c r="E337" s="91" t="s">
        <v>115</v>
      </c>
      <c r="F337" s="91" t="s">
        <v>0</v>
      </c>
      <c r="G337" s="56" t="s">
        <v>2862</v>
      </c>
      <c r="H337" s="91">
        <v>128</v>
      </c>
      <c r="I337" s="91" t="s">
        <v>1767</v>
      </c>
      <c r="J337" s="91" t="s">
        <v>8</v>
      </c>
      <c r="K337" s="92" t="s">
        <v>44</v>
      </c>
      <c r="L337" s="93" t="str">
        <f>VLOOKUP(G337,'SKU 对应关系'!A:E,4,0)</f>
        <v>WST1-100ML_TZ</v>
      </c>
      <c r="M337" s="94" t="str">
        <f>_xlfn.IFNA(VLOOKUP(G337,'SKU 对应关系'!A:B,2,0),"")</f>
        <v>WST1-100ML_TZ 威斯汀酒店白茶100mL香氛油（天竺） 销售包装</v>
      </c>
      <c r="N337" s="95" t="str">
        <f>_xlfn.IFNA(VLOOKUP(G337,'SKU 对应关系'!$A:$D,3,0),"")</f>
        <v>Oil-TZ</v>
      </c>
      <c r="O337" s="96">
        <v>2</v>
      </c>
      <c r="P337" s="580">
        <v>9.8333333333333328E-2</v>
      </c>
      <c r="Q337" s="96" t="s">
        <v>3264</v>
      </c>
      <c r="R337" s="91">
        <v>1030</v>
      </c>
      <c r="S337" s="95"/>
      <c r="T337" s="98">
        <v>9.7297297297297298</v>
      </c>
      <c r="U337" s="99">
        <f t="shared" si="41"/>
        <v>111.01306306306306</v>
      </c>
      <c r="V337" s="100">
        <f t="shared" si="43"/>
        <v>0.86728955518018014</v>
      </c>
      <c r="W337" s="101">
        <f t="shared" si="42"/>
        <v>0.12944620226569853</v>
      </c>
      <c r="X337" s="95"/>
      <c r="Y337" s="95"/>
      <c r="Z337" s="102"/>
      <c r="AA337" s="103">
        <v>46108</v>
      </c>
      <c r="AB337" s="103">
        <v>46130</v>
      </c>
      <c r="AC337" s="103"/>
      <c r="AD337" s="104">
        <f>IF(ISNA(VLOOKUP(D337,亚马逊入库配置费!B:F,5,0)),0,VLOOKUP(D337,亚马逊入库配置费!B:F,5,0))</f>
        <v>0.36000000000000004</v>
      </c>
      <c r="AE337" s="104">
        <f t="shared" ref="AE337:AE374" si="46">AD337*H337</f>
        <v>46.080000000000005</v>
      </c>
      <c r="AF337" s="103">
        <v>46144</v>
      </c>
      <c r="AG337" s="90">
        <f t="shared" si="44"/>
        <v>36</v>
      </c>
      <c r="AH337" s="103">
        <v>46175</v>
      </c>
      <c r="AI337" s="96"/>
      <c r="AJ337" s="427">
        <f t="shared" si="45"/>
        <v>31</v>
      </c>
      <c r="AK337" s="96"/>
      <c r="AL337" s="92"/>
      <c r="AM337" s="91"/>
      <c r="AN337" s="91"/>
      <c r="AO337" s="96"/>
      <c r="AP337" s="105"/>
      <c r="AQ337" s="105"/>
      <c r="AR337" s="105"/>
      <c r="AS337" s="105"/>
    </row>
    <row r="338" spans="1:45" ht="12" customHeight="1" x14ac:dyDescent="0.25">
      <c r="A338" s="90">
        <v>337</v>
      </c>
      <c r="B338" s="91"/>
      <c r="C338" s="91" t="s">
        <v>784</v>
      </c>
      <c r="D338" s="92" t="s">
        <v>4318</v>
      </c>
      <c r="E338" s="91" t="s">
        <v>115</v>
      </c>
      <c r="F338" s="91" t="s">
        <v>0</v>
      </c>
      <c r="G338" s="56" t="s">
        <v>2295</v>
      </c>
      <c r="H338" s="91">
        <v>384</v>
      </c>
      <c r="I338" s="91" t="s">
        <v>1767</v>
      </c>
      <c r="J338" s="91" t="s">
        <v>8</v>
      </c>
      <c r="K338" s="92" t="s">
        <v>44</v>
      </c>
      <c r="L338" s="93" t="str">
        <f>VLOOKUP(G338,'SKU 对应关系'!A:E,4,0)</f>
        <v>HILTON1-100ML_TZ</v>
      </c>
      <c r="M338" s="94" t="str">
        <f>_xlfn.IFNA(VLOOKUP(G338,'SKU 对应关系'!A:B,2,0),"")</f>
        <v>HILTON1-100ML_TZ 希尔顿酒店100mL香氛油（天竺） 销售包装</v>
      </c>
      <c r="N338" s="95" t="str">
        <f>_xlfn.IFNA(VLOOKUP(G338,'SKU 对应关系'!$A:$D,3,0),"")</f>
        <v>Oil-TZ</v>
      </c>
      <c r="O338" s="96">
        <v>6</v>
      </c>
      <c r="P338" s="580">
        <v>0.29499999999999998</v>
      </c>
      <c r="Q338" s="96" t="s">
        <v>3264</v>
      </c>
      <c r="R338" s="91">
        <v>1030</v>
      </c>
      <c r="S338" s="95"/>
      <c r="T338" s="98">
        <v>29.189189189189189</v>
      </c>
      <c r="U338" s="99">
        <f t="shared" si="41"/>
        <v>333.03918918918913</v>
      </c>
      <c r="V338" s="100">
        <f t="shared" si="43"/>
        <v>0.86728955518018003</v>
      </c>
      <c r="W338" s="101">
        <f t="shared" si="42"/>
        <v>0.1294462022656985</v>
      </c>
      <c r="X338" s="95"/>
      <c r="Y338" s="95"/>
      <c r="Z338" s="102"/>
      <c r="AA338" s="103">
        <v>46108</v>
      </c>
      <c r="AB338" s="103">
        <v>46130</v>
      </c>
      <c r="AC338" s="103"/>
      <c r="AD338" s="104">
        <f>IF(ISNA(VLOOKUP(D338,亚马逊入库配置费!B:F,5,0)),0,VLOOKUP(D338,亚马逊入库配置费!B:F,5,0))</f>
        <v>0.36000000000000004</v>
      </c>
      <c r="AE338" s="104">
        <f t="shared" si="46"/>
        <v>138.24</v>
      </c>
      <c r="AF338" s="103">
        <v>46144</v>
      </c>
      <c r="AG338" s="90">
        <f t="shared" si="44"/>
        <v>36</v>
      </c>
      <c r="AH338" s="103">
        <v>46175</v>
      </c>
      <c r="AI338" s="96"/>
      <c r="AJ338" s="427">
        <f t="shared" si="45"/>
        <v>31</v>
      </c>
      <c r="AK338" s="96"/>
      <c r="AL338" s="92"/>
      <c r="AM338" s="91"/>
      <c r="AN338" s="91"/>
      <c r="AO338" s="96"/>
      <c r="AP338" s="105"/>
      <c r="AQ338" s="105"/>
      <c r="AR338" s="105"/>
      <c r="AS338" s="105"/>
    </row>
    <row r="339" spans="1:45" ht="12" customHeight="1" x14ac:dyDescent="0.25">
      <c r="A339" s="90">
        <v>338</v>
      </c>
      <c r="B339" s="91"/>
      <c r="C339" s="91" t="s">
        <v>4305</v>
      </c>
      <c r="D339" s="92" t="s">
        <v>4319</v>
      </c>
      <c r="E339" s="91" t="s">
        <v>1164</v>
      </c>
      <c r="F339" s="91" t="s">
        <v>1165</v>
      </c>
      <c r="G339" s="56" t="s">
        <v>614</v>
      </c>
      <c r="H339" s="91">
        <v>72</v>
      </c>
      <c r="I339" s="91" t="s">
        <v>207</v>
      </c>
      <c r="J339" s="91" t="s">
        <v>2064</v>
      </c>
      <c r="K339" s="92" t="s">
        <v>4186</v>
      </c>
      <c r="L339" s="93" t="str">
        <f>VLOOKUP(G339,'SKU 对应关系'!A:E,4,0)</f>
        <v>AP2F-H14</v>
      </c>
      <c r="M339" s="94" t="str">
        <f>_xlfn.IFNA(VLOOKUP(G339,'SKU 对应关系'!A:B,2,0),"")</f>
        <v>AP2F-H14 空气净化器滤网2-H14</v>
      </c>
      <c r="N339" s="95" t="str">
        <f>_xlfn.IFNA(VLOOKUP(G339,'SKU 对应关系'!$A:$D,3,0),"")</f>
        <v>AP2F</v>
      </c>
      <c r="O339" s="96">
        <v>2</v>
      </c>
      <c r="P339" s="580">
        <v>31.8</v>
      </c>
      <c r="Q339" s="96" t="s">
        <v>16</v>
      </c>
      <c r="R339" s="91">
        <v>9.6</v>
      </c>
      <c r="S339" s="106">
        <v>250</v>
      </c>
      <c r="T339" s="98">
        <v>50</v>
      </c>
      <c r="U339" s="99">
        <f t="shared" si="41"/>
        <v>355.28</v>
      </c>
      <c r="V339" s="100">
        <f t="shared" si="43"/>
        <v>4.934444444444444</v>
      </c>
      <c r="W339" s="101">
        <f t="shared" si="42"/>
        <v>0.73648424543946922</v>
      </c>
      <c r="X339" s="95"/>
      <c r="Y339" s="95"/>
      <c r="Z339" s="102"/>
      <c r="AA339" s="103">
        <v>46107</v>
      </c>
      <c r="AB339" s="103">
        <v>46151</v>
      </c>
      <c r="AC339" s="103"/>
      <c r="AD339" s="104">
        <f>IF(ISNA(VLOOKUP(D339,亚马逊入库配置费!B:F,5,0)),0,VLOOKUP(D339,亚马逊入库配置费!B:F,5,0))</f>
        <v>0</v>
      </c>
      <c r="AE339" s="104">
        <f t="shared" si="46"/>
        <v>0</v>
      </c>
      <c r="AF339" s="103">
        <v>46181</v>
      </c>
      <c r="AG339" s="577">
        <f t="shared" si="44"/>
        <v>74</v>
      </c>
      <c r="AH339" s="103"/>
      <c r="AI339" s="96"/>
      <c r="AJ339" s="427">
        <f t="shared" si="45"/>
        <v>-46181</v>
      </c>
      <c r="AK339" s="96"/>
      <c r="AL339" s="92"/>
      <c r="AM339" s="91"/>
      <c r="AN339" s="91"/>
      <c r="AO339" s="96"/>
      <c r="AP339" s="105"/>
      <c r="AQ339" s="105"/>
      <c r="AR339" s="105"/>
      <c r="AS339" s="105"/>
    </row>
    <row r="340" spans="1:45" ht="12" customHeight="1" x14ac:dyDescent="0.25">
      <c r="A340" s="90">
        <v>339</v>
      </c>
      <c r="B340" s="91"/>
      <c r="C340" s="91" t="s">
        <v>4322</v>
      </c>
      <c r="D340" s="92" t="s">
        <v>4323</v>
      </c>
      <c r="E340" s="91" t="s">
        <v>115</v>
      </c>
      <c r="F340" s="91" t="s">
        <v>0</v>
      </c>
      <c r="G340" s="56" t="s">
        <v>2885</v>
      </c>
      <c r="H340" s="91">
        <v>810</v>
      </c>
      <c r="I340" s="91" t="s">
        <v>89</v>
      </c>
      <c r="J340" s="91" t="s">
        <v>8</v>
      </c>
      <c r="K340" s="92" t="s">
        <v>9</v>
      </c>
      <c r="L340" s="93" t="str">
        <f>VLOOKUP(G340,'SKU 对应关系'!A:E,4,0)</f>
        <v>ANZKIT-B_4X10K04_TZ</v>
      </c>
      <c r="M340" s="94" t="str">
        <f>_xlfn.IFNA(VLOOKUP(G340,'SKU 对应关系'!A:B,2,0),"")</f>
        <v>ANZKIT-B_4X10K04_TZ ANZ黑色机器+4x10mL酒店（天竺）香氛油 机油套装</v>
      </c>
      <c r="N340" s="95" t="str">
        <f>_xlfn.IFNA(VLOOKUP(G340,'SKU 对应关系'!$A:$D,3,0),"")</f>
        <v>ANZ</v>
      </c>
      <c r="O340" s="96">
        <v>27</v>
      </c>
      <c r="P340" s="580">
        <v>431.49648648648645</v>
      </c>
      <c r="Q340" s="96" t="s">
        <v>16</v>
      </c>
      <c r="R340" s="91">
        <v>3.7</v>
      </c>
      <c r="S340" s="95">
        <v>200</v>
      </c>
      <c r="T340" s="98">
        <v>24.107142857142858</v>
      </c>
      <c r="U340" s="99">
        <f t="shared" ref="U340:U374" si="47">R340*P340+T340</f>
        <v>1620.6441428571429</v>
      </c>
      <c r="V340" s="100">
        <f t="shared" si="43"/>
        <v>2.0007952380952383</v>
      </c>
      <c r="W340" s="101">
        <f t="shared" ref="W340:W374" si="48">V340/6.7</f>
        <v>0.29862615493958777</v>
      </c>
      <c r="X340" s="95"/>
      <c r="Y340" s="95"/>
      <c r="Z340" s="102"/>
      <c r="AA340" s="103">
        <v>46116</v>
      </c>
      <c r="AB340" s="103">
        <v>46139</v>
      </c>
      <c r="AC340" s="103"/>
      <c r="AD340" s="104">
        <f>IF(ISNA(VLOOKUP(D340,亚马逊入库配置费!B:F,5,0)),0,VLOOKUP(D340,亚马逊入库配置费!B:F,5,0))</f>
        <v>0.44</v>
      </c>
      <c r="AE340" s="104">
        <f t="shared" si="46"/>
        <v>356.4</v>
      </c>
      <c r="AF340" s="103">
        <v>46151</v>
      </c>
      <c r="AG340" s="90">
        <f t="shared" si="44"/>
        <v>35</v>
      </c>
      <c r="AH340" s="103"/>
      <c r="AI340" s="96"/>
      <c r="AJ340" s="96"/>
      <c r="AK340" s="96"/>
      <c r="AL340" s="92"/>
      <c r="AM340" s="91"/>
      <c r="AN340" s="91"/>
      <c r="AO340" s="96"/>
      <c r="AP340" s="105"/>
      <c r="AQ340" s="105"/>
      <c r="AR340" s="105"/>
      <c r="AS340" s="105"/>
    </row>
    <row r="341" spans="1:45" ht="12" customHeight="1" x14ac:dyDescent="0.25">
      <c r="A341" s="90">
        <v>340</v>
      </c>
      <c r="B341" s="91"/>
      <c r="C341" s="91" t="s">
        <v>4322</v>
      </c>
      <c r="D341" s="92" t="s">
        <v>4323</v>
      </c>
      <c r="E341" s="91" t="s">
        <v>115</v>
      </c>
      <c r="F341" s="91" t="s">
        <v>0</v>
      </c>
      <c r="G341" s="56" t="s">
        <v>4131</v>
      </c>
      <c r="H341" s="91">
        <v>300</v>
      </c>
      <c r="I341" s="91" t="s">
        <v>89</v>
      </c>
      <c r="J341" s="91" t="s">
        <v>8</v>
      </c>
      <c r="K341" s="92" t="s">
        <v>9</v>
      </c>
      <c r="L341" s="93" t="str">
        <f>VLOOKUP(G341,'SKU 对应关系'!A:E,4,0)</f>
        <v>ANZKIT-W_4X10K04_TZ</v>
      </c>
      <c r="M341" s="94" t="str">
        <f>_xlfn.IFNA(VLOOKUP(G341,'SKU 对应关系'!A:B,2,0),"")</f>
        <v>ANZKIT-W_4X10K04_TZ ANZ白色机器+4x10mL酒店（天竺）香氛油 机油套装</v>
      </c>
      <c r="N341" s="95" t="str">
        <f>_xlfn.IFNA(VLOOKUP(G341,'SKU 对应关系'!$A:$D,3,0),"")</f>
        <v>ANZ</v>
      </c>
      <c r="O341" s="96">
        <v>10</v>
      </c>
      <c r="P341" s="580">
        <v>159.8135135135135</v>
      </c>
      <c r="Q341" s="96" t="s">
        <v>16</v>
      </c>
      <c r="R341" s="91">
        <v>3.7</v>
      </c>
      <c r="S341" s="106">
        <v>200</v>
      </c>
      <c r="T341" s="98">
        <v>8.9285714285714288</v>
      </c>
      <c r="U341" s="99">
        <f t="shared" si="47"/>
        <v>600.23857142857139</v>
      </c>
      <c r="V341" s="100">
        <f t="shared" si="43"/>
        <v>2.0007952380952378</v>
      </c>
      <c r="W341" s="101">
        <f t="shared" si="48"/>
        <v>0.29862615493958772</v>
      </c>
      <c r="X341" s="95"/>
      <c r="Y341" s="95"/>
      <c r="Z341" s="102"/>
      <c r="AA341" s="103">
        <v>46116</v>
      </c>
      <c r="AB341" s="103">
        <v>46139</v>
      </c>
      <c r="AC341" s="103"/>
      <c r="AD341" s="104">
        <f>IF(ISNA(VLOOKUP(D341,亚马逊入库配置费!B:F,5,0)),0,VLOOKUP(D341,亚马逊入库配置费!B:F,5,0))</f>
        <v>0.44</v>
      </c>
      <c r="AE341" s="104">
        <f t="shared" si="46"/>
        <v>132</v>
      </c>
      <c r="AF341" s="103">
        <v>46151</v>
      </c>
      <c r="AG341" s="90">
        <f t="shared" si="44"/>
        <v>35</v>
      </c>
      <c r="AH341" s="103"/>
      <c r="AI341" s="96"/>
      <c r="AJ341" s="96"/>
      <c r="AK341" s="96"/>
      <c r="AL341" s="92"/>
      <c r="AM341" s="91"/>
      <c r="AN341" s="91"/>
      <c r="AO341" s="96"/>
      <c r="AP341" s="105"/>
      <c r="AQ341" s="105"/>
      <c r="AR341" s="105"/>
      <c r="AS341" s="105"/>
    </row>
    <row r="342" spans="1:45" ht="12" customHeight="1" x14ac:dyDescent="0.25">
      <c r="A342" s="90">
        <v>341</v>
      </c>
      <c r="B342" s="91" t="s">
        <v>4667</v>
      </c>
      <c r="C342" s="91" t="s">
        <v>4324</v>
      </c>
      <c r="D342" s="92" t="s">
        <v>4325</v>
      </c>
      <c r="E342" s="91" t="s">
        <v>115</v>
      </c>
      <c r="F342" s="91" t="s">
        <v>0</v>
      </c>
      <c r="G342" s="56" t="s">
        <v>211</v>
      </c>
      <c r="H342" s="91">
        <v>450</v>
      </c>
      <c r="I342" s="91" t="s">
        <v>207</v>
      </c>
      <c r="J342" s="91" t="s">
        <v>8</v>
      </c>
      <c r="K342" s="92" t="s">
        <v>9</v>
      </c>
      <c r="L342" s="93" t="str">
        <f>VLOOKUP(G342,'SKU 对应关系'!A:E,4,0)</f>
        <v>ANX-B</v>
      </c>
      <c r="M342" s="94" t="str">
        <f>_xlfn.IFNA(VLOOKUP(G342,'SKU 对应关系'!A:B,2,0),"")</f>
        <v>ANX-B 便携式扩香仪 黑色</v>
      </c>
      <c r="N342" s="95" t="str">
        <f>_xlfn.IFNA(VLOOKUP(G342,'SKU 对应关系'!$A:$D,3,0),"")</f>
        <v>ANX</v>
      </c>
      <c r="O342" s="96">
        <v>15</v>
      </c>
      <c r="P342" s="580">
        <v>202.02073170731708</v>
      </c>
      <c r="Q342" s="96" t="s">
        <v>16</v>
      </c>
      <c r="R342" s="91">
        <v>3.6</v>
      </c>
      <c r="S342" s="95">
        <v>250</v>
      </c>
      <c r="T342" s="98">
        <v>26.595744680851062</v>
      </c>
      <c r="U342" s="99">
        <f t="shared" si="47"/>
        <v>753.87037882719267</v>
      </c>
      <c r="V342" s="100">
        <f t="shared" si="43"/>
        <v>1.6752675085048725</v>
      </c>
      <c r="W342" s="101">
        <f t="shared" si="48"/>
        <v>0.25003992664251828</v>
      </c>
      <c r="X342" s="95"/>
      <c r="Y342" s="95"/>
      <c r="Z342" s="102"/>
      <c r="AA342" s="103">
        <v>46116</v>
      </c>
      <c r="AB342" s="103">
        <v>46137</v>
      </c>
      <c r="AC342" s="103"/>
      <c r="AD342" s="104">
        <f>IF(ISNA(VLOOKUP(D342,亚马逊入库配置费!B:F,5,0)),0,VLOOKUP(D342,亚马逊入库配置费!B:F,5,0))</f>
        <v>0.37558441558441558</v>
      </c>
      <c r="AE342" s="104">
        <f t="shared" si="46"/>
        <v>169.012987012987</v>
      </c>
      <c r="AF342" s="103">
        <v>46144</v>
      </c>
      <c r="AG342" s="90">
        <f t="shared" si="44"/>
        <v>28</v>
      </c>
      <c r="AH342" s="103">
        <v>46180</v>
      </c>
      <c r="AI342" s="96"/>
      <c r="AJ342" s="96"/>
      <c r="AK342" s="96"/>
      <c r="AL342" s="92"/>
      <c r="AM342" s="91"/>
      <c r="AN342" s="91"/>
      <c r="AO342" s="96"/>
      <c r="AP342" s="105"/>
      <c r="AQ342" s="105"/>
      <c r="AR342" s="105"/>
      <c r="AS342" s="105"/>
    </row>
    <row r="343" spans="1:45" ht="12" customHeight="1" x14ac:dyDescent="0.25">
      <c r="A343" s="90">
        <v>342</v>
      </c>
      <c r="B343" s="91"/>
      <c r="C343" s="91" t="s">
        <v>4324</v>
      </c>
      <c r="D343" s="92" t="s">
        <v>4325</v>
      </c>
      <c r="E343" s="91" t="s">
        <v>115</v>
      </c>
      <c r="F343" s="91" t="s">
        <v>0</v>
      </c>
      <c r="G343" s="56" t="s">
        <v>608</v>
      </c>
      <c r="H343" s="91">
        <v>150</v>
      </c>
      <c r="I343" s="91" t="s">
        <v>207</v>
      </c>
      <c r="J343" s="91" t="s">
        <v>8</v>
      </c>
      <c r="K343" s="92" t="s">
        <v>9</v>
      </c>
      <c r="L343" s="93" t="str">
        <f>VLOOKUP(G343,'SKU 对应关系'!A:E,4,0)</f>
        <v>ANX-SG</v>
      </c>
      <c r="M343" s="94" t="str">
        <f>_xlfn.IFNA(VLOOKUP(G343,'SKU 对应关系'!A:B,2,0),"")</f>
        <v>ANX-SG 便携式扩香仪 太空灰色</v>
      </c>
      <c r="N343" s="95" t="str">
        <f>_xlfn.IFNA(VLOOKUP(G343,'SKU 对应关系'!$A:$D,3,0),"")</f>
        <v>ANX</v>
      </c>
      <c r="O343" s="96">
        <v>5</v>
      </c>
      <c r="P343" s="580">
        <v>67.340243902439028</v>
      </c>
      <c r="Q343" s="96" t="s">
        <v>16</v>
      </c>
      <c r="R343" s="91">
        <v>3.6</v>
      </c>
      <c r="S343" s="106">
        <v>250</v>
      </c>
      <c r="T343" s="98">
        <v>8.8652482269503547</v>
      </c>
      <c r="U343" s="99">
        <f t="shared" si="47"/>
        <v>251.29012627573084</v>
      </c>
      <c r="V343" s="100">
        <f t="shared" si="43"/>
        <v>1.6752675085048723</v>
      </c>
      <c r="W343" s="101">
        <f t="shared" si="48"/>
        <v>0.25003992664251823</v>
      </c>
      <c r="X343" s="95"/>
      <c r="Y343" s="95"/>
      <c r="Z343" s="102"/>
      <c r="AA343" s="103">
        <v>46116</v>
      </c>
      <c r="AB343" s="103">
        <v>46137</v>
      </c>
      <c r="AC343" s="103"/>
      <c r="AD343" s="104">
        <f>IF(ISNA(VLOOKUP(D343,亚马逊入库配置费!B:F,5,0)),0,VLOOKUP(D343,亚马逊入库配置费!B:F,5,0))</f>
        <v>0.37558441558441558</v>
      </c>
      <c r="AE343" s="104">
        <f t="shared" si="46"/>
        <v>56.337662337662337</v>
      </c>
      <c r="AF343" s="103">
        <v>46144</v>
      </c>
      <c r="AG343" s="90">
        <f t="shared" si="44"/>
        <v>28</v>
      </c>
      <c r="AH343" s="103">
        <v>46180</v>
      </c>
      <c r="AI343" s="96"/>
      <c r="AJ343" s="96"/>
      <c r="AK343" s="96"/>
      <c r="AL343" s="92"/>
      <c r="AM343" s="91"/>
      <c r="AN343" s="91"/>
      <c r="AO343" s="96"/>
      <c r="AP343" s="105"/>
      <c r="AQ343" s="105"/>
      <c r="AR343" s="105"/>
      <c r="AS343" s="105"/>
    </row>
    <row r="344" spans="1:45" ht="12" customHeight="1" x14ac:dyDescent="0.25">
      <c r="A344" s="90">
        <v>343</v>
      </c>
      <c r="B344" s="91"/>
      <c r="C344" s="91" t="s">
        <v>4324</v>
      </c>
      <c r="D344" s="92" t="s">
        <v>4325</v>
      </c>
      <c r="E344" s="91" t="s">
        <v>115</v>
      </c>
      <c r="F344" s="91" t="s">
        <v>0</v>
      </c>
      <c r="G344" s="56" t="s">
        <v>2195</v>
      </c>
      <c r="H344" s="91">
        <v>2000</v>
      </c>
      <c r="I344" s="91" t="s">
        <v>207</v>
      </c>
      <c r="J344" s="91" t="s">
        <v>8</v>
      </c>
      <c r="K344" s="92" t="s">
        <v>9</v>
      </c>
      <c r="L344" s="93" t="str">
        <f>VLOOKUP(G344,'SKU 对应关系'!A:E,4,0)</f>
        <v>ANZ-B</v>
      </c>
      <c r="M344" s="94" t="str">
        <f>_xlfn.IFNA(VLOOKUP(G344,'SKU 对应关系'!A:B,2,0),"")</f>
        <v>ANZ-B 便携式扩香仪 黑色</v>
      </c>
      <c r="N344" s="95" t="str">
        <f>_xlfn.IFNA(VLOOKUP(G344,'SKU 对应关系'!$A:$D,3,0),"")</f>
        <v>ANZ</v>
      </c>
      <c r="O344" s="96">
        <v>50</v>
      </c>
      <c r="P344" s="580">
        <v>673.40243902439033</v>
      </c>
      <c r="Q344" s="96" t="s">
        <v>16</v>
      </c>
      <c r="R344" s="91">
        <v>3.6</v>
      </c>
      <c r="S344" s="95"/>
      <c r="T344" s="98">
        <v>88.652482269503551</v>
      </c>
      <c r="U344" s="99">
        <f t="shared" si="47"/>
        <v>2512.9012627573088</v>
      </c>
      <c r="V344" s="100">
        <f t="shared" si="43"/>
        <v>1.2564506313786543</v>
      </c>
      <c r="W344" s="101">
        <f t="shared" si="48"/>
        <v>0.18752994498188869</v>
      </c>
      <c r="X344" s="95"/>
      <c r="Y344" s="95"/>
      <c r="Z344" s="102"/>
      <c r="AA344" s="103">
        <v>46116</v>
      </c>
      <c r="AB344" s="103">
        <v>46137</v>
      </c>
      <c r="AC344" s="103"/>
      <c r="AD344" s="104">
        <f>IF(ISNA(VLOOKUP(D344,亚马逊入库配置费!B:F,5,0)),0,VLOOKUP(D344,亚马逊入库配置费!B:F,5,0))</f>
        <v>0.37558441558441558</v>
      </c>
      <c r="AE344" s="104">
        <f t="shared" si="46"/>
        <v>751.16883116883116</v>
      </c>
      <c r="AF344" s="103">
        <v>46144</v>
      </c>
      <c r="AG344" s="90">
        <f t="shared" si="44"/>
        <v>28</v>
      </c>
      <c r="AH344" s="103">
        <v>46180</v>
      </c>
      <c r="AI344" s="96"/>
      <c r="AJ344" s="96"/>
      <c r="AK344" s="96"/>
      <c r="AL344" s="92"/>
      <c r="AM344" s="91"/>
      <c r="AN344" s="91"/>
      <c r="AO344" s="96"/>
      <c r="AP344" s="105"/>
      <c r="AQ344" s="105"/>
      <c r="AR344" s="105"/>
      <c r="AS344" s="105"/>
    </row>
    <row r="345" spans="1:45" ht="12" customHeight="1" x14ac:dyDescent="0.25">
      <c r="A345" s="90">
        <v>344</v>
      </c>
      <c r="B345" s="91"/>
      <c r="C345" s="91" t="s">
        <v>4324</v>
      </c>
      <c r="D345" s="92" t="s">
        <v>4325</v>
      </c>
      <c r="E345" s="91" t="s">
        <v>115</v>
      </c>
      <c r="F345" s="91" t="s">
        <v>0</v>
      </c>
      <c r="G345" s="56" t="s">
        <v>2197</v>
      </c>
      <c r="H345" s="91">
        <v>480</v>
      </c>
      <c r="I345" s="91" t="s">
        <v>207</v>
      </c>
      <c r="J345" s="91" t="s">
        <v>8</v>
      </c>
      <c r="K345" s="92" t="s">
        <v>9</v>
      </c>
      <c r="L345" s="93" t="str">
        <f>VLOOKUP(G345,'SKU 对应关系'!A:E,4,0)</f>
        <v>ANZ-WH</v>
      </c>
      <c r="M345" s="94" t="str">
        <f>_xlfn.IFNA(VLOOKUP(G345,'SKU 对应关系'!A:B,2,0),"")</f>
        <v>ANZ-WH 便携式扩香仪 白色</v>
      </c>
      <c r="N345" s="95" t="str">
        <f>_xlfn.IFNA(VLOOKUP(G345,'SKU 对应关系'!$A:$D,3,0),"")</f>
        <v>ANZ</v>
      </c>
      <c r="O345" s="96">
        <v>12</v>
      </c>
      <c r="P345" s="580">
        <v>161.61658536585367</v>
      </c>
      <c r="Q345" s="96" t="s">
        <v>16</v>
      </c>
      <c r="R345" s="91">
        <v>3.6</v>
      </c>
      <c r="S345" s="95"/>
      <c r="T345" s="98">
        <v>21.276595744680851</v>
      </c>
      <c r="U345" s="99">
        <f t="shared" si="47"/>
        <v>603.09630306175416</v>
      </c>
      <c r="V345" s="100">
        <f t="shared" si="43"/>
        <v>1.2564506313786545</v>
      </c>
      <c r="W345" s="101">
        <f t="shared" si="48"/>
        <v>0.18752994498188874</v>
      </c>
      <c r="X345" s="95"/>
      <c r="Y345" s="95"/>
      <c r="Z345" s="102"/>
      <c r="AA345" s="103">
        <v>46116</v>
      </c>
      <c r="AB345" s="103">
        <v>46137</v>
      </c>
      <c r="AC345" s="103"/>
      <c r="AD345" s="104">
        <f>IF(ISNA(VLOOKUP(D345,亚马逊入库配置费!B:F,5,0)),0,VLOOKUP(D345,亚马逊入库配置费!B:F,5,0))</f>
        <v>0.37558441558441558</v>
      </c>
      <c r="AE345" s="104">
        <f t="shared" si="46"/>
        <v>180.28051948051947</v>
      </c>
      <c r="AF345" s="103">
        <v>46144</v>
      </c>
      <c r="AG345" s="90">
        <f t="shared" si="44"/>
        <v>28</v>
      </c>
      <c r="AH345" s="103">
        <v>46180</v>
      </c>
      <c r="AI345" s="96"/>
      <c r="AJ345" s="96"/>
      <c r="AK345" s="96"/>
      <c r="AL345" s="92"/>
      <c r="AM345" s="91"/>
      <c r="AN345" s="91"/>
      <c r="AO345" s="96"/>
      <c r="AP345" s="105"/>
      <c r="AQ345" s="105"/>
      <c r="AR345" s="105"/>
      <c r="AS345" s="105"/>
    </row>
    <row r="346" spans="1:45" ht="12" customHeight="1" x14ac:dyDescent="0.25">
      <c r="A346" s="90">
        <v>345</v>
      </c>
      <c r="B346" s="91"/>
      <c r="C346" s="91" t="s">
        <v>4324</v>
      </c>
      <c r="D346" s="92" t="s">
        <v>4326</v>
      </c>
      <c r="E346" s="91" t="s">
        <v>2411</v>
      </c>
      <c r="F346" s="91" t="s">
        <v>0</v>
      </c>
      <c r="G346" s="56" t="s">
        <v>2866</v>
      </c>
      <c r="H346" s="91">
        <v>100</v>
      </c>
      <c r="I346" s="91" t="s">
        <v>207</v>
      </c>
      <c r="J346" s="91" t="s">
        <v>8</v>
      </c>
      <c r="K346" s="92" t="s">
        <v>9</v>
      </c>
      <c r="L346" s="93" t="str">
        <f>VLOOKUP(G346,'SKU 对应关系'!A:E,4,0)</f>
        <v>ANZKIT-B_B</v>
      </c>
      <c r="M346" s="94" t="str">
        <f>_xlfn.IFNA(VLOOKUP(G346,'SKU 对应关系'!A:B,2,0),"")</f>
        <v>ANZKIT-B_B 便携式扩香仪 黑色 两个装</v>
      </c>
      <c r="N346" s="95" t="str">
        <f>_xlfn.IFNA(VLOOKUP(G346,'SKU 对应关系'!$A:$D,3,0),"")</f>
        <v>ANZ</v>
      </c>
      <c r="O346" s="96">
        <v>5</v>
      </c>
      <c r="P346" s="580">
        <v>67.34</v>
      </c>
      <c r="Q346" s="96" t="s">
        <v>16</v>
      </c>
      <c r="R346" s="91">
        <v>3.6</v>
      </c>
      <c r="S346" s="95"/>
      <c r="T346" s="98">
        <v>8.8652482269503547</v>
      </c>
      <c r="U346" s="99">
        <f t="shared" si="47"/>
        <v>251.28924822695035</v>
      </c>
      <c r="V346" s="100">
        <f t="shared" si="43"/>
        <v>2.5128924822695033</v>
      </c>
      <c r="W346" s="101">
        <f t="shared" si="48"/>
        <v>0.37505857944320947</v>
      </c>
      <c r="X346" s="95"/>
      <c r="Y346" s="95"/>
      <c r="Z346" s="102"/>
      <c r="AA346" s="103">
        <v>46116</v>
      </c>
      <c r="AB346" s="103">
        <v>46137</v>
      </c>
      <c r="AC346" s="103"/>
      <c r="AD346" s="104">
        <f>IF(ISNA(VLOOKUP(D346,亚马逊入库配置费!B:F,5,0)),0,VLOOKUP(D346,亚马逊入库配置费!B:F,5,0))</f>
        <v>0.44</v>
      </c>
      <c r="AE346" s="104">
        <f t="shared" si="46"/>
        <v>44</v>
      </c>
      <c r="AF346" s="103">
        <v>46144</v>
      </c>
      <c r="AG346" s="90">
        <f t="shared" si="44"/>
        <v>28</v>
      </c>
      <c r="AH346" s="103">
        <v>46176</v>
      </c>
      <c r="AI346" s="96"/>
      <c r="AJ346" s="96"/>
      <c r="AK346" s="96"/>
      <c r="AL346" s="92"/>
      <c r="AM346" s="91"/>
      <c r="AN346" s="91"/>
      <c r="AO346" s="96"/>
      <c r="AP346" s="105"/>
      <c r="AQ346" s="105"/>
      <c r="AR346" s="105"/>
      <c r="AS346" s="105"/>
    </row>
    <row r="347" spans="1:45" ht="12" customHeight="1" x14ac:dyDescent="0.25">
      <c r="A347" s="90">
        <v>346</v>
      </c>
      <c r="B347" s="91"/>
      <c r="C347" s="91" t="s">
        <v>4322</v>
      </c>
      <c r="D347" s="92" t="s">
        <v>4327</v>
      </c>
      <c r="E347" s="91" t="s">
        <v>97</v>
      </c>
      <c r="F347" s="91" t="s">
        <v>0</v>
      </c>
      <c r="G347" s="56" t="s">
        <v>2962</v>
      </c>
      <c r="H347" s="91">
        <v>420</v>
      </c>
      <c r="I347" s="91" t="s">
        <v>89</v>
      </c>
      <c r="J347" s="91" t="s">
        <v>8</v>
      </c>
      <c r="K347" s="92" t="s">
        <v>9</v>
      </c>
      <c r="L347" s="93" t="str">
        <f>VLOOKUP(G347,'SKU 对应关系'!A:E,4,0)</f>
        <v>AN6KIT-B_4X10K04_TZ</v>
      </c>
      <c r="M347" s="94" t="str">
        <f>_xlfn.IFNA(VLOOKUP(G347,'SKU 对应关系'!A:B,2,0),"")</f>
        <v>AN6KIT-B_4X10K04_TZ AN6黑色机器+4x10mL酒店（天竺）香氛油 机油套装</v>
      </c>
      <c r="N347" s="95" t="str">
        <f>_xlfn.IFNA(VLOOKUP(G347,'SKU 对应关系'!$A:$D,3,0),"")</f>
        <v>AN6</v>
      </c>
      <c r="O347" s="96">
        <v>14</v>
      </c>
      <c r="P347" s="580">
        <v>223.73919354838711</v>
      </c>
      <c r="Q347" s="96" t="s">
        <v>16</v>
      </c>
      <c r="R347" s="91">
        <v>3.7</v>
      </c>
      <c r="S347" s="95">
        <v>200</v>
      </c>
      <c r="T347" s="98">
        <v>12.5</v>
      </c>
      <c r="U347" s="99">
        <f t="shared" si="47"/>
        <v>840.33501612903228</v>
      </c>
      <c r="V347" s="100">
        <f t="shared" si="43"/>
        <v>2.000797657450077</v>
      </c>
      <c r="W347" s="101">
        <f t="shared" si="48"/>
        <v>0.29862651603732493</v>
      </c>
      <c r="X347" s="95"/>
      <c r="Y347" s="95"/>
      <c r="Z347" s="102"/>
      <c r="AA347" s="103">
        <v>46116</v>
      </c>
      <c r="AB347" s="103">
        <v>46139</v>
      </c>
      <c r="AC347" s="103"/>
      <c r="AD347" s="104">
        <f>IF(ISNA(VLOOKUP(D347,亚马逊入库配置费!B:F,5,0)),0,VLOOKUP(D347,亚马逊入库配置费!B:F,5,0))</f>
        <v>0.44</v>
      </c>
      <c r="AE347" s="104">
        <f t="shared" si="46"/>
        <v>184.8</v>
      </c>
      <c r="AF347" s="103">
        <v>46151</v>
      </c>
      <c r="AG347" s="90">
        <f t="shared" si="44"/>
        <v>35</v>
      </c>
      <c r="AH347" s="103"/>
      <c r="AI347" s="96"/>
      <c r="AJ347" s="96"/>
      <c r="AK347" s="96"/>
      <c r="AL347" s="92"/>
      <c r="AM347" s="91"/>
      <c r="AN347" s="91"/>
      <c r="AO347" s="96"/>
      <c r="AP347" s="105"/>
      <c r="AQ347" s="105"/>
      <c r="AR347" s="105"/>
      <c r="AS347" s="105"/>
    </row>
    <row r="348" spans="1:45" ht="12" customHeight="1" x14ac:dyDescent="0.25">
      <c r="A348" s="90">
        <v>347</v>
      </c>
      <c r="B348" s="91"/>
      <c r="C348" s="91" t="s">
        <v>4322</v>
      </c>
      <c r="D348" s="92" t="s">
        <v>4327</v>
      </c>
      <c r="E348" s="91" t="s">
        <v>97</v>
      </c>
      <c r="F348" s="91" t="s">
        <v>0</v>
      </c>
      <c r="G348" s="56" t="s">
        <v>4291</v>
      </c>
      <c r="H348" s="91">
        <v>3300</v>
      </c>
      <c r="I348" s="91" t="s">
        <v>89</v>
      </c>
      <c r="J348" s="91" t="s">
        <v>8</v>
      </c>
      <c r="K348" s="92" t="s">
        <v>9</v>
      </c>
      <c r="L348" s="93" t="str">
        <f>VLOOKUP(G348,'SKU 对应关系'!A:E,4,0)</f>
        <v>AN8KIT-B_4X10K05_TZ</v>
      </c>
      <c r="M348" s="94" t="str">
        <f>_xlfn.IFNA(VLOOKUP(G348,'SKU 对应关系'!A:B,2,0),"")</f>
        <v>AN8KIT-B_4X10K05_TZ AN8黑色机器+4x10mL（天竺）酒店香氛油 机油套装</v>
      </c>
      <c r="N348" s="95" t="str">
        <f>_xlfn.IFNA(VLOOKUP(G348,'SKU 对应关系'!$A:$D,3,0),"")</f>
        <v>AN8</v>
      </c>
      <c r="O348" s="96">
        <v>110</v>
      </c>
      <c r="P348" s="580">
        <v>1757.9508064516131</v>
      </c>
      <c r="Q348" s="96" t="s">
        <v>16</v>
      </c>
      <c r="R348" s="91">
        <v>3.7</v>
      </c>
      <c r="S348" s="106">
        <v>200</v>
      </c>
      <c r="T348" s="98">
        <v>98.214285714285708</v>
      </c>
      <c r="U348" s="99">
        <f t="shared" si="47"/>
        <v>6602.6322695852541</v>
      </c>
      <c r="V348" s="100">
        <f t="shared" si="43"/>
        <v>2.000797657450077</v>
      </c>
      <c r="W348" s="101">
        <f t="shared" si="48"/>
        <v>0.29862651603732493</v>
      </c>
      <c r="X348" s="95"/>
      <c r="Y348" s="95"/>
      <c r="Z348" s="102"/>
      <c r="AA348" s="103">
        <v>46116</v>
      </c>
      <c r="AB348" s="103">
        <v>46139</v>
      </c>
      <c r="AC348" s="103"/>
      <c r="AD348" s="104">
        <f>IF(ISNA(VLOOKUP(D348,亚马逊入库配置费!B:F,5,0)),0,VLOOKUP(D348,亚马逊入库配置费!B:F,5,0))</f>
        <v>0.44</v>
      </c>
      <c r="AE348" s="104">
        <f t="shared" si="46"/>
        <v>1452</v>
      </c>
      <c r="AF348" s="103">
        <v>46151</v>
      </c>
      <c r="AG348" s="90">
        <f t="shared" si="44"/>
        <v>35</v>
      </c>
      <c r="AH348" s="103"/>
      <c r="AI348" s="96"/>
      <c r="AJ348" s="96"/>
      <c r="AK348" s="96"/>
      <c r="AL348" s="92"/>
      <c r="AM348" s="91"/>
      <c r="AN348" s="91"/>
      <c r="AO348" s="96"/>
      <c r="AP348" s="105"/>
      <c r="AQ348" s="105"/>
      <c r="AR348" s="105"/>
      <c r="AS348" s="105"/>
    </row>
    <row r="349" spans="1:45" ht="12" customHeight="1" x14ac:dyDescent="0.25">
      <c r="A349" s="90">
        <v>348</v>
      </c>
      <c r="B349" s="91"/>
      <c r="C349" s="91" t="s">
        <v>4324</v>
      </c>
      <c r="D349" s="92" t="s">
        <v>4328</v>
      </c>
      <c r="E349" s="91" t="s">
        <v>97</v>
      </c>
      <c r="F349" s="91" t="s">
        <v>0</v>
      </c>
      <c r="G349" s="56" t="s">
        <v>163</v>
      </c>
      <c r="H349" s="91">
        <v>1000</v>
      </c>
      <c r="I349" s="91" t="s">
        <v>207</v>
      </c>
      <c r="J349" s="91" t="s">
        <v>8</v>
      </c>
      <c r="K349" s="92" t="s">
        <v>9</v>
      </c>
      <c r="L349" s="93" t="str">
        <f>VLOOKUP(G349,'SKU 对应关系'!A:E,4,0)</f>
        <v>AN6-B</v>
      </c>
      <c r="M349" s="94" t="str">
        <f>_xlfn.IFNA(VLOOKUP(G349,'SKU 对应关系'!A:B,2,0),"")</f>
        <v>AN6-B 便携式扩香仪 黑色</v>
      </c>
      <c r="N349" s="95" t="str">
        <f>_xlfn.IFNA(VLOOKUP(G349,'SKU 对应关系'!$A:$D,3,0),"")</f>
        <v>AN6</v>
      </c>
      <c r="O349" s="96">
        <v>25</v>
      </c>
      <c r="P349" s="580">
        <v>336.7037037037037</v>
      </c>
      <c r="Q349" s="96" t="s">
        <v>16</v>
      </c>
      <c r="R349" s="91">
        <v>3.6</v>
      </c>
      <c r="S349" s="95">
        <v>250</v>
      </c>
      <c r="T349" s="98">
        <v>44.326241134751776</v>
      </c>
      <c r="U349" s="99">
        <f t="shared" si="47"/>
        <v>1256.4595744680853</v>
      </c>
      <c r="V349" s="100">
        <f t="shared" si="43"/>
        <v>1.2564595744680853</v>
      </c>
      <c r="W349" s="101">
        <f t="shared" si="48"/>
        <v>0.187531279771356</v>
      </c>
      <c r="X349" s="95"/>
      <c r="Y349" s="95"/>
      <c r="Z349" s="102"/>
      <c r="AA349" s="103">
        <v>46116</v>
      </c>
      <c r="AB349" s="103">
        <v>46137</v>
      </c>
      <c r="AC349" s="103"/>
      <c r="AD349" s="104">
        <f>IF(ISNA(VLOOKUP(D349,亚马逊入库配置费!B:F,5,0)),0,VLOOKUP(D349,亚马逊入库配置费!B:F,5,0))</f>
        <v>0.36672897196261678</v>
      </c>
      <c r="AE349" s="104">
        <f t="shared" si="46"/>
        <v>366.72897196261675</v>
      </c>
      <c r="AF349" s="103">
        <v>46144</v>
      </c>
      <c r="AG349" s="90">
        <f t="shared" si="44"/>
        <v>28</v>
      </c>
      <c r="AH349" s="103">
        <v>46179</v>
      </c>
      <c r="AI349" s="96"/>
      <c r="AJ349" s="96"/>
      <c r="AK349" s="96"/>
      <c r="AL349" s="92"/>
      <c r="AM349" s="91"/>
      <c r="AN349" s="91"/>
      <c r="AO349" s="96"/>
      <c r="AP349" s="105"/>
      <c r="AQ349" s="105"/>
      <c r="AR349" s="105"/>
      <c r="AS349" s="105"/>
    </row>
    <row r="350" spans="1:45" ht="12" customHeight="1" x14ac:dyDescent="0.25">
      <c r="A350" s="90">
        <v>349</v>
      </c>
      <c r="B350" s="91"/>
      <c r="C350" s="91" t="s">
        <v>4324</v>
      </c>
      <c r="D350" s="92" t="s">
        <v>4328</v>
      </c>
      <c r="E350" s="91" t="s">
        <v>97</v>
      </c>
      <c r="F350" s="91" t="s">
        <v>0</v>
      </c>
      <c r="G350" s="56" t="s">
        <v>350</v>
      </c>
      <c r="H350" s="91">
        <v>240</v>
      </c>
      <c r="I350" s="91" t="s">
        <v>207</v>
      </c>
      <c r="J350" s="91" t="s">
        <v>8</v>
      </c>
      <c r="K350" s="92" t="s">
        <v>9</v>
      </c>
      <c r="L350" s="93" t="str">
        <f>VLOOKUP(G350,'SKU 对应关系'!A:E,4,0)</f>
        <v>AN6-GL</v>
      </c>
      <c r="M350" s="94" t="str">
        <f>_xlfn.IFNA(VLOOKUP(G350,'SKU 对应关系'!A:B,2,0),"")</f>
        <v>AN6-GL 便携式扩香仪 翠百合色</v>
      </c>
      <c r="N350" s="95" t="str">
        <f>_xlfn.IFNA(VLOOKUP(G350,'SKU 对应关系'!$A:$D,3,0),"")</f>
        <v>AN6</v>
      </c>
      <c r="O350" s="96">
        <v>6</v>
      </c>
      <c r="P350" s="580">
        <v>80.808888888888887</v>
      </c>
      <c r="Q350" s="96" t="s">
        <v>16</v>
      </c>
      <c r="R350" s="91">
        <v>3.6</v>
      </c>
      <c r="S350" s="106">
        <v>250</v>
      </c>
      <c r="T350" s="98">
        <v>10.638297872340425</v>
      </c>
      <c r="U350" s="99">
        <f t="shared" si="47"/>
        <v>301.55029787234042</v>
      </c>
      <c r="V350" s="100">
        <f t="shared" si="43"/>
        <v>1.2564595744680851</v>
      </c>
      <c r="W350" s="101">
        <f t="shared" si="48"/>
        <v>0.18753127977135597</v>
      </c>
      <c r="X350" s="95"/>
      <c r="Y350" s="95"/>
      <c r="Z350" s="102"/>
      <c r="AA350" s="103">
        <v>46116</v>
      </c>
      <c r="AB350" s="103">
        <v>46137</v>
      </c>
      <c r="AC350" s="103"/>
      <c r="AD350" s="104">
        <f>IF(ISNA(VLOOKUP(D350,亚马逊入库配置费!B:F,5,0)),0,VLOOKUP(D350,亚马逊入库配置费!B:F,5,0))</f>
        <v>0.36672897196261678</v>
      </c>
      <c r="AE350" s="104">
        <f t="shared" si="46"/>
        <v>88.01495327102802</v>
      </c>
      <c r="AF350" s="103">
        <v>46144</v>
      </c>
      <c r="AG350" s="90">
        <f t="shared" si="44"/>
        <v>28</v>
      </c>
      <c r="AH350" s="103">
        <v>46179</v>
      </c>
      <c r="AI350" s="96"/>
      <c r="AJ350" s="96"/>
      <c r="AK350" s="96"/>
      <c r="AL350" s="92"/>
      <c r="AM350" s="91"/>
      <c r="AN350" s="91"/>
      <c r="AO350" s="96"/>
      <c r="AP350" s="105"/>
      <c r="AQ350" s="105"/>
      <c r="AR350" s="105"/>
      <c r="AS350" s="105"/>
    </row>
    <row r="351" spans="1:45" ht="12" customHeight="1" x14ac:dyDescent="0.25">
      <c r="A351" s="90">
        <v>350</v>
      </c>
      <c r="B351" s="91"/>
      <c r="C351" s="91" t="s">
        <v>4324</v>
      </c>
      <c r="D351" s="92" t="s">
        <v>4328</v>
      </c>
      <c r="E351" s="91" t="s">
        <v>97</v>
      </c>
      <c r="F351" s="91" t="s">
        <v>0</v>
      </c>
      <c r="G351" s="56" t="s">
        <v>1213</v>
      </c>
      <c r="H351" s="91">
        <v>320</v>
      </c>
      <c r="I351" s="91" t="s">
        <v>207</v>
      </c>
      <c r="J351" s="91" t="s">
        <v>8</v>
      </c>
      <c r="K351" s="92" t="s">
        <v>9</v>
      </c>
      <c r="L351" s="93" t="str">
        <f>VLOOKUP(G351,'SKU 对应关系'!A:E,4,0)</f>
        <v>AN8-B</v>
      </c>
      <c r="M351" s="94" t="str">
        <f>_xlfn.IFNA(VLOOKUP(G351,'SKU 对应关系'!A:B,2,0),"")</f>
        <v>AN8-B 便携式扩香仪 黑色</v>
      </c>
      <c r="N351" s="95" t="str">
        <f>_xlfn.IFNA(VLOOKUP(G351,'SKU 对应关系'!$A:$D,3,0),"")</f>
        <v>AN8</v>
      </c>
      <c r="O351" s="96">
        <v>8</v>
      </c>
      <c r="P351" s="580">
        <v>107.74518518518518</v>
      </c>
      <c r="Q351" s="96" t="s">
        <v>16</v>
      </c>
      <c r="R351" s="91">
        <v>3.6</v>
      </c>
      <c r="S351" s="95"/>
      <c r="T351" s="98">
        <v>14.184397163120567</v>
      </c>
      <c r="U351" s="99">
        <f t="shared" si="47"/>
        <v>402.06706382978723</v>
      </c>
      <c r="V351" s="100">
        <f t="shared" si="43"/>
        <v>1.2564595744680851</v>
      </c>
      <c r="W351" s="101">
        <f t="shared" si="48"/>
        <v>0.18753127977135597</v>
      </c>
      <c r="X351" s="95"/>
      <c r="Y351" s="95"/>
      <c r="Z351" s="102"/>
      <c r="AA351" s="103">
        <v>46116</v>
      </c>
      <c r="AB351" s="103">
        <v>46137</v>
      </c>
      <c r="AC351" s="103"/>
      <c r="AD351" s="104">
        <f>IF(ISNA(VLOOKUP(D351,亚马逊入库配置费!B:F,5,0)),0,VLOOKUP(D351,亚马逊入库配置费!B:F,5,0))</f>
        <v>0.36672897196261678</v>
      </c>
      <c r="AE351" s="104">
        <f t="shared" si="46"/>
        <v>117.35327102803737</v>
      </c>
      <c r="AF351" s="103">
        <v>46144</v>
      </c>
      <c r="AG351" s="90">
        <f t="shared" si="44"/>
        <v>28</v>
      </c>
      <c r="AH351" s="103">
        <v>46179</v>
      </c>
      <c r="AI351" s="96"/>
      <c r="AJ351" s="96"/>
      <c r="AK351" s="96"/>
      <c r="AL351" s="92"/>
      <c r="AM351" s="91"/>
      <c r="AN351" s="91"/>
      <c r="AO351" s="96"/>
      <c r="AP351" s="105"/>
      <c r="AQ351" s="105"/>
      <c r="AR351" s="105"/>
      <c r="AS351" s="105"/>
    </row>
    <row r="352" spans="1:45" ht="12" customHeight="1" x14ac:dyDescent="0.25">
      <c r="A352" s="90">
        <v>351</v>
      </c>
      <c r="B352" s="91"/>
      <c r="C352" s="91" t="s">
        <v>4324</v>
      </c>
      <c r="D352" s="92" t="s">
        <v>4328</v>
      </c>
      <c r="E352" s="91" t="s">
        <v>97</v>
      </c>
      <c r="F352" s="91" t="s">
        <v>0</v>
      </c>
      <c r="G352" s="56" t="s">
        <v>1217</v>
      </c>
      <c r="H352" s="91">
        <v>180</v>
      </c>
      <c r="I352" s="91" t="s">
        <v>207</v>
      </c>
      <c r="J352" s="91" t="s">
        <v>8</v>
      </c>
      <c r="K352" s="92" t="s">
        <v>9</v>
      </c>
      <c r="L352" s="93" t="str">
        <f>VLOOKUP(G352,'SKU 对应关系'!A:E,4,0)</f>
        <v>AN8KIT-B_B</v>
      </c>
      <c r="M352" s="94" t="str">
        <f>_xlfn.IFNA(VLOOKUP(G352,'SKU 对应关系'!A:B,2,0),"")</f>
        <v>AN8KIT-B_B 便携式扩香仪套装 黑+黑</v>
      </c>
      <c r="N352" s="95" t="str">
        <f>_xlfn.IFNA(VLOOKUP(G352,'SKU 对应关系'!$A:$D,3,0),"")</f>
        <v>AN8</v>
      </c>
      <c r="O352" s="96">
        <v>9</v>
      </c>
      <c r="P352" s="580">
        <v>121.21333333333332</v>
      </c>
      <c r="Q352" s="96" t="s">
        <v>16</v>
      </c>
      <c r="R352" s="91">
        <v>3.6</v>
      </c>
      <c r="S352" s="95"/>
      <c r="T352" s="98">
        <v>15.957446808510639</v>
      </c>
      <c r="U352" s="99">
        <f t="shared" si="47"/>
        <v>452.32544680851061</v>
      </c>
      <c r="V352" s="100">
        <f t="shared" si="43"/>
        <v>2.5129191489361702</v>
      </c>
      <c r="W352" s="101">
        <f t="shared" si="48"/>
        <v>0.37506255954271195</v>
      </c>
      <c r="X352" s="95"/>
      <c r="Y352" s="95"/>
      <c r="Z352" s="102"/>
      <c r="AA352" s="103">
        <v>46116</v>
      </c>
      <c r="AB352" s="103">
        <v>46137</v>
      </c>
      <c r="AC352" s="103"/>
      <c r="AD352" s="104">
        <f>IF(ISNA(VLOOKUP(D352,亚马逊入库配置费!B:F,5,0)),0,VLOOKUP(D352,亚马逊入库配置费!B:F,5,0))</f>
        <v>0.36672897196261678</v>
      </c>
      <c r="AE352" s="104">
        <f t="shared" si="46"/>
        <v>66.011214953271022</v>
      </c>
      <c r="AF352" s="103">
        <v>46144</v>
      </c>
      <c r="AG352" s="90">
        <f t="shared" si="44"/>
        <v>28</v>
      </c>
      <c r="AH352" s="103">
        <v>46179</v>
      </c>
      <c r="AI352" s="96"/>
      <c r="AJ352" s="96"/>
      <c r="AK352" s="96"/>
      <c r="AL352" s="92"/>
      <c r="AM352" s="91"/>
      <c r="AN352" s="91"/>
      <c r="AO352" s="96"/>
      <c r="AP352" s="105"/>
      <c r="AQ352" s="105"/>
      <c r="AR352" s="105"/>
      <c r="AS352" s="105"/>
    </row>
    <row r="353" spans="1:45" ht="12" customHeight="1" x14ac:dyDescent="0.25">
      <c r="A353" s="90">
        <v>352</v>
      </c>
      <c r="B353" s="91"/>
      <c r="C353" s="91" t="s">
        <v>4324</v>
      </c>
      <c r="D353" s="92" t="s">
        <v>4328</v>
      </c>
      <c r="E353" s="91" t="s">
        <v>97</v>
      </c>
      <c r="F353" s="91" t="s">
        <v>0</v>
      </c>
      <c r="G353" s="56" t="s">
        <v>2136</v>
      </c>
      <c r="H353" s="91">
        <v>200</v>
      </c>
      <c r="I353" s="91" t="s">
        <v>207</v>
      </c>
      <c r="J353" s="91" t="s">
        <v>8</v>
      </c>
      <c r="K353" s="92" t="s">
        <v>9</v>
      </c>
      <c r="L353" s="93" t="str">
        <f>VLOOKUP(G353,'SKU 对应关系'!A:E,4,0)</f>
        <v>AN8-WH</v>
      </c>
      <c r="M353" s="94" t="str">
        <f>_xlfn.IFNA(VLOOKUP(G353,'SKU 对应关系'!A:B,2,0),"")</f>
        <v>AN8-WH 便携式扩香仪 白色</v>
      </c>
      <c r="N353" s="95" t="str">
        <f>_xlfn.IFNA(VLOOKUP(G353,'SKU 对应关系'!$A:$D,3,0),"")</f>
        <v>AN8</v>
      </c>
      <c r="O353" s="96">
        <v>5</v>
      </c>
      <c r="P353" s="580">
        <v>67.340740740740742</v>
      </c>
      <c r="Q353" s="96" t="s">
        <v>16</v>
      </c>
      <c r="R353" s="91">
        <v>3.6</v>
      </c>
      <c r="S353" s="95"/>
      <c r="T353" s="98">
        <v>8.8652482269503547</v>
      </c>
      <c r="U353" s="99">
        <f t="shared" si="47"/>
        <v>251.29191489361702</v>
      </c>
      <c r="V353" s="100">
        <f t="shared" si="43"/>
        <v>1.2564595744680851</v>
      </c>
      <c r="W353" s="101">
        <f t="shared" si="48"/>
        <v>0.18753127977135597</v>
      </c>
      <c r="X353" s="95"/>
      <c r="Y353" s="95"/>
      <c r="Z353" s="102"/>
      <c r="AA353" s="103">
        <v>46116</v>
      </c>
      <c r="AB353" s="103">
        <v>46137</v>
      </c>
      <c r="AC353" s="103"/>
      <c r="AD353" s="104">
        <f>IF(ISNA(VLOOKUP(D353,亚马逊入库配置费!B:F,5,0)),0,VLOOKUP(D353,亚马逊入库配置费!B:F,5,0))</f>
        <v>0.36672897196261678</v>
      </c>
      <c r="AE353" s="104">
        <f t="shared" si="46"/>
        <v>73.345794392523359</v>
      </c>
      <c r="AF353" s="103">
        <v>46144</v>
      </c>
      <c r="AG353" s="90">
        <f t="shared" si="44"/>
        <v>28</v>
      </c>
      <c r="AH353" s="103">
        <v>46179</v>
      </c>
      <c r="AI353" s="96"/>
      <c r="AJ353" s="96"/>
      <c r="AK353" s="96"/>
      <c r="AL353" s="92"/>
      <c r="AM353" s="91"/>
      <c r="AN353" s="91"/>
      <c r="AO353" s="96"/>
      <c r="AP353" s="105"/>
      <c r="AQ353" s="105"/>
      <c r="AR353" s="105"/>
      <c r="AS353" s="105"/>
    </row>
    <row r="354" spans="1:45" ht="12" customHeight="1" x14ac:dyDescent="0.25">
      <c r="A354" s="90">
        <v>353</v>
      </c>
      <c r="B354" s="91"/>
      <c r="C354" s="91" t="s">
        <v>4324</v>
      </c>
      <c r="D354" s="92" t="s">
        <v>4328</v>
      </c>
      <c r="E354" s="91" t="s">
        <v>97</v>
      </c>
      <c r="F354" s="91" t="s">
        <v>0</v>
      </c>
      <c r="G354" s="56" t="s">
        <v>1487</v>
      </c>
      <c r="H354" s="91">
        <v>200</v>
      </c>
      <c r="I354" s="91" t="s">
        <v>207</v>
      </c>
      <c r="J354" s="91" t="s">
        <v>8</v>
      </c>
      <c r="K354" s="92" t="s">
        <v>9</v>
      </c>
      <c r="L354" s="93" t="str">
        <f>VLOOKUP(G354,'SKU 对应关系'!A:E,4,0)</f>
        <v>AN8NZ-B</v>
      </c>
      <c r="M354" s="94" t="str">
        <f>_xlfn.IFNA(VLOOKUP(G354,'SKU 对应关系'!A:B,2,0),"")</f>
        <v>AN8NZ-B AN8(Z)喷嘴配件套装 黑色</v>
      </c>
      <c r="N354" s="95" t="str">
        <f>_xlfn.IFNA(VLOOKUP(G354,'SKU 对应关系'!$A:$D,3,0),"")</f>
        <v>AN8-AC</v>
      </c>
      <c r="O354" s="96">
        <v>1</v>
      </c>
      <c r="P354" s="580">
        <v>13.468148148148147</v>
      </c>
      <c r="Q354" s="96" t="s">
        <v>16</v>
      </c>
      <c r="R354" s="91">
        <v>3.6</v>
      </c>
      <c r="S354" s="95"/>
      <c r="T354" s="98">
        <v>1.7730496453900708</v>
      </c>
      <c r="U354" s="99">
        <f t="shared" si="47"/>
        <v>50.258382978723404</v>
      </c>
      <c r="V354" s="100">
        <f t="shared" si="43"/>
        <v>0.25129191489361702</v>
      </c>
      <c r="W354" s="101">
        <f t="shared" si="48"/>
        <v>3.7506255954271199E-2</v>
      </c>
      <c r="X354" s="95"/>
      <c r="Y354" s="95"/>
      <c r="Z354" s="102"/>
      <c r="AA354" s="103">
        <v>46116</v>
      </c>
      <c r="AB354" s="103">
        <v>46137</v>
      </c>
      <c r="AC354" s="103"/>
      <c r="AD354" s="104">
        <f>IF(ISNA(VLOOKUP(D354,亚马逊入库配置费!B:F,5,0)),0,VLOOKUP(D354,亚马逊入库配置费!B:F,5,0))</f>
        <v>0.36672897196261678</v>
      </c>
      <c r="AE354" s="104">
        <f t="shared" si="46"/>
        <v>73.345794392523359</v>
      </c>
      <c r="AF354" s="103">
        <v>46144</v>
      </c>
      <c r="AG354" s="90">
        <f t="shared" si="44"/>
        <v>28</v>
      </c>
      <c r="AH354" s="103">
        <v>46179</v>
      </c>
      <c r="AI354" s="96"/>
      <c r="AJ354" s="96"/>
      <c r="AK354" s="96"/>
      <c r="AL354" s="92"/>
      <c r="AM354" s="91"/>
      <c r="AN354" s="91"/>
      <c r="AO354" s="96"/>
      <c r="AP354" s="105"/>
      <c r="AQ354" s="105"/>
      <c r="AR354" s="105"/>
      <c r="AS354" s="105"/>
    </row>
    <row r="355" spans="1:45" ht="12" customHeight="1" x14ac:dyDescent="0.25">
      <c r="A355" s="90">
        <v>354</v>
      </c>
      <c r="B355" s="91"/>
      <c r="C355" s="91" t="s">
        <v>841</v>
      </c>
      <c r="D355" s="92" t="s">
        <v>4329</v>
      </c>
      <c r="E355" s="91" t="s">
        <v>4202</v>
      </c>
      <c r="F355" s="91" t="s">
        <v>0</v>
      </c>
      <c r="G355" s="56" t="s">
        <v>2932</v>
      </c>
      <c r="H355" s="91">
        <v>90</v>
      </c>
      <c r="I355" s="91" t="s">
        <v>89</v>
      </c>
      <c r="J355" s="91" t="s">
        <v>8</v>
      </c>
      <c r="K355" s="92" t="s">
        <v>50</v>
      </c>
      <c r="L355" s="93" t="str">
        <f>VLOOKUP(G355,'SKU 对应关系'!A:E,4,0)</f>
        <v>RDX-B_US</v>
      </c>
      <c r="M355" s="94" t="str">
        <f>_xlfn.IFNA(VLOOKUP(G355,'SKU 对应关系'!A:B,2,0),"")</f>
        <v>RDX-B_US 智能扩香仪 黑色</v>
      </c>
      <c r="N355" s="95" t="str">
        <f>_xlfn.IFNA(VLOOKUP(G355,'SKU 对应关系'!$A:$D,3,0),"")</f>
        <v>RDX</v>
      </c>
      <c r="O355" s="96">
        <v>10</v>
      </c>
      <c r="P355" s="580">
        <v>151.80000000000001</v>
      </c>
      <c r="Q355" s="96" t="s">
        <v>16</v>
      </c>
      <c r="R355" s="91">
        <v>4.8</v>
      </c>
      <c r="S355" s="95">
        <v>200</v>
      </c>
      <c r="T355" s="98">
        <v>36.363636363636367</v>
      </c>
      <c r="U355" s="99">
        <f t="shared" si="47"/>
        <v>765.00363636363636</v>
      </c>
      <c r="V355" s="100">
        <f t="shared" si="43"/>
        <v>8.5000404040404032</v>
      </c>
      <c r="W355" s="101">
        <f t="shared" si="48"/>
        <v>1.268662746871702</v>
      </c>
      <c r="X355" s="95"/>
      <c r="Y355" s="95"/>
      <c r="Z355" s="102"/>
      <c r="AA355" s="103">
        <v>46116</v>
      </c>
      <c r="AB355" s="103">
        <v>46139</v>
      </c>
      <c r="AC355" s="103"/>
      <c r="AD355" s="104">
        <f>IF(ISNA(VLOOKUP(D355,亚马逊入库配置费!B:F,5,0)),0,VLOOKUP(D355,亚马逊入库配置费!B:F,5,0))</f>
        <v>0.7</v>
      </c>
      <c r="AE355" s="104">
        <f t="shared" si="46"/>
        <v>62.999999999999993</v>
      </c>
      <c r="AF355" s="103">
        <v>46151</v>
      </c>
      <c r="AG355" s="90">
        <f t="shared" si="44"/>
        <v>35</v>
      </c>
      <c r="AH355" s="103"/>
      <c r="AI355" s="96"/>
      <c r="AJ355" s="96"/>
      <c r="AK355" s="96"/>
      <c r="AL355" s="92"/>
      <c r="AM355" s="91"/>
      <c r="AN355" s="91"/>
      <c r="AO355" s="96"/>
      <c r="AP355" s="105"/>
      <c r="AQ355" s="105"/>
      <c r="AR355" s="105"/>
      <c r="AS355" s="105"/>
    </row>
    <row r="356" spans="1:45" ht="12" customHeight="1" x14ac:dyDescent="0.25">
      <c r="A356" s="90">
        <v>355</v>
      </c>
      <c r="B356" s="91"/>
      <c r="C356" s="91" t="s">
        <v>841</v>
      </c>
      <c r="D356" s="92" t="s">
        <v>4329</v>
      </c>
      <c r="E356" s="91" t="s">
        <v>4202</v>
      </c>
      <c r="F356" s="91" t="s">
        <v>0</v>
      </c>
      <c r="G356" s="56" t="s">
        <v>2938</v>
      </c>
      <c r="H356" s="91">
        <v>360</v>
      </c>
      <c r="I356" s="91" t="s">
        <v>89</v>
      </c>
      <c r="J356" s="91" t="s">
        <v>8</v>
      </c>
      <c r="K356" s="92" t="s">
        <v>50</v>
      </c>
      <c r="L356" s="93" t="str">
        <f>VLOOKUP(G356,'SKU 对应关系'!A:E,4,0)</f>
        <v>RDXKIT-B_US_2X100K04</v>
      </c>
      <c r="M356" s="94" t="str">
        <f>_xlfn.IFNA(VLOOKUP(G356,'SKU 对应关系'!A:B,2,0),"")</f>
        <v>RDXKIT-B_US_2X100K04 RDX黑色机器+2X100mL酒店香氛油（天竺） 机油套装</v>
      </c>
      <c r="N356" s="95" t="str">
        <f>_xlfn.IFNA(VLOOKUP(G356,'SKU 对应关系'!$A:$D,3,0),"")</f>
        <v>RDX</v>
      </c>
      <c r="O356" s="96">
        <v>40</v>
      </c>
      <c r="P356" s="580">
        <v>607.20000000000005</v>
      </c>
      <c r="Q356" s="96" t="s">
        <v>16</v>
      </c>
      <c r="R356" s="91">
        <v>4.8</v>
      </c>
      <c r="S356" s="106">
        <v>200</v>
      </c>
      <c r="T356" s="98">
        <v>145.45454545454547</v>
      </c>
      <c r="U356" s="99">
        <f t="shared" si="47"/>
        <v>3060.0145454545454</v>
      </c>
      <c r="V356" s="100">
        <f t="shared" si="43"/>
        <v>8.5000404040404032</v>
      </c>
      <c r="W356" s="101">
        <f t="shared" si="48"/>
        <v>1.268662746871702</v>
      </c>
      <c r="X356" s="95"/>
      <c r="Y356" s="95"/>
      <c r="Z356" s="102"/>
      <c r="AA356" s="103">
        <v>46116</v>
      </c>
      <c r="AB356" s="103">
        <v>46139</v>
      </c>
      <c r="AC356" s="103"/>
      <c r="AD356" s="104">
        <f>IF(ISNA(VLOOKUP(D356,亚马逊入库配置费!B:F,5,0)),0,VLOOKUP(D356,亚马逊入库配置费!B:F,5,0))</f>
        <v>0.7</v>
      </c>
      <c r="AE356" s="104">
        <f t="shared" si="46"/>
        <v>251.99999999999997</v>
      </c>
      <c r="AF356" s="103">
        <v>46151</v>
      </c>
      <c r="AG356" s="90">
        <f t="shared" si="44"/>
        <v>35</v>
      </c>
      <c r="AH356" s="103"/>
      <c r="AI356" s="96"/>
      <c r="AJ356" s="96"/>
      <c r="AK356" s="96"/>
      <c r="AL356" s="92"/>
      <c r="AM356" s="91"/>
      <c r="AN356" s="91"/>
      <c r="AO356" s="96"/>
      <c r="AP356" s="105"/>
      <c r="AQ356" s="105"/>
      <c r="AR356" s="105"/>
      <c r="AS356" s="105"/>
    </row>
    <row r="357" spans="1:45" ht="12" customHeight="1" x14ac:dyDescent="0.25">
      <c r="A357" s="90">
        <v>356</v>
      </c>
      <c r="B357" s="91"/>
      <c r="C357" s="91" t="s">
        <v>821</v>
      </c>
      <c r="D357" s="92" t="s">
        <v>4330</v>
      </c>
      <c r="E357" s="91" t="s">
        <v>1037</v>
      </c>
      <c r="F357" s="91" t="s">
        <v>0</v>
      </c>
      <c r="G357" s="56" t="s">
        <v>2439</v>
      </c>
      <c r="H357" s="91">
        <v>592</v>
      </c>
      <c r="I357" s="91" t="s">
        <v>1767</v>
      </c>
      <c r="J357" s="91" t="s">
        <v>4</v>
      </c>
      <c r="K357" s="92" t="s">
        <v>42</v>
      </c>
      <c r="L357" s="93" t="str">
        <f>VLOOKUP(G357,'SKU 对应关系'!A:E,4,0)</f>
        <v>G1-B</v>
      </c>
      <c r="M357" s="94" t="str">
        <f>_xlfn.IFNA(VLOOKUP(G357,'SKU 对应关系'!A:B,2,0),"")</f>
        <v>G1-B 电子球形把手锁 黑色</v>
      </c>
      <c r="N357" s="95" t="str">
        <f>_xlfn.IFNA(VLOOKUP(G357,'SKU 对应关系'!$A:$D,3,0),"")</f>
        <v>G1</v>
      </c>
      <c r="O357" s="96">
        <v>37</v>
      </c>
      <c r="P357" s="580">
        <v>1.6217021276595744</v>
      </c>
      <c r="Q357" s="96" t="s">
        <v>3264</v>
      </c>
      <c r="R357" s="91">
        <v>1890</v>
      </c>
      <c r="S357" s="95">
        <v>180</v>
      </c>
      <c r="T357" s="98">
        <v>141.70212765957447</v>
      </c>
      <c r="U357" s="99">
        <f t="shared" si="47"/>
        <v>3206.7191489361703</v>
      </c>
      <c r="V357" s="100">
        <f t="shared" si="43"/>
        <v>5.4167553191489359</v>
      </c>
      <c r="W357" s="101">
        <f t="shared" si="48"/>
        <v>0.80847094315655754</v>
      </c>
      <c r="X357" s="95"/>
      <c r="Y357" s="95"/>
      <c r="Z357" s="102"/>
      <c r="AA357" s="103">
        <v>46115</v>
      </c>
      <c r="AB357" s="103">
        <v>46131</v>
      </c>
      <c r="AC357" s="103"/>
      <c r="AD357" s="104">
        <f>IF(ISNA(VLOOKUP(D357,亚马逊入库配置费!B:F,5,0)),0,VLOOKUP(D357,亚马逊入库配置费!B:F,5,0))</f>
        <v>0.56000000000000005</v>
      </c>
      <c r="AE357" s="104">
        <f t="shared" si="46"/>
        <v>331.52000000000004</v>
      </c>
      <c r="AF357" s="103">
        <v>46136</v>
      </c>
      <c r="AG357" s="90">
        <f t="shared" si="44"/>
        <v>21</v>
      </c>
      <c r="AH357" s="103">
        <v>46170</v>
      </c>
      <c r="AI357" s="96"/>
      <c r="AJ357" s="96"/>
      <c r="AK357" s="96"/>
      <c r="AL357" s="92"/>
      <c r="AM357" s="91"/>
      <c r="AN357" s="91"/>
      <c r="AO357" s="96"/>
      <c r="AP357" s="105"/>
      <c r="AQ357" s="105"/>
      <c r="AR357" s="105"/>
      <c r="AS357" s="105"/>
    </row>
    <row r="358" spans="1:45" ht="12" customHeight="1" x14ac:dyDescent="0.25">
      <c r="A358" s="90">
        <v>357</v>
      </c>
      <c r="B358" s="91"/>
      <c r="C358" s="91" t="s">
        <v>821</v>
      </c>
      <c r="D358" s="92" t="s">
        <v>4330</v>
      </c>
      <c r="E358" s="91" t="s">
        <v>1037</v>
      </c>
      <c r="F358" s="91" t="s">
        <v>0</v>
      </c>
      <c r="G358" s="56" t="s">
        <v>2443</v>
      </c>
      <c r="H358" s="91">
        <v>160</v>
      </c>
      <c r="I358" s="91" t="s">
        <v>1767</v>
      </c>
      <c r="J358" s="91" t="s">
        <v>4</v>
      </c>
      <c r="K358" s="92" t="s">
        <v>42</v>
      </c>
      <c r="L358" s="93" t="str">
        <f>VLOOKUP(G358,'SKU 对应关系'!A:E,4,0)</f>
        <v>G1-SILV</v>
      </c>
      <c r="M358" s="94" t="str">
        <f>_xlfn.IFNA(VLOOKUP(G358,'SKU 对应关系'!A:B,2,0),"")</f>
        <v>G1-SILV 电子球形把手锁 银色</v>
      </c>
      <c r="N358" s="95" t="str">
        <f>_xlfn.IFNA(VLOOKUP(G358,'SKU 对应关系'!$A:$D,3,0),"")</f>
        <v>G1</v>
      </c>
      <c r="O358" s="96">
        <v>10</v>
      </c>
      <c r="P358" s="580">
        <v>0.4382978723404255</v>
      </c>
      <c r="Q358" s="96" t="s">
        <v>3264</v>
      </c>
      <c r="R358" s="91">
        <v>1890</v>
      </c>
      <c r="S358" s="106">
        <v>180</v>
      </c>
      <c r="T358" s="98">
        <v>38.297872340425535</v>
      </c>
      <c r="U358" s="99">
        <f t="shared" si="47"/>
        <v>866.68085106382978</v>
      </c>
      <c r="V358" s="100">
        <f t="shared" si="43"/>
        <v>5.4167553191489359</v>
      </c>
      <c r="W358" s="101">
        <f t="shared" si="48"/>
        <v>0.80847094315655754</v>
      </c>
      <c r="X358" s="95"/>
      <c r="Y358" s="95"/>
      <c r="Z358" s="102"/>
      <c r="AA358" s="103">
        <v>46115</v>
      </c>
      <c r="AB358" s="103">
        <v>46131</v>
      </c>
      <c r="AC358" s="103"/>
      <c r="AD358" s="104">
        <f>IF(ISNA(VLOOKUP(D358,亚马逊入库配置费!B:F,5,0)),0,VLOOKUP(D358,亚马逊入库配置费!B:F,5,0))</f>
        <v>0.56000000000000005</v>
      </c>
      <c r="AE358" s="104">
        <f t="shared" si="46"/>
        <v>89.600000000000009</v>
      </c>
      <c r="AF358" s="103">
        <v>46136</v>
      </c>
      <c r="AG358" s="90">
        <f t="shared" si="44"/>
        <v>21</v>
      </c>
      <c r="AH358" s="103">
        <v>46170</v>
      </c>
      <c r="AI358" s="96"/>
      <c r="AJ358" s="96"/>
      <c r="AK358" s="96"/>
      <c r="AL358" s="92"/>
      <c r="AM358" s="91"/>
      <c r="AN358" s="91"/>
      <c r="AO358" s="96"/>
      <c r="AP358" s="105"/>
      <c r="AQ358" s="105"/>
      <c r="AR358" s="105"/>
      <c r="AS358" s="105"/>
    </row>
    <row r="359" spans="1:45" ht="12" customHeight="1" x14ac:dyDescent="0.25">
      <c r="A359" s="90">
        <v>358</v>
      </c>
      <c r="B359" s="91"/>
      <c r="C359" s="91" t="s">
        <v>4331</v>
      </c>
      <c r="D359" s="92" t="s">
        <v>4332</v>
      </c>
      <c r="E359" s="91" t="s">
        <v>1037</v>
      </c>
      <c r="F359" s="91" t="s">
        <v>0</v>
      </c>
      <c r="G359" s="56" t="s">
        <v>2439</v>
      </c>
      <c r="H359" s="91">
        <v>304</v>
      </c>
      <c r="I359" s="91" t="s">
        <v>117</v>
      </c>
      <c r="J359" s="91" t="s">
        <v>8</v>
      </c>
      <c r="K359" s="92" t="s">
        <v>42</v>
      </c>
      <c r="L359" s="93" t="str">
        <f>VLOOKUP(G359,'SKU 对应关系'!A:E,4,0)</f>
        <v>G1-B</v>
      </c>
      <c r="M359" s="94" t="str">
        <f>_xlfn.IFNA(VLOOKUP(G359,'SKU 对应关系'!A:B,2,0),"")</f>
        <v>G1-B 电子球形把手锁 黑色</v>
      </c>
      <c r="N359" s="95" t="str">
        <f>_xlfn.IFNA(VLOOKUP(G359,'SKU 对应关系'!$A:$D,3,0),"")</f>
        <v>G1</v>
      </c>
      <c r="O359" s="96">
        <v>19</v>
      </c>
      <c r="P359" s="580">
        <v>256</v>
      </c>
      <c r="Q359" s="96" t="s">
        <v>16</v>
      </c>
      <c r="R359" s="91">
        <v>3.2</v>
      </c>
      <c r="S359" s="95">
        <v>200</v>
      </c>
      <c r="T359" s="98">
        <v>200</v>
      </c>
      <c r="U359" s="99">
        <f t="shared" si="47"/>
        <v>1019.2</v>
      </c>
      <c r="V359" s="100">
        <f t="shared" si="43"/>
        <v>3.3526315789473684</v>
      </c>
      <c r="W359" s="101">
        <f t="shared" si="48"/>
        <v>0.50039277297721918</v>
      </c>
      <c r="X359" s="95"/>
      <c r="Y359" s="95"/>
      <c r="Z359" s="102"/>
      <c r="AA359" s="103">
        <v>46115</v>
      </c>
      <c r="AB359" s="103">
        <v>46137</v>
      </c>
      <c r="AC359" s="103"/>
      <c r="AD359" s="104">
        <f>IF(ISNA(VLOOKUP(D359,亚马逊入库配置费!B:F,5,0)),0,VLOOKUP(D359,亚马逊入库配置费!B:F,5,0))</f>
        <v>0.56000000000000005</v>
      </c>
      <c r="AE359" s="104">
        <f t="shared" si="46"/>
        <v>170.24</v>
      </c>
      <c r="AF359" s="103">
        <v>46153</v>
      </c>
      <c r="AG359" s="90">
        <f t="shared" si="44"/>
        <v>38</v>
      </c>
      <c r="AH359" s="103"/>
      <c r="AI359" s="96"/>
      <c r="AJ359" s="96"/>
      <c r="AK359" s="96"/>
      <c r="AL359" s="92"/>
      <c r="AM359" s="91"/>
      <c r="AN359" s="91"/>
      <c r="AO359" s="96"/>
      <c r="AP359" s="105"/>
      <c r="AQ359" s="105"/>
      <c r="AR359" s="105"/>
      <c r="AS359" s="105"/>
    </row>
    <row r="360" spans="1:45" ht="12" customHeight="1" x14ac:dyDescent="0.25">
      <c r="A360" s="90">
        <v>359</v>
      </c>
      <c r="B360" s="91"/>
      <c r="C360" s="91" t="s">
        <v>4322</v>
      </c>
      <c r="D360" s="92" t="s">
        <v>4333</v>
      </c>
      <c r="E360" s="91" t="s">
        <v>97</v>
      </c>
      <c r="F360" s="91" t="s">
        <v>0</v>
      </c>
      <c r="G360" s="56" t="s">
        <v>88</v>
      </c>
      <c r="H360" s="91">
        <v>240</v>
      </c>
      <c r="I360" s="91" t="s">
        <v>89</v>
      </c>
      <c r="J360" s="91" t="s">
        <v>8</v>
      </c>
      <c r="K360" s="92" t="s">
        <v>9</v>
      </c>
      <c r="L360" s="93" t="str">
        <f>VLOOKUP(G360,'SKU 对应关系'!A:E,4,0)</f>
        <v>ANW-B</v>
      </c>
      <c r="M360" s="94" t="str">
        <f>_xlfn.IFNA(VLOOKUP(G360,'SKU 对应关系'!A:B,2,0),"")</f>
        <v>ANW-B 智能扩香仪 黑色</v>
      </c>
      <c r="N360" s="95" t="str">
        <f>_xlfn.IFNA(VLOOKUP(G360,'SKU 对应关系'!$A:$D,3,0),"")</f>
        <v>ANW</v>
      </c>
      <c r="O360" s="96">
        <v>20</v>
      </c>
      <c r="P360" s="580">
        <v>286.34827586206893</v>
      </c>
      <c r="Q360" s="96" t="s">
        <v>16</v>
      </c>
      <c r="R360" s="91">
        <v>4.5</v>
      </c>
      <c r="S360" s="95">
        <v>200</v>
      </c>
      <c r="T360" s="98">
        <v>17.857142857142858</v>
      </c>
      <c r="U360" s="99">
        <f t="shared" si="47"/>
        <v>1306.4243842364531</v>
      </c>
      <c r="V360" s="100">
        <f t="shared" si="43"/>
        <v>5.4434349343185549</v>
      </c>
      <c r="W360" s="101">
        <f t="shared" si="48"/>
        <v>0.81245297527142613</v>
      </c>
      <c r="X360" s="95"/>
      <c r="Y360" s="95"/>
      <c r="Z360" s="102"/>
      <c r="AA360" s="103">
        <v>46115</v>
      </c>
      <c r="AB360" s="103">
        <v>46139</v>
      </c>
      <c r="AC360" s="103"/>
      <c r="AD360" s="104">
        <f>IF(ISNA(VLOOKUP(D360,亚马逊入库配置费!B:F,5,0)),0,VLOOKUP(D360,亚马逊入库配置费!B:F,5,0))</f>
        <v>0.55999999999999994</v>
      </c>
      <c r="AE360" s="104">
        <f t="shared" si="46"/>
        <v>134.39999999999998</v>
      </c>
      <c r="AF360" s="103">
        <v>46156</v>
      </c>
      <c r="AG360" s="90">
        <f t="shared" si="44"/>
        <v>41</v>
      </c>
      <c r="AH360" s="103"/>
      <c r="AI360" s="96"/>
      <c r="AJ360" s="96"/>
      <c r="AK360" s="96"/>
      <c r="AL360" s="92"/>
      <c r="AM360" s="91"/>
      <c r="AN360" s="91"/>
      <c r="AO360" s="96"/>
      <c r="AP360" s="105"/>
      <c r="AQ360" s="105"/>
      <c r="AR360" s="105"/>
      <c r="AS360" s="105"/>
    </row>
    <row r="361" spans="1:45" ht="12" customHeight="1" x14ac:dyDescent="0.25">
      <c r="A361" s="90">
        <v>360</v>
      </c>
      <c r="B361" s="91"/>
      <c r="C361" s="91" t="s">
        <v>4322</v>
      </c>
      <c r="D361" s="92" t="s">
        <v>4333</v>
      </c>
      <c r="E361" s="91" t="s">
        <v>97</v>
      </c>
      <c r="F361" s="91" t="s">
        <v>0</v>
      </c>
      <c r="G361" s="56" t="s">
        <v>93</v>
      </c>
      <c r="H361" s="91">
        <v>456</v>
      </c>
      <c r="I361" s="91" t="s">
        <v>89</v>
      </c>
      <c r="J361" s="91" t="s">
        <v>8</v>
      </c>
      <c r="K361" s="92" t="s">
        <v>9</v>
      </c>
      <c r="L361" s="93" t="str">
        <f>VLOOKUP(G361,'SKU 对应关系'!A:E,4,0)</f>
        <v>ANW-W</v>
      </c>
      <c r="M361" s="94" t="str">
        <f>_xlfn.IFNA(VLOOKUP(G361,'SKU 对应关系'!A:B,2,0),"")</f>
        <v>ANW-W 智能扩香仪 白色</v>
      </c>
      <c r="N361" s="95" t="str">
        <f>_xlfn.IFNA(VLOOKUP(G361,'SKU 对应关系'!$A:$D,3,0),"")</f>
        <v>ANW</v>
      </c>
      <c r="O361" s="96">
        <v>38</v>
      </c>
      <c r="P361" s="580">
        <v>544.06172413793104</v>
      </c>
      <c r="Q361" s="96" t="s">
        <v>16</v>
      </c>
      <c r="R361" s="91">
        <v>4.5</v>
      </c>
      <c r="S361" s="106">
        <v>200</v>
      </c>
      <c r="T361" s="98">
        <v>33.928571428571431</v>
      </c>
      <c r="U361" s="99">
        <f t="shared" si="47"/>
        <v>2482.2063300492614</v>
      </c>
      <c r="V361" s="100">
        <f t="shared" si="43"/>
        <v>5.4434349343185557</v>
      </c>
      <c r="W361" s="101">
        <f t="shared" si="48"/>
        <v>0.81245297527142624</v>
      </c>
      <c r="X361" s="95"/>
      <c r="Y361" s="95"/>
      <c r="Z361" s="102"/>
      <c r="AA361" s="103">
        <v>46115</v>
      </c>
      <c r="AB361" s="103">
        <v>46139</v>
      </c>
      <c r="AC361" s="103"/>
      <c r="AD361" s="104">
        <f>IF(ISNA(VLOOKUP(D361,亚马逊入库配置费!B:F,5,0)),0,VLOOKUP(D361,亚马逊入库配置费!B:F,5,0))</f>
        <v>0.55999999999999994</v>
      </c>
      <c r="AE361" s="104">
        <f t="shared" si="46"/>
        <v>255.35999999999999</v>
      </c>
      <c r="AF361" s="103">
        <v>46156</v>
      </c>
      <c r="AG361" s="90">
        <f t="shared" si="44"/>
        <v>41</v>
      </c>
      <c r="AH361" s="103"/>
      <c r="AI361" s="96"/>
      <c r="AJ361" s="96"/>
      <c r="AK361" s="96"/>
      <c r="AL361" s="92"/>
      <c r="AM361" s="91"/>
      <c r="AN361" s="91"/>
      <c r="AO361" s="96"/>
      <c r="AP361" s="105"/>
      <c r="AQ361" s="105"/>
      <c r="AR361" s="105"/>
      <c r="AS361" s="105"/>
    </row>
    <row r="362" spans="1:45" ht="12" customHeight="1" x14ac:dyDescent="0.25">
      <c r="A362" s="90">
        <v>361</v>
      </c>
      <c r="B362" s="91"/>
      <c r="C362" s="91" t="s">
        <v>841</v>
      </c>
      <c r="D362" s="92" t="s">
        <v>4334</v>
      </c>
      <c r="E362" s="91" t="s">
        <v>4202</v>
      </c>
      <c r="F362" s="91" t="s">
        <v>0</v>
      </c>
      <c r="G362" s="56" t="s">
        <v>2986</v>
      </c>
      <c r="H362" s="91">
        <v>160</v>
      </c>
      <c r="I362" s="91" t="s">
        <v>89</v>
      </c>
      <c r="J362" s="91" t="s">
        <v>8</v>
      </c>
      <c r="K362" s="92" t="s">
        <v>9</v>
      </c>
      <c r="L362" s="93" t="str">
        <f>VLOOKUP(G362,'SKU 对应关系'!A:E,4,0)</f>
        <v>ANPKIT-WH_US_3X20K01_TZ</v>
      </c>
      <c r="M362" s="94" t="str">
        <f>_xlfn.IFNA(VLOOKUP(G362,'SKU 对应关系'!A:B,2,0),"")</f>
        <v>ANPKIT-WH_US_3X20K01_TZ ANP白色机器+3X20mL酒店香氛油（天竺） 机油套装</v>
      </c>
      <c r="N362" s="95" t="str">
        <f>_xlfn.IFNA(VLOOKUP(G362,'SKU 对应关系'!$A:$D,3,0),"")</f>
        <v>ANP</v>
      </c>
      <c r="O362" s="96">
        <v>5</v>
      </c>
      <c r="P362" s="580">
        <v>84</v>
      </c>
      <c r="Q362" s="96" t="s">
        <v>16</v>
      </c>
      <c r="R362" s="91">
        <v>4.5</v>
      </c>
      <c r="S362" s="95">
        <v>200</v>
      </c>
      <c r="T362" s="98">
        <v>18.181818181818183</v>
      </c>
      <c r="U362" s="99">
        <f t="shared" si="47"/>
        <v>396.18181818181819</v>
      </c>
      <c r="V362" s="100">
        <f t="shared" si="43"/>
        <v>2.4761363636363636</v>
      </c>
      <c r="W362" s="101">
        <f t="shared" si="48"/>
        <v>0.36957259158751693</v>
      </c>
      <c r="X362" s="95"/>
      <c r="Y362" s="95"/>
      <c r="Z362" s="102"/>
      <c r="AA362" s="103">
        <v>46115</v>
      </c>
      <c r="AB362" s="103">
        <v>46139</v>
      </c>
      <c r="AC362" s="103"/>
      <c r="AD362" s="104">
        <f>IF(ISNA(VLOOKUP(D362,亚马逊入库配置费!B:F,5,0)),0,VLOOKUP(D362,亚马逊入库配置费!B:F,5,0))</f>
        <v>0.44000000000000006</v>
      </c>
      <c r="AE362" s="104">
        <f t="shared" si="46"/>
        <v>70.400000000000006</v>
      </c>
      <c r="AF362" s="103">
        <v>46147</v>
      </c>
      <c r="AG362" s="90">
        <f t="shared" si="44"/>
        <v>32</v>
      </c>
      <c r="AH362" s="103">
        <v>46177</v>
      </c>
      <c r="AI362" s="96"/>
      <c r="AJ362" s="96"/>
      <c r="AK362" s="96"/>
      <c r="AL362" s="92"/>
      <c r="AM362" s="91"/>
      <c r="AN362" s="91"/>
      <c r="AO362" s="96"/>
      <c r="AP362" s="105"/>
      <c r="AQ362" s="105"/>
      <c r="AR362" s="105"/>
      <c r="AS362" s="105"/>
    </row>
    <row r="363" spans="1:45" ht="12" customHeight="1" x14ac:dyDescent="0.25">
      <c r="A363" s="90">
        <v>362</v>
      </c>
      <c r="B363" s="91"/>
      <c r="C363" s="91" t="s">
        <v>4322</v>
      </c>
      <c r="D363" s="92" t="s">
        <v>4335</v>
      </c>
      <c r="E363" s="91" t="s">
        <v>97</v>
      </c>
      <c r="F363" s="91" t="s">
        <v>0</v>
      </c>
      <c r="G363" s="56" t="s">
        <v>2172</v>
      </c>
      <c r="H363" s="91">
        <v>160</v>
      </c>
      <c r="I363" s="91" t="s">
        <v>89</v>
      </c>
      <c r="J363" s="91" t="s">
        <v>8</v>
      </c>
      <c r="K363" s="92" t="s">
        <v>9</v>
      </c>
      <c r="L363" s="93" t="str">
        <f>VLOOKUP(G363,'SKU 对应关系'!A:E,4,0)</f>
        <v>ANP-W_US</v>
      </c>
      <c r="M363" s="94" t="str">
        <f>_xlfn.IFNA(VLOOKUP(G363,'SKU 对应关系'!A:B,2,0),"")</f>
        <v>ANP-W_US 墙插式智能扩香仪 白色</v>
      </c>
      <c r="N363" s="95" t="str">
        <f>_xlfn.IFNA(VLOOKUP(G363,'SKU 对应关系'!$A:$D,3,0),"")</f>
        <v>ANP</v>
      </c>
      <c r="O363" s="96">
        <v>5</v>
      </c>
      <c r="P363" s="580">
        <v>71.59</v>
      </c>
      <c r="Q363" s="96" t="s">
        <v>16</v>
      </c>
      <c r="R363" s="91">
        <v>4.5</v>
      </c>
      <c r="S363" s="95">
        <v>200</v>
      </c>
      <c r="T363" s="98">
        <v>4.4642857142857144</v>
      </c>
      <c r="U363" s="99">
        <f t="shared" si="47"/>
        <v>326.61928571428575</v>
      </c>
      <c r="V363" s="100">
        <f t="shared" si="43"/>
        <v>2.0413705357142859</v>
      </c>
      <c r="W363" s="101">
        <f t="shared" si="48"/>
        <v>0.30468216950959492</v>
      </c>
      <c r="X363" s="95"/>
      <c r="Y363" s="95"/>
      <c r="Z363" s="102"/>
      <c r="AA363" s="103">
        <v>46115</v>
      </c>
      <c r="AB363" s="103">
        <v>46139</v>
      </c>
      <c r="AC363" s="103"/>
      <c r="AD363" s="104">
        <f>IF(ISNA(VLOOKUP(D363,亚马逊入库配置费!B:F,5,0)),0,VLOOKUP(D363,亚马逊入库配置费!B:F,5,0))</f>
        <v>0.44000000000000006</v>
      </c>
      <c r="AE363" s="104">
        <f t="shared" si="46"/>
        <v>70.400000000000006</v>
      </c>
      <c r="AF363" s="103">
        <v>46158</v>
      </c>
      <c r="AG363" s="90">
        <f t="shared" si="44"/>
        <v>43</v>
      </c>
      <c r="AH363" s="103"/>
      <c r="AI363" s="96"/>
      <c r="AJ363" s="96"/>
      <c r="AK363" s="96"/>
      <c r="AL363" s="92"/>
      <c r="AM363" s="91"/>
      <c r="AN363" s="91"/>
      <c r="AO363" s="96"/>
      <c r="AP363" s="105"/>
      <c r="AQ363" s="105"/>
      <c r="AR363" s="105"/>
      <c r="AS363" s="105"/>
    </row>
    <row r="364" spans="1:45" ht="12" customHeight="1" x14ac:dyDescent="0.25">
      <c r="A364" s="90">
        <v>363</v>
      </c>
      <c r="B364" s="91"/>
      <c r="C364" s="91" t="s">
        <v>856</v>
      </c>
      <c r="D364" s="92" t="s">
        <v>4336</v>
      </c>
      <c r="E364" s="91" t="s">
        <v>115</v>
      </c>
      <c r="F364" s="91" t="s">
        <v>0</v>
      </c>
      <c r="G364" s="56" t="s">
        <v>2203</v>
      </c>
      <c r="H364" s="91">
        <v>180</v>
      </c>
      <c r="I364" s="91" t="s">
        <v>1767</v>
      </c>
      <c r="J364" s="91" t="s">
        <v>8</v>
      </c>
      <c r="K364" s="92" t="s">
        <v>44</v>
      </c>
      <c r="L364" s="93" t="str">
        <f>VLOOKUP(G364,'SKU 对应关系'!A:E,4,0)</f>
        <v>BLG1-100ML</v>
      </c>
      <c r="M364" s="94" t="str">
        <f>_xlfn.IFNA(VLOOKUP(G364,'SKU 对应关系'!A:B,2,0),"")</f>
        <v>BLG1-100ML 百乐宫酒店香氛油100mL</v>
      </c>
      <c r="N364" s="95" t="str">
        <f>_xlfn.IFNA(VLOOKUP(G364,'SKU 对应关系'!$A:$D,3,0),"")</f>
        <v>Oil-HQ</v>
      </c>
      <c r="O364" s="96">
        <v>2</v>
      </c>
      <c r="P364" s="580">
        <v>9.3333333333333338E-2</v>
      </c>
      <c r="Q364" s="96" t="s">
        <v>3264</v>
      </c>
      <c r="R364" s="91">
        <v>1030</v>
      </c>
      <c r="S364" s="95">
        <v>180</v>
      </c>
      <c r="T364" s="98">
        <v>12.857142857142858</v>
      </c>
      <c r="U364" s="99">
        <f t="shared" si="47"/>
        <v>108.9904761904762</v>
      </c>
      <c r="V364" s="100">
        <f t="shared" si="43"/>
        <v>0.60550264550264554</v>
      </c>
      <c r="W364" s="101">
        <f t="shared" si="48"/>
        <v>9.0373529179499326E-2</v>
      </c>
      <c r="X364" s="95"/>
      <c r="Y364" s="95"/>
      <c r="Z364" s="102"/>
      <c r="AA364" s="103">
        <v>46114</v>
      </c>
      <c r="AB364" s="103">
        <v>46137</v>
      </c>
      <c r="AC364" s="103"/>
      <c r="AD364" s="104">
        <f>IF(ISNA(VLOOKUP(D364,亚马逊入库配置费!B:F,5,0)),0,VLOOKUP(D364,亚马逊入库配置费!B:F,5,0))</f>
        <v>0.36</v>
      </c>
      <c r="AE364" s="104">
        <f t="shared" si="46"/>
        <v>64.8</v>
      </c>
      <c r="AF364" s="103">
        <v>46156</v>
      </c>
      <c r="AG364" s="90">
        <f t="shared" si="44"/>
        <v>42</v>
      </c>
      <c r="AH364" s="103"/>
      <c r="AI364" s="96"/>
      <c r="AJ364" s="96"/>
      <c r="AK364" s="96"/>
      <c r="AL364" s="92"/>
      <c r="AM364" s="91"/>
      <c r="AN364" s="91"/>
      <c r="AO364" s="96"/>
      <c r="AP364" s="105"/>
      <c r="AQ364" s="105"/>
      <c r="AR364" s="105"/>
      <c r="AS364" s="105"/>
    </row>
    <row r="365" spans="1:45" ht="12" customHeight="1" x14ac:dyDescent="0.25">
      <c r="A365" s="90">
        <v>364</v>
      </c>
      <c r="B365" s="91"/>
      <c r="C365" s="91" t="s">
        <v>856</v>
      </c>
      <c r="D365" s="92" t="s">
        <v>4336</v>
      </c>
      <c r="E365" s="91" t="s">
        <v>115</v>
      </c>
      <c r="F365" s="91" t="s">
        <v>0</v>
      </c>
      <c r="G365" s="56" t="s">
        <v>1057</v>
      </c>
      <c r="H365" s="91">
        <v>90</v>
      </c>
      <c r="I365" s="91" t="s">
        <v>1767</v>
      </c>
      <c r="J365" s="91" t="s">
        <v>8</v>
      </c>
      <c r="K365" s="92" t="s">
        <v>44</v>
      </c>
      <c r="L365" s="93" t="str">
        <f>VLOOKUP(G365,'SKU 对应关系'!A:E,4,0)</f>
        <v>A-MWAY-100</v>
      </c>
      <c r="M365" s="94" t="str">
        <f>_xlfn.IFNA(VLOOKUP(G365,'SKU 对应关系'!A:B,2,0),"")</f>
        <v>A-MWAY Deluxe-100 特定香型香氛油100mL</v>
      </c>
      <c r="N365" s="95" t="str">
        <f>_xlfn.IFNA(VLOOKUP(G365,'SKU 对应关系'!$A:$D,3,0),"")</f>
        <v>Oil-HQ</v>
      </c>
      <c r="O365" s="96">
        <v>1</v>
      </c>
      <c r="P365" s="580">
        <v>4.6666666666666669E-2</v>
      </c>
      <c r="Q365" s="96" t="s">
        <v>3264</v>
      </c>
      <c r="R365" s="91">
        <v>1030</v>
      </c>
      <c r="S365" s="106">
        <v>180</v>
      </c>
      <c r="T365" s="98">
        <v>6.4285714285714288</v>
      </c>
      <c r="U365" s="99">
        <f t="shared" si="47"/>
        <v>54.495238095238101</v>
      </c>
      <c r="V365" s="100">
        <f t="shared" si="43"/>
        <v>0.60550264550264554</v>
      </c>
      <c r="W365" s="101">
        <f t="shared" si="48"/>
        <v>9.0373529179499326E-2</v>
      </c>
      <c r="X365" s="95"/>
      <c r="Y365" s="95"/>
      <c r="Z365" s="102"/>
      <c r="AA365" s="103">
        <v>46114</v>
      </c>
      <c r="AB365" s="103">
        <v>46137</v>
      </c>
      <c r="AC365" s="103"/>
      <c r="AD365" s="104">
        <f>IF(ISNA(VLOOKUP(D365,亚马逊入库配置费!B:F,5,0)),0,VLOOKUP(D365,亚马逊入库配置费!B:F,5,0))</f>
        <v>0.36</v>
      </c>
      <c r="AE365" s="104">
        <f t="shared" si="46"/>
        <v>32.4</v>
      </c>
      <c r="AF365" s="103">
        <v>46156</v>
      </c>
      <c r="AG365" s="90">
        <f t="shared" si="44"/>
        <v>42</v>
      </c>
      <c r="AH365" s="103"/>
      <c r="AI365" s="96"/>
      <c r="AJ365" s="96"/>
      <c r="AK365" s="96"/>
      <c r="AL365" s="92"/>
      <c r="AM365" s="91"/>
      <c r="AN365" s="91"/>
      <c r="AO365" s="96"/>
      <c r="AP365" s="105"/>
      <c r="AQ365" s="105"/>
      <c r="AR365" s="105"/>
      <c r="AS365" s="105"/>
    </row>
    <row r="366" spans="1:45" ht="12" customHeight="1" x14ac:dyDescent="0.25">
      <c r="A366" s="90">
        <v>365</v>
      </c>
      <c r="B366" s="91"/>
      <c r="C366" s="91" t="s">
        <v>856</v>
      </c>
      <c r="D366" s="92" t="s">
        <v>4336</v>
      </c>
      <c r="E366" s="91" t="s">
        <v>115</v>
      </c>
      <c r="F366" s="91" t="s">
        <v>0</v>
      </c>
      <c r="G366" s="56" t="s">
        <v>650</v>
      </c>
      <c r="H366" s="91">
        <v>270</v>
      </c>
      <c r="I366" s="91" t="s">
        <v>1767</v>
      </c>
      <c r="J366" s="91" t="s">
        <v>8</v>
      </c>
      <c r="K366" s="92" t="s">
        <v>44</v>
      </c>
      <c r="L366" s="93" t="str">
        <f>VLOOKUP(G366,'SKU 对应关系'!A:E,4,0)</f>
        <v>A-MT-100</v>
      </c>
      <c r="M366" s="94" t="str">
        <f>_xlfn.IFNA(VLOOKUP(G366,'SKU 对应关系'!A:B,2,0),"")</f>
        <v>A-Marriott Hotel 1-100 万豪酒店1香氛油100mL</v>
      </c>
      <c r="N366" s="95" t="str">
        <f>_xlfn.IFNA(VLOOKUP(G366,'SKU 对应关系'!$A:$D,3,0),"")</f>
        <v>Oil-HQ</v>
      </c>
      <c r="O366" s="96">
        <v>3</v>
      </c>
      <c r="P366" s="580">
        <v>0.14000000000000001</v>
      </c>
      <c r="Q366" s="96" t="s">
        <v>3264</v>
      </c>
      <c r="R366" s="91">
        <v>1030</v>
      </c>
      <c r="S366" s="95"/>
      <c r="T366" s="98">
        <v>19.285714285714285</v>
      </c>
      <c r="U366" s="99">
        <f t="shared" si="47"/>
        <v>163.48571428571429</v>
      </c>
      <c r="V366" s="100">
        <f t="shared" si="43"/>
        <v>0.60550264550264554</v>
      </c>
      <c r="W366" s="101">
        <f t="shared" si="48"/>
        <v>9.0373529179499326E-2</v>
      </c>
      <c r="X366" s="95"/>
      <c r="Y366" s="95"/>
      <c r="Z366" s="102"/>
      <c r="AA366" s="103">
        <v>46114</v>
      </c>
      <c r="AB366" s="103">
        <v>46137</v>
      </c>
      <c r="AC366" s="103"/>
      <c r="AD366" s="104">
        <f>IF(ISNA(VLOOKUP(D366,亚马逊入库配置费!B:F,5,0)),0,VLOOKUP(D366,亚马逊入库配置费!B:F,5,0))</f>
        <v>0.36</v>
      </c>
      <c r="AE366" s="104">
        <f t="shared" si="46"/>
        <v>97.2</v>
      </c>
      <c r="AF366" s="103">
        <v>46156</v>
      </c>
      <c r="AG366" s="90">
        <f t="shared" si="44"/>
        <v>42</v>
      </c>
      <c r="AH366" s="103"/>
      <c r="AI366" s="96"/>
      <c r="AJ366" s="96"/>
      <c r="AK366" s="96"/>
      <c r="AL366" s="92"/>
      <c r="AM366" s="91"/>
      <c r="AN366" s="91"/>
      <c r="AO366" s="96"/>
      <c r="AP366" s="105"/>
      <c r="AQ366" s="105"/>
      <c r="AR366" s="105"/>
      <c r="AS366" s="105"/>
    </row>
    <row r="367" spans="1:45" ht="12" customHeight="1" x14ac:dyDescent="0.25">
      <c r="A367" s="90">
        <v>366</v>
      </c>
      <c r="B367" s="91"/>
      <c r="C367" s="91" t="s">
        <v>856</v>
      </c>
      <c r="D367" s="92" t="s">
        <v>4337</v>
      </c>
      <c r="E367" s="91" t="s">
        <v>97</v>
      </c>
      <c r="F367" s="91" t="s">
        <v>0</v>
      </c>
      <c r="G367" s="56" t="s">
        <v>316</v>
      </c>
      <c r="H367" s="91">
        <v>630</v>
      </c>
      <c r="I367" s="91" t="s">
        <v>1767</v>
      </c>
      <c r="J367" s="91" t="s">
        <v>8</v>
      </c>
      <c r="K367" s="92" t="s">
        <v>44</v>
      </c>
      <c r="L367" s="93" t="str">
        <f>VLOOKUP(G367,'SKU 对应关系'!A:E,4,0)</f>
        <v>A-RZ3-100</v>
      </c>
      <c r="M367" s="94" t="str">
        <f>_xlfn.IFNA(VLOOKUP(G367,'SKU 对应关系'!A:B,2,0),"")</f>
        <v>A-Ritz Carlton Hotel 3-100 丽思卡尔顿酒店3香氛油100mL</v>
      </c>
      <c r="N367" s="95" t="str">
        <f>_xlfn.IFNA(VLOOKUP(G367,'SKU 对应关系'!$A:$D,3,0),"")</f>
        <v>Oil-HQ</v>
      </c>
      <c r="O367" s="96">
        <v>7</v>
      </c>
      <c r="P367" s="580">
        <v>0.32200000000000001</v>
      </c>
      <c r="Q367" s="96" t="s">
        <v>3264</v>
      </c>
      <c r="R367" s="91">
        <v>1030</v>
      </c>
      <c r="S367" s="95"/>
      <c r="T367" s="98">
        <v>45</v>
      </c>
      <c r="U367" s="99">
        <f t="shared" si="47"/>
        <v>376.66</v>
      </c>
      <c r="V367" s="100">
        <f t="shared" si="43"/>
        <v>0.59787301587301589</v>
      </c>
      <c r="W367" s="101">
        <f t="shared" si="48"/>
        <v>8.9234778488509831E-2</v>
      </c>
      <c r="X367" s="95"/>
      <c r="Y367" s="95"/>
      <c r="Z367" s="102"/>
      <c r="AA367" s="103">
        <v>46114</v>
      </c>
      <c r="AB367" s="103">
        <v>46137</v>
      </c>
      <c r="AC367" s="103"/>
      <c r="AD367" s="104">
        <f>IF(ISNA(VLOOKUP(D367,亚马逊入库配置费!B:F,5,0)),0,VLOOKUP(D367,亚马逊入库配置费!B:F,5,0))</f>
        <v>0.3669565217391304</v>
      </c>
      <c r="AE367" s="104">
        <f t="shared" si="46"/>
        <v>231.18260869565216</v>
      </c>
      <c r="AF367" s="103">
        <v>46156</v>
      </c>
      <c r="AG367" s="90">
        <f t="shared" si="44"/>
        <v>42</v>
      </c>
      <c r="AH367" s="103"/>
      <c r="AI367" s="96"/>
      <c r="AJ367" s="96"/>
      <c r="AK367" s="96"/>
      <c r="AL367" s="92"/>
      <c r="AM367" s="91"/>
      <c r="AN367" s="91"/>
      <c r="AO367" s="96"/>
      <c r="AP367" s="105"/>
      <c r="AQ367" s="105"/>
      <c r="AR367" s="105"/>
      <c r="AS367" s="105"/>
    </row>
    <row r="368" spans="1:45" ht="12" customHeight="1" x14ac:dyDescent="0.25">
      <c r="A368" s="90">
        <v>367</v>
      </c>
      <c r="B368" s="91"/>
      <c r="C368" s="91" t="s">
        <v>856</v>
      </c>
      <c r="D368" s="92" t="s">
        <v>4337</v>
      </c>
      <c r="E368" s="91" t="s">
        <v>97</v>
      </c>
      <c r="F368" s="91" t="s">
        <v>0</v>
      </c>
      <c r="G368" s="56" t="s">
        <v>1312</v>
      </c>
      <c r="H368" s="91">
        <v>60</v>
      </c>
      <c r="I368" s="91" t="s">
        <v>1767</v>
      </c>
      <c r="J368" s="91" t="s">
        <v>8</v>
      </c>
      <c r="K368" s="92" t="s">
        <v>44</v>
      </c>
      <c r="L368" s="93" t="str">
        <f>VLOOKUP(G368,'SKU 对应关系'!A:E,4,0)</f>
        <v>RZ-500ML</v>
      </c>
      <c r="M368" s="94" t="str">
        <f>_xlfn.IFNA(VLOOKUP(G368,'SKU 对应关系'!A:B,2,0),"")</f>
        <v>RZ-500ML 丽思卡尔顿酒店3香氛油500mL</v>
      </c>
      <c r="N368" s="95" t="str">
        <f>_xlfn.IFNA(VLOOKUP(G368,'SKU 对应关系'!$A:$D,3,0),"")</f>
        <v>Oil-HQ</v>
      </c>
      <c r="O368" s="96">
        <v>3</v>
      </c>
      <c r="P368" s="580">
        <v>0.13800000000000001</v>
      </c>
      <c r="Q368" s="96" t="s">
        <v>3264</v>
      </c>
      <c r="R368" s="91">
        <v>1030</v>
      </c>
      <c r="S368" s="95"/>
      <c r="T368" s="98">
        <v>19.285714285714285</v>
      </c>
      <c r="U368" s="99">
        <f t="shared" si="47"/>
        <v>161.42571428571429</v>
      </c>
      <c r="V368" s="100">
        <f t="shared" si="43"/>
        <v>2.6904285714285714</v>
      </c>
      <c r="W368" s="101">
        <f t="shared" si="48"/>
        <v>0.40155650319829422</v>
      </c>
      <c r="X368" s="95"/>
      <c r="Y368" s="95"/>
      <c r="Z368" s="102"/>
      <c r="AA368" s="103">
        <v>46114</v>
      </c>
      <c r="AB368" s="103">
        <v>46137</v>
      </c>
      <c r="AC368" s="103"/>
      <c r="AD368" s="104">
        <f>IF(ISNA(VLOOKUP(D368,亚马逊入库配置费!B:F,5,0)),0,VLOOKUP(D368,亚马逊入库配置费!B:F,5,0))</f>
        <v>0.3669565217391304</v>
      </c>
      <c r="AE368" s="104">
        <f t="shared" si="46"/>
        <v>22.017391304347825</v>
      </c>
      <c r="AF368" s="103">
        <v>46156</v>
      </c>
      <c r="AG368" s="90">
        <f t="shared" si="44"/>
        <v>42</v>
      </c>
      <c r="AH368" s="103"/>
      <c r="AI368" s="96"/>
      <c r="AJ368" s="96"/>
      <c r="AK368" s="96"/>
      <c r="AL368" s="92"/>
      <c r="AM368" s="91"/>
      <c r="AN368" s="91"/>
      <c r="AO368" s="96"/>
      <c r="AP368" s="105"/>
      <c r="AQ368" s="105"/>
      <c r="AR368" s="105"/>
      <c r="AS368" s="105"/>
    </row>
    <row r="369" spans="1:45" ht="12" customHeight="1" x14ac:dyDescent="0.25">
      <c r="A369" s="90">
        <v>368</v>
      </c>
      <c r="B369" s="91" t="s">
        <v>4341</v>
      </c>
      <c r="C369" s="91" t="s">
        <v>856</v>
      </c>
      <c r="D369" s="92" t="s">
        <v>4338</v>
      </c>
      <c r="E369" s="91" t="s">
        <v>115</v>
      </c>
      <c r="F369" s="91" t="s">
        <v>0</v>
      </c>
      <c r="G369" s="56" t="s">
        <v>2864</v>
      </c>
      <c r="H369" s="91">
        <v>192</v>
      </c>
      <c r="I369" s="91" t="s">
        <v>1767</v>
      </c>
      <c r="J369" s="91" t="s">
        <v>8</v>
      </c>
      <c r="K369" s="92" t="s">
        <v>44</v>
      </c>
      <c r="L369" s="93" t="str">
        <f>VLOOKUP(G369,'SKU 对应关系'!A:E,4,0)</f>
        <v>BCRT1-100ML_TZ</v>
      </c>
      <c r="M369" s="94" t="str">
        <f>_xlfn.IFNA(VLOOKUP(G369,'SKU 对应关系'!A:B,2,0),"")</f>
        <v>BCRT1-100ML_TZ 巴卡拉酒店100mL香氛油（天竺） 销售包装</v>
      </c>
      <c r="N369" s="95" t="str">
        <f>_xlfn.IFNA(VLOOKUP(G369,'SKU 对应关系'!$A:$D,3,0),"")</f>
        <v>Oil-TZ</v>
      </c>
      <c r="O369" s="96">
        <v>3</v>
      </c>
      <c r="P369" s="580">
        <v>0.13750000000000001</v>
      </c>
      <c r="Q369" s="96" t="s">
        <v>3264</v>
      </c>
      <c r="R369" s="91">
        <v>1030</v>
      </c>
      <c r="S369" s="95"/>
      <c r="T369" s="98">
        <v>19.285714285714285</v>
      </c>
      <c r="U369" s="99">
        <f t="shared" si="47"/>
        <v>160.91071428571428</v>
      </c>
      <c r="V369" s="100">
        <f t="shared" si="43"/>
        <v>0.83807663690476186</v>
      </c>
      <c r="W369" s="101">
        <f t="shared" si="48"/>
        <v>0.12508606520966595</v>
      </c>
      <c r="X369" s="95"/>
      <c r="Y369" s="95"/>
      <c r="Z369" s="102"/>
      <c r="AA369" s="103">
        <v>46115</v>
      </c>
      <c r="AB369" s="103">
        <v>46137</v>
      </c>
      <c r="AC369" s="103"/>
      <c r="AD369" s="104">
        <f>IF(ISNA(VLOOKUP(D369,亚马逊入库配置费!B:F,5,0)),0,VLOOKUP(D369,亚马逊入库配置费!B:F,5,0))</f>
        <v>0.36000000000000004</v>
      </c>
      <c r="AE369" s="104">
        <f t="shared" si="46"/>
        <v>69.12</v>
      </c>
      <c r="AF369" s="103">
        <v>46151</v>
      </c>
      <c r="AG369" s="90">
        <f t="shared" si="44"/>
        <v>36</v>
      </c>
      <c r="AH369" s="103">
        <v>46181</v>
      </c>
      <c r="AI369" s="96"/>
      <c r="AJ369" s="96"/>
      <c r="AK369" s="96"/>
      <c r="AL369" s="92"/>
      <c r="AM369" s="91"/>
      <c r="AN369" s="91"/>
      <c r="AO369" s="96"/>
      <c r="AP369" s="105"/>
      <c r="AQ369" s="105"/>
      <c r="AR369" s="105"/>
      <c r="AS369" s="105"/>
    </row>
    <row r="370" spans="1:45" ht="12" customHeight="1" x14ac:dyDescent="0.25">
      <c r="A370" s="90">
        <v>369</v>
      </c>
      <c r="B370" s="91"/>
      <c r="C370" s="91" t="s">
        <v>856</v>
      </c>
      <c r="D370" s="92" t="s">
        <v>4338</v>
      </c>
      <c r="E370" s="91" t="s">
        <v>115</v>
      </c>
      <c r="F370" s="91" t="s">
        <v>0</v>
      </c>
      <c r="G370" s="56" t="s">
        <v>2863</v>
      </c>
      <c r="H370" s="91">
        <v>128</v>
      </c>
      <c r="I370" s="91" t="s">
        <v>1767</v>
      </c>
      <c r="J370" s="91" t="s">
        <v>8</v>
      </c>
      <c r="K370" s="92" t="s">
        <v>44</v>
      </c>
      <c r="L370" s="93" t="str">
        <f>VLOOKUP(G370,'SKU 对应关系'!A:E,4,0)</f>
        <v>W1-100ML_TZ</v>
      </c>
      <c r="M370" s="94" t="str">
        <f>_xlfn.IFNA(VLOOKUP(G370,'SKU 对应关系'!A:B,2,0),"")</f>
        <v>W1-100ML_TZ W酒店100mL香氛油（天竺） 销售包装</v>
      </c>
      <c r="N370" s="95" t="str">
        <f>_xlfn.IFNA(VLOOKUP(G370,'SKU 对应关系'!$A:$D,3,0),"")</f>
        <v>Oil-TZ</v>
      </c>
      <c r="O370" s="96">
        <v>2</v>
      </c>
      <c r="P370" s="580">
        <v>9.1666666666666674E-2</v>
      </c>
      <c r="Q370" s="96" t="s">
        <v>3264</v>
      </c>
      <c r="R370" s="91">
        <v>1030</v>
      </c>
      <c r="S370" s="95"/>
      <c r="T370" s="98">
        <v>12.857142857142858</v>
      </c>
      <c r="U370" s="99">
        <f t="shared" si="47"/>
        <v>107.27380952380953</v>
      </c>
      <c r="V370" s="100">
        <f t="shared" si="43"/>
        <v>0.83807663690476197</v>
      </c>
      <c r="W370" s="101">
        <f t="shared" si="48"/>
        <v>0.12508606520966598</v>
      </c>
      <c r="X370" s="95"/>
      <c r="Y370" s="95"/>
      <c r="Z370" s="102"/>
      <c r="AA370" s="103">
        <v>46115</v>
      </c>
      <c r="AB370" s="103">
        <v>46137</v>
      </c>
      <c r="AC370" s="103"/>
      <c r="AD370" s="104">
        <f>IF(ISNA(VLOOKUP(D370,亚马逊入库配置费!B:F,5,0)),0,VLOOKUP(D370,亚马逊入库配置费!B:F,5,0))</f>
        <v>0.36000000000000004</v>
      </c>
      <c r="AE370" s="104">
        <f t="shared" si="46"/>
        <v>46.080000000000005</v>
      </c>
      <c r="AF370" s="103">
        <v>46151</v>
      </c>
      <c r="AG370" s="90">
        <f t="shared" si="44"/>
        <v>36</v>
      </c>
      <c r="AH370" s="103">
        <v>46181</v>
      </c>
      <c r="AI370" s="96"/>
      <c r="AJ370" s="96"/>
      <c r="AK370" s="96"/>
      <c r="AL370" s="92"/>
      <c r="AM370" s="91"/>
      <c r="AN370" s="91"/>
      <c r="AO370" s="96"/>
      <c r="AP370" s="105"/>
      <c r="AQ370" s="105"/>
      <c r="AR370" s="105"/>
      <c r="AS370" s="105"/>
    </row>
    <row r="371" spans="1:45" ht="12" customHeight="1" x14ac:dyDescent="0.25">
      <c r="A371" s="90">
        <v>370</v>
      </c>
      <c r="B371" s="91"/>
      <c r="C371" s="91" t="s">
        <v>856</v>
      </c>
      <c r="D371" s="92" t="s">
        <v>4338</v>
      </c>
      <c r="E371" s="91" t="s">
        <v>115</v>
      </c>
      <c r="F371" s="91" t="s">
        <v>0</v>
      </c>
      <c r="G371" s="56" t="s">
        <v>2295</v>
      </c>
      <c r="H371" s="91">
        <v>448</v>
      </c>
      <c r="I371" s="91" t="s">
        <v>1767</v>
      </c>
      <c r="J371" s="91" t="s">
        <v>8</v>
      </c>
      <c r="K371" s="92" t="s">
        <v>44</v>
      </c>
      <c r="L371" s="93" t="str">
        <f>VLOOKUP(G371,'SKU 对应关系'!A:E,4,0)</f>
        <v>HILTON1-100ML_TZ</v>
      </c>
      <c r="M371" s="94" t="str">
        <f>_xlfn.IFNA(VLOOKUP(G371,'SKU 对应关系'!A:B,2,0),"")</f>
        <v>HILTON1-100ML_TZ 希尔顿酒店100mL香氛油（天竺） 销售包装</v>
      </c>
      <c r="N371" s="95" t="str">
        <f>_xlfn.IFNA(VLOOKUP(G371,'SKU 对应关系'!$A:$D,3,0),"")</f>
        <v>Oil-TZ</v>
      </c>
      <c r="O371" s="96">
        <v>7</v>
      </c>
      <c r="P371" s="580">
        <v>0.32083333333333336</v>
      </c>
      <c r="Q371" s="96" t="s">
        <v>3264</v>
      </c>
      <c r="R371" s="91">
        <v>1030</v>
      </c>
      <c r="S371" s="95"/>
      <c r="T371" s="98">
        <v>45</v>
      </c>
      <c r="U371" s="99">
        <f t="shared" si="47"/>
        <v>375.45833333333337</v>
      </c>
      <c r="V371" s="100">
        <f t="shared" si="43"/>
        <v>0.83807663690476197</v>
      </c>
      <c r="W371" s="101">
        <f t="shared" si="48"/>
        <v>0.12508606520966598</v>
      </c>
      <c r="X371" s="95"/>
      <c r="Y371" s="95"/>
      <c r="Z371" s="102"/>
      <c r="AA371" s="103">
        <v>46115</v>
      </c>
      <c r="AB371" s="103">
        <v>46137</v>
      </c>
      <c r="AC371" s="103"/>
      <c r="AD371" s="104">
        <f>IF(ISNA(VLOOKUP(D371,亚马逊入库配置费!B:F,5,0)),0,VLOOKUP(D371,亚马逊入库配置费!B:F,5,0))</f>
        <v>0.36000000000000004</v>
      </c>
      <c r="AE371" s="104">
        <f t="shared" si="46"/>
        <v>161.28000000000003</v>
      </c>
      <c r="AF371" s="103">
        <v>46151</v>
      </c>
      <c r="AG371" s="90">
        <f t="shared" si="44"/>
        <v>36</v>
      </c>
      <c r="AH371" s="103">
        <v>46181</v>
      </c>
      <c r="AI371" s="96"/>
      <c r="AJ371" s="96"/>
      <c r="AK371" s="96"/>
      <c r="AL371" s="92"/>
      <c r="AM371" s="91"/>
      <c r="AN371" s="91"/>
      <c r="AO371" s="96"/>
      <c r="AP371" s="105"/>
      <c r="AQ371" s="105"/>
      <c r="AR371" s="105"/>
      <c r="AS371" s="105"/>
    </row>
    <row r="372" spans="1:45" ht="12" customHeight="1" x14ac:dyDescent="0.25">
      <c r="A372" s="90">
        <v>371</v>
      </c>
      <c r="B372" s="91"/>
      <c r="C372" s="91" t="s">
        <v>851</v>
      </c>
      <c r="D372" s="92" t="s">
        <v>4339</v>
      </c>
      <c r="E372" s="91" t="s">
        <v>1971</v>
      </c>
      <c r="F372" s="91" t="s">
        <v>87</v>
      </c>
      <c r="G372" s="56" t="s">
        <v>671</v>
      </c>
      <c r="H372" s="91">
        <v>24</v>
      </c>
      <c r="I372" s="91" t="s">
        <v>117</v>
      </c>
      <c r="J372" s="91" t="s">
        <v>90</v>
      </c>
      <c r="K372" s="92" t="s">
        <v>4340</v>
      </c>
      <c r="L372" s="93" t="str">
        <f>VLOOKUP(G372,'SKU 对应关系'!A:E,4,0)</f>
        <v>H2-G</v>
      </c>
      <c r="M372" s="94" t="str">
        <f>_xlfn.IFNA(VLOOKUP(G372,'SKU 对应关系'!A:B,2,0),"")</f>
        <v>H2-G 电子指纹球形把手锁-灰色</v>
      </c>
      <c r="N372" s="95" t="str">
        <f>_xlfn.IFNA(VLOOKUP(G372,'SKU 对应关系'!$A:$D,3,0),"")</f>
        <v>H2</v>
      </c>
      <c r="O372" s="96">
        <v>2</v>
      </c>
      <c r="P372" s="580">
        <v>27.111111111111111</v>
      </c>
      <c r="Q372" s="96" t="s">
        <v>16</v>
      </c>
      <c r="R372" s="91">
        <v>5</v>
      </c>
      <c r="S372" s="95">
        <v>350</v>
      </c>
      <c r="T372" s="98">
        <v>15.555555555555555</v>
      </c>
      <c r="U372" s="99">
        <f t="shared" si="47"/>
        <v>151.11111111111109</v>
      </c>
      <c r="V372" s="100">
        <f t="shared" si="43"/>
        <v>6.2962962962962949</v>
      </c>
      <c r="W372" s="101">
        <f t="shared" si="48"/>
        <v>0.93974571586511857</v>
      </c>
      <c r="X372" s="95"/>
      <c r="Y372" s="95"/>
      <c r="Z372" s="102"/>
      <c r="AA372" s="103">
        <v>46115</v>
      </c>
      <c r="AB372" s="103">
        <v>46140</v>
      </c>
      <c r="AC372" s="103"/>
      <c r="AD372" s="104">
        <f>IF(ISNA(VLOOKUP(D372,亚马逊入库配置费!B:F,5,0)),0,VLOOKUP(D372,亚马逊入库配置费!B:F,5,0))</f>
        <v>0</v>
      </c>
      <c r="AE372" s="104">
        <f t="shared" si="46"/>
        <v>0</v>
      </c>
      <c r="AF372" s="103">
        <v>46154</v>
      </c>
      <c r="AG372" s="90">
        <f t="shared" si="44"/>
        <v>39</v>
      </c>
      <c r="AH372" s="103">
        <v>46181</v>
      </c>
      <c r="AI372" s="96"/>
      <c r="AJ372" s="96"/>
      <c r="AK372" s="96"/>
      <c r="AL372" s="92"/>
      <c r="AM372" s="91"/>
      <c r="AN372" s="91"/>
      <c r="AO372" s="96"/>
      <c r="AP372" s="105"/>
      <c r="AQ372" s="105"/>
      <c r="AR372" s="105"/>
      <c r="AS372" s="105"/>
    </row>
    <row r="373" spans="1:45" ht="12" customHeight="1" x14ac:dyDescent="0.25">
      <c r="A373" s="90">
        <v>372</v>
      </c>
      <c r="B373" s="91"/>
      <c r="C373" s="91" t="s">
        <v>851</v>
      </c>
      <c r="D373" s="92" t="s">
        <v>4339</v>
      </c>
      <c r="E373" s="91" t="s">
        <v>1971</v>
      </c>
      <c r="F373" s="91" t="s">
        <v>87</v>
      </c>
      <c r="G373" s="56" t="s">
        <v>300</v>
      </c>
      <c r="H373" s="91">
        <v>168</v>
      </c>
      <c r="I373" s="91" t="s">
        <v>117</v>
      </c>
      <c r="J373" s="91" t="s">
        <v>90</v>
      </c>
      <c r="K373" s="92" t="s">
        <v>4340</v>
      </c>
      <c r="L373" s="93" t="str">
        <f>VLOOKUP(G373,'SKU 对应关系'!A:E,4,0)</f>
        <v>K1-B</v>
      </c>
      <c r="M373" s="94" t="str">
        <f>_xlfn.IFNA(VLOOKUP(G373,'SKU 对应关系'!A:B,2,0),"")</f>
        <v>K1-B 电子球形把手锁-黑色</v>
      </c>
      <c r="N373" s="95" t="str">
        <f>_xlfn.IFNA(VLOOKUP(G373,'SKU 对应关系'!$A:$D,3,0),"")</f>
        <v>K1</v>
      </c>
      <c r="O373" s="96">
        <v>14</v>
      </c>
      <c r="P373" s="580">
        <v>189.77777777777777</v>
      </c>
      <c r="Q373" s="96" t="s">
        <v>16</v>
      </c>
      <c r="R373" s="91">
        <v>5</v>
      </c>
      <c r="S373" s="106">
        <v>350</v>
      </c>
      <c r="T373" s="98">
        <v>108.88888888888889</v>
      </c>
      <c r="U373" s="99">
        <f t="shared" si="47"/>
        <v>1057.7777777777778</v>
      </c>
      <c r="V373" s="100">
        <f t="shared" si="43"/>
        <v>6.2962962962962967</v>
      </c>
      <c r="W373" s="101">
        <f t="shared" si="48"/>
        <v>0.9397457158651189</v>
      </c>
      <c r="X373" s="95"/>
      <c r="Y373" s="95"/>
      <c r="Z373" s="102"/>
      <c r="AA373" s="103">
        <v>46115</v>
      </c>
      <c r="AB373" s="103">
        <v>46140</v>
      </c>
      <c r="AC373" s="103"/>
      <c r="AD373" s="104">
        <f>IF(ISNA(VLOOKUP(D373,亚马逊入库配置费!B:F,5,0)),0,VLOOKUP(D373,亚马逊入库配置费!B:F,5,0))</f>
        <v>0</v>
      </c>
      <c r="AE373" s="104">
        <f t="shared" si="46"/>
        <v>0</v>
      </c>
      <c r="AF373" s="103">
        <v>46154</v>
      </c>
      <c r="AG373" s="90">
        <f t="shared" si="44"/>
        <v>39</v>
      </c>
      <c r="AH373" s="103">
        <v>46181</v>
      </c>
      <c r="AI373" s="96"/>
      <c r="AJ373" s="96"/>
      <c r="AK373" s="96"/>
      <c r="AL373" s="92"/>
      <c r="AM373" s="91"/>
      <c r="AN373" s="91"/>
      <c r="AO373" s="96"/>
      <c r="AP373" s="105"/>
      <c r="AQ373" s="105"/>
      <c r="AR373" s="105"/>
      <c r="AS373" s="105"/>
    </row>
    <row r="374" spans="1:45" ht="12" customHeight="1" x14ac:dyDescent="0.25">
      <c r="A374" s="90">
        <v>373</v>
      </c>
      <c r="B374" s="91"/>
      <c r="C374" s="91" t="s">
        <v>851</v>
      </c>
      <c r="D374" s="92" t="s">
        <v>4339</v>
      </c>
      <c r="E374" s="91" t="s">
        <v>1971</v>
      </c>
      <c r="F374" s="91" t="s">
        <v>87</v>
      </c>
      <c r="G374" s="56" t="s">
        <v>564</v>
      </c>
      <c r="H374" s="91">
        <v>348</v>
      </c>
      <c r="I374" s="91" t="s">
        <v>117</v>
      </c>
      <c r="J374" s="91" t="s">
        <v>90</v>
      </c>
      <c r="K374" s="92" t="s">
        <v>4340</v>
      </c>
      <c r="L374" s="93" t="str">
        <f>VLOOKUP(G374,'SKU 对应关系'!A:E,4,0)</f>
        <v>K1-S+S</v>
      </c>
      <c r="M374" s="94" t="str">
        <f>_xlfn.IFNA(VLOOKUP(G374,'SKU 对应关系'!A:B,2,0),"")</f>
        <v>K1-S+S 电子球形把手锁-镍镍</v>
      </c>
      <c r="N374" s="95" t="str">
        <f>_xlfn.IFNA(VLOOKUP(G374,'SKU 对应关系'!$A:$D,3,0),"")</f>
        <v>K1</v>
      </c>
      <c r="O374" s="96">
        <v>29</v>
      </c>
      <c r="P374" s="580">
        <v>393.11111111111109</v>
      </c>
      <c r="Q374" s="96" t="s">
        <v>16</v>
      </c>
      <c r="R374" s="91">
        <v>5</v>
      </c>
      <c r="S374" s="95"/>
      <c r="T374" s="98">
        <v>225.55555555555554</v>
      </c>
      <c r="U374" s="99">
        <f t="shared" si="47"/>
        <v>2191.1111111111109</v>
      </c>
      <c r="V374" s="100">
        <f t="shared" si="43"/>
        <v>6.2962962962962958</v>
      </c>
      <c r="W374" s="101">
        <f t="shared" si="48"/>
        <v>0.93974571586511879</v>
      </c>
      <c r="X374" s="95"/>
      <c r="Y374" s="95"/>
      <c r="Z374" s="102"/>
      <c r="AA374" s="103">
        <v>46115</v>
      </c>
      <c r="AB374" s="103">
        <v>46140</v>
      </c>
      <c r="AC374" s="103"/>
      <c r="AD374" s="104">
        <f>IF(ISNA(VLOOKUP(D374,亚马逊入库配置费!B:F,5,0)),0,VLOOKUP(D374,亚马逊入库配置费!B:F,5,0))</f>
        <v>0</v>
      </c>
      <c r="AE374" s="104">
        <f t="shared" si="46"/>
        <v>0</v>
      </c>
      <c r="AF374" s="103">
        <v>46154</v>
      </c>
      <c r="AG374" s="90">
        <f t="shared" si="44"/>
        <v>39</v>
      </c>
      <c r="AH374" s="103">
        <v>46181</v>
      </c>
      <c r="AI374" s="96"/>
      <c r="AJ374" s="96"/>
      <c r="AK374" s="96"/>
      <c r="AL374" s="92"/>
      <c r="AM374" s="91"/>
      <c r="AN374" s="91"/>
      <c r="AO374" s="96"/>
      <c r="AP374" s="105"/>
      <c r="AQ374" s="105"/>
      <c r="AR374" s="105"/>
      <c r="AS374" s="105"/>
    </row>
    <row r="375" spans="1:45" ht="12" customHeight="1" x14ac:dyDescent="0.25">
      <c r="A375" s="90">
        <v>374</v>
      </c>
      <c r="B375" s="91"/>
      <c r="C375" s="91" t="s">
        <v>4385</v>
      </c>
      <c r="D375" s="92" t="s">
        <v>4386</v>
      </c>
      <c r="E375" s="91" t="s">
        <v>97</v>
      </c>
      <c r="F375" s="91" t="s">
        <v>0</v>
      </c>
      <c r="G375" s="56" t="s">
        <v>228</v>
      </c>
      <c r="H375" s="91">
        <v>300</v>
      </c>
      <c r="I375" s="91" t="s">
        <v>207</v>
      </c>
      <c r="J375" s="91" t="s">
        <v>8</v>
      </c>
      <c r="K375" s="92" t="s">
        <v>9</v>
      </c>
      <c r="L375" s="93" t="str">
        <f>VLOOKUP(G375,'SKU 对应关系'!A:E,4,0)</f>
        <v>AN6-2PC-BB</v>
      </c>
      <c r="M375" s="94" t="str">
        <f>_xlfn.IFNA(VLOOKUP(G375,'SKU 对应关系'!A:B,2,0),"")</f>
        <v>AN6-2PC-BB 便携式扩香仪套装 黑+黑</v>
      </c>
      <c r="N375" s="95" t="str">
        <f>_xlfn.IFNA(VLOOKUP(G375,'SKU 对应关系'!$A:$D,3,0),"")</f>
        <v>AN6</v>
      </c>
      <c r="O375" s="96">
        <v>15</v>
      </c>
      <c r="P375" s="580">
        <v>203.60847457627119</v>
      </c>
      <c r="Q375" s="96" t="s">
        <v>16</v>
      </c>
      <c r="R375" s="91">
        <v>4</v>
      </c>
      <c r="S375" s="95">
        <v>200</v>
      </c>
      <c r="T375" s="98">
        <v>26.086956521739129</v>
      </c>
      <c r="U375" s="99">
        <f t="shared" ref="U375:U413" si="49">R375*P375+T375</f>
        <v>840.52085482682389</v>
      </c>
      <c r="V375" s="100">
        <f t="shared" si="43"/>
        <v>2.8017361827560796</v>
      </c>
      <c r="W375" s="101">
        <f t="shared" ref="W375:W413" si="50">V375/6.7</f>
        <v>0.41816957951583278</v>
      </c>
      <c r="X375" s="95"/>
      <c r="Y375" s="95"/>
      <c r="Z375" s="102"/>
      <c r="AA375" s="103">
        <v>46123</v>
      </c>
      <c r="AB375" s="103">
        <v>46147</v>
      </c>
      <c r="AC375" s="103"/>
      <c r="AD375" s="104">
        <f>IF(ISNA(VLOOKUP(D375,亚马逊入库配置费!B:F,5,0)),0,VLOOKUP(D375,亚马逊入库配置费!B:F,5,0))</f>
        <v>0.37165048543689322</v>
      </c>
      <c r="AE375" s="104">
        <f t="shared" ref="AE375:AE438" si="51">AD375*H375</f>
        <v>111.49514563106797</v>
      </c>
      <c r="AF375" s="103">
        <v>46154</v>
      </c>
      <c r="AG375" s="90">
        <f t="shared" si="44"/>
        <v>31</v>
      </c>
      <c r="AH375" s="103"/>
      <c r="AI375" s="96"/>
      <c r="AJ375" s="96"/>
      <c r="AK375" s="96"/>
      <c r="AL375" s="92"/>
      <c r="AM375" s="91"/>
      <c r="AN375" s="91"/>
      <c r="AO375" s="96"/>
      <c r="AP375" s="105"/>
      <c r="AQ375" s="105"/>
      <c r="AR375" s="105"/>
      <c r="AS375" s="105"/>
    </row>
    <row r="376" spans="1:45" ht="12" customHeight="1" x14ac:dyDescent="0.25">
      <c r="A376" s="90">
        <v>375</v>
      </c>
      <c r="B376" s="91"/>
      <c r="C376" s="91" t="s">
        <v>4385</v>
      </c>
      <c r="D376" s="92" t="s">
        <v>4386</v>
      </c>
      <c r="E376" s="91" t="s">
        <v>97</v>
      </c>
      <c r="F376" s="91" t="s">
        <v>0</v>
      </c>
      <c r="G376" s="56" t="s">
        <v>163</v>
      </c>
      <c r="H376" s="91">
        <v>1200</v>
      </c>
      <c r="I376" s="91" t="s">
        <v>207</v>
      </c>
      <c r="J376" s="91" t="s">
        <v>8</v>
      </c>
      <c r="K376" s="92" t="s">
        <v>9</v>
      </c>
      <c r="L376" s="93" t="str">
        <f>VLOOKUP(G376,'SKU 对应关系'!A:E,4,0)</f>
        <v>AN6-B</v>
      </c>
      <c r="M376" s="94" t="str">
        <f>_xlfn.IFNA(VLOOKUP(G376,'SKU 对应关系'!A:B,2,0),"")</f>
        <v>AN6-B 便携式扩香仪 黑色</v>
      </c>
      <c r="N376" s="95" t="str">
        <f>_xlfn.IFNA(VLOOKUP(G376,'SKU 对应关系'!$A:$D,3,0),"")</f>
        <v>AN6</v>
      </c>
      <c r="O376" s="96">
        <v>30</v>
      </c>
      <c r="P376" s="580">
        <v>407.21694915254238</v>
      </c>
      <c r="Q376" s="96" t="s">
        <v>16</v>
      </c>
      <c r="R376" s="91">
        <v>4</v>
      </c>
      <c r="S376" s="106">
        <v>200</v>
      </c>
      <c r="T376" s="98">
        <v>52.173913043478258</v>
      </c>
      <c r="U376" s="99">
        <f t="shared" si="49"/>
        <v>1681.0417096536478</v>
      </c>
      <c r="V376" s="100">
        <f t="shared" si="43"/>
        <v>1.4008680913780398</v>
      </c>
      <c r="W376" s="101">
        <f t="shared" si="50"/>
        <v>0.20908478975791639</v>
      </c>
      <c r="X376" s="95"/>
      <c r="Y376" s="95"/>
      <c r="Z376" s="102"/>
      <c r="AA376" s="103">
        <v>46123</v>
      </c>
      <c r="AB376" s="103">
        <v>46147</v>
      </c>
      <c r="AC376" s="103"/>
      <c r="AD376" s="104">
        <f>IF(ISNA(VLOOKUP(D376,亚马逊入库配置费!B:F,5,0)),0,VLOOKUP(D376,亚马逊入库配置费!B:F,5,0))</f>
        <v>0.37165048543689322</v>
      </c>
      <c r="AE376" s="104">
        <f t="shared" si="51"/>
        <v>445.98058252427188</v>
      </c>
      <c r="AF376" s="103">
        <v>46154</v>
      </c>
      <c r="AG376" s="90">
        <f t="shared" si="44"/>
        <v>31</v>
      </c>
      <c r="AH376" s="103"/>
      <c r="AI376" s="96"/>
      <c r="AJ376" s="96"/>
      <c r="AK376" s="96"/>
      <c r="AL376" s="92"/>
      <c r="AM376" s="91"/>
      <c r="AN376" s="91"/>
      <c r="AO376" s="96"/>
      <c r="AP376" s="105"/>
      <c r="AQ376" s="105"/>
      <c r="AR376" s="105"/>
      <c r="AS376" s="105"/>
    </row>
    <row r="377" spans="1:45" ht="12" customHeight="1" x14ac:dyDescent="0.25">
      <c r="A377" s="90">
        <v>376</v>
      </c>
      <c r="B377" s="91"/>
      <c r="C377" s="91" t="s">
        <v>4385</v>
      </c>
      <c r="D377" s="92" t="s">
        <v>4386</v>
      </c>
      <c r="E377" s="91" t="s">
        <v>97</v>
      </c>
      <c r="F377" s="91" t="s">
        <v>0</v>
      </c>
      <c r="G377" s="56" t="s">
        <v>165</v>
      </c>
      <c r="H377" s="91">
        <v>240</v>
      </c>
      <c r="I377" s="91" t="s">
        <v>207</v>
      </c>
      <c r="J377" s="91" t="s">
        <v>8</v>
      </c>
      <c r="K377" s="92" t="s">
        <v>9</v>
      </c>
      <c r="L377" s="93" t="str">
        <f>VLOOKUP(G377,'SKU 对应关系'!A:E,4,0)</f>
        <v>AN6-W</v>
      </c>
      <c r="M377" s="94" t="str">
        <f>_xlfn.IFNA(VLOOKUP(G377,'SKU 对应关系'!A:B,2,0),"")</f>
        <v>AN6-W 便携式扩香仪 白色</v>
      </c>
      <c r="N377" s="95" t="str">
        <f>_xlfn.IFNA(VLOOKUP(G377,'SKU 对应关系'!$A:$D,3,0),"")</f>
        <v>AN6</v>
      </c>
      <c r="O377" s="96">
        <v>6</v>
      </c>
      <c r="P377" s="580">
        <v>81.44338983050848</v>
      </c>
      <c r="Q377" s="96" t="s">
        <v>16</v>
      </c>
      <c r="R377" s="91">
        <v>4</v>
      </c>
      <c r="S377" s="95"/>
      <c r="T377" s="98">
        <v>10.434782608695652</v>
      </c>
      <c r="U377" s="99">
        <f t="shared" si="49"/>
        <v>336.20834193072955</v>
      </c>
      <c r="V377" s="100">
        <f t="shared" si="43"/>
        <v>1.4008680913780398</v>
      </c>
      <c r="W377" s="101">
        <f t="shared" si="50"/>
        <v>0.20908478975791639</v>
      </c>
      <c r="X377" s="95"/>
      <c r="Y377" s="95"/>
      <c r="Z377" s="102"/>
      <c r="AA377" s="103">
        <v>46123</v>
      </c>
      <c r="AB377" s="103">
        <v>46147</v>
      </c>
      <c r="AC377" s="103"/>
      <c r="AD377" s="104">
        <f>IF(ISNA(VLOOKUP(D377,亚马逊入库配置费!B:F,5,0)),0,VLOOKUP(D377,亚马逊入库配置费!B:F,5,0))</f>
        <v>0.37165048543689322</v>
      </c>
      <c r="AE377" s="104">
        <f t="shared" si="51"/>
        <v>89.196116504854373</v>
      </c>
      <c r="AF377" s="103">
        <v>46154</v>
      </c>
      <c r="AG377" s="90">
        <f t="shared" si="44"/>
        <v>31</v>
      </c>
      <c r="AH377" s="103"/>
      <c r="AI377" s="96"/>
      <c r="AJ377" s="96"/>
      <c r="AK377" s="96"/>
      <c r="AL377" s="92"/>
      <c r="AM377" s="91"/>
      <c r="AN377" s="91"/>
      <c r="AO377" s="96"/>
      <c r="AP377" s="105"/>
      <c r="AQ377" s="105"/>
      <c r="AR377" s="105"/>
      <c r="AS377" s="105"/>
    </row>
    <row r="378" spans="1:45" ht="12" customHeight="1" x14ac:dyDescent="0.25">
      <c r="A378" s="90">
        <v>377</v>
      </c>
      <c r="B378" s="91"/>
      <c r="C378" s="91" t="s">
        <v>4385</v>
      </c>
      <c r="D378" s="92" t="s">
        <v>4386</v>
      </c>
      <c r="E378" s="91" t="s">
        <v>97</v>
      </c>
      <c r="F378" s="91" t="s">
        <v>0</v>
      </c>
      <c r="G378" s="56" t="s">
        <v>1213</v>
      </c>
      <c r="H378" s="91">
        <v>320</v>
      </c>
      <c r="I378" s="91" t="s">
        <v>207</v>
      </c>
      <c r="J378" s="91" t="s">
        <v>8</v>
      </c>
      <c r="K378" s="92" t="s">
        <v>9</v>
      </c>
      <c r="L378" s="93" t="str">
        <f>VLOOKUP(G378,'SKU 对应关系'!A:E,4,0)</f>
        <v>AN8-B</v>
      </c>
      <c r="M378" s="94" t="str">
        <f>_xlfn.IFNA(VLOOKUP(G378,'SKU 对应关系'!A:B,2,0),"")</f>
        <v>AN8-B 便携式扩香仪 黑色</v>
      </c>
      <c r="N378" s="95" t="str">
        <f>_xlfn.IFNA(VLOOKUP(G378,'SKU 对应关系'!$A:$D,3,0),"")</f>
        <v>AN8</v>
      </c>
      <c r="O378" s="96">
        <v>8</v>
      </c>
      <c r="P378" s="580">
        <v>108.59118644067797</v>
      </c>
      <c r="Q378" s="96" t="s">
        <v>16</v>
      </c>
      <c r="R378" s="91">
        <v>4</v>
      </c>
      <c r="S378" s="95"/>
      <c r="T378" s="98">
        <v>13.913043478260869</v>
      </c>
      <c r="U378" s="99">
        <f t="shared" si="49"/>
        <v>448.27778924097277</v>
      </c>
      <c r="V378" s="100">
        <f t="shared" si="43"/>
        <v>1.4008680913780398</v>
      </c>
      <c r="W378" s="101">
        <f t="shared" si="50"/>
        <v>0.20908478975791639</v>
      </c>
      <c r="X378" s="95"/>
      <c r="Y378" s="95"/>
      <c r="Z378" s="102"/>
      <c r="AA378" s="103">
        <v>46123</v>
      </c>
      <c r="AB378" s="103">
        <v>46147</v>
      </c>
      <c r="AC378" s="103"/>
      <c r="AD378" s="104">
        <f>IF(ISNA(VLOOKUP(D378,亚马逊入库配置费!B:F,5,0)),0,VLOOKUP(D378,亚马逊入库配置费!B:F,5,0))</f>
        <v>0.37165048543689322</v>
      </c>
      <c r="AE378" s="104">
        <f t="shared" si="51"/>
        <v>118.92815533980583</v>
      </c>
      <c r="AF378" s="103">
        <v>46154</v>
      </c>
      <c r="AG378" s="90">
        <f t="shared" si="44"/>
        <v>31</v>
      </c>
      <c r="AH378" s="103"/>
      <c r="AI378" s="96"/>
      <c r="AJ378" s="96"/>
      <c r="AK378" s="96"/>
      <c r="AL378" s="92"/>
      <c r="AM378" s="91"/>
      <c r="AN378" s="91"/>
      <c r="AO378" s="96"/>
      <c r="AP378" s="105"/>
      <c r="AQ378" s="105"/>
      <c r="AR378" s="105"/>
      <c r="AS378" s="105"/>
    </row>
    <row r="379" spans="1:45" ht="12" customHeight="1" x14ac:dyDescent="0.25">
      <c r="A379" s="90">
        <v>378</v>
      </c>
      <c r="B379" s="91"/>
      <c r="C379" s="91" t="s">
        <v>861</v>
      </c>
      <c r="D379" s="92" t="s">
        <v>4387</v>
      </c>
      <c r="E379" s="91" t="s">
        <v>4202</v>
      </c>
      <c r="F379" s="91" t="s">
        <v>0</v>
      </c>
      <c r="G379" s="56" t="s">
        <v>2938</v>
      </c>
      <c r="H379" s="91">
        <v>288</v>
      </c>
      <c r="I379" s="91" t="s">
        <v>207</v>
      </c>
      <c r="J379" s="91" t="s">
        <v>8</v>
      </c>
      <c r="K379" s="92" t="s">
        <v>10</v>
      </c>
      <c r="L379" s="93" t="str">
        <f>VLOOKUP(G379,'SKU 对应关系'!A:E,4,0)</f>
        <v>RDXKIT-B_US_2X100K04</v>
      </c>
      <c r="M379" s="94" t="str">
        <f>_xlfn.IFNA(VLOOKUP(G379,'SKU 对应关系'!A:B,2,0),"")</f>
        <v>RDXKIT-B_US_2X100K04 RDX黑色机器+2X100mL酒店香氛油（天竺） 机油套装</v>
      </c>
      <c r="N379" s="95" t="str">
        <f>_xlfn.IFNA(VLOOKUP(G379,'SKU 对应关系'!$A:$D,3,0),"")</f>
        <v>RDX</v>
      </c>
      <c r="O379" s="96">
        <v>32</v>
      </c>
      <c r="P379" s="580">
        <v>468</v>
      </c>
      <c r="Q379" s="96" t="s">
        <v>16</v>
      </c>
      <c r="R379" s="91">
        <v>4.8</v>
      </c>
      <c r="S379" s="95">
        <v>200</v>
      </c>
      <c r="T379" s="98">
        <v>130.61224489795919</v>
      </c>
      <c r="U379" s="99">
        <f t="shared" si="49"/>
        <v>2377.0122448979591</v>
      </c>
      <c r="V379" s="100">
        <f t="shared" si="43"/>
        <v>8.2535147392290256</v>
      </c>
      <c r="W379" s="101">
        <f t="shared" si="50"/>
        <v>1.2318678715267202</v>
      </c>
      <c r="X379" s="95"/>
      <c r="Y379" s="95"/>
      <c r="Z379" s="102"/>
      <c r="AA379" s="103">
        <v>46123</v>
      </c>
      <c r="AB379" s="103">
        <v>46147</v>
      </c>
      <c r="AC379" s="103"/>
      <c r="AD379" s="104">
        <f>IF(ISNA(VLOOKUP(D379,亚马逊入库配置费!B:F,5,0)),0,VLOOKUP(D379,亚马逊入库配置费!B:F,5,0))</f>
        <v>0.7</v>
      </c>
      <c r="AE379" s="104">
        <f t="shared" si="51"/>
        <v>201.6</v>
      </c>
      <c r="AF379" s="103">
        <v>46158</v>
      </c>
      <c r="AG379" s="90">
        <f t="shared" si="44"/>
        <v>35</v>
      </c>
      <c r="AH379" s="103"/>
      <c r="AI379" s="96"/>
      <c r="AJ379" s="96"/>
      <c r="AK379" s="96"/>
      <c r="AL379" s="92"/>
      <c r="AM379" s="91"/>
      <c r="AN379" s="91"/>
      <c r="AO379" s="96"/>
      <c r="AP379" s="105"/>
      <c r="AQ379" s="105"/>
      <c r="AR379" s="105"/>
      <c r="AS379" s="105"/>
    </row>
    <row r="380" spans="1:45" ht="12" customHeight="1" x14ac:dyDescent="0.25">
      <c r="A380" s="90">
        <v>379</v>
      </c>
      <c r="B380" s="91"/>
      <c r="C380" s="91" t="s">
        <v>4388</v>
      </c>
      <c r="D380" s="92" t="s">
        <v>4389</v>
      </c>
      <c r="E380" s="91" t="s">
        <v>97</v>
      </c>
      <c r="F380" s="91" t="s">
        <v>0</v>
      </c>
      <c r="G380" s="56" t="s">
        <v>4291</v>
      </c>
      <c r="H380" s="91">
        <v>3300</v>
      </c>
      <c r="I380" s="91" t="s">
        <v>89</v>
      </c>
      <c r="J380" s="91" t="s">
        <v>8</v>
      </c>
      <c r="K380" s="92" t="s">
        <v>15</v>
      </c>
      <c r="L380" s="93" t="str">
        <f>VLOOKUP(G380,'SKU 对应关系'!A:E,4,0)</f>
        <v>AN8KIT-B_4X10K05_TZ</v>
      </c>
      <c r="M380" s="94" t="str">
        <f>_xlfn.IFNA(VLOOKUP(G380,'SKU 对应关系'!A:B,2,0),"")</f>
        <v>AN8KIT-B_4X10K05_TZ AN8黑色机器+4x10mL（天竺）酒店香氛油 机油套装</v>
      </c>
      <c r="N380" s="95" t="str">
        <f>_xlfn.IFNA(VLOOKUP(G380,'SKU 对应关系'!$A:$D,3,0),"")</f>
        <v>AN8</v>
      </c>
      <c r="O380" s="96">
        <v>110</v>
      </c>
      <c r="P380" s="580">
        <v>1741.219512195122</v>
      </c>
      <c r="Q380" s="96" t="s">
        <v>16</v>
      </c>
      <c r="R380" s="91">
        <v>4.0999999999999996</v>
      </c>
      <c r="S380" s="95">
        <v>200</v>
      </c>
      <c r="T380" s="98">
        <v>77.738515901060069</v>
      </c>
      <c r="U380" s="99">
        <f t="shared" si="49"/>
        <v>7216.7385159010591</v>
      </c>
      <c r="V380" s="100">
        <f t="shared" si="43"/>
        <v>2.1868904593639571</v>
      </c>
      <c r="W380" s="101">
        <f t="shared" si="50"/>
        <v>0.32640156109909807</v>
      </c>
      <c r="X380" s="95"/>
      <c r="Y380" s="95"/>
      <c r="Z380" s="102"/>
      <c r="AA380" s="103">
        <v>46122</v>
      </c>
      <c r="AB380" s="103">
        <v>46145</v>
      </c>
      <c r="AC380" s="103"/>
      <c r="AD380" s="104">
        <f>IF(ISNA(VLOOKUP(D380,亚马逊入库配置费!B:F,5,0)),0,VLOOKUP(D380,亚马逊入库配置费!B:F,5,0))</f>
        <v>0.44</v>
      </c>
      <c r="AE380" s="104">
        <f t="shared" si="51"/>
        <v>1452</v>
      </c>
      <c r="AF380" s="103">
        <v>46159</v>
      </c>
      <c r="AG380" s="90">
        <f t="shared" si="44"/>
        <v>37</v>
      </c>
      <c r="AH380" s="103"/>
      <c r="AI380" s="96"/>
      <c r="AJ380" s="96"/>
      <c r="AK380" s="96"/>
      <c r="AL380" s="92"/>
      <c r="AM380" s="91"/>
      <c r="AN380" s="91"/>
      <c r="AO380" s="96"/>
      <c r="AP380" s="105"/>
      <c r="AQ380" s="105"/>
      <c r="AR380" s="105"/>
      <c r="AS380" s="105"/>
    </row>
    <row r="381" spans="1:45" ht="12" customHeight="1" x14ac:dyDescent="0.25">
      <c r="A381" s="90">
        <v>380</v>
      </c>
      <c r="B381" s="91"/>
      <c r="C381" s="91" t="s">
        <v>4388</v>
      </c>
      <c r="D381" s="92" t="s">
        <v>4389</v>
      </c>
      <c r="E381" s="91" t="s">
        <v>97</v>
      </c>
      <c r="F381" s="91" t="s">
        <v>0</v>
      </c>
      <c r="G381" s="56" t="s">
        <v>4230</v>
      </c>
      <c r="H381" s="91">
        <v>300</v>
      </c>
      <c r="I381" s="91" t="s">
        <v>89</v>
      </c>
      <c r="J381" s="91" t="s">
        <v>8</v>
      </c>
      <c r="K381" s="92" t="s">
        <v>15</v>
      </c>
      <c r="L381" s="93" t="str">
        <f>VLOOKUP(G381,'SKU 对应关系'!A:E,4,0)</f>
        <v>AN8KIT-WH_4X10K05_TZ</v>
      </c>
      <c r="M381" s="94" t="str">
        <f>_xlfn.IFNA(VLOOKUP(G381,'SKU 对应关系'!A:B,2,0),"")</f>
        <v>AN8KIT-WH_4X10K05_TZ AN8白色机器+4x10mL（天竺）酒店香氛油 机油套装</v>
      </c>
      <c r="N381" s="95" t="str">
        <f>_xlfn.IFNA(VLOOKUP(G381,'SKU 对应关系'!$A:$D,3,0),"")</f>
        <v>AN8</v>
      </c>
      <c r="O381" s="96">
        <v>10</v>
      </c>
      <c r="P381" s="580">
        <v>158.29268292682929</v>
      </c>
      <c r="Q381" s="96" t="s">
        <v>16</v>
      </c>
      <c r="R381" s="91">
        <v>4.0999999999999996</v>
      </c>
      <c r="S381" s="106">
        <v>200</v>
      </c>
      <c r="T381" s="98">
        <v>7.0671378091872787</v>
      </c>
      <c r="U381" s="99">
        <f t="shared" si="49"/>
        <v>656.06713780918733</v>
      </c>
      <c r="V381" s="100">
        <f t="shared" si="43"/>
        <v>2.186890459363958</v>
      </c>
      <c r="W381" s="101">
        <f t="shared" si="50"/>
        <v>0.32640156109909818</v>
      </c>
      <c r="X381" s="95"/>
      <c r="Y381" s="95"/>
      <c r="Z381" s="102"/>
      <c r="AA381" s="103">
        <v>46122</v>
      </c>
      <c r="AB381" s="103">
        <v>46145</v>
      </c>
      <c r="AC381" s="103"/>
      <c r="AD381" s="104">
        <f>IF(ISNA(VLOOKUP(D381,亚马逊入库配置费!B:F,5,0)),0,VLOOKUP(D381,亚马逊入库配置费!B:F,5,0))</f>
        <v>0.44</v>
      </c>
      <c r="AE381" s="104">
        <f t="shared" si="51"/>
        <v>132</v>
      </c>
      <c r="AF381" s="103">
        <v>46159</v>
      </c>
      <c r="AG381" s="90">
        <f t="shared" si="44"/>
        <v>37</v>
      </c>
      <c r="AH381" s="103"/>
      <c r="AI381" s="96"/>
      <c r="AJ381" s="96"/>
      <c r="AK381" s="96"/>
      <c r="AL381" s="92"/>
      <c r="AM381" s="91"/>
      <c r="AN381" s="91"/>
      <c r="AO381" s="96"/>
      <c r="AP381" s="105"/>
      <c r="AQ381" s="105"/>
      <c r="AR381" s="105"/>
      <c r="AS381" s="105"/>
    </row>
    <row r="382" spans="1:45" ht="12" customHeight="1" x14ac:dyDescent="0.25">
      <c r="A382" s="90">
        <v>381</v>
      </c>
      <c r="B382" s="91"/>
      <c r="C382" s="91" t="s">
        <v>4388</v>
      </c>
      <c r="D382" s="92" t="s">
        <v>4389</v>
      </c>
      <c r="E382" s="91" t="s">
        <v>97</v>
      </c>
      <c r="F382" s="91" t="s">
        <v>0</v>
      </c>
      <c r="G382" s="56" t="s">
        <v>866</v>
      </c>
      <c r="H382" s="91">
        <v>90</v>
      </c>
      <c r="I382" s="91" t="s">
        <v>89</v>
      </c>
      <c r="J382" s="91" t="s">
        <v>8</v>
      </c>
      <c r="K382" s="92" t="s">
        <v>15</v>
      </c>
      <c r="L382" s="93" t="str">
        <f>VLOOKUP(G382,'SKU 对应关系'!A:E,4,0)</f>
        <v>ANXKIT-GD_RZ30ml</v>
      </c>
      <c r="M382" s="94" t="str">
        <f>_xlfn.IFNA(VLOOKUP(G382,'SKU 对应关系'!A:B,2,0),"")</f>
        <v>ANXKIT-GD_RZ30ml ANX金色机器+30mL丽思香氛油 机油套装</v>
      </c>
      <c r="N382" s="95" t="str">
        <f>_xlfn.IFNA(VLOOKUP(G382,'SKU 对应关系'!$A:$D,3,0),"")</f>
        <v>ANX</v>
      </c>
      <c r="O382" s="96">
        <v>3</v>
      </c>
      <c r="P382" s="580">
        <v>47.487804878048784</v>
      </c>
      <c r="Q382" s="96" t="s">
        <v>16</v>
      </c>
      <c r="R382" s="91">
        <v>4.0999999999999996</v>
      </c>
      <c r="S382" s="95"/>
      <c r="T382" s="98">
        <v>2.1201413427561837</v>
      </c>
      <c r="U382" s="99">
        <f t="shared" si="49"/>
        <v>196.82014134275616</v>
      </c>
      <c r="V382" s="100">
        <f t="shared" si="43"/>
        <v>2.1868904593639575</v>
      </c>
      <c r="W382" s="101">
        <f t="shared" si="50"/>
        <v>0.32640156109909813</v>
      </c>
      <c r="X382" s="95"/>
      <c r="Y382" s="95"/>
      <c r="Z382" s="102"/>
      <c r="AA382" s="103">
        <v>46122</v>
      </c>
      <c r="AB382" s="103">
        <v>46145</v>
      </c>
      <c r="AC382" s="103"/>
      <c r="AD382" s="104">
        <f>IF(ISNA(VLOOKUP(D382,亚马逊入库配置费!B:F,5,0)),0,VLOOKUP(D382,亚马逊入库配置费!B:F,5,0))</f>
        <v>0.44</v>
      </c>
      <c r="AE382" s="104">
        <f t="shared" si="51"/>
        <v>39.6</v>
      </c>
      <c r="AF382" s="103">
        <v>46159</v>
      </c>
      <c r="AG382" s="90">
        <f t="shared" si="44"/>
        <v>37</v>
      </c>
      <c r="AH382" s="103"/>
      <c r="AI382" s="96"/>
      <c r="AJ382" s="96"/>
      <c r="AK382" s="96"/>
      <c r="AL382" s="92"/>
      <c r="AM382" s="91"/>
      <c r="AN382" s="91"/>
      <c r="AO382" s="96"/>
      <c r="AP382" s="105"/>
      <c r="AQ382" s="105"/>
      <c r="AR382" s="105"/>
      <c r="AS382" s="105"/>
    </row>
    <row r="383" spans="1:45" ht="12" customHeight="1" x14ac:dyDescent="0.25">
      <c r="A383" s="90">
        <v>382</v>
      </c>
      <c r="B383" s="91"/>
      <c r="C383" s="91" t="s">
        <v>4390</v>
      </c>
      <c r="D383" s="92" t="s">
        <v>4391</v>
      </c>
      <c r="E383" s="91" t="s">
        <v>115</v>
      </c>
      <c r="F383" s="91" t="s">
        <v>0</v>
      </c>
      <c r="G383" s="56" t="s">
        <v>481</v>
      </c>
      <c r="H383" s="91">
        <v>180</v>
      </c>
      <c r="I383" s="91" t="s">
        <v>207</v>
      </c>
      <c r="J383" s="91" t="s">
        <v>2412</v>
      </c>
      <c r="K383" s="92" t="s">
        <v>9</v>
      </c>
      <c r="L383" s="93" t="str">
        <f>VLOOKUP(G383,'SKU 对应关系'!A:E,4,0)</f>
        <v>ANX-SILV</v>
      </c>
      <c r="M383" s="94" t="str">
        <f>_xlfn.IFNA(VLOOKUP(G383,'SKU 对应关系'!A:B,2,0),"")</f>
        <v>ANX-SILV 便携式扩香仪 银色</v>
      </c>
      <c r="N383" s="95" t="str">
        <f>_xlfn.IFNA(VLOOKUP(G383,'SKU 对应关系'!$A:$D,3,0),"")</f>
        <v>ANX</v>
      </c>
      <c r="O383" s="96">
        <v>6</v>
      </c>
      <c r="P383" s="580">
        <v>75</v>
      </c>
      <c r="Q383" s="96" t="s">
        <v>16</v>
      </c>
      <c r="R383" s="91">
        <v>5.2</v>
      </c>
      <c r="S383" s="95">
        <v>200</v>
      </c>
      <c r="T383" s="98">
        <v>200</v>
      </c>
      <c r="U383" s="99">
        <f t="shared" si="49"/>
        <v>590</v>
      </c>
      <c r="V383" s="100">
        <f t="shared" si="43"/>
        <v>3.2777777777777777</v>
      </c>
      <c r="W383" s="101">
        <f t="shared" si="50"/>
        <v>0.48922056384742951</v>
      </c>
      <c r="X383" s="95"/>
      <c r="Y383" s="95"/>
      <c r="Z383" s="102"/>
      <c r="AA383" s="103">
        <v>46123</v>
      </c>
      <c r="AB383" s="103">
        <v>46140</v>
      </c>
      <c r="AC383" s="103"/>
      <c r="AD383" s="104">
        <f>IF(ISNA(VLOOKUP(D383,亚马逊入库配置费!B:F,5,0)),0,VLOOKUP(D383,亚马逊入库配置费!B:F,5,0))</f>
        <v>0.44</v>
      </c>
      <c r="AE383" s="104">
        <f t="shared" si="51"/>
        <v>79.2</v>
      </c>
      <c r="AF383" s="103">
        <v>46151</v>
      </c>
      <c r="AG383" s="90">
        <f t="shared" si="44"/>
        <v>28</v>
      </c>
      <c r="AH383" s="103">
        <v>46182</v>
      </c>
      <c r="AI383" s="96"/>
      <c r="AJ383" s="96"/>
      <c r="AK383" s="96"/>
      <c r="AL383" s="92"/>
      <c r="AM383" s="91"/>
      <c r="AN383" s="91"/>
      <c r="AO383" s="96"/>
      <c r="AP383" s="105"/>
      <c r="AQ383" s="105"/>
      <c r="AR383" s="105"/>
      <c r="AS383" s="105"/>
    </row>
    <row r="384" spans="1:45" ht="12" customHeight="1" x14ac:dyDescent="0.25">
      <c r="A384" s="90">
        <v>383</v>
      </c>
      <c r="B384" s="91"/>
      <c r="C384" s="91" t="s">
        <v>4385</v>
      </c>
      <c r="D384" s="92" t="s">
        <v>4392</v>
      </c>
      <c r="E384" s="91" t="s">
        <v>115</v>
      </c>
      <c r="F384" s="91" t="s">
        <v>0</v>
      </c>
      <c r="G384" s="56" t="s">
        <v>211</v>
      </c>
      <c r="H384" s="91">
        <v>180</v>
      </c>
      <c r="I384" s="91" t="s">
        <v>207</v>
      </c>
      <c r="J384" s="91" t="s">
        <v>8</v>
      </c>
      <c r="K384" s="92" t="s">
        <v>9</v>
      </c>
      <c r="L384" s="93" t="str">
        <f>VLOOKUP(G384,'SKU 对应关系'!A:E,4,0)</f>
        <v>ANX-B</v>
      </c>
      <c r="M384" s="94" t="str">
        <f>_xlfn.IFNA(VLOOKUP(G384,'SKU 对应关系'!A:B,2,0),"")</f>
        <v>ANX-B 便携式扩香仪 黑色</v>
      </c>
      <c r="N384" s="95" t="str">
        <f>_xlfn.IFNA(VLOOKUP(G384,'SKU 对应关系'!$A:$D,3,0),"")</f>
        <v>ANX</v>
      </c>
      <c r="O384" s="96">
        <v>6</v>
      </c>
      <c r="P384" s="580">
        <v>81.443571428571431</v>
      </c>
      <c r="Q384" s="96" t="s">
        <v>16</v>
      </c>
      <c r="R384" s="91">
        <v>4</v>
      </c>
      <c r="S384" s="106">
        <v>200</v>
      </c>
      <c r="T384" s="98">
        <v>10.434782608695652</v>
      </c>
      <c r="U384" s="99">
        <f t="shared" si="49"/>
        <v>336.20906832298135</v>
      </c>
      <c r="V384" s="100">
        <f t="shared" si="43"/>
        <v>1.8678281573498965</v>
      </c>
      <c r="W384" s="101">
        <f t="shared" si="50"/>
        <v>0.27878032199252184</v>
      </c>
      <c r="X384" s="95"/>
      <c r="Y384" s="95"/>
      <c r="Z384" s="102"/>
      <c r="AA384" s="103">
        <v>46123</v>
      </c>
      <c r="AB384" s="103">
        <v>46147</v>
      </c>
      <c r="AC384" s="103"/>
      <c r="AD384" s="104">
        <f>IF(ISNA(VLOOKUP(D384,亚马逊入库配置费!B:F,5,0)),0,VLOOKUP(D384,亚马逊入库配置费!B:F,5,0))</f>
        <v>0.36660550458715596</v>
      </c>
      <c r="AE384" s="104">
        <f t="shared" si="51"/>
        <v>65.988990825688077</v>
      </c>
      <c r="AF384" s="103">
        <v>46155</v>
      </c>
      <c r="AG384" s="90">
        <f t="shared" si="44"/>
        <v>32</v>
      </c>
      <c r="AH384" s="103"/>
      <c r="AI384" s="96"/>
      <c r="AJ384" s="96"/>
      <c r="AK384" s="96"/>
      <c r="AL384" s="92"/>
      <c r="AM384" s="91"/>
      <c r="AN384" s="91"/>
      <c r="AO384" s="96"/>
      <c r="AP384" s="105"/>
      <c r="AQ384" s="105"/>
      <c r="AR384" s="105"/>
      <c r="AS384" s="105"/>
    </row>
    <row r="385" spans="1:45" ht="12" customHeight="1" x14ac:dyDescent="0.25">
      <c r="A385" s="90">
        <v>384</v>
      </c>
      <c r="B385" s="91"/>
      <c r="C385" s="91" t="s">
        <v>4385</v>
      </c>
      <c r="D385" s="92" t="s">
        <v>4392</v>
      </c>
      <c r="E385" s="91" t="s">
        <v>115</v>
      </c>
      <c r="F385" s="91" t="s">
        <v>0</v>
      </c>
      <c r="G385" s="56" t="s">
        <v>2195</v>
      </c>
      <c r="H385" s="91">
        <v>1400</v>
      </c>
      <c r="I385" s="91" t="s">
        <v>207</v>
      </c>
      <c r="J385" s="91" t="s">
        <v>8</v>
      </c>
      <c r="K385" s="92" t="s">
        <v>9</v>
      </c>
      <c r="L385" s="93" t="str">
        <f>VLOOKUP(G385,'SKU 对应关系'!A:E,4,0)</f>
        <v>ANZ-B</v>
      </c>
      <c r="M385" s="94" t="str">
        <f>_xlfn.IFNA(VLOOKUP(G385,'SKU 对应关系'!A:B,2,0),"")</f>
        <v>ANZ-B 便携式扩香仪 黑色</v>
      </c>
      <c r="N385" s="95" t="str">
        <f>_xlfn.IFNA(VLOOKUP(G385,'SKU 对应关系'!$A:$D,3,0),"")</f>
        <v>ANZ</v>
      </c>
      <c r="O385" s="96">
        <v>35</v>
      </c>
      <c r="P385" s="580">
        <v>475.08749999999998</v>
      </c>
      <c r="Q385" s="96" t="s">
        <v>16</v>
      </c>
      <c r="R385" s="91">
        <v>4</v>
      </c>
      <c r="S385" s="95">
        <v>200</v>
      </c>
      <c r="T385" s="98">
        <v>60.869565217391305</v>
      </c>
      <c r="U385" s="99">
        <f t="shared" si="49"/>
        <v>1961.2195652173912</v>
      </c>
      <c r="V385" s="100">
        <f t="shared" si="43"/>
        <v>1.4008711180124223</v>
      </c>
      <c r="W385" s="101">
        <f t="shared" si="50"/>
        <v>0.20908524149439137</v>
      </c>
      <c r="X385" s="95"/>
      <c r="Y385" s="95"/>
      <c r="Z385" s="102"/>
      <c r="AA385" s="103">
        <v>46123</v>
      </c>
      <c r="AB385" s="103">
        <v>46147</v>
      </c>
      <c r="AC385" s="103"/>
      <c r="AD385" s="104">
        <f>IF(ISNA(VLOOKUP(D385,亚马逊入库配置费!B:F,5,0)),0,VLOOKUP(D385,亚马逊入库配置费!B:F,5,0))</f>
        <v>0.36660550458715596</v>
      </c>
      <c r="AE385" s="104">
        <f t="shared" si="51"/>
        <v>513.24770642201838</v>
      </c>
      <c r="AF385" s="103">
        <v>46155</v>
      </c>
      <c r="AG385" s="90">
        <f t="shared" si="44"/>
        <v>32</v>
      </c>
      <c r="AH385" s="103"/>
      <c r="AI385" s="96"/>
      <c r="AJ385" s="96"/>
      <c r="AK385" s="96"/>
      <c r="AL385" s="92"/>
      <c r="AM385" s="91"/>
      <c r="AN385" s="91"/>
      <c r="AO385" s="96"/>
      <c r="AP385" s="105"/>
      <c r="AQ385" s="105"/>
      <c r="AR385" s="105"/>
      <c r="AS385" s="105"/>
    </row>
    <row r="386" spans="1:45" ht="12" customHeight="1" x14ac:dyDescent="0.25">
      <c r="A386" s="90">
        <v>385</v>
      </c>
      <c r="B386" s="91"/>
      <c r="C386" s="91" t="s">
        <v>4385</v>
      </c>
      <c r="D386" s="92" t="s">
        <v>4392</v>
      </c>
      <c r="E386" s="91" t="s">
        <v>115</v>
      </c>
      <c r="F386" s="91" t="s">
        <v>0</v>
      </c>
      <c r="G386" s="56" t="s">
        <v>2197</v>
      </c>
      <c r="H386" s="91">
        <v>600</v>
      </c>
      <c r="I386" s="91" t="s">
        <v>207</v>
      </c>
      <c r="J386" s="91" t="s">
        <v>8</v>
      </c>
      <c r="K386" s="92" t="s">
        <v>9</v>
      </c>
      <c r="L386" s="93" t="str">
        <f>VLOOKUP(G386,'SKU 对应关系'!A:E,4,0)</f>
        <v>ANZ-WH</v>
      </c>
      <c r="M386" s="94" t="str">
        <f>_xlfn.IFNA(VLOOKUP(G386,'SKU 对应关系'!A:B,2,0),"")</f>
        <v>ANZ-WH 便携式扩香仪 白色</v>
      </c>
      <c r="N386" s="95" t="str">
        <f>_xlfn.IFNA(VLOOKUP(G386,'SKU 对应关系'!$A:$D,3,0),"")</f>
        <v>ANZ</v>
      </c>
      <c r="O386" s="96">
        <v>15</v>
      </c>
      <c r="P386" s="580">
        <v>203.60892857142855</v>
      </c>
      <c r="Q386" s="96" t="s">
        <v>16</v>
      </c>
      <c r="R386" s="91">
        <v>4</v>
      </c>
      <c r="S386" s="106">
        <v>200</v>
      </c>
      <c r="T386" s="98">
        <v>26.086956521739129</v>
      </c>
      <c r="U386" s="99">
        <f t="shared" si="49"/>
        <v>840.52267080745332</v>
      </c>
      <c r="V386" s="100">
        <f t="shared" ref="V386:V449" si="52">U386/H386</f>
        <v>1.4008711180124223</v>
      </c>
      <c r="W386" s="101">
        <f t="shared" si="50"/>
        <v>0.20908524149439137</v>
      </c>
      <c r="X386" s="95"/>
      <c r="Y386" s="95"/>
      <c r="Z386" s="102"/>
      <c r="AA386" s="103">
        <v>46123</v>
      </c>
      <c r="AB386" s="103">
        <v>46147</v>
      </c>
      <c r="AC386" s="103"/>
      <c r="AD386" s="104">
        <f>IF(ISNA(VLOOKUP(D386,亚马逊入库配置费!B:F,5,0)),0,VLOOKUP(D386,亚马逊入库配置费!B:F,5,0))</f>
        <v>0.36660550458715596</v>
      </c>
      <c r="AE386" s="104">
        <f t="shared" si="51"/>
        <v>219.96330275229357</v>
      </c>
      <c r="AF386" s="103">
        <v>46155</v>
      </c>
      <c r="AG386" s="90">
        <f t="shared" ref="AG386:AG449" si="53">AF386-AA386</f>
        <v>32</v>
      </c>
      <c r="AH386" s="103"/>
      <c r="AI386" s="96"/>
      <c r="AJ386" s="96"/>
      <c r="AK386" s="96"/>
      <c r="AL386" s="92"/>
      <c r="AM386" s="91"/>
      <c r="AN386" s="91"/>
      <c r="AO386" s="96"/>
      <c r="AP386" s="105"/>
      <c r="AQ386" s="105"/>
      <c r="AR386" s="105"/>
      <c r="AS386" s="105"/>
    </row>
    <row r="387" spans="1:45" ht="12" customHeight="1" x14ac:dyDescent="0.25">
      <c r="A387" s="90">
        <v>386</v>
      </c>
      <c r="B387" s="91"/>
      <c r="C387" s="91" t="s">
        <v>4388</v>
      </c>
      <c r="D387" s="92" t="s">
        <v>4393</v>
      </c>
      <c r="E387" s="91" t="s">
        <v>115</v>
      </c>
      <c r="F387" s="91" t="s">
        <v>0</v>
      </c>
      <c r="G387" s="56" t="s">
        <v>2885</v>
      </c>
      <c r="H387" s="91">
        <v>420</v>
      </c>
      <c r="I387" s="91" t="s">
        <v>89</v>
      </c>
      <c r="J387" s="91" t="s">
        <v>8</v>
      </c>
      <c r="K387" s="92" t="s">
        <v>50</v>
      </c>
      <c r="L387" s="93" t="str">
        <f>VLOOKUP(G387,'SKU 对应关系'!A:E,4,0)</f>
        <v>ANZKIT-B_4X10K04_TZ</v>
      </c>
      <c r="M387" s="94" t="str">
        <f>_xlfn.IFNA(VLOOKUP(G387,'SKU 对应关系'!A:B,2,0),"")</f>
        <v>ANZKIT-B_4X10K04_TZ ANZ黑色机器+4x10mL酒店（天竺）香氛油 机油套装</v>
      </c>
      <c r="N387" s="95" t="str">
        <f>_xlfn.IFNA(VLOOKUP(G387,'SKU 对应关系'!$A:$D,3,0),"")</f>
        <v>ANZ</v>
      </c>
      <c r="O387" s="96">
        <v>14</v>
      </c>
      <c r="P387" s="580">
        <v>223</v>
      </c>
      <c r="Q387" s="96" t="s">
        <v>16</v>
      </c>
      <c r="R387" s="91">
        <v>4.0999999999999996</v>
      </c>
      <c r="S387" s="95">
        <v>200</v>
      </c>
      <c r="T387" s="98">
        <v>9.8939929328621901</v>
      </c>
      <c r="U387" s="99">
        <f t="shared" si="49"/>
        <v>924.1939929328621</v>
      </c>
      <c r="V387" s="100">
        <f t="shared" si="52"/>
        <v>2.2004618879353859</v>
      </c>
      <c r="W387" s="101">
        <f t="shared" si="50"/>
        <v>0.32842714745304263</v>
      </c>
      <c r="X387" s="95"/>
      <c r="Y387" s="95"/>
      <c r="Z387" s="102"/>
      <c r="AA387" s="103">
        <v>46122</v>
      </c>
      <c r="AB387" s="103">
        <v>46145</v>
      </c>
      <c r="AC387" s="103"/>
      <c r="AD387" s="104">
        <f>IF(ISNA(VLOOKUP(D387,亚马逊入库配置费!B:F,5,0)),0,VLOOKUP(D387,亚马逊入库配置费!B:F,5,0))</f>
        <v>0.44</v>
      </c>
      <c r="AE387" s="104">
        <f t="shared" si="51"/>
        <v>184.8</v>
      </c>
      <c r="AF387" s="103">
        <v>46162</v>
      </c>
      <c r="AG387" s="90">
        <f t="shared" si="53"/>
        <v>40</v>
      </c>
      <c r="AH387" s="103"/>
      <c r="AI387" s="96"/>
      <c r="AJ387" s="96"/>
      <c r="AK387" s="96"/>
      <c r="AL387" s="92"/>
      <c r="AM387" s="91"/>
      <c r="AN387" s="91"/>
      <c r="AO387" s="96"/>
      <c r="AP387" s="105"/>
      <c r="AQ387" s="105"/>
      <c r="AR387" s="105"/>
      <c r="AS387" s="105"/>
    </row>
    <row r="388" spans="1:45" ht="12" customHeight="1" x14ac:dyDescent="0.25">
      <c r="A388" s="90">
        <v>387</v>
      </c>
      <c r="B388" s="91"/>
      <c r="C388" s="91" t="s">
        <v>4388</v>
      </c>
      <c r="D388" s="92" t="s">
        <v>4394</v>
      </c>
      <c r="E388" s="91" t="s">
        <v>1037</v>
      </c>
      <c r="F388" s="91" t="s">
        <v>0</v>
      </c>
      <c r="G388" s="56" t="s">
        <v>2439</v>
      </c>
      <c r="H388" s="91">
        <v>576</v>
      </c>
      <c r="I388" s="91" t="s">
        <v>89</v>
      </c>
      <c r="J388" s="91" t="s">
        <v>8</v>
      </c>
      <c r="K388" s="92" t="s">
        <v>13</v>
      </c>
      <c r="L388" s="93" t="str">
        <f>VLOOKUP(G388,'SKU 对应关系'!A:E,4,0)</f>
        <v>G1-B</v>
      </c>
      <c r="M388" s="94" t="str">
        <f>_xlfn.IFNA(VLOOKUP(G388,'SKU 对应关系'!A:B,2,0),"")</f>
        <v>G1-B 电子球形把手锁 黑色</v>
      </c>
      <c r="N388" s="95" t="str">
        <f>_xlfn.IFNA(VLOOKUP(G388,'SKU 对应关系'!$A:$D,3,0),"")</f>
        <v>G1</v>
      </c>
      <c r="O388" s="96">
        <v>36</v>
      </c>
      <c r="P388" s="580">
        <v>501.27272727272725</v>
      </c>
      <c r="Q388" s="96" t="s">
        <v>16</v>
      </c>
      <c r="R388" s="91">
        <v>3.6</v>
      </c>
      <c r="S388" s="106">
        <v>200</v>
      </c>
      <c r="T388" s="98">
        <v>25.441696113074205</v>
      </c>
      <c r="U388" s="99">
        <f t="shared" si="49"/>
        <v>1830.0235142948923</v>
      </c>
      <c r="V388" s="100">
        <f t="shared" si="52"/>
        <v>3.1771241567619657</v>
      </c>
      <c r="W388" s="101">
        <f t="shared" si="50"/>
        <v>0.47419763533760678</v>
      </c>
      <c r="X388" s="95"/>
      <c r="Y388" s="95"/>
      <c r="Z388" s="102"/>
      <c r="AA388" s="103">
        <v>46122</v>
      </c>
      <c r="AB388" s="103">
        <v>46145</v>
      </c>
      <c r="AC388" s="103"/>
      <c r="AD388" s="104">
        <f>IF(ISNA(VLOOKUP(D388,亚马逊入库配置费!B:F,5,0)),0,VLOOKUP(D388,亚马逊入库配置费!B:F,5,0))</f>
        <v>0.56000000000000005</v>
      </c>
      <c r="AE388" s="104">
        <f t="shared" si="51"/>
        <v>322.56000000000006</v>
      </c>
      <c r="AF388" s="103">
        <v>46162</v>
      </c>
      <c r="AG388" s="90">
        <f t="shared" si="53"/>
        <v>40</v>
      </c>
      <c r="AH388" s="103"/>
      <c r="AI388" s="96"/>
      <c r="AJ388" s="96"/>
      <c r="AK388" s="96"/>
      <c r="AL388" s="92"/>
      <c r="AM388" s="91"/>
      <c r="AN388" s="91"/>
      <c r="AO388" s="96"/>
      <c r="AP388" s="105"/>
      <c r="AQ388" s="105"/>
      <c r="AR388" s="105"/>
      <c r="AS388" s="105"/>
    </row>
    <row r="389" spans="1:45" ht="12" customHeight="1" x14ac:dyDescent="0.25">
      <c r="A389" s="90">
        <v>388</v>
      </c>
      <c r="B389" s="91"/>
      <c r="C389" s="91" t="s">
        <v>4388</v>
      </c>
      <c r="D389" s="92" t="s">
        <v>4394</v>
      </c>
      <c r="E389" s="91" t="s">
        <v>1037</v>
      </c>
      <c r="F389" s="91" t="s">
        <v>0</v>
      </c>
      <c r="G389" s="56" t="s">
        <v>2443</v>
      </c>
      <c r="H389" s="91">
        <v>112</v>
      </c>
      <c r="I389" s="91" t="s">
        <v>89</v>
      </c>
      <c r="J389" s="91" t="s">
        <v>8</v>
      </c>
      <c r="K389" s="92" t="s">
        <v>13</v>
      </c>
      <c r="L389" s="93" t="str">
        <f>VLOOKUP(G389,'SKU 对应关系'!A:E,4,0)</f>
        <v>G1-SILV</v>
      </c>
      <c r="M389" s="94" t="str">
        <f>_xlfn.IFNA(VLOOKUP(G389,'SKU 对应关系'!A:B,2,0),"")</f>
        <v>G1-SILV 电子球形把手锁 银色</v>
      </c>
      <c r="N389" s="95" t="str">
        <f>_xlfn.IFNA(VLOOKUP(G389,'SKU 对应关系'!$A:$D,3,0),"")</f>
        <v>G1</v>
      </c>
      <c r="O389" s="96">
        <v>7</v>
      </c>
      <c r="P389" s="580">
        <v>97.469696969696969</v>
      </c>
      <c r="Q389" s="96" t="s">
        <v>16</v>
      </c>
      <c r="R389" s="91">
        <v>3.6</v>
      </c>
      <c r="S389" s="95"/>
      <c r="T389" s="98">
        <v>4.946996466431095</v>
      </c>
      <c r="U389" s="99">
        <f t="shared" si="49"/>
        <v>355.83790555734015</v>
      </c>
      <c r="V389" s="100">
        <f t="shared" si="52"/>
        <v>3.1771241567619657</v>
      </c>
      <c r="W389" s="101">
        <f t="shared" si="50"/>
        <v>0.47419763533760678</v>
      </c>
      <c r="X389" s="95"/>
      <c r="Y389" s="95"/>
      <c r="Z389" s="102"/>
      <c r="AA389" s="103">
        <v>46122</v>
      </c>
      <c r="AB389" s="103">
        <v>46145</v>
      </c>
      <c r="AC389" s="103"/>
      <c r="AD389" s="104">
        <f>IF(ISNA(VLOOKUP(D389,亚马逊入库配置费!B:F,5,0)),0,VLOOKUP(D389,亚马逊入库配置费!B:F,5,0))</f>
        <v>0.56000000000000005</v>
      </c>
      <c r="AE389" s="104">
        <f t="shared" si="51"/>
        <v>62.720000000000006</v>
      </c>
      <c r="AF389" s="103">
        <v>46162</v>
      </c>
      <c r="AG389" s="90">
        <f t="shared" si="53"/>
        <v>40</v>
      </c>
      <c r="AH389" s="103"/>
      <c r="AI389" s="96"/>
      <c r="AJ389" s="96"/>
      <c r="AK389" s="96"/>
      <c r="AL389" s="92"/>
      <c r="AM389" s="91"/>
      <c r="AN389" s="91"/>
      <c r="AO389" s="96"/>
      <c r="AP389" s="105"/>
      <c r="AQ389" s="105"/>
      <c r="AR389" s="105"/>
      <c r="AS389" s="105"/>
    </row>
    <row r="390" spans="1:45" ht="12" customHeight="1" x14ac:dyDescent="0.25">
      <c r="A390" s="90">
        <v>389</v>
      </c>
      <c r="B390" s="91"/>
      <c r="C390" s="91" t="s">
        <v>4388</v>
      </c>
      <c r="D390" s="92" t="s">
        <v>4394</v>
      </c>
      <c r="E390" s="91" t="s">
        <v>1037</v>
      </c>
      <c r="F390" s="91" t="s">
        <v>0</v>
      </c>
      <c r="G390" s="56" t="s">
        <v>284</v>
      </c>
      <c r="H390" s="91">
        <v>160</v>
      </c>
      <c r="I390" s="91" t="s">
        <v>89</v>
      </c>
      <c r="J390" s="91" t="s">
        <v>8</v>
      </c>
      <c r="K390" s="92" t="s">
        <v>13</v>
      </c>
      <c r="L390" s="93" t="str">
        <f>VLOOKUP(G390,'SKU 对应关系'!A:E,4,0)</f>
        <v>MD1-B</v>
      </c>
      <c r="M390" s="94" t="str">
        <f>_xlfn.IFNA(VLOOKUP(G390,'SKU 对应关系'!A:B,2,0),"")</f>
        <v>MD1-B 电子球形把手锁 指纹 黑色</v>
      </c>
      <c r="N390" s="95" t="str">
        <f>_xlfn.IFNA(VLOOKUP(G390,'SKU 对应关系'!$A:$D,3,0),"")</f>
        <v>MD1</v>
      </c>
      <c r="O390" s="96">
        <v>10</v>
      </c>
      <c r="P390" s="580">
        <v>139.24242424242425</v>
      </c>
      <c r="Q390" s="96" t="s">
        <v>16</v>
      </c>
      <c r="R390" s="91">
        <v>3.6</v>
      </c>
      <c r="S390" s="95"/>
      <c r="T390" s="98">
        <v>7.0671378091872787</v>
      </c>
      <c r="U390" s="99">
        <f t="shared" si="49"/>
        <v>508.33986508191458</v>
      </c>
      <c r="V390" s="100">
        <f t="shared" si="52"/>
        <v>3.1771241567619661</v>
      </c>
      <c r="W390" s="101">
        <f t="shared" si="50"/>
        <v>0.47419763533760689</v>
      </c>
      <c r="X390" s="95"/>
      <c r="Y390" s="95"/>
      <c r="Z390" s="102"/>
      <c r="AA390" s="103">
        <v>46122</v>
      </c>
      <c r="AB390" s="103">
        <v>46145</v>
      </c>
      <c r="AC390" s="103"/>
      <c r="AD390" s="104">
        <f>IF(ISNA(VLOOKUP(D390,亚马逊入库配置费!B:F,5,0)),0,VLOOKUP(D390,亚马逊入库配置费!B:F,5,0))</f>
        <v>0.56000000000000005</v>
      </c>
      <c r="AE390" s="104">
        <f t="shared" si="51"/>
        <v>89.600000000000009</v>
      </c>
      <c r="AF390" s="103">
        <v>46162</v>
      </c>
      <c r="AG390" s="90">
        <f t="shared" si="53"/>
        <v>40</v>
      </c>
      <c r="AH390" s="103"/>
      <c r="AI390" s="96"/>
      <c r="AJ390" s="96"/>
      <c r="AK390" s="96"/>
      <c r="AL390" s="92"/>
      <c r="AM390" s="91"/>
      <c r="AN390" s="91"/>
      <c r="AO390" s="96"/>
      <c r="AP390" s="105"/>
      <c r="AQ390" s="105"/>
      <c r="AR390" s="105"/>
      <c r="AS390" s="105"/>
    </row>
    <row r="391" spans="1:45" ht="12" customHeight="1" x14ac:dyDescent="0.25">
      <c r="A391" s="90">
        <v>390</v>
      </c>
      <c r="B391" s="91"/>
      <c r="C391" s="91" t="s">
        <v>4388</v>
      </c>
      <c r="D391" s="92" t="s">
        <v>4394</v>
      </c>
      <c r="E391" s="91" t="s">
        <v>1037</v>
      </c>
      <c r="F391" s="91" t="s">
        <v>0</v>
      </c>
      <c r="G391" s="56" t="s">
        <v>663</v>
      </c>
      <c r="H391" s="91">
        <v>80</v>
      </c>
      <c r="I391" s="91" t="s">
        <v>89</v>
      </c>
      <c r="J391" s="91" t="s">
        <v>8</v>
      </c>
      <c r="K391" s="92" t="s">
        <v>13</v>
      </c>
      <c r="L391" s="93" t="str">
        <f>VLOOKUP(G391,'SKU 对应关系'!A:E,4,0)</f>
        <v>MD1-SILV</v>
      </c>
      <c r="M391" s="94" t="str">
        <f>_xlfn.IFNA(VLOOKUP(G391,'SKU 对应关系'!A:B,2,0),"")</f>
        <v>MD1-SILV 电子球形把手锁 指纹 银色</v>
      </c>
      <c r="N391" s="95" t="str">
        <f>_xlfn.IFNA(VLOOKUP(G391,'SKU 对应关系'!$A:$D,3,0),"")</f>
        <v>MD1</v>
      </c>
      <c r="O391" s="96">
        <v>5</v>
      </c>
      <c r="P391" s="580">
        <v>69.621212121212125</v>
      </c>
      <c r="Q391" s="96" t="s">
        <v>16</v>
      </c>
      <c r="R391" s="91">
        <v>3.6</v>
      </c>
      <c r="S391" s="95"/>
      <c r="T391" s="98">
        <v>3.5335689045936394</v>
      </c>
      <c r="U391" s="99">
        <f t="shared" si="49"/>
        <v>254.16993254095729</v>
      </c>
      <c r="V391" s="100">
        <f t="shared" si="52"/>
        <v>3.1771241567619661</v>
      </c>
      <c r="W391" s="101">
        <f t="shared" si="50"/>
        <v>0.47419763533760689</v>
      </c>
      <c r="X391" s="95"/>
      <c r="Y391" s="95"/>
      <c r="Z391" s="102"/>
      <c r="AA391" s="103">
        <v>46122</v>
      </c>
      <c r="AB391" s="103">
        <v>46145</v>
      </c>
      <c r="AC391" s="103"/>
      <c r="AD391" s="104">
        <f>IF(ISNA(VLOOKUP(D391,亚马逊入库配置费!B:F,5,0)),0,VLOOKUP(D391,亚马逊入库配置费!B:F,5,0))</f>
        <v>0.56000000000000005</v>
      </c>
      <c r="AE391" s="104">
        <f t="shared" si="51"/>
        <v>44.800000000000004</v>
      </c>
      <c r="AF391" s="103">
        <v>46162</v>
      </c>
      <c r="AG391" s="90">
        <f t="shared" si="53"/>
        <v>40</v>
      </c>
      <c r="AH391" s="103"/>
      <c r="AI391" s="96"/>
      <c r="AJ391" s="96"/>
      <c r="AK391" s="96"/>
      <c r="AL391" s="92"/>
      <c r="AM391" s="91"/>
      <c r="AN391" s="91"/>
      <c r="AO391" s="96"/>
      <c r="AP391" s="105"/>
      <c r="AQ391" s="105"/>
      <c r="AR391" s="105"/>
      <c r="AS391" s="105"/>
    </row>
    <row r="392" spans="1:45" ht="12" customHeight="1" x14ac:dyDescent="0.25">
      <c r="A392" s="90">
        <v>391</v>
      </c>
      <c r="B392" s="91"/>
      <c r="C392" s="91" t="s">
        <v>4388</v>
      </c>
      <c r="D392" s="92" t="s">
        <v>4394</v>
      </c>
      <c r="E392" s="91" t="s">
        <v>1037</v>
      </c>
      <c r="F392" s="91" t="s">
        <v>0</v>
      </c>
      <c r="G392" s="56" t="s">
        <v>556</v>
      </c>
      <c r="H392" s="91">
        <v>48</v>
      </c>
      <c r="I392" s="91" t="s">
        <v>89</v>
      </c>
      <c r="J392" s="91" t="s">
        <v>8</v>
      </c>
      <c r="K392" s="92" t="s">
        <v>13</v>
      </c>
      <c r="L392" s="93" t="str">
        <f>VLOOKUP(G392,'SKU 对应关系'!A:E,4,0)</f>
        <v>MD1-T</v>
      </c>
      <c r="M392" s="94" t="str">
        <f>_xlfn.IFNA(VLOOKUP(G392,'SKU 对应关系'!A:B,2,0),"")</f>
        <v>MD1-T 电子球形把手锁 指纹 钛灰色</v>
      </c>
      <c r="N392" s="95" t="str">
        <f>_xlfn.IFNA(VLOOKUP(G392,'SKU 对应关系'!$A:$D,3,0),"")</f>
        <v>MD1</v>
      </c>
      <c r="O392" s="96">
        <v>3</v>
      </c>
      <c r="P392" s="580">
        <v>41.772727272727273</v>
      </c>
      <c r="Q392" s="96" t="s">
        <v>16</v>
      </c>
      <c r="R392" s="91">
        <v>3.6</v>
      </c>
      <c r="S392" s="95"/>
      <c r="T392" s="98">
        <v>2.1201413427561837</v>
      </c>
      <c r="U392" s="99">
        <f t="shared" si="49"/>
        <v>152.50195952457435</v>
      </c>
      <c r="V392" s="100">
        <f t="shared" si="52"/>
        <v>3.1771241567619657</v>
      </c>
      <c r="W392" s="101">
        <f t="shared" si="50"/>
        <v>0.47419763533760678</v>
      </c>
      <c r="X392" s="95"/>
      <c r="Y392" s="95"/>
      <c r="Z392" s="102"/>
      <c r="AA392" s="103">
        <v>46122</v>
      </c>
      <c r="AB392" s="103">
        <v>46145</v>
      </c>
      <c r="AC392" s="103"/>
      <c r="AD392" s="104">
        <f>IF(ISNA(VLOOKUP(D392,亚马逊入库配置费!B:F,5,0)),0,VLOOKUP(D392,亚马逊入库配置费!B:F,5,0))</f>
        <v>0.56000000000000005</v>
      </c>
      <c r="AE392" s="104">
        <f t="shared" si="51"/>
        <v>26.880000000000003</v>
      </c>
      <c r="AF392" s="103">
        <v>46162</v>
      </c>
      <c r="AG392" s="90">
        <f t="shared" si="53"/>
        <v>40</v>
      </c>
      <c r="AH392" s="103"/>
      <c r="AI392" s="96"/>
      <c r="AJ392" s="96"/>
      <c r="AK392" s="96"/>
      <c r="AL392" s="92"/>
      <c r="AM392" s="91"/>
      <c r="AN392" s="91"/>
      <c r="AO392" s="96"/>
      <c r="AP392" s="105"/>
      <c r="AQ392" s="105"/>
      <c r="AR392" s="105"/>
      <c r="AS392" s="105"/>
    </row>
    <row r="393" spans="1:45" ht="12" customHeight="1" x14ac:dyDescent="0.25">
      <c r="A393" s="90">
        <v>392</v>
      </c>
      <c r="B393" s="91"/>
      <c r="C393" s="91" t="s">
        <v>4388</v>
      </c>
      <c r="D393" s="92" t="s">
        <v>4394</v>
      </c>
      <c r="E393" s="91" t="s">
        <v>1037</v>
      </c>
      <c r="F393" s="91" t="s">
        <v>0</v>
      </c>
      <c r="G393" s="56" t="s">
        <v>779</v>
      </c>
      <c r="H393" s="91">
        <v>80</v>
      </c>
      <c r="I393" s="91" t="s">
        <v>89</v>
      </c>
      <c r="J393" s="91" t="s">
        <v>8</v>
      </c>
      <c r="K393" s="92" t="s">
        <v>13</v>
      </c>
      <c r="L393" s="93" t="str">
        <f>VLOOKUP(G393,'SKU 对应关系'!A:E,4,0)</f>
        <v>MK1-B</v>
      </c>
      <c r="M393" s="94" t="str">
        <f>_xlfn.IFNA(VLOOKUP(G393,'SKU 对应关系'!A:B,2,0),"")</f>
        <v>MK1-B 智能球形把手锁 黑色</v>
      </c>
      <c r="N393" s="95" t="str">
        <f>_xlfn.IFNA(VLOOKUP(G393,'SKU 对应关系'!$A:$D,3,0),"")</f>
        <v>MK1</v>
      </c>
      <c r="O393" s="96">
        <v>5</v>
      </c>
      <c r="P393" s="580">
        <v>69.621212121212125</v>
      </c>
      <c r="Q393" s="96" t="s">
        <v>16</v>
      </c>
      <c r="R393" s="91">
        <v>3.6</v>
      </c>
      <c r="S393" s="95"/>
      <c r="T393" s="98">
        <v>3.5335689045936394</v>
      </c>
      <c r="U393" s="99">
        <f t="shared" si="49"/>
        <v>254.16993254095729</v>
      </c>
      <c r="V393" s="100">
        <f t="shared" si="52"/>
        <v>3.1771241567619661</v>
      </c>
      <c r="W393" s="101">
        <f t="shared" si="50"/>
        <v>0.47419763533760689</v>
      </c>
      <c r="X393" s="95"/>
      <c r="Y393" s="95"/>
      <c r="Z393" s="102"/>
      <c r="AA393" s="103">
        <v>46122</v>
      </c>
      <c r="AB393" s="103">
        <v>46145</v>
      </c>
      <c r="AC393" s="103"/>
      <c r="AD393" s="104">
        <f>IF(ISNA(VLOOKUP(D393,亚马逊入库配置费!B:F,5,0)),0,VLOOKUP(D393,亚马逊入库配置费!B:F,5,0))</f>
        <v>0.56000000000000005</v>
      </c>
      <c r="AE393" s="104">
        <f t="shared" si="51"/>
        <v>44.800000000000004</v>
      </c>
      <c r="AF393" s="103">
        <v>46162</v>
      </c>
      <c r="AG393" s="90">
        <f t="shared" si="53"/>
        <v>40</v>
      </c>
      <c r="AH393" s="103"/>
      <c r="AI393" s="96"/>
      <c r="AJ393" s="96"/>
      <c r="AK393" s="96"/>
      <c r="AL393" s="92"/>
      <c r="AM393" s="91"/>
      <c r="AN393" s="91"/>
      <c r="AO393" s="96"/>
      <c r="AP393" s="105"/>
      <c r="AQ393" s="105"/>
      <c r="AR393" s="105"/>
      <c r="AS393" s="105"/>
    </row>
    <row r="394" spans="1:45" ht="12" customHeight="1" x14ac:dyDescent="0.25">
      <c r="A394" s="90">
        <v>393</v>
      </c>
      <c r="B394" s="91"/>
      <c r="C394" s="91" t="s">
        <v>4388</v>
      </c>
      <c r="D394" s="92" t="s">
        <v>4395</v>
      </c>
      <c r="E394" s="91" t="s">
        <v>97</v>
      </c>
      <c r="F394" s="91" t="s">
        <v>0</v>
      </c>
      <c r="G394" s="56" t="s">
        <v>2357</v>
      </c>
      <c r="H394" s="91">
        <v>396</v>
      </c>
      <c r="I394" s="91" t="s">
        <v>89</v>
      </c>
      <c r="J394" s="91" t="s">
        <v>8</v>
      </c>
      <c r="K394" s="92" t="s">
        <v>15</v>
      </c>
      <c r="L394" s="93" t="str">
        <f>VLOOKUP(G394,'SKU 对应关系'!A:E,4,0)</f>
        <v>ANAKIT-WH_US_2X100K03</v>
      </c>
      <c r="M394" s="94" t="str">
        <f>_xlfn.IFNA(VLOOKUP(G394,'SKU 对应关系'!A:B,2,0),"")</f>
        <v>ANAKIT-WH_US_2X100K03 ANA白色机器+2X100mL酒店香氛油（天竺） 机油套装</v>
      </c>
      <c r="N394" s="95" t="str">
        <f>_xlfn.IFNA(VLOOKUP(G394,'SKU 对应关系'!$A:$D,3,0),"")</f>
        <v>ANA</v>
      </c>
      <c r="O394" s="96">
        <v>33</v>
      </c>
      <c r="P394" s="580">
        <v>568.5625</v>
      </c>
      <c r="Q394" s="96" t="s">
        <v>16</v>
      </c>
      <c r="R394" s="91">
        <v>4.0999999999999996</v>
      </c>
      <c r="S394" s="95"/>
      <c r="T394" s="98">
        <v>23.32155477031802</v>
      </c>
      <c r="U394" s="99">
        <f t="shared" si="49"/>
        <v>2354.4278047703178</v>
      </c>
      <c r="V394" s="100">
        <f t="shared" si="52"/>
        <v>5.945524759521005</v>
      </c>
      <c r="W394" s="101">
        <f t="shared" si="50"/>
        <v>0.88739175515238877</v>
      </c>
      <c r="X394" s="95"/>
      <c r="Y394" s="95"/>
      <c r="Z394" s="102"/>
      <c r="AA394" s="103">
        <v>46122</v>
      </c>
      <c r="AB394" s="103">
        <v>46145</v>
      </c>
      <c r="AC394" s="103"/>
      <c r="AD394" s="104">
        <f>IF(ISNA(VLOOKUP(D394,亚马逊入库配置费!B:F,5,0)),0,VLOOKUP(D394,亚马逊入库配置费!B:F,5,0))</f>
        <v>0.56000000000000005</v>
      </c>
      <c r="AE394" s="104">
        <f t="shared" si="51"/>
        <v>221.76000000000002</v>
      </c>
      <c r="AF394" s="103">
        <v>46159</v>
      </c>
      <c r="AG394" s="90">
        <f t="shared" si="53"/>
        <v>37</v>
      </c>
      <c r="AH394" s="103"/>
      <c r="AI394" s="96"/>
      <c r="AJ394" s="96"/>
      <c r="AK394" s="96"/>
      <c r="AL394" s="92"/>
      <c r="AM394" s="91"/>
      <c r="AN394" s="91"/>
      <c r="AO394" s="96"/>
      <c r="AP394" s="105"/>
      <c r="AQ394" s="105"/>
      <c r="AR394" s="105"/>
      <c r="AS394" s="105"/>
    </row>
    <row r="395" spans="1:45" ht="12" customHeight="1" x14ac:dyDescent="0.25">
      <c r="A395" s="90">
        <v>394</v>
      </c>
      <c r="B395" s="91"/>
      <c r="C395" s="91" t="s">
        <v>4388</v>
      </c>
      <c r="D395" s="92" t="s">
        <v>4395</v>
      </c>
      <c r="E395" s="91" t="s">
        <v>97</v>
      </c>
      <c r="F395" s="91" t="s">
        <v>0</v>
      </c>
      <c r="G395" s="56" t="s">
        <v>2177</v>
      </c>
      <c r="H395" s="91">
        <v>180</v>
      </c>
      <c r="I395" s="91" t="s">
        <v>89</v>
      </c>
      <c r="J395" s="91" t="s">
        <v>8</v>
      </c>
      <c r="K395" s="92" t="s">
        <v>15</v>
      </c>
      <c r="L395" s="93" t="str">
        <f>VLOOKUP(G395,'SKU 对应关系'!A:E,4,0)</f>
        <v>ANWKIT-B_US_2X100K03</v>
      </c>
      <c r="M395" s="94" t="str">
        <f>_xlfn.IFNA(VLOOKUP(G395,'SKU 对应关系'!A:B,2,0),"")</f>
        <v>ANWKIT-B_US_2X100K03 ANW黑色机器+2X100mL酒店香氛油（天竺） 机油套装</v>
      </c>
      <c r="N395" s="95" t="str">
        <f>_xlfn.IFNA(VLOOKUP(G395,'SKU 对应关系'!$A:$D,3,0),"")</f>
        <v>ANW</v>
      </c>
      <c r="O395" s="96">
        <v>15</v>
      </c>
      <c r="P395" s="580">
        <v>258.4375</v>
      </c>
      <c r="Q395" s="96" t="s">
        <v>16</v>
      </c>
      <c r="R395" s="91">
        <v>4.0999999999999996</v>
      </c>
      <c r="S395" s="95"/>
      <c r="T395" s="98">
        <v>10.600706713780919</v>
      </c>
      <c r="U395" s="99">
        <f t="shared" si="49"/>
        <v>1070.1944567137809</v>
      </c>
      <c r="V395" s="100">
        <f t="shared" si="52"/>
        <v>5.945524759521005</v>
      </c>
      <c r="W395" s="101">
        <f t="shared" si="50"/>
        <v>0.88739175515238877</v>
      </c>
      <c r="X395" s="95"/>
      <c r="Y395" s="95"/>
      <c r="Z395" s="102"/>
      <c r="AA395" s="103">
        <v>46122</v>
      </c>
      <c r="AB395" s="103">
        <v>46145</v>
      </c>
      <c r="AC395" s="103"/>
      <c r="AD395" s="104">
        <f>IF(ISNA(VLOOKUP(D395,亚马逊入库配置费!B:F,5,0)),0,VLOOKUP(D395,亚马逊入库配置费!B:F,5,0))</f>
        <v>0.56000000000000005</v>
      </c>
      <c r="AE395" s="104">
        <f t="shared" si="51"/>
        <v>100.80000000000001</v>
      </c>
      <c r="AF395" s="103">
        <v>46159</v>
      </c>
      <c r="AG395" s="90">
        <f t="shared" si="53"/>
        <v>37</v>
      </c>
      <c r="AH395" s="103"/>
      <c r="AI395" s="96"/>
      <c r="AJ395" s="96"/>
      <c r="AK395" s="96"/>
      <c r="AL395" s="92"/>
      <c r="AM395" s="91"/>
      <c r="AN395" s="91"/>
      <c r="AO395" s="96"/>
      <c r="AP395" s="105"/>
      <c r="AQ395" s="105"/>
      <c r="AR395" s="105"/>
      <c r="AS395" s="105"/>
    </row>
    <row r="396" spans="1:45" ht="12" customHeight="1" x14ac:dyDescent="0.25">
      <c r="A396" s="90">
        <v>395</v>
      </c>
      <c r="B396" s="91"/>
      <c r="C396" s="91" t="s">
        <v>4388</v>
      </c>
      <c r="D396" s="92" t="s">
        <v>4396</v>
      </c>
      <c r="E396" s="91" t="s">
        <v>97</v>
      </c>
      <c r="F396" s="91" t="s">
        <v>0</v>
      </c>
      <c r="G396" s="56" t="s">
        <v>88</v>
      </c>
      <c r="H396" s="91">
        <v>240</v>
      </c>
      <c r="I396" s="91" t="s">
        <v>89</v>
      </c>
      <c r="J396" s="91" t="s">
        <v>8</v>
      </c>
      <c r="K396" s="92" t="s">
        <v>9</v>
      </c>
      <c r="L396" s="93" t="str">
        <f>VLOOKUP(G396,'SKU 对应关系'!A:E,4,0)</f>
        <v>ANW-B</v>
      </c>
      <c r="M396" s="94" t="str">
        <f>_xlfn.IFNA(VLOOKUP(G396,'SKU 对应关系'!A:B,2,0),"")</f>
        <v>ANW-B 智能扩香仪 黑色</v>
      </c>
      <c r="N396" s="95" t="str">
        <f>_xlfn.IFNA(VLOOKUP(G396,'SKU 对应关系'!$A:$D,3,0),"")</f>
        <v>ANW</v>
      </c>
      <c r="O396" s="96">
        <v>20</v>
      </c>
      <c r="P396" s="580">
        <v>283.125</v>
      </c>
      <c r="Q396" s="96" t="s">
        <v>16</v>
      </c>
      <c r="R396" s="91">
        <v>4.8</v>
      </c>
      <c r="S396" s="95"/>
      <c r="T396" s="98">
        <v>14.134275618374557</v>
      </c>
      <c r="U396" s="99">
        <f t="shared" si="49"/>
        <v>1373.1342756183747</v>
      </c>
      <c r="V396" s="100">
        <f t="shared" si="52"/>
        <v>5.7213928150765607</v>
      </c>
      <c r="W396" s="101">
        <f t="shared" si="50"/>
        <v>0.85393922613082995</v>
      </c>
      <c r="X396" s="95"/>
      <c r="Y396" s="95"/>
      <c r="Z396" s="102"/>
      <c r="AA396" s="103">
        <v>46122</v>
      </c>
      <c r="AB396" s="103">
        <v>46145</v>
      </c>
      <c r="AC396" s="103"/>
      <c r="AD396" s="104">
        <f>IF(ISNA(VLOOKUP(D396,亚马逊入库配置费!B:F,5,0)),0,VLOOKUP(D396,亚马逊入库配置费!B:F,5,0))</f>
        <v>0.47167155425219942</v>
      </c>
      <c r="AE396" s="104">
        <f t="shared" si="51"/>
        <v>113.20117302052786</v>
      </c>
      <c r="AF396" s="103">
        <v>46164</v>
      </c>
      <c r="AG396" s="90">
        <f t="shared" si="53"/>
        <v>42</v>
      </c>
      <c r="AH396" s="103"/>
      <c r="AI396" s="96"/>
      <c r="AJ396" s="96"/>
      <c r="AK396" s="96"/>
      <c r="AL396" s="92"/>
      <c r="AM396" s="91"/>
      <c r="AN396" s="91"/>
      <c r="AO396" s="96"/>
      <c r="AP396" s="105"/>
      <c r="AQ396" s="105"/>
      <c r="AR396" s="105"/>
      <c r="AS396" s="105"/>
    </row>
    <row r="397" spans="1:45" ht="12" customHeight="1" x14ac:dyDescent="0.25">
      <c r="A397" s="90">
        <v>396</v>
      </c>
      <c r="B397" s="91"/>
      <c r="C397" s="91" t="s">
        <v>4388</v>
      </c>
      <c r="D397" s="92" t="s">
        <v>4396</v>
      </c>
      <c r="E397" s="91" t="s">
        <v>97</v>
      </c>
      <c r="F397" s="91" t="s">
        <v>0</v>
      </c>
      <c r="G397" s="56" t="s">
        <v>2172</v>
      </c>
      <c r="H397" s="91">
        <v>352</v>
      </c>
      <c r="I397" s="91" t="s">
        <v>89</v>
      </c>
      <c r="J397" s="91" t="s">
        <v>8</v>
      </c>
      <c r="K397" s="92" t="s">
        <v>9</v>
      </c>
      <c r="L397" s="93" t="str">
        <f>VLOOKUP(G397,'SKU 对应关系'!A:E,4,0)</f>
        <v>ANP-W_US</v>
      </c>
      <c r="M397" s="94" t="str">
        <f>_xlfn.IFNA(VLOOKUP(G397,'SKU 对应关系'!A:B,2,0),"")</f>
        <v>ANP-W_US 墙插式智能扩香仪 白色</v>
      </c>
      <c r="N397" s="95" t="str">
        <f>_xlfn.IFNA(VLOOKUP(G397,'SKU 对应关系'!$A:$D,3,0),"")</f>
        <v>ANP</v>
      </c>
      <c r="O397" s="96">
        <v>11</v>
      </c>
      <c r="P397" s="580">
        <v>155.71875</v>
      </c>
      <c r="Q397" s="96" t="s">
        <v>16</v>
      </c>
      <c r="R397" s="91">
        <v>4.8</v>
      </c>
      <c r="S397" s="95"/>
      <c r="T397" s="98">
        <v>7.7738515901060072</v>
      </c>
      <c r="U397" s="99">
        <f t="shared" si="49"/>
        <v>755.22385159010594</v>
      </c>
      <c r="V397" s="100">
        <f t="shared" si="52"/>
        <v>2.14552230565371</v>
      </c>
      <c r="W397" s="101">
        <f t="shared" si="50"/>
        <v>0.32022720979906122</v>
      </c>
      <c r="X397" s="95"/>
      <c r="Y397" s="95"/>
      <c r="Z397" s="102"/>
      <c r="AA397" s="103">
        <v>46122</v>
      </c>
      <c r="AB397" s="103">
        <v>46145</v>
      </c>
      <c r="AC397" s="103"/>
      <c r="AD397" s="104">
        <f>IF(ISNA(VLOOKUP(D397,亚马逊入库配置费!B:F,5,0)),0,VLOOKUP(D397,亚马逊入库配置费!B:F,5,0))</f>
        <v>0.47167155425219942</v>
      </c>
      <c r="AE397" s="104">
        <f t="shared" si="51"/>
        <v>166.0283870967742</v>
      </c>
      <c r="AF397" s="103">
        <v>46164</v>
      </c>
      <c r="AG397" s="90">
        <f t="shared" si="53"/>
        <v>42</v>
      </c>
      <c r="AH397" s="103"/>
      <c r="AI397" s="96"/>
      <c r="AJ397" s="96"/>
      <c r="AK397" s="96"/>
      <c r="AL397" s="92"/>
      <c r="AM397" s="91"/>
      <c r="AN397" s="91"/>
      <c r="AO397" s="96"/>
      <c r="AP397" s="105"/>
      <c r="AQ397" s="105"/>
      <c r="AR397" s="105"/>
      <c r="AS397" s="105"/>
    </row>
    <row r="398" spans="1:45" ht="12" customHeight="1" x14ac:dyDescent="0.25">
      <c r="A398" s="90">
        <v>397</v>
      </c>
      <c r="B398" s="91"/>
      <c r="C398" s="91" t="s">
        <v>4388</v>
      </c>
      <c r="D398" s="92" t="s">
        <v>4396</v>
      </c>
      <c r="E398" s="91" t="s">
        <v>97</v>
      </c>
      <c r="F398" s="91" t="s">
        <v>0</v>
      </c>
      <c r="G398" s="56" t="s">
        <v>100</v>
      </c>
      <c r="H398" s="91">
        <v>90</v>
      </c>
      <c r="I398" s="91" t="s">
        <v>89</v>
      </c>
      <c r="J398" s="91" t="s">
        <v>8</v>
      </c>
      <c r="K398" s="92" t="s">
        <v>9</v>
      </c>
      <c r="L398" s="93" t="str">
        <f>VLOOKUP(G398,'SKU 对应关系'!A:E,4,0)</f>
        <v>ANW-Bbot</v>
      </c>
      <c r="M398" s="94" t="str">
        <f>_xlfn.IFNA(VLOOKUP(G398,'SKU 对应关系'!A:B,2,0),"")</f>
        <v>ANW-Bbot ANW带盖瓶子 黑喷头</v>
      </c>
      <c r="N398" s="95" t="str">
        <f>_xlfn.IFNA(VLOOKUP(G398,'SKU 对应关系'!$A:$D,3,0),"")</f>
        <v>ANW-AC</v>
      </c>
      <c r="O398" s="96">
        <v>1</v>
      </c>
      <c r="P398" s="580">
        <v>14.15625</v>
      </c>
      <c r="Q398" s="96" t="s">
        <v>16</v>
      </c>
      <c r="R398" s="91">
        <v>4.8</v>
      </c>
      <c r="S398" s="95"/>
      <c r="T398" s="98">
        <v>0.70671378091872794</v>
      </c>
      <c r="U398" s="99">
        <f t="shared" si="49"/>
        <v>68.656713780918736</v>
      </c>
      <c r="V398" s="100">
        <f t="shared" si="52"/>
        <v>0.76285237534354156</v>
      </c>
      <c r="W398" s="101">
        <f t="shared" si="50"/>
        <v>0.11385856348411068</v>
      </c>
      <c r="X398" s="95"/>
      <c r="Y398" s="95"/>
      <c r="Z398" s="102"/>
      <c r="AA398" s="103">
        <v>46122</v>
      </c>
      <c r="AB398" s="103">
        <v>46145</v>
      </c>
      <c r="AC398" s="103"/>
      <c r="AD398" s="104">
        <f>IF(ISNA(VLOOKUP(D398,亚马逊入库配置费!B:F,5,0)),0,VLOOKUP(D398,亚马逊入库配置费!B:F,5,0))</f>
        <v>0.47167155425219942</v>
      </c>
      <c r="AE398" s="104">
        <f t="shared" si="51"/>
        <v>42.45043988269795</v>
      </c>
      <c r="AF398" s="103">
        <v>46164</v>
      </c>
      <c r="AG398" s="90">
        <f t="shared" si="53"/>
        <v>42</v>
      </c>
      <c r="AH398" s="103"/>
      <c r="AI398" s="96"/>
      <c r="AJ398" s="96"/>
      <c r="AK398" s="96"/>
      <c r="AL398" s="92"/>
      <c r="AM398" s="91"/>
      <c r="AN398" s="91"/>
      <c r="AO398" s="96"/>
      <c r="AP398" s="105"/>
      <c r="AQ398" s="105"/>
      <c r="AR398" s="105"/>
      <c r="AS398" s="105"/>
    </row>
    <row r="399" spans="1:45" ht="12" customHeight="1" x14ac:dyDescent="0.25">
      <c r="A399" s="90">
        <v>398</v>
      </c>
      <c r="B399" s="91"/>
      <c r="C399" s="91" t="s">
        <v>4397</v>
      </c>
      <c r="D399" s="92" t="s">
        <v>4398</v>
      </c>
      <c r="E399" s="91" t="s">
        <v>1164</v>
      </c>
      <c r="F399" s="91" t="s">
        <v>1165</v>
      </c>
      <c r="G399" s="56" t="s">
        <v>2872</v>
      </c>
      <c r="H399" s="91">
        <v>144</v>
      </c>
      <c r="I399" s="91" t="s">
        <v>207</v>
      </c>
      <c r="J399" s="91" t="s">
        <v>2064</v>
      </c>
      <c r="K399" s="92" t="s">
        <v>4186</v>
      </c>
      <c r="L399" s="93" t="str">
        <f>VLOOKUP(G399,'SKU 对应关系'!A:E,4,0)</f>
        <v>ANA-WH_EU</v>
      </c>
      <c r="M399" s="94" t="str">
        <f>_xlfn.IFNA(VLOOKUP(G399,'SKU 对应关系'!A:B,2,0),"")</f>
        <v>ANA-WH_EU 智能扩香仪 欧规 白色</v>
      </c>
      <c r="N399" s="95" t="str">
        <f>_xlfn.IFNA(VLOOKUP(G399,'SKU 对应关系'!$A:$D,3,0),"")</f>
        <v>ANA</v>
      </c>
      <c r="O399" s="96">
        <v>12</v>
      </c>
      <c r="P399" s="580">
        <v>178</v>
      </c>
      <c r="Q399" s="96" t="s">
        <v>16</v>
      </c>
      <c r="R399" s="91">
        <v>7.4</v>
      </c>
      <c r="S399" s="95">
        <v>250</v>
      </c>
      <c r="T399" s="98">
        <v>250</v>
      </c>
      <c r="U399" s="99">
        <f t="shared" si="49"/>
        <v>1567.2</v>
      </c>
      <c r="V399" s="100">
        <f t="shared" si="52"/>
        <v>10.883333333333333</v>
      </c>
      <c r="W399" s="101">
        <f t="shared" si="50"/>
        <v>1.6243781094527363</v>
      </c>
      <c r="X399" s="95"/>
      <c r="Y399" s="95"/>
      <c r="Z399" s="102"/>
      <c r="AA399" s="103">
        <v>46122</v>
      </c>
      <c r="AB399" s="103">
        <v>46163</v>
      </c>
      <c r="AC399" s="103"/>
      <c r="AD399" s="104">
        <f>IF(ISNA(VLOOKUP(D399,亚马逊入库配置费!B:F,5,0)),0,VLOOKUP(D399,亚马逊入库配置费!B:F,5,0))</f>
        <v>0</v>
      </c>
      <c r="AE399" s="104">
        <f t="shared" si="51"/>
        <v>0</v>
      </c>
      <c r="AF399" s="103"/>
      <c r="AG399" s="577">
        <f t="shared" si="53"/>
        <v>-46122</v>
      </c>
      <c r="AH399" s="103"/>
      <c r="AI399" s="96"/>
      <c r="AJ399" s="96"/>
      <c r="AK399" s="96"/>
      <c r="AL399" s="92"/>
      <c r="AM399" s="91"/>
      <c r="AN399" s="91"/>
      <c r="AO399" s="96"/>
      <c r="AP399" s="105"/>
      <c r="AQ399" s="105"/>
      <c r="AR399" s="105"/>
      <c r="AS399" s="105"/>
    </row>
    <row r="400" spans="1:45" ht="12" customHeight="1" x14ac:dyDescent="0.25">
      <c r="A400" s="90">
        <v>399</v>
      </c>
      <c r="B400" s="91"/>
      <c r="C400" s="91" t="s">
        <v>4399</v>
      </c>
      <c r="D400" s="92" t="s">
        <v>4400</v>
      </c>
      <c r="E400" s="91" t="s">
        <v>97</v>
      </c>
      <c r="F400" s="91" t="s">
        <v>0</v>
      </c>
      <c r="G400" s="56" t="s">
        <v>316</v>
      </c>
      <c r="H400" s="91">
        <v>450</v>
      </c>
      <c r="I400" s="91" t="s">
        <v>1767</v>
      </c>
      <c r="J400" s="91" t="s">
        <v>8</v>
      </c>
      <c r="K400" s="92" t="s">
        <v>9</v>
      </c>
      <c r="L400" s="93" t="str">
        <f>VLOOKUP(G400,'SKU 对应关系'!A:E,4,0)</f>
        <v>A-RZ3-100</v>
      </c>
      <c r="M400" s="94" t="str">
        <f>_xlfn.IFNA(VLOOKUP(G400,'SKU 对应关系'!A:B,2,0),"")</f>
        <v>A-Ritz Carlton Hotel 3-100 丽思卡尔顿酒店3香氛油100mL</v>
      </c>
      <c r="N400" s="95" t="str">
        <f>_xlfn.IFNA(VLOOKUP(G400,'SKU 对应关系'!$A:$D,3,0),"")</f>
        <v>Oil-HQ</v>
      </c>
      <c r="O400" s="96">
        <v>5</v>
      </c>
      <c r="P400" s="580">
        <v>101.67</v>
      </c>
      <c r="Q400" s="96" t="s">
        <v>16</v>
      </c>
      <c r="R400" s="91">
        <v>6.2</v>
      </c>
      <c r="S400" s="95">
        <v>180</v>
      </c>
      <c r="T400" s="98">
        <v>100</v>
      </c>
      <c r="U400" s="99">
        <f t="shared" si="49"/>
        <v>730.35400000000004</v>
      </c>
      <c r="V400" s="100">
        <f t="shared" si="52"/>
        <v>1.6230088888888889</v>
      </c>
      <c r="W400" s="101">
        <f t="shared" si="50"/>
        <v>0.24224013266998343</v>
      </c>
      <c r="X400" s="95"/>
      <c r="Y400" s="95"/>
      <c r="Z400" s="102"/>
      <c r="AA400" s="103">
        <v>46122</v>
      </c>
      <c r="AB400" s="103">
        <v>46144</v>
      </c>
      <c r="AC400" s="103"/>
      <c r="AD400" s="104">
        <f>IF(ISNA(VLOOKUP(D400,亚马逊入库配置费!B:F,5,0)),0,VLOOKUP(D400,亚马逊入库配置费!B:F,5,0))</f>
        <v>0.36</v>
      </c>
      <c r="AE400" s="104">
        <f t="shared" si="51"/>
        <v>162</v>
      </c>
      <c r="AF400" s="103">
        <v>46151</v>
      </c>
      <c r="AG400" s="90">
        <f t="shared" si="53"/>
        <v>29</v>
      </c>
      <c r="AH400" s="103">
        <v>46180</v>
      </c>
      <c r="AI400" s="96"/>
      <c r="AJ400" s="96"/>
      <c r="AK400" s="96"/>
      <c r="AL400" s="92"/>
      <c r="AM400" s="91"/>
      <c r="AN400" s="91"/>
      <c r="AO400" s="96"/>
      <c r="AP400" s="105"/>
      <c r="AQ400" s="105"/>
      <c r="AR400" s="105"/>
      <c r="AS400" s="105"/>
    </row>
    <row r="401" spans="1:45" ht="12" customHeight="1" x14ac:dyDescent="0.25">
      <c r="A401" s="90">
        <v>400</v>
      </c>
      <c r="B401" s="91"/>
      <c r="C401" s="91" t="s">
        <v>4399</v>
      </c>
      <c r="D401" s="92" t="s">
        <v>4401</v>
      </c>
      <c r="E401" s="91" t="s">
        <v>115</v>
      </c>
      <c r="F401" s="91" t="s">
        <v>0</v>
      </c>
      <c r="G401" s="56" t="s">
        <v>2981</v>
      </c>
      <c r="H401" s="91">
        <v>228</v>
      </c>
      <c r="I401" s="91" t="s">
        <v>1767</v>
      </c>
      <c r="J401" s="91" t="s">
        <v>8</v>
      </c>
      <c r="K401" s="92" t="s">
        <v>9</v>
      </c>
      <c r="L401" s="93" t="str">
        <f>VLOOKUP(G401,'SKU 对应关系'!A:E,4,0)</f>
        <v>HOTEL6KIT1-6X10K01</v>
      </c>
      <c r="M401" s="94" t="str">
        <f>_xlfn.IFNA(VLOOKUP(G401,'SKU 对应关系'!A:B,2,0),"")</f>
        <v>HOTEL6KIT1-6X10K01 酒店香氛油6款10mL套装</v>
      </c>
      <c r="N401" s="95" t="str">
        <f>_xlfn.IFNA(VLOOKUP(G401,'SKU 对应关系'!$A:$D,3,0),"")</f>
        <v>Oil-HQ</v>
      </c>
      <c r="O401" s="96">
        <v>3</v>
      </c>
      <c r="P401" s="580">
        <v>60.997500000000002</v>
      </c>
      <c r="Q401" s="96" t="s">
        <v>16</v>
      </c>
      <c r="R401" s="91">
        <v>6.2</v>
      </c>
      <c r="S401" s="106">
        <v>180</v>
      </c>
      <c r="T401" s="98">
        <v>60</v>
      </c>
      <c r="U401" s="99">
        <f t="shared" si="49"/>
        <v>438.18450000000001</v>
      </c>
      <c r="V401" s="100">
        <f t="shared" si="52"/>
        <v>1.9218618421052631</v>
      </c>
      <c r="W401" s="101">
        <f t="shared" si="50"/>
        <v>0.28684505106048702</v>
      </c>
      <c r="X401" s="95"/>
      <c r="Y401" s="95"/>
      <c r="Z401" s="102"/>
      <c r="AA401" s="103">
        <v>46122</v>
      </c>
      <c r="AB401" s="103">
        <v>46144</v>
      </c>
      <c r="AC401" s="103"/>
      <c r="AD401" s="104">
        <f>IF(ISNA(VLOOKUP(D401,亚马逊入库配置费!B:F,5,0)),0,VLOOKUP(D401,亚马逊入库配置费!B:F,5,0))</f>
        <v>0.36</v>
      </c>
      <c r="AE401" s="104">
        <f t="shared" si="51"/>
        <v>82.08</v>
      </c>
      <c r="AF401" s="103">
        <v>46151</v>
      </c>
      <c r="AG401" s="90">
        <f t="shared" si="53"/>
        <v>29</v>
      </c>
      <c r="AH401" s="103">
        <v>46180</v>
      </c>
      <c r="AI401" s="96"/>
      <c r="AJ401" s="96"/>
      <c r="AK401" s="96"/>
      <c r="AL401" s="92"/>
      <c r="AM401" s="91"/>
      <c r="AN401" s="91"/>
      <c r="AO401" s="96"/>
      <c r="AP401" s="105"/>
      <c r="AQ401" s="105"/>
      <c r="AR401" s="105"/>
      <c r="AS401" s="105"/>
    </row>
    <row r="402" spans="1:45" ht="12" customHeight="1" x14ac:dyDescent="0.25">
      <c r="A402" s="90">
        <v>401</v>
      </c>
      <c r="B402" s="91"/>
      <c r="C402" s="91" t="s">
        <v>4399</v>
      </c>
      <c r="D402" s="92" t="s">
        <v>4401</v>
      </c>
      <c r="E402" s="91" t="s">
        <v>115</v>
      </c>
      <c r="F402" s="91" t="s">
        <v>0</v>
      </c>
      <c r="G402" s="56" t="s">
        <v>1054</v>
      </c>
      <c r="H402" s="91">
        <v>90</v>
      </c>
      <c r="I402" s="91" t="s">
        <v>1767</v>
      </c>
      <c r="J402" s="91" t="s">
        <v>8</v>
      </c>
      <c r="K402" s="92" t="s">
        <v>9</v>
      </c>
      <c r="L402" s="93" t="str">
        <f>VLOOKUP(G402,'SKU 对应关系'!A:E,4,0)</f>
        <v>A-JY-100</v>
      </c>
      <c r="M402" s="94" t="str">
        <f>_xlfn.IFNA(VLOOKUP(G402,'SKU 对应关系'!A:B,2,0),"")</f>
        <v>A-Grand Hyatt Hotel-100 君悦酒店香氛油100mL</v>
      </c>
      <c r="N402" s="95" t="str">
        <f>_xlfn.IFNA(VLOOKUP(G402,'SKU 对应关系'!$A:$D,3,0),"")</f>
        <v>Oil-HQ</v>
      </c>
      <c r="O402" s="96">
        <v>1</v>
      </c>
      <c r="P402" s="580">
        <v>20.3325</v>
      </c>
      <c r="Q402" s="96" t="s">
        <v>16</v>
      </c>
      <c r="R402" s="91">
        <v>6.2</v>
      </c>
      <c r="S402" s="95"/>
      <c r="T402" s="98">
        <v>20</v>
      </c>
      <c r="U402" s="99">
        <f t="shared" si="49"/>
        <v>146.0615</v>
      </c>
      <c r="V402" s="100">
        <f t="shared" si="52"/>
        <v>1.6229055555555556</v>
      </c>
      <c r="W402" s="101">
        <f t="shared" si="50"/>
        <v>0.24222470978441127</v>
      </c>
      <c r="X402" s="95"/>
      <c r="Y402" s="95"/>
      <c r="Z402" s="102"/>
      <c r="AA402" s="103">
        <v>46122</v>
      </c>
      <c r="AB402" s="103">
        <v>46144</v>
      </c>
      <c r="AC402" s="103"/>
      <c r="AD402" s="104">
        <f>IF(ISNA(VLOOKUP(D402,亚马逊入库配置费!B:F,5,0)),0,VLOOKUP(D402,亚马逊入库配置费!B:F,5,0))</f>
        <v>0.36</v>
      </c>
      <c r="AE402" s="104">
        <f t="shared" si="51"/>
        <v>32.4</v>
      </c>
      <c r="AF402" s="103">
        <v>46151</v>
      </c>
      <c r="AG402" s="90">
        <f t="shared" si="53"/>
        <v>29</v>
      </c>
      <c r="AH402" s="103">
        <v>46180</v>
      </c>
      <c r="AI402" s="96"/>
      <c r="AJ402" s="96"/>
      <c r="AK402" s="96"/>
      <c r="AL402" s="92"/>
      <c r="AM402" s="91"/>
      <c r="AN402" s="91"/>
      <c r="AO402" s="96"/>
      <c r="AP402" s="105"/>
      <c r="AQ402" s="105"/>
      <c r="AR402" s="105"/>
      <c r="AS402" s="105"/>
    </row>
    <row r="403" spans="1:45" ht="12" customHeight="1" x14ac:dyDescent="0.25">
      <c r="A403" s="90">
        <v>402</v>
      </c>
      <c r="B403" s="91"/>
      <c r="C403" s="91" t="s">
        <v>4402</v>
      </c>
      <c r="D403" s="92" t="s">
        <v>4403</v>
      </c>
      <c r="E403" s="91" t="s">
        <v>115</v>
      </c>
      <c r="F403" s="91" t="s">
        <v>0</v>
      </c>
      <c r="G403" s="56" t="s">
        <v>2864</v>
      </c>
      <c r="H403" s="91">
        <v>256</v>
      </c>
      <c r="I403" s="91" t="s">
        <v>1767</v>
      </c>
      <c r="J403" s="91" t="s">
        <v>8</v>
      </c>
      <c r="K403" s="92" t="s">
        <v>50</v>
      </c>
      <c r="L403" s="93" t="str">
        <f>VLOOKUP(G403,'SKU 对应关系'!A:E,4,0)</f>
        <v>BCRT1-100ML_TZ</v>
      </c>
      <c r="M403" s="94" t="str">
        <f>_xlfn.IFNA(VLOOKUP(G403,'SKU 对应关系'!A:B,2,0),"")</f>
        <v>BCRT1-100ML_TZ 巴卡拉酒店100mL香氛油（天竺） 销售包装</v>
      </c>
      <c r="N403" s="95" t="str">
        <f>_xlfn.IFNA(VLOOKUP(G403,'SKU 对应关系'!$A:$D,3,0),"")</f>
        <v>Oil-TZ</v>
      </c>
      <c r="O403" s="96">
        <v>4</v>
      </c>
      <c r="P403" s="580">
        <v>59.272727272727273</v>
      </c>
      <c r="Q403" s="96" t="s">
        <v>16</v>
      </c>
      <c r="R403" s="91">
        <v>6.3</v>
      </c>
      <c r="S403" s="95">
        <v>180</v>
      </c>
      <c r="T403" s="98">
        <v>65.454545454545453</v>
      </c>
      <c r="U403" s="99">
        <f t="shared" si="49"/>
        <v>438.87272727272727</v>
      </c>
      <c r="V403" s="100">
        <f t="shared" si="52"/>
        <v>1.7143465909090909</v>
      </c>
      <c r="W403" s="101">
        <f t="shared" si="50"/>
        <v>0.25587262550881951</v>
      </c>
      <c r="X403" s="95"/>
      <c r="Y403" s="95"/>
      <c r="Z403" s="102"/>
      <c r="AA403" s="103">
        <v>46122</v>
      </c>
      <c r="AB403" s="103">
        <v>46147</v>
      </c>
      <c r="AC403" s="103"/>
      <c r="AD403" s="104">
        <f>IF(ISNA(VLOOKUP(D403,亚马逊入库配置费!B:F,5,0)),0,VLOOKUP(D403,亚马逊入库配置费!B:F,5,0))</f>
        <v>0.36</v>
      </c>
      <c r="AE403" s="104">
        <f t="shared" si="51"/>
        <v>92.16</v>
      </c>
      <c r="AF403" s="103">
        <v>46159</v>
      </c>
      <c r="AG403" s="90">
        <f t="shared" si="53"/>
        <v>37</v>
      </c>
      <c r="AH403" s="103"/>
      <c r="AI403" s="96"/>
      <c r="AJ403" s="96"/>
      <c r="AK403" s="96"/>
      <c r="AL403" s="92"/>
      <c r="AM403" s="91"/>
      <c r="AN403" s="91"/>
      <c r="AO403" s="96"/>
      <c r="AP403" s="105"/>
      <c r="AQ403" s="105"/>
      <c r="AR403" s="105"/>
      <c r="AS403" s="105"/>
    </row>
    <row r="404" spans="1:45" ht="12" customHeight="1" x14ac:dyDescent="0.25">
      <c r="A404" s="90">
        <v>403</v>
      </c>
      <c r="B404" s="91"/>
      <c r="C404" s="91" t="s">
        <v>4402</v>
      </c>
      <c r="D404" s="92" t="s">
        <v>4403</v>
      </c>
      <c r="E404" s="91" t="s">
        <v>115</v>
      </c>
      <c r="F404" s="91" t="s">
        <v>0</v>
      </c>
      <c r="G404" s="56" t="s">
        <v>2863</v>
      </c>
      <c r="H404" s="91">
        <v>256</v>
      </c>
      <c r="I404" s="91" t="s">
        <v>1767</v>
      </c>
      <c r="J404" s="91" t="s">
        <v>8</v>
      </c>
      <c r="K404" s="92" t="s">
        <v>50</v>
      </c>
      <c r="L404" s="93" t="str">
        <f>VLOOKUP(G404,'SKU 对应关系'!A:E,4,0)</f>
        <v>W1-100ML_TZ</v>
      </c>
      <c r="M404" s="94" t="str">
        <f>_xlfn.IFNA(VLOOKUP(G404,'SKU 对应关系'!A:B,2,0),"")</f>
        <v>W1-100ML_TZ W酒店100mL香氛油（天竺） 销售包装</v>
      </c>
      <c r="N404" s="95" t="str">
        <f>_xlfn.IFNA(VLOOKUP(G404,'SKU 对应关系'!$A:$D,3,0),"")</f>
        <v>Oil-TZ</v>
      </c>
      <c r="O404" s="96">
        <v>4</v>
      </c>
      <c r="P404" s="580">
        <v>59.272727272727273</v>
      </c>
      <c r="Q404" s="96" t="s">
        <v>16</v>
      </c>
      <c r="R404" s="91">
        <v>6.3</v>
      </c>
      <c r="S404" s="106">
        <v>180</v>
      </c>
      <c r="T404" s="98">
        <v>65.454545454545453</v>
      </c>
      <c r="U404" s="99">
        <f t="shared" si="49"/>
        <v>438.87272727272727</v>
      </c>
      <c r="V404" s="100">
        <f t="shared" si="52"/>
        <v>1.7143465909090909</v>
      </c>
      <c r="W404" s="101">
        <f t="shared" si="50"/>
        <v>0.25587262550881951</v>
      </c>
      <c r="X404" s="95"/>
      <c r="Y404" s="95"/>
      <c r="Z404" s="102"/>
      <c r="AA404" s="103">
        <v>46122</v>
      </c>
      <c r="AB404" s="103">
        <v>46147</v>
      </c>
      <c r="AC404" s="103"/>
      <c r="AD404" s="104">
        <f>IF(ISNA(VLOOKUP(D404,亚马逊入库配置费!B:F,5,0)),0,VLOOKUP(D404,亚马逊入库配置费!B:F,5,0))</f>
        <v>0.36</v>
      </c>
      <c r="AE404" s="104">
        <f t="shared" si="51"/>
        <v>92.16</v>
      </c>
      <c r="AF404" s="103">
        <v>46159</v>
      </c>
      <c r="AG404" s="90">
        <f t="shared" si="53"/>
        <v>37</v>
      </c>
      <c r="AH404" s="103"/>
      <c r="AI404" s="96"/>
      <c r="AJ404" s="96"/>
      <c r="AK404" s="96"/>
      <c r="AL404" s="92"/>
      <c r="AM404" s="91"/>
      <c r="AN404" s="91"/>
      <c r="AO404" s="96"/>
      <c r="AP404" s="105"/>
      <c r="AQ404" s="105"/>
      <c r="AR404" s="105"/>
      <c r="AS404" s="105"/>
    </row>
    <row r="405" spans="1:45" ht="12" customHeight="1" x14ac:dyDescent="0.25">
      <c r="A405" s="90">
        <v>404</v>
      </c>
      <c r="B405" s="91"/>
      <c r="C405" s="91" t="s">
        <v>4402</v>
      </c>
      <c r="D405" s="92" t="s">
        <v>4403</v>
      </c>
      <c r="E405" s="91" t="s">
        <v>115</v>
      </c>
      <c r="F405" s="91" t="s">
        <v>0</v>
      </c>
      <c r="G405" s="56" t="s">
        <v>2295</v>
      </c>
      <c r="H405" s="91">
        <v>128</v>
      </c>
      <c r="I405" s="91" t="s">
        <v>1767</v>
      </c>
      <c r="J405" s="91" t="s">
        <v>8</v>
      </c>
      <c r="K405" s="92" t="s">
        <v>50</v>
      </c>
      <c r="L405" s="93" t="str">
        <f>VLOOKUP(G405,'SKU 对应关系'!A:E,4,0)</f>
        <v>HILTON1-100ML_TZ</v>
      </c>
      <c r="M405" s="94" t="str">
        <f>_xlfn.IFNA(VLOOKUP(G405,'SKU 对应关系'!A:B,2,0),"")</f>
        <v>HILTON1-100ML_TZ 希尔顿酒店100mL香氛油（天竺） 销售包装</v>
      </c>
      <c r="N405" s="95" t="str">
        <f>_xlfn.IFNA(VLOOKUP(G405,'SKU 对应关系'!$A:$D,3,0),"")</f>
        <v>Oil-TZ</v>
      </c>
      <c r="O405" s="96">
        <v>2</v>
      </c>
      <c r="P405" s="580">
        <v>29.636363636363637</v>
      </c>
      <c r="Q405" s="96" t="s">
        <v>16</v>
      </c>
      <c r="R405" s="91">
        <v>6.3</v>
      </c>
      <c r="S405" s="95"/>
      <c r="T405" s="98">
        <v>32.727272727272727</v>
      </c>
      <c r="U405" s="99">
        <f t="shared" si="49"/>
        <v>219.43636363636364</v>
      </c>
      <c r="V405" s="100">
        <f t="shared" si="52"/>
        <v>1.7143465909090909</v>
      </c>
      <c r="W405" s="101">
        <f t="shared" si="50"/>
        <v>0.25587262550881951</v>
      </c>
      <c r="X405" s="95"/>
      <c r="Y405" s="95"/>
      <c r="Z405" s="102"/>
      <c r="AA405" s="103">
        <v>46122</v>
      </c>
      <c r="AB405" s="103">
        <v>46147</v>
      </c>
      <c r="AC405" s="103"/>
      <c r="AD405" s="104">
        <f>IF(ISNA(VLOOKUP(D405,亚马逊入库配置费!B:F,5,0)),0,VLOOKUP(D405,亚马逊入库配置费!B:F,5,0))</f>
        <v>0.36</v>
      </c>
      <c r="AE405" s="104">
        <f t="shared" si="51"/>
        <v>46.08</v>
      </c>
      <c r="AF405" s="103">
        <v>46159</v>
      </c>
      <c r="AG405" s="90">
        <f t="shared" si="53"/>
        <v>37</v>
      </c>
      <c r="AH405" s="103"/>
      <c r="AI405" s="96"/>
      <c r="AJ405" s="96"/>
      <c r="AK405" s="96"/>
      <c r="AL405" s="92"/>
      <c r="AM405" s="91"/>
      <c r="AN405" s="91"/>
      <c r="AO405" s="96"/>
      <c r="AP405" s="105"/>
      <c r="AQ405" s="105"/>
      <c r="AR405" s="105"/>
      <c r="AS405" s="105"/>
    </row>
    <row r="406" spans="1:45" ht="12" customHeight="1" x14ac:dyDescent="0.25">
      <c r="A406" s="90">
        <v>405</v>
      </c>
      <c r="B406" s="91"/>
      <c r="C406" s="91" t="s">
        <v>4402</v>
      </c>
      <c r="D406" s="92" t="s">
        <v>4403</v>
      </c>
      <c r="E406" s="91" t="s">
        <v>115</v>
      </c>
      <c r="F406" s="91" t="s">
        <v>0</v>
      </c>
      <c r="G406" s="56" t="s">
        <v>2297</v>
      </c>
      <c r="H406" s="91">
        <v>64</v>
      </c>
      <c r="I406" s="91" t="s">
        <v>1767</v>
      </c>
      <c r="J406" s="91" t="s">
        <v>8</v>
      </c>
      <c r="K406" s="92" t="s">
        <v>50</v>
      </c>
      <c r="L406" s="93" t="str">
        <f>VLOOKUP(G406,'SKU 对应关系'!A:E,4,0)</f>
        <v>YH1-100ML_TZ</v>
      </c>
      <c r="M406" s="94" t="str">
        <f>_xlfn.IFNA(VLOOKUP(G406,'SKU 对应关系'!A:B,2,0),"")</f>
        <v>YH1-100ML_TZ 樱花100mL香氛油（天竺）销售包装</v>
      </c>
      <c r="N406" s="95" t="str">
        <f>_xlfn.IFNA(VLOOKUP(G406,'SKU 对应关系'!$A:$D,3,0),"")</f>
        <v>Oil-TZ</v>
      </c>
      <c r="O406" s="96">
        <v>1</v>
      </c>
      <c r="P406" s="580">
        <v>14.818181818181818</v>
      </c>
      <c r="Q406" s="96" t="s">
        <v>16</v>
      </c>
      <c r="R406" s="91">
        <v>6.3</v>
      </c>
      <c r="S406" s="95"/>
      <c r="T406" s="98">
        <v>16.363636363636363</v>
      </c>
      <c r="U406" s="99">
        <f t="shared" si="49"/>
        <v>109.71818181818182</v>
      </c>
      <c r="V406" s="100">
        <f t="shared" si="52"/>
        <v>1.7143465909090909</v>
      </c>
      <c r="W406" s="101">
        <f t="shared" si="50"/>
        <v>0.25587262550881951</v>
      </c>
      <c r="X406" s="95"/>
      <c r="Y406" s="95"/>
      <c r="Z406" s="102"/>
      <c r="AA406" s="103">
        <v>46122</v>
      </c>
      <c r="AB406" s="103">
        <v>46147</v>
      </c>
      <c r="AC406" s="103"/>
      <c r="AD406" s="104">
        <f>IF(ISNA(VLOOKUP(D406,亚马逊入库配置费!B:F,5,0)),0,VLOOKUP(D406,亚马逊入库配置费!B:F,5,0))</f>
        <v>0.36</v>
      </c>
      <c r="AE406" s="104">
        <f t="shared" si="51"/>
        <v>23.04</v>
      </c>
      <c r="AF406" s="103">
        <v>46159</v>
      </c>
      <c r="AG406" s="90">
        <f t="shared" si="53"/>
        <v>37</v>
      </c>
      <c r="AH406" s="103"/>
      <c r="AI406" s="96"/>
      <c r="AJ406" s="96"/>
      <c r="AK406" s="96"/>
      <c r="AL406" s="92"/>
      <c r="AM406" s="91"/>
      <c r="AN406" s="91"/>
      <c r="AO406" s="96"/>
      <c r="AP406" s="105"/>
      <c r="AQ406" s="105"/>
      <c r="AR406" s="105"/>
      <c r="AS406" s="105"/>
    </row>
    <row r="407" spans="1:45" ht="12" customHeight="1" x14ac:dyDescent="0.25">
      <c r="A407" s="90">
        <v>406</v>
      </c>
      <c r="B407" s="91"/>
      <c r="C407" s="91" t="s">
        <v>4404</v>
      </c>
      <c r="D407" s="92" t="s">
        <v>4405</v>
      </c>
      <c r="E407" s="91" t="s">
        <v>115</v>
      </c>
      <c r="F407" s="91" t="s">
        <v>0</v>
      </c>
      <c r="G407" s="56" t="s">
        <v>448</v>
      </c>
      <c r="H407" s="91">
        <v>70</v>
      </c>
      <c r="I407" s="91" t="s">
        <v>117</v>
      </c>
      <c r="J407" s="91" t="s">
        <v>8</v>
      </c>
      <c r="K407" s="92" t="s">
        <v>15</v>
      </c>
      <c r="L407" s="93" t="str">
        <f>VLOOKUP(G407,'SKU 对应关系'!A:E,4,0)</f>
        <v>ES1-B</v>
      </c>
      <c r="M407" s="94" t="str">
        <f>_xlfn.IFNA(VLOOKUP(G407,'SKU 对应关系'!A:B,2,0),"")</f>
        <v>ES1-B 电动泡沫喷机 黑色</v>
      </c>
      <c r="N407" s="95" t="str">
        <f>_xlfn.IFNA(VLOOKUP(G407,'SKU 对应关系'!$A:$D,3,0),"")</f>
        <v>ES1</v>
      </c>
      <c r="O407" s="96">
        <v>1</v>
      </c>
      <c r="P407" s="580">
        <v>13.25</v>
      </c>
      <c r="Q407" s="96" t="s">
        <v>16</v>
      </c>
      <c r="R407" s="91">
        <v>4.3</v>
      </c>
      <c r="S407" s="95">
        <v>200</v>
      </c>
      <c r="T407" s="98">
        <v>10</v>
      </c>
      <c r="U407" s="99">
        <f t="shared" si="49"/>
        <v>66.974999999999994</v>
      </c>
      <c r="V407" s="100">
        <f t="shared" si="52"/>
        <v>0.95678571428571424</v>
      </c>
      <c r="W407" s="101">
        <f t="shared" si="50"/>
        <v>0.14280383795309168</v>
      </c>
      <c r="X407" s="95"/>
      <c r="Y407" s="95"/>
      <c r="Z407" s="102"/>
      <c r="AA407" s="103">
        <v>46123</v>
      </c>
      <c r="AB407" s="103">
        <v>46144</v>
      </c>
      <c r="AC407" s="103"/>
      <c r="AD407" s="104">
        <f>IF(ISNA(VLOOKUP(D407,亚马逊入库配置费!B:F,5,0)),0,VLOOKUP(D407,亚马逊入库配置费!B:F,5,0))</f>
        <v>0.40799999999999997</v>
      </c>
      <c r="AE407" s="104">
        <f t="shared" si="51"/>
        <v>28.56</v>
      </c>
      <c r="AF407" s="103">
        <v>46151</v>
      </c>
      <c r="AG407" s="90">
        <f t="shared" si="53"/>
        <v>28</v>
      </c>
      <c r="AH407" s="103"/>
      <c r="AI407" s="96"/>
      <c r="AJ407" s="96"/>
      <c r="AK407" s="96"/>
      <c r="AL407" s="92"/>
      <c r="AM407" s="91"/>
      <c r="AN407" s="91"/>
      <c r="AO407" s="96"/>
      <c r="AP407" s="105"/>
      <c r="AQ407" s="105"/>
      <c r="AR407" s="105"/>
      <c r="AS407" s="105"/>
    </row>
    <row r="408" spans="1:45" ht="12" customHeight="1" x14ac:dyDescent="0.25">
      <c r="A408" s="90">
        <v>407</v>
      </c>
      <c r="B408" s="91"/>
      <c r="C408" s="91" t="s">
        <v>4404</v>
      </c>
      <c r="D408" s="92" t="s">
        <v>4405</v>
      </c>
      <c r="E408" s="91" t="s">
        <v>115</v>
      </c>
      <c r="F408" s="91" t="s">
        <v>0</v>
      </c>
      <c r="G408" s="56" t="s">
        <v>451</v>
      </c>
      <c r="H408" s="91">
        <v>288</v>
      </c>
      <c r="I408" s="91" t="s">
        <v>117</v>
      </c>
      <c r="J408" s="91" t="s">
        <v>8</v>
      </c>
      <c r="K408" s="92" t="s">
        <v>15</v>
      </c>
      <c r="L408" s="93" t="str">
        <f>VLOOKUP(G408,'SKU 对应关系'!A:E,4,0)</f>
        <v>ES1-Bkit</v>
      </c>
      <c r="M408" s="94" t="str">
        <f>_xlfn.IFNA(VLOOKUP(G408,'SKU 对应关系'!A:B,2,0),"")</f>
        <v>ES1-Bkit 电动泡沫喷机黑色 托架 硅胶刷 套装</v>
      </c>
      <c r="N408" s="95" t="str">
        <f>_xlfn.IFNA(VLOOKUP(G408,'SKU 对应关系'!$A:$D,3,0),"")</f>
        <v>ES1</v>
      </c>
      <c r="O408" s="96">
        <v>12</v>
      </c>
      <c r="P408" s="580">
        <v>159</v>
      </c>
      <c r="Q408" s="96" t="s">
        <v>16</v>
      </c>
      <c r="R408" s="91">
        <v>4.3</v>
      </c>
      <c r="S408" s="106">
        <v>200</v>
      </c>
      <c r="T408" s="98">
        <v>120</v>
      </c>
      <c r="U408" s="99">
        <f t="shared" si="49"/>
        <v>803.69999999999993</v>
      </c>
      <c r="V408" s="100">
        <f t="shared" si="52"/>
        <v>2.7906249999999999</v>
      </c>
      <c r="W408" s="101">
        <f t="shared" si="50"/>
        <v>0.41651119402985071</v>
      </c>
      <c r="X408" s="95"/>
      <c r="Y408" s="95"/>
      <c r="Z408" s="102"/>
      <c r="AA408" s="103">
        <v>46123</v>
      </c>
      <c r="AB408" s="103">
        <v>46144</v>
      </c>
      <c r="AC408" s="103"/>
      <c r="AD408" s="104">
        <f>IF(ISNA(VLOOKUP(D408,亚马逊入库配置费!B:F,5,0)),0,VLOOKUP(D408,亚马逊入库配置费!B:F,5,0))</f>
        <v>0.40799999999999997</v>
      </c>
      <c r="AE408" s="104">
        <f t="shared" si="51"/>
        <v>117.50399999999999</v>
      </c>
      <c r="AF408" s="103">
        <v>46151</v>
      </c>
      <c r="AG408" s="90">
        <f t="shared" si="53"/>
        <v>28</v>
      </c>
      <c r="AH408" s="103"/>
      <c r="AI408" s="96"/>
      <c r="AJ408" s="96"/>
      <c r="AK408" s="96"/>
      <c r="AL408" s="92"/>
      <c r="AM408" s="91"/>
      <c r="AN408" s="91"/>
      <c r="AO408" s="96"/>
      <c r="AP408" s="105"/>
      <c r="AQ408" s="105"/>
      <c r="AR408" s="105"/>
      <c r="AS408" s="105"/>
    </row>
    <row r="409" spans="1:45" ht="12" customHeight="1" x14ac:dyDescent="0.25">
      <c r="A409" s="90">
        <v>408</v>
      </c>
      <c r="B409" s="91"/>
      <c r="C409" s="91" t="s">
        <v>4404</v>
      </c>
      <c r="D409" s="92" t="s">
        <v>4405</v>
      </c>
      <c r="E409" s="91" t="s">
        <v>115</v>
      </c>
      <c r="F409" s="91" t="s">
        <v>0</v>
      </c>
      <c r="G409" s="56" t="s">
        <v>4406</v>
      </c>
      <c r="H409" s="91">
        <v>120</v>
      </c>
      <c r="I409" s="91" t="s">
        <v>117</v>
      </c>
      <c r="J409" s="91" t="s">
        <v>8</v>
      </c>
      <c r="K409" s="92" t="s">
        <v>15</v>
      </c>
      <c r="L409" s="93" t="str">
        <f>VLOOKUP(G409,'SKU 对应关系'!A:E,4,0)</f>
        <v>ES1KIT-W_W</v>
      </c>
      <c r="M409" s="94" t="str">
        <f>_xlfn.IFNA(VLOOKUP(G409,'SKU 对应关系'!A:B,2,0),"")</f>
        <v>ES1KIT-W_W 电动泡沫喷机 白色 两个装</v>
      </c>
      <c r="N409" s="95" t="str">
        <f>_xlfn.IFNA(VLOOKUP(G409,'SKU 对应关系'!$A:$D,3,0),"")</f>
        <v>ES1</v>
      </c>
      <c r="O409" s="96">
        <v>5</v>
      </c>
      <c r="P409" s="580">
        <v>66.25</v>
      </c>
      <c r="Q409" s="96" t="s">
        <v>16</v>
      </c>
      <c r="R409" s="91">
        <v>4.3</v>
      </c>
      <c r="S409" s="95"/>
      <c r="T409" s="98">
        <v>50</v>
      </c>
      <c r="U409" s="99">
        <f t="shared" si="49"/>
        <v>334.875</v>
      </c>
      <c r="V409" s="100">
        <f t="shared" si="52"/>
        <v>2.7906249999999999</v>
      </c>
      <c r="W409" s="101">
        <f t="shared" si="50"/>
        <v>0.41651119402985071</v>
      </c>
      <c r="X409" s="95"/>
      <c r="Y409" s="95"/>
      <c r="Z409" s="102"/>
      <c r="AA409" s="103">
        <v>46123</v>
      </c>
      <c r="AB409" s="103">
        <v>46144</v>
      </c>
      <c r="AC409" s="103"/>
      <c r="AD409" s="104">
        <f>IF(ISNA(VLOOKUP(D409,亚马逊入库配置费!B:F,5,0)),0,VLOOKUP(D409,亚马逊入库配置费!B:F,5,0))</f>
        <v>0.40799999999999997</v>
      </c>
      <c r="AE409" s="104">
        <f t="shared" si="51"/>
        <v>48.959999999999994</v>
      </c>
      <c r="AF409" s="103">
        <v>46151</v>
      </c>
      <c r="AG409" s="90">
        <f t="shared" si="53"/>
        <v>28</v>
      </c>
      <c r="AH409" s="103"/>
      <c r="AI409" s="96"/>
      <c r="AJ409" s="96"/>
      <c r="AK409" s="96"/>
      <c r="AL409" s="92"/>
      <c r="AM409" s="91"/>
      <c r="AN409" s="91"/>
      <c r="AO409" s="96"/>
      <c r="AP409" s="105"/>
      <c r="AQ409" s="105"/>
      <c r="AR409" s="105"/>
      <c r="AS409" s="105"/>
    </row>
    <row r="410" spans="1:45" ht="12" customHeight="1" x14ac:dyDescent="0.25">
      <c r="A410" s="90">
        <v>409</v>
      </c>
      <c r="B410" s="91"/>
      <c r="C410" s="91" t="s">
        <v>4404</v>
      </c>
      <c r="D410" s="92" t="s">
        <v>4405</v>
      </c>
      <c r="E410" s="91" t="s">
        <v>115</v>
      </c>
      <c r="F410" s="91" t="s">
        <v>0</v>
      </c>
      <c r="G410" s="56" t="s">
        <v>448</v>
      </c>
      <c r="H410" s="91">
        <v>29</v>
      </c>
      <c r="I410" s="91" t="s">
        <v>117</v>
      </c>
      <c r="J410" s="91" t="s">
        <v>8</v>
      </c>
      <c r="K410" s="92" t="s">
        <v>15</v>
      </c>
      <c r="L410" s="93" t="str">
        <f>VLOOKUP(G410,'SKU 对应关系'!A:E,4,0)</f>
        <v>ES1-B</v>
      </c>
      <c r="M410" s="94" t="str">
        <f>_xlfn.IFNA(VLOOKUP(G410,'SKU 对应关系'!A:B,2,0),"")</f>
        <v>ES1-B 电动泡沫喷机 黑色</v>
      </c>
      <c r="N410" s="95" t="str">
        <f>_xlfn.IFNA(VLOOKUP(G410,'SKU 对应关系'!$A:$D,3,0),"")</f>
        <v>ES1</v>
      </c>
      <c r="O410" s="96">
        <v>0.5</v>
      </c>
      <c r="P410" s="580">
        <v>6.625</v>
      </c>
      <c r="Q410" s="96" t="s">
        <v>16</v>
      </c>
      <c r="R410" s="91">
        <v>4.3</v>
      </c>
      <c r="S410" s="95"/>
      <c r="T410" s="98">
        <v>5</v>
      </c>
      <c r="U410" s="99">
        <f t="shared" si="49"/>
        <v>33.487499999999997</v>
      </c>
      <c r="V410" s="100">
        <f t="shared" si="52"/>
        <v>1.1547413793103447</v>
      </c>
      <c r="W410" s="101">
        <f t="shared" si="50"/>
        <v>0.17234945959855891</v>
      </c>
      <c r="X410" s="95"/>
      <c r="Y410" s="95"/>
      <c r="Z410" s="102"/>
      <c r="AA410" s="103">
        <v>46123</v>
      </c>
      <c r="AB410" s="103">
        <v>46144</v>
      </c>
      <c r="AC410" s="103"/>
      <c r="AD410" s="104">
        <f>IF(ISNA(VLOOKUP(D410,亚马逊入库配置费!B:F,5,0)),0,VLOOKUP(D410,亚马逊入库配置费!B:F,5,0))</f>
        <v>0.40799999999999997</v>
      </c>
      <c r="AE410" s="104">
        <f t="shared" si="51"/>
        <v>11.831999999999999</v>
      </c>
      <c r="AF410" s="103">
        <v>46151</v>
      </c>
      <c r="AG410" s="90">
        <f t="shared" si="53"/>
        <v>28</v>
      </c>
      <c r="AH410" s="103"/>
      <c r="AI410" s="96"/>
      <c r="AJ410" s="96"/>
      <c r="AK410" s="96"/>
      <c r="AL410" s="92"/>
      <c r="AM410" s="91"/>
      <c r="AN410" s="91"/>
      <c r="AO410" s="96"/>
      <c r="AP410" s="105"/>
      <c r="AQ410" s="105"/>
      <c r="AR410" s="105"/>
      <c r="AS410" s="105"/>
    </row>
    <row r="411" spans="1:45" ht="12" customHeight="1" x14ac:dyDescent="0.25">
      <c r="A411" s="90">
        <v>410</v>
      </c>
      <c r="B411" s="91"/>
      <c r="C411" s="91" t="s">
        <v>4404</v>
      </c>
      <c r="D411" s="92" t="s">
        <v>4405</v>
      </c>
      <c r="E411" s="91" t="s">
        <v>115</v>
      </c>
      <c r="F411" s="91" t="s">
        <v>0</v>
      </c>
      <c r="G411" s="56" t="s">
        <v>3058</v>
      </c>
      <c r="H411" s="91">
        <v>33</v>
      </c>
      <c r="I411" s="91" t="s">
        <v>117</v>
      </c>
      <c r="J411" s="91" t="s">
        <v>8</v>
      </c>
      <c r="K411" s="92" t="s">
        <v>15</v>
      </c>
      <c r="L411" s="93" t="str">
        <f>VLOOKUP(G411,'SKU 对应关系'!A:E,4,0)</f>
        <v>ES1-W</v>
      </c>
      <c r="M411" s="94" t="str">
        <f>_xlfn.IFNA(VLOOKUP(G411,'SKU 对应关系'!A:B,2,0),"")</f>
        <v>ES1-W 电动泡沫喷机（202602新） 白色</v>
      </c>
      <c r="N411" s="95" t="str">
        <f>_xlfn.IFNA(VLOOKUP(G411,'SKU 对应关系'!$A:$D,3,0),"")</f>
        <v>ES1</v>
      </c>
      <c r="O411" s="96">
        <v>0.5</v>
      </c>
      <c r="P411" s="580">
        <v>6.625</v>
      </c>
      <c r="Q411" s="96" t="s">
        <v>16</v>
      </c>
      <c r="R411" s="91">
        <v>4.3</v>
      </c>
      <c r="S411" s="95"/>
      <c r="T411" s="98">
        <v>5</v>
      </c>
      <c r="U411" s="99">
        <f t="shared" si="49"/>
        <v>33.487499999999997</v>
      </c>
      <c r="V411" s="100">
        <f t="shared" si="52"/>
        <v>1.0147727272727272</v>
      </c>
      <c r="W411" s="101">
        <f t="shared" si="50"/>
        <v>0.15145861601085481</v>
      </c>
      <c r="X411" s="95"/>
      <c r="Y411" s="95"/>
      <c r="Z411" s="102"/>
      <c r="AA411" s="103">
        <v>46123</v>
      </c>
      <c r="AB411" s="103">
        <v>46144</v>
      </c>
      <c r="AC411" s="103"/>
      <c r="AD411" s="104">
        <f>IF(ISNA(VLOOKUP(D411,亚马逊入库配置费!B:F,5,0)),0,VLOOKUP(D411,亚马逊入库配置费!B:F,5,0))</f>
        <v>0.40799999999999997</v>
      </c>
      <c r="AE411" s="104">
        <f t="shared" si="51"/>
        <v>13.463999999999999</v>
      </c>
      <c r="AF411" s="103">
        <v>46151</v>
      </c>
      <c r="AG411" s="90">
        <f t="shared" si="53"/>
        <v>28</v>
      </c>
      <c r="AH411" s="103"/>
      <c r="AI411" s="96"/>
      <c r="AJ411" s="96"/>
      <c r="AK411" s="96"/>
      <c r="AL411" s="92"/>
      <c r="AM411" s="91"/>
      <c r="AN411" s="91"/>
      <c r="AO411" s="96"/>
      <c r="AP411" s="105"/>
      <c r="AQ411" s="105"/>
      <c r="AR411" s="105"/>
      <c r="AS411" s="105"/>
    </row>
    <row r="412" spans="1:45" ht="12" customHeight="1" x14ac:dyDescent="0.25">
      <c r="A412" s="90">
        <v>411</v>
      </c>
      <c r="B412" s="91"/>
      <c r="C412" s="91" t="s">
        <v>861</v>
      </c>
      <c r="D412" s="92" t="s">
        <v>4407</v>
      </c>
      <c r="E412" s="91" t="s">
        <v>4202</v>
      </c>
      <c r="F412" s="91" t="s">
        <v>0</v>
      </c>
      <c r="G412" s="56" t="s">
        <v>4406</v>
      </c>
      <c r="H412" s="91">
        <v>408</v>
      </c>
      <c r="I412" s="91" t="s">
        <v>207</v>
      </c>
      <c r="J412" s="91" t="s">
        <v>8</v>
      </c>
      <c r="K412" s="92" t="s">
        <v>9</v>
      </c>
      <c r="L412" s="93" t="str">
        <f>VLOOKUP(G412,'SKU 对应关系'!A:E,4,0)</f>
        <v>ES1KIT-W_W</v>
      </c>
      <c r="M412" s="94" t="str">
        <f>_xlfn.IFNA(VLOOKUP(G412,'SKU 对应关系'!A:B,2,0),"")</f>
        <v>ES1KIT-W_W 电动泡沫喷机 白色 两个装</v>
      </c>
      <c r="N412" s="95" t="str">
        <f>_xlfn.IFNA(VLOOKUP(G412,'SKU 对应关系'!$A:$D,3,0),"")</f>
        <v>ES1</v>
      </c>
      <c r="O412" s="96">
        <v>17</v>
      </c>
      <c r="P412" s="580">
        <v>201</v>
      </c>
      <c r="Q412" s="96" t="s">
        <v>16</v>
      </c>
      <c r="R412" s="91">
        <v>4.8</v>
      </c>
      <c r="S412" s="95">
        <v>200</v>
      </c>
      <c r="T412" s="98">
        <v>69.387755102040813</v>
      </c>
      <c r="U412" s="99">
        <f t="shared" si="49"/>
        <v>1034.1877551020407</v>
      </c>
      <c r="V412" s="100">
        <f t="shared" si="52"/>
        <v>2.5347739095638251</v>
      </c>
      <c r="W412" s="101">
        <f t="shared" si="50"/>
        <v>0.37832446411400372</v>
      </c>
      <c r="X412" s="95"/>
      <c r="Y412" s="95"/>
      <c r="Z412" s="102"/>
      <c r="AA412" s="103">
        <v>46123</v>
      </c>
      <c r="AB412" s="103">
        <v>46147</v>
      </c>
      <c r="AC412" s="103"/>
      <c r="AD412" s="104">
        <f>IF(ISNA(VLOOKUP(D412,亚马逊入库配置费!B:F,5,0)),0,VLOOKUP(D412,亚马逊入库配置费!B:F,5,0))</f>
        <v>0.36</v>
      </c>
      <c r="AE412" s="104">
        <f t="shared" si="51"/>
        <v>146.88</v>
      </c>
      <c r="AF412" s="103">
        <v>46154</v>
      </c>
      <c r="AG412" s="90">
        <f t="shared" si="53"/>
        <v>31</v>
      </c>
      <c r="AH412" s="103"/>
      <c r="AI412" s="96"/>
      <c r="AJ412" s="96"/>
      <c r="AK412" s="96"/>
      <c r="AL412" s="92"/>
      <c r="AM412" s="91"/>
      <c r="AN412" s="91"/>
      <c r="AO412" s="96"/>
      <c r="AP412" s="105"/>
      <c r="AQ412" s="105"/>
      <c r="AR412" s="105"/>
      <c r="AS412" s="105"/>
    </row>
    <row r="413" spans="1:45" ht="12" customHeight="1" x14ac:dyDescent="0.25">
      <c r="A413" s="90">
        <v>412</v>
      </c>
      <c r="B413" s="91"/>
      <c r="C413" s="91" t="s">
        <v>4404</v>
      </c>
      <c r="D413" s="92" t="s">
        <v>4408</v>
      </c>
      <c r="E413" s="91" t="s">
        <v>1037</v>
      </c>
      <c r="F413" s="91" t="s">
        <v>0</v>
      </c>
      <c r="G413" s="56" t="s">
        <v>3058</v>
      </c>
      <c r="H413" s="91">
        <v>70</v>
      </c>
      <c r="I413" s="91" t="s">
        <v>117</v>
      </c>
      <c r="J413" s="91" t="s">
        <v>8</v>
      </c>
      <c r="K413" s="92" t="s">
        <v>15</v>
      </c>
      <c r="L413" s="93" t="str">
        <f>VLOOKUP(G413,'SKU 对应关系'!A:E,4,0)</f>
        <v>ES1-W</v>
      </c>
      <c r="M413" s="94" t="str">
        <f>_xlfn.IFNA(VLOOKUP(G413,'SKU 对应关系'!A:B,2,0),"")</f>
        <v>ES1-W 电动泡沫喷机（202602新） 白色</v>
      </c>
      <c r="N413" s="95" t="str">
        <f>_xlfn.IFNA(VLOOKUP(G413,'SKU 对应关系'!$A:$D,3,0),"")</f>
        <v>ES1</v>
      </c>
      <c r="O413" s="96">
        <v>1</v>
      </c>
      <c r="P413" s="580">
        <v>13.25</v>
      </c>
      <c r="Q413" s="96" t="s">
        <v>16</v>
      </c>
      <c r="R413" s="91">
        <v>4.3</v>
      </c>
      <c r="S413" s="106">
        <v>200</v>
      </c>
      <c r="T413" s="98">
        <v>10</v>
      </c>
      <c r="U413" s="99">
        <f t="shared" si="49"/>
        <v>66.974999999999994</v>
      </c>
      <c r="V413" s="100">
        <f t="shared" si="52"/>
        <v>0.95678571428571424</v>
      </c>
      <c r="W413" s="101">
        <f t="shared" si="50"/>
        <v>0.14280383795309168</v>
      </c>
      <c r="X413" s="95"/>
      <c r="Y413" s="95"/>
      <c r="Z413" s="102"/>
      <c r="AA413" s="103">
        <v>46123</v>
      </c>
      <c r="AB413" s="103">
        <v>46144</v>
      </c>
      <c r="AC413" s="103"/>
      <c r="AD413" s="104">
        <f>IF(ISNA(VLOOKUP(D413,亚马逊入库配置费!B:F,5,0)),0,VLOOKUP(D413,亚马逊入库配置费!B:F,5,0))</f>
        <v>0.36</v>
      </c>
      <c r="AE413" s="104">
        <f t="shared" si="51"/>
        <v>25.2</v>
      </c>
      <c r="AF413" s="103">
        <v>46151</v>
      </c>
      <c r="AG413" s="90">
        <f t="shared" si="53"/>
        <v>28</v>
      </c>
      <c r="AH413" s="103">
        <v>46181</v>
      </c>
      <c r="AI413" s="96"/>
      <c r="AJ413" s="96"/>
      <c r="AK413" s="96"/>
      <c r="AL413" s="92"/>
      <c r="AM413" s="91"/>
      <c r="AN413" s="91"/>
      <c r="AO413" s="96"/>
      <c r="AP413" s="105"/>
      <c r="AQ413" s="105"/>
      <c r="AR413" s="105"/>
      <c r="AS413" s="105"/>
    </row>
    <row r="414" spans="1:45" ht="12" customHeight="1" x14ac:dyDescent="0.25">
      <c r="A414" s="90">
        <v>413</v>
      </c>
      <c r="B414" s="91"/>
      <c r="C414" s="91" t="s">
        <v>929</v>
      </c>
      <c r="D414" s="92" t="s">
        <v>4419</v>
      </c>
      <c r="E414" s="91" t="s">
        <v>115</v>
      </c>
      <c r="F414" s="91" t="s">
        <v>0</v>
      </c>
      <c r="G414" s="56" t="s">
        <v>211</v>
      </c>
      <c r="H414" s="91">
        <v>390</v>
      </c>
      <c r="I414" s="91" t="s">
        <v>89</v>
      </c>
      <c r="J414" s="91" t="s">
        <v>8</v>
      </c>
      <c r="K414" s="92" t="s">
        <v>15</v>
      </c>
      <c r="L414" s="93" t="str">
        <f>VLOOKUP(G414,'SKU 对应关系'!A:E,4,0)</f>
        <v>ANX-B</v>
      </c>
      <c r="M414" s="94" t="str">
        <f>_xlfn.IFNA(VLOOKUP(G414,'SKU 对应关系'!A:B,2,0),"")</f>
        <v>ANX-B 便携式扩香仪 黑色</v>
      </c>
      <c r="N414" s="95" t="str">
        <f>_xlfn.IFNA(VLOOKUP(G414,'SKU 对应关系'!$A:$D,3,0),"")</f>
        <v>ANX</v>
      </c>
      <c r="O414" s="96">
        <v>13</v>
      </c>
      <c r="P414" s="580">
        <v>161.65217391304347</v>
      </c>
      <c r="Q414" s="96" t="s">
        <v>16</v>
      </c>
      <c r="R414" s="91">
        <v>4.2</v>
      </c>
      <c r="S414" s="95">
        <v>200</v>
      </c>
      <c r="T414" s="98">
        <v>96.296296296296291</v>
      </c>
      <c r="U414" s="99">
        <f t="shared" ref="U414:U470" si="54">R414*P414+T414</f>
        <v>775.23542673107886</v>
      </c>
      <c r="V414" s="100">
        <f t="shared" si="52"/>
        <v>1.9877831454643047</v>
      </c>
      <c r="W414" s="101">
        <f t="shared" ref="W414:W470" si="55">V414/6.7</f>
        <v>0.29668405156183653</v>
      </c>
      <c r="X414" s="95"/>
      <c r="Y414" s="95"/>
      <c r="Z414" s="102"/>
      <c r="AA414" s="103">
        <v>46129</v>
      </c>
      <c r="AB414" s="103">
        <v>46152</v>
      </c>
      <c r="AC414" s="103"/>
      <c r="AD414" s="104">
        <f>IF(ISNA(VLOOKUP(D414,亚马逊入库配置费!B:F,5,0)),0,VLOOKUP(D414,亚马逊入库配置费!B:F,5,0))</f>
        <v>0.41837837837837843</v>
      </c>
      <c r="AE414" s="104">
        <f t="shared" si="51"/>
        <v>163.1675675675676</v>
      </c>
      <c r="AF414" s="103">
        <v>46164</v>
      </c>
      <c r="AG414" s="90">
        <f t="shared" si="53"/>
        <v>35</v>
      </c>
      <c r="AH414" s="103"/>
      <c r="AI414" s="96"/>
      <c r="AJ414" s="96"/>
      <c r="AK414" s="96"/>
      <c r="AL414" s="92"/>
      <c r="AM414" s="91"/>
      <c r="AN414" s="91"/>
      <c r="AO414" s="96"/>
      <c r="AP414" s="105"/>
      <c r="AQ414" s="105"/>
      <c r="AR414" s="105"/>
      <c r="AS414" s="105"/>
    </row>
    <row r="415" spans="1:45" ht="12" customHeight="1" x14ac:dyDescent="0.25">
      <c r="A415" s="90">
        <v>414</v>
      </c>
      <c r="B415" s="91"/>
      <c r="C415" s="91" t="s">
        <v>929</v>
      </c>
      <c r="D415" s="92" t="s">
        <v>4419</v>
      </c>
      <c r="E415" s="91" t="s">
        <v>115</v>
      </c>
      <c r="F415" s="91" t="s">
        <v>0</v>
      </c>
      <c r="G415" s="56" t="s">
        <v>213</v>
      </c>
      <c r="H415" s="91">
        <v>150</v>
      </c>
      <c r="I415" s="91" t="s">
        <v>89</v>
      </c>
      <c r="J415" s="91" t="s">
        <v>8</v>
      </c>
      <c r="K415" s="92" t="s">
        <v>15</v>
      </c>
      <c r="L415" s="93" t="str">
        <f>VLOOKUP(G415,'SKU 对应关系'!A:E,4,0)</f>
        <v>ANX-DT</v>
      </c>
      <c r="M415" s="94" t="str">
        <f>_xlfn.IFNA(VLOOKUP(G415,'SKU 对应关系'!A:B,2,0),"")</f>
        <v>ANX-DT 便携式扩香仪 沙漠钛色</v>
      </c>
      <c r="N415" s="95" t="str">
        <f>_xlfn.IFNA(VLOOKUP(G415,'SKU 对应关系'!$A:$D,3,0),"")</f>
        <v>ANX</v>
      </c>
      <c r="O415" s="96">
        <v>5</v>
      </c>
      <c r="P415" s="580">
        <v>62.173913043478265</v>
      </c>
      <c r="Q415" s="96" t="s">
        <v>16</v>
      </c>
      <c r="R415" s="91">
        <v>4.2</v>
      </c>
      <c r="S415" s="106">
        <v>200</v>
      </c>
      <c r="T415" s="98">
        <v>37.037037037037038</v>
      </c>
      <c r="U415" s="99">
        <f t="shared" si="54"/>
        <v>298.16747181964581</v>
      </c>
      <c r="V415" s="100">
        <f t="shared" si="52"/>
        <v>1.9877831454643053</v>
      </c>
      <c r="W415" s="101">
        <f t="shared" si="55"/>
        <v>0.29668405156183664</v>
      </c>
      <c r="X415" s="95"/>
      <c r="Y415" s="95"/>
      <c r="Z415" s="102"/>
      <c r="AA415" s="103">
        <v>46129</v>
      </c>
      <c r="AB415" s="103">
        <v>46152</v>
      </c>
      <c r="AC415" s="103"/>
      <c r="AD415" s="104">
        <f>IF(ISNA(VLOOKUP(D415,亚马逊入库配置费!B:F,5,0)),0,VLOOKUP(D415,亚马逊入库配置费!B:F,5,0))</f>
        <v>0.41837837837837843</v>
      </c>
      <c r="AE415" s="104">
        <f t="shared" si="51"/>
        <v>62.756756756756765</v>
      </c>
      <c r="AF415" s="103">
        <v>46164</v>
      </c>
      <c r="AG415" s="90">
        <f t="shared" si="53"/>
        <v>35</v>
      </c>
      <c r="AH415" s="103"/>
      <c r="AI415" s="96"/>
      <c r="AJ415" s="96"/>
      <c r="AK415" s="96"/>
      <c r="AL415" s="92"/>
      <c r="AM415" s="91"/>
      <c r="AN415" s="91"/>
      <c r="AO415" s="96"/>
      <c r="AP415" s="105"/>
      <c r="AQ415" s="105"/>
      <c r="AR415" s="105"/>
      <c r="AS415" s="105"/>
    </row>
    <row r="416" spans="1:45" ht="12" customHeight="1" x14ac:dyDescent="0.25">
      <c r="A416" s="90">
        <v>415</v>
      </c>
      <c r="B416" s="91"/>
      <c r="C416" s="91" t="s">
        <v>929</v>
      </c>
      <c r="D416" s="92" t="s">
        <v>4419</v>
      </c>
      <c r="E416" s="91" t="s">
        <v>115</v>
      </c>
      <c r="F416" s="91" t="s">
        <v>0</v>
      </c>
      <c r="G416" s="56" t="s">
        <v>2195</v>
      </c>
      <c r="H416" s="91">
        <v>200</v>
      </c>
      <c r="I416" s="91" t="s">
        <v>89</v>
      </c>
      <c r="J416" s="91" t="s">
        <v>8</v>
      </c>
      <c r="K416" s="92" t="s">
        <v>15</v>
      </c>
      <c r="L416" s="93" t="str">
        <f>VLOOKUP(G416,'SKU 对应关系'!A:E,4,0)</f>
        <v>ANZ-B</v>
      </c>
      <c r="M416" s="94" t="str">
        <f>_xlfn.IFNA(VLOOKUP(G416,'SKU 对应关系'!A:B,2,0),"")</f>
        <v>ANZ-B 便携式扩香仪 黑色</v>
      </c>
      <c r="N416" s="95" t="str">
        <f>_xlfn.IFNA(VLOOKUP(G416,'SKU 对应关系'!$A:$D,3,0),"")</f>
        <v>ANZ</v>
      </c>
      <c r="O416" s="96">
        <v>5</v>
      </c>
      <c r="P416" s="580">
        <v>62.173913043478265</v>
      </c>
      <c r="Q416" s="96" t="s">
        <v>16</v>
      </c>
      <c r="R416" s="91">
        <v>4.2</v>
      </c>
      <c r="S416" s="95"/>
      <c r="T416" s="98">
        <v>37.037037037037038</v>
      </c>
      <c r="U416" s="99">
        <f t="shared" si="54"/>
        <v>298.16747181964581</v>
      </c>
      <c r="V416" s="100">
        <f t="shared" si="52"/>
        <v>1.4908373590982291</v>
      </c>
      <c r="W416" s="101">
        <f t="shared" si="55"/>
        <v>0.22251303867137748</v>
      </c>
      <c r="X416" s="95"/>
      <c r="Y416" s="95"/>
      <c r="Z416" s="102"/>
      <c r="AA416" s="103">
        <v>46129</v>
      </c>
      <c r="AB416" s="103">
        <v>46152</v>
      </c>
      <c r="AC416" s="103"/>
      <c r="AD416" s="104">
        <f>IF(ISNA(VLOOKUP(D416,亚马逊入库配置费!B:F,5,0)),0,VLOOKUP(D416,亚马逊入库配置费!B:F,5,0))</f>
        <v>0.41837837837837843</v>
      </c>
      <c r="AE416" s="104">
        <f t="shared" si="51"/>
        <v>83.675675675675691</v>
      </c>
      <c r="AF416" s="103">
        <v>46164</v>
      </c>
      <c r="AG416" s="90">
        <f t="shared" si="53"/>
        <v>35</v>
      </c>
      <c r="AH416" s="103"/>
      <c r="AI416" s="96"/>
      <c r="AJ416" s="96"/>
      <c r="AK416" s="96"/>
      <c r="AL416" s="92"/>
      <c r="AM416" s="91"/>
      <c r="AN416" s="91"/>
      <c r="AO416" s="96"/>
      <c r="AP416" s="105"/>
      <c r="AQ416" s="105"/>
      <c r="AR416" s="105"/>
      <c r="AS416" s="105"/>
    </row>
    <row r="417" spans="1:45" ht="12" customHeight="1" x14ac:dyDescent="0.25">
      <c r="A417" s="90">
        <v>416</v>
      </c>
      <c r="B417" s="91"/>
      <c r="C417" s="91" t="s">
        <v>4420</v>
      </c>
      <c r="D417" s="92" t="s">
        <v>4421</v>
      </c>
      <c r="E417" s="91" t="s">
        <v>115</v>
      </c>
      <c r="F417" s="91" t="s">
        <v>0</v>
      </c>
      <c r="G417" s="56" t="s">
        <v>2885</v>
      </c>
      <c r="H417" s="91">
        <v>480</v>
      </c>
      <c r="I417" s="91" t="s">
        <v>89</v>
      </c>
      <c r="J417" s="91" t="s">
        <v>4</v>
      </c>
      <c r="K417" s="92" t="s">
        <v>15</v>
      </c>
      <c r="L417" s="93" t="str">
        <f>VLOOKUP(G417,'SKU 对应关系'!A:E,4,0)</f>
        <v>ANZKIT-B_4X10K04_TZ</v>
      </c>
      <c r="M417" s="94" t="str">
        <f>_xlfn.IFNA(VLOOKUP(G417,'SKU 对应关系'!A:B,2,0),"")</f>
        <v>ANZKIT-B_4X10K04_TZ ANZ黑色机器+4x10mL酒店（天竺）香氛油 机油套装</v>
      </c>
      <c r="N417" s="95" t="str">
        <f>_xlfn.IFNA(VLOOKUP(G417,'SKU 对应关系'!$A:$D,3,0),"")</f>
        <v>ANZ</v>
      </c>
      <c r="O417" s="96">
        <v>16</v>
      </c>
      <c r="P417" s="580">
        <v>253</v>
      </c>
      <c r="Q417" s="96" t="s">
        <v>16</v>
      </c>
      <c r="R417" s="91">
        <v>8.9</v>
      </c>
      <c r="S417" s="95">
        <v>200</v>
      </c>
      <c r="T417" s="98">
        <v>88.888888888888886</v>
      </c>
      <c r="U417" s="99">
        <f t="shared" si="54"/>
        <v>2340.588888888889</v>
      </c>
      <c r="V417" s="100">
        <f t="shared" si="52"/>
        <v>4.8762268518518521</v>
      </c>
      <c r="W417" s="101">
        <f t="shared" si="55"/>
        <v>0.72779505251520182</v>
      </c>
      <c r="X417" s="95"/>
      <c r="Y417" s="95"/>
      <c r="Z417" s="102"/>
      <c r="AA417" s="103">
        <v>46129</v>
      </c>
      <c r="AB417" s="103">
        <v>46145</v>
      </c>
      <c r="AC417" s="103"/>
      <c r="AD417" s="104">
        <f>IF(ISNA(VLOOKUP(D417,亚马逊入库配置费!B:F,5,0)),0,VLOOKUP(D417,亚马逊入库配置费!B:F,5,0))</f>
        <v>0.44</v>
      </c>
      <c r="AE417" s="104">
        <f t="shared" si="51"/>
        <v>211.2</v>
      </c>
      <c r="AF417" s="103">
        <v>46152</v>
      </c>
      <c r="AG417" s="90">
        <f t="shared" si="53"/>
        <v>23</v>
      </c>
      <c r="AH417" s="103"/>
      <c r="AI417" s="96"/>
      <c r="AJ417" s="96"/>
      <c r="AK417" s="96"/>
      <c r="AL417" s="92"/>
      <c r="AM417" s="91"/>
      <c r="AN417" s="91"/>
      <c r="AO417" s="96"/>
      <c r="AP417" s="105"/>
      <c r="AQ417" s="105"/>
      <c r="AR417" s="105"/>
      <c r="AS417" s="105"/>
    </row>
    <row r="418" spans="1:45" ht="12" customHeight="1" x14ac:dyDescent="0.25">
      <c r="A418" s="90">
        <v>417</v>
      </c>
      <c r="B418" s="91"/>
      <c r="C418" s="91" t="s">
        <v>939</v>
      </c>
      <c r="D418" s="92" t="s">
        <v>4422</v>
      </c>
      <c r="E418" s="91" t="s">
        <v>254</v>
      </c>
      <c r="F418" s="91" t="s">
        <v>255</v>
      </c>
      <c r="G418" s="56" t="s">
        <v>163</v>
      </c>
      <c r="H418" s="91">
        <v>280</v>
      </c>
      <c r="I418" s="91" t="s">
        <v>89</v>
      </c>
      <c r="J418" s="91" t="s">
        <v>2313</v>
      </c>
      <c r="K418" s="92" t="s">
        <v>475</v>
      </c>
      <c r="L418" s="93" t="str">
        <f>VLOOKUP(G418,'SKU 对应关系'!A:E,4,0)</f>
        <v>AN6-B</v>
      </c>
      <c r="M418" s="94" t="str">
        <f>_xlfn.IFNA(VLOOKUP(G418,'SKU 对应关系'!A:B,2,0),"")</f>
        <v>AN6-B 便携式扩香仪 黑色</v>
      </c>
      <c r="N418" s="95" t="str">
        <f>_xlfn.IFNA(VLOOKUP(G418,'SKU 对应关系'!$A:$D,3,0),"")</f>
        <v>AN6</v>
      </c>
      <c r="O418" s="96">
        <v>7</v>
      </c>
      <c r="P418" s="580">
        <v>93.545454545454547</v>
      </c>
      <c r="Q418" s="96" t="s">
        <v>16</v>
      </c>
      <c r="R418" s="91">
        <v>4.4000000000000004</v>
      </c>
      <c r="S418" s="95">
        <v>550</v>
      </c>
      <c r="T418" s="98">
        <v>320.83333333333331</v>
      </c>
      <c r="U418" s="99">
        <f t="shared" si="54"/>
        <v>732.43333333333339</v>
      </c>
      <c r="V418" s="100">
        <f t="shared" si="52"/>
        <v>2.6158333333333337</v>
      </c>
      <c r="W418" s="101">
        <f t="shared" si="55"/>
        <v>0.39042288557213933</v>
      </c>
      <c r="X418" s="95"/>
      <c r="Y418" s="95"/>
      <c r="Z418" s="102"/>
      <c r="AA418" s="103">
        <v>46128</v>
      </c>
      <c r="AB418" s="103">
        <v>46168</v>
      </c>
      <c r="AC418" s="103"/>
      <c r="AD418" s="104">
        <f>IF(ISNA(VLOOKUP(D418,亚马逊入库配置费!B:F,5,0)),0,VLOOKUP(D418,亚马逊入库配置费!B:F,5,0))</f>
        <v>0</v>
      </c>
      <c r="AE418" s="104">
        <f t="shared" si="51"/>
        <v>0</v>
      </c>
      <c r="AF418" s="103">
        <v>46180</v>
      </c>
      <c r="AG418" s="577">
        <f t="shared" si="53"/>
        <v>52</v>
      </c>
      <c r="AH418" s="103"/>
      <c r="AI418" s="96"/>
      <c r="AJ418" s="96"/>
      <c r="AK418" s="96"/>
      <c r="AL418" s="92"/>
      <c r="AM418" s="91"/>
      <c r="AN418" s="91"/>
      <c r="AO418" s="96"/>
      <c r="AP418" s="105"/>
      <c r="AQ418" s="105"/>
      <c r="AR418" s="105"/>
      <c r="AS418" s="105"/>
    </row>
    <row r="419" spans="1:45" ht="12" customHeight="1" x14ac:dyDescent="0.25">
      <c r="A419" s="90">
        <v>418</v>
      </c>
      <c r="B419" s="91"/>
      <c r="C419" s="91" t="s">
        <v>939</v>
      </c>
      <c r="D419" s="92" t="s">
        <v>4422</v>
      </c>
      <c r="E419" s="91" t="s">
        <v>254</v>
      </c>
      <c r="F419" s="91" t="s">
        <v>255</v>
      </c>
      <c r="G419" s="56" t="s">
        <v>853</v>
      </c>
      <c r="H419" s="91">
        <v>80</v>
      </c>
      <c r="I419" s="91" t="s">
        <v>89</v>
      </c>
      <c r="J419" s="91" t="s">
        <v>2313</v>
      </c>
      <c r="K419" s="92" t="s">
        <v>475</v>
      </c>
      <c r="L419" s="93" t="str">
        <f>VLOOKUP(G419,'SKU 对应关系'!A:E,4,0)</f>
        <v>AN6-G</v>
      </c>
      <c r="M419" s="94" t="str">
        <f>_xlfn.IFNA(VLOOKUP(G419,'SKU 对应关系'!A:B,2,0),"")</f>
        <v>AN6-G 便携式扩香仪 灰色</v>
      </c>
      <c r="N419" s="95" t="str">
        <f>_xlfn.IFNA(VLOOKUP(G419,'SKU 对应关系'!$A:$D,3,0),"")</f>
        <v>AN6</v>
      </c>
      <c r="O419" s="96">
        <v>2</v>
      </c>
      <c r="P419" s="580">
        <v>26.727272727272727</v>
      </c>
      <c r="Q419" s="96" t="s">
        <v>16</v>
      </c>
      <c r="R419" s="91">
        <v>4.4000000000000004</v>
      </c>
      <c r="S419" s="106">
        <v>550</v>
      </c>
      <c r="T419" s="98">
        <v>91.666666666666671</v>
      </c>
      <c r="U419" s="99">
        <f t="shared" si="54"/>
        <v>209.26666666666668</v>
      </c>
      <c r="V419" s="100">
        <f t="shared" si="52"/>
        <v>2.6158333333333337</v>
      </c>
      <c r="W419" s="101">
        <f t="shared" si="55"/>
        <v>0.39042288557213933</v>
      </c>
      <c r="X419" s="95"/>
      <c r="Y419" s="95"/>
      <c r="Z419" s="102"/>
      <c r="AA419" s="103">
        <v>46128</v>
      </c>
      <c r="AB419" s="103">
        <v>46168</v>
      </c>
      <c r="AC419" s="103"/>
      <c r="AD419" s="104">
        <f>IF(ISNA(VLOOKUP(D419,亚马逊入库配置费!B:F,5,0)),0,VLOOKUP(D419,亚马逊入库配置费!B:F,5,0))</f>
        <v>0</v>
      </c>
      <c r="AE419" s="104">
        <f t="shared" si="51"/>
        <v>0</v>
      </c>
      <c r="AF419" s="103">
        <v>46180</v>
      </c>
      <c r="AG419" s="577">
        <f t="shared" si="53"/>
        <v>52</v>
      </c>
      <c r="AH419" s="103"/>
      <c r="AI419" s="96"/>
      <c r="AJ419" s="96"/>
      <c r="AK419" s="96"/>
      <c r="AL419" s="92"/>
      <c r="AM419" s="91"/>
      <c r="AN419" s="91"/>
      <c r="AO419" s="96"/>
      <c r="AP419" s="105"/>
      <c r="AQ419" s="105"/>
      <c r="AR419" s="105"/>
      <c r="AS419" s="105"/>
    </row>
    <row r="420" spans="1:45" ht="12" customHeight="1" x14ac:dyDescent="0.25">
      <c r="A420" s="90">
        <v>419</v>
      </c>
      <c r="B420" s="91"/>
      <c r="C420" s="91" t="s">
        <v>939</v>
      </c>
      <c r="D420" s="92" t="s">
        <v>4422</v>
      </c>
      <c r="E420" s="91" t="s">
        <v>254</v>
      </c>
      <c r="F420" s="91" t="s">
        <v>255</v>
      </c>
      <c r="G420" s="56" t="s">
        <v>352</v>
      </c>
      <c r="H420" s="91">
        <v>80</v>
      </c>
      <c r="I420" s="91" t="s">
        <v>89</v>
      </c>
      <c r="J420" s="91" t="s">
        <v>2313</v>
      </c>
      <c r="K420" s="92" t="s">
        <v>475</v>
      </c>
      <c r="L420" s="93" t="str">
        <f>VLOOKUP(G420,'SKU 对应关系'!A:E,4,0)</f>
        <v>AN6-LB</v>
      </c>
      <c r="M420" s="94" t="str">
        <f>_xlfn.IFNA(VLOOKUP(G420,'SKU 对应关系'!A:B,2,0),"")</f>
        <v>AN6-LB 便携式扩香仪 浅钢蓝色</v>
      </c>
      <c r="N420" s="95" t="str">
        <f>_xlfn.IFNA(VLOOKUP(G420,'SKU 对应关系'!$A:$D,3,0),"")</f>
        <v>AN6</v>
      </c>
      <c r="O420" s="96">
        <v>2</v>
      </c>
      <c r="P420" s="580">
        <v>26.727272727272727</v>
      </c>
      <c r="Q420" s="96" t="s">
        <v>16</v>
      </c>
      <c r="R420" s="91">
        <v>4.4000000000000004</v>
      </c>
      <c r="S420" s="95"/>
      <c r="T420" s="98">
        <v>91.666666666666671</v>
      </c>
      <c r="U420" s="99">
        <f t="shared" si="54"/>
        <v>209.26666666666668</v>
      </c>
      <c r="V420" s="100">
        <f t="shared" si="52"/>
        <v>2.6158333333333337</v>
      </c>
      <c r="W420" s="101">
        <f t="shared" si="55"/>
        <v>0.39042288557213933</v>
      </c>
      <c r="X420" s="95"/>
      <c r="Y420" s="95"/>
      <c r="Z420" s="102"/>
      <c r="AA420" s="103">
        <v>46128</v>
      </c>
      <c r="AB420" s="103">
        <v>46168</v>
      </c>
      <c r="AC420" s="103"/>
      <c r="AD420" s="104">
        <f>IF(ISNA(VLOOKUP(D420,亚马逊入库配置费!B:F,5,0)),0,VLOOKUP(D420,亚马逊入库配置费!B:F,5,0))</f>
        <v>0</v>
      </c>
      <c r="AE420" s="104">
        <f t="shared" si="51"/>
        <v>0</v>
      </c>
      <c r="AF420" s="103">
        <v>46180</v>
      </c>
      <c r="AG420" s="577">
        <f t="shared" si="53"/>
        <v>52</v>
      </c>
      <c r="AH420" s="103"/>
      <c r="AI420" s="96"/>
      <c r="AJ420" s="96"/>
      <c r="AK420" s="96"/>
      <c r="AL420" s="92"/>
      <c r="AM420" s="91"/>
      <c r="AN420" s="91"/>
      <c r="AO420" s="96"/>
      <c r="AP420" s="105"/>
      <c r="AQ420" s="105"/>
      <c r="AR420" s="105"/>
      <c r="AS420" s="105"/>
    </row>
    <row r="421" spans="1:45" ht="12" customHeight="1" x14ac:dyDescent="0.25">
      <c r="A421" s="90">
        <v>420</v>
      </c>
      <c r="B421" s="91" t="s">
        <v>4455</v>
      </c>
      <c r="C421" s="91" t="s">
        <v>888</v>
      </c>
      <c r="D421" s="92" t="s">
        <v>4423</v>
      </c>
      <c r="E421" s="91" t="s">
        <v>2607</v>
      </c>
      <c r="F421" s="91" t="s">
        <v>1073</v>
      </c>
      <c r="G421" s="56" t="s">
        <v>211</v>
      </c>
      <c r="H421" s="91">
        <v>240</v>
      </c>
      <c r="I421" s="91" t="s">
        <v>1074</v>
      </c>
      <c r="J421" s="91" t="s">
        <v>2102</v>
      </c>
      <c r="K421" s="92" t="s">
        <v>1075</v>
      </c>
      <c r="L421" s="93" t="str">
        <f>VLOOKUP(G421,'SKU 对应关系'!A:E,4,0)</f>
        <v>ANX-B</v>
      </c>
      <c r="M421" s="94" t="str">
        <f>_xlfn.IFNA(VLOOKUP(G421,'SKU 对应关系'!A:B,2,0),"")</f>
        <v>ANX-B 便携式扩香仪 黑色</v>
      </c>
      <c r="N421" s="95" t="str">
        <f>_xlfn.IFNA(VLOOKUP(G421,'SKU 对应关系'!$A:$D,3,0),"")</f>
        <v>ANX</v>
      </c>
      <c r="O421" s="96">
        <v>8</v>
      </c>
      <c r="P421" s="580">
        <v>100</v>
      </c>
      <c r="Q421" s="96" t="s">
        <v>16</v>
      </c>
      <c r="R421" s="91">
        <v>8</v>
      </c>
      <c r="S421" s="95">
        <v>350</v>
      </c>
      <c r="T421" s="98">
        <v>350</v>
      </c>
      <c r="U421" s="99">
        <f t="shared" si="54"/>
        <v>1150</v>
      </c>
      <c r="V421" s="100">
        <f t="shared" si="52"/>
        <v>4.791666666666667</v>
      </c>
      <c r="W421" s="101">
        <f t="shared" si="55"/>
        <v>0.71517412935323388</v>
      </c>
      <c r="X421" s="95"/>
      <c r="Y421" s="95"/>
      <c r="Z421" s="102"/>
      <c r="AA421" s="103">
        <v>46128</v>
      </c>
      <c r="AB421" s="103">
        <v>46161</v>
      </c>
      <c r="AC421" s="103"/>
      <c r="AD421" s="104">
        <f>IF(ISNA(VLOOKUP(D421,亚马逊入库配置费!B:F,5,0)),0,VLOOKUP(D421,亚马逊入库配置费!B:F,5,0))</f>
        <v>0</v>
      </c>
      <c r="AE421" s="104">
        <f t="shared" si="51"/>
        <v>0</v>
      </c>
      <c r="AF421" s="103">
        <v>46177</v>
      </c>
      <c r="AG421" s="577">
        <f t="shared" si="53"/>
        <v>49</v>
      </c>
      <c r="AH421" s="103"/>
      <c r="AI421" s="96"/>
      <c r="AJ421" s="96"/>
      <c r="AK421" s="96"/>
      <c r="AL421" s="92"/>
      <c r="AM421" s="91"/>
      <c r="AN421" s="91"/>
      <c r="AO421" s="96"/>
      <c r="AP421" s="105"/>
      <c r="AQ421" s="105"/>
      <c r="AR421" s="105"/>
      <c r="AS421" s="105"/>
    </row>
    <row r="422" spans="1:45" ht="12" customHeight="1" x14ac:dyDescent="0.25">
      <c r="A422" s="90">
        <v>421</v>
      </c>
      <c r="B422" s="91"/>
      <c r="C422" s="91" t="s">
        <v>4424</v>
      </c>
      <c r="D422" s="92" t="s">
        <v>4425</v>
      </c>
      <c r="E422" s="91" t="s">
        <v>97</v>
      </c>
      <c r="F422" s="91" t="s">
        <v>0</v>
      </c>
      <c r="G422" s="56" t="s">
        <v>2888</v>
      </c>
      <c r="H422" s="91">
        <v>990</v>
      </c>
      <c r="I422" s="91" t="s">
        <v>207</v>
      </c>
      <c r="J422" s="91" t="s">
        <v>8</v>
      </c>
      <c r="K422" s="92" t="s">
        <v>9</v>
      </c>
      <c r="L422" s="93" t="str">
        <f>VLOOKUP(G422,'SKU 对应关系'!A:E,4,0)</f>
        <v>ADXKIT-B_4X10K04_TZ</v>
      </c>
      <c r="M422" s="94" t="str">
        <f>_xlfn.IFNA(VLOOKUP(G422,'SKU 对应关系'!A:B,2,0),"")</f>
        <v>ADXKIT-B_4X10K04_TZ ADX黑色机器+4x10mL酒店（天竺）香氛油 机油套装</v>
      </c>
      <c r="N422" s="95" t="str">
        <f>_xlfn.IFNA(VLOOKUP(G422,'SKU 对应关系'!$A:$D,3,0),"")</f>
        <v>ADX</v>
      </c>
      <c r="O422" s="96">
        <v>33</v>
      </c>
      <c r="P422" s="580">
        <v>559.69306930693074</v>
      </c>
      <c r="Q422" s="96" t="s">
        <v>16</v>
      </c>
      <c r="R422" s="91">
        <v>4.2</v>
      </c>
      <c r="S422" s="95">
        <v>200</v>
      </c>
      <c r="T422" s="98">
        <v>49.624060150375939</v>
      </c>
      <c r="U422" s="99">
        <f t="shared" si="54"/>
        <v>2400.3349512394852</v>
      </c>
      <c r="V422" s="100">
        <f t="shared" si="52"/>
        <v>2.424580758827763</v>
      </c>
      <c r="W422" s="101">
        <f t="shared" si="55"/>
        <v>0.36187772519817357</v>
      </c>
      <c r="X422" s="95"/>
      <c r="Y422" s="95"/>
      <c r="Z422" s="102"/>
      <c r="AA422" s="103">
        <v>46129</v>
      </c>
      <c r="AB422" s="103">
        <v>46151</v>
      </c>
      <c r="AC422" s="103"/>
      <c r="AD422" s="104">
        <f>IF(ISNA(VLOOKUP(D422,亚马逊入库配置费!B:F,5,0)),0,VLOOKUP(D422,亚马逊入库配置费!B:F,5,0))</f>
        <v>0.44644067796610171</v>
      </c>
      <c r="AE422" s="104">
        <f t="shared" si="51"/>
        <v>441.97627118644067</v>
      </c>
      <c r="AF422" s="103">
        <v>46160</v>
      </c>
      <c r="AG422" s="90">
        <f t="shared" si="53"/>
        <v>31</v>
      </c>
      <c r="AH422" s="103"/>
      <c r="AI422" s="96"/>
      <c r="AJ422" s="96"/>
      <c r="AK422" s="96"/>
      <c r="AL422" s="92"/>
      <c r="AM422" s="91"/>
      <c r="AN422" s="91"/>
      <c r="AO422" s="96"/>
      <c r="AP422" s="105"/>
      <c r="AQ422" s="105"/>
      <c r="AR422" s="105"/>
      <c r="AS422" s="105"/>
    </row>
    <row r="423" spans="1:45" ht="12" customHeight="1" x14ac:dyDescent="0.25">
      <c r="A423" s="90">
        <v>422</v>
      </c>
      <c r="B423" s="91"/>
      <c r="C423" s="91" t="s">
        <v>4424</v>
      </c>
      <c r="D423" s="92" t="s">
        <v>4425</v>
      </c>
      <c r="E423" s="91" t="s">
        <v>97</v>
      </c>
      <c r="F423" s="91" t="s">
        <v>0</v>
      </c>
      <c r="G423" s="56" t="s">
        <v>2887</v>
      </c>
      <c r="H423" s="91">
        <v>300</v>
      </c>
      <c r="I423" s="91" t="s">
        <v>207</v>
      </c>
      <c r="J423" s="91" t="s">
        <v>8</v>
      </c>
      <c r="K423" s="92" t="s">
        <v>9</v>
      </c>
      <c r="L423" s="93" t="str">
        <f>VLOOKUP(G423,'SKU 对应关系'!A:E,4,0)</f>
        <v>ADXKIT-DT_4X10K04_TZ</v>
      </c>
      <c r="M423" s="94" t="str">
        <f>_xlfn.IFNA(VLOOKUP(G423,'SKU 对应关系'!A:B,2,0),"")</f>
        <v>ADXKIT-DT_4X10K04_TZ AD钛色机器+4x10mL酒店（天竺）香氛油 机油套装</v>
      </c>
      <c r="N423" s="95" t="str">
        <f>_xlfn.IFNA(VLOOKUP(G423,'SKU 对应关系'!$A:$D,3,0),"")</f>
        <v>ADX</v>
      </c>
      <c r="O423" s="96">
        <v>10</v>
      </c>
      <c r="P423" s="580">
        <v>169.60396039603961</v>
      </c>
      <c r="Q423" s="96" t="s">
        <v>16</v>
      </c>
      <c r="R423" s="91">
        <v>4.2</v>
      </c>
      <c r="S423" s="106">
        <v>200</v>
      </c>
      <c r="T423" s="98">
        <v>15.037593984962406</v>
      </c>
      <c r="U423" s="99">
        <f t="shared" si="54"/>
        <v>727.37422764832877</v>
      </c>
      <c r="V423" s="100">
        <f t="shared" si="52"/>
        <v>2.4245807588277626</v>
      </c>
      <c r="W423" s="101">
        <f t="shared" si="55"/>
        <v>0.36187772519817352</v>
      </c>
      <c r="X423" s="95"/>
      <c r="Y423" s="95"/>
      <c r="Z423" s="102"/>
      <c r="AA423" s="103">
        <v>46129</v>
      </c>
      <c r="AB423" s="103">
        <v>46151</v>
      </c>
      <c r="AC423" s="103"/>
      <c r="AD423" s="104">
        <f>IF(ISNA(VLOOKUP(D423,亚马逊入库配置费!B:F,5,0)),0,VLOOKUP(D423,亚马逊入库配置费!B:F,5,0))</f>
        <v>0.44644067796610171</v>
      </c>
      <c r="AE423" s="104">
        <f t="shared" si="51"/>
        <v>133.93220338983051</v>
      </c>
      <c r="AF423" s="103">
        <v>46160</v>
      </c>
      <c r="AG423" s="90">
        <f t="shared" si="53"/>
        <v>31</v>
      </c>
      <c r="AH423" s="103"/>
      <c r="AI423" s="96"/>
      <c r="AJ423" s="96"/>
      <c r="AK423" s="96"/>
      <c r="AL423" s="92"/>
      <c r="AM423" s="91"/>
      <c r="AN423" s="91"/>
      <c r="AO423" s="96"/>
      <c r="AP423" s="105"/>
      <c r="AQ423" s="105"/>
      <c r="AR423" s="105"/>
      <c r="AS423" s="105"/>
    </row>
    <row r="424" spans="1:45" ht="12" customHeight="1" x14ac:dyDescent="0.25">
      <c r="A424" s="90">
        <v>423</v>
      </c>
      <c r="B424" s="91"/>
      <c r="C424" s="91" t="s">
        <v>4424</v>
      </c>
      <c r="D424" s="92" t="s">
        <v>4425</v>
      </c>
      <c r="E424" s="91" t="s">
        <v>97</v>
      </c>
      <c r="F424" s="91" t="s">
        <v>0</v>
      </c>
      <c r="G424" s="56" t="s">
        <v>1941</v>
      </c>
      <c r="H424" s="91">
        <v>160</v>
      </c>
      <c r="I424" s="91" t="s">
        <v>207</v>
      </c>
      <c r="J424" s="91" t="s">
        <v>8</v>
      </c>
      <c r="K424" s="92" t="s">
        <v>9</v>
      </c>
      <c r="L424" s="93" t="str">
        <f>VLOOKUP(G424,'SKU 对应关系'!A:E,4,0)</f>
        <v>AN8KIT-B_B_2X30K02</v>
      </c>
      <c r="M424" s="94" t="str">
        <f>_xlfn.IFNA(VLOOKUP(G424,'SKU 对应关系'!A:B,2,0),"")</f>
        <v>AN8KIT-B_B_2X30K02 AN8黑色机器两个装+2X30mL香氛油（天竺） 机油套装</v>
      </c>
      <c r="N424" s="95" t="str">
        <f>_xlfn.IFNA(VLOOKUP(G424,'SKU 对应关系'!$A:$D,3,0),"")</f>
        <v>AN8</v>
      </c>
      <c r="O424" s="96">
        <v>8</v>
      </c>
      <c r="P424" s="580">
        <v>135.68316831683168</v>
      </c>
      <c r="Q424" s="96" t="s">
        <v>16</v>
      </c>
      <c r="R424" s="91">
        <v>4.2</v>
      </c>
      <c r="S424" s="95"/>
      <c r="T424" s="98">
        <v>12.030075187969924</v>
      </c>
      <c r="U424" s="99">
        <f t="shared" si="54"/>
        <v>581.89938211866308</v>
      </c>
      <c r="V424" s="100">
        <f t="shared" si="52"/>
        <v>3.6368711382416441</v>
      </c>
      <c r="W424" s="101">
        <f t="shared" si="55"/>
        <v>0.54281658779726027</v>
      </c>
      <c r="X424" s="95"/>
      <c r="Y424" s="95"/>
      <c r="Z424" s="102"/>
      <c r="AA424" s="103">
        <v>46129</v>
      </c>
      <c r="AB424" s="103">
        <v>46151</v>
      </c>
      <c r="AC424" s="103"/>
      <c r="AD424" s="104">
        <f>IF(ISNA(VLOOKUP(D424,亚马逊入库配置费!B:F,5,0)),0,VLOOKUP(D424,亚马逊入库配置费!B:F,5,0))</f>
        <v>0.44644067796610171</v>
      </c>
      <c r="AE424" s="104">
        <f t="shared" si="51"/>
        <v>71.430508474576271</v>
      </c>
      <c r="AF424" s="103">
        <v>46160</v>
      </c>
      <c r="AG424" s="90">
        <f t="shared" si="53"/>
        <v>31</v>
      </c>
      <c r="AH424" s="103"/>
      <c r="AI424" s="96"/>
      <c r="AJ424" s="96"/>
      <c r="AK424" s="96"/>
      <c r="AL424" s="92"/>
      <c r="AM424" s="91"/>
      <c r="AN424" s="91"/>
      <c r="AO424" s="96"/>
      <c r="AP424" s="105"/>
      <c r="AQ424" s="105"/>
      <c r="AR424" s="105"/>
      <c r="AS424" s="105"/>
    </row>
    <row r="425" spans="1:45" ht="12" customHeight="1" x14ac:dyDescent="0.25">
      <c r="A425" s="90">
        <v>424</v>
      </c>
      <c r="B425" s="91"/>
      <c r="C425" s="91" t="s">
        <v>4424</v>
      </c>
      <c r="D425" s="92" t="s">
        <v>4425</v>
      </c>
      <c r="E425" s="91" t="s">
        <v>97</v>
      </c>
      <c r="F425" s="91" t="s">
        <v>0</v>
      </c>
      <c r="G425" s="56" t="s">
        <v>4291</v>
      </c>
      <c r="H425" s="91">
        <v>1200</v>
      </c>
      <c r="I425" s="91" t="s">
        <v>207</v>
      </c>
      <c r="J425" s="91" t="s">
        <v>8</v>
      </c>
      <c r="K425" s="92" t="s">
        <v>9</v>
      </c>
      <c r="L425" s="93" t="str">
        <f>VLOOKUP(G425,'SKU 对应关系'!A:E,4,0)</f>
        <v>AN8KIT-B_4X10K05_TZ</v>
      </c>
      <c r="M425" s="94" t="str">
        <f>_xlfn.IFNA(VLOOKUP(G425,'SKU 对应关系'!A:B,2,0),"")</f>
        <v>AN8KIT-B_4X10K05_TZ AN8黑色机器+4x10mL（天竺）酒店香氛油 机油套装</v>
      </c>
      <c r="N425" s="95" t="str">
        <f>_xlfn.IFNA(VLOOKUP(G425,'SKU 对应关系'!$A:$D,3,0),"")</f>
        <v>AN8</v>
      </c>
      <c r="O425" s="96">
        <v>40</v>
      </c>
      <c r="P425" s="580">
        <v>678.41584158415844</v>
      </c>
      <c r="Q425" s="96" t="s">
        <v>16</v>
      </c>
      <c r="R425" s="91">
        <v>4.2</v>
      </c>
      <c r="S425" s="95"/>
      <c r="T425" s="98">
        <v>60.150375939849624</v>
      </c>
      <c r="U425" s="99">
        <f t="shared" si="54"/>
        <v>2909.4969105933151</v>
      </c>
      <c r="V425" s="100">
        <f t="shared" si="52"/>
        <v>2.4245807588277626</v>
      </c>
      <c r="W425" s="101">
        <f t="shared" si="55"/>
        <v>0.36187772519817352</v>
      </c>
      <c r="X425" s="95"/>
      <c r="Y425" s="95"/>
      <c r="Z425" s="102"/>
      <c r="AA425" s="103">
        <v>46129</v>
      </c>
      <c r="AB425" s="103">
        <v>46151</v>
      </c>
      <c r="AC425" s="103"/>
      <c r="AD425" s="104">
        <f>IF(ISNA(VLOOKUP(D425,亚马逊入库配置费!B:F,5,0)),0,VLOOKUP(D425,亚马逊入库配置费!B:F,5,0))</f>
        <v>0.44644067796610171</v>
      </c>
      <c r="AE425" s="104">
        <f t="shared" si="51"/>
        <v>535.72881355932202</v>
      </c>
      <c r="AF425" s="103">
        <v>46160</v>
      </c>
      <c r="AG425" s="90">
        <f t="shared" si="53"/>
        <v>31</v>
      </c>
      <c r="AH425" s="103"/>
      <c r="AI425" s="96"/>
      <c r="AJ425" s="96"/>
      <c r="AK425" s="96"/>
      <c r="AL425" s="92"/>
      <c r="AM425" s="91"/>
      <c r="AN425" s="91"/>
      <c r="AO425" s="96"/>
      <c r="AP425" s="105"/>
      <c r="AQ425" s="105"/>
      <c r="AR425" s="105"/>
      <c r="AS425" s="105"/>
    </row>
    <row r="426" spans="1:45" ht="12" customHeight="1" x14ac:dyDescent="0.25">
      <c r="A426" s="90">
        <v>425</v>
      </c>
      <c r="B426" s="91"/>
      <c r="C426" s="91" t="s">
        <v>4424</v>
      </c>
      <c r="D426" s="92" t="s">
        <v>4425</v>
      </c>
      <c r="E426" s="91" t="s">
        <v>97</v>
      </c>
      <c r="F426" s="91" t="s">
        <v>0</v>
      </c>
      <c r="G426" s="56" t="s">
        <v>1851</v>
      </c>
      <c r="H426" s="91">
        <v>300</v>
      </c>
      <c r="I426" s="91" t="s">
        <v>207</v>
      </c>
      <c r="J426" s="91" t="s">
        <v>8</v>
      </c>
      <c r="K426" s="92" t="s">
        <v>9</v>
      </c>
      <c r="L426" s="93" t="str">
        <f>VLOOKUP(G426,'SKU 对应关系'!A:E,4,0)</f>
        <v>AN8KIT-B_4X10K02</v>
      </c>
      <c r="M426" s="94" t="str">
        <f>_xlfn.IFNA(VLOOKUP(G426,'SKU 对应关系'!A:B,2,0),"")</f>
        <v>AN8KIT-B_4X10K02 AN8黑色机器+4x10mL（天竺）香氛油 机油套装</v>
      </c>
      <c r="N426" s="95" t="str">
        <f>_xlfn.IFNA(VLOOKUP(G426,'SKU 对应关系'!$A:$D,3,0),"")</f>
        <v>AN8</v>
      </c>
      <c r="O426" s="96">
        <v>10</v>
      </c>
      <c r="P426" s="580">
        <v>169.60396039603961</v>
      </c>
      <c r="Q426" s="96" t="s">
        <v>16</v>
      </c>
      <c r="R426" s="91">
        <v>4.2</v>
      </c>
      <c r="S426" s="95"/>
      <c r="T426" s="98">
        <v>15.037593984962406</v>
      </c>
      <c r="U426" s="99">
        <f t="shared" si="54"/>
        <v>727.37422764832877</v>
      </c>
      <c r="V426" s="100">
        <f t="shared" si="52"/>
        <v>2.4245807588277626</v>
      </c>
      <c r="W426" s="101">
        <f t="shared" si="55"/>
        <v>0.36187772519817352</v>
      </c>
      <c r="X426" s="95"/>
      <c r="Y426" s="95"/>
      <c r="Z426" s="102"/>
      <c r="AA426" s="103">
        <v>46129</v>
      </c>
      <c r="AB426" s="103">
        <v>46151</v>
      </c>
      <c r="AC426" s="103"/>
      <c r="AD426" s="104">
        <f>IF(ISNA(VLOOKUP(D426,亚马逊入库配置费!B:F,5,0)),0,VLOOKUP(D426,亚马逊入库配置费!B:F,5,0))</f>
        <v>0.44644067796610171</v>
      </c>
      <c r="AE426" s="104">
        <f t="shared" si="51"/>
        <v>133.93220338983051</v>
      </c>
      <c r="AF426" s="103">
        <v>46160</v>
      </c>
      <c r="AG426" s="90">
        <f t="shared" si="53"/>
        <v>31</v>
      </c>
      <c r="AH426" s="103"/>
      <c r="AI426" s="96"/>
      <c r="AJ426" s="96"/>
      <c r="AK426" s="96"/>
      <c r="AL426" s="92"/>
      <c r="AM426" s="91"/>
      <c r="AN426" s="91"/>
      <c r="AO426" s="96"/>
      <c r="AP426" s="105"/>
      <c r="AQ426" s="105"/>
      <c r="AR426" s="105"/>
      <c r="AS426" s="105"/>
    </row>
    <row r="427" spans="1:45" ht="12" customHeight="1" x14ac:dyDescent="0.25">
      <c r="A427" s="90">
        <v>426</v>
      </c>
      <c r="B427" s="91"/>
      <c r="C427" s="91" t="s">
        <v>925</v>
      </c>
      <c r="D427" s="92" t="s">
        <v>4426</v>
      </c>
      <c r="E427" s="91" t="s">
        <v>97</v>
      </c>
      <c r="F427" s="91" t="s">
        <v>0</v>
      </c>
      <c r="G427" s="56" t="s">
        <v>1825</v>
      </c>
      <c r="H427" s="91">
        <v>32</v>
      </c>
      <c r="I427" s="91" t="s">
        <v>117</v>
      </c>
      <c r="J427" s="91" t="s">
        <v>8</v>
      </c>
      <c r="K427" s="92" t="s">
        <v>13</v>
      </c>
      <c r="L427" s="93" t="str">
        <f>VLOOKUP(G427,'SKU 对应关系'!A:E,4,0)</f>
        <v>ADXKIT-B_DT</v>
      </c>
      <c r="M427" s="94" t="str">
        <f>_xlfn.IFNA(VLOOKUP(G427,'SKU 对应关系'!A:B,2,0),"")</f>
        <v>ADXKIT-B_DT ADX便携式扩香仪两个装套装 黑+沙漠钛</v>
      </c>
      <c r="N427" s="95" t="str">
        <f>_xlfn.IFNA(VLOOKUP(G427,'SKU 对应关系'!$A:$D,3,0),"")</f>
        <v>ADX</v>
      </c>
      <c r="O427" s="96">
        <v>2</v>
      </c>
      <c r="P427" s="580">
        <v>27.754716981132077</v>
      </c>
      <c r="Q427" s="96" t="s">
        <v>16</v>
      </c>
      <c r="R427" s="91">
        <v>3.8</v>
      </c>
      <c r="S427" s="95">
        <v>200</v>
      </c>
      <c r="T427" s="98">
        <v>3.225806451612903</v>
      </c>
      <c r="U427" s="99">
        <f t="shared" si="54"/>
        <v>108.69373097991479</v>
      </c>
      <c r="V427" s="100">
        <f t="shared" si="52"/>
        <v>3.3966790931223372</v>
      </c>
      <c r="W427" s="101">
        <f t="shared" si="55"/>
        <v>0.50696702882422939</v>
      </c>
      <c r="X427" s="95"/>
      <c r="Y427" s="95"/>
      <c r="Z427" s="102"/>
      <c r="AA427" s="103">
        <v>46129</v>
      </c>
      <c r="AB427" s="103">
        <v>46150</v>
      </c>
      <c r="AC427" s="103"/>
      <c r="AD427" s="104">
        <f>IF(ISNA(VLOOKUP(D427,亚马逊入库配置费!B:F,5,0)),0,VLOOKUP(D427,亚马逊入库配置费!B:F,5,0))</f>
        <v>0.37947719118400819</v>
      </c>
      <c r="AE427" s="104">
        <f t="shared" si="51"/>
        <v>12.143270117888262</v>
      </c>
      <c r="AF427" s="103">
        <v>46166</v>
      </c>
      <c r="AG427" s="90">
        <f t="shared" si="53"/>
        <v>37</v>
      </c>
      <c r="AH427" s="103"/>
      <c r="AI427" s="96"/>
      <c r="AJ427" s="96"/>
      <c r="AK427" s="96"/>
      <c r="AL427" s="92"/>
      <c r="AM427" s="91"/>
      <c r="AN427" s="91"/>
      <c r="AO427" s="96"/>
      <c r="AP427" s="105"/>
      <c r="AQ427" s="105"/>
      <c r="AR427" s="105"/>
      <c r="AS427" s="105"/>
    </row>
    <row r="428" spans="1:45" ht="12" customHeight="1" x14ac:dyDescent="0.25">
      <c r="A428" s="90">
        <v>427</v>
      </c>
      <c r="B428" s="91"/>
      <c r="C428" s="91" t="s">
        <v>925</v>
      </c>
      <c r="D428" s="92" t="s">
        <v>4426</v>
      </c>
      <c r="E428" s="91" t="s">
        <v>97</v>
      </c>
      <c r="F428" s="91" t="s">
        <v>0</v>
      </c>
      <c r="G428" s="56" t="s">
        <v>163</v>
      </c>
      <c r="H428" s="91">
        <v>2000</v>
      </c>
      <c r="I428" s="91" t="s">
        <v>117</v>
      </c>
      <c r="J428" s="91" t="s">
        <v>8</v>
      </c>
      <c r="K428" s="92" t="s">
        <v>13</v>
      </c>
      <c r="L428" s="93" t="str">
        <f>VLOOKUP(G428,'SKU 对应关系'!A:E,4,0)</f>
        <v>AN6-B</v>
      </c>
      <c r="M428" s="94" t="str">
        <f>_xlfn.IFNA(VLOOKUP(G428,'SKU 对应关系'!A:B,2,0),"")</f>
        <v>AN6-B 便携式扩香仪 黑色</v>
      </c>
      <c r="N428" s="95" t="str">
        <f>_xlfn.IFNA(VLOOKUP(G428,'SKU 对应关系'!$A:$D,3,0),"")</f>
        <v>AN6</v>
      </c>
      <c r="O428" s="96">
        <v>50</v>
      </c>
      <c r="P428" s="580">
        <v>693.86792452830196</v>
      </c>
      <c r="Q428" s="96" t="s">
        <v>16</v>
      </c>
      <c r="R428" s="91">
        <v>3.8</v>
      </c>
      <c r="S428" s="106">
        <v>200</v>
      </c>
      <c r="T428" s="98">
        <v>80.645161290322577</v>
      </c>
      <c r="U428" s="99">
        <f t="shared" si="54"/>
        <v>2717.34327449787</v>
      </c>
      <c r="V428" s="100">
        <f t="shared" si="52"/>
        <v>1.3586716372489349</v>
      </c>
      <c r="W428" s="101">
        <f t="shared" si="55"/>
        <v>0.20278681152969177</v>
      </c>
      <c r="X428" s="95"/>
      <c r="Y428" s="95"/>
      <c r="Z428" s="102"/>
      <c r="AA428" s="103">
        <v>46129</v>
      </c>
      <c r="AB428" s="103">
        <v>46150</v>
      </c>
      <c r="AC428" s="103"/>
      <c r="AD428" s="104">
        <f>IF(ISNA(VLOOKUP(D428,亚马逊入库配置费!B:F,5,0)),0,VLOOKUP(D428,亚马逊入库配置费!B:F,5,0))</f>
        <v>0.37947719118400819</v>
      </c>
      <c r="AE428" s="104">
        <f t="shared" si="51"/>
        <v>758.95438236801635</v>
      </c>
      <c r="AF428" s="103">
        <v>46166</v>
      </c>
      <c r="AG428" s="90">
        <f t="shared" si="53"/>
        <v>37</v>
      </c>
      <c r="AH428" s="103"/>
      <c r="AI428" s="96"/>
      <c r="AJ428" s="96"/>
      <c r="AK428" s="96"/>
      <c r="AL428" s="92"/>
      <c r="AM428" s="91"/>
      <c r="AN428" s="91"/>
      <c r="AO428" s="96"/>
      <c r="AP428" s="105"/>
      <c r="AQ428" s="105"/>
      <c r="AR428" s="105"/>
      <c r="AS428" s="105"/>
    </row>
    <row r="429" spans="1:45" ht="12" customHeight="1" x14ac:dyDescent="0.25">
      <c r="A429" s="90">
        <v>428</v>
      </c>
      <c r="B429" s="91"/>
      <c r="C429" s="91" t="s">
        <v>925</v>
      </c>
      <c r="D429" s="92" t="s">
        <v>4426</v>
      </c>
      <c r="E429" s="91" t="s">
        <v>97</v>
      </c>
      <c r="F429" s="91" t="s">
        <v>0</v>
      </c>
      <c r="G429" s="56" t="s">
        <v>350</v>
      </c>
      <c r="H429" s="91">
        <v>320</v>
      </c>
      <c r="I429" s="91" t="s">
        <v>117</v>
      </c>
      <c r="J429" s="91" t="s">
        <v>8</v>
      </c>
      <c r="K429" s="92" t="s">
        <v>13</v>
      </c>
      <c r="L429" s="93" t="str">
        <f>VLOOKUP(G429,'SKU 对应关系'!A:E,4,0)</f>
        <v>AN6-GL</v>
      </c>
      <c r="M429" s="94" t="str">
        <f>_xlfn.IFNA(VLOOKUP(G429,'SKU 对应关系'!A:B,2,0),"")</f>
        <v>AN6-GL 便携式扩香仪 翠百合色</v>
      </c>
      <c r="N429" s="95" t="str">
        <f>_xlfn.IFNA(VLOOKUP(G429,'SKU 对应关系'!$A:$D,3,0),"")</f>
        <v>AN6</v>
      </c>
      <c r="O429" s="96">
        <v>8</v>
      </c>
      <c r="P429" s="580">
        <v>111.01886792452831</v>
      </c>
      <c r="Q429" s="96" t="s">
        <v>16</v>
      </c>
      <c r="R429" s="91">
        <v>3.8</v>
      </c>
      <c r="S429" s="95"/>
      <c r="T429" s="98">
        <v>12.903225806451612</v>
      </c>
      <c r="U429" s="99">
        <f t="shared" si="54"/>
        <v>434.77492391965916</v>
      </c>
      <c r="V429" s="100">
        <f t="shared" si="52"/>
        <v>1.3586716372489349</v>
      </c>
      <c r="W429" s="101">
        <f t="shared" si="55"/>
        <v>0.20278681152969177</v>
      </c>
      <c r="X429" s="95"/>
      <c r="Y429" s="95"/>
      <c r="Z429" s="102"/>
      <c r="AA429" s="103">
        <v>46129</v>
      </c>
      <c r="AB429" s="103">
        <v>46150</v>
      </c>
      <c r="AC429" s="103"/>
      <c r="AD429" s="104">
        <f>IF(ISNA(VLOOKUP(D429,亚马逊入库配置费!B:F,5,0)),0,VLOOKUP(D429,亚马逊入库配置费!B:F,5,0))</f>
        <v>0.37947719118400819</v>
      </c>
      <c r="AE429" s="104">
        <f t="shared" si="51"/>
        <v>121.43270117888262</v>
      </c>
      <c r="AF429" s="103">
        <v>46166</v>
      </c>
      <c r="AG429" s="90">
        <f t="shared" si="53"/>
        <v>37</v>
      </c>
      <c r="AH429" s="103"/>
      <c r="AI429" s="96"/>
      <c r="AJ429" s="96"/>
      <c r="AK429" s="96"/>
      <c r="AL429" s="92"/>
      <c r="AM429" s="91"/>
      <c r="AN429" s="91"/>
      <c r="AO429" s="96"/>
      <c r="AP429" s="105"/>
      <c r="AQ429" s="105"/>
      <c r="AR429" s="105"/>
      <c r="AS429" s="105"/>
    </row>
    <row r="430" spans="1:45" ht="12" customHeight="1" x14ac:dyDescent="0.25">
      <c r="A430" s="90">
        <v>429</v>
      </c>
      <c r="B430" s="91"/>
      <c r="C430" s="91" t="s">
        <v>925</v>
      </c>
      <c r="D430" s="92" t="s">
        <v>4426</v>
      </c>
      <c r="E430" s="91" t="s">
        <v>97</v>
      </c>
      <c r="F430" s="91" t="s">
        <v>0</v>
      </c>
      <c r="G430" s="56" t="s">
        <v>165</v>
      </c>
      <c r="H430" s="91">
        <v>680</v>
      </c>
      <c r="I430" s="91" t="s">
        <v>117</v>
      </c>
      <c r="J430" s="91" t="s">
        <v>8</v>
      </c>
      <c r="K430" s="92" t="s">
        <v>13</v>
      </c>
      <c r="L430" s="93" t="str">
        <f>VLOOKUP(G430,'SKU 对应关系'!A:E,4,0)</f>
        <v>AN6-W</v>
      </c>
      <c r="M430" s="94" t="str">
        <f>_xlfn.IFNA(VLOOKUP(G430,'SKU 对应关系'!A:B,2,0),"")</f>
        <v>AN6-W 便携式扩香仪 白色</v>
      </c>
      <c r="N430" s="95" t="str">
        <f>_xlfn.IFNA(VLOOKUP(G430,'SKU 对应关系'!$A:$D,3,0),"")</f>
        <v>AN6</v>
      </c>
      <c r="O430" s="96">
        <v>17</v>
      </c>
      <c r="P430" s="580">
        <v>235.91509433962267</v>
      </c>
      <c r="Q430" s="96" t="s">
        <v>16</v>
      </c>
      <c r="R430" s="91">
        <v>3.8</v>
      </c>
      <c r="S430" s="95"/>
      <c r="T430" s="98">
        <v>27.419354838709676</v>
      </c>
      <c r="U430" s="99">
        <f t="shared" si="54"/>
        <v>923.89671332927571</v>
      </c>
      <c r="V430" s="100">
        <f t="shared" si="52"/>
        <v>1.3586716372489349</v>
      </c>
      <c r="W430" s="101">
        <f t="shared" si="55"/>
        <v>0.20278681152969177</v>
      </c>
      <c r="X430" s="95"/>
      <c r="Y430" s="95"/>
      <c r="Z430" s="102"/>
      <c r="AA430" s="103">
        <v>46129</v>
      </c>
      <c r="AB430" s="103">
        <v>46150</v>
      </c>
      <c r="AC430" s="103"/>
      <c r="AD430" s="104">
        <f>IF(ISNA(VLOOKUP(D430,亚马逊入库配置费!B:F,5,0)),0,VLOOKUP(D430,亚马逊入库配置费!B:F,5,0))</f>
        <v>0.37947719118400819</v>
      </c>
      <c r="AE430" s="104">
        <f t="shared" si="51"/>
        <v>258.04449000512557</v>
      </c>
      <c r="AF430" s="103">
        <v>46166</v>
      </c>
      <c r="AG430" s="90">
        <f t="shared" si="53"/>
        <v>37</v>
      </c>
      <c r="AH430" s="103"/>
      <c r="AI430" s="96"/>
      <c r="AJ430" s="96"/>
      <c r="AK430" s="96"/>
      <c r="AL430" s="92"/>
      <c r="AM430" s="91"/>
      <c r="AN430" s="91"/>
      <c r="AO430" s="96"/>
      <c r="AP430" s="105"/>
      <c r="AQ430" s="105"/>
      <c r="AR430" s="105"/>
      <c r="AS430" s="105"/>
    </row>
    <row r="431" spans="1:45" ht="12" customHeight="1" x14ac:dyDescent="0.25">
      <c r="A431" s="90">
        <v>430</v>
      </c>
      <c r="B431" s="91"/>
      <c r="C431" s="91" t="s">
        <v>925</v>
      </c>
      <c r="D431" s="92" t="s">
        <v>4426</v>
      </c>
      <c r="E431" s="91" t="s">
        <v>97</v>
      </c>
      <c r="F431" s="91" t="s">
        <v>0</v>
      </c>
      <c r="G431" s="56" t="s">
        <v>2279</v>
      </c>
      <c r="H431" s="91">
        <v>660</v>
      </c>
      <c r="I431" s="91" t="s">
        <v>117</v>
      </c>
      <c r="J431" s="91" t="s">
        <v>8</v>
      </c>
      <c r="K431" s="92" t="s">
        <v>13</v>
      </c>
      <c r="L431" s="93" t="str">
        <f>VLOOKUP(G431,'SKU 对应关系'!A:E,4,0)</f>
        <v>RD1-B</v>
      </c>
      <c r="M431" s="94" t="str">
        <f>_xlfn.IFNA(VLOOKUP(G431,'SKU 对应关系'!A:B,2,0),"")</f>
        <v>RD1-B 便携式扩香仪 黑色</v>
      </c>
      <c r="N431" s="95" t="str">
        <f>_xlfn.IFNA(VLOOKUP(G431,'SKU 对应关系'!$A:$D,3,0),"")</f>
        <v>RD1</v>
      </c>
      <c r="O431" s="96">
        <v>22</v>
      </c>
      <c r="P431" s="580">
        <v>305.30188679245282</v>
      </c>
      <c r="Q431" s="96" t="s">
        <v>16</v>
      </c>
      <c r="R431" s="91">
        <v>3.8</v>
      </c>
      <c r="S431" s="95"/>
      <c r="T431" s="98">
        <v>35.483870967741936</v>
      </c>
      <c r="U431" s="99">
        <f t="shared" si="54"/>
        <v>1195.6310407790627</v>
      </c>
      <c r="V431" s="100">
        <f t="shared" si="52"/>
        <v>1.8115621829985797</v>
      </c>
      <c r="W431" s="101">
        <f t="shared" si="55"/>
        <v>0.27038241537292235</v>
      </c>
      <c r="X431" s="95"/>
      <c r="Y431" s="95"/>
      <c r="Z431" s="102"/>
      <c r="AA431" s="103">
        <v>46129</v>
      </c>
      <c r="AB431" s="103">
        <v>46150</v>
      </c>
      <c r="AC431" s="103"/>
      <c r="AD431" s="104">
        <f>IF(ISNA(VLOOKUP(D431,亚马逊入库配置费!B:F,5,0)),0,VLOOKUP(D431,亚马逊入库配置费!B:F,5,0))</f>
        <v>0.37947719118400819</v>
      </c>
      <c r="AE431" s="104">
        <f t="shared" si="51"/>
        <v>250.45494618144539</v>
      </c>
      <c r="AF431" s="103">
        <v>46166</v>
      </c>
      <c r="AG431" s="90">
        <f t="shared" si="53"/>
        <v>37</v>
      </c>
      <c r="AH431" s="103"/>
      <c r="AI431" s="96"/>
      <c r="AJ431" s="96"/>
      <c r="AK431" s="96"/>
      <c r="AL431" s="92"/>
      <c r="AM431" s="91"/>
      <c r="AN431" s="91"/>
      <c r="AO431" s="96"/>
      <c r="AP431" s="105"/>
      <c r="AQ431" s="105"/>
      <c r="AR431" s="105"/>
      <c r="AS431" s="105"/>
    </row>
    <row r="432" spans="1:45" ht="12" customHeight="1" x14ac:dyDescent="0.25">
      <c r="A432" s="90">
        <v>431</v>
      </c>
      <c r="B432" s="91"/>
      <c r="C432" s="91" t="s">
        <v>925</v>
      </c>
      <c r="D432" s="92" t="s">
        <v>4426</v>
      </c>
      <c r="E432" s="91" t="s">
        <v>97</v>
      </c>
      <c r="F432" s="91" t="s">
        <v>0</v>
      </c>
      <c r="G432" s="56" t="s">
        <v>2281</v>
      </c>
      <c r="H432" s="91">
        <v>210</v>
      </c>
      <c r="I432" s="91" t="s">
        <v>117</v>
      </c>
      <c r="J432" s="91" t="s">
        <v>8</v>
      </c>
      <c r="K432" s="92" t="s">
        <v>13</v>
      </c>
      <c r="L432" s="93" t="str">
        <f>VLOOKUP(G432,'SKU 对应关系'!A:E,4,0)</f>
        <v>RD1-DT</v>
      </c>
      <c r="M432" s="94" t="str">
        <f>_xlfn.IFNA(VLOOKUP(G432,'SKU 对应关系'!A:B,2,0),"")</f>
        <v>RD1-DT 便携式扩香仪 沙漠钛色</v>
      </c>
      <c r="N432" s="95" t="str">
        <f>_xlfn.IFNA(VLOOKUP(G432,'SKU 对应关系'!$A:$D,3,0),"")</f>
        <v>RD1</v>
      </c>
      <c r="O432" s="96">
        <v>7</v>
      </c>
      <c r="P432" s="580">
        <v>97.14150943396227</v>
      </c>
      <c r="Q432" s="96" t="s">
        <v>16</v>
      </c>
      <c r="R432" s="91">
        <v>3.8</v>
      </c>
      <c r="S432" s="95"/>
      <c r="T432" s="98">
        <v>11.290322580645162</v>
      </c>
      <c r="U432" s="99">
        <f t="shared" si="54"/>
        <v>380.42805842970176</v>
      </c>
      <c r="V432" s="100">
        <f t="shared" si="52"/>
        <v>1.8115621829985797</v>
      </c>
      <c r="W432" s="101">
        <f t="shared" si="55"/>
        <v>0.27038241537292235</v>
      </c>
      <c r="X432" s="95"/>
      <c r="Y432" s="95"/>
      <c r="Z432" s="102"/>
      <c r="AA432" s="103">
        <v>46129</v>
      </c>
      <c r="AB432" s="103">
        <v>46150</v>
      </c>
      <c r="AC432" s="103"/>
      <c r="AD432" s="104">
        <f>IF(ISNA(VLOOKUP(D432,亚马逊入库配置费!B:F,5,0)),0,VLOOKUP(D432,亚马逊入库配置费!B:F,5,0))</f>
        <v>0.37947719118400819</v>
      </c>
      <c r="AE432" s="104">
        <f t="shared" si="51"/>
        <v>79.690210148641725</v>
      </c>
      <c r="AF432" s="103">
        <v>46166</v>
      </c>
      <c r="AG432" s="90">
        <f t="shared" si="53"/>
        <v>37</v>
      </c>
      <c r="AH432" s="103"/>
      <c r="AI432" s="96"/>
      <c r="AJ432" s="96"/>
      <c r="AK432" s="96"/>
      <c r="AL432" s="92"/>
      <c r="AM432" s="91"/>
      <c r="AN432" s="91"/>
      <c r="AO432" s="96"/>
      <c r="AP432" s="105"/>
      <c r="AQ432" s="105"/>
      <c r="AR432" s="105"/>
      <c r="AS432" s="105"/>
    </row>
    <row r="433" spans="1:45" ht="12" customHeight="1" x14ac:dyDescent="0.25">
      <c r="A433" s="90">
        <v>432</v>
      </c>
      <c r="B433" s="91"/>
      <c r="C433" s="91" t="s">
        <v>929</v>
      </c>
      <c r="D433" s="92" t="s">
        <v>4427</v>
      </c>
      <c r="E433" s="91" t="s">
        <v>2411</v>
      </c>
      <c r="F433" s="91" t="s">
        <v>0</v>
      </c>
      <c r="G433" s="56" t="s">
        <v>2866</v>
      </c>
      <c r="H433" s="91">
        <v>80</v>
      </c>
      <c r="I433" s="91" t="s">
        <v>89</v>
      </c>
      <c r="J433" s="91" t="s">
        <v>8</v>
      </c>
      <c r="K433" s="92" t="s">
        <v>50</v>
      </c>
      <c r="L433" s="93" t="str">
        <f>VLOOKUP(G433,'SKU 对应关系'!A:E,4,0)</f>
        <v>ANZKIT-B_B</v>
      </c>
      <c r="M433" s="94" t="str">
        <f>_xlfn.IFNA(VLOOKUP(G433,'SKU 对应关系'!A:B,2,0),"")</f>
        <v>ANZKIT-B_B 便携式扩香仪 黑色 两个装</v>
      </c>
      <c r="N433" s="95" t="str">
        <f>_xlfn.IFNA(VLOOKUP(G433,'SKU 对应关系'!$A:$D,3,0),"")</f>
        <v>ANZ</v>
      </c>
      <c r="O433" s="96">
        <v>4</v>
      </c>
      <c r="P433" s="580">
        <v>52</v>
      </c>
      <c r="Q433" s="96" t="s">
        <v>16</v>
      </c>
      <c r="R433" s="91">
        <v>4.0999999999999996</v>
      </c>
      <c r="S433" s="95">
        <v>200</v>
      </c>
      <c r="T433" s="98">
        <v>29.62962962962963</v>
      </c>
      <c r="U433" s="99">
        <f t="shared" si="54"/>
        <v>242.82962962962961</v>
      </c>
      <c r="V433" s="100">
        <f t="shared" si="52"/>
        <v>3.0353703703703703</v>
      </c>
      <c r="W433" s="101">
        <f t="shared" si="55"/>
        <v>0.45304035378662244</v>
      </c>
      <c r="X433" s="95"/>
      <c r="Y433" s="95"/>
      <c r="Z433" s="102"/>
      <c r="AA433" s="103">
        <v>46129</v>
      </c>
      <c r="AB433" s="103">
        <v>46152</v>
      </c>
      <c r="AC433" s="103"/>
      <c r="AD433" s="104">
        <f>IF(ISNA(VLOOKUP(D433,亚马逊入库配置费!B:F,5,0)),0,VLOOKUP(D433,亚马逊入库配置费!B:F,5,0))</f>
        <v>0.44000000000000006</v>
      </c>
      <c r="AE433" s="104">
        <f t="shared" si="51"/>
        <v>35.200000000000003</v>
      </c>
      <c r="AF433" s="103">
        <v>46164</v>
      </c>
      <c r="AG433" s="90">
        <f t="shared" si="53"/>
        <v>35</v>
      </c>
      <c r="AH433" s="103"/>
      <c r="AI433" s="96"/>
      <c r="AJ433" s="96"/>
      <c r="AK433" s="96"/>
      <c r="AL433" s="92"/>
      <c r="AM433" s="91"/>
      <c r="AN433" s="91"/>
      <c r="AO433" s="96"/>
      <c r="AP433" s="105"/>
      <c r="AQ433" s="105"/>
      <c r="AR433" s="105"/>
      <c r="AS433" s="105"/>
    </row>
    <row r="434" spans="1:45" ht="12" customHeight="1" x14ac:dyDescent="0.25">
      <c r="A434" s="90">
        <v>433</v>
      </c>
      <c r="B434" s="91"/>
      <c r="C434" s="91" t="s">
        <v>899</v>
      </c>
      <c r="D434" s="92" t="s">
        <v>4428</v>
      </c>
      <c r="E434" s="91" t="s">
        <v>4202</v>
      </c>
      <c r="F434" s="91" t="s">
        <v>0</v>
      </c>
      <c r="G434" s="56" t="s">
        <v>4129</v>
      </c>
      <c r="H434" s="91">
        <v>780</v>
      </c>
      <c r="I434" s="91" t="s">
        <v>89</v>
      </c>
      <c r="J434" s="91" t="s">
        <v>8</v>
      </c>
      <c r="K434" s="92" t="s">
        <v>50</v>
      </c>
      <c r="L434" s="93" t="str">
        <f>VLOOKUP(G434,'SKU 对应关系'!A:E,4,0)</f>
        <v>RD2KIT-B_2X30K06_TZ</v>
      </c>
      <c r="M434" s="94" t="str">
        <f>_xlfn.IFNA(VLOOKUP(G434,'SKU 对应关系'!A:B,2,0),"")</f>
        <v>RD2KIT-B_2X30K06_TZ RD2黑色机器+2X30mL酒店香氛油（天竺）  机油套装</v>
      </c>
      <c r="N434" s="95" t="str">
        <f>_xlfn.IFNA(VLOOKUP(G434,'SKU 对应关系'!$A:$D,3,0),"")</f>
        <v>RD2</v>
      </c>
      <c r="O434" s="96">
        <v>39</v>
      </c>
      <c r="P434" s="580">
        <v>538.57000000000005</v>
      </c>
      <c r="Q434" s="96" t="s">
        <v>16</v>
      </c>
      <c r="R434" s="91">
        <v>4.0999999999999996</v>
      </c>
      <c r="S434" s="95">
        <v>200</v>
      </c>
      <c r="T434" s="98">
        <v>123.80952380952381</v>
      </c>
      <c r="U434" s="99">
        <f t="shared" si="54"/>
        <v>2331.946523809524</v>
      </c>
      <c r="V434" s="100">
        <f t="shared" si="52"/>
        <v>2.9896750305250306</v>
      </c>
      <c r="W434" s="101">
        <f t="shared" si="55"/>
        <v>0.44622015380970603</v>
      </c>
      <c r="X434" s="95"/>
      <c r="Y434" s="95"/>
      <c r="Z434" s="102"/>
      <c r="AA434" s="103">
        <v>46129</v>
      </c>
      <c r="AB434" s="103">
        <v>46152</v>
      </c>
      <c r="AC434" s="103"/>
      <c r="AD434" s="104">
        <f>IF(ISNA(VLOOKUP(D434,亚马逊入库配置费!B:F,5,0)),0,VLOOKUP(D434,亚马逊入库配置费!B:F,5,0))</f>
        <v>0.70358974358974358</v>
      </c>
      <c r="AE434" s="104">
        <f t="shared" si="51"/>
        <v>548.79999999999995</v>
      </c>
      <c r="AF434" s="103">
        <v>46161</v>
      </c>
      <c r="AG434" s="90">
        <f t="shared" si="53"/>
        <v>32</v>
      </c>
      <c r="AH434" s="103"/>
      <c r="AI434" s="96"/>
      <c r="AJ434" s="96"/>
      <c r="AK434" s="96"/>
      <c r="AL434" s="92"/>
      <c r="AM434" s="91"/>
      <c r="AN434" s="91"/>
      <c r="AO434" s="96"/>
      <c r="AP434" s="105"/>
      <c r="AQ434" s="105"/>
      <c r="AR434" s="105"/>
      <c r="AS434" s="105"/>
    </row>
    <row r="435" spans="1:45" ht="12" customHeight="1" x14ac:dyDescent="0.25">
      <c r="A435" s="90">
        <v>434</v>
      </c>
      <c r="B435" s="91"/>
      <c r="C435" s="91" t="s">
        <v>4420</v>
      </c>
      <c r="D435" s="92" t="s">
        <v>4429</v>
      </c>
      <c r="E435" s="91" t="s">
        <v>97</v>
      </c>
      <c r="F435" s="91" t="s">
        <v>0</v>
      </c>
      <c r="G435" s="56" t="s">
        <v>2887</v>
      </c>
      <c r="H435" s="91">
        <v>300</v>
      </c>
      <c r="I435" s="91" t="s">
        <v>89</v>
      </c>
      <c r="J435" s="91" t="s">
        <v>4</v>
      </c>
      <c r="K435" s="92" t="s">
        <v>13</v>
      </c>
      <c r="L435" s="93" t="str">
        <f>VLOOKUP(G435,'SKU 对应关系'!A:E,4,0)</f>
        <v>ADXKIT-DT_4X10K04_TZ</v>
      </c>
      <c r="M435" s="94" t="str">
        <f>_xlfn.IFNA(VLOOKUP(G435,'SKU 对应关系'!A:B,2,0),"")</f>
        <v>ADXKIT-DT_4X10K04_TZ AD钛色机器+4x10mL酒店（天竺）香氛油 机油套装</v>
      </c>
      <c r="N435" s="95" t="str">
        <f>_xlfn.IFNA(VLOOKUP(G435,'SKU 对应关系'!$A:$D,3,0),"")</f>
        <v>ADX</v>
      </c>
      <c r="O435" s="96">
        <v>10</v>
      </c>
      <c r="P435" s="580">
        <v>164.5</v>
      </c>
      <c r="Q435" s="96" t="s">
        <v>16</v>
      </c>
      <c r="R435" s="91">
        <v>7.9</v>
      </c>
      <c r="S435" s="95">
        <v>200</v>
      </c>
      <c r="T435" s="98">
        <v>55.555555555555557</v>
      </c>
      <c r="U435" s="99">
        <f t="shared" si="54"/>
        <v>1355.1055555555556</v>
      </c>
      <c r="V435" s="100">
        <f t="shared" si="52"/>
        <v>4.517018518518519</v>
      </c>
      <c r="W435" s="101">
        <f t="shared" si="55"/>
        <v>0.6741818684355998</v>
      </c>
      <c r="X435" s="95"/>
      <c r="Y435" s="95"/>
      <c r="Z435" s="102"/>
      <c r="AA435" s="103">
        <v>46129</v>
      </c>
      <c r="AB435" s="103">
        <v>46145</v>
      </c>
      <c r="AC435" s="103"/>
      <c r="AD435" s="104">
        <f>IF(ISNA(VLOOKUP(D435,亚马逊入库配置费!B:F,5,0)),0,VLOOKUP(D435,亚马逊入库配置费!B:F,5,0))</f>
        <v>0.44</v>
      </c>
      <c r="AE435" s="104">
        <f t="shared" si="51"/>
        <v>132</v>
      </c>
      <c r="AF435" s="103">
        <v>46156</v>
      </c>
      <c r="AG435" s="90">
        <f t="shared" si="53"/>
        <v>27</v>
      </c>
      <c r="AH435" s="103"/>
      <c r="AI435" s="96"/>
      <c r="AJ435" s="96"/>
      <c r="AK435" s="96"/>
      <c r="AL435" s="92"/>
      <c r="AM435" s="91"/>
      <c r="AN435" s="91"/>
      <c r="AO435" s="96"/>
      <c r="AP435" s="105"/>
      <c r="AQ435" s="105"/>
      <c r="AR435" s="105"/>
      <c r="AS435" s="105"/>
    </row>
    <row r="436" spans="1:45" ht="12" customHeight="1" x14ac:dyDescent="0.25">
      <c r="A436" s="90">
        <v>435</v>
      </c>
      <c r="B436" s="91"/>
      <c r="C436" s="91" t="s">
        <v>4420</v>
      </c>
      <c r="D436" s="92" t="s">
        <v>4429</v>
      </c>
      <c r="E436" s="91" t="s">
        <v>97</v>
      </c>
      <c r="F436" s="91" t="s">
        <v>0</v>
      </c>
      <c r="G436" s="56" t="s">
        <v>2281</v>
      </c>
      <c r="H436" s="91">
        <v>300</v>
      </c>
      <c r="I436" s="91" t="s">
        <v>89</v>
      </c>
      <c r="J436" s="91" t="s">
        <v>4</v>
      </c>
      <c r="K436" s="92" t="s">
        <v>13</v>
      </c>
      <c r="L436" s="93" t="str">
        <f>VLOOKUP(G436,'SKU 对应关系'!A:E,4,0)</f>
        <v>RD1-DT</v>
      </c>
      <c r="M436" s="94" t="str">
        <f>_xlfn.IFNA(VLOOKUP(G436,'SKU 对应关系'!A:B,2,0),"")</f>
        <v>RD1-DT 便携式扩香仪 沙漠钛色</v>
      </c>
      <c r="N436" s="95" t="str">
        <f>_xlfn.IFNA(VLOOKUP(G436,'SKU 对应关系'!$A:$D,3,0),"")</f>
        <v>RD1</v>
      </c>
      <c r="O436" s="96">
        <v>10</v>
      </c>
      <c r="P436" s="580">
        <v>164.5</v>
      </c>
      <c r="Q436" s="96" t="s">
        <v>16</v>
      </c>
      <c r="R436" s="91">
        <v>7.9</v>
      </c>
      <c r="S436" s="106">
        <v>200</v>
      </c>
      <c r="T436" s="98">
        <v>55.555555555555557</v>
      </c>
      <c r="U436" s="99">
        <f t="shared" si="54"/>
        <v>1355.1055555555556</v>
      </c>
      <c r="V436" s="100">
        <f t="shared" si="52"/>
        <v>4.517018518518519</v>
      </c>
      <c r="W436" s="101">
        <f t="shared" si="55"/>
        <v>0.6741818684355998</v>
      </c>
      <c r="X436" s="95"/>
      <c r="Y436" s="95"/>
      <c r="Z436" s="102"/>
      <c r="AA436" s="103">
        <v>46129</v>
      </c>
      <c r="AB436" s="103">
        <v>46145</v>
      </c>
      <c r="AC436" s="103"/>
      <c r="AD436" s="104">
        <f>IF(ISNA(VLOOKUP(D436,亚马逊入库配置费!B:F,5,0)),0,VLOOKUP(D436,亚马逊入库配置费!B:F,5,0))</f>
        <v>0.44</v>
      </c>
      <c r="AE436" s="104">
        <f t="shared" si="51"/>
        <v>132</v>
      </c>
      <c r="AF436" s="103">
        <v>46156</v>
      </c>
      <c r="AG436" s="90">
        <f t="shared" si="53"/>
        <v>27</v>
      </c>
      <c r="AH436" s="103"/>
      <c r="AI436" s="96"/>
      <c r="AJ436" s="96"/>
      <c r="AK436" s="96"/>
      <c r="AL436" s="92"/>
      <c r="AM436" s="91"/>
      <c r="AN436" s="91"/>
      <c r="AO436" s="96"/>
      <c r="AP436" s="105"/>
      <c r="AQ436" s="105"/>
      <c r="AR436" s="105"/>
      <c r="AS436" s="105"/>
    </row>
    <row r="437" spans="1:45" ht="12" customHeight="1" x14ac:dyDescent="0.25">
      <c r="A437" s="90">
        <v>436</v>
      </c>
      <c r="B437" s="91"/>
      <c r="C437" s="91" t="s">
        <v>899</v>
      </c>
      <c r="D437" s="92" t="s">
        <v>4430</v>
      </c>
      <c r="E437" s="91" t="s">
        <v>4202</v>
      </c>
      <c r="F437" s="91" t="s">
        <v>0</v>
      </c>
      <c r="G437" s="56" t="s">
        <v>2938</v>
      </c>
      <c r="H437" s="91">
        <v>216</v>
      </c>
      <c r="I437" s="91" t="s">
        <v>89</v>
      </c>
      <c r="J437" s="91" t="s">
        <v>8</v>
      </c>
      <c r="K437" s="92" t="s">
        <v>50</v>
      </c>
      <c r="L437" s="93" t="str">
        <f>VLOOKUP(G437,'SKU 对应关系'!A:E,4,0)</f>
        <v>RDXKIT-B_US_2X100K04</v>
      </c>
      <c r="M437" s="94" t="str">
        <f>_xlfn.IFNA(VLOOKUP(G437,'SKU 对应关系'!A:B,2,0),"")</f>
        <v>RDXKIT-B_US_2X100K04 RDX黑色机器+2X100mL酒店香氛油（天竺） 机油套装</v>
      </c>
      <c r="N437" s="95" t="str">
        <f>_xlfn.IFNA(VLOOKUP(G437,'SKU 对应关系'!$A:$D,3,0),"")</f>
        <v>RDX</v>
      </c>
      <c r="O437" s="96">
        <v>24</v>
      </c>
      <c r="P437" s="580">
        <v>331.43</v>
      </c>
      <c r="Q437" s="96" t="s">
        <v>16</v>
      </c>
      <c r="R437" s="91">
        <v>4.0999999999999996</v>
      </c>
      <c r="S437" s="95">
        <v>200</v>
      </c>
      <c r="T437" s="98">
        <v>76.19047619047619</v>
      </c>
      <c r="U437" s="99">
        <f t="shared" si="54"/>
        <v>1435.053476190476</v>
      </c>
      <c r="V437" s="100">
        <f t="shared" si="52"/>
        <v>6.6437660934744258</v>
      </c>
      <c r="W437" s="101">
        <f t="shared" si="55"/>
        <v>0.99160687962304861</v>
      </c>
      <c r="X437" s="95"/>
      <c r="Y437" s="95"/>
      <c r="Z437" s="102"/>
      <c r="AA437" s="103">
        <v>46129</v>
      </c>
      <c r="AB437" s="103">
        <v>46152</v>
      </c>
      <c r="AC437" s="103"/>
      <c r="AD437" s="104">
        <f>IF(ISNA(VLOOKUP(D437,亚马逊入库配置费!B:F,5,0)),0,VLOOKUP(D437,亚马逊入库配置费!B:F,5,0))</f>
        <v>0.7</v>
      </c>
      <c r="AE437" s="104">
        <f t="shared" si="51"/>
        <v>151.19999999999999</v>
      </c>
      <c r="AF437" s="103">
        <v>46161</v>
      </c>
      <c r="AG437" s="90">
        <f t="shared" si="53"/>
        <v>32</v>
      </c>
      <c r="AH437" s="103"/>
      <c r="AI437" s="96"/>
      <c r="AJ437" s="96"/>
      <c r="AK437" s="96"/>
      <c r="AL437" s="92"/>
      <c r="AM437" s="91"/>
      <c r="AN437" s="91"/>
      <c r="AO437" s="96"/>
      <c r="AP437" s="105"/>
      <c r="AQ437" s="105"/>
      <c r="AR437" s="105"/>
      <c r="AS437" s="105"/>
    </row>
    <row r="438" spans="1:45" ht="12" customHeight="1" x14ac:dyDescent="0.25">
      <c r="A438" s="90">
        <v>437</v>
      </c>
      <c r="B438" s="91"/>
      <c r="C438" s="91" t="s">
        <v>4431</v>
      </c>
      <c r="D438" s="92" t="s">
        <v>4432</v>
      </c>
      <c r="E438" s="91" t="s">
        <v>1037</v>
      </c>
      <c r="F438" s="91" t="s">
        <v>0</v>
      </c>
      <c r="G438" s="56" t="s">
        <v>2439</v>
      </c>
      <c r="H438" s="91">
        <v>480</v>
      </c>
      <c r="I438" s="91" t="s">
        <v>1767</v>
      </c>
      <c r="J438" s="91" t="s">
        <v>8</v>
      </c>
      <c r="K438" s="92" t="s">
        <v>10</v>
      </c>
      <c r="L438" s="93" t="str">
        <f>VLOOKUP(G438,'SKU 对应关系'!A:E,4,0)</f>
        <v>G1-B</v>
      </c>
      <c r="M438" s="94" t="str">
        <f>_xlfn.IFNA(VLOOKUP(G438,'SKU 对应关系'!A:B,2,0),"")</f>
        <v>G1-B 电子球形把手锁 黑色</v>
      </c>
      <c r="N438" s="95" t="str">
        <f>_xlfn.IFNA(VLOOKUP(G438,'SKU 对应关系'!$A:$D,3,0),"")</f>
        <v>G1</v>
      </c>
      <c r="O438" s="96">
        <v>30</v>
      </c>
      <c r="P438" s="580">
        <v>1.6445783132530121</v>
      </c>
      <c r="Q438" s="96" t="s">
        <v>3264</v>
      </c>
      <c r="R438" s="91">
        <v>1020</v>
      </c>
      <c r="S438" s="95">
        <v>180</v>
      </c>
      <c r="T438" s="98">
        <v>50.943396226415096</v>
      </c>
      <c r="U438" s="99">
        <f t="shared" si="54"/>
        <v>1728.4132757444875</v>
      </c>
      <c r="V438" s="100">
        <f t="shared" si="52"/>
        <v>3.6008609911343488</v>
      </c>
      <c r="W438" s="101">
        <f t="shared" si="55"/>
        <v>0.53744193897527592</v>
      </c>
      <c r="X438" s="95"/>
      <c r="Y438" s="95"/>
      <c r="Z438" s="102"/>
      <c r="AA438" s="103">
        <v>46129</v>
      </c>
      <c r="AB438" s="103">
        <v>46151</v>
      </c>
      <c r="AC438" s="103"/>
      <c r="AD438" s="104">
        <f>IF(ISNA(VLOOKUP(D438,亚马逊入库配置费!B:F,5,0)),0,VLOOKUP(D438,亚马逊入库配置费!B:F,5,0))</f>
        <v>0.55999999999999994</v>
      </c>
      <c r="AE438" s="104">
        <f t="shared" si="51"/>
        <v>268.79999999999995</v>
      </c>
      <c r="AF438" s="103">
        <v>46163</v>
      </c>
      <c r="AG438" s="90">
        <f t="shared" si="53"/>
        <v>34</v>
      </c>
      <c r="AH438" s="103"/>
      <c r="AI438" s="96"/>
      <c r="AJ438" s="96"/>
      <c r="AK438" s="96"/>
      <c r="AL438" s="92"/>
      <c r="AM438" s="91"/>
      <c r="AN438" s="91"/>
      <c r="AO438" s="96"/>
      <c r="AP438" s="105"/>
      <c r="AQ438" s="105"/>
      <c r="AR438" s="105"/>
      <c r="AS438" s="105"/>
    </row>
    <row r="439" spans="1:45" ht="12" customHeight="1" x14ac:dyDescent="0.25">
      <c r="A439" s="90">
        <v>438</v>
      </c>
      <c r="B439" s="91"/>
      <c r="C439" s="91" t="s">
        <v>4431</v>
      </c>
      <c r="D439" s="92" t="s">
        <v>4432</v>
      </c>
      <c r="E439" s="91" t="s">
        <v>1037</v>
      </c>
      <c r="F439" s="91" t="s">
        <v>0</v>
      </c>
      <c r="G439" s="56" t="s">
        <v>2443</v>
      </c>
      <c r="H439" s="91">
        <v>240</v>
      </c>
      <c r="I439" s="91" t="s">
        <v>1767</v>
      </c>
      <c r="J439" s="91" t="s">
        <v>8</v>
      </c>
      <c r="K439" s="92" t="s">
        <v>10</v>
      </c>
      <c r="L439" s="93" t="str">
        <f>VLOOKUP(G439,'SKU 对应关系'!A:E,4,0)</f>
        <v>G1-SILV</v>
      </c>
      <c r="M439" s="94" t="str">
        <f>_xlfn.IFNA(VLOOKUP(G439,'SKU 对应关系'!A:B,2,0),"")</f>
        <v>G1-SILV 电子球形把手锁 银色</v>
      </c>
      <c r="N439" s="95" t="str">
        <f>_xlfn.IFNA(VLOOKUP(G439,'SKU 对应关系'!$A:$D,3,0),"")</f>
        <v>G1</v>
      </c>
      <c r="O439" s="96">
        <v>15</v>
      </c>
      <c r="P439" s="580">
        <v>0.82228915662650603</v>
      </c>
      <c r="Q439" s="96" t="s">
        <v>3264</v>
      </c>
      <c r="R439" s="91">
        <v>1020</v>
      </c>
      <c r="S439" s="106">
        <v>180</v>
      </c>
      <c r="T439" s="98">
        <v>25.471698113207548</v>
      </c>
      <c r="U439" s="99">
        <f t="shared" si="54"/>
        <v>864.20663787224373</v>
      </c>
      <c r="V439" s="100">
        <f t="shared" si="52"/>
        <v>3.6008609911343488</v>
      </c>
      <c r="W439" s="101">
        <f t="shared" si="55"/>
        <v>0.53744193897527592</v>
      </c>
      <c r="X439" s="95"/>
      <c r="Y439" s="95"/>
      <c r="Z439" s="102"/>
      <c r="AA439" s="103">
        <v>46129</v>
      </c>
      <c r="AB439" s="103">
        <v>46151</v>
      </c>
      <c r="AC439" s="103"/>
      <c r="AD439" s="104">
        <f>IF(ISNA(VLOOKUP(D439,亚马逊入库配置费!B:F,5,0)),0,VLOOKUP(D439,亚马逊入库配置费!B:F,5,0))</f>
        <v>0.55999999999999994</v>
      </c>
      <c r="AE439" s="104">
        <f t="shared" ref="AE439:AE470" si="56">AD439*H439</f>
        <v>134.39999999999998</v>
      </c>
      <c r="AF439" s="103">
        <v>46163</v>
      </c>
      <c r="AG439" s="90">
        <f t="shared" si="53"/>
        <v>34</v>
      </c>
      <c r="AH439" s="103"/>
      <c r="AI439" s="96"/>
      <c r="AJ439" s="96"/>
      <c r="AK439" s="96"/>
      <c r="AL439" s="92"/>
      <c r="AM439" s="91"/>
      <c r="AN439" s="91"/>
      <c r="AO439" s="96"/>
      <c r="AP439" s="105"/>
      <c r="AQ439" s="105"/>
      <c r="AR439" s="105"/>
      <c r="AS439" s="105"/>
    </row>
    <row r="440" spans="1:45" ht="12" customHeight="1" x14ac:dyDescent="0.25">
      <c r="A440" s="90">
        <v>439</v>
      </c>
      <c r="B440" s="91"/>
      <c r="C440" s="91" t="s">
        <v>4431</v>
      </c>
      <c r="D440" s="92" t="s">
        <v>4432</v>
      </c>
      <c r="E440" s="91" t="s">
        <v>1037</v>
      </c>
      <c r="F440" s="91" t="s">
        <v>0</v>
      </c>
      <c r="G440" s="56" t="s">
        <v>284</v>
      </c>
      <c r="H440" s="91">
        <v>400</v>
      </c>
      <c r="I440" s="91" t="s">
        <v>1767</v>
      </c>
      <c r="J440" s="91" t="s">
        <v>8</v>
      </c>
      <c r="K440" s="92" t="s">
        <v>10</v>
      </c>
      <c r="L440" s="93" t="str">
        <f>VLOOKUP(G440,'SKU 对应关系'!A:E,4,0)</f>
        <v>MD1-B</v>
      </c>
      <c r="M440" s="94" t="str">
        <f>_xlfn.IFNA(VLOOKUP(G440,'SKU 对应关系'!A:B,2,0),"")</f>
        <v>MD1-B 电子球形把手锁 指纹 黑色</v>
      </c>
      <c r="N440" s="95" t="str">
        <f>_xlfn.IFNA(VLOOKUP(G440,'SKU 对应关系'!$A:$D,3,0),"")</f>
        <v>MD1</v>
      </c>
      <c r="O440" s="96">
        <v>25</v>
      </c>
      <c r="P440" s="580">
        <v>1.3704819277108433</v>
      </c>
      <c r="Q440" s="96" t="s">
        <v>3264</v>
      </c>
      <c r="R440" s="91">
        <v>1020</v>
      </c>
      <c r="S440" s="95"/>
      <c r="T440" s="98">
        <v>42.452830188679243</v>
      </c>
      <c r="U440" s="99">
        <f t="shared" si="54"/>
        <v>1440.3443964537394</v>
      </c>
      <c r="V440" s="100">
        <f t="shared" si="52"/>
        <v>3.6008609911343483</v>
      </c>
      <c r="W440" s="101">
        <f t="shared" si="55"/>
        <v>0.53744193897527581</v>
      </c>
      <c r="X440" s="95"/>
      <c r="Y440" s="95"/>
      <c r="Z440" s="102"/>
      <c r="AA440" s="103">
        <v>46129</v>
      </c>
      <c r="AB440" s="103">
        <v>46151</v>
      </c>
      <c r="AC440" s="103"/>
      <c r="AD440" s="104">
        <f>IF(ISNA(VLOOKUP(D440,亚马逊入库配置费!B:F,5,0)),0,VLOOKUP(D440,亚马逊入库配置费!B:F,5,0))</f>
        <v>0.55999999999999994</v>
      </c>
      <c r="AE440" s="104">
        <f t="shared" si="56"/>
        <v>223.99999999999997</v>
      </c>
      <c r="AF440" s="103">
        <v>46163</v>
      </c>
      <c r="AG440" s="90">
        <f t="shared" si="53"/>
        <v>34</v>
      </c>
      <c r="AH440" s="103"/>
      <c r="AI440" s="96"/>
      <c r="AJ440" s="96"/>
      <c r="AK440" s="96"/>
      <c r="AL440" s="92"/>
      <c r="AM440" s="91"/>
      <c r="AN440" s="91"/>
      <c r="AO440" s="96"/>
      <c r="AP440" s="105"/>
      <c r="AQ440" s="105"/>
      <c r="AR440" s="105"/>
      <c r="AS440" s="105"/>
    </row>
    <row r="441" spans="1:45" ht="12" customHeight="1" x14ac:dyDescent="0.25">
      <c r="A441" s="90">
        <v>440</v>
      </c>
      <c r="B441" s="91"/>
      <c r="C441" s="91" t="s">
        <v>4431</v>
      </c>
      <c r="D441" s="92" t="s">
        <v>4432</v>
      </c>
      <c r="E441" s="91" t="s">
        <v>1037</v>
      </c>
      <c r="F441" s="91" t="s">
        <v>0</v>
      </c>
      <c r="G441" s="56" t="s">
        <v>663</v>
      </c>
      <c r="H441" s="91">
        <v>208</v>
      </c>
      <c r="I441" s="91" t="s">
        <v>1767</v>
      </c>
      <c r="J441" s="91" t="s">
        <v>8</v>
      </c>
      <c r="K441" s="92" t="s">
        <v>10</v>
      </c>
      <c r="L441" s="93" t="str">
        <f>VLOOKUP(G441,'SKU 对应关系'!A:E,4,0)</f>
        <v>MD1-SILV</v>
      </c>
      <c r="M441" s="94" t="str">
        <f>_xlfn.IFNA(VLOOKUP(G441,'SKU 对应关系'!A:B,2,0),"")</f>
        <v>MD1-SILV 电子球形把手锁 指纹 银色</v>
      </c>
      <c r="N441" s="95" t="str">
        <f>_xlfn.IFNA(VLOOKUP(G441,'SKU 对应关系'!$A:$D,3,0),"")</f>
        <v>MD1</v>
      </c>
      <c r="O441" s="96">
        <v>13</v>
      </c>
      <c r="P441" s="580">
        <v>0.71265060240963851</v>
      </c>
      <c r="Q441" s="96" t="s">
        <v>3264</v>
      </c>
      <c r="R441" s="91">
        <v>1020</v>
      </c>
      <c r="S441" s="95"/>
      <c r="T441" s="98">
        <v>22.075471698113208</v>
      </c>
      <c r="U441" s="99">
        <f t="shared" si="54"/>
        <v>748.97908615594451</v>
      </c>
      <c r="V441" s="100">
        <f t="shared" si="52"/>
        <v>3.6008609911343488</v>
      </c>
      <c r="W441" s="101">
        <f t="shared" si="55"/>
        <v>0.53744193897527592</v>
      </c>
      <c r="X441" s="95"/>
      <c r="Y441" s="95"/>
      <c r="Z441" s="102"/>
      <c r="AA441" s="103">
        <v>46129</v>
      </c>
      <c r="AB441" s="103">
        <v>46151</v>
      </c>
      <c r="AC441" s="103"/>
      <c r="AD441" s="104">
        <f>IF(ISNA(VLOOKUP(D441,亚马逊入库配置费!B:F,5,0)),0,VLOOKUP(D441,亚马逊入库配置费!B:F,5,0))</f>
        <v>0.55999999999999994</v>
      </c>
      <c r="AE441" s="104">
        <f t="shared" si="56"/>
        <v>116.47999999999999</v>
      </c>
      <c r="AF441" s="103">
        <v>46163</v>
      </c>
      <c r="AG441" s="90">
        <f t="shared" si="53"/>
        <v>34</v>
      </c>
      <c r="AH441" s="103"/>
      <c r="AI441" s="96"/>
      <c r="AJ441" s="96"/>
      <c r="AK441" s="96"/>
      <c r="AL441" s="92"/>
      <c r="AM441" s="91"/>
      <c r="AN441" s="91"/>
      <c r="AO441" s="96"/>
      <c r="AP441" s="105"/>
      <c r="AQ441" s="105"/>
      <c r="AR441" s="105"/>
      <c r="AS441" s="105"/>
    </row>
    <row r="442" spans="1:45" ht="12" customHeight="1" x14ac:dyDescent="0.25">
      <c r="A442" s="90">
        <v>441</v>
      </c>
      <c r="B442" s="91"/>
      <c r="C442" s="91" t="s">
        <v>4424</v>
      </c>
      <c r="D442" s="92" t="s">
        <v>4433</v>
      </c>
      <c r="E442" s="91" t="s">
        <v>97</v>
      </c>
      <c r="F442" s="91" t="s">
        <v>0</v>
      </c>
      <c r="G442" s="56" t="s">
        <v>2177</v>
      </c>
      <c r="H442" s="91">
        <v>180</v>
      </c>
      <c r="I442" s="91" t="s">
        <v>207</v>
      </c>
      <c r="J442" s="91" t="s">
        <v>8</v>
      </c>
      <c r="K442" s="92" t="s">
        <v>9</v>
      </c>
      <c r="L442" s="93" t="str">
        <f>VLOOKUP(G442,'SKU 对应关系'!A:E,4,0)</f>
        <v>ANWKIT-B_US_2X100K03</v>
      </c>
      <c r="M442" s="94" t="str">
        <f>_xlfn.IFNA(VLOOKUP(G442,'SKU 对应关系'!A:B,2,0),"")</f>
        <v>ANWKIT-B_US_2X100K03 ANW黑色机器+2X100mL酒店香氛油（天竺） 机油套装</v>
      </c>
      <c r="N442" s="95" t="str">
        <f>_xlfn.IFNA(VLOOKUP(G442,'SKU 对应关系'!$A:$D,3,0),"")</f>
        <v>ANW</v>
      </c>
      <c r="O442" s="96">
        <v>15</v>
      </c>
      <c r="P442" s="580">
        <v>261.09375</v>
      </c>
      <c r="Q442" s="96" t="s">
        <v>16</v>
      </c>
      <c r="R442" s="91">
        <v>4.8</v>
      </c>
      <c r="S442" s="95">
        <v>200</v>
      </c>
      <c r="T442" s="98">
        <v>22.556390977443609</v>
      </c>
      <c r="U442" s="99">
        <f t="shared" si="54"/>
        <v>1275.8063909774437</v>
      </c>
      <c r="V442" s="100">
        <f t="shared" si="52"/>
        <v>7.0878132832080203</v>
      </c>
      <c r="W442" s="101">
        <f t="shared" si="55"/>
        <v>1.0578825795832867</v>
      </c>
      <c r="X442" s="95"/>
      <c r="Y442" s="95"/>
      <c r="Z442" s="102"/>
      <c r="AA442" s="103">
        <v>46129</v>
      </c>
      <c r="AB442" s="103">
        <v>46151</v>
      </c>
      <c r="AC442" s="103"/>
      <c r="AD442" s="104">
        <f>IF(ISNA(VLOOKUP(D442,亚马逊入库配置费!B:F,5,0)),0,VLOOKUP(D442,亚马逊入库配置费!B:F,5,0))</f>
        <v>0.55999999999999994</v>
      </c>
      <c r="AE442" s="104">
        <f t="shared" si="56"/>
        <v>100.79999999999998</v>
      </c>
      <c r="AF442" s="103">
        <v>46160</v>
      </c>
      <c r="AG442" s="90">
        <f t="shared" si="53"/>
        <v>31</v>
      </c>
      <c r="AH442" s="103"/>
      <c r="AI442" s="96"/>
      <c r="AJ442" s="96"/>
      <c r="AK442" s="96"/>
      <c r="AL442" s="92"/>
      <c r="AM442" s="91"/>
      <c r="AN442" s="91"/>
      <c r="AO442" s="96"/>
      <c r="AP442" s="105"/>
      <c r="AQ442" s="105"/>
      <c r="AR442" s="105"/>
      <c r="AS442" s="105"/>
    </row>
    <row r="443" spans="1:45" ht="12" customHeight="1" x14ac:dyDescent="0.25">
      <c r="A443" s="90">
        <v>442</v>
      </c>
      <c r="B443" s="91"/>
      <c r="C443" s="91" t="s">
        <v>4424</v>
      </c>
      <c r="D443" s="92" t="s">
        <v>4433</v>
      </c>
      <c r="E443" s="91" t="s">
        <v>97</v>
      </c>
      <c r="F443" s="91" t="s">
        <v>0</v>
      </c>
      <c r="G443" s="56" t="s">
        <v>2179</v>
      </c>
      <c r="H443" s="91">
        <v>204</v>
      </c>
      <c r="I443" s="91" t="s">
        <v>207</v>
      </c>
      <c r="J443" s="91" t="s">
        <v>8</v>
      </c>
      <c r="K443" s="92" t="s">
        <v>9</v>
      </c>
      <c r="L443" s="93" t="str">
        <f>VLOOKUP(G443,'SKU 对应关系'!A:E,4,0)</f>
        <v>ANWKIT-WH_US_2X100K03</v>
      </c>
      <c r="M443" s="94" t="str">
        <f>_xlfn.IFNA(VLOOKUP(G443,'SKU 对应关系'!A:B,2,0),"")</f>
        <v>ANWKIT-WH_US_2X100K03 ANW白色机器+2X100mL酒店香氛油（天竺） 机油套装</v>
      </c>
      <c r="N443" s="95" t="str">
        <f>_xlfn.IFNA(VLOOKUP(G443,'SKU 对应关系'!$A:$D,3,0),"")</f>
        <v>ANW</v>
      </c>
      <c r="O443" s="96">
        <v>17</v>
      </c>
      <c r="P443" s="580">
        <v>295.90625</v>
      </c>
      <c r="Q443" s="96" t="s">
        <v>16</v>
      </c>
      <c r="R443" s="91">
        <v>4.8</v>
      </c>
      <c r="S443" s="106">
        <v>200</v>
      </c>
      <c r="T443" s="98">
        <v>25.563909774436091</v>
      </c>
      <c r="U443" s="99">
        <f t="shared" si="54"/>
        <v>1445.913909774436</v>
      </c>
      <c r="V443" s="100">
        <f t="shared" si="52"/>
        <v>7.0878132832080194</v>
      </c>
      <c r="W443" s="101">
        <f t="shared" si="55"/>
        <v>1.0578825795832865</v>
      </c>
      <c r="X443" s="95"/>
      <c r="Y443" s="95"/>
      <c r="Z443" s="102"/>
      <c r="AA443" s="103">
        <v>46129</v>
      </c>
      <c r="AB443" s="103">
        <v>46151</v>
      </c>
      <c r="AC443" s="103"/>
      <c r="AD443" s="104">
        <f>IF(ISNA(VLOOKUP(D443,亚马逊入库配置费!B:F,5,0)),0,VLOOKUP(D443,亚马逊入库配置费!B:F,5,0))</f>
        <v>0.55999999999999994</v>
      </c>
      <c r="AE443" s="104">
        <f t="shared" si="56"/>
        <v>114.24</v>
      </c>
      <c r="AF443" s="103">
        <v>46160</v>
      </c>
      <c r="AG443" s="90">
        <f t="shared" si="53"/>
        <v>31</v>
      </c>
      <c r="AH443" s="103"/>
      <c r="AI443" s="96"/>
      <c r="AJ443" s="96"/>
      <c r="AK443" s="96"/>
      <c r="AL443" s="92"/>
      <c r="AM443" s="91"/>
      <c r="AN443" s="91"/>
      <c r="AO443" s="96"/>
      <c r="AP443" s="105"/>
      <c r="AQ443" s="105"/>
      <c r="AR443" s="105"/>
      <c r="AS443" s="105"/>
    </row>
    <row r="444" spans="1:45" ht="12" customHeight="1" x14ac:dyDescent="0.25">
      <c r="A444" s="90">
        <v>443</v>
      </c>
      <c r="B444" s="91"/>
      <c r="C444" s="91" t="s">
        <v>4434</v>
      </c>
      <c r="D444" s="92" t="s">
        <v>4435</v>
      </c>
      <c r="E444" s="91" t="s">
        <v>97</v>
      </c>
      <c r="F444" s="91" t="s">
        <v>0</v>
      </c>
      <c r="G444" s="56" t="s">
        <v>88</v>
      </c>
      <c r="H444" s="91">
        <v>480</v>
      </c>
      <c r="I444" s="91" t="s">
        <v>117</v>
      </c>
      <c r="J444" s="91" t="s">
        <v>8</v>
      </c>
      <c r="K444" s="92" t="s">
        <v>9</v>
      </c>
      <c r="L444" s="93" t="str">
        <f>VLOOKUP(G444,'SKU 对应关系'!A:E,4,0)</f>
        <v>ANW-B</v>
      </c>
      <c r="M444" s="94" t="str">
        <f>_xlfn.IFNA(VLOOKUP(G444,'SKU 对应关系'!A:B,2,0),"")</f>
        <v>ANW-B 智能扩香仪 黑色</v>
      </c>
      <c r="N444" s="95" t="str">
        <f>_xlfn.IFNA(VLOOKUP(G444,'SKU 对应关系'!$A:$D,3,0),"")</f>
        <v>ANW</v>
      </c>
      <c r="O444" s="96">
        <v>40</v>
      </c>
      <c r="P444" s="580">
        <v>574.13793103448279</v>
      </c>
      <c r="Q444" s="96" t="s">
        <v>16</v>
      </c>
      <c r="R444" s="91">
        <v>4.0999999999999996</v>
      </c>
      <c r="S444" s="95">
        <v>200</v>
      </c>
      <c r="T444" s="98">
        <v>68.965517241379317</v>
      </c>
      <c r="U444" s="99">
        <f t="shared" si="54"/>
        <v>2422.9310344827586</v>
      </c>
      <c r="V444" s="100">
        <f t="shared" si="52"/>
        <v>5.0477729885057467</v>
      </c>
      <c r="W444" s="101">
        <f t="shared" si="55"/>
        <v>0.75339895350832042</v>
      </c>
      <c r="X444" s="95"/>
      <c r="Y444" s="95"/>
      <c r="Z444" s="102"/>
      <c r="AA444" s="103">
        <v>46129</v>
      </c>
      <c r="AB444" s="103">
        <v>46150</v>
      </c>
      <c r="AC444" s="103"/>
      <c r="AD444" s="104">
        <f>IF(ISNA(VLOOKUP(D444,亚马逊入库配置费!B:F,5,0)),0,VLOOKUP(D444,亚马逊入库配置费!B:F,5,0))</f>
        <v>0.52978208232445523</v>
      </c>
      <c r="AE444" s="104">
        <f t="shared" si="56"/>
        <v>254.2953995157385</v>
      </c>
      <c r="AF444" s="103">
        <v>46163</v>
      </c>
      <c r="AG444" s="90">
        <f t="shared" si="53"/>
        <v>34</v>
      </c>
      <c r="AH444" s="103"/>
      <c r="AI444" s="96"/>
      <c r="AJ444" s="96"/>
      <c r="AK444" s="96"/>
      <c r="AL444" s="92"/>
      <c r="AM444" s="91"/>
      <c r="AN444" s="91"/>
      <c r="AO444" s="96"/>
      <c r="AP444" s="105"/>
      <c r="AQ444" s="105"/>
      <c r="AR444" s="105"/>
      <c r="AS444" s="105"/>
    </row>
    <row r="445" spans="1:45" ht="12" customHeight="1" x14ac:dyDescent="0.25">
      <c r="A445" s="90">
        <v>444</v>
      </c>
      <c r="B445" s="91"/>
      <c r="C445" s="91" t="s">
        <v>4434</v>
      </c>
      <c r="D445" s="92" t="s">
        <v>4435</v>
      </c>
      <c r="E445" s="91" t="s">
        <v>97</v>
      </c>
      <c r="F445" s="91" t="s">
        <v>0</v>
      </c>
      <c r="G445" s="56" t="s">
        <v>93</v>
      </c>
      <c r="H445" s="91">
        <v>756</v>
      </c>
      <c r="I445" s="91" t="s">
        <v>117</v>
      </c>
      <c r="J445" s="91" t="s">
        <v>8</v>
      </c>
      <c r="K445" s="92" t="s">
        <v>9</v>
      </c>
      <c r="L445" s="93" t="str">
        <f>VLOOKUP(G445,'SKU 对应关系'!A:E,4,0)</f>
        <v>ANW-W</v>
      </c>
      <c r="M445" s="94" t="str">
        <f>_xlfn.IFNA(VLOOKUP(G445,'SKU 对应关系'!A:B,2,0),"")</f>
        <v>ANW-W 智能扩香仪 白色</v>
      </c>
      <c r="N445" s="95" t="str">
        <f>_xlfn.IFNA(VLOOKUP(G445,'SKU 对应关系'!$A:$D,3,0),"")</f>
        <v>ANW</v>
      </c>
      <c r="O445" s="96">
        <v>63</v>
      </c>
      <c r="P445" s="580">
        <v>904.26724137931035</v>
      </c>
      <c r="Q445" s="96" t="s">
        <v>16</v>
      </c>
      <c r="R445" s="91">
        <v>4.0999999999999996</v>
      </c>
      <c r="S445" s="106">
        <v>200</v>
      </c>
      <c r="T445" s="98">
        <v>108.62068965517241</v>
      </c>
      <c r="U445" s="99">
        <f t="shared" si="54"/>
        <v>3816.1163793103447</v>
      </c>
      <c r="V445" s="100">
        <f t="shared" si="52"/>
        <v>5.0477729885057467</v>
      </c>
      <c r="W445" s="101">
        <f t="shared" si="55"/>
        <v>0.75339895350832042</v>
      </c>
      <c r="X445" s="95"/>
      <c r="Y445" s="95"/>
      <c r="Z445" s="102"/>
      <c r="AA445" s="103">
        <v>46129</v>
      </c>
      <c r="AB445" s="103">
        <v>46150</v>
      </c>
      <c r="AC445" s="103"/>
      <c r="AD445" s="104">
        <f>IF(ISNA(VLOOKUP(D445,亚马逊入库配置费!B:F,5,0)),0,VLOOKUP(D445,亚马逊入库配置费!B:F,5,0))</f>
        <v>0.52978208232445523</v>
      </c>
      <c r="AE445" s="104">
        <f t="shared" si="56"/>
        <v>400.51525423728816</v>
      </c>
      <c r="AF445" s="103">
        <v>46163</v>
      </c>
      <c r="AG445" s="90">
        <f t="shared" si="53"/>
        <v>34</v>
      </c>
      <c r="AH445" s="103"/>
      <c r="AI445" s="96"/>
      <c r="AJ445" s="96"/>
      <c r="AK445" s="96"/>
      <c r="AL445" s="92"/>
      <c r="AM445" s="91"/>
      <c r="AN445" s="91"/>
      <c r="AO445" s="96"/>
      <c r="AP445" s="105"/>
      <c r="AQ445" s="105"/>
      <c r="AR445" s="105"/>
      <c r="AS445" s="105"/>
    </row>
    <row r="446" spans="1:45" ht="12" customHeight="1" x14ac:dyDescent="0.25">
      <c r="A446" s="90">
        <v>445</v>
      </c>
      <c r="B446" s="91"/>
      <c r="C446" s="91" t="s">
        <v>4434</v>
      </c>
      <c r="D446" s="92" t="s">
        <v>4435</v>
      </c>
      <c r="E446" s="91" t="s">
        <v>97</v>
      </c>
      <c r="F446" s="91" t="s">
        <v>0</v>
      </c>
      <c r="G446" s="56" t="s">
        <v>2170</v>
      </c>
      <c r="H446" s="91">
        <v>416</v>
      </c>
      <c r="I446" s="91" t="s">
        <v>117</v>
      </c>
      <c r="J446" s="91" t="s">
        <v>8</v>
      </c>
      <c r="K446" s="92" t="s">
        <v>9</v>
      </c>
      <c r="L446" s="93" t="str">
        <f>VLOOKUP(G446,'SKU 对应关系'!A:E,4,0)</f>
        <v>ANP-B_US</v>
      </c>
      <c r="M446" s="94" t="str">
        <f>_xlfn.IFNA(VLOOKUP(G446,'SKU 对应关系'!A:B,2,0),"")</f>
        <v>ANP-B_US 墙插式智能扩香仪 黑色</v>
      </c>
      <c r="N446" s="95" t="str">
        <f>_xlfn.IFNA(VLOOKUP(G446,'SKU 对应关系'!$A:$D,3,0),"")</f>
        <v>ANP</v>
      </c>
      <c r="O446" s="96">
        <v>13</v>
      </c>
      <c r="P446" s="580">
        <v>186.59482758620689</v>
      </c>
      <c r="Q446" s="96" t="s">
        <v>16</v>
      </c>
      <c r="R446" s="91">
        <v>4.0999999999999996</v>
      </c>
      <c r="S446" s="95"/>
      <c r="T446" s="98">
        <v>22.413793103448278</v>
      </c>
      <c r="U446" s="99">
        <f t="shared" si="54"/>
        <v>787.4525862068964</v>
      </c>
      <c r="V446" s="100">
        <f t="shared" si="52"/>
        <v>1.8929148706896548</v>
      </c>
      <c r="W446" s="101">
        <f t="shared" si="55"/>
        <v>0.28252460756562009</v>
      </c>
      <c r="X446" s="95"/>
      <c r="Y446" s="95"/>
      <c r="Z446" s="102"/>
      <c r="AA446" s="103">
        <v>46129</v>
      </c>
      <c r="AB446" s="103">
        <v>46150</v>
      </c>
      <c r="AC446" s="103"/>
      <c r="AD446" s="104">
        <f>IF(ISNA(VLOOKUP(D446,亚马逊入库配置费!B:F,5,0)),0,VLOOKUP(D446,亚马逊入库配置费!B:F,5,0))</f>
        <v>0.52978208232445523</v>
      </c>
      <c r="AE446" s="104">
        <f t="shared" si="56"/>
        <v>220.38934624697339</v>
      </c>
      <c r="AF446" s="103">
        <v>46163</v>
      </c>
      <c r="AG446" s="90">
        <f t="shared" si="53"/>
        <v>34</v>
      </c>
      <c r="AH446" s="103"/>
      <c r="AI446" s="96"/>
      <c r="AJ446" s="96"/>
      <c r="AK446" s="96"/>
      <c r="AL446" s="92"/>
      <c r="AM446" s="91"/>
      <c r="AN446" s="91"/>
      <c r="AO446" s="96"/>
      <c r="AP446" s="105"/>
      <c r="AQ446" s="105"/>
      <c r="AR446" s="105"/>
      <c r="AS446" s="105"/>
    </row>
    <row r="447" spans="1:45" ht="12" customHeight="1" x14ac:dyDescent="0.25">
      <c r="A447" s="90">
        <v>446</v>
      </c>
      <c r="B447" s="91"/>
      <c r="C447" s="91" t="s">
        <v>910</v>
      </c>
      <c r="D447" s="92" t="s">
        <v>4436</v>
      </c>
      <c r="E447" s="91" t="s">
        <v>86</v>
      </c>
      <c r="F447" s="91" t="s">
        <v>87</v>
      </c>
      <c r="G447" s="56" t="s">
        <v>88</v>
      </c>
      <c r="H447" s="91">
        <v>48</v>
      </c>
      <c r="I447" s="91" t="s">
        <v>207</v>
      </c>
      <c r="J447" s="91" t="s">
        <v>90</v>
      </c>
      <c r="K447" s="92" t="s">
        <v>4340</v>
      </c>
      <c r="L447" s="93" t="str">
        <f>VLOOKUP(G447,'SKU 对应关系'!A:E,4,0)</f>
        <v>ANW-B</v>
      </c>
      <c r="M447" s="94" t="str">
        <f>_xlfn.IFNA(VLOOKUP(G447,'SKU 对应关系'!A:B,2,0),"")</f>
        <v>ANW-B 智能扩香仪 黑色</v>
      </c>
      <c r="N447" s="95" t="str">
        <f>_xlfn.IFNA(VLOOKUP(G447,'SKU 对应关系'!$A:$D,3,0),"")</f>
        <v>ANW</v>
      </c>
      <c r="O447" s="96">
        <v>4</v>
      </c>
      <c r="P447" s="580">
        <v>57.714285714285715</v>
      </c>
      <c r="Q447" s="96" t="s">
        <v>16</v>
      </c>
      <c r="R447" s="91">
        <v>5.4</v>
      </c>
      <c r="S447" s="95">
        <v>250</v>
      </c>
      <c r="T447" s="98">
        <v>25.641025641025642</v>
      </c>
      <c r="U447" s="99">
        <f t="shared" si="54"/>
        <v>337.29816849816854</v>
      </c>
      <c r="V447" s="100">
        <f t="shared" si="52"/>
        <v>7.0270451770451778</v>
      </c>
      <c r="W447" s="101">
        <f t="shared" si="55"/>
        <v>1.0488127129918177</v>
      </c>
      <c r="X447" s="95"/>
      <c r="Y447" s="95"/>
      <c r="Z447" s="102"/>
      <c r="AA447" s="103">
        <v>46129</v>
      </c>
      <c r="AB447" s="103">
        <v>46168</v>
      </c>
      <c r="AC447" s="103"/>
      <c r="AD447" s="104">
        <f>IF(ISNA(VLOOKUP(D447,亚马逊入库配置费!B:F,5,0)),0,VLOOKUP(D447,亚马逊入库配置费!B:F,5,0))</f>
        <v>0</v>
      </c>
      <c r="AE447" s="104">
        <f t="shared" si="56"/>
        <v>0</v>
      </c>
      <c r="AF447" s="103">
        <v>46172</v>
      </c>
      <c r="AG447" s="577">
        <f t="shared" si="53"/>
        <v>43</v>
      </c>
      <c r="AH447" s="103"/>
      <c r="AI447" s="96"/>
      <c r="AJ447" s="96"/>
      <c r="AK447" s="96"/>
      <c r="AL447" s="92"/>
      <c r="AM447" s="91"/>
      <c r="AN447" s="91"/>
      <c r="AO447" s="96"/>
      <c r="AP447" s="105"/>
      <c r="AQ447" s="105"/>
      <c r="AR447" s="105"/>
      <c r="AS447" s="105"/>
    </row>
    <row r="448" spans="1:45" ht="12" customHeight="1" x14ac:dyDescent="0.25">
      <c r="A448" s="90">
        <v>447</v>
      </c>
      <c r="B448" s="91"/>
      <c r="C448" s="91" t="s">
        <v>910</v>
      </c>
      <c r="D448" s="92" t="s">
        <v>4436</v>
      </c>
      <c r="E448" s="91" t="s">
        <v>86</v>
      </c>
      <c r="F448" s="91" t="s">
        <v>87</v>
      </c>
      <c r="G448" s="56" t="s">
        <v>93</v>
      </c>
      <c r="H448" s="91">
        <v>36</v>
      </c>
      <c r="I448" s="91" t="s">
        <v>207</v>
      </c>
      <c r="J448" s="91" t="s">
        <v>90</v>
      </c>
      <c r="K448" s="92" t="s">
        <v>4340</v>
      </c>
      <c r="L448" s="93" t="str">
        <f>VLOOKUP(G448,'SKU 对应关系'!A:E,4,0)</f>
        <v>ANW-W</v>
      </c>
      <c r="M448" s="94" t="str">
        <f>_xlfn.IFNA(VLOOKUP(G448,'SKU 对应关系'!A:B,2,0),"")</f>
        <v>ANW-W 智能扩香仪 白色</v>
      </c>
      <c r="N448" s="95" t="str">
        <f>_xlfn.IFNA(VLOOKUP(G448,'SKU 对应关系'!$A:$D,3,0),"")</f>
        <v>ANW</v>
      </c>
      <c r="O448" s="96">
        <v>3</v>
      </c>
      <c r="P448" s="580">
        <v>43.285714285714285</v>
      </c>
      <c r="Q448" s="96" t="s">
        <v>16</v>
      </c>
      <c r="R448" s="91">
        <v>5.4</v>
      </c>
      <c r="S448" s="106">
        <v>250</v>
      </c>
      <c r="T448" s="98">
        <v>19.23076923076923</v>
      </c>
      <c r="U448" s="99">
        <f t="shared" si="54"/>
        <v>252.97362637362639</v>
      </c>
      <c r="V448" s="100">
        <f t="shared" si="52"/>
        <v>7.0270451770451778</v>
      </c>
      <c r="W448" s="101">
        <f t="shared" si="55"/>
        <v>1.0488127129918177</v>
      </c>
      <c r="X448" s="95"/>
      <c r="Y448" s="95"/>
      <c r="Z448" s="102"/>
      <c r="AA448" s="103">
        <v>46129</v>
      </c>
      <c r="AB448" s="103">
        <v>46168</v>
      </c>
      <c r="AC448" s="103"/>
      <c r="AD448" s="104">
        <f>IF(ISNA(VLOOKUP(D448,亚马逊入库配置费!B:F,5,0)),0,VLOOKUP(D448,亚马逊入库配置费!B:F,5,0))</f>
        <v>0</v>
      </c>
      <c r="AE448" s="104">
        <f t="shared" si="56"/>
        <v>0</v>
      </c>
      <c r="AF448" s="103">
        <v>46172</v>
      </c>
      <c r="AG448" s="577">
        <f t="shared" si="53"/>
        <v>43</v>
      </c>
      <c r="AH448" s="103"/>
      <c r="AI448" s="96"/>
      <c r="AJ448" s="96"/>
      <c r="AK448" s="96"/>
      <c r="AL448" s="92"/>
      <c r="AM448" s="91"/>
      <c r="AN448" s="91"/>
      <c r="AO448" s="96"/>
      <c r="AP448" s="105"/>
      <c r="AQ448" s="105"/>
      <c r="AR448" s="105"/>
      <c r="AS448" s="105"/>
    </row>
    <row r="449" spans="1:45" ht="12" customHeight="1" x14ac:dyDescent="0.25">
      <c r="A449" s="90">
        <v>448</v>
      </c>
      <c r="B449" s="91" t="s">
        <v>4456</v>
      </c>
      <c r="C449" s="91" t="s">
        <v>4431</v>
      </c>
      <c r="D449" s="92" t="s">
        <v>4437</v>
      </c>
      <c r="E449" s="91" t="s">
        <v>97</v>
      </c>
      <c r="F449" s="91" t="s">
        <v>0</v>
      </c>
      <c r="G449" s="56" t="s">
        <v>316</v>
      </c>
      <c r="H449" s="91">
        <v>1170</v>
      </c>
      <c r="I449" s="91" t="s">
        <v>1767</v>
      </c>
      <c r="J449" s="91" t="s">
        <v>8</v>
      </c>
      <c r="K449" s="92" t="s">
        <v>10</v>
      </c>
      <c r="L449" s="93" t="str">
        <f>VLOOKUP(G449,'SKU 对应关系'!A:E,4,0)</f>
        <v>A-RZ3-100</v>
      </c>
      <c r="M449" s="94" t="str">
        <f>_xlfn.IFNA(VLOOKUP(G449,'SKU 对应关系'!A:B,2,0),"")</f>
        <v>A-Ritz Carlton Hotel 3-100 丽思卡尔顿酒店3香氛油100mL</v>
      </c>
      <c r="N449" s="95" t="str">
        <f>_xlfn.IFNA(VLOOKUP(G449,'SKU 对应关系'!$A:$D,3,0),"")</f>
        <v>Oil-HQ</v>
      </c>
      <c r="O449" s="96">
        <v>13</v>
      </c>
      <c r="P449" s="580">
        <v>0.72</v>
      </c>
      <c r="Q449" s="96" t="s">
        <v>3264</v>
      </c>
      <c r="R449" s="91">
        <v>1220</v>
      </c>
      <c r="S449" s="95">
        <v>180</v>
      </c>
      <c r="T449" s="98">
        <v>22.075471698113208</v>
      </c>
      <c r="U449" s="99">
        <f t="shared" si="54"/>
        <v>900.47547169811321</v>
      </c>
      <c r="V449" s="100">
        <f t="shared" si="52"/>
        <v>0.76963715529753263</v>
      </c>
      <c r="W449" s="101">
        <f t="shared" si="55"/>
        <v>0.11487121720858695</v>
      </c>
      <c r="X449" s="95"/>
      <c r="Y449" s="95"/>
      <c r="Z449" s="102"/>
      <c r="AA449" s="103">
        <v>46129</v>
      </c>
      <c r="AB449" s="103">
        <v>46151</v>
      </c>
      <c r="AC449" s="103"/>
      <c r="AD449" s="104">
        <f>IF(ISNA(VLOOKUP(D449,亚马逊入库配置费!B:F,5,0)),0,VLOOKUP(D449,亚马逊入库配置费!B:F,5,0))</f>
        <v>0.36</v>
      </c>
      <c r="AE449" s="104">
        <f t="shared" si="56"/>
        <v>421.2</v>
      </c>
      <c r="AF449" s="103">
        <v>46163</v>
      </c>
      <c r="AG449" s="90">
        <f t="shared" si="53"/>
        <v>34</v>
      </c>
      <c r="AH449" s="103"/>
      <c r="AI449" s="96"/>
      <c r="AJ449" s="96"/>
      <c r="AK449" s="96"/>
      <c r="AL449" s="92"/>
      <c r="AM449" s="91"/>
      <c r="AN449" s="91"/>
      <c r="AO449" s="96"/>
      <c r="AP449" s="105"/>
      <c r="AQ449" s="105"/>
      <c r="AR449" s="105"/>
      <c r="AS449" s="105"/>
    </row>
    <row r="450" spans="1:45" ht="12" customHeight="1" x14ac:dyDescent="0.25">
      <c r="A450" s="90">
        <v>449</v>
      </c>
      <c r="B450" s="91"/>
      <c r="C450" s="91" t="s">
        <v>4431</v>
      </c>
      <c r="D450" s="92" t="s">
        <v>4438</v>
      </c>
      <c r="E450" s="91" t="s">
        <v>115</v>
      </c>
      <c r="F450" s="91" t="s">
        <v>0</v>
      </c>
      <c r="G450" s="56" t="s">
        <v>2981</v>
      </c>
      <c r="H450" s="91">
        <v>304</v>
      </c>
      <c r="I450" s="91" t="s">
        <v>1767</v>
      </c>
      <c r="J450" s="91" t="s">
        <v>8</v>
      </c>
      <c r="K450" s="92" t="s">
        <v>10</v>
      </c>
      <c r="L450" s="93" t="str">
        <f>VLOOKUP(G450,'SKU 对应关系'!A:E,4,0)</f>
        <v>HOTEL6KIT1-6X10K01</v>
      </c>
      <c r="M450" s="94" t="str">
        <f>_xlfn.IFNA(VLOOKUP(G450,'SKU 对应关系'!A:B,2,0),"")</f>
        <v>HOTEL6KIT1-6X10K01 酒店香氛油6款10mL套装</v>
      </c>
      <c r="N450" s="95" t="str">
        <f>_xlfn.IFNA(VLOOKUP(G450,'SKU 对应关系'!$A:$D,3,0),"")</f>
        <v>Oil-HQ</v>
      </c>
      <c r="O450" s="96">
        <v>4</v>
      </c>
      <c r="P450" s="580">
        <v>0.22000000000000003</v>
      </c>
      <c r="Q450" s="96" t="s">
        <v>3264</v>
      </c>
      <c r="R450" s="91">
        <v>1220</v>
      </c>
      <c r="S450" s="106">
        <v>180</v>
      </c>
      <c r="T450" s="98">
        <v>6.7924528301886795</v>
      </c>
      <c r="U450" s="99">
        <f t="shared" si="54"/>
        <v>275.1924528301887</v>
      </c>
      <c r="V450" s="100">
        <f t="shared" ref="V450:V470" si="57">U450/H450</f>
        <v>0.90523833167825229</v>
      </c>
      <c r="W450" s="101">
        <f t="shared" si="55"/>
        <v>0.13511019875794811</v>
      </c>
      <c r="X450" s="95"/>
      <c r="Y450" s="95"/>
      <c r="Z450" s="102"/>
      <c r="AA450" s="103">
        <v>46129</v>
      </c>
      <c r="AB450" s="103">
        <v>46151</v>
      </c>
      <c r="AC450" s="103"/>
      <c r="AD450" s="104">
        <f>IF(ISNA(VLOOKUP(D450,亚马逊入库配置费!B:F,5,0)),0,VLOOKUP(D450,亚马逊入库配置费!B:F,5,0))</f>
        <v>0.36</v>
      </c>
      <c r="AE450" s="104">
        <f t="shared" si="56"/>
        <v>109.44</v>
      </c>
      <c r="AF450" s="103">
        <v>46163</v>
      </c>
      <c r="AG450" s="90">
        <f t="shared" ref="AG450:AG513" si="58">AF450-AA450</f>
        <v>34</v>
      </c>
      <c r="AH450" s="103"/>
      <c r="AI450" s="96"/>
      <c r="AJ450" s="96"/>
      <c r="AK450" s="96"/>
      <c r="AL450" s="92"/>
      <c r="AM450" s="91"/>
      <c r="AN450" s="91"/>
      <c r="AO450" s="96"/>
      <c r="AP450" s="105"/>
      <c r="AQ450" s="105"/>
      <c r="AR450" s="105"/>
      <c r="AS450" s="105"/>
    </row>
    <row r="451" spans="1:45" ht="12" customHeight="1" x14ac:dyDescent="0.25">
      <c r="A451" s="90">
        <v>450</v>
      </c>
      <c r="B451" s="91"/>
      <c r="C451" s="91" t="s">
        <v>4431</v>
      </c>
      <c r="D451" s="92" t="s">
        <v>4438</v>
      </c>
      <c r="E451" s="91" t="s">
        <v>115</v>
      </c>
      <c r="F451" s="91" t="s">
        <v>0</v>
      </c>
      <c r="G451" s="56" t="s">
        <v>1054</v>
      </c>
      <c r="H451" s="91">
        <v>180</v>
      </c>
      <c r="I451" s="91" t="s">
        <v>1767</v>
      </c>
      <c r="J451" s="91" t="s">
        <v>8</v>
      </c>
      <c r="K451" s="92" t="s">
        <v>10</v>
      </c>
      <c r="L451" s="93" t="str">
        <f>VLOOKUP(G451,'SKU 对应关系'!A:E,4,0)</f>
        <v>A-JY-100</v>
      </c>
      <c r="M451" s="94" t="str">
        <f>_xlfn.IFNA(VLOOKUP(G451,'SKU 对应关系'!A:B,2,0),"")</f>
        <v>A-Grand Hyatt Hotel-100 君悦酒店香氛油100mL</v>
      </c>
      <c r="N451" s="95" t="str">
        <f>_xlfn.IFNA(VLOOKUP(G451,'SKU 对应关系'!$A:$D,3,0),"")</f>
        <v>Oil-HQ</v>
      </c>
      <c r="O451" s="96">
        <v>2</v>
      </c>
      <c r="P451" s="580">
        <v>0.11000000000000001</v>
      </c>
      <c r="Q451" s="96" t="s">
        <v>3264</v>
      </c>
      <c r="R451" s="91">
        <v>1220</v>
      </c>
      <c r="S451" s="95"/>
      <c r="T451" s="98">
        <v>3.3962264150943398</v>
      </c>
      <c r="U451" s="99">
        <f t="shared" si="54"/>
        <v>137.59622641509435</v>
      </c>
      <c r="V451" s="100">
        <f t="shared" si="57"/>
        <v>0.76442348008385752</v>
      </c>
      <c r="W451" s="101">
        <f t="shared" si="55"/>
        <v>0.11409305672893395</v>
      </c>
      <c r="X451" s="95"/>
      <c r="Y451" s="95"/>
      <c r="Z451" s="102"/>
      <c r="AA451" s="103">
        <v>46129</v>
      </c>
      <c r="AB451" s="103">
        <v>46151</v>
      </c>
      <c r="AC451" s="103"/>
      <c r="AD451" s="104">
        <f>IF(ISNA(VLOOKUP(D451,亚马逊入库配置费!B:F,5,0)),0,VLOOKUP(D451,亚马逊入库配置费!B:F,5,0))</f>
        <v>0.36</v>
      </c>
      <c r="AE451" s="104">
        <f t="shared" si="56"/>
        <v>64.8</v>
      </c>
      <c r="AF451" s="103">
        <v>46163</v>
      </c>
      <c r="AG451" s="90">
        <f t="shared" si="58"/>
        <v>34</v>
      </c>
      <c r="AH451" s="103"/>
      <c r="AI451" s="96"/>
      <c r="AJ451" s="96"/>
      <c r="AK451" s="96"/>
      <c r="AL451" s="92"/>
      <c r="AM451" s="91"/>
      <c r="AN451" s="91"/>
      <c r="AO451" s="96"/>
      <c r="AP451" s="105"/>
      <c r="AQ451" s="105"/>
      <c r="AR451" s="105"/>
      <c r="AS451" s="105"/>
    </row>
    <row r="452" spans="1:45" ht="12" customHeight="1" x14ac:dyDescent="0.25">
      <c r="A452" s="90">
        <v>451</v>
      </c>
      <c r="B452" s="91"/>
      <c r="C452" s="91" t="s">
        <v>4431</v>
      </c>
      <c r="D452" s="92" t="s">
        <v>4438</v>
      </c>
      <c r="E452" s="91" t="s">
        <v>115</v>
      </c>
      <c r="F452" s="91" t="s">
        <v>0</v>
      </c>
      <c r="G452" s="56" t="s">
        <v>1057</v>
      </c>
      <c r="H452" s="91">
        <v>180</v>
      </c>
      <c r="I452" s="91" t="s">
        <v>1767</v>
      </c>
      <c r="J452" s="91" t="s">
        <v>8</v>
      </c>
      <c r="K452" s="92" t="s">
        <v>10</v>
      </c>
      <c r="L452" s="93" t="str">
        <f>VLOOKUP(G452,'SKU 对应关系'!A:E,4,0)</f>
        <v>A-MWAY-100</v>
      </c>
      <c r="M452" s="94" t="str">
        <f>_xlfn.IFNA(VLOOKUP(G452,'SKU 对应关系'!A:B,2,0),"")</f>
        <v>A-MWAY Deluxe-100 特定香型香氛油100mL</v>
      </c>
      <c r="N452" s="95" t="str">
        <f>_xlfn.IFNA(VLOOKUP(G452,'SKU 对应关系'!$A:$D,3,0),"")</f>
        <v>Oil-HQ</v>
      </c>
      <c r="O452" s="96">
        <v>2</v>
      </c>
      <c r="P452" s="580">
        <v>0.11000000000000001</v>
      </c>
      <c r="Q452" s="96" t="s">
        <v>3264</v>
      </c>
      <c r="R452" s="91">
        <v>1220</v>
      </c>
      <c r="S452" s="95"/>
      <c r="T452" s="98">
        <v>3.3962264150943398</v>
      </c>
      <c r="U452" s="99">
        <f t="shared" si="54"/>
        <v>137.59622641509435</v>
      </c>
      <c r="V452" s="100">
        <f t="shared" si="57"/>
        <v>0.76442348008385752</v>
      </c>
      <c r="W452" s="101">
        <f t="shared" si="55"/>
        <v>0.11409305672893395</v>
      </c>
      <c r="X452" s="95"/>
      <c r="Y452" s="95"/>
      <c r="Z452" s="102"/>
      <c r="AA452" s="103">
        <v>46129</v>
      </c>
      <c r="AB452" s="103">
        <v>46151</v>
      </c>
      <c r="AC452" s="103"/>
      <c r="AD452" s="104">
        <f>IF(ISNA(VLOOKUP(D452,亚马逊入库配置费!B:F,5,0)),0,VLOOKUP(D452,亚马逊入库配置费!B:F,5,0))</f>
        <v>0.36</v>
      </c>
      <c r="AE452" s="104">
        <f t="shared" si="56"/>
        <v>64.8</v>
      </c>
      <c r="AF452" s="103">
        <v>46163</v>
      </c>
      <c r="AG452" s="90">
        <f t="shared" si="58"/>
        <v>34</v>
      </c>
      <c r="AH452" s="103"/>
      <c r="AI452" s="96"/>
      <c r="AJ452" s="96"/>
      <c r="AK452" s="96"/>
      <c r="AL452" s="92"/>
      <c r="AM452" s="91"/>
      <c r="AN452" s="91"/>
      <c r="AO452" s="96"/>
      <c r="AP452" s="105"/>
      <c r="AQ452" s="105"/>
      <c r="AR452" s="105"/>
      <c r="AS452" s="105"/>
    </row>
    <row r="453" spans="1:45" ht="12" customHeight="1" x14ac:dyDescent="0.25">
      <c r="A453" s="90">
        <v>452</v>
      </c>
      <c r="B453" s="91"/>
      <c r="C453" s="91" t="s">
        <v>4431</v>
      </c>
      <c r="D453" s="92" t="s">
        <v>4438</v>
      </c>
      <c r="E453" s="91" t="s">
        <v>115</v>
      </c>
      <c r="F453" s="91" t="s">
        <v>0</v>
      </c>
      <c r="G453" s="56" t="s">
        <v>650</v>
      </c>
      <c r="H453" s="91">
        <v>180</v>
      </c>
      <c r="I453" s="91" t="s">
        <v>1767</v>
      </c>
      <c r="J453" s="91" t="s">
        <v>8</v>
      </c>
      <c r="K453" s="92" t="s">
        <v>10</v>
      </c>
      <c r="L453" s="93" t="str">
        <f>VLOOKUP(G453,'SKU 对应关系'!A:E,4,0)</f>
        <v>A-MT-100</v>
      </c>
      <c r="M453" s="94" t="str">
        <f>_xlfn.IFNA(VLOOKUP(G453,'SKU 对应关系'!A:B,2,0),"")</f>
        <v>A-Marriott Hotel 1-100 万豪酒店1香氛油100mL</v>
      </c>
      <c r="N453" s="95" t="str">
        <f>_xlfn.IFNA(VLOOKUP(G453,'SKU 对应关系'!$A:$D,3,0),"")</f>
        <v>Oil-HQ</v>
      </c>
      <c r="O453" s="96">
        <v>2</v>
      </c>
      <c r="P453" s="580">
        <v>0.11000000000000001</v>
      </c>
      <c r="Q453" s="96" t="s">
        <v>3264</v>
      </c>
      <c r="R453" s="91">
        <v>1220</v>
      </c>
      <c r="S453" s="95"/>
      <c r="T453" s="98">
        <v>3.3962264150943398</v>
      </c>
      <c r="U453" s="99">
        <f t="shared" si="54"/>
        <v>137.59622641509435</v>
      </c>
      <c r="V453" s="100">
        <f t="shared" si="57"/>
        <v>0.76442348008385752</v>
      </c>
      <c r="W453" s="101">
        <f t="shared" si="55"/>
        <v>0.11409305672893395</v>
      </c>
      <c r="X453" s="95"/>
      <c r="Y453" s="95"/>
      <c r="Z453" s="102"/>
      <c r="AA453" s="103">
        <v>46129</v>
      </c>
      <c r="AB453" s="103">
        <v>46151</v>
      </c>
      <c r="AC453" s="103"/>
      <c r="AD453" s="104">
        <f>IF(ISNA(VLOOKUP(D453,亚马逊入库配置费!B:F,5,0)),0,VLOOKUP(D453,亚马逊入库配置费!B:F,5,0))</f>
        <v>0.36</v>
      </c>
      <c r="AE453" s="104">
        <f t="shared" si="56"/>
        <v>64.8</v>
      </c>
      <c r="AF453" s="103">
        <v>46163</v>
      </c>
      <c r="AG453" s="90">
        <f t="shared" si="58"/>
        <v>34</v>
      </c>
      <c r="AH453" s="103"/>
      <c r="AI453" s="96"/>
      <c r="AJ453" s="96"/>
      <c r="AK453" s="96"/>
      <c r="AL453" s="92"/>
      <c r="AM453" s="91"/>
      <c r="AN453" s="91"/>
      <c r="AO453" s="96"/>
      <c r="AP453" s="105"/>
      <c r="AQ453" s="105"/>
      <c r="AR453" s="105"/>
      <c r="AS453" s="105"/>
    </row>
    <row r="454" spans="1:45" ht="12" customHeight="1" x14ac:dyDescent="0.25">
      <c r="A454" s="90">
        <v>453</v>
      </c>
      <c r="B454" s="91"/>
      <c r="C454" s="91" t="s">
        <v>4439</v>
      </c>
      <c r="D454" s="92" t="s">
        <v>4440</v>
      </c>
      <c r="E454" s="91" t="s">
        <v>115</v>
      </c>
      <c r="F454" s="91" t="s">
        <v>0</v>
      </c>
      <c r="G454" s="56" t="s">
        <v>2937</v>
      </c>
      <c r="H454" s="91">
        <v>512</v>
      </c>
      <c r="I454" s="91" t="s">
        <v>1767</v>
      </c>
      <c r="J454" s="91" t="s">
        <v>8</v>
      </c>
      <c r="K454" s="92" t="s">
        <v>10</v>
      </c>
      <c r="L454" s="93" t="str">
        <f>VLOOKUP(G454,'SKU 对应关系'!A:E,4,0)</f>
        <v>SJ1-100ML_TZ</v>
      </c>
      <c r="M454" s="94" t="str">
        <f>_xlfn.IFNA(VLOOKUP(G454,'SKU 对应关系'!A:B,2,0),"")</f>
        <v>SJ1-100ML_TZ 四季酒店100mL香氛油（天竺） 销售包装</v>
      </c>
      <c r="N454" s="95" t="str">
        <f>_xlfn.IFNA(VLOOKUP(G454,'SKU 对应关系'!$A:$D,3,0),"")</f>
        <v>Oil-TZ</v>
      </c>
      <c r="O454" s="96">
        <v>8</v>
      </c>
      <c r="P454" s="580">
        <v>0.31384615384615383</v>
      </c>
      <c r="Q454" s="96" t="s">
        <v>3264</v>
      </c>
      <c r="R454" s="91">
        <v>1220</v>
      </c>
      <c r="S454" s="95">
        <v>180</v>
      </c>
      <c r="T454" s="98">
        <v>46.451612903225808</v>
      </c>
      <c r="U454" s="99">
        <f t="shared" si="54"/>
        <v>429.34392059553346</v>
      </c>
      <c r="V454" s="100">
        <f t="shared" si="57"/>
        <v>0.83856234491315129</v>
      </c>
      <c r="W454" s="101">
        <f t="shared" si="55"/>
        <v>0.12515855894226138</v>
      </c>
      <c r="X454" s="95"/>
      <c r="Y454" s="95"/>
      <c r="Z454" s="102"/>
      <c r="AA454" s="103">
        <v>46129</v>
      </c>
      <c r="AB454" s="103">
        <v>46151</v>
      </c>
      <c r="AC454" s="103"/>
      <c r="AD454" s="104">
        <f>IF(ISNA(VLOOKUP(D454,亚马逊入库配置费!B:F,5,0)),0,VLOOKUP(D454,亚马逊入库配置费!B:F,5,0))</f>
        <v>0.36</v>
      </c>
      <c r="AE454" s="104">
        <f t="shared" si="56"/>
        <v>184.32</v>
      </c>
      <c r="AF454" s="103">
        <v>46163</v>
      </c>
      <c r="AG454" s="90">
        <f t="shared" si="58"/>
        <v>34</v>
      </c>
      <c r="AH454" s="103"/>
      <c r="AI454" s="96"/>
      <c r="AJ454" s="96"/>
      <c r="AK454" s="96"/>
      <c r="AL454" s="92"/>
      <c r="AM454" s="91"/>
      <c r="AN454" s="91"/>
      <c r="AO454" s="96"/>
      <c r="AP454" s="105"/>
      <c r="AQ454" s="105"/>
      <c r="AR454" s="105"/>
      <c r="AS454" s="105"/>
    </row>
    <row r="455" spans="1:45" ht="12" customHeight="1" x14ac:dyDescent="0.25">
      <c r="A455" s="90">
        <v>454</v>
      </c>
      <c r="B455" s="91"/>
      <c r="C455" s="91" t="s">
        <v>4439</v>
      </c>
      <c r="D455" s="92" t="s">
        <v>4440</v>
      </c>
      <c r="E455" s="91" t="s">
        <v>115</v>
      </c>
      <c r="F455" s="91" t="s">
        <v>0</v>
      </c>
      <c r="G455" s="56" t="s">
        <v>1925</v>
      </c>
      <c r="H455" s="91">
        <v>128</v>
      </c>
      <c r="I455" s="91" t="s">
        <v>1767</v>
      </c>
      <c r="J455" s="91" t="s">
        <v>8</v>
      </c>
      <c r="K455" s="92" t="s">
        <v>10</v>
      </c>
      <c r="L455" s="93" t="str">
        <f>VLOOKUP(G455,'SKU 对应关系'!A:E,4,0)</f>
        <v>TX331_100ML</v>
      </c>
      <c r="M455" s="94" t="str">
        <f>_xlfn.IFNA(VLOOKUP(G455,'SKU 对应关系'!A:B,2,0),"")</f>
        <v>TX331_100ML 檀香33号100mL香氛油（天竺） 销售包装</v>
      </c>
      <c r="N455" s="95" t="str">
        <f>_xlfn.IFNA(VLOOKUP(G455,'SKU 对应关系'!$A:$D,3,0),"")</f>
        <v>Oil-TZ</v>
      </c>
      <c r="O455" s="96">
        <v>2</v>
      </c>
      <c r="P455" s="580">
        <v>7.8461538461538458E-2</v>
      </c>
      <c r="Q455" s="96" t="s">
        <v>3264</v>
      </c>
      <c r="R455" s="91">
        <v>1220</v>
      </c>
      <c r="S455" s="106">
        <v>180</v>
      </c>
      <c r="T455" s="98">
        <v>11.612903225806452</v>
      </c>
      <c r="U455" s="99">
        <f t="shared" si="54"/>
        <v>107.33598014888337</v>
      </c>
      <c r="V455" s="100">
        <f t="shared" si="57"/>
        <v>0.83856234491315129</v>
      </c>
      <c r="W455" s="101">
        <f t="shared" si="55"/>
        <v>0.12515855894226138</v>
      </c>
      <c r="X455" s="95"/>
      <c r="Y455" s="95"/>
      <c r="Z455" s="102"/>
      <c r="AA455" s="103">
        <v>46129</v>
      </c>
      <c r="AB455" s="103">
        <v>46151</v>
      </c>
      <c r="AC455" s="103"/>
      <c r="AD455" s="104">
        <f>IF(ISNA(VLOOKUP(D455,亚马逊入库配置费!B:F,5,0)),0,VLOOKUP(D455,亚马逊入库配置费!B:F,5,0))</f>
        <v>0.36</v>
      </c>
      <c r="AE455" s="104">
        <f t="shared" si="56"/>
        <v>46.08</v>
      </c>
      <c r="AF455" s="103">
        <v>46163</v>
      </c>
      <c r="AG455" s="90">
        <f t="shared" si="58"/>
        <v>34</v>
      </c>
      <c r="AH455" s="103"/>
      <c r="AI455" s="96"/>
      <c r="AJ455" s="96"/>
      <c r="AK455" s="96"/>
      <c r="AL455" s="92"/>
      <c r="AM455" s="91"/>
      <c r="AN455" s="91"/>
      <c r="AO455" s="96"/>
      <c r="AP455" s="105"/>
      <c r="AQ455" s="105"/>
      <c r="AR455" s="105"/>
      <c r="AS455" s="105"/>
    </row>
    <row r="456" spans="1:45" ht="12" customHeight="1" x14ac:dyDescent="0.25">
      <c r="A456" s="90">
        <v>455</v>
      </c>
      <c r="B456" s="91"/>
      <c r="C456" s="91" t="s">
        <v>4439</v>
      </c>
      <c r="D456" s="92" t="s">
        <v>4440</v>
      </c>
      <c r="E456" s="91" t="s">
        <v>115</v>
      </c>
      <c r="F456" s="91" t="s">
        <v>0</v>
      </c>
      <c r="G456" s="56" t="s">
        <v>2863</v>
      </c>
      <c r="H456" s="91">
        <v>256</v>
      </c>
      <c r="I456" s="91" t="s">
        <v>1767</v>
      </c>
      <c r="J456" s="91" t="s">
        <v>8</v>
      </c>
      <c r="K456" s="92" t="s">
        <v>10</v>
      </c>
      <c r="L456" s="93" t="str">
        <f>VLOOKUP(G456,'SKU 对应关系'!A:E,4,0)</f>
        <v>W1-100ML_TZ</v>
      </c>
      <c r="M456" s="94" t="str">
        <f>_xlfn.IFNA(VLOOKUP(G456,'SKU 对应关系'!A:B,2,0),"")</f>
        <v>W1-100ML_TZ W酒店100mL香氛油（天竺） 销售包装</v>
      </c>
      <c r="N456" s="95" t="str">
        <f>_xlfn.IFNA(VLOOKUP(G456,'SKU 对应关系'!$A:$D,3,0),"")</f>
        <v>Oil-TZ</v>
      </c>
      <c r="O456" s="96">
        <v>4</v>
      </c>
      <c r="P456" s="580">
        <v>0.15692307692307692</v>
      </c>
      <c r="Q456" s="96" t="s">
        <v>3264</v>
      </c>
      <c r="R456" s="91">
        <v>1220</v>
      </c>
      <c r="S456" s="95"/>
      <c r="T456" s="98">
        <v>23.225806451612904</v>
      </c>
      <c r="U456" s="99">
        <f t="shared" si="54"/>
        <v>214.67196029776673</v>
      </c>
      <c r="V456" s="100">
        <f t="shared" si="57"/>
        <v>0.83856234491315129</v>
      </c>
      <c r="W456" s="101">
        <f t="shared" si="55"/>
        <v>0.12515855894226138</v>
      </c>
      <c r="X456" s="95"/>
      <c r="Y456" s="95"/>
      <c r="Z456" s="102"/>
      <c r="AA456" s="103">
        <v>46129</v>
      </c>
      <c r="AB456" s="103">
        <v>46151</v>
      </c>
      <c r="AC456" s="103"/>
      <c r="AD456" s="104">
        <f>IF(ISNA(VLOOKUP(D456,亚马逊入库配置费!B:F,5,0)),0,VLOOKUP(D456,亚马逊入库配置费!B:F,5,0))</f>
        <v>0.36</v>
      </c>
      <c r="AE456" s="104">
        <f t="shared" si="56"/>
        <v>92.16</v>
      </c>
      <c r="AF456" s="103">
        <v>46163</v>
      </c>
      <c r="AG456" s="90">
        <f t="shared" si="58"/>
        <v>34</v>
      </c>
      <c r="AH456" s="103"/>
      <c r="AI456" s="96"/>
      <c r="AJ456" s="96"/>
      <c r="AK456" s="96"/>
      <c r="AL456" s="92"/>
      <c r="AM456" s="91"/>
      <c r="AN456" s="91"/>
      <c r="AO456" s="96"/>
      <c r="AP456" s="105"/>
      <c r="AQ456" s="105"/>
      <c r="AR456" s="105"/>
      <c r="AS456" s="105"/>
    </row>
    <row r="457" spans="1:45" ht="12" customHeight="1" x14ac:dyDescent="0.25">
      <c r="A457" s="90">
        <v>456</v>
      </c>
      <c r="B457" s="91"/>
      <c r="C457" s="91" t="s">
        <v>4439</v>
      </c>
      <c r="D457" s="92" t="s">
        <v>4440</v>
      </c>
      <c r="E457" s="91" t="s">
        <v>115</v>
      </c>
      <c r="F457" s="91" t="s">
        <v>0</v>
      </c>
      <c r="G457" s="56" t="s">
        <v>2295</v>
      </c>
      <c r="H457" s="91">
        <v>512</v>
      </c>
      <c r="I457" s="91" t="s">
        <v>1767</v>
      </c>
      <c r="J457" s="91" t="s">
        <v>8</v>
      </c>
      <c r="K457" s="92" t="s">
        <v>10</v>
      </c>
      <c r="L457" s="93" t="str">
        <f>VLOOKUP(G457,'SKU 对应关系'!A:E,4,0)</f>
        <v>HILTON1-100ML_TZ</v>
      </c>
      <c r="M457" s="94" t="str">
        <f>_xlfn.IFNA(VLOOKUP(G457,'SKU 对应关系'!A:B,2,0),"")</f>
        <v>HILTON1-100ML_TZ 希尔顿酒店100mL香氛油（天竺） 销售包装</v>
      </c>
      <c r="N457" s="95" t="str">
        <f>_xlfn.IFNA(VLOOKUP(G457,'SKU 对应关系'!$A:$D,3,0),"")</f>
        <v>Oil-TZ</v>
      </c>
      <c r="O457" s="96">
        <v>8</v>
      </c>
      <c r="P457" s="580">
        <v>0.31384615384615383</v>
      </c>
      <c r="Q457" s="96" t="s">
        <v>3264</v>
      </c>
      <c r="R457" s="91">
        <v>1220</v>
      </c>
      <c r="S457" s="95"/>
      <c r="T457" s="98">
        <v>46.451612903225808</v>
      </c>
      <c r="U457" s="99">
        <f t="shared" si="54"/>
        <v>429.34392059553346</v>
      </c>
      <c r="V457" s="100">
        <f t="shared" si="57"/>
        <v>0.83856234491315129</v>
      </c>
      <c r="W457" s="101">
        <f t="shared" si="55"/>
        <v>0.12515855894226138</v>
      </c>
      <c r="X457" s="95"/>
      <c r="Y457" s="95"/>
      <c r="Z457" s="102"/>
      <c r="AA457" s="103">
        <v>46129</v>
      </c>
      <c r="AB457" s="103">
        <v>46151</v>
      </c>
      <c r="AC457" s="103"/>
      <c r="AD457" s="104">
        <f>IF(ISNA(VLOOKUP(D457,亚马逊入库配置费!B:F,5,0)),0,VLOOKUP(D457,亚马逊入库配置费!B:F,5,0))</f>
        <v>0.36</v>
      </c>
      <c r="AE457" s="104">
        <f t="shared" si="56"/>
        <v>184.32</v>
      </c>
      <c r="AF457" s="103">
        <v>46163</v>
      </c>
      <c r="AG457" s="90">
        <f t="shared" si="58"/>
        <v>34</v>
      </c>
      <c r="AH457" s="103"/>
      <c r="AI457" s="96"/>
      <c r="AJ457" s="96"/>
      <c r="AK457" s="96"/>
      <c r="AL457" s="92"/>
      <c r="AM457" s="91"/>
      <c r="AN457" s="91"/>
      <c r="AO457" s="96"/>
      <c r="AP457" s="105"/>
      <c r="AQ457" s="105"/>
      <c r="AR457" s="105"/>
      <c r="AS457" s="105"/>
    </row>
    <row r="458" spans="1:45" ht="12" customHeight="1" x14ac:dyDescent="0.25">
      <c r="A458" s="90">
        <v>457</v>
      </c>
      <c r="B458" s="91"/>
      <c r="C458" s="91" t="s">
        <v>4439</v>
      </c>
      <c r="D458" s="92" t="s">
        <v>4440</v>
      </c>
      <c r="E458" s="91" t="s">
        <v>115</v>
      </c>
      <c r="F458" s="91" t="s">
        <v>0</v>
      </c>
      <c r="G458" s="56" t="s">
        <v>2297</v>
      </c>
      <c r="H458" s="91">
        <v>128</v>
      </c>
      <c r="I458" s="91" t="s">
        <v>1767</v>
      </c>
      <c r="J458" s="91" t="s">
        <v>8</v>
      </c>
      <c r="K458" s="92" t="s">
        <v>10</v>
      </c>
      <c r="L458" s="93" t="str">
        <f>VLOOKUP(G458,'SKU 对应关系'!A:E,4,0)</f>
        <v>YH1-100ML_TZ</v>
      </c>
      <c r="M458" s="94" t="str">
        <f>_xlfn.IFNA(VLOOKUP(G458,'SKU 对应关系'!A:B,2,0),"")</f>
        <v>YH1-100ML_TZ 樱花100mL香氛油（天竺）销售包装</v>
      </c>
      <c r="N458" s="95" t="str">
        <f>_xlfn.IFNA(VLOOKUP(G458,'SKU 对应关系'!$A:$D,3,0),"")</f>
        <v>Oil-TZ</v>
      </c>
      <c r="O458" s="96">
        <v>2</v>
      </c>
      <c r="P458" s="580">
        <v>7.8461538461538458E-2</v>
      </c>
      <c r="Q458" s="96" t="s">
        <v>3264</v>
      </c>
      <c r="R458" s="91">
        <v>1220</v>
      </c>
      <c r="S458" s="95"/>
      <c r="T458" s="98">
        <v>11.612903225806452</v>
      </c>
      <c r="U458" s="99">
        <f t="shared" si="54"/>
        <v>107.33598014888337</v>
      </c>
      <c r="V458" s="100">
        <f t="shared" si="57"/>
        <v>0.83856234491315129</v>
      </c>
      <c r="W458" s="101">
        <f t="shared" si="55"/>
        <v>0.12515855894226138</v>
      </c>
      <c r="X458" s="95"/>
      <c r="Y458" s="95"/>
      <c r="Z458" s="102"/>
      <c r="AA458" s="103">
        <v>46129</v>
      </c>
      <c r="AB458" s="103">
        <v>46151</v>
      </c>
      <c r="AC458" s="103"/>
      <c r="AD458" s="104">
        <f>IF(ISNA(VLOOKUP(D458,亚马逊入库配置费!B:F,5,0)),0,VLOOKUP(D458,亚马逊入库配置费!B:F,5,0))</f>
        <v>0.36</v>
      </c>
      <c r="AE458" s="104">
        <f t="shared" si="56"/>
        <v>46.08</v>
      </c>
      <c r="AF458" s="103">
        <v>46163</v>
      </c>
      <c r="AG458" s="90">
        <f t="shared" si="58"/>
        <v>34</v>
      </c>
      <c r="AH458" s="103"/>
      <c r="AI458" s="96"/>
      <c r="AJ458" s="96"/>
      <c r="AK458" s="96"/>
      <c r="AL458" s="92"/>
      <c r="AM458" s="91"/>
      <c r="AN458" s="91"/>
      <c r="AO458" s="96"/>
      <c r="AP458" s="105"/>
      <c r="AQ458" s="105"/>
      <c r="AR458" s="105"/>
      <c r="AS458" s="105"/>
    </row>
    <row r="459" spans="1:45" ht="12" customHeight="1" x14ac:dyDescent="0.25">
      <c r="A459" s="90">
        <v>458</v>
      </c>
      <c r="B459" s="91"/>
      <c r="C459" s="91" t="s">
        <v>4439</v>
      </c>
      <c r="D459" s="92" t="s">
        <v>4440</v>
      </c>
      <c r="E459" s="91" t="s">
        <v>115</v>
      </c>
      <c r="F459" s="91" t="s">
        <v>0</v>
      </c>
      <c r="G459" s="56" t="s">
        <v>1929</v>
      </c>
      <c r="H459" s="91">
        <v>64</v>
      </c>
      <c r="I459" s="91" t="s">
        <v>1767</v>
      </c>
      <c r="J459" s="91" t="s">
        <v>8</v>
      </c>
      <c r="K459" s="92" t="s">
        <v>10</v>
      </c>
      <c r="L459" s="93" t="str">
        <f>VLOOKUP(G459,'SKU 对应关系'!A:E,4,0)</f>
        <v>YZTT1_100ML</v>
      </c>
      <c r="M459" s="94" t="str">
        <f>_xlfn.IFNA(VLOOKUP(G459,'SKU 对应关系'!A:B,2,0),"")</f>
        <v>YZTT1_100ML 柚子天堂100mL香氛油（天竺） 销售包装</v>
      </c>
      <c r="N459" s="95" t="str">
        <f>_xlfn.IFNA(VLOOKUP(G459,'SKU 对应关系'!$A:$D,3,0),"")</f>
        <v>Oil-TZ</v>
      </c>
      <c r="O459" s="96">
        <v>1</v>
      </c>
      <c r="P459" s="580">
        <v>3.9230769230769229E-2</v>
      </c>
      <c r="Q459" s="96" t="s">
        <v>3264</v>
      </c>
      <c r="R459" s="91">
        <v>1220</v>
      </c>
      <c r="S459" s="95"/>
      <c r="T459" s="98">
        <v>5.806451612903226</v>
      </c>
      <c r="U459" s="99">
        <f t="shared" si="54"/>
        <v>53.667990074441683</v>
      </c>
      <c r="V459" s="100">
        <f t="shared" si="57"/>
        <v>0.83856234491315129</v>
      </c>
      <c r="W459" s="101">
        <f t="shared" si="55"/>
        <v>0.12515855894226138</v>
      </c>
      <c r="X459" s="95"/>
      <c r="Y459" s="95"/>
      <c r="Z459" s="102"/>
      <c r="AA459" s="103">
        <v>46129</v>
      </c>
      <c r="AB459" s="103">
        <v>46151</v>
      </c>
      <c r="AC459" s="103"/>
      <c r="AD459" s="104">
        <f>IF(ISNA(VLOOKUP(D459,亚马逊入库配置费!B:F,5,0)),0,VLOOKUP(D459,亚马逊入库配置费!B:F,5,0))</f>
        <v>0.36</v>
      </c>
      <c r="AE459" s="104">
        <f t="shared" si="56"/>
        <v>23.04</v>
      </c>
      <c r="AF459" s="103">
        <v>46163</v>
      </c>
      <c r="AG459" s="90">
        <f t="shared" si="58"/>
        <v>34</v>
      </c>
      <c r="AH459" s="103"/>
      <c r="AI459" s="96"/>
      <c r="AJ459" s="96"/>
      <c r="AK459" s="96"/>
      <c r="AL459" s="92"/>
      <c r="AM459" s="91"/>
      <c r="AN459" s="91"/>
      <c r="AO459" s="96"/>
      <c r="AP459" s="105"/>
      <c r="AQ459" s="105"/>
      <c r="AR459" s="105"/>
      <c r="AS459" s="105"/>
    </row>
    <row r="460" spans="1:45" ht="12" customHeight="1" x14ac:dyDescent="0.25">
      <c r="A460" s="90">
        <v>459</v>
      </c>
      <c r="B460" s="91"/>
      <c r="C460" s="91" t="s">
        <v>4439</v>
      </c>
      <c r="D460" s="92" t="s">
        <v>4440</v>
      </c>
      <c r="E460" s="91" t="s">
        <v>115</v>
      </c>
      <c r="F460" s="91" t="s">
        <v>0</v>
      </c>
      <c r="G460" s="56" t="s">
        <v>1927</v>
      </c>
      <c r="H460" s="91">
        <v>64</v>
      </c>
      <c r="I460" s="91" t="s">
        <v>1767</v>
      </c>
      <c r="J460" s="91" t="s">
        <v>8</v>
      </c>
      <c r="K460" s="92" t="s">
        <v>10</v>
      </c>
      <c r="L460" s="93" t="str">
        <f>VLOOKUP(G460,'SKU 对应关系'!A:E,4,0)</f>
        <v>TXY1_100ML</v>
      </c>
      <c r="M460" s="94" t="str">
        <f>_xlfn.IFNA(VLOOKUP(G460,'SKU 对应关系'!A:B,2,0),"")</f>
        <v>TXY1_100ML 桃星云100mL香氛油（天竺） 销售包装</v>
      </c>
      <c r="N460" s="95" t="str">
        <f>_xlfn.IFNA(VLOOKUP(G460,'SKU 对应关系'!$A:$D,3,0),"")</f>
        <v>Oil-TZ</v>
      </c>
      <c r="O460" s="96">
        <v>1</v>
      </c>
      <c r="P460" s="580">
        <v>3.9230769230769229E-2</v>
      </c>
      <c r="Q460" s="96" t="s">
        <v>3264</v>
      </c>
      <c r="R460" s="91">
        <v>1220</v>
      </c>
      <c r="S460" s="95"/>
      <c r="T460" s="98">
        <v>5.806451612903226</v>
      </c>
      <c r="U460" s="99">
        <f t="shared" si="54"/>
        <v>53.667990074441683</v>
      </c>
      <c r="V460" s="100">
        <f t="shared" si="57"/>
        <v>0.83856234491315129</v>
      </c>
      <c r="W460" s="101">
        <f t="shared" si="55"/>
        <v>0.12515855894226138</v>
      </c>
      <c r="X460" s="95"/>
      <c r="Y460" s="95"/>
      <c r="Z460" s="102"/>
      <c r="AA460" s="103">
        <v>46129</v>
      </c>
      <c r="AB460" s="103">
        <v>46151</v>
      </c>
      <c r="AC460" s="103"/>
      <c r="AD460" s="104">
        <f>IF(ISNA(VLOOKUP(D460,亚马逊入库配置费!B:F,5,0)),0,VLOOKUP(D460,亚马逊入库配置费!B:F,5,0))</f>
        <v>0.36</v>
      </c>
      <c r="AE460" s="104">
        <f t="shared" si="56"/>
        <v>23.04</v>
      </c>
      <c r="AF460" s="103">
        <v>46163</v>
      </c>
      <c r="AG460" s="90">
        <f t="shared" si="58"/>
        <v>34</v>
      </c>
      <c r="AH460" s="103"/>
      <c r="AI460" s="96"/>
      <c r="AJ460" s="96"/>
      <c r="AK460" s="96"/>
      <c r="AL460" s="92"/>
      <c r="AM460" s="91"/>
      <c r="AN460" s="91"/>
      <c r="AO460" s="96"/>
      <c r="AP460" s="105"/>
      <c r="AQ460" s="105"/>
      <c r="AR460" s="105"/>
      <c r="AS460" s="105"/>
    </row>
    <row r="461" spans="1:45" ht="12" customHeight="1" x14ac:dyDescent="0.25">
      <c r="A461" s="90">
        <v>460</v>
      </c>
      <c r="B461" s="91"/>
      <c r="C461" s="91" t="s">
        <v>4439</v>
      </c>
      <c r="D461" s="92" t="s">
        <v>4441</v>
      </c>
      <c r="E461" s="91" t="s">
        <v>97</v>
      </c>
      <c r="F461" s="91" t="s">
        <v>0</v>
      </c>
      <c r="G461" s="56" t="s">
        <v>4442</v>
      </c>
      <c r="H461" s="91">
        <v>100</v>
      </c>
      <c r="I461" s="91" t="s">
        <v>1767</v>
      </c>
      <c r="J461" s="91" t="s">
        <v>8</v>
      </c>
      <c r="K461" s="92" t="s">
        <v>10</v>
      </c>
      <c r="L461" s="93" t="str">
        <f>VLOOKUP(G461,'SKU 对应关系'!A:E,4,0)</f>
        <v>RZ1-500ML_TZ</v>
      </c>
      <c r="M461" s="94" t="str">
        <f>_xlfn.IFNA(VLOOKUP(G461,'SKU 对应关系'!A:B,2,0),"")</f>
        <v>RZ1-500ML_TZ 丽思卡尔顿酒店500mL香氛油（天竺） 销售包装</v>
      </c>
      <c r="N461" s="95" t="str">
        <f>_xlfn.IFNA(VLOOKUP(G461,'SKU 对应关系'!$A:$D,3,0),"")</f>
        <v>Oil-TZ</v>
      </c>
      <c r="O461" s="96">
        <v>5</v>
      </c>
      <c r="P461" s="580">
        <v>0.2</v>
      </c>
      <c r="Q461" s="96" t="s">
        <v>3264</v>
      </c>
      <c r="R461" s="91">
        <v>1220</v>
      </c>
      <c r="S461" s="95"/>
      <c r="T461" s="98">
        <v>29.032258064516128</v>
      </c>
      <c r="U461" s="99">
        <f t="shared" si="54"/>
        <v>273.0322580645161</v>
      </c>
      <c r="V461" s="100">
        <f t="shared" si="57"/>
        <v>2.730322580645161</v>
      </c>
      <c r="W461" s="101">
        <f t="shared" si="55"/>
        <v>0.40751083293211354</v>
      </c>
      <c r="X461" s="95"/>
      <c r="Y461" s="95"/>
      <c r="Z461" s="102"/>
      <c r="AA461" s="103">
        <v>46129</v>
      </c>
      <c r="AB461" s="103">
        <v>46151</v>
      </c>
      <c r="AC461" s="103"/>
      <c r="AD461" s="104">
        <f>IF(ISNA(VLOOKUP(D461,亚马逊入库配置费!B:F,5,0)),0,VLOOKUP(D461,亚马逊入库配置费!B:F,5,0))</f>
        <v>0.44</v>
      </c>
      <c r="AE461" s="104">
        <f t="shared" si="56"/>
        <v>44</v>
      </c>
      <c r="AF461" s="103">
        <v>46163</v>
      </c>
      <c r="AG461" s="90">
        <f t="shared" si="58"/>
        <v>34</v>
      </c>
      <c r="AH461" s="103"/>
      <c r="AI461" s="96"/>
      <c r="AJ461" s="96"/>
      <c r="AK461" s="96"/>
      <c r="AL461" s="92"/>
      <c r="AM461" s="91"/>
      <c r="AN461" s="91"/>
      <c r="AO461" s="96"/>
      <c r="AP461" s="105"/>
      <c r="AQ461" s="105"/>
      <c r="AR461" s="105"/>
      <c r="AS461" s="105"/>
    </row>
    <row r="462" spans="1:45" ht="12" customHeight="1" x14ac:dyDescent="0.25">
      <c r="A462" s="90">
        <v>461</v>
      </c>
      <c r="B462" s="91"/>
      <c r="C462" s="91" t="s">
        <v>910</v>
      </c>
      <c r="D462" s="92" t="s">
        <v>4443</v>
      </c>
      <c r="E462" s="91" t="s">
        <v>1971</v>
      </c>
      <c r="F462" s="91" t="s">
        <v>87</v>
      </c>
      <c r="G462" s="56" t="s">
        <v>298</v>
      </c>
      <c r="H462" s="91">
        <v>84</v>
      </c>
      <c r="I462" s="91" t="s">
        <v>207</v>
      </c>
      <c r="J462" s="91" t="s">
        <v>90</v>
      </c>
      <c r="K462" s="92" t="s">
        <v>4340</v>
      </c>
      <c r="L462" s="93" t="str">
        <f>VLOOKUP(G462,'SKU 对应关系'!A:E,4,0)</f>
        <v>H2-B</v>
      </c>
      <c r="M462" s="94" t="str">
        <f>_xlfn.IFNA(VLOOKUP(G462,'SKU 对应关系'!A:B,2,0),"")</f>
        <v>H2-B 电子指纹球形把手锁-黑色</v>
      </c>
      <c r="N462" s="95" t="str">
        <f>_xlfn.IFNA(VLOOKUP(G462,'SKU 对应关系'!$A:$D,3,0),"")</f>
        <v>H2</v>
      </c>
      <c r="O462" s="96">
        <v>7</v>
      </c>
      <c r="P462" s="580">
        <v>96.25</v>
      </c>
      <c r="Q462" s="96" t="s">
        <v>16</v>
      </c>
      <c r="R462" s="91">
        <v>5.4</v>
      </c>
      <c r="S462" s="95">
        <v>250</v>
      </c>
      <c r="T462" s="98">
        <v>44.871794871794869</v>
      </c>
      <c r="U462" s="99">
        <f t="shared" si="54"/>
        <v>564.62179487179492</v>
      </c>
      <c r="V462" s="100">
        <f t="shared" si="57"/>
        <v>6.721688034188035</v>
      </c>
      <c r="W462" s="101">
        <f t="shared" si="55"/>
        <v>1.0032370200280649</v>
      </c>
      <c r="X462" s="95"/>
      <c r="Y462" s="95"/>
      <c r="Z462" s="102"/>
      <c r="AA462" s="103">
        <v>46129</v>
      </c>
      <c r="AB462" s="103">
        <v>46168</v>
      </c>
      <c r="AC462" s="103"/>
      <c r="AD462" s="104">
        <f>IF(ISNA(VLOOKUP(D462,亚马逊入库配置费!B:F,5,0)),0,VLOOKUP(D462,亚马逊入库配置费!B:F,5,0))</f>
        <v>0</v>
      </c>
      <c r="AE462" s="104">
        <f t="shared" si="56"/>
        <v>0</v>
      </c>
      <c r="AF462" s="103">
        <v>46171</v>
      </c>
      <c r="AG462" s="90">
        <f t="shared" si="58"/>
        <v>42</v>
      </c>
      <c r="AH462" s="103"/>
      <c r="AI462" s="96"/>
      <c r="AJ462" s="96"/>
      <c r="AK462" s="96"/>
      <c r="AL462" s="92"/>
      <c r="AM462" s="91"/>
      <c r="AN462" s="91"/>
      <c r="AO462" s="96"/>
      <c r="AP462" s="105"/>
      <c r="AQ462" s="105"/>
      <c r="AR462" s="105"/>
      <c r="AS462" s="105"/>
    </row>
    <row r="463" spans="1:45" ht="12" customHeight="1" x14ac:dyDescent="0.25">
      <c r="A463" s="90">
        <v>462</v>
      </c>
      <c r="B463" s="91"/>
      <c r="C463" s="91" t="s">
        <v>910</v>
      </c>
      <c r="D463" s="92" t="s">
        <v>4443</v>
      </c>
      <c r="E463" s="91" t="s">
        <v>1971</v>
      </c>
      <c r="F463" s="91" t="s">
        <v>87</v>
      </c>
      <c r="G463" s="56" t="s">
        <v>2129</v>
      </c>
      <c r="H463" s="91">
        <v>60</v>
      </c>
      <c r="I463" s="91" t="s">
        <v>207</v>
      </c>
      <c r="J463" s="91" t="s">
        <v>90</v>
      </c>
      <c r="K463" s="92" t="s">
        <v>4340</v>
      </c>
      <c r="L463" s="93" t="str">
        <f>VLOOKUP(G463,'SKU 对应关系'!A:E,4,0)</f>
        <v>H2-SILV</v>
      </c>
      <c r="M463" s="94" t="str">
        <f>_xlfn.IFNA(VLOOKUP(G463,'SKU 对应关系'!A:B,2,0),"")</f>
        <v>H2-SILV 电子指纹球形把手锁-银色</v>
      </c>
      <c r="N463" s="95" t="str">
        <f>_xlfn.IFNA(VLOOKUP(G463,'SKU 对应关系'!$A:$D,3,0),"")</f>
        <v>H2</v>
      </c>
      <c r="O463" s="96">
        <v>5</v>
      </c>
      <c r="P463" s="580">
        <v>68.75</v>
      </c>
      <c r="Q463" s="96" t="s">
        <v>16</v>
      </c>
      <c r="R463" s="91">
        <v>5.4</v>
      </c>
      <c r="S463" s="106">
        <v>250</v>
      </c>
      <c r="T463" s="98">
        <v>32.051282051282051</v>
      </c>
      <c r="U463" s="99">
        <f t="shared" si="54"/>
        <v>403.30128205128204</v>
      </c>
      <c r="V463" s="100">
        <f t="shared" si="57"/>
        <v>6.7216880341880341</v>
      </c>
      <c r="W463" s="101">
        <f t="shared" si="55"/>
        <v>1.0032370200280647</v>
      </c>
      <c r="X463" s="95"/>
      <c r="Y463" s="95"/>
      <c r="Z463" s="102"/>
      <c r="AA463" s="103">
        <v>46129</v>
      </c>
      <c r="AB463" s="103">
        <v>46168</v>
      </c>
      <c r="AC463" s="103"/>
      <c r="AD463" s="104">
        <f>IF(ISNA(VLOOKUP(D463,亚马逊入库配置费!B:F,5,0)),0,VLOOKUP(D463,亚马逊入库配置费!B:F,5,0))</f>
        <v>0</v>
      </c>
      <c r="AE463" s="104">
        <f t="shared" si="56"/>
        <v>0</v>
      </c>
      <c r="AF463" s="103">
        <v>46171</v>
      </c>
      <c r="AG463" s="90">
        <f t="shared" si="58"/>
        <v>42</v>
      </c>
      <c r="AH463" s="103"/>
      <c r="AI463" s="96"/>
      <c r="AJ463" s="96"/>
      <c r="AK463" s="96"/>
      <c r="AL463" s="92"/>
      <c r="AM463" s="91"/>
      <c r="AN463" s="91"/>
      <c r="AO463" s="96"/>
      <c r="AP463" s="105"/>
      <c r="AQ463" s="105"/>
      <c r="AR463" s="105"/>
      <c r="AS463" s="105"/>
    </row>
    <row r="464" spans="1:45" ht="12" customHeight="1" x14ac:dyDescent="0.25">
      <c r="A464" s="90">
        <v>463</v>
      </c>
      <c r="B464" s="91"/>
      <c r="C464" s="91" t="s">
        <v>910</v>
      </c>
      <c r="D464" s="92" t="s">
        <v>4443</v>
      </c>
      <c r="E464" s="91" t="s">
        <v>1971</v>
      </c>
      <c r="F464" s="91" t="s">
        <v>87</v>
      </c>
      <c r="G464" s="56" t="s">
        <v>300</v>
      </c>
      <c r="H464" s="91">
        <v>240</v>
      </c>
      <c r="I464" s="91" t="s">
        <v>207</v>
      </c>
      <c r="J464" s="91" t="s">
        <v>90</v>
      </c>
      <c r="K464" s="92" t="s">
        <v>4340</v>
      </c>
      <c r="L464" s="93" t="str">
        <f>VLOOKUP(G464,'SKU 对应关系'!A:E,4,0)</f>
        <v>K1-B</v>
      </c>
      <c r="M464" s="94" t="str">
        <f>_xlfn.IFNA(VLOOKUP(G464,'SKU 对应关系'!A:B,2,0),"")</f>
        <v>K1-B 电子球形把手锁-黑色</v>
      </c>
      <c r="N464" s="95" t="str">
        <f>_xlfn.IFNA(VLOOKUP(G464,'SKU 对应关系'!$A:$D,3,0),"")</f>
        <v>K1</v>
      </c>
      <c r="O464" s="96">
        <v>20</v>
      </c>
      <c r="P464" s="580">
        <v>275</v>
      </c>
      <c r="Q464" s="96" t="s">
        <v>16</v>
      </c>
      <c r="R464" s="91">
        <v>5.4</v>
      </c>
      <c r="S464" s="95"/>
      <c r="T464" s="98">
        <v>128.2051282051282</v>
      </c>
      <c r="U464" s="99">
        <f t="shared" si="54"/>
        <v>1613.2051282051282</v>
      </c>
      <c r="V464" s="100">
        <f t="shared" si="57"/>
        <v>6.7216880341880341</v>
      </c>
      <c r="W464" s="101">
        <f t="shared" si="55"/>
        <v>1.0032370200280647</v>
      </c>
      <c r="X464" s="95"/>
      <c r="Y464" s="95"/>
      <c r="Z464" s="102"/>
      <c r="AA464" s="103">
        <v>46129</v>
      </c>
      <c r="AB464" s="103">
        <v>46168</v>
      </c>
      <c r="AC464" s="103"/>
      <c r="AD464" s="104">
        <f>IF(ISNA(VLOOKUP(D464,亚马逊入库配置费!B:F,5,0)),0,VLOOKUP(D464,亚马逊入库配置费!B:F,5,0))</f>
        <v>0</v>
      </c>
      <c r="AE464" s="104">
        <f t="shared" si="56"/>
        <v>0</v>
      </c>
      <c r="AF464" s="103">
        <v>46171</v>
      </c>
      <c r="AG464" s="90">
        <f t="shared" si="58"/>
        <v>42</v>
      </c>
      <c r="AH464" s="103"/>
      <c r="AI464" s="96"/>
      <c r="AJ464" s="96"/>
      <c r="AK464" s="96"/>
      <c r="AL464" s="92"/>
      <c r="AM464" s="91"/>
      <c r="AN464" s="91"/>
      <c r="AO464" s="96"/>
      <c r="AP464" s="105"/>
      <c r="AQ464" s="105"/>
      <c r="AR464" s="105"/>
      <c r="AS464" s="105"/>
    </row>
    <row r="465" spans="1:45" ht="12" customHeight="1" x14ac:dyDescent="0.25">
      <c r="A465" s="90">
        <v>464</v>
      </c>
      <c r="B465" s="91"/>
      <c r="C465" s="91" t="s">
        <v>4444</v>
      </c>
      <c r="D465" s="92" t="s">
        <v>4445</v>
      </c>
      <c r="E465" s="91" t="s">
        <v>115</v>
      </c>
      <c r="F465" s="91" t="s">
        <v>0</v>
      </c>
      <c r="G465" s="56" t="s">
        <v>980</v>
      </c>
      <c r="H465" s="91">
        <v>72</v>
      </c>
      <c r="I465" s="91" t="s">
        <v>89</v>
      </c>
      <c r="J465" s="91" t="s">
        <v>2431</v>
      </c>
      <c r="K465" s="92" t="s">
        <v>30</v>
      </c>
      <c r="L465" s="93" t="str">
        <f>VLOOKUP(G465,'SKU 对应关系'!A:E,4,0)</f>
        <v>AP2US-H14</v>
      </c>
      <c r="M465" s="94" t="str">
        <f>_xlfn.IFNA(VLOOKUP(G465,'SKU 对应关系'!A:B,2,0),"")</f>
        <v>AP2US-H14 内置H14滤网桌面式空气净化器2-美规</v>
      </c>
      <c r="N465" s="95" t="str">
        <f>_xlfn.IFNA(VLOOKUP(G465,'SKU 对应关系'!$A:$D,3,0),"")</f>
        <v>AP2</v>
      </c>
      <c r="O465" s="96">
        <v>18</v>
      </c>
      <c r="P465" s="580">
        <v>425</v>
      </c>
      <c r="Q465" s="96" t="s">
        <v>16</v>
      </c>
      <c r="R465" s="91">
        <v>5.7</v>
      </c>
      <c r="S465" s="95">
        <v>200</v>
      </c>
      <c r="T465" s="98">
        <v>200</v>
      </c>
      <c r="U465" s="99">
        <f t="shared" si="54"/>
        <v>2622.5</v>
      </c>
      <c r="V465" s="100">
        <f t="shared" si="57"/>
        <v>36.423611111111114</v>
      </c>
      <c r="W465" s="101">
        <f t="shared" si="55"/>
        <v>5.4363598673300171</v>
      </c>
      <c r="X465" s="95"/>
      <c r="Y465" s="95"/>
      <c r="Z465" s="102"/>
      <c r="AA465" s="103">
        <v>46129</v>
      </c>
      <c r="AB465" s="103">
        <v>46164</v>
      </c>
      <c r="AC465" s="103"/>
      <c r="AD465" s="104">
        <f>IF(ISNA(VLOOKUP(D465,亚马逊入库配置费!B:F,5,0)),0,VLOOKUP(D465,亚马逊入库配置费!B:F,5,0))</f>
        <v>0</v>
      </c>
      <c r="AE465" s="104">
        <f t="shared" si="56"/>
        <v>0</v>
      </c>
      <c r="AF465" s="103">
        <v>46184</v>
      </c>
      <c r="AG465" s="577">
        <f t="shared" si="58"/>
        <v>55</v>
      </c>
      <c r="AH465" s="103"/>
      <c r="AI465" s="96"/>
      <c r="AJ465" s="96"/>
      <c r="AK465" s="96"/>
      <c r="AL465" s="92"/>
      <c r="AM465" s="91"/>
      <c r="AN465" s="91"/>
      <c r="AO465" s="96"/>
      <c r="AP465" s="105"/>
      <c r="AQ465" s="105"/>
      <c r="AR465" s="105"/>
      <c r="AS465" s="105"/>
    </row>
    <row r="466" spans="1:45" ht="12" customHeight="1" x14ac:dyDescent="0.25">
      <c r="A466" s="90">
        <v>465</v>
      </c>
      <c r="B466" s="91"/>
      <c r="C466" s="91" t="s">
        <v>4446</v>
      </c>
      <c r="D466" s="92" t="s">
        <v>4447</v>
      </c>
      <c r="E466" s="91" t="s">
        <v>115</v>
      </c>
      <c r="F466" s="91" t="s">
        <v>0</v>
      </c>
      <c r="G466" s="56" t="s">
        <v>980</v>
      </c>
      <c r="H466" s="91">
        <v>72</v>
      </c>
      <c r="I466" s="91" t="s">
        <v>117</v>
      </c>
      <c r="J466" s="91" t="s">
        <v>8</v>
      </c>
      <c r="K466" s="92" t="s">
        <v>4448</v>
      </c>
      <c r="L466" s="93" t="str">
        <f>VLOOKUP(G466,'SKU 对应关系'!A:E,4,0)</f>
        <v>AP2US-H14</v>
      </c>
      <c r="M466" s="94" t="str">
        <f>_xlfn.IFNA(VLOOKUP(G466,'SKU 对应关系'!A:B,2,0),"")</f>
        <v>AP2US-H14 内置H14滤网桌面式空气净化器2-美规</v>
      </c>
      <c r="N466" s="95" t="str">
        <f>_xlfn.IFNA(VLOOKUP(G466,'SKU 对应关系'!$A:$D,3,0),"")</f>
        <v>AP2</v>
      </c>
      <c r="O466" s="96">
        <v>18</v>
      </c>
      <c r="P466" s="580">
        <v>438</v>
      </c>
      <c r="Q466" s="96" t="s">
        <v>16</v>
      </c>
      <c r="R466" s="91">
        <v>5.2</v>
      </c>
      <c r="S466" s="95">
        <v>200</v>
      </c>
      <c r="T466" s="98">
        <v>100</v>
      </c>
      <c r="U466" s="99">
        <f t="shared" si="54"/>
        <v>2377.6</v>
      </c>
      <c r="V466" s="100">
        <f t="shared" si="57"/>
        <v>33.022222222222219</v>
      </c>
      <c r="W466" s="101">
        <f t="shared" si="55"/>
        <v>4.9286898839137638</v>
      </c>
      <c r="X466" s="95"/>
      <c r="Y466" s="95"/>
      <c r="Z466" s="102"/>
      <c r="AA466" s="103">
        <v>46129</v>
      </c>
      <c r="AB466" s="103">
        <v>46171</v>
      </c>
      <c r="AC466" s="103"/>
      <c r="AD466" s="104">
        <f>IF(ISNA(VLOOKUP(D466,亚马逊入库配置费!B:F,5,0)),0,VLOOKUP(D466,亚马逊入库配置费!B:F,5,0))</f>
        <v>0</v>
      </c>
      <c r="AE466" s="104">
        <f t="shared" si="56"/>
        <v>0</v>
      </c>
      <c r="AF466" s="103"/>
      <c r="AG466" s="577">
        <f t="shared" si="58"/>
        <v>-46129</v>
      </c>
      <c r="AH466" s="103"/>
      <c r="AI466" s="96"/>
      <c r="AJ466" s="96"/>
      <c r="AK466" s="96"/>
      <c r="AL466" s="92"/>
      <c r="AM466" s="91"/>
      <c r="AN466" s="91"/>
      <c r="AO466" s="96"/>
      <c r="AP466" s="105"/>
      <c r="AQ466" s="105"/>
      <c r="AR466" s="105"/>
      <c r="AS466" s="105"/>
    </row>
    <row r="467" spans="1:45" ht="12" customHeight="1" x14ac:dyDescent="0.25">
      <c r="A467" s="90">
        <v>466</v>
      </c>
      <c r="B467" s="91"/>
      <c r="C467" s="91" t="s">
        <v>4446</v>
      </c>
      <c r="D467" s="92" t="s">
        <v>4449</v>
      </c>
      <c r="E467" s="91" t="s">
        <v>115</v>
      </c>
      <c r="F467" s="91" t="s">
        <v>0</v>
      </c>
      <c r="G467" s="56" t="s">
        <v>980</v>
      </c>
      <c r="H467" s="91">
        <v>72</v>
      </c>
      <c r="I467" s="91" t="s">
        <v>117</v>
      </c>
      <c r="J467" s="91" t="s">
        <v>8</v>
      </c>
      <c r="K467" s="92" t="s">
        <v>3168</v>
      </c>
      <c r="L467" s="93" t="str">
        <f>VLOOKUP(G467,'SKU 对应关系'!A:E,4,0)</f>
        <v>AP2US-H14</v>
      </c>
      <c r="M467" s="94" t="str">
        <f>_xlfn.IFNA(VLOOKUP(G467,'SKU 对应关系'!A:B,2,0),"")</f>
        <v>AP2US-H14 内置H14滤网桌面式空气净化器2-美规</v>
      </c>
      <c r="N467" s="95" t="str">
        <f>_xlfn.IFNA(VLOOKUP(G467,'SKU 对应关系'!$A:$D,3,0),"")</f>
        <v>AP2</v>
      </c>
      <c r="O467" s="96">
        <v>18</v>
      </c>
      <c r="P467" s="580">
        <v>438</v>
      </c>
      <c r="Q467" s="96" t="s">
        <v>16</v>
      </c>
      <c r="R467" s="91">
        <v>5</v>
      </c>
      <c r="S467" s="106">
        <v>200</v>
      </c>
      <c r="T467" s="98">
        <v>100</v>
      </c>
      <c r="U467" s="99">
        <f t="shared" si="54"/>
        <v>2290</v>
      </c>
      <c r="V467" s="100">
        <f t="shared" si="57"/>
        <v>31.805555555555557</v>
      </c>
      <c r="W467" s="101">
        <f t="shared" si="55"/>
        <v>4.74709784411277</v>
      </c>
      <c r="X467" s="95"/>
      <c r="Y467" s="95"/>
      <c r="Z467" s="102"/>
      <c r="AA467" s="103">
        <v>46129</v>
      </c>
      <c r="AB467" s="103">
        <v>46171</v>
      </c>
      <c r="AC467" s="103"/>
      <c r="AD467" s="104">
        <f>IF(ISNA(VLOOKUP(D467,亚马逊入库配置费!B:F,5,0)),0,VLOOKUP(D467,亚马逊入库配置费!B:F,5,0))</f>
        <v>0</v>
      </c>
      <c r="AE467" s="104">
        <f t="shared" si="56"/>
        <v>0</v>
      </c>
      <c r="AF467" s="103"/>
      <c r="AG467" s="577">
        <f t="shared" si="58"/>
        <v>-46129</v>
      </c>
      <c r="AH467" s="103"/>
      <c r="AI467" s="96"/>
      <c r="AJ467" s="96"/>
      <c r="AK467" s="96"/>
      <c r="AL467" s="92"/>
      <c r="AM467" s="91"/>
      <c r="AN467" s="91"/>
      <c r="AO467" s="96"/>
      <c r="AP467" s="105"/>
      <c r="AQ467" s="105"/>
      <c r="AR467" s="105"/>
      <c r="AS467" s="105"/>
    </row>
    <row r="468" spans="1:45" ht="12" customHeight="1" x14ac:dyDescent="0.25">
      <c r="A468" s="90">
        <v>467</v>
      </c>
      <c r="B468" s="91"/>
      <c r="C468" s="91" t="s">
        <v>4450</v>
      </c>
      <c r="D468" s="92" t="s">
        <v>4451</v>
      </c>
      <c r="E468" s="91" t="s">
        <v>115</v>
      </c>
      <c r="F468" s="91" t="s">
        <v>0</v>
      </c>
      <c r="G468" s="56" t="s">
        <v>980</v>
      </c>
      <c r="H468" s="91">
        <v>72</v>
      </c>
      <c r="I468" s="91" t="s">
        <v>117</v>
      </c>
      <c r="J468" s="91" t="s">
        <v>8</v>
      </c>
      <c r="K468" s="92" t="s">
        <v>4452</v>
      </c>
      <c r="L468" s="93" t="str">
        <f>VLOOKUP(G468,'SKU 对应关系'!A:E,4,0)</f>
        <v>AP2US-H14</v>
      </c>
      <c r="M468" s="94" t="str">
        <f>_xlfn.IFNA(VLOOKUP(G468,'SKU 对应关系'!A:B,2,0),"")</f>
        <v>AP2US-H14 内置H14滤网桌面式空气净化器2-美规</v>
      </c>
      <c r="N468" s="95" t="str">
        <f>_xlfn.IFNA(VLOOKUP(G468,'SKU 对应关系'!$A:$D,3,0),"")</f>
        <v>AP2</v>
      </c>
      <c r="O468" s="96">
        <v>18</v>
      </c>
      <c r="P468" s="580">
        <v>437</v>
      </c>
      <c r="Q468" s="96" t="s">
        <v>16</v>
      </c>
      <c r="R468" s="91">
        <v>4.7</v>
      </c>
      <c r="S468" s="95">
        <v>200</v>
      </c>
      <c r="T468" s="98">
        <v>200</v>
      </c>
      <c r="U468" s="99">
        <f t="shared" si="54"/>
        <v>2253.9</v>
      </c>
      <c r="V468" s="100">
        <f t="shared" si="57"/>
        <v>31.304166666666667</v>
      </c>
      <c r="W468" s="101">
        <f t="shared" si="55"/>
        <v>4.6722636815920398</v>
      </c>
      <c r="X468" s="95"/>
      <c r="Y468" s="95"/>
      <c r="Z468" s="102"/>
      <c r="AA468" s="103">
        <v>46129</v>
      </c>
      <c r="AB468" s="103">
        <v>46169</v>
      </c>
      <c r="AC468" s="103"/>
      <c r="AD468" s="104">
        <f>IF(ISNA(VLOOKUP(D468,亚马逊入库配置费!B:F,5,0)),0,VLOOKUP(D468,亚马逊入库配置费!B:F,5,0))</f>
        <v>0</v>
      </c>
      <c r="AE468" s="104">
        <f t="shared" si="56"/>
        <v>0</v>
      </c>
      <c r="AF468" s="103"/>
      <c r="AG468" s="577">
        <f t="shared" si="58"/>
        <v>-46129</v>
      </c>
      <c r="AH468" s="103"/>
      <c r="AI468" s="96"/>
      <c r="AJ468" s="96"/>
      <c r="AK468" s="96"/>
      <c r="AL468" s="92"/>
      <c r="AM468" s="91"/>
      <c r="AN468" s="91"/>
      <c r="AO468" s="96"/>
      <c r="AP468" s="105"/>
      <c r="AQ468" s="105"/>
      <c r="AR468" s="105"/>
      <c r="AS468" s="105"/>
    </row>
    <row r="469" spans="1:45" ht="12" customHeight="1" x14ac:dyDescent="0.25">
      <c r="A469" s="90">
        <v>468</v>
      </c>
      <c r="B469" s="91"/>
      <c r="C469" s="91" t="s">
        <v>925</v>
      </c>
      <c r="D469" s="92" t="s">
        <v>4453</v>
      </c>
      <c r="E469" s="91" t="s">
        <v>115</v>
      </c>
      <c r="F469" s="91" t="s">
        <v>0</v>
      </c>
      <c r="G469" s="56" t="s">
        <v>980</v>
      </c>
      <c r="H469" s="91">
        <v>72</v>
      </c>
      <c r="I469" s="91" t="s">
        <v>117</v>
      </c>
      <c r="J469" s="91" t="s">
        <v>8</v>
      </c>
      <c r="K469" s="92" t="s">
        <v>29</v>
      </c>
      <c r="L469" s="93" t="str">
        <f>VLOOKUP(G469,'SKU 对应关系'!A:E,4,0)</f>
        <v>AP2US-H14</v>
      </c>
      <c r="M469" s="94" t="str">
        <f>_xlfn.IFNA(VLOOKUP(G469,'SKU 对应关系'!A:B,2,0),"")</f>
        <v>AP2US-H14 内置H14滤网桌面式空气净化器2-美规</v>
      </c>
      <c r="N469" s="95" t="str">
        <f>_xlfn.IFNA(VLOOKUP(G469,'SKU 对应关系'!$A:$D,3,0),"")</f>
        <v>AP2</v>
      </c>
      <c r="O469" s="96">
        <v>18</v>
      </c>
      <c r="P469" s="580">
        <v>437</v>
      </c>
      <c r="Q469" s="96" t="s">
        <v>16</v>
      </c>
      <c r="R469" s="91">
        <v>5.8</v>
      </c>
      <c r="S469" s="95">
        <v>200</v>
      </c>
      <c r="T469" s="98">
        <v>29.032258064516128</v>
      </c>
      <c r="U469" s="99">
        <f t="shared" si="54"/>
        <v>2563.632258064516</v>
      </c>
      <c r="V469" s="100">
        <f t="shared" si="57"/>
        <v>35.606003584229391</v>
      </c>
      <c r="W469" s="101">
        <f t="shared" si="55"/>
        <v>5.3143288931685655</v>
      </c>
      <c r="X469" s="95"/>
      <c r="Y469" s="95"/>
      <c r="Z469" s="102"/>
      <c r="AA469" s="103">
        <v>46129</v>
      </c>
      <c r="AB469" s="103">
        <v>46150</v>
      </c>
      <c r="AC469" s="103"/>
      <c r="AD469" s="104">
        <f>IF(ISNA(VLOOKUP(D469,亚马逊入库配置费!B:F,5,0)),0,VLOOKUP(D469,亚马逊入库配置费!B:F,5,0))</f>
        <v>0</v>
      </c>
      <c r="AE469" s="104">
        <f t="shared" si="56"/>
        <v>0</v>
      </c>
      <c r="AF469" s="103">
        <v>46175</v>
      </c>
      <c r="AG469" s="577">
        <f t="shared" si="58"/>
        <v>46</v>
      </c>
      <c r="AH469" s="103"/>
      <c r="AI469" s="96"/>
      <c r="AJ469" s="96"/>
      <c r="AK469" s="96"/>
      <c r="AL469" s="92"/>
      <c r="AM469" s="91"/>
      <c r="AN469" s="91"/>
      <c r="AO469" s="96"/>
      <c r="AP469" s="105"/>
      <c r="AQ469" s="105"/>
      <c r="AR469" s="105"/>
      <c r="AS469" s="105"/>
    </row>
    <row r="470" spans="1:45" ht="12" customHeight="1" x14ac:dyDescent="0.25">
      <c r="A470" s="90">
        <v>469</v>
      </c>
      <c r="B470" s="91"/>
      <c r="C470" s="91" t="s">
        <v>939</v>
      </c>
      <c r="D470" s="92" t="s">
        <v>4454</v>
      </c>
      <c r="E470" s="91" t="s">
        <v>254</v>
      </c>
      <c r="F470" s="91" t="s">
        <v>255</v>
      </c>
      <c r="G470" s="56" t="s">
        <v>614</v>
      </c>
      <c r="H470" s="91">
        <v>36</v>
      </c>
      <c r="I470" s="91" t="s">
        <v>89</v>
      </c>
      <c r="J470" s="91" t="s">
        <v>2313</v>
      </c>
      <c r="K470" s="92" t="s">
        <v>475</v>
      </c>
      <c r="L470" s="93" t="str">
        <f>VLOOKUP(G470,'SKU 对应关系'!A:E,4,0)</f>
        <v>AP2F-H14</v>
      </c>
      <c r="M470" s="94" t="str">
        <f>_xlfn.IFNA(VLOOKUP(G470,'SKU 对应关系'!A:B,2,0),"")</f>
        <v>AP2F-H14 空气净化器滤网2-H14</v>
      </c>
      <c r="N470" s="95" t="str">
        <f>_xlfn.IFNA(VLOOKUP(G470,'SKU 对应关系'!$A:$D,3,0),"")</f>
        <v>AP2F</v>
      </c>
      <c r="O470" s="96">
        <v>1</v>
      </c>
      <c r="P470" s="580">
        <v>22</v>
      </c>
      <c r="Q470" s="96" t="s">
        <v>16</v>
      </c>
      <c r="R470" s="91">
        <v>4.4000000000000004</v>
      </c>
      <c r="S470" s="95">
        <v>550</v>
      </c>
      <c r="T470" s="98">
        <v>45.833333333333336</v>
      </c>
      <c r="U470" s="99">
        <f t="shared" si="54"/>
        <v>142.63333333333335</v>
      </c>
      <c r="V470" s="100">
        <f t="shared" si="57"/>
        <v>3.9620370370370375</v>
      </c>
      <c r="W470" s="101">
        <f t="shared" si="55"/>
        <v>0.59134881149806529</v>
      </c>
      <c r="X470" s="95"/>
      <c r="Y470" s="95"/>
      <c r="Z470" s="102"/>
      <c r="AA470" s="103">
        <v>46129</v>
      </c>
      <c r="AB470" s="103">
        <v>46168</v>
      </c>
      <c r="AC470" s="103"/>
      <c r="AD470" s="104">
        <f>IF(ISNA(VLOOKUP(D470,亚马逊入库配置费!B:F,5,0)),0,VLOOKUP(D470,亚马逊入库配置费!B:F,5,0))</f>
        <v>0</v>
      </c>
      <c r="AE470" s="104">
        <f t="shared" si="56"/>
        <v>0</v>
      </c>
      <c r="AF470" s="103">
        <v>46177</v>
      </c>
      <c r="AG470" s="577">
        <f t="shared" si="58"/>
        <v>48</v>
      </c>
      <c r="AH470" s="103"/>
      <c r="AI470" s="96"/>
      <c r="AJ470" s="96"/>
      <c r="AK470" s="96"/>
      <c r="AL470" s="92"/>
      <c r="AM470" s="91"/>
      <c r="AN470" s="91"/>
      <c r="AO470" s="96"/>
      <c r="AP470" s="105"/>
      <c r="AQ470" s="105"/>
      <c r="AR470" s="105"/>
      <c r="AS470" s="105"/>
    </row>
    <row r="471" spans="1:45" ht="12" customHeight="1" x14ac:dyDescent="0.25">
      <c r="A471" s="90">
        <v>470</v>
      </c>
      <c r="B471" s="91"/>
      <c r="C471" s="91" t="s">
        <v>943</v>
      </c>
      <c r="D471" s="92" t="s">
        <v>4485</v>
      </c>
      <c r="E471" s="91" t="s">
        <v>1164</v>
      </c>
      <c r="F471" s="91" t="s">
        <v>1165</v>
      </c>
      <c r="G471" s="56" t="s">
        <v>163</v>
      </c>
      <c r="H471" s="91">
        <v>280</v>
      </c>
      <c r="I471" s="91" t="s">
        <v>207</v>
      </c>
      <c r="J471" s="91" t="s">
        <v>2064</v>
      </c>
      <c r="K471" s="92" t="s">
        <v>4186</v>
      </c>
      <c r="L471" s="93" t="str">
        <f>VLOOKUP(G471,'SKU 对应关系'!A:E,4,0)</f>
        <v>AN6-B</v>
      </c>
      <c r="M471" s="94" t="str">
        <f>_xlfn.IFNA(VLOOKUP(G471,'SKU 对应关系'!A:B,2,0),"")</f>
        <v>AN6-B 便携式扩香仪 黑色</v>
      </c>
      <c r="N471" s="95" t="str">
        <f>_xlfn.IFNA(VLOOKUP(G471,'SKU 对应关系'!$A:$D,3,0),"")</f>
        <v>AN6</v>
      </c>
      <c r="O471" s="96">
        <v>7</v>
      </c>
      <c r="P471" s="580">
        <v>101.0625</v>
      </c>
      <c r="Q471" s="96" t="s">
        <v>16</v>
      </c>
      <c r="R471" s="91">
        <v>7.2</v>
      </c>
      <c r="S471" s="95">
        <v>250</v>
      </c>
      <c r="T471" s="98">
        <v>109.375</v>
      </c>
      <c r="U471" s="99">
        <f t="shared" ref="U471:U512" si="59">R471*P471+T471</f>
        <v>837.02499999999998</v>
      </c>
      <c r="V471" s="100">
        <f t="shared" ref="V471:V512" si="60">U471/H471</f>
        <v>2.9893749999999999</v>
      </c>
      <c r="W471" s="101">
        <f t="shared" ref="W471:W512" si="61">V471/6.7</f>
        <v>0.44617537313432831</v>
      </c>
      <c r="X471" s="95"/>
      <c r="Y471" s="95"/>
      <c r="Z471" s="102"/>
      <c r="AA471" s="103">
        <v>46136</v>
      </c>
      <c r="AB471" s="103">
        <v>46181</v>
      </c>
      <c r="AC471" s="103"/>
      <c r="AD471" s="104">
        <f>IF(ISNA(VLOOKUP(D471,亚马逊入库配置费!B:F,5,0)),0,VLOOKUP(D471,亚马逊入库配置费!B:F,5,0))</f>
        <v>0</v>
      </c>
      <c r="AE471" s="104">
        <f t="shared" ref="AE471:AE534" si="62">AD471*H471</f>
        <v>0</v>
      </c>
      <c r="AF471" s="103"/>
      <c r="AG471" s="577">
        <f t="shared" si="58"/>
        <v>-46136</v>
      </c>
      <c r="AH471" s="103"/>
      <c r="AI471" s="96"/>
      <c r="AJ471" s="96"/>
      <c r="AK471" s="96"/>
      <c r="AL471" s="92"/>
      <c r="AM471" s="91"/>
      <c r="AN471" s="91"/>
      <c r="AO471" s="96"/>
      <c r="AP471" s="105"/>
      <c r="AQ471" s="105"/>
      <c r="AR471" s="105"/>
      <c r="AS471" s="105"/>
    </row>
    <row r="472" spans="1:45" ht="12" customHeight="1" x14ac:dyDescent="0.25">
      <c r="A472" s="90">
        <v>471</v>
      </c>
      <c r="B472" s="91"/>
      <c r="C472" s="91" t="s">
        <v>943</v>
      </c>
      <c r="D472" s="92" t="s">
        <v>4485</v>
      </c>
      <c r="E472" s="91" t="s">
        <v>1164</v>
      </c>
      <c r="F472" s="91" t="s">
        <v>1165</v>
      </c>
      <c r="G472" s="56" t="s">
        <v>352</v>
      </c>
      <c r="H472" s="91">
        <v>80</v>
      </c>
      <c r="I472" s="91" t="s">
        <v>207</v>
      </c>
      <c r="J472" s="91" t="s">
        <v>2064</v>
      </c>
      <c r="K472" s="92" t="s">
        <v>4186</v>
      </c>
      <c r="L472" s="93" t="str">
        <f>VLOOKUP(G472,'SKU 对应关系'!A:E,4,0)</f>
        <v>AN6-LB</v>
      </c>
      <c r="M472" s="94" t="str">
        <f>_xlfn.IFNA(VLOOKUP(G472,'SKU 对应关系'!A:B,2,0),"")</f>
        <v>AN6-LB 便携式扩香仪 浅钢蓝色</v>
      </c>
      <c r="N472" s="95" t="str">
        <f>_xlfn.IFNA(VLOOKUP(G472,'SKU 对应关系'!$A:$D,3,0),"")</f>
        <v>AN6</v>
      </c>
      <c r="O472" s="96">
        <v>2</v>
      </c>
      <c r="P472" s="580">
        <v>28.875</v>
      </c>
      <c r="Q472" s="96" t="s">
        <v>16</v>
      </c>
      <c r="R472" s="91">
        <v>7.2</v>
      </c>
      <c r="S472" s="106">
        <v>250</v>
      </c>
      <c r="T472" s="98">
        <v>31.25</v>
      </c>
      <c r="U472" s="99">
        <f t="shared" si="59"/>
        <v>239.15</v>
      </c>
      <c r="V472" s="100">
        <f t="shared" si="60"/>
        <v>2.9893749999999999</v>
      </c>
      <c r="W472" s="101">
        <f t="shared" si="61"/>
        <v>0.44617537313432831</v>
      </c>
      <c r="X472" s="95"/>
      <c r="Y472" s="95"/>
      <c r="Z472" s="102"/>
      <c r="AA472" s="103">
        <v>46136</v>
      </c>
      <c r="AB472" s="103">
        <v>46181</v>
      </c>
      <c r="AC472" s="103"/>
      <c r="AD472" s="104">
        <f>IF(ISNA(VLOOKUP(D472,亚马逊入库配置费!B:F,5,0)),0,VLOOKUP(D472,亚马逊入库配置费!B:F,5,0))</f>
        <v>0</v>
      </c>
      <c r="AE472" s="104">
        <f t="shared" si="62"/>
        <v>0</v>
      </c>
      <c r="AF472" s="103"/>
      <c r="AG472" s="577">
        <f t="shared" si="58"/>
        <v>-46136</v>
      </c>
      <c r="AH472" s="103"/>
      <c r="AI472" s="96"/>
      <c r="AJ472" s="96"/>
      <c r="AK472" s="96"/>
      <c r="AL472" s="92"/>
      <c r="AM472" s="91"/>
      <c r="AN472" s="91"/>
      <c r="AO472" s="96"/>
      <c r="AP472" s="105"/>
      <c r="AQ472" s="105"/>
      <c r="AR472" s="105"/>
      <c r="AS472" s="105"/>
    </row>
    <row r="473" spans="1:45" ht="12" customHeight="1" x14ac:dyDescent="0.25">
      <c r="A473" s="90">
        <v>472</v>
      </c>
      <c r="B473" s="91"/>
      <c r="C473" s="91" t="s">
        <v>943</v>
      </c>
      <c r="D473" s="92" t="s">
        <v>4485</v>
      </c>
      <c r="E473" s="91" t="s">
        <v>1164</v>
      </c>
      <c r="F473" s="91" t="s">
        <v>1165</v>
      </c>
      <c r="G473" s="56" t="s">
        <v>2279</v>
      </c>
      <c r="H473" s="91">
        <v>120</v>
      </c>
      <c r="I473" s="91" t="s">
        <v>207</v>
      </c>
      <c r="J473" s="91" t="s">
        <v>2064</v>
      </c>
      <c r="K473" s="92" t="s">
        <v>4186</v>
      </c>
      <c r="L473" s="93" t="str">
        <f>VLOOKUP(G473,'SKU 对应关系'!A:E,4,0)</f>
        <v>RD1-B</v>
      </c>
      <c r="M473" s="94" t="str">
        <f>_xlfn.IFNA(VLOOKUP(G473,'SKU 对应关系'!A:B,2,0),"")</f>
        <v>RD1-B 便携式扩香仪 黑色</v>
      </c>
      <c r="N473" s="95" t="str">
        <f>_xlfn.IFNA(VLOOKUP(G473,'SKU 对应关系'!$A:$D,3,0),"")</f>
        <v>RD1</v>
      </c>
      <c r="O473" s="96">
        <v>4</v>
      </c>
      <c r="P473" s="580">
        <v>57.75</v>
      </c>
      <c r="Q473" s="96" t="s">
        <v>16</v>
      </c>
      <c r="R473" s="91">
        <v>7.2</v>
      </c>
      <c r="S473" s="95"/>
      <c r="T473" s="98">
        <v>62.5</v>
      </c>
      <c r="U473" s="99">
        <f t="shared" si="59"/>
        <v>478.3</v>
      </c>
      <c r="V473" s="100">
        <f t="shared" si="60"/>
        <v>3.9858333333333333</v>
      </c>
      <c r="W473" s="101">
        <f t="shared" si="61"/>
        <v>0.59490049751243779</v>
      </c>
      <c r="X473" s="95"/>
      <c r="Y473" s="95"/>
      <c r="Z473" s="102"/>
      <c r="AA473" s="103">
        <v>46136</v>
      </c>
      <c r="AB473" s="103">
        <v>46181</v>
      </c>
      <c r="AC473" s="103"/>
      <c r="AD473" s="104">
        <f>IF(ISNA(VLOOKUP(D473,亚马逊入库配置费!B:F,5,0)),0,VLOOKUP(D473,亚马逊入库配置费!B:F,5,0))</f>
        <v>0</v>
      </c>
      <c r="AE473" s="104">
        <f t="shared" si="62"/>
        <v>0</v>
      </c>
      <c r="AF473" s="103"/>
      <c r="AG473" s="577">
        <f t="shared" si="58"/>
        <v>-46136</v>
      </c>
      <c r="AH473" s="103"/>
      <c r="AI473" s="96"/>
      <c r="AJ473" s="96"/>
      <c r="AK473" s="96"/>
      <c r="AL473" s="92"/>
      <c r="AM473" s="91"/>
      <c r="AN473" s="91"/>
      <c r="AO473" s="96"/>
      <c r="AP473" s="105"/>
      <c r="AQ473" s="105"/>
      <c r="AR473" s="105"/>
      <c r="AS473" s="105"/>
    </row>
    <row r="474" spans="1:45" ht="12" customHeight="1" x14ac:dyDescent="0.25">
      <c r="A474" s="90">
        <v>473</v>
      </c>
      <c r="B474" s="91"/>
      <c r="C474" s="91" t="s">
        <v>943</v>
      </c>
      <c r="D474" s="92" t="s">
        <v>4485</v>
      </c>
      <c r="E474" s="91" t="s">
        <v>1164</v>
      </c>
      <c r="F474" s="91" t="s">
        <v>1165</v>
      </c>
      <c r="G474" s="56" t="s">
        <v>2281</v>
      </c>
      <c r="H474" s="91">
        <v>90</v>
      </c>
      <c r="I474" s="91" t="s">
        <v>207</v>
      </c>
      <c r="J474" s="91" t="s">
        <v>2064</v>
      </c>
      <c r="K474" s="92" t="s">
        <v>4186</v>
      </c>
      <c r="L474" s="93" t="str">
        <f>VLOOKUP(G474,'SKU 对应关系'!A:E,4,0)</f>
        <v>RD1-DT</v>
      </c>
      <c r="M474" s="94" t="str">
        <f>_xlfn.IFNA(VLOOKUP(G474,'SKU 对应关系'!A:B,2,0),"")</f>
        <v>RD1-DT 便携式扩香仪 沙漠钛色</v>
      </c>
      <c r="N474" s="95" t="str">
        <f>_xlfn.IFNA(VLOOKUP(G474,'SKU 对应关系'!$A:$D,3,0),"")</f>
        <v>RD1</v>
      </c>
      <c r="O474" s="96">
        <v>3</v>
      </c>
      <c r="P474" s="580">
        <v>43.3125</v>
      </c>
      <c r="Q474" s="96" t="s">
        <v>16</v>
      </c>
      <c r="R474" s="91">
        <v>7.2</v>
      </c>
      <c r="S474" s="95"/>
      <c r="T474" s="98">
        <v>46.875</v>
      </c>
      <c r="U474" s="99">
        <f t="shared" si="59"/>
        <v>358.72500000000002</v>
      </c>
      <c r="V474" s="100">
        <f t="shared" si="60"/>
        <v>3.9858333333333338</v>
      </c>
      <c r="W474" s="101">
        <f t="shared" si="61"/>
        <v>0.5949004975124379</v>
      </c>
      <c r="X474" s="95"/>
      <c r="Y474" s="95"/>
      <c r="Z474" s="102"/>
      <c r="AA474" s="103">
        <v>46136</v>
      </c>
      <c r="AB474" s="103">
        <v>46181</v>
      </c>
      <c r="AC474" s="103"/>
      <c r="AD474" s="104">
        <f>IF(ISNA(VLOOKUP(D474,亚马逊入库配置费!B:F,5,0)),0,VLOOKUP(D474,亚马逊入库配置费!B:F,5,0))</f>
        <v>0</v>
      </c>
      <c r="AE474" s="104">
        <f t="shared" si="62"/>
        <v>0</v>
      </c>
      <c r="AF474" s="103"/>
      <c r="AG474" s="577">
        <f t="shared" si="58"/>
        <v>-46136</v>
      </c>
      <c r="AH474" s="103"/>
      <c r="AI474" s="96"/>
      <c r="AJ474" s="96"/>
      <c r="AK474" s="96"/>
      <c r="AL474" s="92"/>
      <c r="AM474" s="91"/>
      <c r="AN474" s="91"/>
      <c r="AO474" s="96"/>
      <c r="AP474" s="105"/>
      <c r="AQ474" s="105"/>
      <c r="AR474" s="105"/>
      <c r="AS474" s="105"/>
    </row>
    <row r="475" spans="1:45" ht="12" customHeight="1" x14ac:dyDescent="0.25">
      <c r="A475" s="90">
        <v>474</v>
      </c>
      <c r="B475" s="91"/>
      <c r="C475" s="91" t="s">
        <v>973</v>
      </c>
      <c r="D475" s="92" t="s">
        <v>4486</v>
      </c>
      <c r="E475" s="91" t="s">
        <v>2607</v>
      </c>
      <c r="F475" s="91" t="s">
        <v>1073</v>
      </c>
      <c r="G475" s="56" t="s">
        <v>953</v>
      </c>
      <c r="H475" s="91">
        <v>90</v>
      </c>
      <c r="I475" s="91" t="s">
        <v>1074</v>
      </c>
      <c r="J475" s="91" t="s">
        <v>2102</v>
      </c>
      <c r="K475" s="92" t="s">
        <v>1075</v>
      </c>
      <c r="L475" s="93" t="str">
        <f>VLOOKUP(G475,'SKU 对应关系'!A:E,4,0)</f>
        <v>AND-B</v>
      </c>
      <c r="M475" s="94" t="str">
        <f>_xlfn.IFNA(VLOOKUP(G475,'SKU 对应关系'!A:B,2,0),"")</f>
        <v>AND-B 便携式双喷扩香仪 黑色</v>
      </c>
      <c r="N475" s="95" t="str">
        <f>_xlfn.IFNA(VLOOKUP(G475,'SKU 对应关系'!$A:$D,3,0),"")</f>
        <v>AND</v>
      </c>
      <c r="O475" s="96">
        <v>3</v>
      </c>
      <c r="P475" s="580">
        <v>44.53846153846154</v>
      </c>
      <c r="Q475" s="96" t="s">
        <v>16</v>
      </c>
      <c r="R475" s="91">
        <v>8</v>
      </c>
      <c r="S475" s="95">
        <v>350</v>
      </c>
      <c r="T475" s="98">
        <v>80.769230769230774</v>
      </c>
      <c r="U475" s="99">
        <f t="shared" si="59"/>
        <v>437.07692307692309</v>
      </c>
      <c r="V475" s="100">
        <f t="shared" si="60"/>
        <v>4.8564102564102569</v>
      </c>
      <c r="W475" s="101">
        <f t="shared" si="61"/>
        <v>0.72483735170302344</v>
      </c>
      <c r="X475" s="95"/>
      <c r="Y475" s="95"/>
      <c r="Z475" s="102"/>
      <c r="AA475" s="103">
        <v>46136</v>
      </c>
      <c r="AB475" s="103">
        <v>46153</v>
      </c>
      <c r="AC475" s="103"/>
      <c r="AD475" s="104">
        <f>IF(ISNA(VLOOKUP(D475,亚马逊入库配置费!B:F,5,0)),0,VLOOKUP(D475,亚马逊入库配置费!B:F,5,0))</f>
        <v>0</v>
      </c>
      <c r="AE475" s="104">
        <f t="shared" si="62"/>
        <v>0</v>
      </c>
      <c r="AF475" s="103">
        <v>46181</v>
      </c>
      <c r="AG475" s="577">
        <f t="shared" si="58"/>
        <v>45</v>
      </c>
      <c r="AH475" s="103"/>
      <c r="AI475" s="96"/>
      <c r="AJ475" s="96"/>
      <c r="AK475" s="96"/>
      <c r="AL475" s="92"/>
      <c r="AM475" s="91"/>
      <c r="AN475" s="91"/>
      <c r="AO475" s="96"/>
      <c r="AP475" s="105"/>
      <c r="AQ475" s="105"/>
      <c r="AR475" s="105"/>
      <c r="AS475" s="105"/>
    </row>
    <row r="476" spans="1:45" ht="12" customHeight="1" x14ac:dyDescent="0.25">
      <c r="A476" s="90">
        <v>475</v>
      </c>
      <c r="B476" s="91"/>
      <c r="C476" s="91" t="s">
        <v>973</v>
      </c>
      <c r="D476" s="92" t="s">
        <v>4486</v>
      </c>
      <c r="E476" s="91" t="s">
        <v>2607</v>
      </c>
      <c r="F476" s="91" t="s">
        <v>1073</v>
      </c>
      <c r="G476" s="56" t="s">
        <v>963</v>
      </c>
      <c r="H476" s="91">
        <v>30</v>
      </c>
      <c r="I476" s="91" t="s">
        <v>1074</v>
      </c>
      <c r="J476" s="91" t="s">
        <v>2102</v>
      </c>
      <c r="K476" s="92" t="s">
        <v>1075</v>
      </c>
      <c r="L476" s="93" t="str">
        <f>VLOOKUP(G476,'SKU 对应关系'!A:E,4,0)</f>
        <v>AND-G</v>
      </c>
      <c r="M476" s="94" t="str">
        <f>_xlfn.IFNA(VLOOKUP(G476,'SKU 对应关系'!A:B,2,0),"")</f>
        <v>AND-G 便携式双喷扩香仪 灰色</v>
      </c>
      <c r="N476" s="95" t="str">
        <f>_xlfn.IFNA(VLOOKUP(G476,'SKU 对应关系'!$A:$D,3,0),"")</f>
        <v>AND</v>
      </c>
      <c r="O476" s="96">
        <v>1</v>
      </c>
      <c r="P476" s="580">
        <v>14.846153846153847</v>
      </c>
      <c r="Q476" s="96" t="s">
        <v>16</v>
      </c>
      <c r="R476" s="91">
        <v>8</v>
      </c>
      <c r="S476" s="106">
        <v>350</v>
      </c>
      <c r="T476" s="98">
        <v>26.923076923076923</v>
      </c>
      <c r="U476" s="99">
        <f t="shared" si="59"/>
        <v>145.69230769230771</v>
      </c>
      <c r="V476" s="100">
        <f t="shared" si="60"/>
        <v>4.8564102564102569</v>
      </c>
      <c r="W476" s="101">
        <f t="shared" si="61"/>
        <v>0.72483735170302344</v>
      </c>
      <c r="X476" s="95"/>
      <c r="Y476" s="95"/>
      <c r="Z476" s="102"/>
      <c r="AA476" s="103">
        <v>46136</v>
      </c>
      <c r="AB476" s="103">
        <v>46153</v>
      </c>
      <c r="AC476" s="103"/>
      <c r="AD476" s="104">
        <f>IF(ISNA(VLOOKUP(D476,亚马逊入库配置费!B:F,5,0)),0,VLOOKUP(D476,亚马逊入库配置费!B:F,5,0))</f>
        <v>0</v>
      </c>
      <c r="AE476" s="104">
        <f t="shared" si="62"/>
        <v>0</v>
      </c>
      <c r="AF476" s="103">
        <v>46181</v>
      </c>
      <c r="AG476" s="577">
        <f t="shared" si="58"/>
        <v>45</v>
      </c>
      <c r="AH476" s="103"/>
      <c r="AI476" s="96"/>
      <c r="AJ476" s="96"/>
      <c r="AK476" s="96"/>
      <c r="AL476" s="92"/>
      <c r="AM476" s="91"/>
      <c r="AN476" s="91"/>
      <c r="AO476" s="96"/>
      <c r="AP476" s="105"/>
      <c r="AQ476" s="105"/>
      <c r="AR476" s="105"/>
      <c r="AS476" s="105"/>
    </row>
    <row r="477" spans="1:45" ht="12" customHeight="1" x14ac:dyDescent="0.25">
      <c r="A477" s="90">
        <v>476</v>
      </c>
      <c r="B477" s="91"/>
      <c r="C477" s="91" t="s">
        <v>973</v>
      </c>
      <c r="D477" s="92" t="s">
        <v>4486</v>
      </c>
      <c r="E477" s="91" t="s">
        <v>2607</v>
      </c>
      <c r="F477" s="91" t="s">
        <v>1073</v>
      </c>
      <c r="G477" s="56" t="s">
        <v>213</v>
      </c>
      <c r="H477" s="91">
        <v>60</v>
      </c>
      <c r="I477" s="91" t="s">
        <v>1074</v>
      </c>
      <c r="J477" s="91" t="s">
        <v>2102</v>
      </c>
      <c r="K477" s="92" t="s">
        <v>1075</v>
      </c>
      <c r="L477" s="93" t="str">
        <f>VLOOKUP(G477,'SKU 对应关系'!A:E,4,0)</f>
        <v>ANX-DT</v>
      </c>
      <c r="M477" s="94" t="str">
        <f>_xlfn.IFNA(VLOOKUP(G477,'SKU 对应关系'!A:B,2,0),"")</f>
        <v>ANX-DT 便携式扩香仪 沙漠钛色</v>
      </c>
      <c r="N477" s="95" t="str">
        <f>_xlfn.IFNA(VLOOKUP(G477,'SKU 对应关系'!$A:$D,3,0),"")</f>
        <v>ANX</v>
      </c>
      <c r="O477" s="96">
        <v>2</v>
      </c>
      <c r="P477" s="580">
        <v>29.692307692307693</v>
      </c>
      <c r="Q477" s="96" t="s">
        <v>16</v>
      </c>
      <c r="R477" s="91">
        <v>8</v>
      </c>
      <c r="S477" s="95"/>
      <c r="T477" s="98">
        <v>53.846153846153847</v>
      </c>
      <c r="U477" s="99">
        <f t="shared" si="59"/>
        <v>291.38461538461542</v>
      </c>
      <c r="V477" s="100">
        <f t="shared" si="60"/>
        <v>4.8564102564102569</v>
      </c>
      <c r="W477" s="101">
        <f t="shared" si="61"/>
        <v>0.72483735170302344</v>
      </c>
      <c r="X477" s="95"/>
      <c r="Y477" s="95"/>
      <c r="Z477" s="102"/>
      <c r="AA477" s="103">
        <v>46136</v>
      </c>
      <c r="AB477" s="103">
        <v>46153</v>
      </c>
      <c r="AC477" s="103"/>
      <c r="AD477" s="104">
        <f>IF(ISNA(VLOOKUP(D477,亚马逊入库配置费!B:F,5,0)),0,VLOOKUP(D477,亚马逊入库配置费!B:F,5,0))</f>
        <v>0</v>
      </c>
      <c r="AE477" s="104">
        <f t="shared" si="62"/>
        <v>0</v>
      </c>
      <c r="AF477" s="103">
        <v>46181</v>
      </c>
      <c r="AG477" s="577">
        <f t="shared" si="58"/>
        <v>45</v>
      </c>
      <c r="AH477" s="103"/>
      <c r="AI477" s="96"/>
      <c r="AJ477" s="96"/>
      <c r="AK477" s="96"/>
      <c r="AL477" s="92"/>
      <c r="AM477" s="91"/>
      <c r="AN477" s="91"/>
      <c r="AO477" s="96"/>
      <c r="AP477" s="105"/>
      <c r="AQ477" s="105"/>
      <c r="AR477" s="105"/>
      <c r="AS477" s="105"/>
    </row>
    <row r="478" spans="1:45" ht="12" customHeight="1" x14ac:dyDescent="0.25">
      <c r="A478" s="90">
        <v>477</v>
      </c>
      <c r="B478" s="91"/>
      <c r="C478" s="91" t="s">
        <v>973</v>
      </c>
      <c r="D478" s="92" t="s">
        <v>4486</v>
      </c>
      <c r="E478" s="91" t="s">
        <v>2607</v>
      </c>
      <c r="F478" s="91" t="s">
        <v>1073</v>
      </c>
      <c r="G478" s="56" t="s">
        <v>2279</v>
      </c>
      <c r="H478" s="91">
        <v>120</v>
      </c>
      <c r="I478" s="91" t="s">
        <v>1074</v>
      </c>
      <c r="J478" s="91" t="s">
        <v>2102</v>
      </c>
      <c r="K478" s="92" t="s">
        <v>1075</v>
      </c>
      <c r="L478" s="93" t="str">
        <f>VLOOKUP(G478,'SKU 对应关系'!A:E,4,0)</f>
        <v>RD1-B</v>
      </c>
      <c r="M478" s="94" t="str">
        <f>_xlfn.IFNA(VLOOKUP(G478,'SKU 对应关系'!A:B,2,0),"")</f>
        <v>RD1-B 便携式扩香仪 黑色</v>
      </c>
      <c r="N478" s="95" t="str">
        <f>_xlfn.IFNA(VLOOKUP(G478,'SKU 对应关系'!$A:$D,3,0),"")</f>
        <v>RD1</v>
      </c>
      <c r="O478" s="96">
        <v>4</v>
      </c>
      <c r="P478" s="580">
        <v>59.384615384615387</v>
      </c>
      <c r="Q478" s="96" t="s">
        <v>16</v>
      </c>
      <c r="R478" s="91">
        <v>8</v>
      </c>
      <c r="S478" s="95"/>
      <c r="T478" s="98">
        <v>107.69230769230769</v>
      </c>
      <c r="U478" s="99">
        <f t="shared" si="59"/>
        <v>582.76923076923083</v>
      </c>
      <c r="V478" s="100">
        <f t="shared" si="60"/>
        <v>4.8564102564102569</v>
      </c>
      <c r="W478" s="101">
        <f t="shared" si="61"/>
        <v>0.72483735170302344</v>
      </c>
      <c r="X478" s="95"/>
      <c r="Y478" s="95"/>
      <c r="Z478" s="102"/>
      <c r="AA478" s="103">
        <v>46136</v>
      </c>
      <c r="AB478" s="103">
        <v>46153</v>
      </c>
      <c r="AC478" s="103"/>
      <c r="AD478" s="104">
        <f>IF(ISNA(VLOOKUP(D478,亚马逊入库配置费!B:F,5,0)),0,VLOOKUP(D478,亚马逊入库配置费!B:F,5,0))</f>
        <v>0</v>
      </c>
      <c r="AE478" s="104">
        <f t="shared" si="62"/>
        <v>0</v>
      </c>
      <c r="AF478" s="103">
        <v>46181</v>
      </c>
      <c r="AG478" s="577">
        <f t="shared" si="58"/>
        <v>45</v>
      </c>
      <c r="AH478" s="103"/>
      <c r="AI478" s="96"/>
      <c r="AJ478" s="96"/>
      <c r="AK478" s="96"/>
      <c r="AL478" s="92"/>
      <c r="AM478" s="91"/>
      <c r="AN478" s="91"/>
      <c r="AO478" s="96"/>
      <c r="AP478" s="105"/>
      <c r="AQ478" s="105"/>
      <c r="AR478" s="105"/>
      <c r="AS478" s="105"/>
    </row>
    <row r="479" spans="1:45" ht="12" customHeight="1" x14ac:dyDescent="0.25">
      <c r="A479" s="90">
        <v>478</v>
      </c>
      <c r="B479" s="91"/>
      <c r="C479" s="91" t="s">
        <v>973</v>
      </c>
      <c r="D479" s="92" t="s">
        <v>4486</v>
      </c>
      <c r="E479" s="91" t="s">
        <v>2607</v>
      </c>
      <c r="F479" s="91" t="s">
        <v>1073</v>
      </c>
      <c r="G479" s="56" t="s">
        <v>2281</v>
      </c>
      <c r="H479" s="91">
        <v>90</v>
      </c>
      <c r="I479" s="91" t="s">
        <v>1074</v>
      </c>
      <c r="J479" s="91" t="s">
        <v>2102</v>
      </c>
      <c r="K479" s="92" t="s">
        <v>1075</v>
      </c>
      <c r="L479" s="93" t="str">
        <f>VLOOKUP(G479,'SKU 对应关系'!A:E,4,0)</f>
        <v>RD1-DT</v>
      </c>
      <c r="M479" s="94" t="str">
        <f>_xlfn.IFNA(VLOOKUP(G479,'SKU 对应关系'!A:B,2,0),"")</f>
        <v>RD1-DT 便携式扩香仪 沙漠钛色</v>
      </c>
      <c r="N479" s="95" t="str">
        <f>_xlfn.IFNA(VLOOKUP(G479,'SKU 对应关系'!$A:$D,3,0),"")</f>
        <v>RD1</v>
      </c>
      <c r="O479" s="96">
        <v>3</v>
      </c>
      <c r="P479" s="580">
        <v>44.53846153846154</v>
      </c>
      <c r="Q479" s="96" t="s">
        <v>16</v>
      </c>
      <c r="R479" s="91">
        <v>8</v>
      </c>
      <c r="S479" s="95"/>
      <c r="T479" s="98">
        <v>80.769230769230774</v>
      </c>
      <c r="U479" s="99">
        <f t="shared" si="59"/>
        <v>437.07692307692309</v>
      </c>
      <c r="V479" s="100">
        <f t="shared" si="60"/>
        <v>4.8564102564102569</v>
      </c>
      <c r="W479" s="101">
        <f t="shared" si="61"/>
        <v>0.72483735170302344</v>
      </c>
      <c r="X479" s="95"/>
      <c r="Y479" s="95"/>
      <c r="Z479" s="102"/>
      <c r="AA479" s="103">
        <v>46136</v>
      </c>
      <c r="AB479" s="103">
        <v>46153</v>
      </c>
      <c r="AC479" s="103"/>
      <c r="AD479" s="104">
        <f>IF(ISNA(VLOOKUP(D479,亚马逊入库配置费!B:F,5,0)),0,VLOOKUP(D479,亚马逊入库配置费!B:F,5,0))</f>
        <v>0</v>
      </c>
      <c r="AE479" s="104">
        <f t="shared" si="62"/>
        <v>0</v>
      </c>
      <c r="AF479" s="103">
        <v>46181</v>
      </c>
      <c r="AG479" s="577">
        <f t="shared" si="58"/>
        <v>45</v>
      </c>
      <c r="AH479" s="103"/>
      <c r="AI479" s="96"/>
      <c r="AJ479" s="96"/>
      <c r="AK479" s="96"/>
      <c r="AL479" s="92"/>
      <c r="AM479" s="91"/>
      <c r="AN479" s="91"/>
      <c r="AO479" s="96"/>
      <c r="AP479" s="105"/>
      <c r="AQ479" s="105"/>
      <c r="AR479" s="105"/>
      <c r="AS479" s="105"/>
    </row>
    <row r="480" spans="1:45" ht="12" customHeight="1" x14ac:dyDescent="0.25">
      <c r="A480" s="90">
        <v>479</v>
      </c>
      <c r="B480" s="91"/>
      <c r="C480" s="91" t="s">
        <v>4487</v>
      </c>
      <c r="D480" s="92" t="s">
        <v>4488</v>
      </c>
      <c r="E480" s="91" t="s">
        <v>115</v>
      </c>
      <c r="F480" s="91" t="s">
        <v>0</v>
      </c>
      <c r="G480" s="56" t="s">
        <v>2195</v>
      </c>
      <c r="H480" s="91">
        <v>1200</v>
      </c>
      <c r="I480" s="91" t="s">
        <v>117</v>
      </c>
      <c r="J480" s="91" t="s">
        <v>8</v>
      </c>
      <c r="K480" s="92" t="s">
        <v>9</v>
      </c>
      <c r="L480" s="93" t="str">
        <f>VLOOKUP(G480,'SKU 对应关系'!A:E,4,0)</f>
        <v>ANZ-B</v>
      </c>
      <c r="M480" s="94" t="str">
        <f>_xlfn.IFNA(VLOOKUP(G480,'SKU 对应关系'!A:B,2,0),"")</f>
        <v>ANZ-B 便携式扩香仪 黑色</v>
      </c>
      <c r="N480" s="95" t="str">
        <f>_xlfn.IFNA(VLOOKUP(G480,'SKU 对应关系'!$A:$D,3,0),"")</f>
        <v>ANZ</v>
      </c>
      <c r="O480" s="96">
        <v>30</v>
      </c>
      <c r="P480" s="580">
        <v>402.85714285714289</v>
      </c>
      <c r="Q480" s="96" t="s">
        <v>16</v>
      </c>
      <c r="R480" s="91">
        <v>3.8</v>
      </c>
      <c r="S480" s="95">
        <v>200</v>
      </c>
      <c r="T480" s="98">
        <v>34.482758620689658</v>
      </c>
      <c r="U480" s="99">
        <f t="shared" si="59"/>
        <v>1565.3399014778327</v>
      </c>
      <c r="V480" s="100">
        <f t="shared" si="60"/>
        <v>1.3044499178981939</v>
      </c>
      <c r="W480" s="101">
        <f t="shared" si="61"/>
        <v>0.19469401759674534</v>
      </c>
      <c r="X480" s="95"/>
      <c r="Y480" s="95"/>
      <c r="Z480" s="102"/>
      <c r="AA480" s="103">
        <v>46138</v>
      </c>
      <c r="AB480" s="103">
        <v>46157</v>
      </c>
      <c r="AC480" s="103"/>
      <c r="AD480" s="104">
        <f>IF(ISNA(VLOOKUP(D480,亚马逊入库配置费!B:F,5,0)),0,VLOOKUP(D480,亚马逊入库配置费!B:F,5,0))</f>
        <v>0.36</v>
      </c>
      <c r="AE480" s="104">
        <f t="shared" si="62"/>
        <v>432</v>
      </c>
      <c r="AF480" s="103">
        <v>46180</v>
      </c>
      <c r="AG480" s="577">
        <f t="shared" si="58"/>
        <v>42</v>
      </c>
      <c r="AH480" s="103"/>
      <c r="AI480" s="96"/>
      <c r="AJ480" s="96"/>
      <c r="AK480" s="96"/>
      <c r="AL480" s="92"/>
      <c r="AM480" s="91"/>
      <c r="AN480" s="91"/>
      <c r="AO480" s="96"/>
      <c r="AP480" s="105"/>
      <c r="AQ480" s="105"/>
      <c r="AR480" s="105"/>
      <c r="AS480" s="105"/>
    </row>
    <row r="481" spans="1:45" ht="12" customHeight="1" x14ac:dyDescent="0.25">
      <c r="A481" s="90">
        <v>480</v>
      </c>
      <c r="B481" s="91"/>
      <c r="C481" s="91" t="s">
        <v>4487</v>
      </c>
      <c r="D481" s="92" t="s">
        <v>4488</v>
      </c>
      <c r="E481" s="91" t="s">
        <v>115</v>
      </c>
      <c r="F481" s="91" t="s">
        <v>0</v>
      </c>
      <c r="G481" s="56" t="s">
        <v>2197</v>
      </c>
      <c r="H481" s="91">
        <v>200</v>
      </c>
      <c r="I481" s="91" t="s">
        <v>117</v>
      </c>
      <c r="J481" s="91" t="s">
        <v>8</v>
      </c>
      <c r="K481" s="92" t="s">
        <v>9</v>
      </c>
      <c r="L481" s="93" t="str">
        <f>VLOOKUP(G481,'SKU 对应关系'!A:E,4,0)</f>
        <v>ANZ-WH</v>
      </c>
      <c r="M481" s="94" t="str">
        <f>_xlfn.IFNA(VLOOKUP(G481,'SKU 对应关系'!A:B,2,0),"")</f>
        <v>ANZ-WH 便携式扩香仪 白色</v>
      </c>
      <c r="N481" s="95" t="str">
        <f>_xlfn.IFNA(VLOOKUP(G481,'SKU 对应关系'!$A:$D,3,0),"")</f>
        <v>ANZ</v>
      </c>
      <c r="O481" s="96">
        <v>5</v>
      </c>
      <c r="P481" s="580">
        <v>67.142857142857139</v>
      </c>
      <c r="Q481" s="96" t="s">
        <v>16</v>
      </c>
      <c r="R481" s="91">
        <v>3.8</v>
      </c>
      <c r="S481" s="106">
        <v>200</v>
      </c>
      <c r="T481" s="98">
        <v>5.7471264367816088</v>
      </c>
      <c r="U481" s="99">
        <f t="shared" si="59"/>
        <v>260.88998357963874</v>
      </c>
      <c r="V481" s="100">
        <f t="shared" si="60"/>
        <v>1.3044499178981936</v>
      </c>
      <c r="W481" s="101">
        <f t="shared" si="61"/>
        <v>0.19469401759674532</v>
      </c>
      <c r="X481" s="95"/>
      <c r="Y481" s="95"/>
      <c r="Z481" s="102"/>
      <c r="AA481" s="103">
        <v>46138</v>
      </c>
      <c r="AB481" s="103">
        <v>46157</v>
      </c>
      <c r="AC481" s="103"/>
      <c r="AD481" s="104">
        <f>IF(ISNA(VLOOKUP(D481,亚马逊入库配置费!B:F,5,0)),0,VLOOKUP(D481,亚马逊入库配置费!B:F,5,0))</f>
        <v>0.36</v>
      </c>
      <c r="AE481" s="104">
        <f t="shared" si="62"/>
        <v>72</v>
      </c>
      <c r="AF481" s="103">
        <v>46180</v>
      </c>
      <c r="AG481" s="577">
        <f t="shared" si="58"/>
        <v>42</v>
      </c>
      <c r="AH481" s="103"/>
      <c r="AI481" s="96"/>
      <c r="AJ481" s="96"/>
      <c r="AK481" s="96"/>
      <c r="AL481" s="92"/>
      <c r="AM481" s="91"/>
      <c r="AN481" s="91"/>
      <c r="AO481" s="96"/>
      <c r="AP481" s="105"/>
      <c r="AQ481" s="105"/>
      <c r="AR481" s="105"/>
      <c r="AS481" s="105"/>
    </row>
    <row r="482" spans="1:45" ht="12" customHeight="1" x14ac:dyDescent="0.25">
      <c r="A482" s="90">
        <v>481</v>
      </c>
      <c r="B482" s="91"/>
      <c r="C482" s="91" t="s">
        <v>4489</v>
      </c>
      <c r="D482" s="92" t="s">
        <v>4490</v>
      </c>
      <c r="E482" s="91" t="s">
        <v>115</v>
      </c>
      <c r="F482" s="91" t="s">
        <v>0</v>
      </c>
      <c r="G482" s="56" t="s">
        <v>2197</v>
      </c>
      <c r="H482" s="91">
        <v>400</v>
      </c>
      <c r="I482" s="91" t="s">
        <v>89</v>
      </c>
      <c r="J482" s="91" t="s">
        <v>4</v>
      </c>
      <c r="K482" s="92" t="s">
        <v>15</v>
      </c>
      <c r="L482" s="93" t="str">
        <f>VLOOKUP(G482,'SKU 对应关系'!A:E,4,0)</f>
        <v>ANZ-WH</v>
      </c>
      <c r="M482" s="94" t="str">
        <f>_xlfn.IFNA(VLOOKUP(G482,'SKU 对应关系'!A:B,2,0),"")</f>
        <v>ANZ-WH 便携式扩香仪 白色</v>
      </c>
      <c r="N482" s="95" t="str">
        <f>_xlfn.IFNA(VLOOKUP(G482,'SKU 对应关系'!$A:$D,3,0),"")</f>
        <v>ANZ</v>
      </c>
      <c r="O482" s="96">
        <v>10</v>
      </c>
      <c r="P482" s="580">
        <v>133</v>
      </c>
      <c r="Q482" s="96" t="s">
        <v>16</v>
      </c>
      <c r="R482" s="91">
        <v>8.5</v>
      </c>
      <c r="S482" s="95">
        <v>200</v>
      </c>
      <c r="T482" s="98">
        <v>105.26315789473684</v>
      </c>
      <c r="U482" s="99">
        <f t="shared" si="59"/>
        <v>1235.7631578947369</v>
      </c>
      <c r="V482" s="100">
        <f t="shared" si="60"/>
        <v>3.0894078947368424</v>
      </c>
      <c r="W482" s="101">
        <f t="shared" si="61"/>
        <v>0.46110565593087199</v>
      </c>
      <c r="X482" s="95"/>
      <c r="Y482" s="95"/>
      <c r="Z482" s="102"/>
      <c r="AA482" s="103">
        <v>46137</v>
      </c>
      <c r="AB482" s="103">
        <v>46159</v>
      </c>
      <c r="AC482" s="103"/>
      <c r="AD482" s="104">
        <f>IF(ISNA(VLOOKUP(D482,亚马逊入库配置费!B:F,5,0)),0,VLOOKUP(D482,亚马逊入库配置费!B:F,5,0))</f>
        <v>0.36</v>
      </c>
      <c r="AE482" s="104">
        <f t="shared" si="62"/>
        <v>144</v>
      </c>
      <c r="AF482" s="103">
        <v>46167</v>
      </c>
      <c r="AG482" s="90">
        <f t="shared" si="58"/>
        <v>30</v>
      </c>
      <c r="AH482" s="103"/>
      <c r="AI482" s="96"/>
      <c r="AJ482" s="96"/>
      <c r="AK482" s="96"/>
      <c r="AL482" s="92"/>
      <c r="AM482" s="91"/>
      <c r="AN482" s="91"/>
      <c r="AO482" s="96"/>
      <c r="AP482" s="105"/>
      <c r="AQ482" s="105"/>
      <c r="AR482" s="105"/>
      <c r="AS482" s="105"/>
    </row>
    <row r="483" spans="1:45" ht="12" customHeight="1" x14ac:dyDescent="0.25">
      <c r="A483" s="90">
        <v>482</v>
      </c>
      <c r="B483" s="91"/>
      <c r="C483" s="91" t="s">
        <v>4491</v>
      </c>
      <c r="D483" s="92" t="s">
        <v>4492</v>
      </c>
      <c r="E483" s="91" t="s">
        <v>115</v>
      </c>
      <c r="F483" s="91" t="s">
        <v>0</v>
      </c>
      <c r="G483" s="56" t="s">
        <v>211</v>
      </c>
      <c r="H483" s="91">
        <v>210</v>
      </c>
      <c r="I483" s="91" t="s">
        <v>207</v>
      </c>
      <c r="J483" s="91" t="s">
        <v>8</v>
      </c>
      <c r="K483" s="92" t="s">
        <v>32</v>
      </c>
      <c r="L483" s="93" t="str">
        <f>VLOOKUP(G483,'SKU 对应关系'!A:E,4,0)</f>
        <v>ANX-B</v>
      </c>
      <c r="M483" s="94" t="str">
        <f>_xlfn.IFNA(VLOOKUP(G483,'SKU 对应关系'!A:B,2,0),"")</f>
        <v>ANX-B 便携式扩香仪 黑色</v>
      </c>
      <c r="N483" s="95" t="str">
        <f>_xlfn.IFNA(VLOOKUP(G483,'SKU 对应关系'!$A:$D,3,0),"")</f>
        <v>ANX</v>
      </c>
      <c r="O483" s="96">
        <v>7</v>
      </c>
      <c r="P483" s="580">
        <v>87.333333333333329</v>
      </c>
      <c r="Q483" s="96" t="s">
        <v>16</v>
      </c>
      <c r="R483" s="91">
        <v>4.4000000000000004</v>
      </c>
      <c r="S483" s="95">
        <v>200</v>
      </c>
      <c r="T483" s="98">
        <v>8.536585365853659</v>
      </c>
      <c r="U483" s="99">
        <f t="shared" si="59"/>
        <v>392.80325203252033</v>
      </c>
      <c r="V483" s="100">
        <f t="shared" si="60"/>
        <v>1.870491676345335</v>
      </c>
      <c r="W483" s="101">
        <f t="shared" si="61"/>
        <v>0.27917786214109475</v>
      </c>
      <c r="X483" s="95"/>
      <c r="Y483" s="95"/>
      <c r="Z483" s="102"/>
      <c r="AA483" s="103">
        <v>46137</v>
      </c>
      <c r="AB483" s="103">
        <v>46170</v>
      </c>
      <c r="AC483" s="103"/>
      <c r="AD483" s="104">
        <f>IF(ISNA(VLOOKUP(D483,亚马逊入库配置费!B:F,5,0)),0,VLOOKUP(D483,亚马逊入库配置费!B:F,5,0))</f>
        <v>0.44</v>
      </c>
      <c r="AE483" s="104">
        <f t="shared" si="62"/>
        <v>92.4</v>
      </c>
      <c r="AF483" s="103"/>
      <c r="AG483" s="577">
        <f t="shared" si="58"/>
        <v>-46137</v>
      </c>
      <c r="AH483" s="103"/>
      <c r="AI483" s="96"/>
      <c r="AJ483" s="96"/>
      <c r="AK483" s="96"/>
      <c r="AL483" s="92"/>
      <c r="AM483" s="91"/>
      <c r="AN483" s="91"/>
      <c r="AO483" s="96"/>
      <c r="AP483" s="105"/>
      <c r="AQ483" s="105"/>
      <c r="AR483" s="105"/>
      <c r="AS483" s="105"/>
    </row>
    <row r="484" spans="1:45" ht="12" customHeight="1" x14ac:dyDescent="0.25">
      <c r="A484" s="90">
        <v>483</v>
      </c>
      <c r="B484" s="91"/>
      <c r="C484" s="91" t="s">
        <v>4491</v>
      </c>
      <c r="D484" s="92" t="s">
        <v>4492</v>
      </c>
      <c r="E484" s="91" t="s">
        <v>115</v>
      </c>
      <c r="F484" s="91" t="s">
        <v>0</v>
      </c>
      <c r="G484" s="56" t="s">
        <v>606</v>
      </c>
      <c r="H484" s="91">
        <v>90</v>
      </c>
      <c r="I484" s="91" t="s">
        <v>207</v>
      </c>
      <c r="J484" s="91" t="s">
        <v>8</v>
      </c>
      <c r="K484" s="92" t="s">
        <v>32</v>
      </c>
      <c r="L484" s="93" t="str">
        <f>VLOOKUP(G484,'SKU 对应关系'!A:E,4,0)</f>
        <v>ANX-IB</v>
      </c>
      <c r="M484" s="94" t="str">
        <f>_xlfn.IFNA(VLOOKUP(G484,'SKU 对应关系'!A:B,2,0),"")</f>
        <v>ANX-IB 便携式扩香仪 冰蓝色</v>
      </c>
      <c r="N484" s="95" t="str">
        <f>_xlfn.IFNA(VLOOKUP(G484,'SKU 对应关系'!$A:$D,3,0),"")</f>
        <v>ANX</v>
      </c>
      <c r="O484" s="96">
        <v>3</v>
      </c>
      <c r="P484" s="580">
        <v>37.428571428571431</v>
      </c>
      <c r="Q484" s="96" t="s">
        <v>16</v>
      </c>
      <c r="R484" s="91">
        <v>4.4000000000000004</v>
      </c>
      <c r="S484" s="106">
        <v>200</v>
      </c>
      <c r="T484" s="98">
        <v>3.6585365853658538</v>
      </c>
      <c r="U484" s="99">
        <f t="shared" si="59"/>
        <v>168.34425087108016</v>
      </c>
      <c r="V484" s="100">
        <f t="shared" si="60"/>
        <v>1.8704916763453352</v>
      </c>
      <c r="W484" s="101">
        <f t="shared" si="61"/>
        <v>0.2791778621410948</v>
      </c>
      <c r="X484" s="95"/>
      <c r="Y484" s="95"/>
      <c r="Z484" s="102"/>
      <c r="AA484" s="103">
        <v>46137</v>
      </c>
      <c r="AB484" s="103">
        <v>46170</v>
      </c>
      <c r="AC484" s="103"/>
      <c r="AD484" s="104">
        <f>IF(ISNA(VLOOKUP(D484,亚马逊入库配置费!B:F,5,0)),0,VLOOKUP(D484,亚马逊入库配置费!B:F,5,0))</f>
        <v>0.44</v>
      </c>
      <c r="AE484" s="104">
        <f t="shared" si="62"/>
        <v>39.6</v>
      </c>
      <c r="AF484" s="103"/>
      <c r="AG484" s="577">
        <f t="shared" si="58"/>
        <v>-46137</v>
      </c>
      <c r="AH484" s="103"/>
      <c r="AI484" s="96"/>
      <c r="AJ484" s="96"/>
      <c r="AK484" s="96"/>
      <c r="AL484" s="92"/>
      <c r="AM484" s="91"/>
      <c r="AN484" s="91"/>
      <c r="AO484" s="96"/>
      <c r="AP484" s="105"/>
      <c r="AQ484" s="105"/>
      <c r="AR484" s="105"/>
      <c r="AS484" s="105"/>
    </row>
    <row r="485" spans="1:45" ht="12" customHeight="1" x14ac:dyDescent="0.25">
      <c r="A485" s="90">
        <v>484</v>
      </c>
      <c r="B485" s="91"/>
      <c r="C485" s="91" t="s">
        <v>4491</v>
      </c>
      <c r="D485" s="92" t="s">
        <v>4492</v>
      </c>
      <c r="E485" s="91" t="s">
        <v>115</v>
      </c>
      <c r="F485" s="91" t="s">
        <v>0</v>
      </c>
      <c r="G485" s="56" t="s">
        <v>608</v>
      </c>
      <c r="H485" s="91">
        <v>150</v>
      </c>
      <c r="I485" s="91" t="s">
        <v>207</v>
      </c>
      <c r="J485" s="91" t="s">
        <v>8</v>
      </c>
      <c r="K485" s="92" t="s">
        <v>32</v>
      </c>
      <c r="L485" s="93" t="str">
        <f>VLOOKUP(G485,'SKU 对应关系'!A:E,4,0)</f>
        <v>ANX-SG</v>
      </c>
      <c r="M485" s="94" t="str">
        <f>_xlfn.IFNA(VLOOKUP(G485,'SKU 对应关系'!A:B,2,0),"")</f>
        <v>ANX-SG 便携式扩香仪 太空灰色</v>
      </c>
      <c r="N485" s="95" t="str">
        <f>_xlfn.IFNA(VLOOKUP(G485,'SKU 对应关系'!$A:$D,3,0),"")</f>
        <v>ANX</v>
      </c>
      <c r="O485" s="96">
        <v>5</v>
      </c>
      <c r="P485" s="580">
        <v>62.38095238095238</v>
      </c>
      <c r="Q485" s="96" t="s">
        <v>16</v>
      </c>
      <c r="R485" s="91">
        <v>4.4000000000000004</v>
      </c>
      <c r="S485" s="95"/>
      <c r="T485" s="98">
        <v>6.0975609756097562</v>
      </c>
      <c r="U485" s="99">
        <f t="shared" si="59"/>
        <v>280.57375145180026</v>
      </c>
      <c r="V485" s="100">
        <f t="shared" si="60"/>
        <v>1.870491676345335</v>
      </c>
      <c r="W485" s="101">
        <f t="shared" si="61"/>
        <v>0.27917786214109475</v>
      </c>
      <c r="X485" s="95"/>
      <c r="Y485" s="95"/>
      <c r="Z485" s="102"/>
      <c r="AA485" s="103">
        <v>46137</v>
      </c>
      <c r="AB485" s="103">
        <v>46170</v>
      </c>
      <c r="AC485" s="103"/>
      <c r="AD485" s="104">
        <f>IF(ISNA(VLOOKUP(D485,亚马逊入库配置费!B:F,5,0)),0,VLOOKUP(D485,亚马逊入库配置费!B:F,5,0))</f>
        <v>0.44</v>
      </c>
      <c r="AE485" s="104">
        <f t="shared" si="62"/>
        <v>66</v>
      </c>
      <c r="AF485" s="103"/>
      <c r="AG485" s="577">
        <f t="shared" si="58"/>
        <v>-46137</v>
      </c>
      <c r="AH485" s="103"/>
      <c r="AI485" s="96"/>
      <c r="AJ485" s="96"/>
      <c r="AK485" s="96"/>
      <c r="AL485" s="92"/>
      <c r="AM485" s="91"/>
      <c r="AN485" s="91"/>
      <c r="AO485" s="96"/>
      <c r="AP485" s="105"/>
      <c r="AQ485" s="105"/>
      <c r="AR485" s="105"/>
      <c r="AS485" s="105"/>
    </row>
    <row r="486" spans="1:45" ht="12" customHeight="1" x14ac:dyDescent="0.25">
      <c r="A486" s="90">
        <v>485</v>
      </c>
      <c r="B486" s="91"/>
      <c r="C486" s="91" t="s">
        <v>4491</v>
      </c>
      <c r="D486" s="92" t="s">
        <v>4492</v>
      </c>
      <c r="E486" s="91" t="s">
        <v>115</v>
      </c>
      <c r="F486" s="91" t="s">
        <v>0</v>
      </c>
      <c r="G486" s="56" t="s">
        <v>213</v>
      </c>
      <c r="H486" s="91">
        <v>180</v>
      </c>
      <c r="I486" s="91" t="s">
        <v>207</v>
      </c>
      <c r="J486" s="91" t="s">
        <v>8</v>
      </c>
      <c r="K486" s="92" t="s">
        <v>32</v>
      </c>
      <c r="L486" s="93" t="str">
        <f>VLOOKUP(G486,'SKU 对应关系'!A:E,4,0)</f>
        <v>ANX-DT</v>
      </c>
      <c r="M486" s="94" t="str">
        <f>_xlfn.IFNA(VLOOKUP(G486,'SKU 对应关系'!A:B,2,0),"")</f>
        <v>ANX-DT 便携式扩香仪 沙漠钛色</v>
      </c>
      <c r="N486" s="95" t="str">
        <f>_xlfn.IFNA(VLOOKUP(G486,'SKU 对应关系'!$A:$D,3,0),"")</f>
        <v>ANX</v>
      </c>
      <c r="O486" s="96">
        <v>6</v>
      </c>
      <c r="P486" s="580">
        <v>74.857142857142861</v>
      </c>
      <c r="Q486" s="96" t="s">
        <v>16</v>
      </c>
      <c r="R486" s="91">
        <v>4.4000000000000004</v>
      </c>
      <c r="S486" s="95"/>
      <c r="T486" s="98">
        <v>7.3170731707317076</v>
      </c>
      <c r="U486" s="99">
        <f t="shared" si="59"/>
        <v>336.68850174216033</v>
      </c>
      <c r="V486" s="100">
        <f t="shared" si="60"/>
        <v>1.8704916763453352</v>
      </c>
      <c r="W486" s="101">
        <f t="shared" si="61"/>
        <v>0.2791778621410948</v>
      </c>
      <c r="X486" s="95"/>
      <c r="Y486" s="95"/>
      <c r="Z486" s="102"/>
      <c r="AA486" s="103">
        <v>46137</v>
      </c>
      <c r="AB486" s="103">
        <v>46170</v>
      </c>
      <c r="AC486" s="103"/>
      <c r="AD486" s="104">
        <f>IF(ISNA(VLOOKUP(D486,亚马逊入库配置费!B:F,5,0)),0,VLOOKUP(D486,亚马逊入库配置费!B:F,5,0))</f>
        <v>0.44</v>
      </c>
      <c r="AE486" s="104">
        <f t="shared" si="62"/>
        <v>79.2</v>
      </c>
      <c r="AF486" s="103"/>
      <c r="AG486" s="577">
        <f t="shared" si="58"/>
        <v>-46137</v>
      </c>
      <c r="AH486" s="103"/>
      <c r="AI486" s="96"/>
      <c r="AJ486" s="96"/>
      <c r="AK486" s="96"/>
      <c r="AL486" s="92"/>
      <c r="AM486" s="91"/>
      <c r="AN486" s="91"/>
      <c r="AO486" s="96"/>
      <c r="AP486" s="105"/>
      <c r="AQ486" s="105"/>
      <c r="AR486" s="105"/>
      <c r="AS486" s="105"/>
    </row>
    <row r="487" spans="1:45" ht="12" customHeight="1" x14ac:dyDescent="0.25">
      <c r="A487" s="90">
        <v>486</v>
      </c>
      <c r="B487" s="91"/>
      <c r="C487" s="91" t="s">
        <v>4487</v>
      </c>
      <c r="D487" s="92" t="s">
        <v>4493</v>
      </c>
      <c r="E487" s="91" t="s">
        <v>97</v>
      </c>
      <c r="F487" s="91" t="s">
        <v>0</v>
      </c>
      <c r="G487" s="56" t="s">
        <v>161</v>
      </c>
      <c r="H487" s="91">
        <v>288</v>
      </c>
      <c r="I487" s="91" t="s">
        <v>117</v>
      </c>
      <c r="J487" s="91" t="s">
        <v>8</v>
      </c>
      <c r="K487" s="92" t="s">
        <v>9</v>
      </c>
      <c r="L487" s="93" t="str">
        <f>VLOOKUP(G487,'SKU 对应关系'!A:E,4,0)</f>
        <v>AN6B-NZB</v>
      </c>
      <c r="M487" s="94" t="str">
        <f>_xlfn.IFNA(VLOOKUP(G487,'SKU 对应关系'!A:B,2,0),"")</f>
        <v>AN6B-NZB 便携式扩香仪套装 黑机器+黑喷嘴</v>
      </c>
      <c r="N487" s="95" t="str">
        <f>_xlfn.IFNA(VLOOKUP(G487,'SKU 对应关系'!$A:$D,3,0),"")</f>
        <v>AN6</v>
      </c>
      <c r="O487" s="96">
        <v>9</v>
      </c>
      <c r="P487" s="580">
        <v>120.85714285714286</v>
      </c>
      <c r="Q487" s="96" t="s">
        <v>16</v>
      </c>
      <c r="R487" s="91">
        <v>3.8</v>
      </c>
      <c r="S487" s="95">
        <v>200</v>
      </c>
      <c r="T487" s="98">
        <v>10.344827586206897</v>
      </c>
      <c r="U487" s="99">
        <f t="shared" si="59"/>
        <v>469.60197044334979</v>
      </c>
      <c r="V487" s="100">
        <f t="shared" si="60"/>
        <v>1.6305623973727423</v>
      </c>
      <c r="W487" s="101">
        <f t="shared" si="61"/>
        <v>0.24336752199593167</v>
      </c>
      <c r="X487" s="95"/>
      <c r="Y487" s="95"/>
      <c r="Z487" s="102"/>
      <c r="AA487" s="103">
        <v>46138</v>
      </c>
      <c r="AB487" s="103">
        <v>46157</v>
      </c>
      <c r="AC487" s="103"/>
      <c r="AD487" s="104">
        <f>IF(ISNA(VLOOKUP(D487,亚马逊入库配置费!B:F,5,0)),0,VLOOKUP(D487,亚马逊入库配置费!B:F,5,0))</f>
        <v>0.38274661508704061</v>
      </c>
      <c r="AE487" s="104">
        <f t="shared" si="62"/>
        <v>110.23102514506769</v>
      </c>
      <c r="AF487" s="103">
        <v>46179</v>
      </c>
      <c r="AG487" s="577">
        <f t="shared" si="58"/>
        <v>41</v>
      </c>
      <c r="AH487" s="103"/>
      <c r="AI487" s="96"/>
      <c r="AJ487" s="96"/>
      <c r="AK487" s="96"/>
      <c r="AL487" s="92"/>
      <c r="AM487" s="91"/>
      <c r="AN487" s="91"/>
      <c r="AO487" s="96"/>
      <c r="AP487" s="105"/>
      <c r="AQ487" s="105"/>
      <c r="AR487" s="105"/>
      <c r="AS487" s="105"/>
    </row>
    <row r="488" spans="1:45" ht="12" customHeight="1" x14ac:dyDescent="0.25">
      <c r="A488" s="90">
        <v>487</v>
      </c>
      <c r="B488" s="91"/>
      <c r="C488" s="91" t="s">
        <v>4487</v>
      </c>
      <c r="D488" s="92" t="s">
        <v>4493</v>
      </c>
      <c r="E488" s="91" t="s">
        <v>97</v>
      </c>
      <c r="F488" s="91" t="s">
        <v>0</v>
      </c>
      <c r="G488" s="56" t="s">
        <v>163</v>
      </c>
      <c r="H488" s="91">
        <v>1400</v>
      </c>
      <c r="I488" s="91" t="s">
        <v>117</v>
      </c>
      <c r="J488" s="91" t="s">
        <v>8</v>
      </c>
      <c r="K488" s="92" t="s">
        <v>9</v>
      </c>
      <c r="L488" s="93" t="str">
        <f>VLOOKUP(G488,'SKU 对应关系'!A:E,4,0)</f>
        <v>AN6-B</v>
      </c>
      <c r="M488" s="94" t="str">
        <f>_xlfn.IFNA(VLOOKUP(G488,'SKU 对应关系'!A:B,2,0),"")</f>
        <v>AN6-B 便携式扩香仪 黑色</v>
      </c>
      <c r="N488" s="95" t="str">
        <f>_xlfn.IFNA(VLOOKUP(G488,'SKU 对应关系'!$A:$D,3,0),"")</f>
        <v>AN6</v>
      </c>
      <c r="O488" s="96">
        <v>35</v>
      </c>
      <c r="P488" s="580">
        <v>470</v>
      </c>
      <c r="Q488" s="96" t="s">
        <v>16</v>
      </c>
      <c r="R488" s="91">
        <v>3.8</v>
      </c>
      <c r="S488" s="106">
        <v>200</v>
      </c>
      <c r="T488" s="98">
        <v>40.229885057471265</v>
      </c>
      <c r="U488" s="99">
        <f t="shared" si="59"/>
        <v>1826.2298850574712</v>
      </c>
      <c r="V488" s="100">
        <f t="shared" si="60"/>
        <v>1.3044499178981936</v>
      </c>
      <c r="W488" s="101">
        <f t="shared" si="61"/>
        <v>0.19469401759674532</v>
      </c>
      <c r="X488" s="95"/>
      <c r="Y488" s="95"/>
      <c r="Z488" s="102"/>
      <c r="AA488" s="103">
        <v>46138</v>
      </c>
      <c r="AB488" s="103">
        <v>46157</v>
      </c>
      <c r="AC488" s="103"/>
      <c r="AD488" s="104">
        <f>IF(ISNA(VLOOKUP(D488,亚马逊入库配置费!B:F,5,0)),0,VLOOKUP(D488,亚马逊入库配置费!B:F,5,0))</f>
        <v>0.38274661508704061</v>
      </c>
      <c r="AE488" s="104">
        <f t="shared" si="62"/>
        <v>535.84526112185688</v>
      </c>
      <c r="AF488" s="103">
        <v>46179</v>
      </c>
      <c r="AG488" s="577">
        <f t="shared" si="58"/>
        <v>41</v>
      </c>
      <c r="AH488" s="103"/>
      <c r="AI488" s="96"/>
      <c r="AJ488" s="96"/>
      <c r="AK488" s="96"/>
      <c r="AL488" s="92"/>
      <c r="AM488" s="91"/>
      <c r="AN488" s="91"/>
      <c r="AO488" s="96"/>
      <c r="AP488" s="105"/>
      <c r="AQ488" s="105"/>
      <c r="AR488" s="105"/>
      <c r="AS488" s="105"/>
    </row>
    <row r="489" spans="1:45" ht="12" customHeight="1" x14ac:dyDescent="0.25">
      <c r="A489" s="90">
        <v>488</v>
      </c>
      <c r="B489" s="91"/>
      <c r="C489" s="91" t="s">
        <v>4487</v>
      </c>
      <c r="D489" s="92" t="s">
        <v>4493</v>
      </c>
      <c r="E489" s="91" t="s">
        <v>97</v>
      </c>
      <c r="F489" s="91" t="s">
        <v>0</v>
      </c>
      <c r="G489" s="56" t="s">
        <v>786</v>
      </c>
      <c r="H489" s="91">
        <v>80</v>
      </c>
      <c r="I489" s="91" t="s">
        <v>117</v>
      </c>
      <c r="J489" s="91" t="s">
        <v>8</v>
      </c>
      <c r="K489" s="92" t="s">
        <v>9</v>
      </c>
      <c r="L489" s="93" t="str">
        <f>VLOOKUP(G489,'SKU 对应关系'!A:E,4,0)</f>
        <v>AN6-YG</v>
      </c>
      <c r="M489" s="94" t="str">
        <f>_xlfn.IFNA(VLOOKUP(G489,'SKU 对应关系'!A:B,2,0),"")</f>
        <v>AN6-YG 便携式扩香仪 乳酪色</v>
      </c>
      <c r="N489" s="95" t="str">
        <f>_xlfn.IFNA(VLOOKUP(G489,'SKU 对应关系'!$A:$D,3,0),"")</f>
        <v>AN6</v>
      </c>
      <c r="O489" s="96">
        <v>2</v>
      </c>
      <c r="P489" s="580">
        <v>26.857142857142858</v>
      </c>
      <c r="Q489" s="96" t="s">
        <v>16</v>
      </c>
      <c r="R489" s="91">
        <v>3.8</v>
      </c>
      <c r="S489" s="95"/>
      <c r="T489" s="98">
        <v>2.2988505747126435</v>
      </c>
      <c r="U489" s="99">
        <f t="shared" si="59"/>
        <v>104.3559934318555</v>
      </c>
      <c r="V489" s="100">
        <f t="shared" si="60"/>
        <v>1.3044499178981936</v>
      </c>
      <c r="W489" s="101">
        <f t="shared" si="61"/>
        <v>0.19469401759674532</v>
      </c>
      <c r="X489" s="95"/>
      <c r="Y489" s="95"/>
      <c r="Z489" s="102"/>
      <c r="AA489" s="103">
        <v>46138</v>
      </c>
      <c r="AB489" s="103">
        <v>46157</v>
      </c>
      <c r="AC489" s="103"/>
      <c r="AD489" s="104">
        <f>IF(ISNA(VLOOKUP(D489,亚马逊入库配置费!B:F,5,0)),0,VLOOKUP(D489,亚马逊入库配置费!B:F,5,0))</f>
        <v>0.38274661508704061</v>
      </c>
      <c r="AE489" s="104">
        <f t="shared" si="62"/>
        <v>30.61972920696325</v>
      </c>
      <c r="AF489" s="103">
        <v>46179</v>
      </c>
      <c r="AG489" s="577">
        <f t="shared" si="58"/>
        <v>41</v>
      </c>
      <c r="AH489" s="103"/>
      <c r="AI489" s="96"/>
      <c r="AJ489" s="96"/>
      <c r="AK489" s="96"/>
      <c r="AL489" s="92"/>
      <c r="AM489" s="91"/>
      <c r="AN489" s="91"/>
      <c r="AO489" s="96"/>
      <c r="AP489" s="105"/>
      <c r="AQ489" s="105"/>
      <c r="AR489" s="105"/>
      <c r="AS489" s="105"/>
    </row>
    <row r="490" spans="1:45" ht="12" customHeight="1" x14ac:dyDescent="0.25">
      <c r="A490" s="90">
        <v>489</v>
      </c>
      <c r="B490" s="91"/>
      <c r="C490" s="91" t="s">
        <v>4487</v>
      </c>
      <c r="D490" s="92" t="s">
        <v>4493</v>
      </c>
      <c r="E490" s="91" t="s">
        <v>97</v>
      </c>
      <c r="F490" s="91" t="s">
        <v>0</v>
      </c>
      <c r="G490" s="56" t="s">
        <v>2281</v>
      </c>
      <c r="H490" s="91">
        <v>300</v>
      </c>
      <c r="I490" s="91" t="s">
        <v>117</v>
      </c>
      <c r="J490" s="91" t="s">
        <v>8</v>
      </c>
      <c r="K490" s="92" t="s">
        <v>9</v>
      </c>
      <c r="L490" s="93" t="str">
        <f>VLOOKUP(G490,'SKU 对应关系'!A:E,4,0)</f>
        <v>RD1-DT</v>
      </c>
      <c r="M490" s="94" t="str">
        <f>_xlfn.IFNA(VLOOKUP(G490,'SKU 对应关系'!A:B,2,0),"")</f>
        <v>RD1-DT 便携式扩香仪 沙漠钛色</v>
      </c>
      <c r="N490" s="95" t="str">
        <f>_xlfn.IFNA(VLOOKUP(G490,'SKU 对应关系'!$A:$D,3,0),"")</f>
        <v>RD1</v>
      </c>
      <c r="O490" s="96">
        <v>10</v>
      </c>
      <c r="P490" s="580">
        <v>134.28571428571428</v>
      </c>
      <c r="Q490" s="96" t="s">
        <v>16</v>
      </c>
      <c r="R490" s="91">
        <v>3.8</v>
      </c>
      <c r="S490" s="95"/>
      <c r="T490" s="98">
        <v>11.494252873563218</v>
      </c>
      <c r="U490" s="99">
        <f t="shared" si="59"/>
        <v>521.77996715927748</v>
      </c>
      <c r="V490" s="100">
        <f t="shared" si="60"/>
        <v>1.7392665571975916</v>
      </c>
      <c r="W490" s="101">
        <f t="shared" si="61"/>
        <v>0.25959202346232707</v>
      </c>
      <c r="X490" s="95"/>
      <c r="Y490" s="95"/>
      <c r="Z490" s="102"/>
      <c r="AA490" s="103">
        <v>46138</v>
      </c>
      <c r="AB490" s="103">
        <v>46157</v>
      </c>
      <c r="AC490" s="103"/>
      <c r="AD490" s="104">
        <f>IF(ISNA(VLOOKUP(D490,亚马逊入库配置费!B:F,5,0)),0,VLOOKUP(D490,亚马逊入库配置费!B:F,5,0))</f>
        <v>0.38274661508704061</v>
      </c>
      <c r="AE490" s="104">
        <f t="shared" si="62"/>
        <v>114.82398452611218</v>
      </c>
      <c r="AF490" s="103">
        <v>46179</v>
      </c>
      <c r="AG490" s="577">
        <f t="shared" si="58"/>
        <v>41</v>
      </c>
      <c r="AH490" s="103"/>
      <c r="AI490" s="96"/>
      <c r="AJ490" s="96"/>
      <c r="AK490" s="96"/>
      <c r="AL490" s="92"/>
      <c r="AM490" s="91"/>
      <c r="AN490" s="91"/>
      <c r="AO490" s="96"/>
      <c r="AP490" s="105"/>
      <c r="AQ490" s="105"/>
      <c r="AR490" s="105"/>
      <c r="AS490" s="105"/>
    </row>
    <row r="491" spans="1:45" ht="12" customHeight="1" x14ac:dyDescent="0.25">
      <c r="A491" s="90">
        <v>490</v>
      </c>
      <c r="B491" s="91"/>
      <c r="C491" s="91" t="s">
        <v>4491</v>
      </c>
      <c r="D491" s="92" t="s">
        <v>4494</v>
      </c>
      <c r="E491" s="91" t="s">
        <v>97</v>
      </c>
      <c r="F491" s="91" t="s">
        <v>0</v>
      </c>
      <c r="G491" s="56" t="s">
        <v>2963</v>
      </c>
      <c r="H491" s="91">
        <v>150</v>
      </c>
      <c r="I491" s="91" t="s">
        <v>207</v>
      </c>
      <c r="J491" s="91" t="s">
        <v>8</v>
      </c>
      <c r="K491" s="92" t="s">
        <v>50</v>
      </c>
      <c r="L491" s="93" t="str">
        <f>VLOOKUP(G491,'SKU 对应关系'!A:E,4,0)</f>
        <v>AN6KIT-WH_4X10K04_TZ</v>
      </c>
      <c r="M491" s="94" t="str">
        <f>_xlfn.IFNA(VLOOKUP(G491,'SKU 对应关系'!A:B,2,0),"")</f>
        <v>AN6KIT-WH_4X10K04_TZ AN6白色机器+4x10mL酒店（天竺）香氛油 机油套装</v>
      </c>
      <c r="N491" s="95" t="str">
        <f>_xlfn.IFNA(VLOOKUP(G491,'SKU 对应关系'!$A:$D,3,0),"")</f>
        <v>AN6</v>
      </c>
      <c r="O491" s="96">
        <v>5</v>
      </c>
      <c r="P491" s="580">
        <v>84.73684210526315</v>
      </c>
      <c r="Q491" s="96" t="s">
        <v>16</v>
      </c>
      <c r="R491" s="91">
        <v>4.2</v>
      </c>
      <c r="S491" s="95">
        <v>200</v>
      </c>
      <c r="T491" s="98">
        <v>6.0975609756097562</v>
      </c>
      <c r="U491" s="99">
        <f t="shared" si="59"/>
        <v>361.99229781771504</v>
      </c>
      <c r="V491" s="100">
        <f t="shared" si="60"/>
        <v>2.4132819854514338</v>
      </c>
      <c r="W491" s="101">
        <f t="shared" si="61"/>
        <v>0.36019134111215428</v>
      </c>
      <c r="X491" s="95"/>
      <c r="Y491" s="95"/>
      <c r="Z491" s="102"/>
      <c r="AA491" s="103">
        <v>46137</v>
      </c>
      <c r="AB491" s="103">
        <v>46170</v>
      </c>
      <c r="AC491" s="103"/>
      <c r="AD491" s="104">
        <f>IF(ISNA(VLOOKUP(D491,亚马逊入库配置费!B:F,5,0)),0,VLOOKUP(D491,亚马逊入库配置费!B:F,5,0))</f>
        <v>0.518139534883721</v>
      </c>
      <c r="AE491" s="104">
        <f t="shared" si="62"/>
        <v>77.720930232558146</v>
      </c>
      <c r="AF491" s="103">
        <v>46183</v>
      </c>
      <c r="AG491" s="577">
        <f t="shared" si="58"/>
        <v>46</v>
      </c>
      <c r="AH491" s="103"/>
      <c r="AI491" s="96"/>
      <c r="AJ491" s="96"/>
      <c r="AK491" s="96"/>
      <c r="AL491" s="92"/>
      <c r="AM491" s="91"/>
      <c r="AN491" s="91"/>
      <c r="AO491" s="96"/>
      <c r="AP491" s="105"/>
      <c r="AQ491" s="105"/>
      <c r="AR491" s="105"/>
      <c r="AS491" s="105"/>
    </row>
    <row r="492" spans="1:45" ht="12" customHeight="1" x14ac:dyDescent="0.25">
      <c r="A492" s="90">
        <v>491</v>
      </c>
      <c r="B492" s="91"/>
      <c r="C492" s="91" t="s">
        <v>4491</v>
      </c>
      <c r="D492" s="92" t="s">
        <v>4494</v>
      </c>
      <c r="E492" s="91" t="s">
        <v>97</v>
      </c>
      <c r="F492" s="91" t="s">
        <v>0</v>
      </c>
      <c r="G492" s="56" t="s">
        <v>1941</v>
      </c>
      <c r="H492" s="91">
        <v>280</v>
      </c>
      <c r="I492" s="91" t="s">
        <v>207</v>
      </c>
      <c r="J492" s="91" t="s">
        <v>8</v>
      </c>
      <c r="K492" s="92" t="s">
        <v>50</v>
      </c>
      <c r="L492" s="93" t="str">
        <f>VLOOKUP(G492,'SKU 对应关系'!A:E,4,0)</f>
        <v>AN8KIT-B_B_2X30K02</v>
      </c>
      <c r="M492" s="94" t="str">
        <f>_xlfn.IFNA(VLOOKUP(G492,'SKU 对应关系'!A:B,2,0),"")</f>
        <v>AN8KIT-B_B_2X30K02 AN8黑色机器两个装+2X30mL香氛油（天竺） 机油套装</v>
      </c>
      <c r="N492" s="95" t="str">
        <f>_xlfn.IFNA(VLOOKUP(G492,'SKU 对应关系'!$A:$D,3,0),"")</f>
        <v>AN8</v>
      </c>
      <c r="O492" s="96">
        <v>14</v>
      </c>
      <c r="P492" s="580">
        <v>237.26315789473682</v>
      </c>
      <c r="Q492" s="96" t="s">
        <v>16</v>
      </c>
      <c r="R492" s="91">
        <v>4.2</v>
      </c>
      <c r="S492" s="106">
        <v>200</v>
      </c>
      <c r="T492" s="98">
        <v>17.073170731707318</v>
      </c>
      <c r="U492" s="99">
        <f t="shared" si="59"/>
        <v>1013.578433889602</v>
      </c>
      <c r="V492" s="100">
        <f t="shared" si="60"/>
        <v>3.6199229781771503</v>
      </c>
      <c r="W492" s="101">
        <f t="shared" si="61"/>
        <v>0.54028701166823134</v>
      </c>
      <c r="X492" s="95"/>
      <c r="Y492" s="95"/>
      <c r="Z492" s="102"/>
      <c r="AA492" s="103">
        <v>46137</v>
      </c>
      <c r="AB492" s="103">
        <v>46170</v>
      </c>
      <c r="AC492" s="103"/>
      <c r="AD492" s="104">
        <f>IF(ISNA(VLOOKUP(D492,亚马逊入库配置费!B:F,5,0)),0,VLOOKUP(D492,亚马逊入库配置费!B:F,5,0))</f>
        <v>0.518139534883721</v>
      </c>
      <c r="AE492" s="104">
        <f t="shared" si="62"/>
        <v>145.07906976744187</v>
      </c>
      <c r="AF492" s="103">
        <v>46183</v>
      </c>
      <c r="AG492" s="577">
        <f t="shared" si="58"/>
        <v>46</v>
      </c>
      <c r="AH492" s="103"/>
      <c r="AI492" s="96"/>
      <c r="AJ492" s="96"/>
      <c r="AK492" s="96"/>
      <c r="AL492" s="92"/>
      <c r="AM492" s="91"/>
      <c r="AN492" s="91"/>
      <c r="AO492" s="96"/>
      <c r="AP492" s="105"/>
      <c r="AQ492" s="105"/>
      <c r="AR492" s="105"/>
      <c r="AS492" s="105"/>
    </row>
    <row r="493" spans="1:45" ht="12" customHeight="1" x14ac:dyDescent="0.25">
      <c r="A493" s="90">
        <v>492</v>
      </c>
      <c r="B493" s="91"/>
      <c r="C493" s="91" t="s">
        <v>4489</v>
      </c>
      <c r="D493" s="92" t="s">
        <v>4495</v>
      </c>
      <c r="E493" s="91" t="s">
        <v>97</v>
      </c>
      <c r="F493" s="91" t="s">
        <v>0</v>
      </c>
      <c r="G493" s="56" t="s">
        <v>2888</v>
      </c>
      <c r="H493" s="91">
        <v>270</v>
      </c>
      <c r="I493" s="91" t="s">
        <v>89</v>
      </c>
      <c r="J493" s="91" t="s">
        <v>4</v>
      </c>
      <c r="K493" s="92" t="s">
        <v>9</v>
      </c>
      <c r="L493" s="93" t="str">
        <f>VLOOKUP(G493,'SKU 对应关系'!A:E,4,0)</f>
        <v>ADXKIT-B_4X10K04_TZ</v>
      </c>
      <c r="M493" s="94" t="str">
        <f>_xlfn.IFNA(VLOOKUP(G493,'SKU 对应关系'!A:B,2,0),"")</f>
        <v>ADXKIT-B_4X10K04_TZ ADX黑色机器+4x10mL酒店（天竺）香氛油 机油套装</v>
      </c>
      <c r="N493" s="95" t="str">
        <f>_xlfn.IFNA(VLOOKUP(G493,'SKU 对应关系'!$A:$D,3,0),"")</f>
        <v>ADX</v>
      </c>
      <c r="O493" s="96">
        <v>9</v>
      </c>
      <c r="P493" s="580">
        <v>155</v>
      </c>
      <c r="Q493" s="96" t="s">
        <v>16</v>
      </c>
      <c r="R493" s="91">
        <v>9</v>
      </c>
      <c r="S493" s="95"/>
      <c r="T493" s="98">
        <v>94.736842105263165</v>
      </c>
      <c r="U493" s="99">
        <f t="shared" si="59"/>
        <v>1489.7368421052631</v>
      </c>
      <c r="V493" s="100">
        <f t="shared" si="60"/>
        <v>5.5175438596491224</v>
      </c>
      <c r="W493" s="101">
        <f t="shared" si="61"/>
        <v>0.82351400890285409</v>
      </c>
      <c r="X493" s="95"/>
      <c r="Y493" s="95"/>
      <c r="Z493" s="102"/>
      <c r="AA493" s="103">
        <v>46137</v>
      </c>
      <c r="AB493" s="103">
        <v>46159</v>
      </c>
      <c r="AC493" s="103"/>
      <c r="AD493" s="104">
        <f>IF(ISNA(VLOOKUP(D493,亚马逊入库配置费!B:F,5,0)),0,VLOOKUP(D493,亚马逊入库配置费!B:F,5,0))</f>
        <v>0.44</v>
      </c>
      <c r="AE493" s="104">
        <f t="shared" si="62"/>
        <v>118.8</v>
      </c>
      <c r="AF493" s="103">
        <v>46164</v>
      </c>
      <c r="AG493" s="90">
        <f t="shared" si="58"/>
        <v>27</v>
      </c>
      <c r="AH493" s="103"/>
      <c r="AI493" s="96"/>
      <c r="AJ493" s="96"/>
      <c r="AK493" s="96"/>
      <c r="AL493" s="92"/>
      <c r="AM493" s="91"/>
      <c r="AN493" s="91"/>
      <c r="AO493" s="96"/>
      <c r="AP493" s="105"/>
      <c r="AQ493" s="105"/>
      <c r="AR493" s="105"/>
      <c r="AS493" s="105"/>
    </row>
    <row r="494" spans="1:45" ht="12" customHeight="1" x14ac:dyDescent="0.25">
      <c r="A494" s="90">
        <v>493</v>
      </c>
      <c r="B494" s="91"/>
      <c r="C494" s="91" t="s">
        <v>4496</v>
      </c>
      <c r="D494" s="92" t="s">
        <v>4497</v>
      </c>
      <c r="E494" s="91" t="s">
        <v>4202</v>
      </c>
      <c r="F494" s="91" t="s">
        <v>0</v>
      </c>
      <c r="G494" s="56" t="s">
        <v>2932</v>
      </c>
      <c r="H494" s="91">
        <v>270</v>
      </c>
      <c r="I494" s="91" t="s">
        <v>117</v>
      </c>
      <c r="J494" s="91" t="s">
        <v>8</v>
      </c>
      <c r="K494" s="92" t="s">
        <v>9</v>
      </c>
      <c r="L494" s="93" t="str">
        <f>VLOOKUP(G494,'SKU 对应关系'!A:E,4,0)</f>
        <v>RDX-B_US</v>
      </c>
      <c r="M494" s="94" t="str">
        <f>_xlfn.IFNA(VLOOKUP(G494,'SKU 对应关系'!A:B,2,0),"")</f>
        <v>RDX-B_US 智能扩香仪 黑色</v>
      </c>
      <c r="N494" s="95" t="str">
        <f>_xlfn.IFNA(VLOOKUP(G494,'SKU 对应关系'!$A:$D,3,0),"")</f>
        <v>RDX</v>
      </c>
      <c r="O494" s="96">
        <v>30</v>
      </c>
      <c r="P494" s="580">
        <v>464.40000000000003</v>
      </c>
      <c r="Q494" s="96" t="s">
        <v>16</v>
      </c>
      <c r="R494" s="91">
        <v>3.8</v>
      </c>
      <c r="S494" s="95">
        <v>200</v>
      </c>
      <c r="T494" s="98">
        <v>120</v>
      </c>
      <c r="U494" s="99">
        <f t="shared" si="59"/>
        <v>1884.72</v>
      </c>
      <c r="V494" s="100">
        <f t="shared" si="60"/>
        <v>6.9804444444444442</v>
      </c>
      <c r="W494" s="101">
        <f t="shared" si="61"/>
        <v>1.0418573797678274</v>
      </c>
      <c r="X494" s="95"/>
      <c r="Y494" s="95"/>
      <c r="Z494" s="102"/>
      <c r="AA494" s="103">
        <v>46138</v>
      </c>
      <c r="AB494" s="103">
        <v>46161</v>
      </c>
      <c r="AC494" s="103"/>
      <c r="AD494" s="104">
        <f>IF(ISNA(VLOOKUP(D494,亚马逊入库配置费!B:F,5,0)),0,VLOOKUP(D494,亚马逊入库配置费!B:F,5,0))</f>
        <v>0.7</v>
      </c>
      <c r="AE494" s="104">
        <f t="shared" si="62"/>
        <v>189</v>
      </c>
      <c r="AF494" s="103">
        <v>46170</v>
      </c>
      <c r="AG494" s="90">
        <f t="shared" si="58"/>
        <v>32</v>
      </c>
      <c r="AH494" s="103"/>
      <c r="AI494" s="96"/>
      <c r="AJ494" s="96"/>
      <c r="AK494" s="96"/>
      <c r="AL494" s="92"/>
      <c r="AM494" s="91"/>
      <c r="AN494" s="91"/>
      <c r="AO494" s="96"/>
      <c r="AP494" s="105"/>
      <c r="AQ494" s="105"/>
      <c r="AR494" s="105"/>
      <c r="AS494" s="105"/>
    </row>
    <row r="495" spans="1:45" ht="12" customHeight="1" x14ac:dyDescent="0.25">
      <c r="A495" s="90">
        <v>494</v>
      </c>
      <c r="B495" s="91"/>
      <c r="C495" s="91" t="s">
        <v>4496</v>
      </c>
      <c r="D495" s="92" t="s">
        <v>4497</v>
      </c>
      <c r="E495" s="91" t="s">
        <v>4202</v>
      </c>
      <c r="F495" s="91" t="s">
        <v>0</v>
      </c>
      <c r="G495" s="56" t="s">
        <v>3183</v>
      </c>
      <c r="H495" s="91">
        <v>180</v>
      </c>
      <c r="I495" s="91" t="s">
        <v>117</v>
      </c>
      <c r="J495" s="91" t="s">
        <v>8</v>
      </c>
      <c r="K495" s="92" t="s">
        <v>9</v>
      </c>
      <c r="L495" s="93" t="str">
        <f>VLOOKUP(G495,'SKU 对应关系'!A:E,4,0)</f>
        <v>RDX-SILV_US</v>
      </c>
      <c r="M495" s="94" t="str">
        <f>_xlfn.IFNA(VLOOKUP(G495,'SKU 对应关系'!A:B,2,0),"")</f>
        <v>RDX-SILV_US 智能扩香仪 银色</v>
      </c>
      <c r="N495" s="95" t="str">
        <f>_xlfn.IFNA(VLOOKUP(G495,'SKU 对应关系'!$A:$D,3,0),"")</f>
        <v>RDX</v>
      </c>
      <c r="O495" s="96">
        <v>20</v>
      </c>
      <c r="P495" s="580">
        <v>309.60000000000002</v>
      </c>
      <c r="Q495" s="96" t="s">
        <v>16</v>
      </c>
      <c r="R495" s="91">
        <v>3.8</v>
      </c>
      <c r="S495" s="106">
        <v>200</v>
      </c>
      <c r="T495" s="98">
        <v>80</v>
      </c>
      <c r="U495" s="99">
        <f t="shared" si="59"/>
        <v>1256.48</v>
      </c>
      <c r="V495" s="100">
        <f t="shared" si="60"/>
        <v>6.9804444444444442</v>
      </c>
      <c r="W495" s="101">
        <f t="shared" si="61"/>
        <v>1.0418573797678274</v>
      </c>
      <c r="X495" s="95"/>
      <c r="Y495" s="95"/>
      <c r="Z495" s="102"/>
      <c r="AA495" s="103">
        <v>46138</v>
      </c>
      <c r="AB495" s="103">
        <v>46161</v>
      </c>
      <c r="AC495" s="103"/>
      <c r="AD495" s="104">
        <f>IF(ISNA(VLOOKUP(D495,亚马逊入库配置费!B:F,5,0)),0,VLOOKUP(D495,亚马逊入库配置费!B:F,5,0))</f>
        <v>0.7</v>
      </c>
      <c r="AE495" s="104">
        <f t="shared" si="62"/>
        <v>125.99999999999999</v>
      </c>
      <c r="AF495" s="103">
        <v>46170</v>
      </c>
      <c r="AG495" s="90">
        <f t="shared" si="58"/>
        <v>32</v>
      </c>
      <c r="AH495" s="103"/>
      <c r="AI495" s="96"/>
      <c r="AJ495" s="96"/>
      <c r="AK495" s="96"/>
      <c r="AL495" s="92"/>
      <c r="AM495" s="91"/>
      <c r="AN495" s="91"/>
      <c r="AO495" s="96"/>
      <c r="AP495" s="105"/>
      <c r="AQ495" s="105"/>
      <c r="AR495" s="105"/>
      <c r="AS495" s="105"/>
    </row>
    <row r="496" spans="1:45" ht="12" customHeight="1" x14ac:dyDescent="0.25">
      <c r="A496" s="90">
        <v>495</v>
      </c>
      <c r="B496" s="91"/>
      <c r="C496" s="91" t="s">
        <v>4498</v>
      </c>
      <c r="D496" s="92" t="s">
        <v>4499</v>
      </c>
      <c r="E496" s="91" t="s">
        <v>4202</v>
      </c>
      <c r="F496" s="91" t="s">
        <v>0</v>
      </c>
      <c r="G496" s="56" t="s">
        <v>2938</v>
      </c>
      <c r="H496" s="91">
        <v>234</v>
      </c>
      <c r="I496" s="91" t="s">
        <v>207</v>
      </c>
      <c r="J496" s="91" t="s">
        <v>8</v>
      </c>
      <c r="K496" s="92" t="s">
        <v>10</v>
      </c>
      <c r="L496" s="93" t="str">
        <f>VLOOKUP(G496,'SKU 对应关系'!A:E,4,0)</f>
        <v>RDXKIT-B_US_2X100K04</v>
      </c>
      <c r="M496" s="94" t="str">
        <f>_xlfn.IFNA(VLOOKUP(G496,'SKU 对应关系'!A:B,2,0),"")</f>
        <v>RDXKIT-B_US_2X100K04 RDX黑色机器+2X100mL酒店香氛油（天竺） 机油套装</v>
      </c>
      <c r="N496" s="95" t="str">
        <f>_xlfn.IFNA(VLOOKUP(G496,'SKU 对应关系'!$A:$D,3,0),"")</f>
        <v>RDX</v>
      </c>
      <c r="O496" s="96">
        <v>26</v>
      </c>
      <c r="P496" s="580">
        <v>384.91304347826087</v>
      </c>
      <c r="Q496" s="96" t="s">
        <v>16</v>
      </c>
      <c r="R496" s="91">
        <v>4.9000000000000004</v>
      </c>
      <c r="S496" s="95">
        <v>200</v>
      </c>
      <c r="T496" s="98">
        <v>113.04347826086956</v>
      </c>
      <c r="U496" s="99">
        <f t="shared" si="59"/>
        <v>1999.1173913043478</v>
      </c>
      <c r="V496" s="100">
        <f t="shared" si="60"/>
        <v>8.5432367149758459</v>
      </c>
      <c r="W496" s="101">
        <f t="shared" si="61"/>
        <v>1.2751099574590814</v>
      </c>
      <c r="X496" s="95"/>
      <c r="Y496" s="95"/>
      <c r="Z496" s="102"/>
      <c r="AA496" s="103">
        <v>46137</v>
      </c>
      <c r="AB496" s="103">
        <v>46161</v>
      </c>
      <c r="AC496" s="103"/>
      <c r="AD496" s="104">
        <f>IF(ISNA(VLOOKUP(D496,亚马逊入库配置费!B:F,5,0)),0,VLOOKUP(D496,亚马逊入库配置费!B:F,5,0))</f>
        <v>0.70000000000000007</v>
      </c>
      <c r="AE496" s="104">
        <f t="shared" si="62"/>
        <v>163.80000000000001</v>
      </c>
      <c r="AF496" s="103">
        <v>46170</v>
      </c>
      <c r="AG496" s="90">
        <f t="shared" si="58"/>
        <v>33</v>
      </c>
      <c r="AH496" s="103"/>
      <c r="AI496" s="96"/>
      <c r="AJ496" s="96"/>
      <c r="AK496" s="96"/>
      <c r="AL496" s="92"/>
      <c r="AM496" s="91"/>
      <c r="AN496" s="91"/>
      <c r="AO496" s="96"/>
      <c r="AP496" s="105"/>
      <c r="AQ496" s="105"/>
      <c r="AR496" s="105"/>
      <c r="AS496" s="105"/>
    </row>
    <row r="497" spans="1:45" ht="12" customHeight="1" x14ac:dyDescent="0.25">
      <c r="A497" s="90">
        <v>496</v>
      </c>
      <c r="B497" s="91"/>
      <c r="C497" s="91" t="s">
        <v>4498</v>
      </c>
      <c r="D497" s="92" t="s">
        <v>4499</v>
      </c>
      <c r="E497" s="91" t="s">
        <v>4202</v>
      </c>
      <c r="F497" s="91" t="s">
        <v>0</v>
      </c>
      <c r="G497" s="56" t="s">
        <v>3150</v>
      </c>
      <c r="H497" s="91">
        <v>180</v>
      </c>
      <c r="I497" s="91" t="s">
        <v>207</v>
      </c>
      <c r="J497" s="91" t="s">
        <v>8</v>
      </c>
      <c r="K497" s="92" t="s">
        <v>10</v>
      </c>
      <c r="L497" s="93" t="str">
        <f>VLOOKUP(G497,'SKU 对应关系'!A:E,4,0)</f>
        <v>RDXKIT-SILV_US_2X100K04</v>
      </c>
      <c r="M497" s="94" t="str">
        <f>_xlfn.IFNA(VLOOKUP(G497,'SKU 对应关系'!A:B,2,0),"")</f>
        <v>RDXKIT-SILV_US_2X100K04 RDX银色机器+2X100mL酒店香氛油（天竺） 机油套装</v>
      </c>
      <c r="N497" s="95" t="str">
        <f>_xlfn.IFNA(VLOOKUP(G497,'SKU 对应关系'!$A:$D,3,0),"")</f>
        <v>RDX</v>
      </c>
      <c r="O497" s="96">
        <v>20</v>
      </c>
      <c r="P497" s="580">
        <v>296.08695652173913</v>
      </c>
      <c r="Q497" s="96" t="s">
        <v>16</v>
      </c>
      <c r="R497" s="91">
        <v>4.9000000000000004</v>
      </c>
      <c r="S497" s="95"/>
      <c r="T497" s="98">
        <v>86.956521739130437</v>
      </c>
      <c r="U497" s="99">
        <f t="shared" si="59"/>
        <v>1537.7826086956522</v>
      </c>
      <c r="V497" s="100">
        <f t="shared" si="60"/>
        <v>8.5432367149758459</v>
      </c>
      <c r="W497" s="101">
        <f t="shared" si="61"/>
        <v>1.2751099574590814</v>
      </c>
      <c r="X497" s="95"/>
      <c r="Y497" s="95"/>
      <c r="Z497" s="102"/>
      <c r="AA497" s="103">
        <v>46137</v>
      </c>
      <c r="AB497" s="103">
        <v>46161</v>
      </c>
      <c r="AC497" s="103"/>
      <c r="AD497" s="104">
        <f>IF(ISNA(VLOOKUP(D497,亚马逊入库配置费!B:F,5,0)),0,VLOOKUP(D497,亚马逊入库配置费!B:F,5,0))</f>
        <v>0.70000000000000007</v>
      </c>
      <c r="AE497" s="104">
        <f t="shared" si="62"/>
        <v>126.00000000000001</v>
      </c>
      <c r="AF497" s="103">
        <v>46170</v>
      </c>
      <c r="AG497" s="90">
        <f t="shared" si="58"/>
        <v>33</v>
      </c>
      <c r="AH497" s="103"/>
      <c r="AI497" s="96"/>
      <c r="AJ497" s="96"/>
      <c r="AK497" s="96"/>
      <c r="AL497" s="92"/>
      <c r="AM497" s="91"/>
      <c r="AN497" s="91"/>
      <c r="AO497" s="96"/>
      <c r="AP497" s="105"/>
      <c r="AQ497" s="105"/>
      <c r="AR497" s="105"/>
      <c r="AS497" s="105"/>
    </row>
    <row r="498" spans="1:45" ht="12" customHeight="1" x14ac:dyDescent="0.25">
      <c r="A498" s="90">
        <v>497</v>
      </c>
      <c r="B498" s="91"/>
      <c r="C498" s="91" t="s">
        <v>4500</v>
      </c>
      <c r="D498" s="92" t="s">
        <v>4501</v>
      </c>
      <c r="E498" s="91" t="s">
        <v>86</v>
      </c>
      <c r="F498" s="91" t="s">
        <v>87</v>
      </c>
      <c r="G498" s="56" t="s">
        <v>211</v>
      </c>
      <c r="H498" s="91">
        <v>120</v>
      </c>
      <c r="I498" s="91" t="s">
        <v>207</v>
      </c>
      <c r="J498" s="91" t="s">
        <v>90</v>
      </c>
      <c r="K498" s="92" t="s">
        <v>431</v>
      </c>
      <c r="L498" s="93" t="str">
        <f>VLOOKUP(G498,'SKU 对应关系'!A:E,4,0)</f>
        <v>ANX-B</v>
      </c>
      <c r="M498" s="94" t="str">
        <f>_xlfn.IFNA(VLOOKUP(G498,'SKU 对应关系'!A:B,2,0),"")</f>
        <v>ANX-B 便携式扩香仪 黑色</v>
      </c>
      <c r="N498" s="95" t="str">
        <f>_xlfn.IFNA(VLOOKUP(G498,'SKU 对应关系'!$A:$D,3,0),"")</f>
        <v>ANX</v>
      </c>
      <c r="O498" s="96">
        <v>4</v>
      </c>
      <c r="P498" s="580">
        <v>50.285714285714285</v>
      </c>
      <c r="Q498" s="96" t="s">
        <v>16</v>
      </c>
      <c r="R498" s="91">
        <v>6</v>
      </c>
      <c r="S498" s="95">
        <v>250</v>
      </c>
      <c r="T498" s="98">
        <v>142.85714285714286</v>
      </c>
      <c r="U498" s="99">
        <f t="shared" si="59"/>
        <v>444.57142857142856</v>
      </c>
      <c r="V498" s="100">
        <f t="shared" si="60"/>
        <v>3.7047619047619045</v>
      </c>
      <c r="W498" s="101">
        <f t="shared" si="61"/>
        <v>0.5529495380241648</v>
      </c>
      <c r="X498" s="95"/>
      <c r="Y498" s="95"/>
      <c r="Z498" s="102"/>
      <c r="AA498" s="103">
        <v>46137</v>
      </c>
      <c r="AB498" s="103">
        <v>46177</v>
      </c>
      <c r="AC498" s="103"/>
      <c r="AD498" s="104">
        <f>IF(ISNA(VLOOKUP(D498,亚马逊入库配置费!B:F,5,0)),0,VLOOKUP(D498,亚马逊入库配置费!B:F,5,0))</f>
        <v>0</v>
      </c>
      <c r="AE498" s="104">
        <f t="shared" si="62"/>
        <v>0</v>
      </c>
      <c r="AF498" s="103">
        <v>46184</v>
      </c>
      <c r="AG498" s="577">
        <f t="shared" si="58"/>
        <v>47</v>
      </c>
      <c r="AH498" s="103"/>
      <c r="AI498" s="96"/>
      <c r="AJ498" s="96"/>
      <c r="AK498" s="96"/>
      <c r="AL498" s="92"/>
      <c r="AM498" s="91"/>
      <c r="AN498" s="91"/>
      <c r="AO498" s="96"/>
      <c r="AP498" s="105"/>
      <c r="AQ498" s="105"/>
      <c r="AR498" s="105"/>
      <c r="AS498" s="105"/>
    </row>
    <row r="499" spans="1:45" ht="12" customHeight="1" x14ac:dyDescent="0.25">
      <c r="A499" s="90">
        <v>498</v>
      </c>
      <c r="B499" s="91"/>
      <c r="C499" s="91" t="s">
        <v>4500</v>
      </c>
      <c r="D499" s="92" t="s">
        <v>4501</v>
      </c>
      <c r="E499" s="91" t="s">
        <v>86</v>
      </c>
      <c r="F499" s="91" t="s">
        <v>87</v>
      </c>
      <c r="G499" s="56" t="s">
        <v>213</v>
      </c>
      <c r="H499" s="91">
        <v>30</v>
      </c>
      <c r="I499" s="91" t="s">
        <v>207</v>
      </c>
      <c r="J499" s="91" t="s">
        <v>90</v>
      </c>
      <c r="K499" s="92" t="s">
        <v>431</v>
      </c>
      <c r="L499" s="93" t="str">
        <f>VLOOKUP(G499,'SKU 对应关系'!A:E,4,0)</f>
        <v>ANX-DT</v>
      </c>
      <c r="M499" s="94" t="str">
        <f>_xlfn.IFNA(VLOOKUP(G499,'SKU 对应关系'!A:B,2,0),"")</f>
        <v>ANX-DT 便携式扩香仪 沙漠钛色</v>
      </c>
      <c r="N499" s="95" t="str">
        <f>_xlfn.IFNA(VLOOKUP(G499,'SKU 对应关系'!$A:$D,3,0),"")</f>
        <v>ANX</v>
      </c>
      <c r="O499" s="96">
        <v>1</v>
      </c>
      <c r="P499" s="580">
        <v>12.571428571428571</v>
      </c>
      <c r="Q499" s="96" t="s">
        <v>16</v>
      </c>
      <c r="R499" s="91">
        <v>6</v>
      </c>
      <c r="S499" s="106">
        <v>250</v>
      </c>
      <c r="T499" s="98">
        <v>35.714285714285715</v>
      </c>
      <c r="U499" s="99">
        <f t="shared" si="59"/>
        <v>111.14285714285714</v>
      </c>
      <c r="V499" s="100">
        <f t="shared" si="60"/>
        <v>3.7047619047619045</v>
      </c>
      <c r="W499" s="101">
        <f t="shared" si="61"/>
        <v>0.5529495380241648</v>
      </c>
      <c r="X499" s="95"/>
      <c r="Y499" s="95"/>
      <c r="Z499" s="102"/>
      <c r="AA499" s="103">
        <v>46137</v>
      </c>
      <c r="AB499" s="103">
        <v>46177</v>
      </c>
      <c r="AC499" s="103"/>
      <c r="AD499" s="104">
        <f>IF(ISNA(VLOOKUP(D499,亚马逊入库配置费!B:F,5,0)),0,VLOOKUP(D499,亚马逊入库配置费!B:F,5,0))</f>
        <v>0</v>
      </c>
      <c r="AE499" s="104">
        <f t="shared" si="62"/>
        <v>0</v>
      </c>
      <c r="AF499" s="103">
        <v>46184</v>
      </c>
      <c r="AG499" s="577">
        <f t="shared" si="58"/>
        <v>47</v>
      </c>
      <c r="AH499" s="103"/>
      <c r="AI499" s="96"/>
      <c r="AJ499" s="96"/>
      <c r="AK499" s="96"/>
      <c r="AL499" s="92"/>
      <c r="AM499" s="91"/>
      <c r="AN499" s="91"/>
      <c r="AO499" s="96"/>
      <c r="AP499" s="105"/>
      <c r="AQ499" s="105"/>
      <c r="AR499" s="105"/>
      <c r="AS499" s="105"/>
    </row>
    <row r="500" spans="1:45" ht="12" customHeight="1" x14ac:dyDescent="0.25">
      <c r="A500" s="90">
        <v>499</v>
      </c>
      <c r="B500" s="91"/>
      <c r="C500" s="91" t="s">
        <v>4500</v>
      </c>
      <c r="D500" s="92" t="s">
        <v>4501</v>
      </c>
      <c r="E500" s="91" t="s">
        <v>86</v>
      </c>
      <c r="F500" s="91" t="s">
        <v>87</v>
      </c>
      <c r="G500" s="56" t="s">
        <v>608</v>
      </c>
      <c r="H500" s="91">
        <v>60</v>
      </c>
      <c r="I500" s="91" t="s">
        <v>207</v>
      </c>
      <c r="J500" s="91" t="s">
        <v>90</v>
      </c>
      <c r="K500" s="92" t="s">
        <v>431</v>
      </c>
      <c r="L500" s="93" t="str">
        <f>VLOOKUP(G500,'SKU 对应关系'!A:E,4,0)</f>
        <v>ANX-SG</v>
      </c>
      <c r="M500" s="94" t="str">
        <f>_xlfn.IFNA(VLOOKUP(G500,'SKU 对应关系'!A:B,2,0),"")</f>
        <v>ANX-SG 便携式扩香仪 太空灰色</v>
      </c>
      <c r="N500" s="95" t="str">
        <f>_xlfn.IFNA(VLOOKUP(G500,'SKU 对应关系'!$A:$D,3,0),"")</f>
        <v>ANX</v>
      </c>
      <c r="O500" s="96">
        <v>2</v>
      </c>
      <c r="P500" s="580">
        <v>25.142857142857142</v>
      </c>
      <c r="Q500" s="96" t="s">
        <v>16</v>
      </c>
      <c r="R500" s="91">
        <v>6</v>
      </c>
      <c r="S500" s="95"/>
      <c r="T500" s="98">
        <v>71.428571428571431</v>
      </c>
      <c r="U500" s="99">
        <f t="shared" si="59"/>
        <v>222.28571428571428</v>
      </c>
      <c r="V500" s="100">
        <f t="shared" si="60"/>
        <v>3.7047619047619045</v>
      </c>
      <c r="W500" s="101">
        <f t="shared" si="61"/>
        <v>0.5529495380241648</v>
      </c>
      <c r="X500" s="95"/>
      <c r="Y500" s="95"/>
      <c r="Z500" s="102"/>
      <c r="AA500" s="103">
        <v>46137</v>
      </c>
      <c r="AB500" s="103">
        <v>46177</v>
      </c>
      <c r="AC500" s="103"/>
      <c r="AD500" s="104">
        <f>IF(ISNA(VLOOKUP(D500,亚马逊入库配置费!B:F,5,0)),0,VLOOKUP(D500,亚马逊入库配置费!B:F,5,0))</f>
        <v>0</v>
      </c>
      <c r="AE500" s="104">
        <f t="shared" si="62"/>
        <v>0</v>
      </c>
      <c r="AF500" s="103">
        <v>46184</v>
      </c>
      <c r="AG500" s="577">
        <f t="shared" si="58"/>
        <v>47</v>
      </c>
      <c r="AH500" s="103"/>
      <c r="AI500" s="96"/>
      <c r="AJ500" s="96"/>
      <c r="AK500" s="96"/>
      <c r="AL500" s="92"/>
      <c r="AM500" s="91"/>
      <c r="AN500" s="91"/>
      <c r="AO500" s="96"/>
      <c r="AP500" s="105"/>
      <c r="AQ500" s="105"/>
      <c r="AR500" s="105"/>
      <c r="AS500" s="105"/>
    </row>
    <row r="501" spans="1:45" ht="12" customHeight="1" x14ac:dyDescent="0.25">
      <c r="A501" s="90">
        <v>500</v>
      </c>
      <c r="B501" s="91"/>
      <c r="C501" s="91" t="s">
        <v>4487</v>
      </c>
      <c r="D501" s="92" t="s">
        <v>4502</v>
      </c>
      <c r="E501" s="91" t="s">
        <v>1037</v>
      </c>
      <c r="F501" s="91" t="s">
        <v>0</v>
      </c>
      <c r="G501" s="56" t="s">
        <v>2439</v>
      </c>
      <c r="H501" s="91">
        <v>160</v>
      </c>
      <c r="I501" s="91" t="s">
        <v>117</v>
      </c>
      <c r="J501" s="91" t="s">
        <v>8</v>
      </c>
      <c r="K501" s="92" t="s">
        <v>10</v>
      </c>
      <c r="L501" s="93" t="str">
        <f>VLOOKUP(G501,'SKU 对应关系'!A:E,4,0)</f>
        <v>G1-B</v>
      </c>
      <c r="M501" s="94" t="str">
        <f>_xlfn.IFNA(VLOOKUP(G501,'SKU 对应关系'!A:B,2,0),"")</f>
        <v>G1-B 电子球形把手锁 黑色</v>
      </c>
      <c r="N501" s="95" t="str">
        <f>_xlfn.IFNA(VLOOKUP(G501,'SKU 对应关系'!$A:$D,3,0),"")</f>
        <v>G1</v>
      </c>
      <c r="O501" s="96">
        <v>10</v>
      </c>
      <c r="P501" s="580">
        <v>145.66265060240963</v>
      </c>
      <c r="Q501" s="96" t="s">
        <v>16</v>
      </c>
      <c r="R501" s="91">
        <v>3.8</v>
      </c>
      <c r="S501" s="95">
        <v>200</v>
      </c>
      <c r="T501" s="98">
        <v>11.494252873563218</v>
      </c>
      <c r="U501" s="99">
        <f t="shared" si="59"/>
        <v>565.01232516271978</v>
      </c>
      <c r="V501" s="100">
        <f t="shared" si="60"/>
        <v>3.5313270322669985</v>
      </c>
      <c r="W501" s="101">
        <f t="shared" si="61"/>
        <v>0.5270637361592535</v>
      </c>
      <c r="X501" s="95"/>
      <c r="Y501" s="95"/>
      <c r="Z501" s="102"/>
      <c r="AA501" s="103">
        <v>46136</v>
      </c>
      <c r="AB501" s="103">
        <v>46157</v>
      </c>
      <c r="AC501" s="103"/>
      <c r="AD501" s="104">
        <f>IF(ISNA(VLOOKUP(D501,亚马逊入库配置费!B:F,5,0)),0,VLOOKUP(D501,亚马逊入库配置费!B:F,5,0))</f>
        <v>0.55999999999999994</v>
      </c>
      <c r="AE501" s="104">
        <f t="shared" si="62"/>
        <v>89.6</v>
      </c>
      <c r="AF501" s="103">
        <v>46176</v>
      </c>
      <c r="AG501" s="577">
        <f t="shared" si="58"/>
        <v>40</v>
      </c>
      <c r="AH501" s="103"/>
      <c r="AI501" s="96"/>
      <c r="AJ501" s="96"/>
      <c r="AK501" s="96"/>
      <c r="AL501" s="92"/>
      <c r="AM501" s="91"/>
      <c r="AN501" s="91"/>
      <c r="AO501" s="96"/>
      <c r="AP501" s="105"/>
      <c r="AQ501" s="105"/>
      <c r="AR501" s="105"/>
      <c r="AS501" s="105"/>
    </row>
    <row r="502" spans="1:45" ht="12" customHeight="1" x14ac:dyDescent="0.25">
      <c r="A502" s="90">
        <v>501</v>
      </c>
      <c r="B502" s="91"/>
      <c r="C502" s="91" t="s">
        <v>4487</v>
      </c>
      <c r="D502" s="92" t="s">
        <v>4502</v>
      </c>
      <c r="E502" s="91" t="s">
        <v>1037</v>
      </c>
      <c r="F502" s="91" t="s">
        <v>0</v>
      </c>
      <c r="G502" s="56" t="s">
        <v>2443</v>
      </c>
      <c r="H502" s="91">
        <v>160</v>
      </c>
      <c r="I502" s="91" t="s">
        <v>117</v>
      </c>
      <c r="J502" s="91" t="s">
        <v>8</v>
      </c>
      <c r="K502" s="92" t="s">
        <v>10</v>
      </c>
      <c r="L502" s="93" t="str">
        <f>VLOOKUP(G502,'SKU 对应关系'!A:E,4,0)</f>
        <v>G1-SILV</v>
      </c>
      <c r="M502" s="94" t="str">
        <f>_xlfn.IFNA(VLOOKUP(G502,'SKU 对应关系'!A:B,2,0),"")</f>
        <v>G1-SILV 电子球形把手锁 银色</v>
      </c>
      <c r="N502" s="95" t="str">
        <f>_xlfn.IFNA(VLOOKUP(G502,'SKU 对应关系'!$A:$D,3,0),"")</f>
        <v>G1</v>
      </c>
      <c r="O502" s="96">
        <v>10</v>
      </c>
      <c r="P502" s="580">
        <v>145.66265060240963</v>
      </c>
      <c r="Q502" s="96" t="s">
        <v>16</v>
      </c>
      <c r="R502" s="91">
        <v>3.8</v>
      </c>
      <c r="S502" s="106">
        <v>200</v>
      </c>
      <c r="T502" s="98">
        <v>11.494252873563218</v>
      </c>
      <c r="U502" s="99">
        <f t="shared" si="59"/>
        <v>565.01232516271978</v>
      </c>
      <c r="V502" s="100">
        <f t="shared" si="60"/>
        <v>3.5313270322669985</v>
      </c>
      <c r="W502" s="101">
        <f t="shared" si="61"/>
        <v>0.5270637361592535</v>
      </c>
      <c r="X502" s="95"/>
      <c r="Y502" s="95"/>
      <c r="Z502" s="102"/>
      <c r="AA502" s="103">
        <v>46136</v>
      </c>
      <c r="AB502" s="103">
        <v>46157</v>
      </c>
      <c r="AC502" s="103"/>
      <c r="AD502" s="104">
        <f>IF(ISNA(VLOOKUP(D502,亚马逊入库配置费!B:F,5,0)),0,VLOOKUP(D502,亚马逊入库配置费!B:F,5,0))</f>
        <v>0.55999999999999994</v>
      </c>
      <c r="AE502" s="104">
        <f t="shared" si="62"/>
        <v>89.6</v>
      </c>
      <c r="AF502" s="103">
        <v>46176</v>
      </c>
      <c r="AG502" s="577">
        <f t="shared" si="58"/>
        <v>40</v>
      </c>
      <c r="AH502" s="103"/>
      <c r="AI502" s="96"/>
      <c r="AJ502" s="96"/>
      <c r="AK502" s="96"/>
      <c r="AL502" s="92"/>
      <c r="AM502" s="91"/>
      <c r="AN502" s="91"/>
      <c r="AO502" s="96"/>
      <c r="AP502" s="105"/>
      <c r="AQ502" s="105"/>
      <c r="AR502" s="105"/>
      <c r="AS502" s="105"/>
    </row>
    <row r="503" spans="1:45" ht="12" customHeight="1" x14ac:dyDescent="0.25">
      <c r="A503" s="90">
        <v>502</v>
      </c>
      <c r="B503" s="91"/>
      <c r="C503" s="91" t="s">
        <v>4487</v>
      </c>
      <c r="D503" s="92" t="s">
        <v>4502</v>
      </c>
      <c r="E503" s="91" t="s">
        <v>1037</v>
      </c>
      <c r="F503" s="91" t="s">
        <v>0</v>
      </c>
      <c r="G503" s="56" t="s">
        <v>284</v>
      </c>
      <c r="H503" s="91">
        <v>448</v>
      </c>
      <c r="I503" s="91" t="s">
        <v>117</v>
      </c>
      <c r="J503" s="91" t="s">
        <v>8</v>
      </c>
      <c r="K503" s="92" t="s">
        <v>10</v>
      </c>
      <c r="L503" s="93" t="str">
        <f>VLOOKUP(G503,'SKU 对应关系'!A:E,4,0)</f>
        <v>MD1-B</v>
      </c>
      <c r="M503" s="94" t="str">
        <f>_xlfn.IFNA(VLOOKUP(G503,'SKU 对应关系'!A:B,2,0),"")</f>
        <v>MD1-B 电子球形把手锁 指纹 黑色</v>
      </c>
      <c r="N503" s="95" t="str">
        <f>_xlfn.IFNA(VLOOKUP(G503,'SKU 对应关系'!$A:$D,3,0),"")</f>
        <v>MD1</v>
      </c>
      <c r="O503" s="96">
        <v>28</v>
      </c>
      <c r="P503" s="580">
        <v>407.85542168674698</v>
      </c>
      <c r="Q503" s="96" t="s">
        <v>16</v>
      </c>
      <c r="R503" s="91">
        <v>3.8</v>
      </c>
      <c r="S503" s="95"/>
      <c r="T503" s="98">
        <v>32.183908045977013</v>
      </c>
      <c r="U503" s="99">
        <f t="shared" si="59"/>
        <v>1582.0345104556154</v>
      </c>
      <c r="V503" s="100">
        <f t="shared" si="60"/>
        <v>3.5313270322669985</v>
      </c>
      <c r="W503" s="101">
        <f t="shared" si="61"/>
        <v>0.5270637361592535</v>
      </c>
      <c r="X503" s="95"/>
      <c r="Y503" s="95"/>
      <c r="Z503" s="102"/>
      <c r="AA503" s="103">
        <v>46136</v>
      </c>
      <c r="AB503" s="103">
        <v>46157</v>
      </c>
      <c r="AC503" s="103"/>
      <c r="AD503" s="104">
        <f>IF(ISNA(VLOOKUP(D503,亚马逊入库配置费!B:F,5,0)),0,VLOOKUP(D503,亚马逊入库配置费!B:F,5,0))</f>
        <v>0.55999999999999994</v>
      </c>
      <c r="AE503" s="104">
        <f t="shared" si="62"/>
        <v>250.87999999999997</v>
      </c>
      <c r="AF503" s="103">
        <v>46176</v>
      </c>
      <c r="AG503" s="577">
        <f t="shared" si="58"/>
        <v>40</v>
      </c>
      <c r="AH503" s="103"/>
      <c r="AI503" s="96"/>
      <c r="AJ503" s="96"/>
      <c r="AK503" s="96"/>
      <c r="AL503" s="92"/>
      <c r="AM503" s="91"/>
      <c r="AN503" s="91"/>
      <c r="AO503" s="96"/>
      <c r="AP503" s="105"/>
      <c r="AQ503" s="105"/>
      <c r="AR503" s="105"/>
      <c r="AS503" s="105"/>
    </row>
    <row r="504" spans="1:45" ht="12" customHeight="1" x14ac:dyDescent="0.25">
      <c r="A504" s="90">
        <v>503</v>
      </c>
      <c r="B504" s="91"/>
      <c r="C504" s="91" t="s">
        <v>4487</v>
      </c>
      <c r="D504" s="92" t="s">
        <v>4502</v>
      </c>
      <c r="E504" s="91" t="s">
        <v>1037</v>
      </c>
      <c r="F504" s="91" t="s">
        <v>0</v>
      </c>
      <c r="G504" s="56" t="s">
        <v>663</v>
      </c>
      <c r="H504" s="91">
        <v>480</v>
      </c>
      <c r="I504" s="91" t="s">
        <v>117</v>
      </c>
      <c r="J504" s="91" t="s">
        <v>8</v>
      </c>
      <c r="K504" s="92" t="s">
        <v>10</v>
      </c>
      <c r="L504" s="93" t="str">
        <f>VLOOKUP(G504,'SKU 对应关系'!A:E,4,0)</f>
        <v>MD1-SILV</v>
      </c>
      <c r="M504" s="94" t="str">
        <f>_xlfn.IFNA(VLOOKUP(G504,'SKU 对应关系'!A:B,2,0),"")</f>
        <v>MD1-SILV 电子球形把手锁 指纹 银色</v>
      </c>
      <c r="N504" s="95" t="str">
        <f>_xlfn.IFNA(VLOOKUP(G504,'SKU 对应关系'!$A:$D,3,0),"")</f>
        <v>MD1</v>
      </c>
      <c r="O504" s="96">
        <v>30</v>
      </c>
      <c r="P504" s="580">
        <v>436.98795180722891</v>
      </c>
      <c r="Q504" s="96" t="s">
        <v>16</v>
      </c>
      <c r="R504" s="91">
        <v>3.8</v>
      </c>
      <c r="S504" s="95"/>
      <c r="T504" s="98">
        <v>34.482758620689658</v>
      </c>
      <c r="U504" s="99">
        <f t="shared" si="59"/>
        <v>1695.0369754881594</v>
      </c>
      <c r="V504" s="100">
        <f t="shared" si="60"/>
        <v>3.531327032266999</v>
      </c>
      <c r="W504" s="101">
        <f t="shared" si="61"/>
        <v>0.52706373615925362</v>
      </c>
      <c r="X504" s="95"/>
      <c r="Y504" s="95"/>
      <c r="Z504" s="102"/>
      <c r="AA504" s="103">
        <v>46136</v>
      </c>
      <c r="AB504" s="103">
        <v>46157</v>
      </c>
      <c r="AC504" s="103"/>
      <c r="AD504" s="104">
        <f>IF(ISNA(VLOOKUP(D504,亚马逊入库配置费!B:F,5,0)),0,VLOOKUP(D504,亚马逊入库配置费!B:F,5,0))</f>
        <v>0.55999999999999994</v>
      </c>
      <c r="AE504" s="104">
        <f t="shared" si="62"/>
        <v>268.79999999999995</v>
      </c>
      <c r="AF504" s="103">
        <v>46176</v>
      </c>
      <c r="AG504" s="577">
        <f t="shared" si="58"/>
        <v>40</v>
      </c>
      <c r="AH504" s="103"/>
      <c r="AI504" s="96"/>
      <c r="AJ504" s="96"/>
      <c r="AK504" s="96"/>
      <c r="AL504" s="92"/>
      <c r="AM504" s="91"/>
      <c r="AN504" s="91"/>
      <c r="AO504" s="96"/>
      <c r="AP504" s="105"/>
      <c r="AQ504" s="105"/>
      <c r="AR504" s="105"/>
      <c r="AS504" s="105"/>
    </row>
    <row r="505" spans="1:45" ht="12" customHeight="1" x14ac:dyDescent="0.25">
      <c r="A505" s="90">
        <v>504</v>
      </c>
      <c r="B505" s="91"/>
      <c r="C505" s="91" t="s">
        <v>4487</v>
      </c>
      <c r="D505" s="92" t="s">
        <v>4502</v>
      </c>
      <c r="E505" s="91" t="s">
        <v>1037</v>
      </c>
      <c r="F505" s="91" t="s">
        <v>0</v>
      </c>
      <c r="G505" s="56" t="s">
        <v>779</v>
      </c>
      <c r="H505" s="91">
        <v>80</v>
      </c>
      <c r="I505" s="91" t="s">
        <v>117</v>
      </c>
      <c r="J505" s="91" t="s">
        <v>8</v>
      </c>
      <c r="K505" s="92" t="s">
        <v>10</v>
      </c>
      <c r="L505" s="93" t="str">
        <f>VLOOKUP(G505,'SKU 对应关系'!A:E,4,0)</f>
        <v>MK1-B</v>
      </c>
      <c r="M505" s="94" t="str">
        <f>_xlfn.IFNA(VLOOKUP(G505,'SKU 对应关系'!A:B,2,0),"")</f>
        <v>MK1-B 智能球形把手锁 黑色</v>
      </c>
      <c r="N505" s="95" t="str">
        <f>_xlfn.IFNA(VLOOKUP(G505,'SKU 对应关系'!$A:$D,3,0),"")</f>
        <v>MK1</v>
      </c>
      <c r="O505" s="96">
        <v>5</v>
      </c>
      <c r="P505" s="580">
        <v>72.831325301204814</v>
      </c>
      <c r="Q505" s="96" t="s">
        <v>16</v>
      </c>
      <c r="R505" s="91">
        <v>3.8</v>
      </c>
      <c r="S505" s="95"/>
      <c r="T505" s="98">
        <v>5.7471264367816088</v>
      </c>
      <c r="U505" s="99">
        <f t="shared" si="59"/>
        <v>282.50616258135989</v>
      </c>
      <c r="V505" s="100">
        <f t="shared" si="60"/>
        <v>3.5313270322669985</v>
      </c>
      <c r="W505" s="101">
        <f t="shared" si="61"/>
        <v>0.5270637361592535</v>
      </c>
      <c r="X505" s="95"/>
      <c r="Y505" s="95"/>
      <c r="Z505" s="102"/>
      <c r="AA505" s="103">
        <v>46136</v>
      </c>
      <c r="AB505" s="103">
        <v>46157</v>
      </c>
      <c r="AC505" s="103"/>
      <c r="AD505" s="104">
        <f>IF(ISNA(VLOOKUP(D505,亚马逊入库配置费!B:F,5,0)),0,VLOOKUP(D505,亚马逊入库配置费!B:F,5,0))</f>
        <v>0.55999999999999994</v>
      </c>
      <c r="AE505" s="104">
        <f t="shared" si="62"/>
        <v>44.8</v>
      </c>
      <c r="AF505" s="103">
        <v>46176</v>
      </c>
      <c r="AG505" s="577">
        <f t="shared" si="58"/>
        <v>40</v>
      </c>
      <c r="AH505" s="103"/>
      <c r="AI505" s="96"/>
      <c r="AJ505" s="96"/>
      <c r="AK505" s="96"/>
      <c r="AL505" s="92"/>
      <c r="AM505" s="91"/>
      <c r="AN505" s="91"/>
      <c r="AO505" s="96"/>
      <c r="AP505" s="105"/>
      <c r="AQ505" s="105"/>
      <c r="AR505" s="105"/>
      <c r="AS505" s="105"/>
    </row>
    <row r="506" spans="1:45" ht="12" customHeight="1" x14ac:dyDescent="0.25">
      <c r="A506" s="90">
        <v>505</v>
      </c>
      <c r="B506" s="91"/>
      <c r="C506" s="91" t="s">
        <v>4491</v>
      </c>
      <c r="D506" s="92" t="s">
        <v>4503</v>
      </c>
      <c r="E506" s="91" t="s">
        <v>97</v>
      </c>
      <c r="F506" s="91" t="s">
        <v>0</v>
      </c>
      <c r="G506" s="56" t="s">
        <v>2357</v>
      </c>
      <c r="H506" s="91">
        <v>480</v>
      </c>
      <c r="I506" s="91" t="s">
        <v>207</v>
      </c>
      <c r="J506" s="91" t="s">
        <v>8</v>
      </c>
      <c r="K506" s="92" t="s">
        <v>50</v>
      </c>
      <c r="L506" s="93" t="str">
        <f>VLOOKUP(G506,'SKU 对应关系'!A:E,4,0)</f>
        <v>ANAKIT-WH_US_2X100K03</v>
      </c>
      <c r="M506" s="94" t="str">
        <f>_xlfn.IFNA(VLOOKUP(G506,'SKU 对应关系'!A:B,2,0),"")</f>
        <v>ANAKIT-WH_US_2X100K03 ANA白色机器+2X100mL酒店香氛油（天竺） 机油套装</v>
      </c>
      <c r="N506" s="95" t="str">
        <f>_xlfn.IFNA(VLOOKUP(G506,'SKU 对应关系'!$A:$D,3,0),"")</f>
        <v>ANA</v>
      </c>
      <c r="O506" s="96">
        <v>40</v>
      </c>
      <c r="P506" s="580">
        <v>676.12815533980574</v>
      </c>
      <c r="Q506" s="96" t="s">
        <v>16</v>
      </c>
      <c r="R506" s="91">
        <v>4.2</v>
      </c>
      <c r="S506" s="95">
        <v>200</v>
      </c>
      <c r="T506" s="98">
        <v>48.780487804878049</v>
      </c>
      <c r="U506" s="99">
        <f t="shared" si="59"/>
        <v>2888.5187402320626</v>
      </c>
      <c r="V506" s="100">
        <f t="shared" si="60"/>
        <v>6.0177473754834638</v>
      </c>
      <c r="W506" s="101">
        <f t="shared" si="61"/>
        <v>0.89817125007215881</v>
      </c>
      <c r="X506" s="95"/>
      <c r="Y506" s="95"/>
      <c r="Z506" s="102"/>
      <c r="AA506" s="103">
        <v>46136</v>
      </c>
      <c r="AB506" s="103">
        <v>46170</v>
      </c>
      <c r="AC506" s="103"/>
      <c r="AD506" s="104">
        <f>IF(ISNA(VLOOKUP(D506,亚马逊入库配置费!B:F,5,0)),0,VLOOKUP(D506,亚马逊入库配置费!B:F,5,0))</f>
        <v>0.55999999999999994</v>
      </c>
      <c r="AE506" s="104">
        <f t="shared" si="62"/>
        <v>268.79999999999995</v>
      </c>
      <c r="AF506" s="103">
        <v>46183</v>
      </c>
      <c r="AG506" s="577">
        <f t="shared" si="58"/>
        <v>47</v>
      </c>
      <c r="AH506" s="103"/>
      <c r="AI506" s="96"/>
      <c r="AJ506" s="96"/>
      <c r="AK506" s="96"/>
      <c r="AL506" s="92"/>
      <c r="AM506" s="91"/>
      <c r="AN506" s="91"/>
      <c r="AO506" s="96"/>
      <c r="AP506" s="105"/>
      <c r="AQ506" s="105"/>
      <c r="AR506" s="105"/>
      <c r="AS506" s="105"/>
    </row>
    <row r="507" spans="1:45" ht="12" customHeight="1" x14ac:dyDescent="0.25">
      <c r="A507" s="90">
        <v>506</v>
      </c>
      <c r="B507" s="91"/>
      <c r="C507" s="91" t="s">
        <v>4491</v>
      </c>
      <c r="D507" s="92" t="s">
        <v>4503</v>
      </c>
      <c r="E507" s="91" t="s">
        <v>97</v>
      </c>
      <c r="F507" s="91" t="s">
        <v>0</v>
      </c>
      <c r="G507" s="56" t="s">
        <v>2179</v>
      </c>
      <c r="H507" s="91">
        <v>756</v>
      </c>
      <c r="I507" s="91" t="s">
        <v>207</v>
      </c>
      <c r="J507" s="91" t="s">
        <v>8</v>
      </c>
      <c r="K507" s="92" t="s">
        <v>50</v>
      </c>
      <c r="L507" s="93" t="str">
        <f>VLOOKUP(G507,'SKU 对应关系'!A:E,4,0)</f>
        <v>ANWKIT-WH_US_2X100K03</v>
      </c>
      <c r="M507" s="94" t="str">
        <f>_xlfn.IFNA(VLOOKUP(G507,'SKU 对应关系'!A:B,2,0),"")</f>
        <v>ANWKIT-WH_US_2X100K03 ANW白色机器+2X100mL酒店香氛油（天竺） 机油套装</v>
      </c>
      <c r="N507" s="95" t="str">
        <f>_xlfn.IFNA(VLOOKUP(G507,'SKU 对应关系'!$A:$D,3,0),"")</f>
        <v>ANW</v>
      </c>
      <c r="O507" s="96">
        <v>63</v>
      </c>
      <c r="P507" s="580">
        <v>1064.9018446601942</v>
      </c>
      <c r="Q507" s="96" t="s">
        <v>16</v>
      </c>
      <c r="R507" s="91">
        <v>4.2</v>
      </c>
      <c r="S507" s="106">
        <v>200</v>
      </c>
      <c r="T507" s="98">
        <v>76.829268292682926</v>
      </c>
      <c r="U507" s="99">
        <f t="shared" si="59"/>
        <v>4549.4170158654988</v>
      </c>
      <c r="V507" s="100">
        <f t="shared" si="60"/>
        <v>6.0177473754834638</v>
      </c>
      <c r="W507" s="101">
        <f t="shared" si="61"/>
        <v>0.89817125007215881</v>
      </c>
      <c r="X507" s="95"/>
      <c r="Y507" s="95"/>
      <c r="Z507" s="102"/>
      <c r="AA507" s="103">
        <v>46136</v>
      </c>
      <c r="AB507" s="103">
        <v>46170</v>
      </c>
      <c r="AC507" s="103"/>
      <c r="AD507" s="104">
        <f>IF(ISNA(VLOOKUP(D507,亚马逊入库配置费!B:F,5,0)),0,VLOOKUP(D507,亚马逊入库配置费!B:F,5,0))</f>
        <v>0.55999999999999994</v>
      </c>
      <c r="AE507" s="104">
        <f t="shared" si="62"/>
        <v>423.35999999999996</v>
      </c>
      <c r="AF507" s="103">
        <v>46183</v>
      </c>
      <c r="AG507" s="577">
        <f t="shared" si="58"/>
        <v>47</v>
      </c>
      <c r="AH507" s="103"/>
      <c r="AI507" s="96"/>
      <c r="AJ507" s="96"/>
      <c r="AK507" s="96"/>
      <c r="AL507" s="92"/>
      <c r="AM507" s="91"/>
      <c r="AN507" s="91"/>
      <c r="AO507" s="96"/>
      <c r="AP507" s="105"/>
      <c r="AQ507" s="105"/>
      <c r="AR507" s="105"/>
      <c r="AS507" s="105"/>
    </row>
    <row r="508" spans="1:45" ht="12" customHeight="1" x14ac:dyDescent="0.25">
      <c r="A508" s="90">
        <v>507</v>
      </c>
      <c r="B508" s="91"/>
      <c r="C508" s="91" t="s">
        <v>4491</v>
      </c>
      <c r="D508" s="92" t="s">
        <v>4504</v>
      </c>
      <c r="E508" s="91" t="s">
        <v>97</v>
      </c>
      <c r="F508" s="91" t="s">
        <v>0</v>
      </c>
      <c r="G508" s="56" t="s">
        <v>93</v>
      </c>
      <c r="H508" s="91">
        <v>252</v>
      </c>
      <c r="I508" s="91" t="s">
        <v>207</v>
      </c>
      <c r="J508" s="91" t="s">
        <v>8</v>
      </c>
      <c r="K508" s="92" t="s">
        <v>50</v>
      </c>
      <c r="L508" s="93" t="str">
        <f>VLOOKUP(G508,'SKU 对应关系'!A:E,4,0)</f>
        <v>ANW-W</v>
      </c>
      <c r="M508" s="94" t="str">
        <f>_xlfn.IFNA(VLOOKUP(G508,'SKU 对应关系'!A:B,2,0),"")</f>
        <v>ANW-W 智能扩香仪 白色</v>
      </c>
      <c r="N508" s="95" t="str">
        <f>_xlfn.IFNA(VLOOKUP(G508,'SKU 对应关系'!$A:$D,3,0),"")</f>
        <v>ANW</v>
      </c>
      <c r="O508" s="96">
        <v>21</v>
      </c>
      <c r="P508" s="580">
        <v>354.97</v>
      </c>
      <c r="Q508" s="96" t="s">
        <v>16</v>
      </c>
      <c r="R508" s="91">
        <v>4.2</v>
      </c>
      <c r="S508" s="95"/>
      <c r="T508" s="98">
        <v>25.609756097560975</v>
      </c>
      <c r="U508" s="99">
        <f t="shared" si="59"/>
        <v>1516.4837560975611</v>
      </c>
      <c r="V508" s="100">
        <f t="shared" si="60"/>
        <v>6.0177926829268298</v>
      </c>
      <c r="W508" s="101">
        <f t="shared" si="61"/>
        <v>0.89817801237713879</v>
      </c>
      <c r="X508" s="95"/>
      <c r="Y508" s="95"/>
      <c r="Z508" s="102"/>
      <c r="AA508" s="103">
        <v>46136</v>
      </c>
      <c r="AB508" s="103">
        <v>46170</v>
      </c>
      <c r="AC508" s="103"/>
      <c r="AD508" s="104">
        <f>IF(ISNA(VLOOKUP(D508,亚马逊入库配置费!B:F,5,0)),0,VLOOKUP(D508,亚马逊入库配置费!B:F,5,0))</f>
        <v>0.68857142857142861</v>
      </c>
      <c r="AE508" s="104">
        <f t="shared" si="62"/>
        <v>173.52</v>
      </c>
      <c r="AF508" s="103">
        <v>46183</v>
      </c>
      <c r="AG508" s="577">
        <f t="shared" si="58"/>
        <v>47</v>
      </c>
      <c r="AH508" s="103"/>
      <c r="AI508" s="96"/>
      <c r="AJ508" s="96"/>
      <c r="AK508" s="96"/>
      <c r="AL508" s="92"/>
      <c r="AM508" s="91"/>
      <c r="AN508" s="91"/>
      <c r="AO508" s="96"/>
      <c r="AP508" s="105"/>
      <c r="AQ508" s="105"/>
      <c r="AR508" s="105"/>
      <c r="AS508" s="105"/>
    </row>
    <row r="509" spans="1:45" ht="12" customHeight="1" x14ac:dyDescent="0.25">
      <c r="A509" s="90">
        <v>508</v>
      </c>
      <c r="B509" s="91"/>
      <c r="C509" s="91" t="s">
        <v>4505</v>
      </c>
      <c r="D509" s="92" t="s">
        <v>4506</v>
      </c>
      <c r="E509" s="91" t="s">
        <v>1971</v>
      </c>
      <c r="F509" s="91" t="s">
        <v>87</v>
      </c>
      <c r="G509" s="56" t="s">
        <v>298</v>
      </c>
      <c r="H509" s="91">
        <v>192</v>
      </c>
      <c r="I509" s="91" t="s">
        <v>117</v>
      </c>
      <c r="J509" s="91" t="s">
        <v>90</v>
      </c>
      <c r="K509" s="92" t="s">
        <v>91</v>
      </c>
      <c r="L509" s="93" t="str">
        <f>VLOOKUP(G509,'SKU 对应关系'!A:E,4,0)</f>
        <v>H2-B</v>
      </c>
      <c r="M509" s="94" t="str">
        <f>_xlfn.IFNA(VLOOKUP(G509,'SKU 对应关系'!A:B,2,0),"")</f>
        <v>H2-B 电子指纹球形把手锁-黑色</v>
      </c>
      <c r="N509" s="95" t="str">
        <f>_xlfn.IFNA(VLOOKUP(G509,'SKU 对应关系'!$A:$D,3,0),"")</f>
        <v>H2</v>
      </c>
      <c r="O509" s="96">
        <v>16</v>
      </c>
      <c r="P509" s="580">
        <v>221.47368421052633</v>
      </c>
      <c r="Q509" s="96" t="s">
        <v>16</v>
      </c>
      <c r="R509" s="91">
        <v>5.3</v>
      </c>
      <c r="S509" s="95">
        <v>350</v>
      </c>
      <c r="T509" s="98">
        <v>147.36842105263159</v>
      </c>
      <c r="U509" s="99">
        <f t="shared" si="59"/>
        <v>1321.1789473684212</v>
      </c>
      <c r="V509" s="100">
        <f t="shared" si="60"/>
        <v>6.8811403508771933</v>
      </c>
      <c r="W509" s="101">
        <f t="shared" si="61"/>
        <v>1.0270358732652527</v>
      </c>
      <c r="X509" s="95"/>
      <c r="Y509" s="95"/>
      <c r="Z509" s="102"/>
      <c r="AA509" s="103">
        <v>46136</v>
      </c>
      <c r="AB509" s="103">
        <v>46161</v>
      </c>
      <c r="AC509" s="103"/>
      <c r="AD509" s="104">
        <f>IF(ISNA(VLOOKUP(D509,亚马逊入库配置费!B:F,5,0)),0,VLOOKUP(D509,亚马逊入库配置费!B:F,5,0))</f>
        <v>0</v>
      </c>
      <c r="AE509" s="104">
        <f t="shared" si="62"/>
        <v>0</v>
      </c>
      <c r="AF509" s="103">
        <v>46180</v>
      </c>
      <c r="AG509" s="577">
        <f t="shared" si="58"/>
        <v>44</v>
      </c>
      <c r="AH509" s="103"/>
      <c r="AI509" s="96"/>
      <c r="AJ509" s="96"/>
      <c r="AK509" s="96"/>
      <c r="AL509" s="92"/>
      <c r="AM509" s="91"/>
      <c r="AN509" s="91"/>
      <c r="AO509" s="96"/>
      <c r="AP509" s="105"/>
      <c r="AQ509" s="105"/>
      <c r="AR509" s="105"/>
      <c r="AS509" s="105"/>
    </row>
    <row r="510" spans="1:45" ht="12" customHeight="1" x14ac:dyDescent="0.25">
      <c r="A510" s="90">
        <v>509</v>
      </c>
      <c r="B510" s="91"/>
      <c r="C510" s="91" t="s">
        <v>4505</v>
      </c>
      <c r="D510" s="92" t="s">
        <v>4506</v>
      </c>
      <c r="E510" s="91" t="s">
        <v>1971</v>
      </c>
      <c r="F510" s="91" t="s">
        <v>87</v>
      </c>
      <c r="G510" s="56" t="s">
        <v>671</v>
      </c>
      <c r="H510" s="91">
        <v>84</v>
      </c>
      <c r="I510" s="91" t="s">
        <v>117</v>
      </c>
      <c r="J510" s="91" t="s">
        <v>90</v>
      </c>
      <c r="K510" s="92" t="s">
        <v>91</v>
      </c>
      <c r="L510" s="93" t="str">
        <f>VLOOKUP(G510,'SKU 对应关系'!A:E,4,0)</f>
        <v>H2-G</v>
      </c>
      <c r="M510" s="94" t="str">
        <f>_xlfn.IFNA(VLOOKUP(G510,'SKU 对应关系'!A:B,2,0),"")</f>
        <v>H2-G 电子指纹球形把手锁-灰色</v>
      </c>
      <c r="N510" s="95" t="str">
        <f>_xlfn.IFNA(VLOOKUP(G510,'SKU 对应关系'!$A:$D,3,0),"")</f>
        <v>H2</v>
      </c>
      <c r="O510" s="96">
        <v>7</v>
      </c>
      <c r="P510" s="580">
        <v>96.894736842105274</v>
      </c>
      <c r="Q510" s="96" t="s">
        <v>16</v>
      </c>
      <c r="R510" s="91">
        <v>5.3</v>
      </c>
      <c r="S510" s="106">
        <v>350</v>
      </c>
      <c r="T510" s="98">
        <v>64.473684210526315</v>
      </c>
      <c r="U510" s="99">
        <f t="shared" si="59"/>
        <v>578.01578947368432</v>
      </c>
      <c r="V510" s="100">
        <f t="shared" si="60"/>
        <v>6.8811403508771942</v>
      </c>
      <c r="W510" s="101">
        <f t="shared" si="61"/>
        <v>1.0270358732652529</v>
      </c>
      <c r="X510" s="95"/>
      <c r="Y510" s="95"/>
      <c r="Z510" s="102"/>
      <c r="AA510" s="103">
        <v>46136</v>
      </c>
      <c r="AB510" s="103">
        <v>46161</v>
      </c>
      <c r="AC510" s="103"/>
      <c r="AD510" s="104">
        <f>IF(ISNA(VLOOKUP(D510,亚马逊入库配置费!B:F,5,0)),0,VLOOKUP(D510,亚马逊入库配置费!B:F,5,0))</f>
        <v>0</v>
      </c>
      <c r="AE510" s="104">
        <f t="shared" si="62"/>
        <v>0</v>
      </c>
      <c r="AF510" s="103">
        <v>46180</v>
      </c>
      <c r="AG510" s="577">
        <f t="shared" si="58"/>
        <v>44</v>
      </c>
      <c r="AH510" s="103"/>
      <c r="AI510" s="96"/>
      <c r="AJ510" s="96"/>
      <c r="AK510" s="96"/>
      <c r="AL510" s="92"/>
      <c r="AM510" s="91"/>
      <c r="AN510" s="91"/>
      <c r="AO510" s="96"/>
      <c r="AP510" s="105"/>
      <c r="AQ510" s="105"/>
      <c r="AR510" s="105"/>
      <c r="AS510" s="105"/>
    </row>
    <row r="511" spans="1:45" ht="12" customHeight="1" x14ac:dyDescent="0.25">
      <c r="A511" s="90">
        <v>510</v>
      </c>
      <c r="B511" s="91"/>
      <c r="C511" s="91" t="s">
        <v>4505</v>
      </c>
      <c r="D511" s="92" t="s">
        <v>4506</v>
      </c>
      <c r="E511" s="91" t="s">
        <v>1971</v>
      </c>
      <c r="F511" s="91" t="s">
        <v>87</v>
      </c>
      <c r="G511" s="56" t="s">
        <v>300</v>
      </c>
      <c r="H511" s="91">
        <v>180</v>
      </c>
      <c r="I511" s="91" t="s">
        <v>117</v>
      </c>
      <c r="J511" s="91" t="s">
        <v>90</v>
      </c>
      <c r="K511" s="92" t="s">
        <v>91</v>
      </c>
      <c r="L511" s="93" t="str">
        <f>VLOOKUP(G511,'SKU 对应关系'!A:E,4,0)</f>
        <v>K1-B</v>
      </c>
      <c r="M511" s="94" t="str">
        <f>_xlfn.IFNA(VLOOKUP(G511,'SKU 对应关系'!A:B,2,0),"")</f>
        <v>K1-B 电子球形把手锁-黑色</v>
      </c>
      <c r="N511" s="95" t="str">
        <f>_xlfn.IFNA(VLOOKUP(G511,'SKU 对应关系'!$A:$D,3,0),"")</f>
        <v>K1</v>
      </c>
      <c r="O511" s="96">
        <v>15</v>
      </c>
      <c r="P511" s="580">
        <v>207.63157894736844</v>
      </c>
      <c r="Q511" s="96" t="s">
        <v>16</v>
      </c>
      <c r="R511" s="91">
        <v>5.3</v>
      </c>
      <c r="S511" s="95"/>
      <c r="T511" s="98">
        <v>138.15789473684211</v>
      </c>
      <c r="U511" s="99">
        <f t="shared" si="59"/>
        <v>1238.6052631578948</v>
      </c>
      <c r="V511" s="100">
        <f t="shared" si="60"/>
        <v>6.8811403508771933</v>
      </c>
      <c r="W511" s="101">
        <f t="shared" si="61"/>
        <v>1.0270358732652527</v>
      </c>
      <c r="X511" s="95"/>
      <c r="Y511" s="95"/>
      <c r="Z511" s="102"/>
      <c r="AA511" s="103">
        <v>46136</v>
      </c>
      <c r="AB511" s="103">
        <v>46161</v>
      </c>
      <c r="AC511" s="103"/>
      <c r="AD511" s="104">
        <f>IF(ISNA(VLOOKUP(D511,亚马逊入库配置费!B:F,5,0)),0,VLOOKUP(D511,亚马逊入库配置费!B:F,5,0))</f>
        <v>0</v>
      </c>
      <c r="AE511" s="104">
        <f t="shared" si="62"/>
        <v>0</v>
      </c>
      <c r="AF511" s="103">
        <v>46180</v>
      </c>
      <c r="AG511" s="577">
        <f t="shared" si="58"/>
        <v>44</v>
      </c>
      <c r="AH511" s="103"/>
      <c r="AI511" s="96"/>
      <c r="AJ511" s="96"/>
      <c r="AK511" s="96"/>
      <c r="AL511" s="92"/>
      <c r="AM511" s="91"/>
      <c r="AN511" s="91"/>
      <c r="AO511" s="96"/>
      <c r="AP511" s="105"/>
      <c r="AQ511" s="105"/>
      <c r="AR511" s="105"/>
      <c r="AS511" s="105"/>
    </row>
    <row r="512" spans="1:45" ht="12" customHeight="1" x14ac:dyDescent="0.25">
      <c r="A512" s="90">
        <v>511</v>
      </c>
      <c r="B512" s="91"/>
      <c r="C512" s="91" t="s">
        <v>4507</v>
      </c>
      <c r="D512" s="92" t="s">
        <v>4508</v>
      </c>
      <c r="E512" s="91" t="s">
        <v>4202</v>
      </c>
      <c r="F512" s="91" t="s">
        <v>0</v>
      </c>
      <c r="G512" s="56" t="s">
        <v>4124</v>
      </c>
      <c r="H512" s="91">
        <v>300</v>
      </c>
      <c r="I512" s="91" t="s">
        <v>207</v>
      </c>
      <c r="J512" s="91" t="s">
        <v>8</v>
      </c>
      <c r="K512" s="92" t="s">
        <v>50</v>
      </c>
      <c r="L512" s="93" t="str">
        <f>VLOOKUP(G512,'SKU 对应关系'!A:E,4,0)</f>
        <v>RD2-B</v>
      </c>
      <c r="M512" s="94" t="str">
        <f>_xlfn.IFNA(VLOOKUP(G512,'SKU 对应关系'!A:B,2,0),"")</f>
        <v>RD2-B 便携式扩香仪 黑色</v>
      </c>
      <c r="N512" s="95" t="str">
        <f>_xlfn.IFNA(VLOOKUP(G512,'SKU 对应关系'!$A:$D,3,0),"")</f>
        <v>RD2</v>
      </c>
      <c r="O512" s="96">
        <v>10</v>
      </c>
      <c r="P512" s="580">
        <v>157</v>
      </c>
      <c r="Q512" s="96" t="s">
        <v>16</v>
      </c>
      <c r="R512" s="91">
        <v>4.2</v>
      </c>
      <c r="S512" s="95">
        <v>200</v>
      </c>
      <c r="T512" s="98">
        <v>200</v>
      </c>
      <c r="U512" s="99">
        <f t="shared" si="59"/>
        <v>859.4</v>
      </c>
      <c r="V512" s="100">
        <f t="shared" si="60"/>
        <v>2.8646666666666665</v>
      </c>
      <c r="W512" s="101">
        <f t="shared" si="61"/>
        <v>0.42756218905472632</v>
      </c>
      <c r="X512" s="95"/>
      <c r="Y512" s="95"/>
      <c r="Z512" s="102"/>
      <c r="AA512" s="103">
        <v>46137</v>
      </c>
      <c r="AB512" s="103">
        <v>46170</v>
      </c>
      <c r="AC512" s="103"/>
      <c r="AD512" s="104">
        <f>IF(ISNA(VLOOKUP(D512,亚马逊入库配置费!B:F,5,0)),0,VLOOKUP(D512,亚马逊入库配置费!B:F,5,0))</f>
        <v>0.44</v>
      </c>
      <c r="AE512" s="104">
        <f t="shared" si="62"/>
        <v>132</v>
      </c>
      <c r="AF512" s="103">
        <v>46178</v>
      </c>
      <c r="AG512" s="577">
        <f t="shared" si="58"/>
        <v>41</v>
      </c>
      <c r="AH512" s="103"/>
      <c r="AI512" s="96"/>
      <c r="AJ512" s="96"/>
      <c r="AK512" s="96"/>
      <c r="AL512" s="92"/>
      <c r="AM512" s="91"/>
      <c r="AN512" s="91"/>
      <c r="AO512" s="96"/>
      <c r="AP512" s="105"/>
      <c r="AQ512" s="105"/>
      <c r="AR512" s="105"/>
      <c r="AS512" s="105"/>
    </row>
    <row r="513" spans="1:45" ht="12" customHeight="1" x14ac:dyDescent="0.25">
      <c r="A513" s="90">
        <v>512</v>
      </c>
      <c r="B513" s="91"/>
      <c r="C513" s="91" t="s">
        <v>4509</v>
      </c>
      <c r="D513" s="92" t="s">
        <v>4510</v>
      </c>
      <c r="E513" s="91" t="s">
        <v>115</v>
      </c>
      <c r="F513" s="91" t="s">
        <v>0</v>
      </c>
      <c r="G513" s="56" t="s">
        <v>1879</v>
      </c>
      <c r="H513" s="91">
        <v>80</v>
      </c>
      <c r="I513" s="91" t="s">
        <v>89</v>
      </c>
      <c r="J513" s="91" t="s">
        <v>8</v>
      </c>
      <c r="K513" s="92" t="s">
        <v>44</v>
      </c>
      <c r="L513" s="93" t="str">
        <f>VLOOKUP(G513,'SKU 对应关系'!A:E,4,0)</f>
        <v>ANZKIT-B_B_2X30K01</v>
      </c>
      <c r="M513" s="94" t="str">
        <f>_xlfn.IFNA(VLOOKUP(G513,'SKU 对应关系'!A:B,2,0),"")</f>
        <v>ANZKIT-B_B_2X30K01 ANZ黑色机器两个装+2X30毫升香氛油（天竺） 机油套装</v>
      </c>
      <c r="N513" s="95" t="str">
        <f>_xlfn.IFNA(VLOOKUP(G513,'SKU 对应关系'!$A:$D,3,0),"")</f>
        <v>ANZ</v>
      </c>
      <c r="O513" s="96">
        <v>4</v>
      </c>
      <c r="P513" s="580">
        <v>68</v>
      </c>
      <c r="Q513" s="96" t="s">
        <v>16</v>
      </c>
      <c r="R513" s="91">
        <v>3.9</v>
      </c>
      <c r="S513" s="95">
        <v>200</v>
      </c>
      <c r="T513" s="98">
        <v>8.6021505376344081</v>
      </c>
      <c r="U513" s="99">
        <f t="shared" ref="U513:U553" si="63">R513*P513+T513</f>
        <v>273.80215053763442</v>
      </c>
      <c r="V513" s="100">
        <f t="shared" ref="V513:V553" si="64">U513/H513</f>
        <v>3.4225268817204304</v>
      </c>
      <c r="W513" s="101">
        <f t="shared" ref="W513:W553" si="65">V513/6.7</f>
        <v>0.5108249077194672</v>
      </c>
      <c r="X513" s="95"/>
      <c r="Y513" s="95"/>
      <c r="Z513" s="102"/>
      <c r="AA513" s="103">
        <v>46142</v>
      </c>
      <c r="AB513" s="103">
        <v>46166</v>
      </c>
      <c r="AC513" s="103"/>
      <c r="AD513" s="104">
        <f>IF(ISNA(VLOOKUP(D513,亚马逊入库配置费!B:F,5,0)),0,VLOOKUP(D513,亚马逊入库配置费!B:F,5,0))</f>
        <v>0.55999999999999994</v>
      </c>
      <c r="AE513" s="104">
        <f t="shared" si="62"/>
        <v>44.8</v>
      </c>
      <c r="AF513" s="103">
        <v>46182</v>
      </c>
      <c r="AG513" s="577">
        <f t="shared" si="58"/>
        <v>40</v>
      </c>
      <c r="AH513" s="103"/>
      <c r="AI513" s="96"/>
      <c r="AJ513" s="96"/>
      <c r="AK513" s="96"/>
      <c r="AL513" s="92"/>
      <c r="AM513" s="91"/>
      <c r="AN513" s="91"/>
      <c r="AO513" s="96"/>
      <c r="AP513" s="105"/>
      <c r="AQ513" s="105"/>
      <c r="AR513" s="105"/>
      <c r="AS513" s="105"/>
    </row>
    <row r="514" spans="1:45" ht="12" customHeight="1" x14ac:dyDescent="0.25">
      <c r="A514" s="90">
        <v>513</v>
      </c>
      <c r="B514" s="91"/>
      <c r="C514" s="91" t="s">
        <v>4511</v>
      </c>
      <c r="D514" s="92" t="s">
        <v>4512</v>
      </c>
      <c r="E514" s="91" t="s">
        <v>115</v>
      </c>
      <c r="F514" s="91" t="s">
        <v>0</v>
      </c>
      <c r="G514" s="56" t="s">
        <v>2197</v>
      </c>
      <c r="H514" s="91">
        <v>600</v>
      </c>
      <c r="I514" s="91" t="s">
        <v>89</v>
      </c>
      <c r="J514" s="91" t="s">
        <v>4</v>
      </c>
      <c r="K514" s="92" t="s">
        <v>15</v>
      </c>
      <c r="L514" s="93" t="str">
        <f>VLOOKUP(G514,'SKU 对应关系'!A:E,4,0)</f>
        <v>ANZ-WH</v>
      </c>
      <c r="M514" s="94" t="str">
        <f>_xlfn.IFNA(VLOOKUP(G514,'SKU 对应关系'!A:B,2,0),"")</f>
        <v>ANZ-WH 便携式扩香仪 白色</v>
      </c>
      <c r="N514" s="95" t="str">
        <f>_xlfn.IFNA(VLOOKUP(G514,'SKU 对应关系'!$A:$D,3,0),"")</f>
        <v>ANZ</v>
      </c>
      <c r="O514" s="96">
        <v>15</v>
      </c>
      <c r="P514" s="580">
        <v>204</v>
      </c>
      <c r="Q514" s="96" t="s">
        <v>16</v>
      </c>
      <c r="R514" s="91">
        <v>8.4</v>
      </c>
      <c r="S514" s="95">
        <v>200</v>
      </c>
      <c r="T514" s="98">
        <v>200</v>
      </c>
      <c r="U514" s="99">
        <f t="shared" si="63"/>
        <v>1913.6000000000001</v>
      </c>
      <c r="V514" s="100">
        <f t="shared" si="64"/>
        <v>3.1893333333333334</v>
      </c>
      <c r="W514" s="101">
        <f t="shared" si="65"/>
        <v>0.47601990049751242</v>
      </c>
      <c r="X514" s="95"/>
      <c r="Y514" s="95"/>
      <c r="Z514" s="102"/>
      <c r="AA514" s="103">
        <v>46142</v>
      </c>
      <c r="AB514" s="103">
        <v>46167</v>
      </c>
      <c r="AC514" s="103"/>
      <c r="AD514" s="104">
        <f>IF(ISNA(VLOOKUP(D514,亚马逊入库配置费!B:F,5,0)),0,VLOOKUP(D514,亚马逊入库配置费!B:F,5,0))</f>
        <v>0.36</v>
      </c>
      <c r="AE514" s="104">
        <f t="shared" si="62"/>
        <v>216</v>
      </c>
      <c r="AF514" s="103">
        <v>46185</v>
      </c>
      <c r="AG514" s="577">
        <f t="shared" ref="AG514:AG577" si="66">AF514-AA514</f>
        <v>43</v>
      </c>
      <c r="AH514" s="103"/>
      <c r="AI514" s="96"/>
      <c r="AJ514" s="96"/>
      <c r="AK514" s="96"/>
      <c r="AL514" s="92"/>
      <c r="AM514" s="91"/>
      <c r="AN514" s="91"/>
      <c r="AO514" s="96"/>
      <c r="AP514" s="105"/>
      <c r="AQ514" s="105"/>
      <c r="AR514" s="105"/>
      <c r="AS514" s="105"/>
    </row>
    <row r="515" spans="1:45" ht="12" customHeight="1" x14ac:dyDescent="0.25">
      <c r="A515" s="90">
        <v>514</v>
      </c>
      <c r="B515" s="91"/>
      <c r="C515" s="91" t="s">
        <v>993</v>
      </c>
      <c r="D515" s="92" t="s">
        <v>4513</v>
      </c>
      <c r="E515" s="91" t="s">
        <v>97</v>
      </c>
      <c r="F515" s="91" t="s">
        <v>0</v>
      </c>
      <c r="G515" s="56" t="s">
        <v>163</v>
      </c>
      <c r="H515" s="91">
        <v>1600</v>
      </c>
      <c r="I515" s="91" t="s">
        <v>117</v>
      </c>
      <c r="J515" s="91" t="s">
        <v>8</v>
      </c>
      <c r="K515" s="92" t="s">
        <v>15</v>
      </c>
      <c r="L515" s="93" t="str">
        <f>VLOOKUP(G515,'SKU 对应关系'!A:E,4,0)</f>
        <v>AN6-B</v>
      </c>
      <c r="M515" s="94" t="str">
        <f>_xlfn.IFNA(VLOOKUP(G515,'SKU 对应关系'!A:B,2,0),"")</f>
        <v>AN6-B 便携式扩香仪 黑色</v>
      </c>
      <c r="N515" s="95" t="str">
        <f>_xlfn.IFNA(VLOOKUP(G515,'SKU 对应关系'!$A:$D,3,0),"")</f>
        <v>AN6</v>
      </c>
      <c r="O515" s="96">
        <v>40</v>
      </c>
      <c r="P515" s="580">
        <v>555.00224719101129</v>
      </c>
      <c r="Q515" s="96" t="s">
        <v>16</v>
      </c>
      <c r="R515" s="91">
        <v>3.8</v>
      </c>
      <c r="S515" s="95">
        <v>200</v>
      </c>
      <c r="T515" s="98">
        <v>40</v>
      </c>
      <c r="U515" s="99">
        <f t="shared" si="63"/>
        <v>2149.0085393258428</v>
      </c>
      <c r="V515" s="100">
        <f t="shared" si="64"/>
        <v>1.3431303370786518</v>
      </c>
      <c r="W515" s="101">
        <f t="shared" si="65"/>
        <v>0.20046721448935101</v>
      </c>
      <c r="X515" s="95"/>
      <c r="Y515" s="95"/>
      <c r="Z515" s="102"/>
      <c r="AA515" s="103">
        <v>46142</v>
      </c>
      <c r="AB515" s="103">
        <v>46166</v>
      </c>
      <c r="AC515" s="103"/>
      <c r="AD515" s="104">
        <f>IF(ISNA(VLOOKUP(D515,亚马逊入库配置费!B:F,5,0)),0,VLOOKUP(D515,亚马逊入库配置费!B:F,5,0))</f>
        <v>0.37890909090909092</v>
      </c>
      <c r="AE515" s="104">
        <f t="shared" si="62"/>
        <v>606.25454545454545</v>
      </c>
      <c r="AF515" s="103">
        <v>46179</v>
      </c>
      <c r="AG515" s="577">
        <f t="shared" si="66"/>
        <v>37</v>
      </c>
      <c r="AH515" s="103"/>
      <c r="AI515" s="96"/>
      <c r="AJ515" s="96"/>
      <c r="AK515" s="96"/>
      <c r="AL515" s="92"/>
      <c r="AM515" s="91"/>
      <c r="AN515" s="91"/>
      <c r="AO515" s="96"/>
      <c r="AP515" s="105"/>
      <c r="AQ515" s="105"/>
      <c r="AR515" s="105"/>
      <c r="AS515" s="105"/>
    </row>
    <row r="516" spans="1:45" ht="12" customHeight="1" x14ac:dyDescent="0.25">
      <c r="A516" s="90">
        <v>515</v>
      </c>
      <c r="B516" s="91"/>
      <c r="C516" s="91" t="s">
        <v>993</v>
      </c>
      <c r="D516" s="92" t="s">
        <v>4513</v>
      </c>
      <c r="E516" s="91" t="s">
        <v>97</v>
      </c>
      <c r="F516" s="91" t="s">
        <v>0</v>
      </c>
      <c r="G516" s="56" t="s">
        <v>350</v>
      </c>
      <c r="H516" s="91">
        <v>200</v>
      </c>
      <c r="I516" s="91" t="s">
        <v>117</v>
      </c>
      <c r="J516" s="91" t="s">
        <v>8</v>
      </c>
      <c r="K516" s="92" t="s">
        <v>15</v>
      </c>
      <c r="L516" s="93" t="str">
        <f>VLOOKUP(G516,'SKU 对应关系'!A:E,4,0)</f>
        <v>AN6-GL</v>
      </c>
      <c r="M516" s="94" t="str">
        <f>_xlfn.IFNA(VLOOKUP(G516,'SKU 对应关系'!A:B,2,0),"")</f>
        <v>AN6-GL 便携式扩香仪 翠百合色</v>
      </c>
      <c r="N516" s="95" t="str">
        <f>_xlfn.IFNA(VLOOKUP(G516,'SKU 对应关系'!$A:$D,3,0),"")</f>
        <v>AN6</v>
      </c>
      <c r="O516" s="96">
        <v>5</v>
      </c>
      <c r="P516" s="580">
        <v>69.375280898876412</v>
      </c>
      <c r="Q516" s="96" t="s">
        <v>16</v>
      </c>
      <c r="R516" s="91">
        <v>3.8</v>
      </c>
      <c r="S516" s="106">
        <v>200</v>
      </c>
      <c r="T516" s="98">
        <v>5</v>
      </c>
      <c r="U516" s="99">
        <f t="shared" si="63"/>
        <v>268.62606741573035</v>
      </c>
      <c r="V516" s="100">
        <f t="shared" si="64"/>
        <v>1.3431303370786518</v>
      </c>
      <c r="W516" s="101">
        <f t="shared" si="65"/>
        <v>0.20046721448935101</v>
      </c>
      <c r="X516" s="95"/>
      <c r="Y516" s="95"/>
      <c r="Z516" s="102"/>
      <c r="AA516" s="103">
        <v>46142</v>
      </c>
      <c r="AB516" s="103">
        <v>46166</v>
      </c>
      <c r="AC516" s="103"/>
      <c r="AD516" s="104">
        <f>IF(ISNA(VLOOKUP(D516,亚马逊入库配置费!B:F,5,0)),0,VLOOKUP(D516,亚马逊入库配置费!B:F,5,0))</f>
        <v>0.37890909090909092</v>
      </c>
      <c r="AE516" s="104">
        <f t="shared" si="62"/>
        <v>75.781818181818181</v>
      </c>
      <c r="AF516" s="103">
        <v>46179</v>
      </c>
      <c r="AG516" s="577">
        <f t="shared" si="66"/>
        <v>37</v>
      </c>
      <c r="AH516" s="103"/>
      <c r="AI516" s="96"/>
      <c r="AJ516" s="96"/>
      <c r="AK516" s="96"/>
      <c r="AL516" s="92"/>
      <c r="AM516" s="91"/>
      <c r="AN516" s="91"/>
      <c r="AO516" s="96"/>
      <c r="AP516" s="105"/>
      <c r="AQ516" s="105"/>
      <c r="AR516" s="105"/>
      <c r="AS516" s="105"/>
    </row>
    <row r="517" spans="1:45" ht="12" customHeight="1" x14ac:dyDescent="0.25">
      <c r="A517" s="90">
        <v>516</v>
      </c>
      <c r="B517" s="91"/>
      <c r="C517" s="91" t="s">
        <v>993</v>
      </c>
      <c r="D517" s="92" t="s">
        <v>4513</v>
      </c>
      <c r="E517" s="91" t="s">
        <v>97</v>
      </c>
      <c r="F517" s="91" t="s">
        <v>0</v>
      </c>
      <c r="G517" s="56" t="s">
        <v>876</v>
      </c>
      <c r="H517" s="91">
        <v>200</v>
      </c>
      <c r="I517" s="91" t="s">
        <v>117</v>
      </c>
      <c r="J517" s="91" t="s">
        <v>8</v>
      </c>
      <c r="K517" s="92" t="s">
        <v>15</v>
      </c>
      <c r="L517" s="93" t="str">
        <f>VLOOKUP(G517,'SKU 对应关系'!A:E,4,0)</f>
        <v>AN6-LV</v>
      </c>
      <c r="M517" s="94" t="str">
        <f>_xlfn.IFNA(VLOOKUP(G517,'SKU 对应关系'!A:B,2,0),"")</f>
        <v>AN6-LV 便携式扩香仪 薰衣草</v>
      </c>
      <c r="N517" s="95" t="str">
        <f>_xlfn.IFNA(VLOOKUP(G517,'SKU 对应关系'!$A:$D,3,0),"")</f>
        <v>AN6</v>
      </c>
      <c r="O517" s="96">
        <v>5</v>
      </c>
      <c r="P517" s="580">
        <v>69.375280898876412</v>
      </c>
      <c r="Q517" s="96" t="s">
        <v>16</v>
      </c>
      <c r="R517" s="91">
        <v>3.8</v>
      </c>
      <c r="S517" s="95"/>
      <c r="T517" s="98">
        <v>5</v>
      </c>
      <c r="U517" s="99">
        <f t="shared" si="63"/>
        <v>268.62606741573035</v>
      </c>
      <c r="V517" s="100">
        <f t="shared" si="64"/>
        <v>1.3431303370786518</v>
      </c>
      <c r="W517" s="101">
        <f t="shared" si="65"/>
        <v>0.20046721448935101</v>
      </c>
      <c r="X517" s="95"/>
      <c r="Y517" s="95"/>
      <c r="Z517" s="102"/>
      <c r="AA517" s="103">
        <v>46142</v>
      </c>
      <c r="AB517" s="103">
        <v>46166</v>
      </c>
      <c r="AC517" s="103"/>
      <c r="AD517" s="104">
        <f>IF(ISNA(VLOOKUP(D517,亚马逊入库配置费!B:F,5,0)),0,VLOOKUP(D517,亚马逊入库配置费!B:F,5,0))</f>
        <v>0.37890909090909092</v>
      </c>
      <c r="AE517" s="104">
        <f t="shared" si="62"/>
        <v>75.781818181818181</v>
      </c>
      <c r="AF517" s="103">
        <v>46179</v>
      </c>
      <c r="AG517" s="577">
        <f t="shared" si="66"/>
        <v>37</v>
      </c>
      <c r="AH517" s="103"/>
      <c r="AI517" s="96"/>
      <c r="AJ517" s="96"/>
      <c r="AK517" s="96"/>
      <c r="AL517" s="92"/>
      <c r="AM517" s="91"/>
      <c r="AN517" s="91"/>
      <c r="AO517" s="96"/>
      <c r="AP517" s="105"/>
      <c r="AQ517" s="105"/>
      <c r="AR517" s="105"/>
      <c r="AS517" s="105"/>
    </row>
    <row r="518" spans="1:45" ht="12" customHeight="1" x14ac:dyDescent="0.25">
      <c r="A518" s="90">
        <v>517</v>
      </c>
      <c r="B518" s="91"/>
      <c r="C518" s="91" t="s">
        <v>993</v>
      </c>
      <c r="D518" s="92" t="s">
        <v>4513</v>
      </c>
      <c r="E518" s="91" t="s">
        <v>97</v>
      </c>
      <c r="F518" s="91" t="s">
        <v>0</v>
      </c>
      <c r="G518" s="56" t="s">
        <v>165</v>
      </c>
      <c r="H518" s="91">
        <v>520</v>
      </c>
      <c r="I518" s="91" t="s">
        <v>117</v>
      </c>
      <c r="J518" s="91" t="s">
        <v>8</v>
      </c>
      <c r="K518" s="92" t="s">
        <v>15</v>
      </c>
      <c r="L518" s="93" t="str">
        <f>VLOOKUP(G518,'SKU 对应关系'!A:E,4,0)</f>
        <v>AN6-W</v>
      </c>
      <c r="M518" s="94" t="str">
        <f>_xlfn.IFNA(VLOOKUP(G518,'SKU 对应关系'!A:B,2,0),"")</f>
        <v>AN6-W 便携式扩香仪 白色</v>
      </c>
      <c r="N518" s="95" t="str">
        <f>_xlfn.IFNA(VLOOKUP(G518,'SKU 对应关系'!$A:$D,3,0),"")</f>
        <v>AN6</v>
      </c>
      <c r="O518" s="96">
        <v>13</v>
      </c>
      <c r="P518" s="580">
        <v>180.37573033707866</v>
      </c>
      <c r="Q518" s="96" t="s">
        <v>16</v>
      </c>
      <c r="R518" s="91">
        <v>3.8</v>
      </c>
      <c r="S518" s="95"/>
      <c r="T518" s="98">
        <v>13</v>
      </c>
      <c r="U518" s="99">
        <f t="shared" si="63"/>
        <v>698.42777528089891</v>
      </c>
      <c r="V518" s="100">
        <f t="shared" si="64"/>
        <v>1.3431303370786518</v>
      </c>
      <c r="W518" s="101">
        <f t="shared" si="65"/>
        <v>0.20046721448935101</v>
      </c>
      <c r="X518" s="95"/>
      <c r="Y518" s="95"/>
      <c r="Z518" s="102"/>
      <c r="AA518" s="103">
        <v>46142</v>
      </c>
      <c r="AB518" s="103">
        <v>46166</v>
      </c>
      <c r="AC518" s="103"/>
      <c r="AD518" s="104">
        <f>IF(ISNA(VLOOKUP(D518,亚马逊入库配置费!B:F,5,0)),0,VLOOKUP(D518,亚马逊入库配置费!B:F,5,0))</f>
        <v>0.37890909090909092</v>
      </c>
      <c r="AE518" s="104">
        <f t="shared" si="62"/>
        <v>197.03272727272727</v>
      </c>
      <c r="AF518" s="103">
        <v>46179</v>
      </c>
      <c r="AG518" s="577">
        <f t="shared" si="66"/>
        <v>37</v>
      </c>
      <c r="AH518" s="103"/>
      <c r="AI518" s="96"/>
      <c r="AJ518" s="96"/>
      <c r="AK518" s="96"/>
      <c r="AL518" s="92"/>
      <c r="AM518" s="91"/>
      <c r="AN518" s="91"/>
      <c r="AO518" s="96"/>
      <c r="AP518" s="105"/>
      <c r="AQ518" s="105"/>
      <c r="AR518" s="105"/>
      <c r="AS518" s="105"/>
    </row>
    <row r="519" spans="1:45" ht="12" customHeight="1" x14ac:dyDescent="0.25">
      <c r="A519" s="90">
        <v>518</v>
      </c>
      <c r="B519" s="91"/>
      <c r="C519" s="91" t="s">
        <v>993</v>
      </c>
      <c r="D519" s="92" t="s">
        <v>4513</v>
      </c>
      <c r="E519" s="91" t="s">
        <v>97</v>
      </c>
      <c r="F519" s="91" t="s">
        <v>0</v>
      </c>
      <c r="G519" s="56" t="s">
        <v>2279</v>
      </c>
      <c r="H519" s="91">
        <v>210</v>
      </c>
      <c r="I519" s="91" t="s">
        <v>117</v>
      </c>
      <c r="J519" s="91" t="s">
        <v>8</v>
      </c>
      <c r="K519" s="92" t="s">
        <v>15</v>
      </c>
      <c r="L519" s="93" t="str">
        <f>VLOOKUP(G519,'SKU 对应关系'!A:E,4,0)</f>
        <v>RD1-B</v>
      </c>
      <c r="M519" s="94" t="str">
        <f>_xlfn.IFNA(VLOOKUP(G519,'SKU 对应关系'!A:B,2,0),"")</f>
        <v>RD1-B 便携式扩香仪 黑色</v>
      </c>
      <c r="N519" s="95" t="str">
        <f>_xlfn.IFNA(VLOOKUP(G519,'SKU 对应关系'!$A:$D,3,0),"")</f>
        <v>RD1</v>
      </c>
      <c r="O519" s="96">
        <v>7</v>
      </c>
      <c r="P519" s="580">
        <v>97.125393258426968</v>
      </c>
      <c r="Q519" s="96" t="s">
        <v>16</v>
      </c>
      <c r="R519" s="91">
        <v>3.8</v>
      </c>
      <c r="S519" s="95"/>
      <c r="T519" s="98">
        <v>7</v>
      </c>
      <c r="U519" s="99">
        <f t="shared" si="63"/>
        <v>376.07649438202247</v>
      </c>
      <c r="V519" s="100">
        <f t="shared" si="64"/>
        <v>1.7908404494382022</v>
      </c>
      <c r="W519" s="101">
        <f t="shared" si="65"/>
        <v>0.26728961931913464</v>
      </c>
      <c r="X519" s="95"/>
      <c r="Y519" s="95"/>
      <c r="Z519" s="102"/>
      <c r="AA519" s="103">
        <v>46142</v>
      </c>
      <c r="AB519" s="103">
        <v>46166</v>
      </c>
      <c r="AC519" s="103"/>
      <c r="AD519" s="104">
        <f>IF(ISNA(VLOOKUP(D519,亚马逊入库配置费!B:F,5,0)),0,VLOOKUP(D519,亚马逊入库配置费!B:F,5,0))</f>
        <v>0.37890909090909092</v>
      </c>
      <c r="AE519" s="104">
        <f t="shared" si="62"/>
        <v>79.570909090909097</v>
      </c>
      <c r="AF519" s="103">
        <v>46179</v>
      </c>
      <c r="AG519" s="577">
        <f t="shared" si="66"/>
        <v>37</v>
      </c>
      <c r="AH519" s="103"/>
      <c r="AI519" s="96"/>
      <c r="AJ519" s="96"/>
      <c r="AK519" s="96"/>
      <c r="AL519" s="92"/>
      <c r="AM519" s="91"/>
      <c r="AN519" s="91"/>
      <c r="AO519" s="96"/>
      <c r="AP519" s="105"/>
      <c r="AQ519" s="105"/>
      <c r="AR519" s="105"/>
      <c r="AS519" s="105"/>
    </row>
    <row r="520" spans="1:45" ht="12" customHeight="1" x14ac:dyDescent="0.25">
      <c r="A520" s="90">
        <v>519</v>
      </c>
      <c r="B520" s="91"/>
      <c r="C520" s="91" t="s">
        <v>993</v>
      </c>
      <c r="D520" s="92" t="s">
        <v>4513</v>
      </c>
      <c r="E520" s="91" t="s">
        <v>97</v>
      </c>
      <c r="F520" s="91" t="s">
        <v>0</v>
      </c>
      <c r="G520" s="56" t="s">
        <v>2281</v>
      </c>
      <c r="H520" s="91">
        <v>210</v>
      </c>
      <c r="I520" s="91" t="s">
        <v>117</v>
      </c>
      <c r="J520" s="91" t="s">
        <v>8</v>
      </c>
      <c r="K520" s="92" t="s">
        <v>15</v>
      </c>
      <c r="L520" s="93" t="str">
        <f>VLOOKUP(G520,'SKU 对应关系'!A:E,4,0)</f>
        <v>RD1-DT</v>
      </c>
      <c r="M520" s="94" t="str">
        <f>_xlfn.IFNA(VLOOKUP(G520,'SKU 对应关系'!A:B,2,0),"")</f>
        <v>RD1-DT 便携式扩香仪 沙漠钛色</v>
      </c>
      <c r="N520" s="95" t="str">
        <f>_xlfn.IFNA(VLOOKUP(G520,'SKU 对应关系'!$A:$D,3,0),"")</f>
        <v>RD1</v>
      </c>
      <c r="O520" s="96">
        <v>7</v>
      </c>
      <c r="P520" s="580">
        <v>97.125393258426968</v>
      </c>
      <c r="Q520" s="96" t="s">
        <v>16</v>
      </c>
      <c r="R520" s="91">
        <v>3.8</v>
      </c>
      <c r="S520" s="95"/>
      <c r="T520" s="98">
        <v>7</v>
      </c>
      <c r="U520" s="99">
        <f t="shared" si="63"/>
        <v>376.07649438202247</v>
      </c>
      <c r="V520" s="100">
        <f t="shared" si="64"/>
        <v>1.7908404494382022</v>
      </c>
      <c r="W520" s="101">
        <f t="shared" si="65"/>
        <v>0.26728961931913464</v>
      </c>
      <c r="X520" s="95"/>
      <c r="Y520" s="95"/>
      <c r="Z520" s="102"/>
      <c r="AA520" s="103">
        <v>46142</v>
      </c>
      <c r="AB520" s="103">
        <v>46166</v>
      </c>
      <c r="AC520" s="103"/>
      <c r="AD520" s="104">
        <f>IF(ISNA(VLOOKUP(D520,亚马逊入库配置费!B:F,5,0)),0,VLOOKUP(D520,亚马逊入库配置费!B:F,5,0))</f>
        <v>0.37890909090909092</v>
      </c>
      <c r="AE520" s="104">
        <f t="shared" si="62"/>
        <v>79.570909090909097</v>
      </c>
      <c r="AF520" s="103">
        <v>46179</v>
      </c>
      <c r="AG520" s="577">
        <f t="shared" si="66"/>
        <v>37</v>
      </c>
      <c r="AH520" s="103"/>
      <c r="AI520" s="96"/>
      <c r="AJ520" s="96"/>
      <c r="AK520" s="96"/>
      <c r="AL520" s="92"/>
      <c r="AM520" s="91"/>
      <c r="AN520" s="91"/>
      <c r="AO520" s="96"/>
      <c r="AP520" s="105"/>
      <c r="AQ520" s="105"/>
      <c r="AR520" s="105"/>
      <c r="AS520" s="105"/>
    </row>
    <row r="521" spans="1:45" ht="12" customHeight="1" x14ac:dyDescent="0.25">
      <c r="A521" s="90">
        <v>520</v>
      </c>
      <c r="B521" s="91"/>
      <c r="C521" s="91" t="s">
        <v>993</v>
      </c>
      <c r="D521" s="92" t="s">
        <v>4513</v>
      </c>
      <c r="E521" s="91" t="s">
        <v>97</v>
      </c>
      <c r="F521" s="91" t="s">
        <v>0</v>
      </c>
      <c r="G521" s="56" t="s">
        <v>4514</v>
      </c>
      <c r="H521" s="91">
        <v>300</v>
      </c>
      <c r="I521" s="91" t="s">
        <v>117</v>
      </c>
      <c r="J521" s="91" t="s">
        <v>8</v>
      </c>
      <c r="K521" s="92" t="s">
        <v>15</v>
      </c>
      <c r="L521" s="93" t="str">
        <f>VLOOKUP(G521,'SKU 对应关系'!A:E,4,0)</f>
        <v>RD1-G</v>
      </c>
      <c r="M521" s="94" t="str">
        <f>_xlfn.IFNA(VLOOKUP(G521,'SKU 对应关系'!A:B,2,0),"")</f>
        <v>RD1-G 便携式扩香仪 灰色</v>
      </c>
      <c r="N521" s="95" t="str">
        <f>_xlfn.IFNA(VLOOKUP(G521,'SKU 对应关系'!$A:$D,3,0),"")</f>
        <v>RD1</v>
      </c>
      <c r="O521" s="96">
        <v>10</v>
      </c>
      <c r="P521" s="580">
        <v>138.75056179775282</v>
      </c>
      <c r="Q521" s="96" t="s">
        <v>16</v>
      </c>
      <c r="R521" s="91">
        <v>3.8</v>
      </c>
      <c r="S521" s="95"/>
      <c r="T521" s="98">
        <v>10</v>
      </c>
      <c r="U521" s="99">
        <f t="shared" si="63"/>
        <v>537.25213483146069</v>
      </c>
      <c r="V521" s="100">
        <f t="shared" si="64"/>
        <v>1.7908404494382024</v>
      </c>
      <c r="W521" s="101">
        <f t="shared" si="65"/>
        <v>0.2672896193191347</v>
      </c>
      <c r="X521" s="95"/>
      <c r="Y521" s="95"/>
      <c r="Z521" s="102"/>
      <c r="AA521" s="103">
        <v>46142</v>
      </c>
      <c r="AB521" s="103">
        <v>46166</v>
      </c>
      <c r="AC521" s="103"/>
      <c r="AD521" s="104">
        <f>IF(ISNA(VLOOKUP(D521,亚马逊入库配置费!B:F,5,0)),0,VLOOKUP(D521,亚马逊入库配置费!B:F,5,0))</f>
        <v>0.37890909090909092</v>
      </c>
      <c r="AE521" s="104">
        <f t="shared" si="62"/>
        <v>113.67272727272727</v>
      </c>
      <c r="AF521" s="103">
        <v>46179</v>
      </c>
      <c r="AG521" s="577">
        <f t="shared" si="66"/>
        <v>37</v>
      </c>
      <c r="AH521" s="103"/>
      <c r="AI521" s="96"/>
      <c r="AJ521" s="96"/>
      <c r="AK521" s="96"/>
      <c r="AL521" s="92"/>
      <c r="AM521" s="91"/>
      <c r="AN521" s="91"/>
      <c r="AO521" s="96"/>
      <c r="AP521" s="105"/>
      <c r="AQ521" s="105"/>
      <c r="AR521" s="105"/>
      <c r="AS521" s="105"/>
    </row>
    <row r="522" spans="1:45" ht="12" customHeight="1" x14ac:dyDescent="0.25">
      <c r="A522" s="90">
        <v>521</v>
      </c>
      <c r="B522" s="91"/>
      <c r="C522" s="91" t="s">
        <v>993</v>
      </c>
      <c r="D522" s="92" t="s">
        <v>4513</v>
      </c>
      <c r="E522" s="91" t="s">
        <v>97</v>
      </c>
      <c r="F522" s="91" t="s">
        <v>0</v>
      </c>
      <c r="G522" s="56" t="s">
        <v>953</v>
      </c>
      <c r="H522" s="91">
        <v>60</v>
      </c>
      <c r="I522" s="91" t="s">
        <v>117</v>
      </c>
      <c r="J522" s="91" t="s">
        <v>8</v>
      </c>
      <c r="K522" s="92" t="s">
        <v>15</v>
      </c>
      <c r="L522" s="93" t="str">
        <f>VLOOKUP(G522,'SKU 对应关系'!A:E,4,0)</f>
        <v>AND-B</v>
      </c>
      <c r="M522" s="94" t="str">
        <f>_xlfn.IFNA(VLOOKUP(G522,'SKU 对应关系'!A:B,2,0),"")</f>
        <v>AND-B 便携式双喷扩香仪 黑色</v>
      </c>
      <c r="N522" s="95" t="str">
        <f>_xlfn.IFNA(VLOOKUP(G522,'SKU 对应关系'!$A:$D,3,0),"")</f>
        <v>AND</v>
      </c>
      <c r="O522" s="96">
        <v>2</v>
      </c>
      <c r="P522" s="580">
        <v>27.750112359550563</v>
      </c>
      <c r="Q522" s="96" t="s">
        <v>16</v>
      </c>
      <c r="R522" s="91">
        <v>3.8</v>
      </c>
      <c r="S522" s="95"/>
      <c r="T522" s="98">
        <v>2</v>
      </c>
      <c r="U522" s="99">
        <f t="shared" si="63"/>
        <v>107.45042696629214</v>
      </c>
      <c r="V522" s="100">
        <f t="shared" si="64"/>
        <v>1.7908404494382024</v>
      </c>
      <c r="W522" s="101">
        <f t="shared" si="65"/>
        <v>0.2672896193191347</v>
      </c>
      <c r="X522" s="95"/>
      <c r="Y522" s="95"/>
      <c r="Z522" s="102"/>
      <c r="AA522" s="103">
        <v>46142</v>
      </c>
      <c r="AB522" s="103">
        <v>46166</v>
      </c>
      <c r="AC522" s="103"/>
      <c r="AD522" s="104">
        <f>IF(ISNA(VLOOKUP(D522,亚马逊入库配置费!B:F,5,0)),0,VLOOKUP(D522,亚马逊入库配置费!B:F,5,0))</f>
        <v>0.37890909090909092</v>
      </c>
      <c r="AE522" s="104">
        <f t="shared" si="62"/>
        <v>22.734545454545454</v>
      </c>
      <c r="AF522" s="103">
        <v>46179</v>
      </c>
      <c r="AG522" s="577">
        <f t="shared" si="66"/>
        <v>37</v>
      </c>
      <c r="AH522" s="103"/>
      <c r="AI522" s="96"/>
      <c r="AJ522" s="96"/>
      <c r="AK522" s="96"/>
      <c r="AL522" s="92"/>
      <c r="AM522" s="91"/>
      <c r="AN522" s="91"/>
      <c r="AO522" s="96"/>
      <c r="AP522" s="105"/>
      <c r="AQ522" s="105"/>
      <c r="AR522" s="105"/>
      <c r="AS522" s="105"/>
    </row>
    <row r="523" spans="1:45" ht="12" customHeight="1" x14ac:dyDescent="0.25">
      <c r="A523" s="90">
        <v>522</v>
      </c>
      <c r="B523" s="91"/>
      <c r="C523" s="91" t="s">
        <v>4509</v>
      </c>
      <c r="D523" s="92" t="s">
        <v>4515</v>
      </c>
      <c r="E523" s="91" t="s">
        <v>97</v>
      </c>
      <c r="F523" s="91" t="s">
        <v>0</v>
      </c>
      <c r="G523" s="56" t="s">
        <v>872</v>
      </c>
      <c r="H523" s="91">
        <v>330</v>
      </c>
      <c r="I523" s="91" t="s">
        <v>89</v>
      </c>
      <c r="J523" s="91" t="s">
        <v>8</v>
      </c>
      <c r="K523" s="92" t="s">
        <v>15</v>
      </c>
      <c r="L523" s="93" t="str">
        <f>VLOOKUP(G523,'SKU 对应关系'!A:E,4,0)</f>
        <v>AN6KIT-B_RZ30ml</v>
      </c>
      <c r="M523" s="94" t="str">
        <f>_xlfn.IFNA(VLOOKUP(G523,'SKU 对应关系'!A:B,2,0),"")</f>
        <v>AN6KIT-B_RZ30ml AN6黑色机器+30mL丽思香氛油 机油套装</v>
      </c>
      <c r="N523" s="95" t="str">
        <f>_xlfn.IFNA(VLOOKUP(G523,'SKU 对应关系'!$A:$D,3,0),"")</f>
        <v>AN6</v>
      </c>
      <c r="O523" s="96">
        <v>11</v>
      </c>
      <c r="P523" s="580">
        <v>171.08055555555555</v>
      </c>
      <c r="Q523" s="96" t="s">
        <v>16</v>
      </c>
      <c r="R523" s="91">
        <v>4</v>
      </c>
      <c r="S523" s="95">
        <v>200</v>
      </c>
      <c r="T523" s="98">
        <v>23.655913978494624</v>
      </c>
      <c r="U523" s="99">
        <f t="shared" si="63"/>
        <v>707.97813620071679</v>
      </c>
      <c r="V523" s="100">
        <f t="shared" si="64"/>
        <v>2.1453882915173237</v>
      </c>
      <c r="W523" s="101">
        <f t="shared" si="65"/>
        <v>0.32020720768915278</v>
      </c>
      <c r="X523" s="95"/>
      <c r="Y523" s="95"/>
      <c r="Z523" s="102"/>
      <c r="AA523" s="103">
        <v>46142</v>
      </c>
      <c r="AB523" s="103">
        <v>46166</v>
      </c>
      <c r="AC523" s="103"/>
      <c r="AD523" s="104">
        <f>IF(ISNA(VLOOKUP(D523,亚马逊入库配置费!B:F,5,0)),0,VLOOKUP(D523,亚马逊入库配置费!B:F,5,0))</f>
        <v>0.44</v>
      </c>
      <c r="AE523" s="104">
        <f t="shared" si="62"/>
        <v>145.19999999999999</v>
      </c>
      <c r="AF523" s="103">
        <v>46181</v>
      </c>
      <c r="AG523" s="577">
        <f t="shared" si="66"/>
        <v>39</v>
      </c>
      <c r="AH523" s="103"/>
      <c r="AI523" s="96"/>
      <c r="AJ523" s="96"/>
      <c r="AK523" s="96"/>
      <c r="AL523" s="92"/>
      <c r="AM523" s="91"/>
      <c r="AN523" s="91"/>
      <c r="AO523" s="96"/>
      <c r="AP523" s="105"/>
      <c r="AQ523" s="105"/>
      <c r="AR523" s="105"/>
      <c r="AS523" s="105"/>
    </row>
    <row r="524" spans="1:45" ht="12" customHeight="1" x14ac:dyDescent="0.25">
      <c r="A524" s="90">
        <v>523</v>
      </c>
      <c r="B524" s="91"/>
      <c r="C524" s="91" t="s">
        <v>4509</v>
      </c>
      <c r="D524" s="92" t="s">
        <v>4515</v>
      </c>
      <c r="E524" s="91" t="s">
        <v>97</v>
      </c>
      <c r="F524" s="91" t="s">
        <v>0</v>
      </c>
      <c r="G524" s="56" t="s">
        <v>1851</v>
      </c>
      <c r="H524" s="91">
        <v>210</v>
      </c>
      <c r="I524" s="91" t="s">
        <v>89</v>
      </c>
      <c r="J524" s="91" t="s">
        <v>8</v>
      </c>
      <c r="K524" s="92" t="s">
        <v>15</v>
      </c>
      <c r="L524" s="93" t="str">
        <f>VLOOKUP(G524,'SKU 对应关系'!A:E,4,0)</f>
        <v>AN8KIT-B_4X10K02</v>
      </c>
      <c r="M524" s="94" t="str">
        <f>_xlfn.IFNA(VLOOKUP(G524,'SKU 对应关系'!A:B,2,0),"")</f>
        <v>AN8KIT-B_4X10K02 AN8黑色机器+4x10mL（天竺）香氛油 机油套装</v>
      </c>
      <c r="N524" s="95" t="str">
        <f>_xlfn.IFNA(VLOOKUP(G524,'SKU 对应关系'!$A:$D,3,0),"")</f>
        <v>AN8</v>
      </c>
      <c r="O524" s="96">
        <v>7</v>
      </c>
      <c r="P524" s="580">
        <v>108.86944444444444</v>
      </c>
      <c r="Q524" s="96" t="s">
        <v>16</v>
      </c>
      <c r="R524" s="91">
        <v>4</v>
      </c>
      <c r="S524" s="106">
        <v>200</v>
      </c>
      <c r="T524" s="98">
        <v>15.053763440860216</v>
      </c>
      <c r="U524" s="99">
        <f t="shared" si="63"/>
        <v>450.53154121863798</v>
      </c>
      <c r="V524" s="100">
        <f t="shared" si="64"/>
        <v>2.1453882915173237</v>
      </c>
      <c r="W524" s="101">
        <f t="shared" si="65"/>
        <v>0.32020720768915278</v>
      </c>
      <c r="X524" s="95"/>
      <c r="Y524" s="95"/>
      <c r="Z524" s="102"/>
      <c r="AA524" s="103">
        <v>46142</v>
      </c>
      <c r="AB524" s="103">
        <v>46166</v>
      </c>
      <c r="AC524" s="103"/>
      <c r="AD524" s="104">
        <f>IF(ISNA(VLOOKUP(D524,亚马逊入库配置费!B:F,5,0)),0,VLOOKUP(D524,亚马逊入库配置费!B:F,5,0))</f>
        <v>0.44</v>
      </c>
      <c r="AE524" s="104">
        <f t="shared" si="62"/>
        <v>92.4</v>
      </c>
      <c r="AF524" s="103">
        <v>46181</v>
      </c>
      <c r="AG524" s="577">
        <f t="shared" si="66"/>
        <v>39</v>
      </c>
      <c r="AH524" s="103"/>
      <c r="AI524" s="96"/>
      <c r="AJ524" s="96"/>
      <c r="AK524" s="96"/>
      <c r="AL524" s="92"/>
      <c r="AM524" s="91"/>
      <c r="AN524" s="91"/>
      <c r="AO524" s="96"/>
      <c r="AP524" s="105"/>
      <c r="AQ524" s="105"/>
      <c r="AR524" s="105"/>
      <c r="AS524" s="105"/>
    </row>
    <row r="525" spans="1:45" ht="12" customHeight="1" x14ac:dyDescent="0.25">
      <c r="A525" s="90">
        <v>524</v>
      </c>
      <c r="B525" s="91"/>
      <c r="C525" s="91" t="s">
        <v>1000</v>
      </c>
      <c r="D525" s="92" t="s">
        <v>4516</v>
      </c>
      <c r="E525" s="91" t="s">
        <v>4202</v>
      </c>
      <c r="F525" s="91" t="s">
        <v>0</v>
      </c>
      <c r="G525" s="56" t="s">
        <v>4130</v>
      </c>
      <c r="H525" s="91">
        <v>200</v>
      </c>
      <c r="I525" s="91" t="s">
        <v>89</v>
      </c>
      <c r="J525" s="91" t="s">
        <v>8</v>
      </c>
      <c r="K525" s="92" t="s">
        <v>15</v>
      </c>
      <c r="L525" s="93" t="str">
        <f>VLOOKUP(G525,'SKU 对应关系'!A:E,4,0)</f>
        <v>RD2KIT-SILV_2X30K07_TZ</v>
      </c>
      <c r="M525" s="94" t="str">
        <f>_xlfn.IFNA(VLOOKUP(G525,'SKU 对应关系'!A:B,2,0),"")</f>
        <v>RD2KIT-SILV_2X30K07_TZ RD2银色机器+2X30mL酒店香氛油（天竺）  机油套装</v>
      </c>
      <c r="N525" s="95" t="str">
        <f>_xlfn.IFNA(VLOOKUP(G525,'SKU 对应关系'!$A:$D,3,0),"")</f>
        <v>RD2</v>
      </c>
      <c r="O525" s="96">
        <v>10</v>
      </c>
      <c r="P525" s="580">
        <v>142.13999999999999</v>
      </c>
      <c r="Q525" s="96" t="s">
        <v>16</v>
      </c>
      <c r="R525" s="91">
        <v>4</v>
      </c>
      <c r="S525" s="95">
        <v>200</v>
      </c>
      <c r="T525" s="98">
        <v>36.363636363636367</v>
      </c>
      <c r="U525" s="99">
        <f t="shared" si="63"/>
        <v>604.92363636363632</v>
      </c>
      <c r="V525" s="100">
        <f t="shared" si="64"/>
        <v>3.0246181818181817</v>
      </c>
      <c r="W525" s="101">
        <f t="shared" si="65"/>
        <v>0.45143554952510173</v>
      </c>
      <c r="X525" s="95"/>
      <c r="Y525" s="95"/>
      <c r="Z525" s="102"/>
      <c r="AA525" s="103">
        <v>46142</v>
      </c>
      <c r="AB525" s="103">
        <v>46166</v>
      </c>
      <c r="AC525" s="103"/>
      <c r="AD525" s="104">
        <f>IF(ISNA(VLOOKUP(D525,亚马逊入库配置费!B:F,5,0)),0,VLOOKUP(D525,亚马逊入库配置费!B:F,5,0))</f>
        <v>0.56000000000000005</v>
      </c>
      <c r="AE525" s="104">
        <f t="shared" si="62"/>
        <v>112.00000000000001</v>
      </c>
      <c r="AF525" s="103">
        <v>46181</v>
      </c>
      <c r="AG525" s="577">
        <f t="shared" si="66"/>
        <v>39</v>
      </c>
      <c r="AH525" s="103"/>
      <c r="AI525" s="96"/>
      <c r="AJ525" s="96"/>
      <c r="AK525" s="96"/>
      <c r="AL525" s="92"/>
      <c r="AM525" s="91"/>
      <c r="AN525" s="91"/>
      <c r="AO525" s="96"/>
      <c r="AP525" s="105"/>
      <c r="AQ525" s="105"/>
      <c r="AR525" s="105"/>
      <c r="AS525" s="105"/>
    </row>
    <row r="526" spans="1:45" ht="12" customHeight="1" x14ac:dyDescent="0.25">
      <c r="A526" s="90">
        <v>525</v>
      </c>
      <c r="B526" s="91"/>
      <c r="C526" s="91" t="s">
        <v>1000</v>
      </c>
      <c r="D526" s="92" t="s">
        <v>4517</v>
      </c>
      <c r="E526" s="91" t="s">
        <v>4202</v>
      </c>
      <c r="F526" s="91" t="s">
        <v>0</v>
      </c>
      <c r="G526" s="56" t="s">
        <v>4127</v>
      </c>
      <c r="H526" s="91">
        <v>120</v>
      </c>
      <c r="I526" s="91" t="s">
        <v>89</v>
      </c>
      <c r="J526" s="91" t="s">
        <v>8</v>
      </c>
      <c r="K526" s="92" t="s">
        <v>15</v>
      </c>
      <c r="L526" s="93" t="str">
        <f>VLOOKUP(G526,'SKU 对应关系'!A:E,4,0)</f>
        <v>RD2-SILV</v>
      </c>
      <c r="M526" s="94" t="str">
        <f>_xlfn.IFNA(VLOOKUP(G526,'SKU 对应关系'!A:B,2,0),"")</f>
        <v>RD2-SILV 便携式扩香仪 银色</v>
      </c>
      <c r="N526" s="95" t="str">
        <f>_xlfn.IFNA(VLOOKUP(G526,'SKU 对应关系'!$A:$D,3,0),"")</f>
        <v>RD2</v>
      </c>
      <c r="O526" s="96">
        <v>4</v>
      </c>
      <c r="P526" s="580">
        <v>56.86</v>
      </c>
      <c r="Q526" s="96" t="s">
        <v>16</v>
      </c>
      <c r="R526" s="91">
        <v>4</v>
      </c>
      <c r="S526" s="106">
        <v>200</v>
      </c>
      <c r="T526" s="98">
        <v>14.545454545454545</v>
      </c>
      <c r="U526" s="99">
        <f t="shared" si="63"/>
        <v>241.98545454545453</v>
      </c>
      <c r="V526" s="100">
        <f t="shared" si="64"/>
        <v>2.0165454545454544</v>
      </c>
      <c r="W526" s="101">
        <f t="shared" si="65"/>
        <v>0.30097693351424692</v>
      </c>
      <c r="X526" s="95"/>
      <c r="Y526" s="95"/>
      <c r="Z526" s="102"/>
      <c r="AA526" s="103">
        <v>46142</v>
      </c>
      <c r="AB526" s="103">
        <v>46166</v>
      </c>
      <c r="AC526" s="103"/>
      <c r="AD526" s="104">
        <f>IF(ISNA(VLOOKUP(D526,亚马逊入库配置费!B:F,5,0)),0,VLOOKUP(D526,亚马逊入库配置费!B:F,5,0))</f>
        <v>0.44</v>
      </c>
      <c r="AE526" s="104">
        <f t="shared" si="62"/>
        <v>52.8</v>
      </c>
      <c r="AF526" s="103">
        <v>46181</v>
      </c>
      <c r="AG526" s="577">
        <f t="shared" si="66"/>
        <v>39</v>
      </c>
      <c r="AH526" s="103"/>
      <c r="AI526" s="96"/>
      <c r="AJ526" s="96"/>
      <c r="AK526" s="96"/>
      <c r="AL526" s="92"/>
      <c r="AM526" s="91"/>
      <c r="AN526" s="91"/>
      <c r="AO526" s="96"/>
      <c r="AP526" s="105"/>
      <c r="AQ526" s="105"/>
      <c r="AR526" s="105"/>
      <c r="AS526" s="105"/>
    </row>
    <row r="527" spans="1:45" ht="12" customHeight="1" x14ac:dyDescent="0.25">
      <c r="A527" s="90">
        <v>526</v>
      </c>
      <c r="B527" s="91"/>
      <c r="C527" s="91" t="s">
        <v>1000</v>
      </c>
      <c r="D527" s="92" t="s">
        <v>4518</v>
      </c>
      <c r="E527" s="91" t="s">
        <v>4202</v>
      </c>
      <c r="F527" s="91" t="s">
        <v>0</v>
      </c>
      <c r="G527" s="56" t="s">
        <v>853</v>
      </c>
      <c r="H527" s="91">
        <v>40</v>
      </c>
      <c r="I527" s="91" t="s">
        <v>89</v>
      </c>
      <c r="J527" s="91" t="s">
        <v>8</v>
      </c>
      <c r="K527" s="92" t="s">
        <v>13</v>
      </c>
      <c r="L527" s="93" t="str">
        <f>VLOOKUP(G527,'SKU 对应关系'!A:E,4,0)</f>
        <v>AN6-G</v>
      </c>
      <c r="M527" s="94" t="str">
        <f>_xlfn.IFNA(VLOOKUP(G527,'SKU 对应关系'!A:B,2,0),"")</f>
        <v>AN6-G 便携式扩香仪 灰色</v>
      </c>
      <c r="N527" s="95" t="str">
        <f>_xlfn.IFNA(VLOOKUP(G527,'SKU 对应关系'!$A:$D,3,0),"")</f>
        <v>AN6</v>
      </c>
      <c r="O527" s="96">
        <v>1</v>
      </c>
      <c r="P527" s="580">
        <v>13.5</v>
      </c>
      <c r="Q527" s="96" t="s">
        <v>16</v>
      </c>
      <c r="R527" s="91">
        <v>3.6</v>
      </c>
      <c r="S527" s="95"/>
      <c r="T527" s="98">
        <v>3.6363636363636362</v>
      </c>
      <c r="U527" s="99">
        <f t="shared" si="63"/>
        <v>52.236363636363635</v>
      </c>
      <c r="V527" s="100">
        <f t="shared" si="64"/>
        <v>1.3059090909090909</v>
      </c>
      <c r="W527" s="101">
        <f t="shared" si="65"/>
        <v>0.19491180461329716</v>
      </c>
      <c r="X527" s="95"/>
      <c r="Y527" s="95"/>
      <c r="Z527" s="102"/>
      <c r="AA527" s="103">
        <v>46142</v>
      </c>
      <c r="AB527" s="103">
        <v>46166</v>
      </c>
      <c r="AC527" s="103"/>
      <c r="AD527" s="104">
        <f>IF(ISNA(VLOOKUP(D527,亚马逊入库配置费!B:F,5,0)),0,VLOOKUP(D527,亚马逊入库配置费!B:F,5,0))</f>
        <v>0.36</v>
      </c>
      <c r="AE527" s="104">
        <f t="shared" si="62"/>
        <v>14.399999999999999</v>
      </c>
      <c r="AF527" s="103">
        <v>46184</v>
      </c>
      <c r="AG527" s="577">
        <f t="shared" si="66"/>
        <v>42</v>
      </c>
      <c r="AH527" s="103"/>
      <c r="AI527" s="96"/>
      <c r="AJ527" s="96"/>
      <c r="AK527" s="96"/>
      <c r="AL527" s="92"/>
      <c r="AM527" s="91"/>
      <c r="AN527" s="91"/>
      <c r="AO527" s="96"/>
      <c r="AP527" s="105"/>
      <c r="AQ527" s="105"/>
      <c r="AR527" s="105"/>
      <c r="AS527" s="105"/>
    </row>
    <row r="528" spans="1:45" ht="12" customHeight="1" x14ac:dyDescent="0.25">
      <c r="A528" s="90">
        <v>527</v>
      </c>
      <c r="B528" s="91"/>
      <c r="C528" s="91" t="s">
        <v>1000</v>
      </c>
      <c r="D528" s="92" t="s">
        <v>4518</v>
      </c>
      <c r="E528" s="91" t="s">
        <v>4202</v>
      </c>
      <c r="F528" s="91" t="s">
        <v>0</v>
      </c>
      <c r="G528" s="56" t="s">
        <v>786</v>
      </c>
      <c r="H528" s="91">
        <v>40</v>
      </c>
      <c r="I528" s="91" t="s">
        <v>89</v>
      </c>
      <c r="J528" s="91" t="s">
        <v>8</v>
      </c>
      <c r="K528" s="92" t="s">
        <v>13</v>
      </c>
      <c r="L528" s="93" t="str">
        <f>VLOOKUP(G528,'SKU 对应关系'!A:E,4,0)</f>
        <v>AN6-YG</v>
      </c>
      <c r="M528" s="94" t="str">
        <f>_xlfn.IFNA(VLOOKUP(G528,'SKU 对应关系'!A:B,2,0),"")</f>
        <v>AN6-YG 便携式扩香仪 乳酪色</v>
      </c>
      <c r="N528" s="95" t="str">
        <f>_xlfn.IFNA(VLOOKUP(G528,'SKU 对应关系'!$A:$D,3,0),"")</f>
        <v>AN6</v>
      </c>
      <c r="O528" s="96">
        <v>1</v>
      </c>
      <c r="P528" s="580">
        <v>13.5</v>
      </c>
      <c r="Q528" s="96" t="s">
        <v>16</v>
      </c>
      <c r="R528" s="91">
        <v>3.6</v>
      </c>
      <c r="S528" s="95"/>
      <c r="T528" s="98">
        <v>3.6363636363636362</v>
      </c>
      <c r="U528" s="99">
        <f t="shared" si="63"/>
        <v>52.236363636363635</v>
      </c>
      <c r="V528" s="100">
        <f t="shared" si="64"/>
        <v>1.3059090909090909</v>
      </c>
      <c r="W528" s="101">
        <f t="shared" si="65"/>
        <v>0.19491180461329716</v>
      </c>
      <c r="X528" s="95"/>
      <c r="Y528" s="95"/>
      <c r="Z528" s="102"/>
      <c r="AA528" s="103">
        <v>46142</v>
      </c>
      <c r="AB528" s="103">
        <v>46166</v>
      </c>
      <c r="AC528" s="103"/>
      <c r="AD528" s="104">
        <f>IF(ISNA(VLOOKUP(D528,亚马逊入库配置费!B:F,5,0)),0,VLOOKUP(D528,亚马逊入库配置费!B:F,5,0))</f>
        <v>0.36</v>
      </c>
      <c r="AE528" s="104">
        <f t="shared" si="62"/>
        <v>14.399999999999999</v>
      </c>
      <c r="AF528" s="103">
        <v>46184</v>
      </c>
      <c r="AG528" s="577">
        <f t="shared" si="66"/>
        <v>42</v>
      </c>
      <c r="AH528" s="103"/>
      <c r="AI528" s="96"/>
      <c r="AJ528" s="96"/>
      <c r="AK528" s="96"/>
      <c r="AL528" s="92"/>
      <c r="AM528" s="91"/>
      <c r="AN528" s="91"/>
      <c r="AO528" s="96"/>
      <c r="AP528" s="105"/>
      <c r="AQ528" s="105"/>
      <c r="AR528" s="105"/>
      <c r="AS528" s="105"/>
    </row>
    <row r="529" spans="1:45" ht="12" customHeight="1" x14ac:dyDescent="0.25">
      <c r="A529" s="90">
        <v>528</v>
      </c>
      <c r="B529" s="91"/>
      <c r="C529" s="91" t="s">
        <v>1000</v>
      </c>
      <c r="D529" s="92" t="s">
        <v>4519</v>
      </c>
      <c r="E529" s="91" t="s">
        <v>4202</v>
      </c>
      <c r="F529" s="91" t="s">
        <v>0</v>
      </c>
      <c r="G529" s="56" t="s">
        <v>4129</v>
      </c>
      <c r="H529" s="91">
        <v>100</v>
      </c>
      <c r="I529" s="91" t="s">
        <v>89</v>
      </c>
      <c r="J529" s="91" t="s">
        <v>8</v>
      </c>
      <c r="K529" s="92" t="s">
        <v>10</v>
      </c>
      <c r="L529" s="93" t="str">
        <f>VLOOKUP(G529,'SKU 对应关系'!A:E,4,0)</f>
        <v>RD2KIT-B_2X30K06_TZ</v>
      </c>
      <c r="M529" s="94" t="str">
        <f>_xlfn.IFNA(VLOOKUP(G529,'SKU 对应关系'!A:B,2,0),"")</f>
        <v>RD2KIT-B_2X30K06_TZ RD2黑色机器+2X30mL酒店香氛油（天竺）  机油套装</v>
      </c>
      <c r="N529" s="95" t="str">
        <f>_xlfn.IFNA(VLOOKUP(G529,'SKU 对应关系'!$A:$D,3,0),"")</f>
        <v>RD2</v>
      </c>
      <c r="O529" s="96">
        <v>5</v>
      </c>
      <c r="P529" s="580">
        <v>67</v>
      </c>
      <c r="Q529" s="96" t="s">
        <v>16</v>
      </c>
      <c r="R529" s="91">
        <v>3.6</v>
      </c>
      <c r="S529" s="95"/>
      <c r="T529" s="98">
        <v>18.181818181818183</v>
      </c>
      <c r="U529" s="99">
        <f t="shared" si="63"/>
        <v>259.38181818181818</v>
      </c>
      <c r="V529" s="100">
        <f t="shared" si="64"/>
        <v>2.5938181818181816</v>
      </c>
      <c r="W529" s="101">
        <f t="shared" si="65"/>
        <v>0.38713704206241517</v>
      </c>
      <c r="X529" s="95"/>
      <c r="Y529" s="95"/>
      <c r="Z529" s="102"/>
      <c r="AA529" s="103">
        <v>46142</v>
      </c>
      <c r="AB529" s="103">
        <v>46166</v>
      </c>
      <c r="AC529" s="103"/>
      <c r="AD529" s="104">
        <f>IF(ISNA(VLOOKUP(D529,亚马逊入库配置费!B:F,5,0)),0,VLOOKUP(D529,亚马逊入库配置费!B:F,5,0))</f>
        <v>0.56000000000000005</v>
      </c>
      <c r="AE529" s="104">
        <f t="shared" si="62"/>
        <v>56.000000000000007</v>
      </c>
      <c r="AF529" s="103">
        <v>46181</v>
      </c>
      <c r="AG529" s="577">
        <f t="shared" si="66"/>
        <v>39</v>
      </c>
      <c r="AH529" s="103"/>
      <c r="AI529" s="96"/>
      <c r="AJ529" s="96"/>
      <c r="AK529" s="96"/>
      <c r="AL529" s="92"/>
      <c r="AM529" s="91"/>
      <c r="AN529" s="91"/>
      <c r="AO529" s="96"/>
      <c r="AP529" s="105"/>
      <c r="AQ529" s="105"/>
      <c r="AR529" s="105"/>
      <c r="AS529" s="105"/>
    </row>
    <row r="530" spans="1:45" ht="12" customHeight="1" x14ac:dyDescent="0.25">
      <c r="A530" s="90">
        <v>529</v>
      </c>
      <c r="B530" s="91"/>
      <c r="C530" s="91" t="s">
        <v>4509</v>
      </c>
      <c r="D530" s="92" t="s">
        <v>4520</v>
      </c>
      <c r="E530" s="91" t="s">
        <v>115</v>
      </c>
      <c r="F530" s="91" t="s">
        <v>0</v>
      </c>
      <c r="G530" s="56" t="s">
        <v>211</v>
      </c>
      <c r="H530" s="91">
        <v>150</v>
      </c>
      <c r="I530" s="91" t="s">
        <v>89</v>
      </c>
      <c r="J530" s="91" t="s">
        <v>8</v>
      </c>
      <c r="K530" s="92" t="s">
        <v>10</v>
      </c>
      <c r="L530" s="93" t="str">
        <f>VLOOKUP(G530,'SKU 对应关系'!A:E,4,0)</f>
        <v>ANX-B</v>
      </c>
      <c r="M530" s="94" t="str">
        <f>_xlfn.IFNA(VLOOKUP(G530,'SKU 对应关系'!A:B,2,0),"")</f>
        <v>ANX-B 便携式扩香仪 黑色</v>
      </c>
      <c r="N530" s="95" t="str">
        <f>_xlfn.IFNA(VLOOKUP(G530,'SKU 对应关系'!$A:$D,3,0),"")</f>
        <v>ANX</v>
      </c>
      <c r="O530" s="96">
        <v>5</v>
      </c>
      <c r="P530" s="580">
        <v>66.219512195121951</v>
      </c>
      <c r="Q530" s="96" t="s">
        <v>16</v>
      </c>
      <c r="R530" s="91">
        <v>3.6</v>
      </c>
      <c r="S530" s="95">
        <v>200</v>
      </c>
      <c r="T530" s="98">
        <v>10.75268817204301</v>
      </c>
      <c r="U530" s="99">
        <f t="shared" si="63"/>
        <v>249.14293207448205</v>
      </c>
      <c r="V530" s="100">
        <f t="shared" si="64"/>
        <v>1.660952880496547</v>
      </c>
      <c r="W530" s="101">
        <f t="shared" si="65"/>
        <v>0.24790341499948462</v>
      </c>
      <c r="X530" s="95"/>
      <c r="Y530" s="95"/>
      <c r="Z530" s="102"/>
      <c r="AA530" s="103">
        <v>46142</v>
      </c>
      <c r="AB530" s="103">
        <v>46166</v>
      </c>
      <c r="AC530" s="103"/>
      <c r="AD530" s="104">
        <f>IF(ISNA(VLOOKUP(D530,亚马逊入库配置费!B:F,5,0)),0,VLOOKUP(D530,亚马逊入库配置费!B:F,5,0))</f>
        <v>0.37157232704402515</v>
      </c>
      <c r="AE530" s="104">
        <f t="shared" si="62"/>
        <v>55.735849056603776</v>
      </c>
      <c r="AF530" s="103">
        <v>46183</v>
      </c>
      <c r="AG530" s="577">
        <f t="shared" si="66"/>
        <v>41</v>
      </c>
      <c r="AH530" s="103"/>
      <c r="AI530" s="96"/>
      <c r="AJ530" s="96"/>
      <c r="AK530" s="96"/>
      <c r="AL530" s="92"/>
      <c r="AM530" s="91"/>
      <c r="AN530" s="91"/>
      <c r="AO530" s="96"/>
      <c r="AP530" s="105"/>
      <c r="AQ530" s="105"/>
      <c r="AR530" s="105"/>
      <c r="AS530" s="105"/>
    </row>
    <row r="531" spans="1:45" ht="12" customHeight="1" x14ac:dyDescent="0.25">
      <c r="A531" s="90">
        <v>530</v>
      </c>
      <c r="B531" s="91"/>
      <c r="C531" s="91" t="s">
        <v>4509</v>
      </c>
      <c r="D531" s="92" t="s">
        <v>4520</v>
      </c>
      <c r="E531" s="91" t="s">
        <v>115</v>
      </c>
      <c r="F531" s="91" t="s">
        <v>0</v>
      </c>
      <c r="G531" s="56" t="s">
        <v>2195</v>
      </c>
      <c r="H531" s="91">
        <v>1360</v>
      </c>
      <c r="I531" s="91" t="s">
        <v>89</v>
      </c>
      <c r="J531" s="91" t="s">
        <v>8</v>
      </c>
      <c r="K531" s="92" t="s">
        <v>10</v>
      </c>
      <c r="L531" s="93" t="str">
        <f>VLOOKUP(G531,'SKU 对应关系'!A:E,4,0)</f>
        <v>ANZ-B</v>
      </c>
      <c r="M531" s="94" t="str">
        <f>_xlfn.IFNA(VLOOKUP(G531,'SKU 对应关系'!A:B,2,0),"")</f>
        <v>ANZ-B 便携式扩香仪 黑色</v>
      </c>
      <c r="N531" s="95" t="str">
        <f>_xlfn.IFNA(VLOOKUP(G531,'SKU 对应关系'!$A:$D,3,0),"")</f>
        <v>ANZ</v>
      </c>
      <c r="O531" s="96">
        <v>34</v>
      </c>
      <c r="P531" s="580">
        <v>450.29268292682929</v>
      </c>
      <c r="Q531" s="96" t="s">
        <v>16</v>
      </c>
      <c r="R531" s="91">
        <v>3.6</v>
      </c>
      <c r="S531" s="106">
        <v>200</v>
      </c>
      <c r="T531" s="98">
        <v>73.118279569892479</v>
      </c>
      <c r="U531" s="99">
        <f t="shared" si="63"/>
        <v>1694.1719381064781</v>
      </c>
      <c r="V531" s="100">
        <f t="shared" si="64"/>
        <v>1.2457146603724103</v>
      </c>
      <c r="W531" s="101">
        <f t="shared" si="65"/>
        <v>0.18592756124961346</v>
      </c>
      <c r="X531" s="95"/>
      <c r="Y531" s="95"/>
      <c r="Z531" s="102"/>
      <c r="AA531" s="103">
        <v>46142</v>
      </c>
      <c r="AB531" s="103">
        <v>46166</v>
      </c>
      <c r="AC531" s="103"/>
      <c r="AD531" s="104">
        <f>IF(ISNA(VLOOKUP(D531,亚马逊入库配置费!B:F,5,0)),0,VLOOKUP(D531,亚马逊入库配置费!B:F,5,0))</f>
        <v>0.37157232704402515</v>
      </c>
      <c r="AE531" s="104">
        <f t="shared" si="62"/>
        <v>505.33836477987421</v>
      </c>
      <c r="AF531" s="103">
        <v>46183</v>
      </c>
      <c r="AG531" s="577">
        <f t="shared" si="66"/>
        <v>41</v>
      </c>
      <c r="AH531" s="103"/>
      <c r="AI531" s="96"/>
      <c r="AJ531" s="96"/>
      <c r="AK531" s="96"/>
      <c r="AL531" s="92"/>
      <c r="AM531" s="91"/>
      <c r="AN531" s="91"/>
      <c r="AO531" s="96"/>
      <c r="AP531" s="105"/>
      <c r="AQ531" s="105"/>
      <c r="AR531" s="105"/>
      <c r="AS531" s="105"/>
    </row>
    <row r="532" spans="1:45" ht="12" customHeight="1" x14ac:dyDescent="0.25">
      <c r="A532" s="90">
        <v>531</v>
      </c>
      <c r="B532" s="91"/>
      <c r="C532" s="91" t="s">
        <v>4509</v>
      </c>
      <c r="D532" s="92" t="s">
        <v>4520</v>
      </c>
      <c r="E532" s="91" t="s">
        <v>115</v>
      </c>
      <c r="F532" s="91" t="s">
        <v>0</v>
      </c>
      <c r="G532" s="56" t="s">
        <v>2195</v>
      </c>
      <c r="H532" s="91">
        <v>40</v>
      </c>
      <c r="I532" s="91" t="s">
        <v>89</v>
      </c>
      <c r="J532" s="91" t="s">
        <v>8</v>
      </c>
      <c r="K532" s="92" t="s">
        <v>10</v>
      </c>
      <c r="L532" s="93" t="str">
        <f>VLOOKUP(G532,'SKU 对应关系'!A:E,4,0)</f>
        <v>ANZ-B</v>
      </c>
      <c r="M532" s="94" t="str">
        <f>_xlfn.IFNA(VLOOKUP(G532,'SKU 对应关系'!A:B,2,0),"")</f>
        <v>ANZ-B 便携式扩香仪 黑色</v>
      </c>
      <c r="N532" s="95" t="str">
        <f>_xlfn.IFNA(VLOOKUP(G532,'SKU 对应关系'!$A:$D,3,0),"")</f>
        <v>ANZ</v>
      </c>
      <c r="O532" s="96">
        <v>1</v>
      </c>
      <c r="P532" s="580">
        <v>13.24390243902439</v>
      </c>
      <c r="Q532" s="96" t="s">
        <v>16</v>
      </c>
      <c r="R532" s="91">
        <v>3.6</v>
      </c>
      <c r="S532" s="95"/>
      <c r="T532" s="98">
        <v>2.150537634408602</v>
      </c>
      <c r="U532" s="99">
        <f t="shared" si="63"/>
        <v>49.828586414896407</v>
      </c>
      <c r="V532" s="100">
        <f t="shared" si="64"/>
        <v>1.2457146603724101</v>
      </c>
      <c r="W532" s="101">
        <f t="shared" si="65"/>
        <v>0.18592756124961343</v>
      </c>
      <c r="X532" s="95"/>
      <c r="Y532" s="95"/>
      <c r="Z532" s="102"/>
      <c r="AA532" s="103">
        <v>46142</v>
      </c>
      <c r="AB532" s="103">
        <v>46166</v>
      </c>
      <c r="AC532" s="103"/>
      <c r="AD532" s="104">
        <f>IF(ISNA(VLOOKUP(D532,亚马逊入库配置费!B:F,5,0)),0,VLOOKUP(D532,亚马逊入库配置费!B:F,5,0))</f>
        <v>0.37157232704402515</v>
      </c>
      <c r="AE532" s="104">
        <f t="shared" si="62"/>
        <v>14.862893081761007</v>
      </c>
      <c r="AF532" s="103">
        <v>46183</v>
      </c>
      <c r="AG532" s="577">
        <f t="shared" si="66"/>
        <v>41</v>
      </c>
      <c r="AH532" s="103"/>
      <c r="AI532" s="96"/>
      <c r="AJ532" s="96"/>
      <c r="AK532" s="96"/>
      <c r="AL532" s="92"/>
      <c r="AM532" s="91"/>
      <c r="AN532" s="91"/>
      <c r="AO532" s="96"/>
      <c r="AP532" s="105"/>
      <c r="AQ532" s="105"/>
      <c r="AR532" s="105"/>
      <c r="AS532" s="105"/>
    </row>
    <row r="533" spans="1:45" ht="12" customHeight="1" x14ac:dyDescent="0.25">
      <c r="A533" s="90">
        <v>532</v>
      </c>
      <c r="B533" s="91"/>
      <c r="C533" s="91" t="s">
        <v>4509</v>
      </c>
      <c r="D533" s="92" t="s">
        <v>4520</v>
      </c>
      <c r="E533" s="91" t="s">
        <v>115</v>
      </c>
      <c r="F533" s="91" t="s">
        <v>0</v>
      </c>
      <c r="G533" s="56" t="s">
        <v>2197</v>
      </c>
      <c r="H533" s="91">
        <v>40</v>
      </c>
      <c r="I533" s="91" t="s">
        <v>89</v>
      </c>
      <c r="J533" s="91" t="s">
        <v>8</v>
      </c>
      <c r="K533" s="92" t="s">
        <v>10</v>
      </c>
      <c r="L533" s="93" t="str">
        <f>VLOOKUP(G533,'SKU 对应关系'!A:E,4,0)</f>
        <v>ANZ-WH</v>
      </c>
      <c r="M533" s="94" t="str">
        <f>_xlfn.IFNA(VLOOKUP(G533,'SKU 对应关系'!A:B,2,0),"")</f>
        <v>ANZ-WH 便携式扩香仪 白色</v>
      </c>
      <c r="N533" s="95" t="str">
        <f>_xlfn.IFNA(VLOOKUP(G533,'SKU 对应关系'!$A:$D,3,0),"")</f>
        <v>ANZ</v>
      </c>
      <c r="O533" s="96">
        <v>1</v>
      </c>
      <c r="P533" s="580">
        <v>13.24390243902439</v>
      </c>
      <c r="Q533" s="96" t="s">
        <v>16</v>
      </c>
      <c r="R533" s="91">
        <v>3.6</v>
      </c>
      <c r="S533" s="95"/>
      <c r="T533" s="98">
        <v>2.150537634408602</v>
      </c>
      <c r="U533" s="99">
        <f t="shared" si="63"/>
        <v>49.828586414896407</v>
      </c>
      <c r="V533" s="100">
        <f t="shared" si="64"/>
        <v>1.2457146603724101</v>
      </c>
      <c r="W533" s="101">
        <f t="shared" si="65"/>
        <v>0.18592756124961343</v>
      </c>
      <c r="X533" s="95"/>
      <c r="Y533" s="95"/>
      <c r="Z533" s="102"/>
      <c r="AA533" s="103">
        <v>46142</v>
      </c>
      <c r="AB533" s="103">
        <v>46166</v>
      </c>
      <c r="AC533" s="103"/>
      <c r="AD533" s="104">
        <f>IF(ISNA(VLOOKUP(D533,亚马逊入库配置费!B:F,5,0)),0,VLOOKUP(D533,亚马逊入库配置费!B:F,5,0))</f>
        <v>0.37157232704402515</v>
      </c>
      <c r="AE533" s="104">
        <f t="shared" si="62"/>
        <v>14.862893081761007</v>
      </c>
      <c r="AF533" s="103">
        <v>46183</v>
      </c>
      <c r="AG533" s="577">
        <f t="shared" si="66"/>
        <v>41</v>
      </c>
      <c r="AH533" s="103"/>
      <c r="AI533" s="96"/>
      <c r="AJ533" s="96"/>
      <c r="AK533" s="96"/>
      <c r="AL533" s="92"/>
      <c r="AM533" s="91"/>
      <c r="AN533" s="91"/>
      <c r="AO533" s="96"/>
      <c r="AP533" s="105"/>
      <c r="AQ533" s="105"/>
      <c r="AR533" s="105"/>
      <c r="AS533" s="105"/>
    </row>
    <row r="534" spans="1:45" ht="12" customHeight="1" x14ac:dyDescent="0.25">
      <c r="A534" s="90">
        <v>533</v>
      </c>
      <c r="B534" s="91"/>
      <c r="C534" s="91" t="s">
        <v>993</v>
      </c>
      <c r="D534" s="92" t="s">
        <v>4521</v>
      </c>
      <c r="E534" s="91" t="s">
        <v>97</v>
      </c>
      <c r="F534" s="91" t="s">
        <v>0</v>
      </c>
      <c r="G534" s="56" t="s">
        <v>163</v>
      </c>
      <c r="H534" s="91">
        <v>600</v>
      </c>
      <c r="I534" s="91" t="s">
        <v>117</v>
      </c>
      <c r="J534" s="91" t="s">
        <v>8</v>
      </c>
      <c r="K534" s="92" t="s">
        <v>15</v>
      </c>
      <c r="L534" s="93" t="str">
        <f>VLOOKUP(G534,'SKU 对应关系'!A:E,4,0)</f>
        <v>AN6-B</v>
      </c>
      <c r="M534" s="94" t="str">
        <f>_xlfn.IFNA(VLOOKUP(G534,'SKU 对应关系'!A:B,2,0),"")</f>
        <v>AN6-B 便携式扩香仪 黑色</v>
      </c>
      <c r="N534" s="95" t="str">
        <f>_xlfn.IFNA(VLOOKUP(G534,'SKU 对应关系'!$A:$D,3,0),"")</f>
        <v>AN6</v>
      </c>
      <c r="O534" s="96">
        <v>15</v>
      </c>
      <c r="P534" s="580">
        <v>208.12</v>
      </c>
      <c r="Q534" s="96" t="s">
        <v>16</v>
      </c>
      <c r="R534" s="91">
        <v>3.8</v>
      </c>
      <c r="S534" s="95">
        <v>200</v>
      </c>
      <c r="T534" s="98">
        <v>15</v>
      </c>
      <c r="U534" s="99">
        <f t="shared" si="63"/>
        <v>805.85599999999999</v>
      </c>
      <c r="V534" s="100">
        <f t="shared" si="64"/>
        <v>1.3430933333333333</v>
      </c>
      <c r="W534" s="101">
        <f t="shared" si="65"/>
        <v>0.20046169154228854</v>
      </c>
      <c r="X534" s="95"/>
      <c r="Y534" s="95"/>
      <c r="Z534" s="102"/>
      <c r="AA534" s="103">
        <v>46142</v>
      </c>
      <c r="AB534" s="103">
        <v>46166</v>
      </c>
      <c r="AC534" s="103"/>
      <c r="AD534" s="104">
        <f>IF(ISNA(VLOOKUP(D534,亚马逊入库配置费!B:F,5,0)),0,VLOOKUP(D534,亚马逊入库配置费!B:F,5,0))</f>
        <v>0.36</v>
      </c>
      <c r="AE534" s="104">
        <f t="shared" si="62"/>
        <v>216</v>
      </c>
      <c r="AF534" s="103">
        <v>46175</v>
      </c>
      <c r="AG534" s="577">
        <f t="shared" si="66"/>
        <v>33</v>
      </c>
      <c r="AH534" s="103"/>
      <c r="AI534" s="96"/>
      <c r="AJ534" s="96"/>
      <c r="AK534" s="96"/>
      <c r="AL534" s="92"/>
      <c r="AM534" s="91"/>
      <c r="AN534" s="91"/>
      <c r="AO534" s="96"/>
      <c r="AP534" s="105"/>
      <c r="AQ534" s="105"/>
      <c r="AR534" s="105"/>
      <c r="AS534" s="105"/>
    </row>
    <row r="535" spans="1:45" ht="12" customHeight="1" x14ac:dyDescent="0.25">
      <c r="A535" s="90">
        <v>534</v>
      </c>
      <c r="B535" s="91"/>
      <c r="C535" s="91" t="s">
        <v>4509</v>
      </c>
      <c r="D535" s="92" t="s">
        <v>4522</v>
      </c>
      <c r="E535" s="91" t="s">
        <v>97</v>
      </c>
      <c r="F535" s="91" t="s">
        <v>0</v>
      </c>
      <c r="G535" s="56" t="s">
        <v>2888</v>
      </c>
      <c r="H535" s="91">
        <v>300</v>
      </c>
      <c r="I535" s="91" t="s">
        <v>89</v>
      </c>
      <c r="J535" s="91" t="s">
        <v>8</v>
      </c>
      <c r="K535" s="92" t="s">
        <v>15</v>
      </c>
      <c r="L535" s="93" t="str">
        <f>VLOOKUP(G535,'SKU 对应关系'!A:E,4,0)</f>
        <v>ADXKIT-B_4X10K04_TZ</v>
      </c>
      <c r="M535" s="94" t="str">
        <f>_xlfn.IFNA(VLOOKUP(G535,'SKU 对应关系'!A:B,2,0),"")</f>
        <v>ADXKIT-B_4X10K04_TZ ADX黑色机器+4x10mL酒店（天竺）香氛油 机油套装</v>
      </c>
      <c r="N535" s="95" t="str">
        <f>_xlfn.IFNA(VLOOKUP(G535,'SKU 对应关系'!$A:$D,3,0),"")</f>
        <v>ADX</v>
      </c>
      <c r="O535" s="96">
        <v>10</v>
      </c>
      <c r="P535" s="580">
        <v>155.52500000000001</v>
      </c>
      <c r="Q535" s="96" t="s">
        <v>16</v>
      </c>
      <c r="R535" s="91">
        <v>4</v>
      </c>
      <c r="S535" s="95">
        <v>200</v>
      </c>
      <c r="T535" s="98">
        <v>21.50537634408602</v>
      </c>
      <c r="U535" s="99">
        <f t="shared" si="63"/>
        <v>643.60537634408604</v>
      </c>
      <c r="V535" s="100">
        <f t="shared" si="64"/>
        <v>2.1453512544802869</v>
      </c>
      <c r="W535" s="101">
        <f t="shared" si="65"/>
        <v>0.32020167977317715</v>
      </c>
      <c r="X535" s="95"/>
      <c r="Y535" s="95"/>
      <c r="Z535" s="102"/>
      <c r="AA535" s="103">
        <v>46142</v>
      </c>
      <c r="AB535" s="103">
        <v>46166</v>
      </c>
      <c r="AC535" s="103"/>
      <c r="AD535" s="104">
        <f>IF(ISNA(VLOOKUP(D535,亚马逊入库配置费!B:F,5,0)),0,VLOOKUP(D535,亚马逊入库配置费!B:F,5,0))</f>
        <v>0.44</v>
      </c>
      <c r="AE535" s="104">
        <f t="shared" ref="AE535:AE598" si="67">AD535*H535</f>
        <v>132</v>
      </c>
      <c r="AF535" s="103">
        <v>46181</v>
      </c>
      <c r="AG535" s="577">
        <f t="shared" si="66"/>
        <v>39</v>
      </c>
      <c r="AH535" s="103"/>
      <c r="AI535" s="96"/>
      <c r="AJ535" s="96"/>
      <c r="AK535" s="96"/>
      <c r="AL535" s="92"/>
      <c r="AM535" s="91"/>
      <c r="AN535" s="91"/>
      <c r="AO535" s="96"/>
      <c r="AP535" s="105"/>
      <c r="AQ535" s="105"/>
      <c r="AR535" s="105"/>
      <c r="AS535" s="105"/>
    </row>
    <row r="536" spans="1:45" ht="12" customHeight="1" x14ac:dyDescent="0.25">
      <c r="A536" s="90">
        <v>535</v>
      </c>
      <c r="B536" s="91"/>
      <c r="C536" s="91" t="s">
        <v>4509</v>
      </c>
      <c r="D536" s="92" t="s">
        <v>4522</v>
      </c>
      <c r="E536" s="91" t="s">
        <v>97</v>
      </c>
      <c r="F536" s="91" t="s">
        <v>0</v>
      </c>
      <c r="G536" s="56" t="s">
        <v>4230</v>
      </c>
      <c r="H536" s="91">
        <v>300</v>
      </c>
      <c r="I536" s="91" t="s">
        <v>89</v>
      </c>
      <c r="J536" s="91" t="s">
        <v>8</v>
      </c>
      <c r="K536" s="92" t="s">
        <v>15</v>
      </c>
      <c r="L536" s="93" t="str">
        <f>VLOOKUP(G536,'SKU 对应关系'!A:E,4,0)</f>
        <v>AN8KIT-WH_4X10K05_TZ</v>
      </c>
      <c r="M536" s="94" t="str">
        <f>_xlfn.IFNA(VLOOKUP(G536,'SKU 对应关系'!A:B,2,0),"")</f>
        <v>AN8KIT-WH_4X10K05_TZ AN8白色机器+4x10mL（天竺）酒店香氛油 机油套装</v>
      </c>
      <c r="N536" s="95" t="str">
        <f>_xlfn.IFNA(VLOOKUP(G536,'SKU 对应关系'!$A:$D,3,0),"")</f>
        <v>AN8</v>
      </c>
      <c r="O536" s="96">
        <v>10</v>
      </c>
      <c r="P536" s="580">
        <v>155.52500000000001</v>
      </c>
      <c r="Q536" s="96" t="s">
        <v>16</v>
      </c>
      <c r="R536" s="91">
        <v>4</v>
      </c>
      <c r="S536" s="106">
        <v>200</v>
      </c>
      <c r="T536" s="98">
        <v>21.50537634408602</v>
      </c>
      <c r="U536" s="99">
        <f t="shared" si="63"/>
        <v>643.60537634408604</v>
      </c>
      <c r="V536" s="100">
        <f t="shared" si="64"/>
        <v>2.1453512544802869</v>
      </c>
      <c r="W536" s="101">
        <f t="shared" si="65"/>
        <v>0.32020167977317715</v>
      </c>
      <c r="X536" s="95"/>
      <c r="Y536" s="95"/>
      <c r="Z536" s="102"/>
      <c r="AA536" s="103">
        <v>46142</v>
      </c>
      <c r="AB536" s="103">
        <v>46166</v>
      </c>
      <c r="AC536" s="103"/>
      <c r="AD536" s="104">
        <f>IF(ISNA(VLOOKUP(D536,亚马逊入库配置费!B:F,5,0)),0,VLOOKUP(D536,亚马逊入库配置费!B:F,5,0))</f>
        <v>0.44</v>
      </c>
      <c r="AE536" s="104">
        <f t="shared" si="67"/>
        <v>132</v>
      </c>
      <c r="AF536" s="103">
        <v>46181</v>
      </c>
      <c r="AG536" s="577">
        <f t="shared" si="66"/>
        <v>39</v>
      </c>
      <c r="AH536" s="103"/>
      <c r="AI536" s="96"/>
      <c r="AJ536" s="96"/>
      <c r="AK536" s="96"/>
      <c r="AL536" s="92"/>
      <c r="AM536" s="91"/>
      <c r="AN536" s="91"/>
      <c r="AO536" s="96"/>
      <c r="AP536" s="105"/>
      <c r="AQ536" s="105"/>
      <c r="AR536" s="105"/>
      <c r="AS536" s="105"/>
    </row>
    <row r="537" spans="1:45" ht="12" customHeight="1" x14ac:dyDescent="0.25">
      <c r="A537" s="90">
        <v>536</v>
      </c>
      <c r="B537" s="91"/>
      <c r="C537" s="91" t="s">
        <v>993</v>
      </c>
      <c r="D537" s="92" t="s">
        <v>4523</v>
      </c>
      <c r="E537" s="91" t="s">
        <v>97</v>
      </c>
      <c r="F537" s="91" t="s">
        <v>0</v>
      </c>
      <c r="G537" s="56" t="s">
        <v>88</v>
      </c>
      <c r="H537" s="91">
        <v>480</v>
      </c>
      <c r="I537" s="91" t="s">
        <v>117</v>
      </c>
      <c r="J537" s="91" t="s">
        <v>8</v>
      </c>
      <c r="K537" s="92" t="s">
        <v>15</v>
      </c>
      <c r="L537" s="93" t="str">
        <f>VLOOKUP(G537,'SKU 对应关系'!A:E,4,0)</f>
        <v>ANW-B</v>
      </c>
      <c r="M537" s="94" t="str">
        <f>_xlfn.IFNA(VLOOKUP(G537,'SKU 对应关系'!A:B,2,0),"")</f>
        <v>ANW-B 智能扩香仪 黑色</v>
      </c>
      <c r="N537" s="95" t="str">
        <f>_xlfn.IFNA(VLOOKUP(G537,'SKU 对应关系'!$A:$D,3,0),"")</f>
        <v>ANW</v>
      </c>
      <c r="O537" s="96">
        <v>40</v>
      </c>
      <c r="P537" s="580">
        <v>572.08333333333337</v>
      </c>
      <c r="Q537" s="96" t="s">
        <v>16</v>
      </c>
      <c r="R537" s="91">
        <v>3.8</v>
      </c>
      <c r="S537" s="95">
        <v>200</v>
      </c>
      <c r="T537" s="98">
        <v>40</v>
      </c>
      <c r="U537" s="99">
        <f t="shared" si="63"/>
        <v>2213.9166666666665</v>
      </c>
      <c r="V537" s="100">
        <f t="shared" si="64"/>
        <v>4.6123263888888886</v>
      </c>
      <c r="W537" s="101">
        <f t="shared" si="65"/>
        <v>0.68840692371475942</v>
      </c>
      <c r="X537" s="95"/>
      <c r="Y537" s="95"/>
      <c r="Z537" s="102"/>
      <c r="AA537" s="103">
        <v>46142</v>
      </c>
      <c r="AB537" s="103">
        <v>46166</v>
      </c>
      <c r="AC537" s="103"/>
      <c r="AD537" s="104">
        <f>IF(ISNA(VLOOKUP(D537,亚马逊入库配置费!B:F,5,0)),0,VLOOKUP(D537,亚马逊入库配置费!B:F,5,0))</f>
        <v>0.53203007518796996</v>
      </c>
      <c r="AE537" s="104">
        <f t="shared" si="67"/>
        <v>255.37443609022557</v>
      </c>
      <c r="AF537" s="103">
        <v>46177</v>
      </c>
      <c r="AG537" s="577">
        <f t="shared" si="66"/>
        <v>35</v>
      </c>
      <c r="AH537" s="103"/>
      <c r="AI537" s="96"/>
      <c r="AJ537" s="96"/>
      <c r="AK537" s="96"/>
      <c r="AL537" s="92"/>
      <c r="AM537" s="91"/>
      <c r="AN537" s="91"/>
      <c r="AO537" s="96"/>
      <c r="AP537" s="105"/>
      <c r="AQ537" s="105"/>
      <c r="AR537" s="105"/>
      <c r="AS537" s="105"/>
    </row>
    <row r="538" spans="1:45" ht="12" customHeight="1" x14ac:dyDescent="0.25">
      <c r="A538" s="90">
        <v>537</v>
      </c>
      <c r="B538" s="91"/>
      <c r="C538" s="91" t="s">
        <v>993</v>
      </c>
      <c r="D538" s="92" t="s">
        <v>4523</v>
      </c>
      <c r="E538" s="91" t="s">
        <v>97</v>
      </c>
      <c r="F538" s="91" t="s">
        <v>0</v>
      </c>
      <c r="G538" s="56" t="s">
        <v>93</v>
      </c>
      <c r="H538" s="91">
        <v>600</v>
      </c>
      <c r="I538" s="91" t="s">
        <v>117</v>
      </c>
      <c r="J538" s="91" t="s">
        <v>8</v>
      </c>
      <c r="K538" s="92" t="s">
        <v>15</v>
      </c>
      <c r="L538" s="93" t="str">
        <f>VLOOKUP(G538,'SKU 对应关系'!A:E,4,0)</f>
        <v>ANW-W</v>
      </c>
      <c r="M538" s="94" t="str">
        <f>_xlfn.IFNA(VLOOKUP(G538,'SKU 对应关系'!A:B,2,0),"")</f>
        <v>ANW-W 智能扩香仪 白色</v>
      </c>
      <c r="N538" s="95" t="str">
        <f>_xlfn.IFNA(VLOOKUP(G538,'SKU 对应关系'!$A:$D,3,0),"")</f>
        <v>ANW</v>
      </c>
      <c r="O538" s="96">
        <v>50</v>
      </c>
      <c r="P538" s="580">
        <v>715.10416666666674</v>
      </c>
      <c r="Q538" s="96" t="s">
        <v>16</v>
      </c>
      <c r="R538" s="91">
        <v>3.8</v>
      </c>
      <c r="S538" s="106">
        <v>200</v>
      </c>
      <c r="T538" s="98">
        <v>50</v>
      </c>
      <c r="U538" s="99">
        <f t="shared" si="63"/>
        <v>2767.3958333333335</v>
      </c>
      <c r="V538" s="100">
        <f t="shared" si="64"/>
        <v>4.6123263888888895</v>
      </c>
      <c r="W538" s="101">
        <f t="shared" si="65"/>
        <v>0.68840692371475964</v>
      </c>
      <c r="X538" s="95"/>
      <c r="Y538" s="95"/>
      <c r="Z538" s="102"/>
      <c r="AA538" s="103">
        <v>46142</v>
      </c>
      <c r="AB538" s="103">
        <v>46166</v>
      </c>
      <c r="AC538" s="103"/>
      <c r="AD538" s="104">
        <f>IF(ISNA(VLOOKUP(D538,亚马逊入库配置费!B:F,5,0)),0,VLOOKUP(D538,亚马逊入库配置费!B:F,5,0))</f>
        <v>0.53203007518796996</v>
      </c>
      <c r="AE538" s="104">
        <f t="shared" si="67"/>
        <v>319.21804511278197</v>
      </c>
      <c r="AF538" s="103">
        <v>46177</v>
      </c>
      <c r="AG538" s="577">
        <f t="shared" si="66"/>
        <v>35</v>
      </c>
      <c r="AH538" s="103"/>
      <c r="AI538" s="96"/>
      <c r="AJ538" s="96"/>
      <c r="AK538" s="96"/>
      <c r="AL538" s="92"/>
      <c r="AM538" s="91"/>
      <c r="AN538" s="91"/>
      <c r="AO538" s="96"/>
      <c r="AP538" s="105"/>
      <c r="AQ538" s="105"/>
      <c r="AR538" s="105"/>
      <c r="AS538" s="105"/>
    </row>
    <row r="539" spans="1:45" ht="12" customHeight="1" x14ac:dyDescent="0.25">
      <c r="A539" s="90">
        <v>538</v>
      </c>
      <c r="B539" s="91"/>
      <c r="C539" s="91" t="s">
        <v>993</v>
      </c>
      <c r="D539" s="92" t="s">
        <v>4523</v>
      </c>
      <c r="E539" s="91" t="s">
        <v>97</v>
      </c>
      <c r="F539" s="91" t="s">
        <v>0</v>
      </c>
      <c r="G539" s="56" t="s">
        <v>2172</v>
      </c>
      <c r="H539" s="91">
        <v>160</v>
      </c>
      <c r="I539" s="91" t="s">
        <v>117</v>
      </c>
      <c r="J539" s="91" t="s">
        <v>8</v>
      </c>
      <c r="K539" s="92" t="s">
        <v>15</v>
      </c>
      <c r="L539" s="93" t="str">
        <f>VLOOKUP(G539,'SKU 对应关系'!A:E,4,0)</f>
        <v>ANP-W_US</v>
      </c>
      <c r="M539" s="94" t="str">
        <f>_xlfn.IFNA(VLOOKUP(G539,'SKU 对应关系'!A:B,2,0),"")</f>
        <v>ANP-W_US 墙插式智能扩香仪 白色</v>
      </c>
      <c r="N539" s="95" t="str">
        <f>_xlfn.IFNA(VLOOKUP(G539,'SKU 对应关系'!$A:$D,3,0),"")</f>
        <v>ANP</v>
      </c>
      <c r="O539" s="96">
        <v>5</v>
      </c>
      <c r="P539" s="580">
        <v>71.510416666666671</v>
      </c>
      <c r="Q539" s="96" t="s">
        <v>16</v>
      </c>
      <c r="R539" s="91">
        <v>3.8</v>
      </c>
      <c r="S539" s="95"/>
      <c r="T539" s="98">
        <v>5</v>
      </c>
      <c r="U539" s="99">
        <f t="shared" si="63"/>
        <v>276.73958333333331</v>
      </c>
      <c r="V539" s="100">
        <f t="shared" si="64"/>
        <v>1.7296223958333332</v>
      </c>
      <c r="W539" s="101">
        <f t="shared" si="65"/>
        <v>0.25815259639303478</v>
      </c>
      <c r="X539" s="95"/>
      <c r="Y539" s="95"/>
      <c r="Z539" s="102"/>
      <c r="AA539" s="103">
        <v>46142</v>
      </c>
      <c r="AB539" s="103">
        <v>46166</v>
      </c>
      <c r="AC539" s="103"/>
      <c r="AD539" s="104">
        <f>IF(ISNA(VLOOKUP(D539,亚马逊入库配置费!B:F,5,0)),0,VLOOKUP(D539,亚马逊入库配置费!B:F,5,0))</f>
        <v>0.53203007518796996</v>
      </c>
      <c r="AE539" s="104">
        <f t="shared" si="67"/>
        <v>85.124812030075191</v>
      </c>
      <c r="AF539" s="103">
        <v>46177</v>
      </c>
      <c r="AG539" s="577">
        <f t="shared" si="66"/>
        <v>35</v>
      </c>
      <c r="AH539" s="103"/>
      <c r="AI539" s="96"/>
      <c r="AJ539" s="96"/>
      <c r="AK539" s="96"/>
      <c r="AL539" s="92"/>
      <c r="AM539" s="91"/>
      <c r="AN539" s="91"/>
      <c r="AO539" s="96"/>
      <c r="AP539" s="105"/>
      <c r="AQ539" s="105"/>
      <c r="AR539" s="105"/>
      <c r="AS539" s="105"/>
    </row>
    <row r="540" spans="1:45" ht="12" customHeight="1" x14ac:dyDescent="0.25">
      <c r="A540" s="90">
        <v>539</v>
      </c>
      <c r="B540" s="91"/>
      <c r="C540" s="91" t="s">
        <v>993</v>
      </c>
      <c r="D540" s="92" t="s">
        <v>4523</v>
      </c>
      <c r="E540" s="91" t="s">
        <v>97</v>
      </c>
      <c r="F540" s="91" t="s">
        <v>0</v>
      </c>
      <c r="G540" s="56" t="s">
        <v>98</v>
      </c>
      <c r="H540" s="91">
        <v>90</v>
      </c>
      <c r="I540" s="91" t="s">
        <v>117</v>
      </c>
      <c r="J540" s="91" t="s">
        <v>8</v>
      </c>
      <c r="K540" s="92" t="s">
        <v>15</v>
      </c>
      <c r="L540" s="93" t="str">
        <f>VLOOKUP(G540,'SKU 对应关系'!A:E,4,0)</f>
        <v>ANW-Wbot</v>
      </c>
      <c r="M540" s="94" t="str">
        <f>_xlfn.IFNA(VLOOKUP(G540,'SKU 对应关系'!A:B,2,0),"")</f>
        <v>ANW-Wbot ANW带盖瓶子 白喷头</v>
      </c>
      <c r="N540" s="95" t="str">
        <f>_xlfn.IFNA(VLOOKUP(G540,'SKU 对应关系'!$A:$D,3,0),"")</f>
        <v>ANW-AC</v>
      </c>
      <c r="O540" s="96">
        <v>1</v>
      </c>
      <c r="P540" s="580">
        <v>14.302083333333334</v>
      </c>
      <c r="Q540" s="96" t="s">
        <v>16</v>
      </c>
      <c r="R540" s="91">
        <v>3.8</v>
      </c>
      <c r="S540" s="95"/>
      <c r="T540" s="98">
        <v>1</v>
      </c>
      <c r="U540" s="99">
        <f t="shared" si="63"/>
        <v>55.347916666666663</v>
      </c>
      <c r="V540" s="100">
        <f t="shared" si="64"/>
        <v>0.6149768518518518</v>
      </c>
      <c r="W540" s="101">
        <f t="shared" si="65"/>
        <v>9.1787589828634594E-2</v>
      </c>
      <c r="X540" s="95"/>
      <c r="Y540" s="95"/>
      <c r="Z540" s="102"/>
      <c r="AA540" s="103">
        <v>46142</v>
      </c>
      <c r="AB540" s="103">
        <v>46166</v>
      </c>
      <c r="AC540" s="103"/>
      <c r="AD540" s="104">
        <f>IF(ISNA(VLOOKUP(D540,亚马逊入库配置费!B:F,5,0)),0,VLOOKUP(D540,亚马逊入库配置费!B:F,5,0))</f>
        <v>0.53203007518796996</v>
      </c>
      <c r="AE540" s="104">
        <f t="shared" si="67"/>
        <v>47.882706766917295</v>
      </c>
      <c r="AF540" s="103">
        <v>46177</v>
      </c>
      <c r="AG540" s="577">
        <f t="shared" si="66"/>
        <v>35</v>
      </c>
      <c r="AH540" s="103"/>
      <c r="AI540" s="96"/>
      <c r="AJ540" s="96"/>
      <c r="AK540" s="96"/>
      <c r="AL540" s="92"/>
      <c r="AM540" s="91"/>
      <c r="AN540" s="91"/>
      <c r="AO540" s="96"/>
      <c r="AP540" s="105"/>
      <c r="AQ540" s="105"/>
      <c r="AR540" s="105"/>
      <c r="AS540" s="105"/>
    </row>
    <row r="541" spans="1:45" ht="12" customHeight="1" x14ac:dyDescent="0.25">
      <c r="A541" s="90">
        <v>540</v>
      </c>
      <c r="B541" s="91"/>
      <c r="C541" s="91" t="s">
        <v>4509</v>
      </c>
      <c r="D541" s="92" t="s">
        <v>4524</v>
      </c>
      <c r="E541" s="91" t="s">
        <v>97</v>
      </c>
      <c r="F541" s="91" t="s">
        <v>0</v>
      </c>
      <c r="G541" s="56" t="s">
        <v>2177</v>
      </c>
      <c r="H541" s="91">
        <v>120</v>
      </c>
      <c r="I541" s="91" t="s">
        <v>89</v>
      </c>
      <c r="J541" s="91" t="s">
        <v>8</v>
      </c>
      <c r="K541" s="92" t="s">
        <v>15</v>
      </c>
      <c r="L541" s="93" t="str">
        <f>VLOOKUP(G541,'SKU 对应关系'!A:E,4,0)</f>
        <v>ANWKIT-B_US_2X100K03</v>
      </c>
      <c r="M541" s="94" t="str">
        <f>_xlfn.IFNA(VLOOKUP(G541,'SKU 对应关系'!A:B,2,0),"")</f>
        <v>ANWKIT-B_US_2X100K03 ANW黑色机器+2X100mL酒店香氛油（天竺） 机油套装</v>
      </c>
      <c r="N541" s="95" t="str">
        <f>_xlfn.IFNA(VLOOKUP(G541,'SKU 对应关系'!$A:$D,3,0),"")</f>
        <v>ANW</v>
      </c>
      <c r="O541" s="96">
        <v>10</v>
      </c>
      <c r="P541" s="580">
        <v>171</v>
      </c>
      <c r="Q541" s="96" t="s">
        <v>16</v>
      </c>
      <c r="R541" s="91">
        <v>5</v>
      </c>
      <c r="S541" s="95">
        <v>200</v>
      </c>
      <c r="T541" s="98">
        <v>21.50537634408602</v>
      </c>
      <c r="U541" s="99">
        <f t="shared" si="63"/>
        <v>876.50537634408602</v>
      </c>
      <c r="V541" s="100">
        <f t="shared" si="64"/>
        <v>7.3042114695340503</v>
      </c>
      <c r="W541" s="101">
        <f t="shared" si="65"/>
        <v>1.0901808163483657</v>
      </c>
      <c r="X541" s="95"/>
      <c r="Y541" s="95"/>
      <c r="Z541" s="102"/>
      <c r="AA541" s="103">
        <v>46142</v>
      </c>
      <c r="AB541" s="103">
        <v>46166</v>
      </c>
      <c r="AC541" s="103"/>
      <c r="AD541" s="104">
        <f>IF(ISNA(VLOOKUP(D541,亚马逊入库配置费!B:F,5,0)),0,VLOOKUP(D541,亚马逊入库配置费!B:F,5,0))</f>
        <v>0.56000000000000005</v>
      </c>
      <c r="AE541" s="104">
        <f t="shared" si="67"/>
        <v>67.2</v>
      </c>
      <c r="AF541" s="103">
        <v>46181</v>
      </c>
      <c r="AG541" s="577">
        <f t="shared" si="66"/>
        <v>39</v>
      </c>
      <c r="AH541" s="103"/>
      <c r="AI541" s="96"/>
      <c r="AJ541" s="96"/>
      <c r="AK541" s="96"/>
      <c r="AL541" s="92"/>
      <c r="AM541" s="91"/>
      <c r="AN541" s="91"/>
      <c r="AO541" s="96"/>
      <c r="AP541" s="105"/>
      <c r="AQ541" s="105"/>
      <c r="AR541" s="105"/>
      <c r="AS541" s="105"/>
    </row>
    <row r="542" spans="1:45" ht="12" customHeight="1" x14ac:dyDescent="0.25">
      <c r="A542" s="90">
        <v>541</v>
      </c>
      <c r="B542" s="91"/>
      <c r="C542" s="91" t="s">
        <v>1000</v>
      </c>
      <c r="D542" s="92" t="s">
        <v>4525</v>
      </c>
      <c r="E542" s="91" t="s">
        <v>4202</v>
      </c>
      <c r="F542" s="91" t="s">
        <v>0</v>
      </c>
      <c r="G542" s="56" t="s">
        <v>4526</v>
      </c>
      <c r="H542" s="91">
        <v>153</v>
      </c>
      <c r="I542" s="91" t="s">
        <v>89</v>
      </c>
      <c r="J542" s="91" t="s">
        <v>8</v>
      </c>
      <c r="K542" s="92" t="s">
        <v>50</v>
      </c>
      <c r="L542" s="93" t="str">
        <f>VLOOKUP(G542,'SKU 对应关系'!A:E,4,0)</f>
        <v>U1KIT-B_US_2X50K01_TZ</v>
      </c>
      <c r="M542" s="94" t="str">
        <f>_xlfn.IFNA(VLOOKUP(G542,'SKU 对应关系'!A:B,2,0),"")</f>
        <v>U1KIT-B_US_2X50K01_TZ U1黑色机器+2X50mL酒店香氛油（天竺） 机油套装</v>
      </c>
      <c r="N542" s="95" t="str">
        <f>_xlfn.IFNA(VLOOKUP(G542,'SKU 对应关系'!$A:$D,3,0),"")</f>
        <v>U1</v>
      </c>
      <c r="O542" s="96">
        <v>17</v>
      </c>
      <c r="P542" s="580">
        <v>281</v>
      </c>
      <c r="Q542" s="96" t="s">
        <v>16</v>
      </c>
      <c r="R542" s="91">
        <v>5.0999999999999996</v>
      </c>
      <c r="S542" s="95">
        <v>200</v>
      </c>
      <c r="T542" s="98">
        <v>61.81818181818182</v>
      </c>
      <c r="U542" s="99">
        <f t="shared" si="63"/>
        <v>1494.9181818181817</v>
      </c>
      <c r="V542" s="100">
        <f t="shared" si="64"/>
        <v>9.7707070707070702</v>
      </c>
      <c r="W542" s="101">
        <f t="shared" si="65"/>
        <v>1.4583144881652343</v>
      </c>
      <c r="X542" s="95"/>
      <c r="Y542" s="95"/>
      <c r="Z542" s="102"/>
      <c r="AA542" s="103">
        <v>46142</v>
      </c>
      <c r="AB542" s="103">
        <v>46166</v>
      </c>
      <c r="AC542" s="103"/>
      <c r="AD542" s="104">
        <f>IF(ISNA(VLOOKUP(D542,亚马逊入库配置费!B:F,5,0)),0,VLOOKUP(D542,亚马逊入库配置费!B:F,5,0))</f>
        <v>0.56000000000000005</v>
      </c>
      <c r="AE542" s="104">
        <f t="shared" si="67"/>
        <v>85.68</v>
      </c>
      <c r="AF542" s="103">
        <v>46182</v>
      </c>
      <c r="AG542" s="577">
        <f t="shared" si="66"/>
        <v>40</v>
      </c>
      <c r="AH542" s="103"/>
      <c r="AI542" s="96"/>
      <c r="AJ542" s="96"/>
      <c r="AK542" s="96"/>
      <c r="AL542" s="92"/>
      <c r="AM542" s="91"/>
      <c r="AN542" s="91"/>
      <c r="AO542" s="96"/>
      <c r="AP542" s="105"/>
      <c r="AQ542" s="105"/>
      <c r="AR542" s="105"/>
      <c r="AS542" s="105"/>
    </row>
    <row r="543" spans="1:45" ht="12" customHeight="1" x14ac:dyDescent="0.25">
      <c r="A543" s="90">
        <v>542</v>
      </c>
      <c r="B543" s="91"/>
      <c r="C543" s="91" t="s">
        <v>1000</v>
      </c>
      <c r="D543" s="92" t="s">
        <v>4527</v>
      </c>
      <c r="E543" s="91" t="s">
        <v>4202</v>
      </c>
      <c r="F543" s="91" t="s">
        <v>0</v>
      </c>
      <c r="G543" s="56" t="s">
        <v>4528</v>
      </c>
      <c r="H543" s="91">
        <v>153</v>
      </c>
      <c r="I543" s="91" t="s">
        <v>89</v>
      </c>
      <c r="J543" s="91" t="s">
        <v>8</v>
      </c>
      <c r="K543" s="92" t="s">
        <v>9</v>
      </c>
      <c r="L543" s="93" t="str">
        <f>VLOOKUP(G543,'SKU 对应关系'!A:E,4,0)</f>
        <v>U1-B_US</v>
      </c>
      <c r="M543" s="94" t="str">
        <f>_xlfn.IFNA(VLOOKUP(G543,'SKU 对应关系'!A:B,2,0),"")</f>
        <v>U1-B_US 智能扩香仪 黑色</v>
      </c>
      <c r="N543" s="95" t="str">
        <f>_xlfn.IFNA(VLOOKUP(G543,'SKU 对应关系'!$A:$D,3,0),"")</f>
        <v>U1</v>
      </c>
      <c r="O543" s="96">
        <v>17</v>
      </c>
      <c r="P543" s="580">
        <v>280</v>
      </c>
      <c r="Q543" s="96" t="s">
        <v>16</v>
      </c>
      <c r="R543" s="91">
        <v>5.0999999999999996</v>
      </c>
      <c r="S543" s="106">
        <v>200</v>
      </c>
      <c r="T543" s="98">
        <v>61.81818181818182</v>
      </c>
      <c r="U543" s="99">
        <f t="shared" si="63"/>
        <v>1489.8181818181818</v>
      </c>
      <c r="V543" s="100">
        <f t="shared" si="64"/>
        <v>9.737373737373737</v>
      </c>
      <c r="W543" s="101">
        <f t="shared" si="65"/>
        <v>1.4533393637871248</v>
      </c>
      <c r="X543" s="95"/>
      <c r="Y543" s="95"/>
      <c r="Z543" s="102"/>
      <c r="AA543" s="103">
        <v>46142</v>
      </c>
      <c r="AB543" s="103">
        <v>46166</v>
      </c>
      <c r="AC543" s="103"/>
      <c r="AD543" s="104">
        <f>IF(ISNA(VLOOKUP(D543,亚马逊入库配置费!B:F,5,0)),0,VLOOKUP(D543,亚马逊入库配置费!B:F,5,0))</f>
        <v>0.35</v>
      </c>
      <c r="AE543" s="104">
        <f t="shared" si="67"/>
        <v>53.55</v>
      </c>
      <c r="AF543" s="103">
        <v>46181</v>
      </c>
      <c r="AG543" s="577">
        <f t="shared" si="66"/>
        <v>39</v>
      </c>
      <c r="AH543" s="103"/>
      <c r="AI543" s="96"/>
      <c r="AJ543" s="96"/>
      <c r="AK543" s="96"/>
      <c r="AL543" s="92"/>
      <c r="AM543" s="91"/>
      <c r="AN543" s="91"/>
      <c r="AO543" s="96"/>
      <c r="AP543" s="105"/>
      <c r="AQ543" s="105"/>
      <c r="AR543" s="105"/>
      <c r="AS543" s="105"/>
    </row>
    <row r="544" spans="1:45" ht="12" customHeight="1" x14ac:dyDescent="0.25">
      <c r="A544" s="90">
        <v>543</v>
      </c>
      <c r="B544" s="91"/>
      <c r="C544" s="91" t="s">
        <v>977</v>
      </c>
      <c r="D544" s="92" t="s">
        <v>4529</v>
      </c>
      <c r="E544" s="91" t="s">
        <v>115</v>
      </c>
      <c r="F544" s="91" t="s">
        <v>0</v>
      </c>
      <c r="G544" s="56" t="s">
        <v>2203</v>
      </c>
      <c r="H544" s="91">
        <v>180</v>
      </c>
      <c r="I544" s="91" t="s">
        <v>306</v>
      </c>
      <c r="J544" s="91" t="s">
        <v>8</v>
      </c>
      <c r="K544" s="92" t="s">
        <v>10</v>
      </c>
      <c r="L544" s="93" t="str">
        <f>VLOOKUP(G544,'SKU 对应关系'!A:E,4,0)</f>
        <v>BLG1-100ML</v>
      </c>
      <c r="M544" s="94" t="str">
        <f>_xlfn.IFNA(VLOOKUP(G544,'SKU 对应关系'!A:B,2,0),"")</f>
        <v>BLG1-100ML 百乐宫酒店香氛油100mL</v>
      </c>
      <c r="N544" s="95" t="str">
        <f>_xlfn.IFNA(VLOOKUP(G544,'SKU 对应关系'!$A:$D,3,0),"")</f>
        <v>Oil-HQ</v>
      </c>
      <c r="O544" s="96">
        <v>2</v>
      </c>
      <c r="P544" s="580">
        <v>40.285714285714285</v>
      </c>
      <c r="Q544" s="96" t="s">
        <v>16</v>
      </c>
      <c r="R544" s="91">
        <v>5.4</v>
      </c>
      <c r="S544" s="95">
        <v>200</v>
      </c>
      <c r="T544" s="98">
        <v>57.142857142857146</v>
      </c>
      <c r="U544" s="99">
        <f t="shared" si="63"/>
        <v>274.68571428571431</v>
      </c>
      <c r="V544" s="100">
        <f t="shared" si="64"/>
        <v>1.5260317460317461</v>
      </c>
      <c r="W544" s="101">
        <f t="shared" si="65"/>
        <v>0.22776593224354419</v>
      </c>
      <c r="X544" s="95"/>
      <c r="Y544" s="95"/>
      <c r="Z544" s="102"/>
      <c r="AA544" s="103">
        <v>46142</v>
      </c>
      <c r="AB544" s="103">
        <v>46164</v>
      </c>
      <c r="AC544" s="103"/>
      <c r="AD544" s="104">
        <f>IF(ISNA(VLOOKUP(D544,亚马逊入库配置费!B:F,5,0)),0,VLOOKUP(D544,亚马逊入库配置费!B:F,5,0))</f>
        <v>0.22575000000000001</v>
      </c>
      <c r="AE544" s="104">
        <f t="shared" si="67"/>
        <v>40.634999999999998</v>
      </c>
      <c r="AF544" s="103">
        <v>46172</v>
      </c>
      <c r="AG544" s="577">
        <f t="shared" si="66"/>
        <v>30</v>
      </c>
      <c r="AH544" s="103"/>
      <c r="AI544" s="96"/>
      <c r="AJ544" s="96"/>
      <c r="AK544" s="96"/>
      <c r="AL544" s="92"/>
      <c r="AM544" s="91"/>
      <c r="AN544" s="91"/>
      <c r="AO544" s="96"/>
      <c r="AP544" s="105"/>
      <c r="AQ544" s="105"/>
      <c r="AR544" s="105"/>
      <c r="AS544" s="105"/>
    </row>
    <row r="545" spans="1:45" ht="12" customHeight="1" x14ac:dyDescent="0.25">
      <c r="A545" s="90">
        <v>544</v>
      </c>
      <c r="B545" s="91"/>
      <c r="C545" s="91" t="s">
        <v>977</v>
      </c>
      <c r="D545" s="92" t="s">
        <v>4529</v>
      </c>
      <c r="E545" s="91" t="s">
        <v>115</v>
      </c>
      <c r="F545" s="91" t="s">
        <v>0</v>
      </c>
      <c r="G545" s="56" t="s">
        <v>2981</v>
      </c>
      <c r="H545" s="91">
        <v>152</v>
      </c>
      <c r="I545" s="91" t="s">
        <v>306</v>
      </c>
      <c r="J545" s="91" t="s">
        <v>8</v>
      </c>
      <c r="K545" s="92" t="s">
        <v>10</v>
      </c>
      <c r="L545" s="93" t="str">
        <f>VLOOKUP(G545,'SKU 对应关系'!A:E,4,0)</f>
        <v>HOTEL6KIT1-6X10K01</v>
      </c>
      <c r="M545" s="94" t="str">
        <f>_xlfn.IFNA(VLOOKUP(G545,'SKU 对应关系'!A:B,2,0),"")</f>
        <v>HOTEL6KIT1-6X10K01 酒店香氛油6款10mL套装</v>
      </c>
      <c r="N545" s="95" t="str">
        <f>_xlfn.IFNA(VLOOKUP(G545,'SKU 对应关系'!$A:$D,3,0),"")</f>
        <v>Oil-HQ</v>
      </c>
      <c r="O545" s="96">
        <v>2</v>
      </c>
      <c r="P545" s="580">
        <v>40.285714285714285</v>
      </c>
      <c r="Q545" s="96" t="s">
        <v>16</v>
      </c>
      <c r="R545" s="91">
        <v>5.4</v>
      </c>
      <c r="S545" s="106">
        <v>200</v>
      </c>
      <c r="T545" s="98">
        <v>57.142857142857146</v>
      </c>
      <c r="U545" s="99">
        <f t="shared" si="63"/>
        <v>274.68571428571431</v>
      </c>
      <c r="V545" s="100">
        <f t="shared" si="64"/>
        <v>1.8071428571428574</v>
      </c>
      <c r="W545" s="101">
        <f t="shared" si="65"/>
        <v>0.26972281449893393</v>
      </c>
      <c r="X545" s="95"/>
      <c r="Y545" s="95"/>
      <c r="Z545" s="102"/>
      <c r="AA545" s="103">
        <v>46142</v>
      </c>
      <c r="AB545" s="103">
        <v>46164</v>
      </c>
      <c r="AC545" s="103"/>
      <c r="AD545" s="104">
        <f>IF(ISNA(VLOOKUP(D545,亚马逊入库配置费!B:F,5,0)),0,VLOOKUP(D545,亚马逊入库配置费!B:F,5,0))</f>
        <v>0.22575000000000001</v>
      </c>
      <c r="AE545" s="104">
        <f t="shared" si="67"/>
        <v>34.314</v>
      </c>
      <c r="AF545" s="103">
        <v>46172</v>
      </c>
      <c r="AG545" s="577">
        <f t="shared" si="66"/>
        <v>30</v>
      </c>
      <c r="AH545" s="103"/>
      <c r="AI545" s="96"/>
      <c r="AJ545" s="96"/>
      <c r="AK545" s="96"/>
      <c r="AL545" s="92"/>
      <c r="AM545" s="91"/>
      <c r="AN545" s="91"/>
      <c r="AO545" s="96"/>
      <c r="AP545" s="105"/>
      <c r="AQ545" s="105"/>
      <c r="AR545" s="105"/>
      <c r="AS545" s="105"/>
    </row>
    <row r="546" spans="1:45" ht="12" customHeight="1" x14ac:dyDescent="0.25">
      <c r="A546" s="90">
        <v>545</v>
      </c>
      <c r="B546" s="91"/>
      <c r="C546" s="91" t="s">
        <v>977</v>
      </c>
      <c r="D546" s="92" t="s">
        <v>4529</v>
      </c>
      <c r="E546" s="91" t="s">
        <v>115</v>
      </c>
      <c r="F546" s="91" t="s">
        <v>0</v>
      </c>
      <c r="G546" s="56" t="s">
        <v>1054</v>
      </c>
      <c r="H546" s="91">
        <v>90</v>
      </c>
      <c r="I546" s="91" t="s">
        <v>306</v>
      </c>
      <c r="J546" s="91" t="s">
        <v>8</v>
      </c>
      <c r="K546" s="92" t="s">
        <v>10</v>
      </c>
      <c r="L546" s="93" t="str">
        <f>VLOOKUP(G546,'SKU 对应关系'!A:E,4,0)</f>
        <v>A-JY-100</v>
      </c>
      <c r="M546" s="94" t="str">
        <f>_xlfn.IFNA(VLOOKUP(G546,'SKU 对应关系'!A:B,2,0),"")</f>
        <v>A-Grand Hyatt Hotel-100 君悦酒店香氛油100mL</v>
      </c>
      <c r="N546" s="95" t="str">
        <f>_xlfn.IFNA(VLOOKUP(G546,'SKU 对应关系'!$A:$D,3,0),"")</f>
        <v>Oil-HQ</v>
      </c>
      <c r="O546" s="96">
        <v>1</v>
      </c>
      <c r="P546" s="580">
        <v>20.142857142857142</v>
      </c>
      <c r="Q546" s="96" t="s">
        <v>16</v>
      </c>
      <c r="R546" s="91">
        <v>5.4</v>
      </c>
      <c r="S546" s="95"/>
      <c r="T546" s="98">
        <v>28.571428571428573</v>
      </c>
      <c r="U546" s="99">
        <f t="shared" si="63"/>
        <v>137.34285714285716</v>
      </c>
      <c r="V546" s="100">
        <f t="shared" si="64"/>
        <v>1.5260317460317461</v>
      </c>
      <c r="W546" s="101">
        <f t="shared" si="65"/>
        <v>0.22776593224354419</v>
      </c>
      <c r="X546" s="95"/>
      <c r="Y546" s="95"/>
      <c r="Z546" s="102"/>
      <c r="AA546" s="103">
        <v>46142</v>
      </c>
      <c r="AB546" s="103">
        <v>46164</v>
      </c>
      <c r="AC546" s="103"/>
      <c r="AD546" s="104">
        <f>IF(ISNA(VLOOKUP(D546,亚马逊入库配置费!B:F,5,0)),0,VLOOKUP(D546,亚马逊入库配置费!B:F,5,0))</f>
        <v>0.22575000000000001</v>
      </c>
      <c r="AE546" s="104">
        <f t="shared" si="67"/>
        <v>20.317499999999999</v>
      </c>
      <c r="AF546" s="103">
        <v>46172</v>
      </c>
      <c r="AG546" s="577">
        <f t="shared" si="66"/>
        <v>30</v>
      </c>
      <c r="AH546" s="103"/>
      <c r="AI546" s="96"/>
      <c r="AJ546" s="96"/>
      <c r="AK546" s="96"/>
      <c r="AL546" s="92"/>
      <c r="AM546" s="91"/>
      <c r="AN546" s="91"/>
      <c r="AO546" s="96"/>
      <c r="AP546" s="105"/>
      <c r="AQ546" s="105"/>
      <c r="AR546" s="105"/>
      <c r="AS546" s="105"/>
    </row>
    <row r="547" spans="1:45" ht="12" customHeight="1" x14ac:dyDescent="0.25">
      <c r="A547" s="90">
        <v>546</v>
      </c>
      <c r="B547" s="91"/>
      <c r="C547" s="91" t="s">
        <v>977</v>
      </c>
      <c r="D547" s="92" t="s">
        <v>4529</v>
      </c>
      <c r="E547" s="91" t="s">
        <v>115</v>
      </c>
      <c r="F547" s="91" t="s">
        <v>0</v>
      </c>
      <c r="G547" s="56" t="s">
        <v>650</v>
      </c>
      <c r="H547" s="91">
        <v>180</v>
      </c>
      <c r="I547" s="91" t="s">
        <v>306</v>
      </c>
      <c r="J547" s="91" t="s">
        <v>8</v>
      </c>
      <c r="K547" s="92" t="s">
        <v>10</v>
      </c>
      <c r="L547" s="93" t="str">
        <f>VLOOKUP(G547,'SKU 对应关系'!A:E,4,0)</f>
        <v>A-MT-100</v>
      </c>
      <c r="M547" s="94" t="str">
        <f>_xlfn.IFNA(VLOOKUP(G547,'SKU 对应关系'!A:B,2,0),"")</f>
        <v>A-Marriott Hotel 1-100 万豪酒店1香氛油100mL</v>
      </c>
      <c r="N547" s="95" t="str">
        <f>_xlfn.IFNA(VLOOKUP(G547,'SKU 对应关系'!$A:$D,3,0),"")</f>
        <v>Oil-HQ</v>
      </c>
      <c r="O547" s="96">
        <v>2</v>
      </c>
      <c r="P547" s="580">
        <v>40.285714285714285</v>
      </c>
      <c r="Q547" s="96" t="s">
        <v>16</v>
      </c>
      <c r="R547" s="91">
        <v>5.4</v>
      </c>
      <c r="S547" s="95"/>
      <c r="T547" s="98">
        <v>57.142857142857146</v>
      </c>
      <c r="U547" s="99">
        <f t="shared" si="63"/>
        <v>274.68571428571431</v>
      </c>
      <c r="V547" s="100">
        <f t="shared" si="64"/>
        <v>1.5260317460317461</v>
      </c>
      <c r="W547" s="101">
        <f t="shared" si="65"/>
        <v>0.22776593224354419</v>
      </c>
      <c r="X547" s="95"/>
      <c r="Y547" s="95"/>
      <c r="Z547" s="102"/>
      <c r="AA547" s="103">
        <v>46142</v>
      </c>
      <c r="AB547" s="103">
        <v>46164</v>
      </c>
      <c r="AC547" s="103"/>
      <c r="AD547" s="104">
        <f>IF(ISNA(VLOOKUP(D547,亚马逊入库配置费!B:F,5,0)),0,VLOOKUP(D547,亚马逊入库配置费!B:F,5,0))</f>
        <v>0.22575000000000001</v>
      </c>
      <c r="AE547" s="104">
        <f t="shared" si="67"/>
        <v>40.634999999999998</v>
      </c>
      <c r="AF547" s="103">
        <v>46172</v>
      </c>
      <c r="AG547" s="577">
        <f t="shared" si="66"/>
        <v>30</v>
      </c>
      <c r="AH547" s="103"/>
      <c r="AI547" s="96"/>
      <c r="AJ547" s="96"/>
      <c r="AK547" s="96"/>
      <c r="AL547" s="92"/>
      <c r="AM547" s="91"/>
      <c r="AN547" s="91"/>
      <c r="AO547" s="96"/>
      <c r="AP547" s="105"/>
      <c r="AQ547" s="105"/>
      <c r="AR547" s="105"/>
      <c r="AS547" s="105"/>
    </row>
    <row r="548" spans="1:45" ht="12" customHeight="1" x14ac:dyDescent="0.25">
      <c r="A548" s="90">
        <v>547</v>
      </c>
      <c r="B548" s="91" t="s">
        <v>4532</v>
      </c>
      <c r="C548" s="91" t="s">
        <v>989</v>
      </c>
      <c r="D548" s="92" t="s">
        <v>4530</v>
      </c>
      <c r="E548" s="91" t="s">
        <v>97</v>
      </c>
      <c r="F548" s="91" t="s">
        <v>0</v>
      </c>
      <c r="G548" s="56" t="s">
        <v>4214</v>
      </c>
      <c r="H548" s="91">
        <v>1280</v>
      </c>
      <c r="I548" s="91" t="s">
        <v>1767</v>
      </c>
      <c r="J548" s="91" t="s">
        <v>8</v>
      </c>
      <c r="K548" s="92" t="s">
        <v>32</v>
      </c>
      <c r="L548" s="93" t="str">
        <f>VLOOKUP(G548,'SKU 对应关系'!A:E,4,0)</f>
        <v>RZ1-100ML_TZ</v>
      </c>
      <c r="M548" s="94" t="str">
        <f>_xlfn.IFNA(VLOOKUP(G548,'SKU 对应关系'!A:B,2,0),"")</f>
        <v>RZ1-100ML_TZ 丽思卡尔顿酒店100mL香氛油（天竺） 销售包装</v>
      </c>
      <c r="N548" s="95" t="str">
        <f>_xlfn.IFNA(VLOOKUP(G548,'SKU 对应关系'!$A:$D,3,0),"")</f>
        <v>Oil-TZ</v>
      </c>
      <c r="O548" s="96">
        <v>20</v>
      </c>
      <c r="P548" s="580">
        <v>0.8</v>
      </c>
      <c r="Q548" s="96" t="s">
        <v>3264</v>
      </c>
      <c r="R548" s="91">
        <v>1240</v>
      </c>
      <c r="S548" s="95">
        <v>180</v>
      </c>
      <c r="T548" s="98">
        <v>90</v>
      </c>
      <c r="U548" s="99">
        <f t="shared" si="63"/>
        <v>1082</v>
      </c>
      <c r="V548" s="100">
        <f t="shared" si="64"/>
        <v>0.84531250000000002</v>
      </c>
      <c r="W548" s="101">
        <f t="shared" si="65"/>
        <v>0.1261660447761194</v>
      </c>
      <c r="X548" s="95"/>
      <c r="Y548" s="95"/>
      <c r="Z548" s="102"/>
      <c r="AA548" s="103">
        <v>46141</v>
      </c>
      <c r="AB548" s="103">
        <v>46165</v>
      </c>
      <c r="AC548" s="103"/>
      <c r="AD548" s="104">
        <f>IF(ISNA(VLOOKUP(D548,亚马逊入库配置费!B:F,5,0)),0,VLOOKUP(D548,亚马逊入库配置费!B:F,5,0))</f>
        <v>0.36579710144927535</v>
      </c>
      <c r="AE548" s="104">
        <f t="shared" si="67"/>
        <v>468.22028985507245</v>
      </c>
      <c r="AF548" s="103">
        <v>46181</v>
      </c>
      <c r="AG548" s="577">
        <f t="shared" si="66"/>
        <v>40</v>
      </c>
      <c r="AH548" s="103"/>
      <c r="AI548" s="96"/>
      <c r="AJ548" s="96"/>
      <c r="AK548" s="96"/>
      <c r="AL548" s="92"/>
      <c r="AM548" s="91"/>
      <c r="AN548" s="91"/>
      <c r="AO548" s="96"/>
      <c r="AP548" s="105"/>
      <c r="AQ548" s="105"/>
      <c r="AR548" s="105"/>
      <c r="AS548" s="105"/>
    </row>
    <row r="549" spans="1:45" ht="12" customHeight="1" x14ac:dyDescent="0.25">
      <c r="A549" s="90">
        <v>548</v>
      </c>
      <c r="B549" s="91"/>
      <c r="C549" s="91" t="s">
        <v>989</v>
      </c>
      <c r="D549" s="92" t="s">
        <v>4530</v>
      </c>
      <c r="E549" s="91" t="s">
        <v>97</v>
      </c>
      <c r="F549" s="91" t="s">
        <v>0</v>
      </c>
      <c r="G549" s="56" t="s">
        <v>4442</v>
      </c>
      <c r="H549" s="91">
        <v>100</v>
      </c>
      <c r="I549" s="91" t="s">
        <v>1767</v>
      </c>
      <c r="J549" s="91" t="s">
        <v>8</v>
      </c>
      <c r="K549" s="92" t="s">
        <v>32</v>
      </c>
      <c r="L549" s="93" t="str">
        <f>VLOOKUP(G549,'SKU 对应关系'!A:E,4,0)</f>
        <v>RZ1-500ML_TZ</v>
      </c>
      <c r="M549" s="94" t="str">
        <f>_xlfn.IFNA(VLOOKUP(G549,'SKU 对应关系'!A:B,2,0),"")</f>
        <v>RZ1-500ML_TZ 丽思卡尔顿酒店500mL香氛油（天竺） 销售包装</v>
      </c>
      <c r="N549" s="95" t="str">
        <f>_xlfn.IFNA(VLOOKUP(G549,'SKU 对应关系'!$A:$D,3,0),"")</f>
        <v>Oil-TZ</v>
      </c>
      <c r="O549" s="96">
        <v>5</v>
      </c>
      <c r="P549" s="580">
        <v>0.2</v>
      </c>
      <c r="Q549" s="96" t="s">
        <v>3264</v>
      </c>
      <c r="R549" s="91">
        <v>1240</v>
      </c>
      <c r="S549" s="106">
        <v>180</v>
      </c>
      <c r="T549" s="98">
        <v>22.5</v>
      </c>
      <c r="U549" s="99">
        <f t="shared" si="63"/>
        <v>270.5</v>
      </c>
      <c r="V549" s="100">
        <f t="shared" si="64"/>
        <v>2.7050000000000001</v>
      </c>
      <c r="W549" s="101">
        <f t="shared" si="65"/>
        <v>0.40373134328358207</v>
      </c>
      <c r="X549" s="95"/>
      <c r="Y549" s="95"/>
      <c r="Z549" s="102"/>
      <c r="AA549" s="103">
        <v>46141</v>
      </c>
      <c r="AB549" s="103">
        <v>46165</v>
      </c>
      <c r="AC549" s="103"/>
      <c r="AD549" s="104">
        <f>IF(ISNA(VLOOKUP(D549,亚马逊入库配置费!B:F,5,0)),0,VLOOKUP(D549,亚马逊入库配置费!B:F,5,0))</f>
        <v>0.36579710144927535</v>
      </c>
      <c r="AE549" s="104">
        <f t="shared" si="67"/>
        <v>36.579710144927532</v>
      </c>
      <c r="AF549" s="103">
        <v>46181</v>
      </c>
      <c r="AG549" s="577">
        <f t="shared" si="66"/>
        <v>40</v>
      </c>
      <c r="AH549" s="103"/>
      <c r="AI549" s="96"/>
      <c r="AJ549" s="96"/>
      <c r="AK549" s="96"/>
      <c r="AL549" s="92"/>
      <c r="AM549" s="91"/>
      <c r="AN549" s="91"/>
      <c r="AO549" s="96"/>
      <c r="AP549" s="105"/>
      <c r="AQ549" s="105"/>
      <c r="AR549" s="105"/>
      <c r="AS549" s="105"/>
    </row>
    <row r="550" spans="1:45" ht="12" customHeight="1" x14ac:dyDescent="0.25">
      <c r="A550" s="90">
        <v>549</v>
      </c>
      <c r="B550" s="91"/>
      <c r="C550" s="91" t="s">
        <v>989</v>
      </c>
      <c r="D550" s="92" t="s">
        <v>4531</v>
      </c>
      <c r="E550" s="91" t="s">
        <v>115</v>
      </c>
      <c r="F550" s="91" t="s">
        <v>0</v>
      </c>
      <c r="G550" s="56" t="s">
        <v>2864</v>
      </c>
      <c r="H550" s="91">
        <v>256</v>
      </c>
      <c r="I550" s="91" t="s">
        <v>1767</v>
      </c>
      <c r="J550" s="91" t="s">
        <v>8</v>
      </c>
      <c r="K550" s="92" t="s">
        <v>50</v>
      </c>
      <c r="L550" s="93" t="str">
        <f>VLOOKUP(G550,'SKU 对应关系'!A:E,4,0)</f>
        <v>BCRT1-100ML_TZ</v>
      </c>
      <c r="M550" s="94" t="str">
        <f>_xlfn.IFNA(VLOOKUP(G550,'SKU 对应关系'!A:B,2,0),"")</f>
        <v>BCRT1-100ML_TZ 巴卡拉酒店100mL香氛油（天竺） 销售包装</v>
      </c>
      <c r="N550" s="95" t="str">
        <f>_xlfn.IFNA(VLOOKUP(G550,'SKU 对应关系'!$A:$D,3,0),"")</f>
        <v>Oil-TZ</v>
      </c>
      <c r="O550" s="96">
        <v>4</v>
      </c>
      <c r="P550" s="580">
        <v>0.26666666666666666</v>
      </c>
      <c r="Q550" s="96" t="s">
        <v>3264</v>
      </c>
      <c r="R550" s="91">
        <v>1240</v>
      </c>
      <c r="S550" s="95"/>
      <c r="T550" s="98">
        <v>18</v>
      </c>
      <c r="U550" s="99">
        <f t="shared" si="63"/>
        <v>348.66666666666669</v>
      </c>
      <c r="V550" s="100">
        <f t="shared" si="64"/>
        <v>1.3619791666666667</v>
      </c>
      <c r="W550" s="101">
        <f t="shared" si="65"/>
        <v>0.20328047263681592</v>
      </c>
      <c r="X550" s="95"/>
      <c r="Y550" s="95"/>
      <c r="Z550" s="102"/>
      <c r="AA550" s="103">
        <v>46141</v>
      </c>
      <c r="AB550" s="103">
        <v>46165</v>
      </c>
      <c r="AC550" s="103"/>
      <c r="AD550" s="104">
        <f>IF(ISNA(VLOOKUP(D550,亚马逊入库配置费!B:F,5,0)),0,VLOOKUP(D550,亚马逊入库配置费!B:F,5,0))</f>
        <v>0.57408637873754154</v>
      </c>
      <c r="AE550" s="104">
        <f t="shared" si="67"/>
        <v>146.96611295681063</v>
      </c>
      <c r="AF550" s="103">
        <v>46170</v>
      </c>
      <c r="AG550" s="90">
        <f t="shared" si="66"/>
        <v>29</v>
      </c>
      <c r="AH550" s="103"/>
      <c r="AI550" s="96"/>
      <c r="AJ550" s="96"/>
      <c r="AK550" s="96"/>
      <c r="AL550" s="92"/>
      <c r="AM550" s="91"/>
      <c r="AN550" s="91"/>
      <c r="AO550" s="96"/>
      <c r="AP550" s="105"/>
      <c r="AQ550" s="105"/>
      <c r="AR550" s="105"/>
      <c r="AS550" s="105"/>
    </row>
    <row r="551" spans="1:45" ht="12" customHeight="1" x14ac:dyDescent="0.25">
      <c r="A551" s="90">
        <v>550</v>
      </c>
      <c r="B551" s="91"/>
      <c r="C551" s="91" t="s">
        <v>989</v>
      </c>
      <c r="D551" s="92" t="s">
        <v>4531</v>
      </c>
      <c r="E551" s="91" t="s">
        <v>115</v>
      </c>
      <c r="F551" s="91" t="s">
        <v>0</v>
      </c>
      <c r="G551" s="56" t="s">
        <v>2937</v>
      </c>
      <c r="H551" s="91">
        <v>192</v>
      </c>
      <c r="I551" s="91" t="s">
        <v>1767</v>
      </c>
      <c r="J551" s="91" t="s">
        <v>8</v>
      </c>
      <c r="K551" s="92" t="s">
        <v>50</v>
      </c>
      <c r="L551" s="93" t="str">
        <f>VLOOKUP(G551,'SKU 对应关系'!A:E,4,0)</f>
        <v>SJ1-100ML_TZ</v>
      </c>
      <c r="M551" s="94" t="str">
        <f>_xlfn.IFNA(VLOOKUP(G551,'SKU 对应关系'!A:B,2,0),"")</f>
        <v>SJ1-100ML_TZ 四季酒店100mL香氛油（天竺） 销售包装</v>
      </c>
      <c r="N551" s="95" t="str">
        <f>_xlfn.IFNA(VLOOKUP(G551,'SKU 对应关系'!$A:$D,3,0),"")</f>
        <v>Oil-TZ</v>
      </c>
      <c r="O551" s="96">
        <v>3</v>
      </c>
      <c r="P551" s="580">
        <v>0.2</v>
      </c>
      <c r="Q551" s="96" t="s">
        <v>3264</v>
      </c>
      <c r="R551" s="91">
        <v>1240</v>
      </c>
      <c r="S551" s="95"/>
      <c r="T551" s="98">
        <v>13.5</v>
      </c>
      <c r="U551" s="99">
        <f t="shared" si="63"/>
        <v>261.5</v>
      </c>
      <c r="V551" s="100">
        <f t="shared" si="64"/>
        <v>1.3619791666666667</v>
      </c>
      <c r="W551" s="101">
        <f t="shared" si="65"/>
        <v>0.20328047263681592</v>
      </c>
      <c r="X551" s="95"/>
      <c r="Y551" s="95"/>
      <c r="Z551" s="102"/>
      <c r="AA551" s="103">
        <v>46141</v>
      </c>
      <c r="AB551" s="103">
        <v>46165</v>
      </c>
      <c r="AC551" s="103"/>
      <c r="AD551" s="104">
        <f>IF(ISNA(VLOOKUP(D551,亚马逊入库配置费!B:F,5,0)),0,VLOOKUP(D551,亚马逊入库配置费!B:F,5,0))</f>
        <v>0.57408637873754154</v>
      </c>
      <c r="AE551" s="104">
        <f t="shared" si="67"/>
        <v>110.22458471760797</v>
      </c>
      <c r="AF551" s="103">
        <v>46170</v>
      </c>
      <c r="AG551" s="90">
        <f t="shared" si="66"/>
        <v>29</v>
      </c>
      <c r="AH551" s="103"/>
      <c r="AI551" s="96"/>
      <c r="AJ551" s="96"/>
      <c r="AK551" s="96"/>
      <c r="AL551" s="92"/>
      <c r="AM551" s="91"/>
      <c r="AN551" s="91"/>
      <c r="AO551" s="96"/>
      <c r="AP551" s="105"/>
      <c r="AQ551" s="105"/>
      <c r="AR551" s="105"/>
      <c r="AS551" s="105"/>
    </row>
    <row r="552" spans="1:45" ht="12" customHeight="1" x14ac:dyDescent="0.25">
      <c r="A552" s="90">
        <v>551</v>
      </c>
      <c r="B552" s="91"/>
      <c r="C552" s="91" t="s">
        <v>989</v>
      </c>
      <c r="D552" s="92" t="s">
        <v>4531</v>
      </c>
      <c r="E552" s="91" t="s">
        <v>115</v>
      </c>
      <c r="F552" s="91" t="s">
        <v>0</v>
      </c>
      <c r="G552" s="56" t="s">
        <v>2863</v>
      </c>
      <c r="H552" s="91">
        <v>320</v>
      </c>
      <c r="I552" s="91" t="s">
        <v>1767</v>
      </c>
      <c r="J552" s="91" t="s">
        <v>8</v>
      </c>
      <c r="K552" s="92" t="s">
        <v>50</v>
      </c>
      <c r="L552" s="93" t="str">
        <f>VLOOKUP(G552,'SKU 对应关系'!A:E,4,0)</f>
        <v>W1-100ML_TZ</v>
      </c>
      <c r="M552" s="94" t="str">
        <f>_xlfn.IFNA(VLOOKUP(G552,'SKU 对应关系'!A:B,2,0),"")</f>
        <v>W1-100ML_TZ W酒店100mL香氛油（天竺） 销售包装</v>
      </c>
      <c r="N552" s="95" t="str">
        <f>_xlfn.IFNA(VLOOKUP(G552,'SKU 对应关系'!$A:$D,3,0),"")</f>
        <v>Oil-TZ</v>
      </c>
      <c r="O552" s="96">
        <v>5</v>
      </c>
      <c r="P552" s="580">
        <v>0.33333333333333331</v>
      </c>
      <c r="Q552" s="96" t="s">
        <v>3264</v>
      </c>
      <c r="R552" s="91">
        <v>1240</v>
      </c>
      <c r="S552" s="95"/>
      <c r="T552" s="98">
        <v>22.5</v>
      </c>
      <c r="U552" s="99">
        <f t="shared" si="63"/>
        <v>435.83333333333331</v>
      </c>
      <c r="V552" s="100">
        <f t="shared" si="64"/>
        <v>1.3619791666666665</v>
      </c>
      <c r="W552" s="101">
        <f t="shared" si="65"/>
        <v>0.2032804726368159</v>
      </c>
      <c r="X552" s="95"/>
      <c r="Y552" s="95"/>
      <c r="Z552" s="102"/>
      <c r="AA552" s="103">
        <v>46141</v>
      </c>
      <c r="AB552" s="103">
        <v>46165</v>
      </c>
      <c r="AC552" s="103"/>
      <c r="AD552" s="104">
        <f>IF(ISNA(VLOOKUP(D552,亚马逊入库配置费!B:F,5,0)),0,VLOOKUP(D552,亚马逊入库配置费!B:F,5,0))</f>
        <v>0.57408637873754154</v>
      </c>
      <c r="AE552" s="104">
        <f t="shared" si="67"/>
        <v>183.7076411960133</v>
      </c>
      <c r="AF552" s="103">
        <v>46170</v>
      </c>
      <c r="AG552" s="90">
        <f t="shared" si="66"/>
        <v>29</v>
      </c>
      <c r="AH552" s="103"/>
      <c r="AI552" s="96"/>
      <c r="AJ552" s="96"/>
      <c r="AK552" s="96"/>
      <c r="AL552" s="92"/>
      <c r="AM552" s="91"/>
      <c r="AN552" s="91"/>
      <c r="AO552" s="96"/>
      <c r="AP552" s="105"/>
      <c r="AQ552" s="105"/>
      <c r="AR552" s="105"/>
      <c r="AS552" s="105"/>
    </row>
    <row r="553" spans="1:45" ht="12" customHeight="1" x14ac:dyDescent="0.25">
      <c r="A553" s="90">
        <v>552</v>
      </c>
      <c r="B553" s="91"/>
      <c r="C553" s="91" t="s">
        <v>989</v>
      </c>
      <c r="D553" s="92" t="s">
        <v>4531</v>
      </c>
      <c r="E553" s="91" t="s">
        <v>115</v>
      </c>
      <c r="F553" s="91" t="s">
        <v>0</v>
      </c>
      <c r="G553" s="56" t="s">
        <v>2295</v>
      </c>
      <c r="H553" s="91">
        <v>192</v>
      </c>
      <c r="I553" s="91" t="s">
        <v>1767</v>
      </c>
      <c r="J553" s="91" t="s">
        <v>8</v>
      </c>
      <c r="K553" s="92" t="s">
        <v>50</v>
      </c>
      <c r="L553" s="93" t="str">
        <f>VLOOKUP(G553,'SKU 对应关系'!A:E,4,0)</f>
        <v>HILTON1-100ML_TZ</v>
      </c>
      <c r="M553" s="94" t="str">
        <f>_xlfn.IFNA(VLOOKUP(G553,'SKU 对应关系'!A:B,2,0),"")</f>
        <v>HILTON1-100ML_TZ 希尔顿酒店100mL香氛油（天竺） 销售包装</v>
      </c>
      <c r="N553" s="95" t="str">
        <f>_xlfn.IFNA(VLOOKUP(G553,'SKU 对应关系'!$A:$D,3,0),"")</f>
        <v>Oil-TZ</v>
      </c>
      <c r="O553" s="96">
        <v>3</v>
      </c>
      <c r="P553" s="580">
        <v>0.2</v>
      </c>
      <c r="Q553" s="96" t="s">
        <v>3264</v>
      </c>
      <c r="R553" s="91">
        <v>1240</v>
      </c>
      <c r="S553" s="95"/>
      <c r="T553" s="98">
        <v>13.5</v>
      </c>
      <c r="U553" s="99">
        <f t="shared" si="63"/>
        <v>261.5</v>
      </c>
      <c r="V553" s="100">
        <f t="shared" si="64"/>
        <v>1.3619791666666667</v>
      </c>
      <c r="W553" s="101">
        <f t="shared" si="65"/>
        <v>0.20328047263681592</v>
      </c>
      <c r="X553" s="95"/>
      <c r="Y553" s="95"/>
      <c r="Z553" s="102"/>
      <c r="AA553" s="103">
        <v>46141</v>
      </c>
      <c r="AB553" s="103">
        <v>46165</v>
      </c>
      <c r="AC553" s="103"/>
      <c r="AD553" s="104">
        <f>IF(ISNA(VLOOKUP(D553,亚马逊入库配置费!B:F,5,0)),0,VLOOKUP(D553,亚马逊入库配置费!B:F,5,0))</f>
        <v>0.57408637873754154</v>
      </c>
      <c r="AE553" s="104">
        <f t="shared" si="67"/>
        <v>110.22458471760797</v>
      </c>
      <c r="AF553" s="103">
        <v>46170</v>
      </c>
      <c r="AG553" s="90">
        <f t="shared" si="66"/>
        <v>29</v>
      </c>
      <c r="AH553" s="103"/>
      <c r="AI553" s="96"/>
      <c r="AJ553" s="96"/>
      <c r="AK553" s="96"/>
      <c r="AL553" s="92"/>
      <c r="AM553" s="91"/>
      <c r="AN553" s="91"/>
      <c r="AO553" s="96"/>
      <c r="AP553" s="105"/>
      <c r="AQ553" s="105"/>
      <c r="AR553" s="105"/>
      <c r="AS553" s="105"/>
    </row>
    <row r="554" spans="1:45" ht="12" customHeight="1" x14ac:dyDescent="0.25">
      <c r="A554" s="90">
        <v>553</v>
      </c>
      <c r="B554" s="91"/>
      <c r="C554" s="91" t="s">
        <v>4554</v>
      </c>
      <c r="D554" s="92" t="s">
        <v>4555</v>
      </c>
      <c r="E554" s="91" t="s">
        <v>97</v>
      </c>
      <c r="F554" s="91" t="s">
        <v>0</v>
      </c>
      <c r="G554" s="56" t="s">
        <v>2888</v>
      </c>
      <c r="H554" s="91">
        <v>300</v>
      </c>
      <c r="I554" s="91" t="s">
        <v>207</v>
      </c>
      <c r="J554" s="91" t="s">
        <v>4</v>
      </c>
      <c r="K554" s="92" t="s">
        <v>50</v>
      </c>
      <c r="L554" s="93" t="str">
        <f>VLOOKUP(G554,'SKU 对应关系'!A:E,4,0)</f>
        <v>ADXKIT-B_4X10K04_TZ</v>
      </c>
      <c r="M554" s="94" t="str">
        <f>_xlfn.IFNA(VLOOKUP(G554,'SKU 对应关系'!A:B,2,0),"")</f>
        <v>ADXKIT-B_4X10K04_TZ ADX黑色机器+4x10mL酒店（天竺）香氛油 机油套装</v>
      </c>
      <c r="N554" s="95" t="str">
        <f>_xlfn.IFNA(VLOOKUP(G554,'SKU 对应关系'!$A:$D,3,0),"")</f>
        <v>ADX</v>
      </c>
      <c r="O554" s="96">
        <v>10</v>
      </c>
      <c r="P554" s="580">
        <v>178</v>
      </c>
      <c r="Q554" s="96" t="s">
        <v>16</v>
      </c>
      <c r="R554" s="91">
        <v>9.4</v>
      </c>
      <c r="S554" s="95">
        <v>200</v>
      </c>
      <c r="T554" s="98">
        <v>200</v>
      </c>
      <c r="U554" s="99">
        <f t="shared" ref="U554:U572" si="68">R554*P554+T554</f>
        <v>1873.2</v>
      </c>
      <c r="V554" s="100">
        <f t="shared" ref="V554:V572" si="69">U554/H554</f>
        <v>6.2439999999999998</v>
      </c>
      <c r="W554" s="101">
        <f t="shared" ref="W554:W572" si="70">V554/6.7</f>
        <v>0.93194029850746263</v>
      </c>
      <c r="X554" s="95"/>
      <c r="Y554" s="95"/>
      <c r="Z554" s="102"/>
      <c r="AA554" s="103">
        <v>46151</v>
      </c>
      <c r="AB554" s="103">
        <v>46174</v>
      </c>
      <c r="AC554" s="103"/>
      <c r="AD554" s="104">
        <f>IF(ISNA(VLOOKUP(D554,亚马逊入库配置费!B:F,5,0)),0,VLOOKUP(D554,亚马逊入库配置费!B:F,5,0))</f>
        <v>0.44</v>
      </c>
      <c r="AE554" s="104">
        <f t="shared" si="67"/>
        <v>132</v>
      </c>
      <c r="AF554" s="103">
        <v>46180</v>
      </c>
      <c r="AG554" s="577">
        <f t="shared" si="66"/>
        <v>29</v>
      </c>
      <c r="AH554" s="103"/>
      <c r="AI554" s="96"/>
      <c r="AJ554" s="96"/>
      <c r="AK554" s="96"/>
      <c r="AL554" s="92"/>
      <c r="AM554" s="91"/>
      <c r="AN554" s="91"/>
      <c r="AO554" s="96"/>
      <c r="AP554" s="105"/>
      <c r="AQ554" s="105"/>
      <c r="AR554" s="105"/>
      <c r="AS554" s="105"/>
    </row>
    <row r="555" spans="1:45" ht="12" customHeight="1" x14ac:dyDescent="0.25">
      <c r="A555" s="90">
        <v>554</v>
      </c>
      <c r="B555" s="91"/>
      <c r="C555" s="91" t="s">
        <v>4556</v>
      </c>
      <c r="D555" s="92" t="s">
        <v>4557</v>
      </c>
      <c r="E555" s="91" t="s">
        <v>97</v>
      </c>
      <c r="F555" s="91" t="s">
        <v>0</v>
      </c>
      <c r="G555" s="56" t="s">
        <v>2887</v>
      </c>
      <c r="H555" s="91">
        <v>300</v>
      </c>
      <c r="I555" s="91" t="s">
        <v>207</v>
      </c>
      <c r="J555" s="91" t="s">
        <v>8</v>
      </c>
      <c r="K555" s="92" t="s">
        <v>50</v>
      </c>
      <c r="L555" s="93" t="str">
        <f>VLOOKUP(G555,'SKU 对应关系'!A:E,4,0)</f>
        <v>ADXKIT-DT_4X10K04_TZ</v>
      </c>
      <c r="M555" s="94" t="str">
        <f>_xlfn.IFNA(VLOOKUP(G555,'SKU 对应关系'!A:B,2,0),"")</f>
        <v>ADXKIT-DT_4X10K04_TZ AD钛色机器+4x10mL酒店（天竺）香氛油 机油套装</v>
      </c>
      <c r="N555" s="95" t="str">
        <f>_xlfn.IFNA(VLOOKUP(G555,'SKU 对应关系'!$A:$D,3,0),"")</f>
        <v>ADX</v>
      </c>
      <c r="O555" s="96">
        <v>10</v>
      </c>
      <c r="P555" s="580">
        <v>178</v>
      </c>
      <c r="Q555" s="96" t="s">
        <v>16</v>
      </c>
      <c r="R555" s="91">
        <v>4.0999999999999996</v>
      </c>
      <c r="S555" s="95">
        <v>200</v>
      </c>
      <c r="T555" s="98">
        <v>23.529411764705884</v>
      </c>
      <c r="U555" s="99">
        <f t="shared" si="68"/>
        <v>753.32941176470581</v>
      </c>
      <c r="V555" s="100">
        <f t="shared" si="69"/>
        <v>2.5110980392156859</v>
      </c>
      <c r="W555" s="101">
        <f t="shared" si="70"/>
        <v>0.37479075212174418</v>
      </c>
      <c r="X555" s="95"/>
      <c r="Y555" s="95"/>
      <c r="Z555" s="102"/>
      <c r="AA555" s="103">
        <v>46151</v>
      </c>
      <c r="AB555" s="103">
        <v>46171</v>
      </c>
      <c r="AC555" s="103"/>
      <c r="AD555" s="104">
        <f>IF(ISNA(VLOOKUP(D555,亚马逊入库配置费!B:F,5,0)),0,VLOOKUP(D555,亚马逊入库配置费!B:F,5,0))</f>
        <v>0.44</v>
      </c>
      <c r="AE555" s="104">
        <f t="shared" si="67"/>
        <v>132</v>
      </c>
      <c r="AF555" s="103"/>
      <c r="AG555" s="577">
        <f t="shared" si="66"/>
        <v>-46151</v>
      </c>
      <c r="AH555" s="103"/>
      <c r="AI555" s="96"/>
      <c r="AJ555" s="96"/>
      <c r="AK555" s="96"/>
      <c r="AL555" s="92"/>
      <c r="AM555" s="91"/>
      <c r="AN555" s="91"/>
      <c r="AO555" s="96"/>
      <c r="AP555" s="105"/>
      <c r="AQ555" s="105"/>
      <c r="AR555" s="105"/>
      <c r="AS555" s="105"/>
    </row>
    <row r="556" spans="1:45" ht="12" customHeight="1" x14ac:dyDescent="0.25">
      <c r="A556" s="90">
        <v>555</v>
      </c>
      <c r="B556" s="91"/>
      <c r="C556" s="91" t="s">
        <v>4556</v>
      </c>
      <c r="D556" s="92" t="s">
        <v>4558</v>
      </c>
      <c r="E556" s="91" t="s">
        <v>97</v>
      </c>
      <c r="F556" s="91" t="s">
        <v>0</v>
      </c>
      <c r="G556" s="56" t="s">
        <v>163</v>
      </c>
      <c r="H556" s="91">
        <v>1200</v>
      </c>
      <c r="I556" s="91" t="s">
        <v>207</v>
      </c>
      <c r="J556" s="91" t="s">
        <v>8</v>
      </c>
      <c r="K556" s="92" t="s">
        <v>32</v>
      </c>
      <c r="L556" s="93" t="str">
        <f>VLOOKUP(G556,'SKU 对应关系'!A:E,4,0)</f>
        <v>AN6-B</v>
      </c>
      <c r="M556" s="94" t="str">
        <f>_xlfn.IFNA(VLOOKUP(G556,'SKU 对应关系'!A:B,2,0),"")</f>
        <v>AN6-B 便携式扩香仪 黑色</v>
      </c>
      <c r="N556" s="95" t="str">
        <f>_xlfn.IFNA(VLOOKUP(G556,'SKU 对应关系'!$A:$D,3,0),"")</f>
        <v>AN6</v>
      </c>
      <c r="O556" s="96">
        <v>30</v>
      </c>
      <c r="P556" s="580">
        <v>417.85714285714289</v>
      </c>
      <c r="Q556" s="96" t="s">
        <v>16</v>
      </c>
      <c r="R556" s="91">
        <v>3.6</v>
      </c>
      <c r="S556" s="106">
        <v>200</v>
      </c>
      <c r="T556" s="98">
        <v>70.588235294117652</v>
      </c>
      <c r="U556" s="99">
        <f t="shared" si="68"/>
        <v>1574.873949579832</v>
      </c>
      <c r="V556" s="100">
        <f t="shared" si="69"/>
        <v>1.3123949579831933</v>
      </c>
      <c r="W556" s="101">
        <f t="shared" si="70"/>
        <v>0.19587984447510348</v>
      </c>
      <c r="X556" s="95"/>
      <c r="Y556" s="95"/>
      <c r="Z556" s="102"/>
      <c r="AA556" s="103">
        <v>46151</v>
      </c>
      <c r="AB556" s="103">
        <v>46171</v>
      </c>
      <c r="AC556" s="103"/>
      <c r="AD556" s="104">
        <f>IF(ISNA(VLOOKUP(D556,亚马逊入库配置费!B:F,5,0)),0,VLOOKUP(D556,亚马逊入库配置费!B:F,5,0))</f>
        <v>0.36888888888888888</v>
      </c>
      <c r="AE556" s="104">
        <f t="shared" si="67"/>
        <v>442.66666666666663</v>
      </c>
      <c r="AF556" s="103"/>
      <c r="AG556" s="577">
        <f t="shared" si="66"/>
        <v>-46151</v>
      </c>
      <c r="AH556" s="103"/>
      <c r="AI556" s="96"/>
      <c r="AJ556" s="96"/>
      <c r="AK556" s="96"/>
      <c r="AL556" s="92"/>
      <c r="AM556" s="91"/>
      <c r="AN556" s="91"/>
      <c r="AO556" s="96"/>
      <c r="AP556" s="105"/>
      <c r="AQ556" s="105"/>
      <c r="AR556" s="105"/>
      <c r="AS556" s="105"/>
    </row>
    <row r="557" spans="1:45" ht="12" customHeight="1" x14ac:dyDescent="0.25">
      <c r="A557" s="90">
        <v>556</v>
      </c>
      <c r="B557" s="91"/>
      <c r="C557" s="91" t="s">
        <v>4556</v>
      </c>
      <c r="D557" s="92" t="s">
        <v>4558</v>
      </c>
      <c r="E557" s="91" t="s">
        <v>97</v>
      </c>
      <c r="F557" s="91" t="s">
        <v>0</v>
      </c>
      <c r="G557" s="56" t="s">
        <v>350</v>
      </c>
      <c r="H557" s="91">
        <v>120</v>
      </c>
      <c r="I557" s="91" t="s">
        <v>207</v>
      </c>
      <c r="J557" s="91" t="s">
        <v>8</v>
      </c>
      <c r="K557" s="92" t="s">
        <v>32</v>
      </c>
      <c r="L557" s="93" t="str">
        <f>VLOOKUP(G557,'SKU 对应关系'!A:E,4,0)</f>
        <v>AN6-GL</v>
      </c>
      <c r="M557" s="94" t="str">
        <f>_xlfn.IFNA(VLOOKUP(G557,'SKU 对应关系'!A:B,2,0),"")</f>
        <v>AN6-GL 便携式扩香仪 翠百合色</v>
      </c>
      <c r="N557" s="95" t="str">
        <f>_xlfn.IFNA(VLOOKUP(G557,'SKU 对应关系'!$A:$D,3,0),"")</f>
        <v>AN6</v>
      </c>
      <c r="O557" s="96">
        <v>3</v>
      </c>
      <c r="P557" s="580">
        <v>41.785714285714285</v>
      </c>
      <c r="Q557" s="96" t="s">
        <v>16</v>
      </c>
      <c r="R557" s="91">
        <v>3.6</v>
      </c>
      <c r="S557" s="95"/>
      <c r="T557" s="98">
        <v>7.0588235294117645</v>
      </c>
      <c r="U557" s="99">
        <f t="shared" si="68"/>
        <v>157.48739495798318</v>
      </c>
      <c r="V557" s="100">
        <f t="shared" si="69"/>
        <v>1.3123949579831933</v>
      </c>
      <c r="W557" s="101">
        <f t="shared" si="70"/>
        <v>0.19587984447510348</v>
      </c>
      <c r="X557" s="95"/>
      <c r="Y557" s="95"/>
      <c r="Z557" s="102"/>
      <c r="AA557" s="103">
        <v>46151</v>
      </c>
      <c r="AB557" s="103">
        <v>46171</v>
      </c>
      <c r="AC557" s="103"/>
      <c r="AD557" s="104">
        <f>IF(ISNA(VLOOKUP(D557,亚马逊入库配置费!B:F,5,0)),0,VLOOKUP(D557,亚马逊入库配置费!B:F,5,0))</f>
        <v>0.36888888888888888</v>
      </c>
      <c r="AE557" s="104">
        <f t="shared" si="67"/>
        <v>44.266666666666666</v>
      </c>
      <c r="AF557" s="103"/>
      <c r="AG557" s="577">
        <f t="shared" si="66"/>
        <v>-46151</v>
      </c>
      <c r="AH557" s="103"/>
      <c r="AI557" s="96"/>
      <c r="AJ557" s="96"/>
      <c r="AK557" s="96"/>
      <c r="AL557" s="92"/>
      <c r="AM557" s="91"/>
      <c r="AN557" s="91"/>
      <c r="AO557" s="96"/>
      <c r="AP557" s="105"/>
      <c r="AQ557" s="105"/>
      <c r="AR557" s="105"/>
      <c r="AS557" s="105"/>
    </row>
    <row r="558" spans="1:45" ht="12" customHeight="1" x14ac:dyDescent="0.25">
      <c r="A558" s="90">
        <v>557</v>
      </c>
      <c r="B558" s="91"/>
      <c r="C558" s="91" t="s">
        <v>4556</v>
      </c>
      <c r="D558" s="92" t="s">
        <v>4558</v>
      </c>
      <c r="E558" s="91" t="s">
        <v>97</v>
      </c>
      <c r="F558" s="91" t="s">
        <v>0</v>
      </c>
      <c r="G558" s="56" t="s">
        <v>165</v>
      </c>
      <c r="H558" s="91">
        <v>1000</v>
      </c>
      <c r="I558" s="91" t="s">
        <v>207</v>
      </c>
      <c r="J558" s="91" t="s">
        <v>8</v>
      </c>
      <c r="K558" s="92" t="s">
        <v>32</v>
      </c>
      <c r="L558" s="93" t="str">
        <f>VLOOKUP(G558,'SKU 对应关系'!A:E,4,0)</f>
        <v>AN6-W</v>
      </c>
      <c r="M558" s="94" t="str">
        <f>_xlfn.IFNA(VLOOKUP(G558,'SKU 对应关系'!A:B,2,0),"")</f>
        <v>AN6-W 便携式扩香仪 白色</v>
      </c>
      <c r="N558" s="95" t="str">
        <f>_xlfn.IFNA(VLOOKUP(G558,'SKU 对应关系'!$A:$D,3,0),"")</f>
        <v>AN6</v>
      </c>
      <c r="O558" s="96">
        <v>25</v>
      </c>
      <c r="P558" s="580">
        <v>348.21428571428572</v>
      </c>
      <c r="Q558" s="96" t="s">
        <v>16</v>
      </c>
      <c r="R558" s="91">
        <v>3.6</v>
      </c>
      <c r="S558" s="95"/>
      <c r="T558" s="98">
        <v>58.823529411764703</v>
      </c>
      <c r="U558" s="99">
        <f t="shared" si="68"/>
        <v>1312.3949579831933</v>
      </c>
      <c r="V558" s="100">
        <f t="shared" si="69"/>
        <v>1.3123949579831933</v>
      </c>
      <c r="W558" s="101">
        <f t="shared" si="70"/>
        <v>0.19587984447510348</v>
      </c>
      <c r="X558" s="95"/>
      <c r="Y558" s="95"/>
      <c r="Z558" s="102"/>
      <c r="AA558" s="103">
        <v>46151</v>
      </c>
      <c r="AB558" s="103">
        <v>46171</v>
      </c>
      <c r="AC558" s="103"/>
      <c r="AD558" s="104">
        <f>IF(ISNA(VLOOKUP(D558,亚马逊入库配置费!B:F,5,0)),0,VLOOKUP(D558,亚马逊入库配置费!B:F,5,0))</f>
        <v>0.36888888888888888</v>
      </c>
      <c r="AE558" s="104">
        <f t="shared" si="67"/>
        <v>368.88888888888886</v>
      </c>
      <c r="AF558" s="103"/>
      <c r="AG558" s="577">
        <f t="shared" si="66"/>
        <v>-46151</v>
      </c>
      <c r="AH558" s="103"/>
      <c r="AI558" s="96"/>
      <c r="AJ558" s="96"/>
      <c r="AK558" s="96"/>
      <c r="AL558" s="92"/>
      <c r="AM558" s="91"/>
      <c r="AN558" s="91"/>
      <c r="AO558" s="96"/>
      <c r="AP558" s="105"/>
      <c r="AQ558" s="105"/>
      <c r="AR558" s="105"/>
      <c r="AS558" s="105"/>
    </row>
    <row r="559" spans="1:45" ht="12" customHeight="1" x14ac:dyDescent="0.25">
      <c r="A559" s="90">
        <v>558</v>
      </c>
      <c r="B559" s="91"/>
      <c r="C559" s="91" t="s">
        <v>4556</v>
      </c>
      <c r="D559" s="92" t="s">
        <v>4558</v>
      </c>
      <c r="E559" s="91" t="s">
        <v>97</v>
      </c>
      <c r="F559" s="91" t="s">
        <v>0</v>
      </c>
      <c r="G559" s="56" t="s">
        <v>786</v>
      </c>
      <c r="H559" s="91">
        <v>80</v>
      </c>
      <c r="I559" s="91" t="s">
        <v>207</v>
      </c>
      <c r="J559" s="91" t="s">
        <v>8</v>
      </c>
      <c r="K559" s="92" t="s">
        <v>32</v>
      </c>
      <c r="L559" s="93" t="str">
        <f>VLOOKUP(G559,'SKU 对应关系'!A:E,4,0)</f>
        <v>AN6-YG</v>
      </c>
      <c r="M559" s="94" t="str">
        <f>_xlfn.IFNA(VLOOKUP(G559,'SKU 对应关系'!A:B,2,0),"")</f>
        <v>AN6-YG 便携式扩香仪 乳酪色</v>
      </c>
      <c r="N559" s="95" t="str">
        <f>_xlfn.IFNA(VLOOKUP(G559,'SKU 对应关系'!$A:$D,3,0),"")</f>
        <v>AN6</v>
      </c>
      <c r="O559" s="96">
        <v>2</v>
      </c>
      <c r="P559" s="580">
        <v>27.857142857142858</v>
      </c>
      <c r="Q559" s="96" t="s">
        <v>16</v>
      </c>
      <c r="R559" s="91">
        <v>3.6</v>
      </c>
      <c r="S559" s="95"/>
      <c r="T559" s="98">
        <v>4.7058823529411766</v>
      </c>
      <c r="U559" s="99">
        <f t="shared" si="68"/>
        <v>104.99159663865547</v>
      </c>
      <c r="V559" s="100">
        <f t="shared" si="69"/>
        <v>1.3123949579831933</v>
      </c>
      <c r="W559" s="101">
        <f t="shared" si="70"/>
        <v>0.19587984447510348</v>
      </c>
      <c r="X559" s="95"/>
      <c r="Y559" s="95"/>
      <c r="Z559" s="102"/>
      <c r="AA559" s="103">
        <v>46151</v>
      </c>
      <c r="AB559" s="103">
        <v>46171</v>
      </c>
      <c r="AC559" s="103"/>
      <c r="AD559" s="104">
        <f>IF(ISNA(VLOOKUP(D559,亚马逊入库配置费!B:F,5,0)),0,VLOOKUP(D559,亚马逊入库配置费!B:F,5,0))</f>
        <v>0.36888888888888888</v>
      </c>
      <c r="AE559" s="104">
        <f t="shared" si="67"/>
        <v>29.511111111111109</v>
      </c>
      <c r="AF559" s="103"/>
      <c r="AG559" s="577">
        <f t="shared" si="66"/>
        <v>-46151</v>
      </c>
      <c r="AH559" s="103"/>
      <c r="AI559" s="96"/>
      <c r="AJ559" s="96"/>
      <c r="AK559" s="96"/>
      <c r="AL559" s="92"/>
      <c r="AM559" s="91"/>
      <c r="AN559" s="91"/>
      <c r="AO559" s="96"/>
      <c r="AP559" s="105"/>
      <c r="AQ559" s="105"/>
      <c r="AR559" s="105"/>
      <c r="AS559" s="105"/>
    </row>
    <row r="560" spans="1:45" ht="12" customHeight="1" x14ac:dyDescent="0.25">
      <c r="A560" s="90">
        <v>559</v>
      </c>
      <c r="B560" s="91"/>
      <c r="C560" s="91" t="s">
        <v>4556</v>
      </c>
      <c r="D560" s="92" t="s">
        <v>4558</v>
      </c>
      <c r="E560" s="91" t="s">
        <v>97</v>
      </c>
      <c r="F560" s="91" t="s">
        <v>0</v>
      </c>
      <c r="G560" s="56" t="s">
        <v>2279</v>
      </c>
      <c r="H560" s="91">
        <v>300</v>
      </c>
      <c r="I560" s="91" t="s">
        <v>207</v>
      </c>
      <c r="J560" s="91" t="s">
        <v>8</v>
      </c>
      <c r="K560" s="92" t="s">
        <v>32</v>
      </c>
      <c r="L560" s="93" t="str">
        <f>VLOOKUP(G560,'SKU 对应关系'!A:E,4,0)</f>
        <v>RD1-B</v>
      </c>
      <c r="M560" s="94" t="str">
        <f>_xlfn.IFNA(VLOOKUP(G560,'SKU 对应关系'!A:B,2,0),"")</f>
        <v>RD1-B 便携式扩香仪 黑色</v>
      </c>
      <c r="N560" s="95" t="str">
        <f>_xlfn.IFNA(VLOOKUP(G560,'SKU 对应关系'!$A:$D,3,0),"")</f>
        <v>RD1</v>
      </c>
      <c r="O560" s="96">
        <v>10</v>
      </c>
      <c r="P560" s="580">
        <v>139.28571428571428</v>
      </c>
      <c r="Q560" s="96" t="s">
        <v>16</v>
      </c>
      <c r="R560" s="91">
        <v>3.6</v>
      </c>
      <c r="S560" s="95"/>
      <c r="T560" s="98">
        <v>23.529411764705884</v>
      </c>
      <c r="U560" s="99">
        <f t="shared" si="68"/>
        <v>524.9579831932773</v>
      </c>
      <c r="V560" s="100">
        <f t="shared" si="69"/>
        <v>1.749859943977591</v>
      </c>
      <c r="W560" s="101">
        <f t="shared" si="70"/>
        <v>0.26117312596680464</v>
      </c>
      <c r="X560" s="95"/>
      <c r="Y560" s="95"/>
      <c r="Z560" s="102"/>
      <c r="AA560" s="103">
        <v>46151</v>
      </c>
      <c r="AB560" s="103">
        <v>46171</v>
      </c>
      <c r="AC560" s="103"/>
      <c r="AD560" s="104">
        <f>IF(ISNA(VLOOKUP(D560,亚马逊入库配置费!B:F,5,0)),0,VLOOKUP(D560,亚马逊入库配置费!B:F,5,0))</f>
        <v>0.36888888888888888</v>
      </c>
      <c r="AE560" s="104">
        <f t="shared" si="67"/>
        <v>110.66666666666666</v>
      </c>
      <c r="AF560" s="103"/>
      <c r="AG560" s="577">
        <f t="shared" si="66"/>
        <v>-46151</v>
      </c>
      <c r="AH560" s="103"/>
      <c r="AI560" s="96"/>
      <c r="AJ560" s="96"/>
      <c r="AK560" s="96"/>
      <c r="AL560" s="92"/>
      <c r="AM560" s="91"/>
      <c r="AN560" s="91"/>
      <c r="AO560" s="96"/>
      <c r="AP560" s="105"/>
      <c r="AQ560" s="105"/>
      <c r="AR560" s="105"/>
      <c r="AS560" s="105"/>
    </row>
    <row r="561" spans="1:45" ht="12" customHeight="1" x14ac:dyDescent="0.25">
      <c r="A561" s="90">
        <v>560</v>
      </c>
      <c r="B561" s="91"/>
      <c r="C561" s="91" t="s">
        <v>4559</v>
      </c>
      <c r="D561" s="92" t="s">
        <v>4533</v>
      </c>
      <c r="E561" s="91" t="s">
        <v>115</v>
      </c>
      <c r="F561" s="91" t="s">
        <v>0</v>
      </c>
      <c r="G561" s="56" t="s">
        <v>213</v>
      </c>
      <c r="H561" s="91">
        <v>90</v>
      </c>
      <c r="I561" s="91" t="s">
        <v>207</v>
      </c>
      <c r="J561" s="91" t="s">
        <v>8</v>
      </c>
      <c r="K561" s="92" t="s">
        <v>9</v>
      </c>
      <c r="L561" s="93" t="str">
        <f>VLOOKUP(G561,'SKU 对应关系'!A:E,4,0)</f>
        <v>ANX-DT</v>
      </c>
      <c r="M561" s="94" t="str">
        <f>_xlfn.IFNA(VLOOKUP(G561,'SKU 对应关系'!A:B,2,0),"")</f>
        <v>ANX-DT 便携式扩香仪 沙漠钛色</v>
      </c>
      <c r="N561" s="95" t="str">
        <f>_xlfn.IFNA(VLOOKUP(G561,'SKU 对应关系'!$A:$D,3,0),"")</f>
        <v>ANX</v>
      </c>
      <c r="O561" s="96">
        <v>3</v>
      </c>
      <c r="P561" s="580">
        <v>38</v>
      </c>
      <c r="Q561" s="96" t="s">
        <v>16</v>
      </c>
      <c r="R561" s="91">
        <v>4.4000000000000004</v>
      </c>
      <c r="S561" s="95">
        <v>200</v>
      </c>
      <c r="T561" s="98">
        <v>13.043478260869565</v>
      </c>
      <c r="U561" s="99">
        <f t="shared" si="68"/>
        <v>180.24347826086958</v>
      </c>
      <c r="V561" s="100">
        <f t="shared" si="69"/>
        <v>2.002705314009662</v>
      </c>
      <c r="W561" s="101">
        <f t="shared" si="70"/>
        <v>0.29891124089696447</v>
      </c>
      <c r="X561" s="95"/>
      <c r="Y561" s="95"/>
      <c r="Z561" s="102"/>
      <c r="AA561" s="103">
        <v>46151</v>
      </c>
      <c r="AB561" s="103">
        <v>46171</v>
      </c>
      <c r="AC561" s="103"/>
      <c r="AD561" s="104">
        <f>IF(ISNA(VLOOKUP(D561,亚马逊入库配置费!B:F,5,0)),0,VLOOKUP(D561,亚马逊入库配置费!B:F,5,0))</f>
        <v>0.44</v>
      </c>
      <c r="AE561" s="104">
        <f t="shared" si="67"/>
        <v>39.6</v>
      </c>
      <c r="AF561" s="103"/>
      <c r="AG561" s="577">
        <f t="shared" si="66"/>
        <v>-46151</v>
      </c>
      <c r="AH561" s="103"/>
      <c r="AI561" s="96"/>
      <c r="AJ561" s="96"/>
      <c r="AK561" s="96"/>
      <c r="AL561" s="92"/>
      <c r="AM561" s="91"/>
      <c r="AN561" s="91"/>
      <c r="AO561" s="96"/>
      <c r="AP561" s="105"/>
      <c r="AQ561" s="105"/>
      <c r="AR561" s="105"/>
      <c r="AS561" s="105"/>
    </row>
    <row r="562" spans="1:45" ht="12" customHeight="1" x14ac:dyDescent="0.25">
      <c r="A562" s="90">
        <v>561</v>
      </c>
      <c r="B562" s="91"/>
      <c r="C562" s="91" t="s">
        <v>4559</v>
      </c>
      <c r="D562" s="92" t="s">
        <v>4560</v>
      </c>
      <c r="E562" s="91" t="s">
        <v>2411</v>
      </c>
      <c r="F562" s="91" t="s">
        <v>0</v>
      </c>
      <c r="G562" s="56" t="s">
        <v>4212</v>
      </c>
      <c r="H562" s="91">
        <v>600</v>
      </c>
      <c r="I562" s="91" t="s">
        <v>207</v>
      </c>
      <c r="J562" s="91" t="s">
        <v>8</v>
      </c>
      <c r="K562" s="92" t="s">
        <v>46</v>
      </c>
      <c r="L562" s="93" t="str">
        <f>VLOOKUP(G562,'SKU 对应关系'!A:E,4,0)</f>
        <v>ANZKIT-B_BGR30ML_TZ</v>
      </c>
      <c r="M562" s="94" t="str">
        <f>_xlfn.IFNA(VLOOKUP(G562,'SKU 对应关系'!A:B,2,0),"")</f>
        <v>ANZKIT-B_BGR30ML_TZ ANZ黑色机器+30mL宝格丽酒店香氛油（天竺） 机油套装</v>
      </c>
      <c r="N562" s="95" t="str">
        <f>_xlfn.IFNA(VLOOKUP(G562,'SKU 对应关系'!$A:$D,3,0),"")</f>
        <v>ANZ</v>
      </c>
      <c r="O562" s="96">
        <v>20</v>
      </c>
      <c r="P562" s="580">
        <v>275.2</v>
      </c>
      <c r="Q562" s="96" t="s">
        <v>16</v>
      </c>
      <c r="R562" s="91">
        <v>4.5999999999999996</v>
      </c>
      <c r="S562" s="106">
        <v>200</v>
      </c>
      <c r="T562" s="98">
        <v>86.956521739130437</v>
      </c>
      <c r="U562" s="99">
        <f t="shared" si="68"/>
        <v>1352.8765217391303</v>
      </c>
      <c r="V562" s="100">
        <f t="shared" si="69"/>
        <v>2.2547942028985504</v>
      </c>
      <c r="W562" s="101">
        <f t="shared" si="70"/>
        <v>0.33653644819381345</v>
      </c>
      <c r="X562" s="95"/>
      <c r="Y562" s="95"/>
      <c r="Z562" s="102"/>
      <c r="AA562" s="103">
        <v>46151</v>
      </c>
      <c r="AB562" s="103">
        <v>46171</v>
      </c>
      <c r="AC562" s="103"/>
      <c r="AD562" s="104">
        <f>IF(ISNA(VLOOKUP(D562,亚马逊入库配置费!B:F,5,0)),0,VLOOKUP(D562,亚马逊入库配置费!B:F,5,0))</f>
        <v>0.44</v>
      </c>
      <c r="AE562" s="104">
        <f t="shared" si="67"/>
        <v>264</v>
      </c>
      <c r="AF562" s="103"/>
      <c r="AG562" s="577">
        <f t="shared" si="66"/>
        <v>-46151</v>
      </c>
      <c r="AH562" s="103"/>
      <c r="AI562" s="96"/>
      <c r="AJ562" s="96"/>
      <c r="AK562" s="96"/>
      <c r="AL562" s="92"/>
      <c r="AM562" s="91"/>
      <c r="AN562" s="91"/>
      <c r="AO562" s="96"/>
      <c r="AP562" s="105"/>
      <c r="AQ562" s="105"/>
      <c r="AR562" s="105"/>
      <c r="AS562" s="105"/>
    </row>
    <row r="563" spans="1:45" ht="12" customHeight="1" x14ac:dyDescent="0.25">
      <c r="A563" s="90">
        <v>562</v>
      </c>
      <c r="B563" s="91"/>
      <c r="C563" s="91" t="s">
        <v>4559</v>
      </c>
      <c r="D563" s="92" t="s">
        <v>4560</v>
      </c>
      <c r="E563" s="91" t="s">
        <v>2411</v>
      </c>
      <c r="F563" s="91" t="s">
        <v>0</v>
      </c>
      <c r="G563" s="56" t="s">
        <v>4209</v>
      </c>
      <c r="H563" s="91">
        <v>150</v>
      </c>
      <c r="I563" s="91" t="s">
        <v>207</v>
      </c>
      <c r="J563" s="91" t="s">
        <v>8</v>
      </c>
      <c r="K563" s="92" t="s">
        <v>46</v>
      </c>
      <c r="L563" s="93" t="str">
        <f>VLOOKUP(G563,'SKU 对应关系'!A:E,4,0)</f>
        <v>ANZKIT-W_BGR30ML_TZ</v>
      </c>
      <c r="M563" s="94" t="str">
        <f>_xlfn.IFNA(VLOOKUP(G563,'SKU 对应关系'!A:B,2,0),"")</f>
        <v>ANZKIT-W_BGR30ML_TZ ANZ白色机器+30mL宝格丽酒店香氛油（天竺） 机油套装</v>
      </c>
      <c r="N563" s="95" t="str">
        <f>_xlfn.IFNA(VLOOKUP(G563,'SKU 对应关系'!$A:$D,3,0),"")</f>
        <v>ANZ</v>
      </c>
      <c r="O563" s="96">
        <v>5</v>
      </c>
      <c r="P563" s="580">
        <v>68.8</v>
      </c>
      <c r="Q563" s="96" t="s">
        <v>16</v>
      </c>
      <c r="R563" s="91">
        <v>4.5999999999999996</v>
      </c>
      <c r="S563" s="95"/>
      <c r="T563" s="98">
        <v>21.739130434782609</v>
      </c>
      <c r="U563" s="99">
        <f t="shared" si="68"/>
        <v>338.21913043478258</v>
      </c>
      <c r="V563" s="100">
        <f t="shared" si="69"/>
        <v>2.2547942028985504</v>
      </c>
      <c r="W563" s="101">
        <f t="shared" si="70"/>
        <v>0.33653644819381345</v>
      </c>
      <c r="X563" s="95"/>
      <c r="Y563" s="95"/>
      <c r="Z563" s="102"/>
      <c r="AA563" s="103">
        <v>46151</v>
      </c>
      <c r="AB563" s="103">
        <v>46171</v>
      </c>
      <c r="AC563" s="103"/>
      <c r="AD563" s="104">
        <f>IF(ISNA(VLOOKUP(D563,亚马逊入库配置费!B:F,5,0)),0,VLOOKUP(D563,亚马逊入库配置费!B:F,5,0))</f>
        <v>0.44</v>
      </c>
      <c r="AE563" s="104">
        <f t="shared" si="67"/>
        <v>66</v>
      </c>
      <c r="AF563" s="103"/>
      <c r="AG563" s="577">
        <f t="shared" si="66"/>
        <v>-46151</v>
      </c>
      <c r="AH563" s="103"/>
      <c r="AI563" s="96"/>
      <c r="AJ563" s="96"/>
      <c r="AK563" s="96"/>
      <c r="AL563" s="92"/>
      <c r="AM563" s="91"/>
      <c r="AN563" s="91"/>
      <c r="AO563" s="96"/>
      <c r="AP563" s="105"/>
      <c r="AQ563" s="105"/>
      <c r="AR563" s="105"/>
      <c r="AS563" s="105"/>
    </row>
    <row r="564" spans="1:45" ht="12" customHeight="1" x14ac:dyDescent="0.25">
      <c r="A564" s="90">
        <v>563</v>
      </c>
      <c r="B564" s="91"/>
      <c r="C564" s="91" t="s">
        <v>4559</v>
      </c>
      <c r="D564" s="92" t="s">
        <v>4561</v>
      </c>
      <c r="E564" s="91" t="s">
        <v>97</v>
      </c>
      <c r="F564" s="91" t="s">
        <v>0</v>
      </c>
      <c r="G564" s="56" t="s">
        <v>2357</v>
      </c>
      <c r="H564" s="91">
        <v>120</v>
      </c>
      <c r="I564" s="91" t="s">
        <v>207</v>
      </c>
      <c r="J564" s="91" t="s">
        <v>8</v>
      </c>
      <c r="K564" s="92" t="s">
        <v>9</v>
      </c>
      <c r="L564" s="93" t="str">
        <f>VLOOKUP(G564,'SKU 对应关系'!A:E,4,0)</f>
        <v>ANAKIT-WH_US_2X100K03</v>
      </c>
      <c r="M564" s="94" t="str">
        <f>_xlfn.IFNA(VLOOKUP(G564,'SKU 对应关系'!A:B,2,0),"")</f>
        <v>ANAKIT-WH_US_2X100K03 ANA白色机器+2X100mL酒店香氛油（天竺） 机油套装</v>
      </c>
      <c r="N564" s="95" t="str">
        <f>_xlfn.IFNA(VLOOKUP(G564,'SKU 对应关系'!$A:$D,3,0),"")</f>
        <v>ANA</v>
      </c>
      <c r="O564" s="96">
        <v>10</v>
      </c>
      <c r="P564" s="580">
        <v>158.33000000000001</v>
      </c>
      <c r="Q564" s="96" t="s">
        <v>16</v>
      </c>
      <c r="R564" s="91">
        <v>4.5</v>
      </c>
      <c r="S564" s="95"/>
      <c r="T564" s="98">
        <v>43.478260869565219</v>
      </c>
      <c r="U564" s="99">
        <f t="shared" si="68"/>
        <v>755.96326086956526</v>
      </c>
      <c r="V564" s="100">
        <f t="shared" si="69"/>
        <v>6.2996938405797103</v>
      </c>
      <c r="W564" s="101">
        <f t="shared" si="70"/>
        <v>0.94025281202682243</v>
      </c>
      <c r="X564" s="95"/>
      <c r="Y564" s="95"/>
      <c r="Z564" s="102"/>
      <c r="AA564" s="103">
        <v>46151</v>
      </c>
      <c r="AB564" s="103">
        <v>46171</v>
      </c>
      <c r="AC564" s="103"/>
      <c r="AD564" s="104">
        <f>IF(ISNA(VLOOKUP(D564,亚马逊入库配置费!B:F,5,0)),0,VLOOKUP(D564,亚马逊入库配置费!B:F,5,0))</f>
        <v>0.56000000000000005</v>
      </c>
      <c r="AE564" s="104">
        <f t="shared" si="67"/>
        <v>67.2</v>
      </c>
      <c r="AF564" s="103"/>
      <c r="AG564" s="577">
        <f t="shared" si="66"/>
        <v>-46151</v>
      </c>
      <c r="AH564" s="103"/>
      <c r="AI564" s="96"/>
      <c r="AJ564" s="96"/>
      <c r="AK564" s="96"/>
      <c r="AL564" s="92"/>
      <c r="AM564" s="91"/>
      <c r="AN564" s="91"/>
      <c r="AO564" s="96"/>
      <c r="AP564" s="105"/>
      <c r="AQ564" s="105"/>
      <c r="AR564" s="105"/>
      <c r="AS564" s="105"/>
    </row>
    <row r="565" spans="1:45" ht="12" customHeight="1" x14ac:dyDescent="0.25">
      <c r="A565" s="90">
        <v>564</v>
      </c>
      <c r="B565" s="91"/>
      <c r="C565" s="91" t="s">
        <v>1045</v>
      </c>
      <c r="D565" s="92" t="s">
        <v>4562</v>
      </c>
      <c r="E565" s="91" t="s">
        <v>1164</v>
      </c>
      <c r="F565" s="91" t="s">
        <v>1165</v>
      </c>
      <c r="G565" s="56" t="s">
        <v>2872</v>
      </c>
      <c r="H565" s="91">
        <v>216</v>
      </c>
      <c r="I565" s="91" t="s">
        <v>4576</v>
      </c>
      <c r="J565" s="91" t="s">
        <v>2064</v>
      </c>
      <c r="K565" s="92" t="s">
        <v>4186</v>
      </c>
      <c r="L565" s="93" t="str">
        <f>VLOOKUP(G565,'SKU 对应关系'!A:E,4,0)</f>
        <v>ANA-WH_EU</v>
      </c>
      <c r="M565" s="94" t="str">
        <f>_xlfn.IFNA(VLOOKUP(G565,'SKU 对应关系'!A:B,2,0),"")</f>
        <v>ANA-WH_EU 智能扩香仪 欧规 白色</v>
      </c>
      <c r="N565" s="95" t="str">
        <f>_xlfn.IFNA(VLOOKUP(G565,'SKU 对应关系'!$A:$D,3,0),"")</f>
        <v>ANA</v>
      </c>
      <c r="O565" s="96">
        <v>18</v>
      </c>
      <c r="P565" s="580">
        <v>267</v>
      </c>
      <c r="Q565" s="96" t="s">
        <v>16</v>
      </c>
      <c r="R565" s="91">
        <v>6.5</v>
      </c>
      <c r="S565" s="95">
        <v>200</v>
      </c>
      <c r="T565" s="98">
        <v>200</v>
      </c>
      <c r="U565" s="99">
        <f t="shared" si="68"/>
        <v>1935.5</v>
      </c>
      <c r="V565" s="100">
        <f t="shared" si="69"/>
        <v>8.9606481481481488</v>
      </c>
      <c r="W565" s="101">
        <f t="shared" si="70"/>
        <v>1.3374101713653954</v>
      </c>
      <c r="X565" s="95"/>
      <c r="Y565" s="95"/>
      <c r="Z565" s="102"/>
      <c r="AA565" s="103">
        <v>46150</v>
      </c>
      <c r="AB565" s="103">
        <v>45818</v>
      </c>
      <c r="AC565" s="103"/>
      <c r="AD565" s="104">
        <f>IF(ISNA(VLOOKUP(D565,亚马逊入库配置费!B:F,5,0)),0,VLOOKUP(D565,亚马逊入库配置费!B:F,5,0))</f>
        <v>0</v>
      </c>
      <c r="AE565" s="104">
        <f t="shared" si="67"/>
        <v>0</v>
      </c>
      <c r="AF565" s="103"/>
      <c r="AG565" s="577">
        <f t="shared" si="66"/>
        <v>-46150</v>
      </c>
      <c r="AH565" s="103"/>
      <c r="AI565" s="96"/>
      <c r="AJ565" s="96"/>
      <c r="AK565" s="96"/>
      <c r="AL565" s="92"/>
      <c r="AM565" s="91"/>
      <c r="AN565" s="91"/>
      <c r="AO565" s="96"/>
      <c r="AP565" s="105"/>
      <c r="AQ565" s="105"/>
      <c r="AR565" s="105"/>
      <c r="AS565" s="105"/>
    </row>
    <row r="566" spans="1:45" ht="12" customHeight="1" x14ac:dyDescent="0.25">
      <c r="A566" s="90">
        <v>565</v>
      </c>
      <c r="B566" s="91"/>
      <c r="C566" s="91" t="s">
        <v>4559</v>
      </c>
      <c r="D566" s="92" t="s">
        <v>4563</v>
      </c>
      <c r="E566" s="91" t="s">
        <v>97</v>
      </c>
      <c r="F566" s="91" t="s">
        <v>0</v>
      </c>
      <c r="G566" s="56" t="s">
        <v>2172</v>
      </c>
      <c r="H566" s="91">
        <v>256</v>
      </c>
      <c r="I566" s="91" t="s">
        <v>207</v>
      </c>
      <c r="J566" s="91" t="s">
        <v>8</v>
      </c>
      <c r="K566" s="92" t="s">
        <v>9</v>
      </c>
      <c r="L566" s="93" t="str">
        <f>VLOOKUP(G566,'SKU 对应关系'!A:E,4,0)</f>
        <v>ANP-W_US</v>
      </c>
      <c r="M566" s="94" t="str">
        <f>_xlfn.IFNA(VLOOKUP(G566,'SKU 对应关系'!A:B,2,0),"")</f>
        <v>ANP-W_US 墙插式智能扩香仪 白色</v>
      </c>
      <c r="N566" s="95" t="str">
        <f>_xlfn.IFNA(VLOOKUP(G566,'SKU 对应关系'!$A:$D,3,0),"")</f>
        <v>ANP</v>
      </c>
      <c r="O566" s="96">
        <v>8</v>
      </c>
      <c r="P566" s="580">
        <v>126.67</v>
      </c>
      <c r="Q566" s="96" t="s">
        <v>16</v>
      </c>
      <c r="R566" s="91">
        <v>4.5</v>
      </c>
      <c r="S566" s="95">
        <v>200</v>
      </c>
      <c r="T566" s="98">
        <v>34.782608695652172</v>
      </c>
      <c r="U566" s="99">
        <f t="shared" si="68"/>
        <v>604.79760869565212</v>
      </c>
      <c r="V566" s="100">
        <f t="shared" si="69"/>
        <v>2.3624906589673911</v>
      </c>
      <c r="W566" s="101">
        <f t="shared" si="70"/>
        <v>0.35261054611453596</v>
      </c>
      <c r="X566" s="95"/>
      <c r="Y566" s="95"/>
      <c r="Z566" s="102"/>
      <c r="AA566" s="103">
        <v>46151</v>
      </c>
      <c r="AB566" s="103">
        <v>46171</v>
      </c>
      <c r="AC566" s="103"/>
      <c r="AD566" s="104">
        <f>IF(ISNA(VLOOKUP(D566,亚马逊入库配置费!B:F,5,0)),0,VLOOKUP(D566,亚马逊入库配置费!B:F,5,0))</f>
        <v>0.44</v>
      </c>
      <c r="AE566" s="104">
        <f t="shared" si="67"/>
        <v>112.64</v>
      </c>
      <c r="AF566" s="103"/>
      <c r="AG566" s="577">
        <f t="shared" si="66"/>
        <v>-46151</v>
      </c>
      <c r="AH566" s="103"/>
      <c r="AI566" s="96"/>
      <c r="AJ566" s="96"/>
      <c r="AK566" s="96"/>
      <c r="AL566" s="92"/>
      <c r="AM566" s="91"/>
      <c r="AN566" s="91"/>
      <c r="AO566" s="96"/>
      <c r="AP566" s="105"/>
      <c r="AQ566" s="105"/>
      <c r="AR566" s="105"/>
      <c r="AS566" s="105"/>
    </row>
    <row r="567" spans="1:45" ht="12" customHeight="1" x14ac:dyDescent="0.25">
      <c r="A567" s="90">
        <v>566</v>
      </c>
      <c r="B567" s="91"/>
      <c r="C567" s="91" t="s">
        <v>4564</v>
      </c>
      <c r="D567" s="92" t="s">
        <v>4565</v>
      </c>
      <c r="E567" s="91" t="s">
        <v>4202</v>
      </c>
      <c r="F567" s="91" t="s">
        <v>0</v>
      </c>
      <c r="G567" s="56" t="s">
        <v>4526</v>
      </c>
      <c r="H567" s="91">
        <v>1152</v>
      </c>
      <c r="I567" s="91" t="s">
        <v>207</v>
      </c>
      <c r="J567" s="91" t="s">
        <v>8</v>
      </c>
      <c r="K567" s="92" t="s">
        <v>10</v>
      </c>
      <c r="L567" s="93" t="str">
        <f>VLOOKUP(G567,'SKU 对应关系'!A:E,4,0)</f>
        <v>U1KIT-B_US_2X50K01_TZ</v>
      </c>
      <c r="M567" s="94" t="str">
        <f>_xlfn.IFNA(VLOOKUP(G567,'SKU 对应关系'!A:B,2,0),"")</f>
        <v>U1KIT-B_US_2X50K01_TZ U1黑色机器+2X50mL酒店香氛油（天竺） 机油套装</v>
      </c>
      <c r="N567" s="95" t="str">
        <f>_xlfn.IFNA(VLOOKUP(G567,'SKU 对应关系'!$A:$D,3,0),"")</f>
        <v>U1</v>
      </c>
      <c r="O567" s="96">
        <v>128</v>
      </c>
      <c r="P567" s="580">
        <v>2202</v>
      </c>
      <c r="Q567" s="96" t="s">
        <v>16</v>
      </c>
      <c r="R567" s="91">
        <v>4.9000000000000004</v>
      </c>
      <c r="S567" s="95">
        <v>200</v>
      </c>
      <c r="T567" s="98">
        <v>200</v>
      </c>
      <c r="U567" s="99">
        <f t="shared" si="68"/>
        <v>10989.800000000001</v>
      </c>
      <c r="V567" s="100">
        <f t="shared" si="69"/>
        <v>9.539756944444445</v>
      </c>
      <c r="W567" s="101">
        <f t="shared" si="70"/>
        <v>1.4238443200663351</v>
      </c>
      <c r="X567" s="95"/>
      <c r="Y567" s="95"/>
      <c r="Z567" s="102"/>
      <c r="AA567" s="103">
        <v>46151</v>
      </c>
      <c r="AB567" s="103">
        <v>46171</v>
      </c>
      <c r="AC567" s="103"/>
      <c r="AD567" s="104">
        <f>IF(ISNA(VLOOKUP(D567,亚马逊入库配置费!B:F,5,0)),0,VLOOKUP(D567,亚马逊入库配置费!B:F,5,0))</f>
        <v>0.56000000000000005</v>
      </c>
      <c r="AE567" s="104">
        <f t="shared" si="67"/>
        <v>645.12000000000012</v>
      </c>
      <c r="AF567" s="103"/>
      <c r="AG567" s="577">
        <f t="shared" si="66"/>
        <v>-46151</v>
      </c>
      <c r="AH567" s="103"/>
      <c r="AI567" s="96"/>
      <c r="AJ567" s="96"/>
      <c r="AK567" s="96"/>
      <c r="AL567" s="92"/>
      <c r="AM567" s="91"/>
      <c r="AN567" s="91"/>
      <c r="AO567" s="96"/>
      <c r="AP567" s="105"/>
      <c r="AQ567" s="105"/>
      <c r="AR567" s="105"/>
      <c r="AS567" s="105"/>
    </row>
    <row r="568" spans="1:45" ht="12" customHeight="1" x14ac:dyDescent="0.25">
      <c r="A568" s="90">
        <v>567</v>
      </c>
      <c r="B568" s="91"/>
      <c r="C568" s="91" t="s">
        <v>4566</v>
      </c>
      <c r="D568" s="92" t="s">
        <v>4567</v>
      </c>
      <c r="E568" s="91" t="s">
        <v>4202</v>
      </c>
      <c r="F568" s="91" t="s">
        <v>0</v>
      </c>
      <c r="G568" s="56" t="s">
        <v>4528</v>
      </c>
      <c r="H568" s="91">
        <v>513</v>
      </c>
      <c r="I568" s="91" t="s">
        <v>117</v>
      </c>
      <c r="J568" s="91" t="s">
        <v>8</v>
      </c>
      <c r="K568" s="92" t="s">
        <v>10</v>
      </c>
      <c r="L568" s="93" t="str">
        <f>VLOOKUP(G568,'SKU 对应关系'!A:E,4,0)</f>
        <v>U1-B_US</v>
      </c>
      <c r="M568" s="94" t="str">
        <f>_xlfn.IFNA(VLOOKUP(G568,'SKU 对应关系'!A:B,2,0),"")</f>
        <v>U1-B_US 智能扩香仪 黑色</v>
      </c>
      <c r="N568" s="95" t="str">
        <f>_xlfn.IFNA(VLOOKUP(G568,'SKU 对应关系'!$A:$D,3,0),"")</f>
        <v>U1</v>
      </c>
      <c r="O568" s="96">
        <v>57</v>
      </c>
      <c r="P568" s="580">
        <v>973.99999999999989</v>
      </c>
      <c r="Q568" s="96" t="s">
        <v>16</v>
      </c>
      <c r="R568" s="91">
        <v>4.4000000000000004</v>
      </c>
      <c r="S568" s="95">
        <v>200</v>
      </c>
      <c r="T568" s="98">
        <v>200</v>
      </c>
      <c r="U568" s="99">
        <f t="shared" si="68"/>
        <v>4485.5999999999995</v>
      </c>
      <c r="V568" s="100">
        <f t="shared" si="69"/>
        <v>8.7438596491228058</v>
      </c>
      <c r="W568" s="101">
        <f t="shared" si="70"/>
        <v>1.3050536789735532</v>
      </c>
      <c r="X568" s="95"/>
      <c r="Y568" s="95"/>
      <c r="Z568" s="102"/>
      <c r="AA568" s="103">
        <v>46151</v>
      </c>
      <c r="AB568" s="103">
        <v>46172</v>
      </c>
      <c r="AC568" s="103"/>
      <c r="AD568" s="104">
        <f>IF(ISNA(VLOOKUP(D568,亚马逊入库配置费!B:F,5,0)),0,VLOOKUP(D568,亚马逊入库配置费!B:F,5,0))</f>
        <v>0.55999999999999994</v>
      </c>
      <c r="AE568" s="104">
        <f t="shared" si="67"/>
        <v>287.27999999999997</v>
      </c>
      <c r="AF568" s="103">
        <v>46181</v>
      </c>
      <c r="AG568" s="577">
        <f t="shared" si="66"/>
        <v>30</v>
      </c>
      <c r="AH568" s="103"/>
      <c r="AI568" s="96"/>
      <c r="AJ568" s="96"/>
      <c r="AK568" s="96"/>
      <c r="AL568" s="92"/>
      <c r="AM568" s="91"/>
      <c r="AN568" s="91"/>
      <c r="AO568" s="96"/>
      <c r="AP568" s="105"/>
      <c r="AQ568" s="105"/>
      <c r="AR568" s="105"/>
      <c r="AS568" s="105"/>
    </row>
    <row r="569" spans="1:45" ht="12" customHeight="1" x14ac:dyDescent="0.25">
      <c r="A569" s="90">
        <v>568</v>
      </c>
      <c r="B569" s="91"/>
      <c r="C569" s="91" t="s">
        <v>4568</v>
      </c>
      <c r="D569" s="92" t="s">
        <v>4569</v>
      </c>
      <c r="E569" s="91" t="s">
        <v>97</v>
      </c>
      <c r="F569" s="91" t="s">
        <v>0</v>
      </c>
      <c r="G569" s="56" t="s">
        <v>88</v>
      </c>
      <c r="H569" s="91">
        <v>36</v>
      </c>
      <c r="I569" s="91" t="s">
        <v>117</v>
      </c>
      <c r="J569" s="91" t="s">
        <v>8</v>
      </c>
      <c r="K569" s="92" t="s">
        <v>15</v>
      </c>
      <c r="L569" s="93" t="str">
        <f>VLOOKUP(G569,'SKU 对应关系'!A:E,4,0)</f>
        <v>ANW-B</v>
      </c>
      <c r="M569" s="94" t="str">
        <f>_xlfn.IFNA(VLOOKUP(G569,'SKU 对应关系'!A:B,2,0),"")</f>
        <v>ANW-B 智能扩香仪 黑色</v>
      </c>
      <c r="N569" s="95" t="str">
        <f>_xlfn.IFNA(VLOOKUP(G569,'SKU 对应关系'!$A:$D,3,0),"")</f>
        <v>ANW</v>
      </c>
      <c r="O569" s="96">
        <v>3</v>
      </c>
      <c r="P569" s="580">
        <v>43.018867924528301</v>
      </c>
      <c r="Q569" s="96" t="s">
        <v>16</v>
      </c>
      <c r="R569" s="91">
        <v>4</v>
      </c>
      <c r="S569" s="95">
        <v>200</v>
      </c>
      <c r="T569" s="98">
        <v>11.320754716981131</v>
      </c>
      <c r="U569" s="99">
        <f t="shared" si="68"/>
        <v>183.39622641509433</v>
      </c>
      <c r="V569" s="100">
        <f t="shared" si="69"/>
        <v>5.0943396226415096</v>
      </c>
      <c r="W569" s="101">
        <f t="shared" si="70"/>
        <v>0.7603491974091805</v>
      </c>
      <c r="X569" s="95"/>
      <c r="Y569" s="95"/>
      <c r="Z569" s="102"/>
      <c r="AA569" s="103">
        <v>46151</v>
      </c>
      <c r="AB569" s="103">
        <v>46181</v>
      </c>
      <c r="AC569" s="103"/>
      <c r="AD569" s="104">
        <f>IF(ISNA(VLOOKUP(D569,亚马逊入库配置费!B:F,5,0)),0,VLOOKUP(D569,亚马逊入库配置费!B:F,5,0))</f>
        <v>0.56000000000000005</v>
      </c>
      <c r="AE569" s="104">
        <f t="shared" si="67"/>
        <v>20.160000000000004</v>
      </c>
      <c r="AF569" s="103"/>
      <c r="AG569" s="577">
        <f t="shared" si="66"/>
        <v>-46151</v>
      </c>
      <c r="AH569" s="103"/>
      <c r="AI569" s="96"/>
      <c r="AJ569" s="96"/>
      <c r="AK569" s="96"/>
      <c r="AL569" s="92"/>
      <c r="AM569" s="91"/>
      <c r="AN569" s="91"/>
      <c r="AO569" s="96"/>
      <c r="AP569" s="105"/>
      <c r="AQ569" s="105"/>
      <c r="AR569" s="105"/>
      <c r="AS569" s="105"/>
    </row>
    <row r="570" spans="1:45" ht="12" customHeight="1" x14ac:dyDescent="0.25">
      <c r="A570" s="90">
        <v>569</v>
      </c>
      <c r="B570" s="91"/>
      <c r="C570" s="91" t="s">
        <v>4568</v>
      </c>
      <c r="D570" s="92" t="s">
        <v>4569</v>
      </c>
      <c r="E570" s="91" t="s">
        <v>97</v>
      </c>
      <c r="F570" s="91" t="s">
        <v>0</v>
      </c>
      <c r="G570" s="56" t="s">
        <v>93</v>
      </c>
      <c r="H570" s="91">
        <v>600</v>
      </c>
      <c r="I570" s="91" t="s">
        <v>117</v>
      </c>
      <c r="J570" s="91" t="s">
        <v>8</v>
      </c>
      <c r="K570" s="92" t="s">
        <v>15</v>
      </c>
      <c r="L570" s="93" t="str">
        <f>VLOOKUP(G570,'SKU 对应关系'!A:E,4,0)</f>
        <v>ANW-W</v>
      </c>
      <c r="M570" s="94" t="str">
        <f>_xlfn.IFNA(VLOOKUP(G570,'SKU 对应关系'!A:B,2,0),"")</f>
        <v>ANW-W 智能扩香仪 白色</v>
      </c>
      <c r="N570" s="95" t="str">
        <f>_xlfn.IFNA(VLOOKUP(G570,'SKU 对应关系'!$A:$D,3,0),"")</f>
        <v>ANW</v>
      </c>
      <c r="O570" s="96">
        <v>50</v>
      </c>
      <c r="P570" s="580">
        <v>716.98113207547169</v>
      </c>
      <c r="Q570" s="96" t="s">
        <v>16</v>
      </c>
      <c r="R570" s="91">
        <v>4</v>
      </c>
      <c r="S570" s="106">
        <v>200</v>
      </c>
      <c r="T570" s="98">
        <v>188.67924528301887</v>
      </c>
      <c r="U570" s="99">
        <f t="shared" si="68"/>
        <v>3056.6037735849059</v>
      </c>
      <c r="V570" s="100">
        <f t="shared" si="69"/>
        <v>5.0943396226415096</v>
      </c>
      <c r="W570" s="101">
        <f t="shared" si="70"/>
        <v>0.7603491974091805</v>
      </c>
      <c r="X570" s="95"/>
      <c r="Y570" s="95"/>
      <c r="Z570" s="102"/>
      <c r="AA570" s="103">
        <v>46151</v>
      </c>
      <c r="AB570" s="103">
        <v>46181</v>
      </c>
      <c r="AC570" s="103"/>
      <c r="AD570" s="104">
        <f>IF(ISNA(VLOOKUP(D570,亚马逊入库配置费!B:F,5,0)),0,VLOOKUP(D570,亚马逊入库配置费!B:F,5,0))</f>
        <v>0.56000000000000005</v>
      </c>
      <c r="AE570" s="104">
        <f t="shared" si="67"/>
        <v>336.00000000000006</v>
      </c>
      <c r="AF570" s="103"/>
      <c r="AG570" s="577">
        <f t="shared" si="66"/>
        <v>-46151</v>
      </c>
      <c r="AH570" s="103"/>
      <c r="AI570" s="96"/>
      <c r="AJ570" s="96"/>
      <c r="AK570" s="96"/>
      <c r="AL570" s="92"/>
      <c r="AM570" s="91"/>
      <c r="AN570" s="91"/>
      <c r="AO570" s="96"/>
      <c r="AP570" s="105"/>
      <c r="AQ570" s="105"/>
      <c r="AR570" s="105"/>
      <c r="AS570" s="105"/>
    </row>
    <row r="571" spans="1:45" ht="12" customHeight="1" x14ac:dyDescent="0.25">
      <c r="A571" s="90">
        <v>570</v>
      </c>
      <c r="B571" s="91"/>
      <c r="C571" s="91" t="s">
        <v>4556</v>
      </c>
      <c r="D571" s="92" t="s">
        <v>4570</v>
      </c>
      <c r="E571" s="91" t="s">
        <v>115</v>
      </c>
      <c r="F571" s="91" t="s">
        <v>0</v>
      </c>
      <c r="G571" s="56" t="s">
        <v>614</v>
      </c>
      <c r="H571" s="91">
        <v>180</v>
      </c>
      <c r="I571" s="91" t="s">
        <v>207</v>
      </c>
      <c r="J571" s="91" t="s">
        <v>8</v>
      </c>
      <c r="K571" s="92" t="s">
        <v>32</v>
      </c>
      <c r="L571" s="93" t="str">
        <f>VLOOKUP(G571,'SKU 对应关系'!A:E,4,0)</f>
        <v>AP2F-H14</v>
      </c>
      <c r="M571" s="94" t="str">
        <f>_xlfn.IFNA(VLOOKUP(G571,'SKU 对应关系'!A:B,2,0),"")</f>
        <v>AP2F-H14 空气净化器滤网2-H14</v>
      </c>
      <c r="N571" s="95" t="str">
        <f>_xlfn.IFNA(VLOOKUP(G571,'SKU 对应关系'!$A:$D,3,0),"")</f>
        <v>AP2F</v>
      </c>
      <c r="O571" s="96">
        <v>5</v>
      </c>
      <c r="P571" s="580">
        <v>113</v>
      </c>
      <c r="Q571" s="96" t="s">
        <v>16</v>
      </c>
      <c r="R571" s="91">
        <v>4.8</v>
      </c>
      <c r="S571" s="95">
        <v>200</v>
      </c>
      <c r="T571" s="98">
        <v>11.764705882352942</v>
      </c>
      <c r="U571" s="99">
        <f t="shared" si="68"/>
        <v>554.16470588235291</v>
      </c>
      <c r="V571" s="100">
        <f t="shared" si="69"/>
        <v>3.078692810457516</v>
      </c>
      <c r="W571" s="101">
        <f t="shared" si="70"/>
        <v>0.45950638962052476</v>
      </c>
      <c r="X571" s="95"/>
      <c r="Y571" s="95"/>
      <c r="Z571" s="102"/>
      <c r="AA571" s="103">
        <v>46151</v>
      </c>
      <c r="AB571" s="103">
        <v>46171</v>
      </c>
      <c r="AC571" s="103"/>
      <c r="AD571" s="104">
        <f>IF(ISNA(VLOOKUP(D571,亚马逊入库配置费!B:F,5,0)),0,VLOOKUP(D571,亚马逊入库配置费!B:F,5,0))</f>
        <v>0.55999999999999994</v>
      </c>
      <c r="AE571" s="104">
        <f t="shared" si="67"/>
        <v>100.79999999999998</v>
      </c>
      <c r="AF571" s="103"/>
      <c r="AG571" s="577">
        <f t="shared" si="66"/>
        <v>-46151</v>
      </c>
      <c r="AH571" s="103"/>
      <c r="AI571" s="96"/>
      <c r="AJ571" s="96"/>
      <c r="AK571" s="96"/>
      <c r="AL571" s="92"/>
      <c r="AM571" s="91"/>
      <c r="AN571" s="91"/>
      <c r="AO571" s="96"/>
      <c r="AP571" s="105"/>
      <c r="AQ571" s="105"/>
      <c r="AR571" s="105"/>
      <c r="AS571" s="105"/>
    </row>
    <row r="572" spans="1:45" ht="12" customHeight="1" x14ac:dyDescent="0.25">
      <c r="A572" s="90">
        <v>571</v>
      </c>
      <c r="B572" s="91"/>
      <c r="C572" s="91" t="s">
        <v>4571</v>
      </c>
      <c r="D572" s="92" t="s">
        <v>4572</v>
      </c>
      <c r="E572" s="91" t="s">
        <v>86</v>
      </c>
      <c r="F572" s="91" t="s">
        <v>87</v>
      </c>
      <c r="G572" s="56" t="s">
        <v>980</v>
      </c>
      <c r="H572" s="91">
        <v>60</v>
      </c>
      <c r="I572" s="91" t="s">
        <v>207</v>
      </c>
      <c r="J572" s="91" t="s">
        <v>90</v>
      </c>
      <c r="K572" s="92" t="s">
        <v>4573</v>
      </c>
      <c r="L572" s="93" t="str">
        <f>VLOOKUP(G572,'SKU 对应关系'!A:E,4,0)</f>
        <v>AP2US-H14</v>
      </c>
      <c r="M572" s="94" t="str">
        <f>_xlfn.IFNA(VLOOKUP(G572,'SKU 对应关系'!A:B,2,0),"")</f>
        <v>AP2US-H14 内置H14滤网桌面式空气净化器2-美规</v>
      </c>
      <c r="N572" s="95" t="str">
        <f>_xlfn.IFNA(VLOOKUP(G572,'SKU 对应关系'!$A:$D,3,0),"")</f>
        <v>AP2</v>
      </c>
      <c r="O572" s="96">
        <v>15</v>
      </c>
      <c r="P572" s="580">
        <v>358</v>
      </c>
      <c r="Q572" s="96" t="s">
        <v>16</v>
      </c>
      <c r="R572" s="91">
        <v>6.6</v>
      </c>
      <c r="S572" s="95">
        <v>250</v>
      </c>
      <c r="T572" s="98">
        <v>250</v>
      </c>
      <c r="U572" s="99">
        <f t="shared" si="68"/>
        <v>2612.7999999999997</v>
      </c>
      <c r="V572" s="100">
        <f t="shared" si="69"/>
        <v>43.54666666666666</v>
      </c>
      <c r="W572" s="101">
        <f t="shared" si="70"/>
        <v>6.4995024875621876</v>
      </c>
      <c r="X572" s="95"/>
      <c r="Y572" s="95"/>
      <c r="Z572" s="102"/>
      <c r="AA572" s="103">
        <v>46151</v>
      </c>
      <c r="AB572" s="103">
        <v>46172</v>
      </c>
      <c r="AC572" s="103"/>
      <c r="AD572" s="104">
        <f>IF(ISNA(VLOOKUP(D572,亚马逊入库配置费!B:F,5,0)),0,VLOOKUP(D572,亚马逊入库配置费!B:F,5,0))</f>
        <v>0</v>
      </c>
      <c r="AE572" s="104">
        <f t="shared" si="67"/>
        <v>0</v>
      </c>
      <c r="AF572" s="103"/>
      <c r="AG572" s="577">
        <f t="shared" si="66"/>
        <v>-46151</v>
      </c>
      <c r="AH572" s="103"/>
      <c r="AI572" s="96"/>
      <c r="AJ572" s="96"/>
      <c r="AK572" s="96"/>
      <c r="AL572" s="92"/>
      <c r="AM572" s="91"/>
      <c r="AN572" s="91"/>
      <c r="AO572" s="96"/>
      <c r="AP572" s="105"/>
      <c r="AQ572" s="105"/>
      <c r="AR572" s="105"/>
      <c r="AS572" s="105"/>
    </row>
    <row r="573" spans="1:45" ht="12" customHeight="1" x14ac:dyDescent="0.25">
      <c r="A573" s="90">
        <v>572</v>
      </c>
      <c r="B573" s="91" t="s">
        <v>4631</v>
      </c>
      <c r="C573" s="91" t="s">
        <v>1118</v>
      </c>
      <c r="D573" s="92" t="s">
        <v>4601</v>
      </c>
      <c r="E573" s="91" t="s">
        <v>3159</v>
      </c>
      <c r="F573" s="91" t="s">
        <v>271</v>
      </c>
      <c r="G573" s="56" t="s">
        <v>163</v>
      </c>
      <c r="H573" s="91">
        <v>240</v>
      </c>
      <c r="I573" s="91" t="s">
        <v>1097</v>
      </c>
      <c r="J573" s="91" t="s">
        <v>2273</v>
      </c>
      <c r="K573" s="92" t="s">
        <v>273</v>
      </c>
      <c r="L573" s="93" t="str">
        <f>VLOOKUP(G573,'SKU 对应关系'!A:E,4,0)</f>
        <v>AN6-B</v>
      </c>
      <c r="M573" s="94" t="str">
        <f>_xlfn.IFNA(VLOOKUP(G573,'SKU 对应关系'!A:B,2,0),"")</f>
        <v>AN6-B 便携式扩香仪 黑色</v>
      </c>
      <c r="N573" s="95" t="str">
        <f>_xlfn.IFNA(VLOOKUP(G573,'SKU 对应关系'!$A:$D,3,0),"")</f>
        <v>AN6</v>
      </c>
      <c r="O573" s="96">
        <v>6</v>
      </c>
      <c r="P573" s="580">
        <v>0.5</v>
      </c>
      <c r="Q573" s="96" t="s">
        <v>3264</v>
      </c>
      <c r="R573" s="91">
        <v>1400</v>
      </c>
      <c r="S573" s="95" t="s">
        <v>4630</v>
      </c>
      <c r="T573" s="98">
        <v>250.41499999999999</v>
      </c>
      <c r="U573" s="99">
        <f t="shared" ref="U573:U618" si="71">R573*P573+T573</f>
        <v>950.41499999999996</v>
      </c>
      <c r="V573" s="100">
        <f t="shared" ref="V573:V618" si="72">U573/H573</f>
        <v>3.9600624999999998</v>
      </c>
      <c r="W573" s="101">
        <f t="shared" ref="W573:W618" si="73">V573/6.7</f>
        <v>0.59105410447761186</v>
      </c>
      <c r="X573" s="95"/>
      <c r="Y573" s="95"/>
      <c r="Z573" s="102"/>
      <c r="AA573" s="103">
        <v>46156</v>
      </c>
      <c r="AB573" s="103">
        <v>46201</v>
      </c>
      <c r="AC573" s="103"/>
      <c r="AD573" s="104">
        <f>IF(ISNA(VLOOKUP(D573,亚马逊入库配置费!B:F,5,0)),0,VLOOKUP(D573,亚马逊入库配置费!B:F,5,0))</f>
        <v>0</v>
      </c>
      <c r="AE573" s="104">
        <f t="shared" si="67"/>
        <v>0</v>
      </c>
      <c r="AF573" s="103"/>
      <c r="AG573" s="577">
        <f t="shared" si="66"/>
        <v>-46156</v>
      </c>
      <c r="AH573" s="103"/>
      <c r="AI573" s="96"/>
      <c r="AJ573" s="96"/>
      <c r="AK573" s="96"/>
      <c r="AL573" s="92"/>
      <c r="AM573" s="91"/>
      <c r="AN573" s="91"/>
      <c r="AO573" s="96"/>
      <c r="AP573" s="105"/>
      <c r="AQ573" s="105"/>
      <c r="AR573" s="105"/>
      <c r="AS573" s="105"/>
    </row>
    <row r="574" spans="1:45" ht="12" customHeight="1" x14ac:dyDescent="0.25">
      <c r="A574" s="90">
        <v>573</v>
      </c>
      <c r="B574" s="91"/>
      <c r="C574" s="91" t="s">
        <v>1118</v>
      </c>
      <c r="D574" s="92" t="s">
        <v>4601</v>
      </c>
      <c r="E574" s="91" t="s">
        <v>3159</v>
      </c>
      <c r="F574" s="91" t="s">
        <v>271</v>
      </c>
      <c r="G574" s="56" t="s">
        <v>165</v>
      </c>
      <c r="H574" s="91">
        <v>80</v>
      </c>
      <c r="I574" s="91" t="s">
        <v>1097</v>
      </c>
      <c r="J574" s="91" t="s">
        <v>2273</v>
      </c>
      <c r="K574" s="92" t="s">
        <v>273</v>
      </c>
      <c r="L574" s="93" t="str">
        <f>VLOOKUP(G574,'SKU 对应关系'!A:E,4,0)</f>
        <v>AN6-W</v>
      </c>
      <c r="M574" s="94" t="str">
        <f>_xlfn.IFNA(VLOOKUP(G574,'SKU 对应关系'!A:B,2,0),"")</f>
        <v>AN6-W 便携式扩香仪 白色</v>
      </c>
      <c r="N574" s="95" t="str">
        <f>_xlfn.IFNA(VLOOKUP(G574,'SKU 对应关系'!$A:$D,3,0),"")</f>
        <v>AN6</v>
      </c>
      <c r="O574" s="96">
        <v>2</v>
      </c>
      <c r="P574" s="580">
        <v>0.16666666666666666</v>
      </c>
      <c r="Q574" s="96" t="s">
        <v>3264</v>
      </c>
      <c r="R574" s="91">
        <v>1400</v>
      </c>
      <c r="S574" s="106">
        <v>500.83</v>
      </c>
      <c r="T574" s="98">
        <v>83.471666666666664</v>
      </c>
      <c r="U574" s="99">
        <f t="shared" si="71"/>
        <v>316.80499999999995</v>
      </c>
      <c r="V574" s="100">
        <f t="shared" si="72"/>
        <v>3.9600624999999994</v>
      </c>
      <c r="W574" s="101">
        <f t="shared" si="73"/>
        <v>0.59105410447761186</v>
      </c>
      <c r="X574" s="95"/>
      <c r="Y574" s="95"/>
      <c r="Z574" s="102"/>
      <c r="AA574" s="103">
        <v>46156</v>
      </c>
      <c r="AB574" s="103">
        <v>46201</v>
      </c>
      <c r="AC574" s="103"/>
      <c r="AD574" s="104">
        <f>IF(ISNA(VLOOKUP(D574,亚马逊入库配置费!B:F,5,0)),0,VLOOKUP(D574,亚马逊入库配置费!B:F,5,0))</f>
        <v>0</v>
      </c>
      <c r="AE574" s="104">
        <f t="shared" si="67"/>
        <v>0</v>
      </c>
      <c r="AF574" s="103"/>
      <c r="AG574" s="577">
        <f t="shared" si="66"/>
        <v>-46156</v>
      </c>
      <c r="AH574" s="103"/>
      <c r="AI574" s="96"/>
      <c r="AJ574" s="96"/>
      <c r="AK574" s="96"/>
      <c r="AL574" s="92"/>
      <c r="AM574" s="91"/>
      <c r="AN574" s="91"/>
      <c r="AO574" s="96"/>
      <c r="AP574" s="105"/>
      <c r="AQ574" s="105"/>
      <c r="AR574" s="105"/>
      <c r="AS574" s="105"/>
    </row>
    <row r="575" spans="1:45" ht="12" customHeight="1" x14ac:dyDescent="0.25">
      <c r="A575" s="90">
        <v>574</v>
      </c>
      <c r="B575" s="91"/>
      <c r="C575" s="91" t="s">
        <v>1118</v>
      </c>
      <c r="D575" s="92" t="s">
        <v>4601</v>
      </c>
      <c r="E575" s="91" t="s">
        <v>3159</v>
      </c>
      <c r="F575" s="91" t="s">
        <v>271</v>
      </c>
      <c r="G575" s="56" t="s">
        <v>211</v>
      </c>
      <c r="H575" s="91">
        <v>60</v>
      </c>
      <c r="I575" s="91" t="s">
        <v>1097</v>
      </c>
      <c r="J575" s="91" t="s">
        <v>2273</v>
      </c>
      <c r="K575" s="92" t="s">
        <v>273</v>
      </c>
      <c r="L575" s="93" t="str">
        <f>VLOOKUP(G575,'SKU 对应关系'!A:E,4,0)</f>
        <v>ANX-B</v>
      </c>
      <c r="M575" s="94" t="str">
        <f>_xlfn.IFNA(VLOOKUP(G575,'SKU 对应关系'!A:B,2,0),"")</f>
        <v>ANX-B 便携式扩香仪 黑色</v>
      </c>
      <c r="N575" s="95" t="str">
        <f>_xlfn.IFNA(VLOOKUP(G575,'SKU 对应关系'!$A:$D,3,0),"")</f>
        <v>ANX</v>
      </c>
      <c r="O575" s="96">
        <v>2</v>
      </c>
      <c r="P575" s="580">
        <v>0.16666666666666666</v>
      </c>
      <c r="Q575" s="96" t="s">
        <v>3264</v>
      </c>
      <c r="R575" s="91">
        <v>1400</v>
      </c>
      <c r="S575" s="95"/>
      <c r="T575" s="98">
        <v>83.471666666666664</v>
      </c>
      <c r="U575" s="99">
        <f t="shared" si="71"/>
        <v>316.80499999999995</v>
      </c>
      <c r="V575" s="100">
        <f t="shared" si="72"/>
        <v>5.2800833333333328</v>
      </c>
      <c r="W575" s="101">
        <f t="shared" si="73"/>
        <v>0.78807213930348252</v>
      </c>
      <c r="X575" s="95"/>
      <c r="Y575" s="95"/>
      <c r="Z575" s="102"/>
      <c r="AA575" s="103">
        <v>46156</v>
      </c>
      <c r="AB575" s="103">
        <v>46201</v>
      </c>
      <c r="AC575" s="103"/>
      <c r="AD575" s="104">
        <f>IF(ISNA(VLOOKUP(D575,亚马逊入库配置费!B:F,5,0)),0,VLOOKUP(D575,亚马逊入库配置费!B:F,5,0))</f>
        <v>0</v>
      </c>
      <c r="AE575" s="104">
        <f t="shared" si="67"/>
        <v>0</v>
      </c>
      <c r="AF575" s="103"/>
      <c r="AG575" s="577">
        <f t="shared" si="66"/>
        <v>-46156</v>
      </c>
      <c r="AH575" s="103"/>
      <c r="AI575" s="96"/>
      <c r="AJ575" s="96"/>
      <c r="AK575" s="96"/>
      <c r="AL575" s="92"/>
      <c r="AM575" s="91"/>
      <c r="AN575" s="91"/>
      <c r="AO575" s="96"/>
      <c r="AP575" s="105"/>
      <c r="AQ575" s="105"/>
      <c r="AR575" s="105"/>
      <c r="AS575" s="105"/>
    </row>
    <row r="576" spans="1:45" ht="12" customHeight="1" x14ac:dyDescent="0.25">
      <c r="A576" s="90">
        <v>575</v>
      </c>
      <c r="B576" s="91"/>
      <c r="C576" s="91" t="s">
        <v>1118</v>
      </c>
      <c r="D576" s="92" t="s">
        <v>4601</v>
      </c>
      <c r="E576" s="91" t="s">
        <v>3159</v>
      </c>
      <c r="F576" s="91" t="s">
        <v>271</v>
      </c>
      <c r="G576" s="56" t="s">
        <v>2281</v>
      </c>
      <c r="H576" s="91">
        <v>60</v>
      </c>
      <c r="I576" s="91" t="s">
        <v>1097</v>
      </c>
      <c r="J576" s="91" t="s">
        <v>2273</v>
      </c>
      <c r="K576" s="92" t="s">
        <v>273</v>
      </c>
      <c r="L576" s="93" t="str">
        <f>VLOOKUP(G576,'SKU 对应关系'!A:E,4,0)</f>
        <v>RD1-DT</v>
      </c>
      <c r="M576" s="94" t="str">
        <f>_xlfn.IFNA(VLOOKUP(G576,'SKU 对应关系'!A:B,2,0),"")</f>
        <v>RD1-DT 便携式扩香仪 沙漠钛色</v>
      </c>
      <c r="N576" s="95" t="str">
        <f>_xlfn.IFNA(VLOOKUP(G576,'SKU 对应关系'!$A:$D,3,0),"")</f>
        <v>RD1</v>
      </c>
      <c r="O576" s="96">
        <v>2</v>
      </c>
      <c r="P576" s="580">
        <v>0.16666666666666666</v>
      </c>
      <c r="Q576" s="96" t="s">
        <v>3264</v>
      </c>
      <c r="R576" s="91">
        <v>1400</v>
      </c>
      <c r="S576" s="95"/>
      <c r="T576" s="98">
        <v>83.471666666666664</v>
      </c>
      <c r="U576" s="99">
        <f t="shared" si="71"/>
        <v>316.80499999999995</v>
      </c>
      <c r="V576" s="100">
        <f t="shared" si="72"/>
        <v>5.2800833333333328</v>
      </c>
      <c r="W576" s="101">
        <f t="shared" si="73"/>
        <v>0.78807213930348252</v>
      </c>
      <c r="X576" s="95"/>
      <c r="Y576" s="95"/>
      <c r="Z576" s="102"/>
      <c r="AA576" s="103">
        <v>46156</v>
      </c>
      <c r="AB576" s="103">
        <v>46201</v>
      </c>
      <c r="AC576" s="103"/>
      <c r="AD576" s="104">
        <f>IF(ISNA(VLOOKUP(D576,亚马逊入库配置费!B:F,5,0)),0,VLOOKUP(D576,亚马逊入库配置费!B:F,5,0))</f>
        <v>0</v>
      </c>
      <c r="AE576" s="104">
        <f t="shared" si="67"/>
        <v>0</v>
      </c>
      <c r="AF576" s="103"/>
      <c r="AG576" s="577">
        <f t="shared" si="66"/>
        <v>-46156</v>
      </c>
      <c r="AH576" s="103"/>
      <c r="AI576" s="96"/>
      <c r="AJ576" s="96"/>
      <c r="AK576" s="96"/>
      <c r="AL576" s="92"/>
      <c r="AM576" s="91"/>
      <c r="AN576" s="91"/>
      <c r="AO576" s="96"/>
      <c r="AP576" s="105"/>
      <c r="AQ576" s="105"/>
      <c r="AR576" s="105"/>
      <c r="AS576" s="105"/>
    </row>
    <row r="577" spans="1:45" ht="12" customHeight="1" x14ac:dyDescent="0.25">
      <c r="A577" s="90">
        <v>576</v>
      </c>
      <c r="B577" s="91"/>
      <c r="C577" s="91" t="s">
        <v>1122</v>
      </c>
      <c r="D577" s="92" t="s">
        <v>4602</v>
      </c>
      <c r="E577" s="91" t="s">
        <v>254</v>
      </c>
      <c r="F577" s="91" t="s">
        <v>255</v>
      </c>
      <c r="G577" s="56" t="s">
        <v>163</v>
      </c>
      <c r="H577" s="91">
        <v>320</v>
      </c>
      <c r="I577" s="91" t="s">
        <v>207</v>
      </c>
      <c r="J577" s="91" t="s">
        <v>2313</v>
      </c>
      <c r="K577" s="92" t="s">
        <v>475</v>
      </c>
      <c r="L577" s="93" t="str">
        <f>VLOOKUP(G577,'SKU 对应关系'!A:E,4,0)</f>
        <v>AN6-B</v>
      </c>
      <c r="M577" s="94" t="str">
        <f>_xlfn.IFNA(VLOOKUP(G577,'SKU 对应关系'!A:B,2,0),"")</f>
        <v>AN6-B 便携式扩香仪 黑色</v>
      </c>
      <c r="N577" s="95" t="str">
        <f>_xlfn.IFNA(VLOOKUP(G577,'SKU 对应关系'!$A:$D,3,0),"")</f>
        <v>AN6</v>
      </c>
      <c r="O577" s="96">
        <v>8</v>
      </c>
      <c r="P577" s="580">
        <v>0.39636363636363642</v>
      </c>
      <c r="Q577" s="96" t="s">
        <v>3264</v>
      </c>
      <c r="R577" s="91">
        <v>780</v>
      </c>
      <c r="S577" s="95">
        <v>450</v>
      </c>
      <c r="T577" s="98">
        <v>163.63636363636363</v>
      </c>
      <c r="U577" s="99">
        <f t="shared" si="71"/>
        <v>472.8</v>
      </c>
      <c r="V577" s="100">
        <f t="shared" si="72"/>
        <v>1.4775</v>
      </c>
      <c r="W577" s="101">
        <f t="shared" si="73"/>
        <v>0.22052238805970148</v>
      </c>
      <c r="X577" s="95"/>
      <c r="Y577" s="95"/>
      <c r="Z577" s="102"/>
      <c r="AA577" s="103">
        <v>46156</v>
      </c>
      <c r="AB577" s="103">
        <v>46196</v>
      </c>
      <c r="AC577" s="103"/>
      <c r="AD577" s="104">
        <f>IF(ISNA(VLOOKUP(D577,亚马逊入库配置费!B:F,5,0)),0,VLOOKUP(D577,亚马逊入库配置费!B:F,5,0))</f>
        <v>0</v>
      </c>
      <c r="AE577" s="104">
        <f t="shared" si="67"/>
        <v>0</v>
      </c>
      <c r="AF577" s="103"/>
      <c r="AG577" s="577">
        <f t="shared" si="66"/>
        <v>-46156</v>
      </c>
      <c r="AH577" s="103"/>
      <c r="AI577" s="96"/>
      <c r="AJ577" s="96"/>
      <c r="AK577" s="96"/>
      <c r="AL577" s="92"/>
      <c r="AM577" s="91"/>
      <c r="AN577" s="91"/>
      <c r="AO577" s="96"/>
      <c r="AP577" s="105"/>
      <c r="AQ577" s="105"/>
      <c r="AR577" s="105"/>
      <c r="AS577" s="105"/>
    </row>
    <row r="578" spans="1:45" ht="12" customHeight="1" x14ac:dyDescent="0.25">
      <c r="A578" s="90">
        <v>577</v>
      </c>
      <c r="B578" s="91"/>
      <c r="C578" s="91" t="s">
        <v>1122</v>
      </c>
      <c r="D578" s="92" t="s">
        <v>4602</v>
      </c>
      <c r="E578" s="91" t="s">
        <v>254</v>
      </c>
      <c r="F578" s="91" t="s">
        <v>255</v>
      </c>
      <c r="G578" s="56" t="s">
        <v>350</v>
      </c>
      <c r="H578" s="91">
        <v>120</v>
      </c>
      <c r="I578" s="91" t="s">
        <v>207</v>
      </c>
      <c r="J578" s="91" t="s">
        <v>2313</v>
      </c>
      <c r="K578" s="92" t="s">
        <v>475</v>
      </c>
      <c r="L578" s="93" t="str">
        <f>VLOOKUP(G578,'SKU 对应关系'!A:E,4,0)</f>
        <v>AN6-GL</v>
      </c>
      <c r="M578" s="94" t="str">
        <f>_xlfn.IFNA(VLOOKUP(G578,'SKU 对应关系'!A:B,2,0),"")</f>
        <v>AN6-GL 便携式扩香仪 翠百合色</v>
      </c>
      <c r="N578" s="95" t="str">
        <f>_xlfn.IFNA(VLOOKUP(G578,'SKU 对应关系'!$A:$D,3,0),"")</f>
        <v>AN6</v>
      </c>
      <c r="O578" s="96">
        <v>3</v>
      </c>
      <c r="P578" s="580">
        <v>0.14863636363636365</v>
      </c>
      <c r="Q578" s="96" t="s">
        <v>3264</v>
      </c>
      <c r="R578" s="91">
        <v>780</v>
      </c>
      <c r="S578" s="106">
        <v>450</v>
      </c>
      <c r="T578" s="98">
        <v>61.363636363636367</v>
      </c>
      <c r="U578" s="99">
        <f t="shared" si="71"/>
        <v>177.3</v>
      </c>
      <c r="V578" s="100">
        <f t="shared" si="72"/>
        <v>1.4775</v>
      </c>
      <c r="W578" s="101">
        <f t="shared" si="73"/>
        <v>0.22052238805970148</v>
      </c>
      <c r="X578" s="95"/>
      <c r="Y578" s="95"/>
      <c r="Z578" s="102"/>
      <c r="AA578" s="103">
        <v>46156</v>
      </c>
      <c r="AB578" s="103">
        <v>46196</v>
      </c>
      <c r="AC578" s="103"/>
      <c r="AD578" s="104">
        <f>IF(ISNA(VLOOKUP(D578,亚马逊入库配置费!B:F,5,0)),0,VLOOKUP(D578,亚马逊入库配置费!B:F,5,0))</f>
        <v>0</v>
      </c>
      <c r="AE578" s="104">
        <f t="shared" si="67"/>
        <v>0</v>
      </c>
      <c r="AF578" s="103"/>
      <c r="AG578" s="577">
        <f t="shared" ref="AG578:AG641" si="74">AF578-AA578</f>
        <v>-46156</v>
      </c>
      <c r="AH578" s="103"/>
      <c r="AI578" s="96"/>
      <c r="AJ578" s="96"/>
      <c r="AK578" s="96"/>
      <c r="AL578" s="92"/>
      <c r="AM578" s="91"/>
      <c r="AN578" s="91"/>
      <c r="AO578" s="96"/>
      <c r="AP578" s="105"/>
      <c r="AQ578" s="105"/>
      <c r="AR578" s="105"/>
      <c r="AS578" s="105"/>
    </row>
    <row r="579" spans="1:45" ht="12" customHeight="1" x14ac:dyDescent="0.25">
      <c r="A579" s="90">
        <v>578</v>
      </c>
      <c r="B579" s="91"/>
      <c r="C579" s="91" t="s">
        <v>1122</v>
      </c>
      <c r="D579" s="92" t="s">
        <v>4602</v>
      </c>
      <c r="E579" s="91" t="s">
        <v>254</v>
      </c>
      <c r="F579" s="91" t="s">
        <v>255</v>
      </c>
      <c r="G579" s="56" t="s">
        <v>165</v>
      </c>
      <c r="H579" s="91">
        <v>200</v>
      </c>
      <c r="I579" s="91" t="s">
        <v>207</v>
      </c>
      <c r="J579" s="91" t="s">
        <v>2313</v>
      </c>
      <c r="K579" s="92" t="s">
        <v>475</v>
      </c>
      <c r="L579" s="93" t="str">
        <f>VLOOKUP(G579,'SKU 对应关系'!A:E,4,0)</f>
        <v>AN6-W</v>
      </c>
      <c r="M579" s="94" t="str">
        <f>_xlfn.IFNA(VLOOKUP(G579,'SKU 对应关系'!A:B,2,0),"")</f>
        <v>AN6-W 便携式扩香仪 白色</v>
      </c>
      <c r="N579" s="95" t="str">
        <f>_xlfn.IFNA(VLOOKUP(G579,'SKU 对应关系'!$A:$D,3,0),"")</f>
        <v>AN6</v>
      </c>
      <c r="O579" s="96">
        <v>5</v>
      </c>
      <c r="P579" s="580">
        <v>0.24772727272727277</v>
      </c>
      <c r="Q579" s="96" t="s">
        <v>3264</v>
      </c>
      <c r="R579" s="91">
        <v>780</v>
      </c>
      <c r="S579" s="95"/>
      <c r="T579" s="98">
        <v>102.27272727272727</v>
      </c>
      <c r="U579" s="99">
        <f t="shared" si="71"/>
        <v>295.5</v>
      </c>
      <c r="V579" s="100">
        <f t="shared" si="72"/>
        <v>1.4775</v>
      </c>
      <c r="W579" s="101">
        <f t="shared" si="73"/>
        <v>0.22052238805970148</v>
      </c>
      <c r="X579" s="95"/>
      <c r="Y579" s="95"/>
      <c r="Z579" s="102"/>
      <c r="AA579" s="103">
        <v>46156</v>
      </c>
      <c r="AB579" s="103">
        <v>46196</v>
      </c>
      <c r="AC579" s="103"/>
      <c r="AD579" s="104">
        <f>IF(ISNA(VLOOKUP(D579,亚马逊入库配置费!B:F,5,0)),0,VLOOKUP(D579,亚马逊入库配置费!B:F,5,0))</f>
        <v>0</v>
      </c>
      <c r="AE579" s="104">
        <f t="shared" si="67"/>
        <v>0</v>
      </c>
      <c r="AF579" s="103"/>
      <c r="AG579" s="577">
        <f t="shared" si="74"/>
        <v>-46156</v>
      </c>
      <c r="AH579" s="103"/>
      <c r="AI579" s="96"/>
      <c r="AJ579" s="96"/>
      <c r="AK579" s="96"/>
      <c r="AL579" s="92"/>
      <c r="AM579" s="91"/>
      <c r="AN579" s="91"/>
      <c r="AO579" s="96"/>
      <c r="AP579" s="105"/>
      <c r="AQ579" s="105"/>
      <c r="AR579" s="105"/>
      <c r="AS579" s="105"/>
    </row>
    <row r="580" spans="1:45" ht="12" customHeight="1" x14ac:dyDescent="0.25">
      <c r="A580" s="90">
        <v>579</v>
      </c>
      <c r="B580" s="91"/>
      <c r="C580" s="91" t="s">
        <v>1122</v>
      </c>
      <c r="D580" s="92" t="s">
        <v>4602</v>
      </c>
      <c r="E580" s="91" t="s">
        <v>254</v>
      </c>
      <c r="F580" s="91" t="s">
        <v>255</v>
      </c>
      <c r="G580" s="56" t="s">
        <v>211</v>
      </c>
      <c r="H580" s="91">
        <v>120</v>
      </c>
      <c r="I580" s="91" t="s">
        <v>207</v>
      </c>
      <c r="J580" s="91" t="s">
        <v>2313</v>
      </c>
      <c r="K580" s="92" t="s">
        <v>475</v>
      </c>
      <c r="L580" s="93" t="str">
        <f>VLOOKUP(G580,'SKU 对应关系'!A:E,4,0)</f>
        <v>ANX-B</v>
      </c>
      <c r="M580" s="94" t="str">
        <f>_xlfn.IFNA(VLOOKUP(G580,'SKU 对应关系'!A:B,2,0),"")</f>
        <v>ANX-B 便携式扩香仪 黑色</v>
      </c>
      <c r="N580" s="95" t="str">
        <f>_xlfn.IFNA(VLOOKUP(G580,'SKU 对应关系'!$A:$D,3,0),"")</f>
        <v>ANX</v>
      </c>
      <c r="O580" s="96">
        <v>4</v>
      </c>
      <c r="P580" s="580">
        <v>0.19818181818181821</v>
      </c>
      <c r="Q580" s="96" t="s">
        <v>3264</v>
      </c>
      <c r="R580" s="91">
        <v>780</v>
      </c>
      <c r="S580" s="95"/>
      <c r="T580" s="98">
        <v>81.818181818181813</v>
      </c>
      <c r="U580" s="99">
        <f t="shared" si="71"/>
        <v>236.4</v>
      </c>
      <c r="V580" s="100">
        <f t="shared" si="72"/>
        <v>1.97</v>
      </c>
      <c r="W580" s="101">
        <f t="shared" si="73"/>
        <v>0.29402985074626864</v>
      </c>
      <c r="X580" s="95"/>
      <c r="Y580" s="95"/>
      <c r="Z580" s="102"/>
      <c r="AA580" s="103">
        <v>46156</v>
      </c>
      <c r="AB580" s="103">
        <v>46196</v>
      </c>
      <c r="AC580" s="103"/>
      <c r="AD580" s="104">
        <f>IF(ISNA(VLOOKUP(D580,亚马逊入库配置费!B:F,5,0)),0,VLOOKUP(D580,亚马逊入库配置费!B:F,5,0))</f>
        <v>0</v>
      </c>
      <c r="AE580" s="104">
        <f t="shared" si="67"/>
        <v>0</v>
      </c>
      <c r="AF580" s="103"/>
      <c r="AG580" s="577">
        <f t="shared" si="74"/>
        <v>-46156</v>
      </c>
      <c r="AH580" s="103"/>
      <c r="AI580" s="96"/>
      <c r="AJ580" s="96"/>
      <c r="AK580" s="96"/>
      <c r="AL580" s="92"/>
      <c r="AM580" s="91"/>
      <c r="AN580" s="91"/>
      <c r="AO580" s="96"/>
      <c r="AP580" s="105"/>
      <c r="AQ580" s="105"/>
      <c r="AR580" s="105"/>
      <c r="AS580" s="105"/>
    </row>
    <row r="581" spans="1:45" ht="12" customHeight="1" x14ac:dyDescent="0.25">
      <c r="A581" s="90">
        <v>580</v>
      </c>
      <c r="B581" s="91"/>
      <c r="C581" s="91" t="s">
        <v>1122</v>
      </c>
      <c r="D581" s="92" t="s">
        <v>4602</v>
      </c>
      <c r="E581" s="91" t="s">
        <v>254</v>
      </c>
      <c r="F581" s="91" t="s">
        <v>255</v>
      </c>
      <c r="G581" s="56" t="s">
        <v>213</v>
      </c>
      <c r="H581" s="91">
        <v>60</v>
      </c>
      <c r="I581" s="91" t="s">
        <v>207</v>
      </c>
      <c r="J581" s="91" t="s">
        <v>2313</v>
      </c>
      <c r="K581" s="92" t="s">
        <v>475</v>
      </c>
      <c r="L581" s="93" t="str">
        <f>VLOOKUP(G581,'SKU 对应关系'!A:E,4,0)</f>
        <v>ANX-DT</v>
      </c>
      <c r="M581" s="94" t="str">
        <f>_xlfn.IFNA(VLOOKUP(G581,'SKU 对应关系'!A:B,2,0),"")</f>
        <v>ANX-DT 便携式扩香仪 沙漠钛色</v>
      </c>
      <c r="N581" s="95" t="str">
        <f>_xlfn.IFNA(VLOOKUP(G581,'SKU 对应关系'!$A:$D,3,0),"")</f>
        <v>ANX</v>
      </c>
      <c r="O581" s="96">
        <v>2</v>
      </c>
      <c r="P581" s="580">
        <v>9.9090909090909104E-2</v>
      </c>
      <c r="Q581" s="96" t="s">
        <v>3264</v>
      </c>
      <c r="R581" s="91">
        <v>780</v>
      </c>
      <c r="S581" s="95"/>
      <c r="T581" s="98">
        <v>40.909090909090907</v>
      </c>
      <c r="U581" s="99">
        <f t="shared" si="71"/>
        <v>118.2</v>
      </c>
      <c r="V581" s="100">
        <f t="shared" si="72"/>
        <v>1.97</v>
      </c>
      <c r="W581" s="101">
        <f t="shared" si="73"/>
        <v>0.29402985074626864</v>
      </c>
      <c r="X581" s="95"/>
      <c r="Y581" s="95"/>
      <c r="Z581" s="102"/>
      <c r="AA581" s="103">
        <v>46156</v>
      </c>
      <c r="AB581" s="103">
        <v>46196</v>
      </c>
      <c r="AC581" s="103"/>
      <c r="AD581" s="104">
        <f>IF(ISNA(VLOOKUP(D581,亚马逊入库配置费!B:F,5,0)),0,VLOOKUP(D581,亚马逊入库配置费!B:F,5,0))</f>
        <v>0</v>
      </c>
      <c r="AE581" s="104">
        <f t="shared" si="67"/>
        <v>0</v>
      </c>
      <c r="AF581" s="103"/>
      <c r="AG581" s="577">
        <f t="shared" si="74"/>
        <v>-46156</v>
      </c>
      <c r="AH581" s="103"/>
      <c r="AI581" s="96"/>
      <c r="AJ581" s="96"/>
      <c r="AK581" s="96"/>
      <c r="AL581" s="92"/>
      <c r="AM581" s="91"/>
      <c r="AN581" s="91"/>
      <c r="AO581" s="96"/>
      <c r="AP581" s="105"/>
      <c r="AQ581" s="105"/>
      <c r="AR581" s="105"/>
      <c r="AS581" s="105"/>
    </row>
    <row r="582" spans="1:45" ht="12" customHeight="1" x14ac:dyDescent="0.25">
      <c r="A582" s="90">
        <v>581</v>
      </c>
      <c r="B582" s="91"/>
      <c r="C582" s="91" t="s">
        <v>1095</v>
      </c>
      <c r="D582" s="92" t="s">
        <v>4603</v>
      </c>
      <c r="E582" s="91" t="s">
        <v>97</v>
      </c>
      <c r="F582" s="91" t="s">
        <v>0</v>
      </c>
      <c r="G582" s="56" t="s">
        <v>161</v>
      </c>
      <c r="H582" s="91">
        <v>192</v>
      </c>
      <c r="I582" s="91" t="s">
        <v>207</v>
      </c>
      <c r="J582" s="91" t="s">
        <v>8</v>
      </c>
      <c r="K582" s="92" t="s">
        <v>13</v>
      </c>
      <c r="L582" s="93" t="str">
        <f>VLOOKUP(G582,'SKU 对应关系'!A:E,4,0)</f>
        <v>AN6B-NZB</v>
      </c>
      <c r="M582" s="94" t="str">
        <f>_xlfn.IFNA(VLOOKUP(G582,'SKU 对应关系'!A:B,2,0),"")</f>
        <v>AN6B-NZB 便携式扩香仪套装 黑机器+黑喷嘴</v>
      </c>
      <c r="N582" s="95" t="str">
        <f>_xlfn.IFNA(VLOOKUP(G582,'SKU 对应关系'!$A:$D,3,0),"")</f>
        <v>AN6</v>
      </c>
      <c r="O582" s="96">
        <v>6</v>
      </c>
      <c r="P582" s="580">
        <v>86.711351351351368</v>
      </c>
      <c r="Q582" s="96" t="s">
        <v>16</v>
      </c>
      <c r="R582" s="91">
        <v>4.25</v>
      </c>
      <c r="S582" s="95">
        <v>200</v>
      </c>
      <c r="T582" s="98">
        <v>11.538461538461538</v>
      </c>
      <c r="U582" s="99">
        <f t="shared" si="71"/>
        <v>380.06170478170486</v>
      </c>
      <c r="V582" s="100">
        <f t="shared" si="72"/>
        <v>1.9794880457380462</v>
      </c>
      <c r="W582" s="101">
        <f t="shared" si="73"/>
        <v>0.29544597697582775</v>
      </c>
      <c r="X582" s="95"/>
      <c r="Y582" s="95"/>
      <c r="Z582" s="102"/>
      <c r="AA582" s="103">
        <v>46157</v>
      </c>
      <c r="AB582" s="103">
        <v>46180</v>
      </c>
      <c r="AC582" s="103"/>
      <c r="AD582" s="104">
        <f>IF(ISNA(VLOOKUP(D582,亚马逊入库配置费!B:F,5,0)),0,VLOOKUP(D582,亚马逊入库配置费!B:F,5,0))</f>
        <v>0.3785952208544533</v>
      </c>
      <c r="AE582" s="104">
        <f t="shared" si="67"/>
        <v>72.69028240405504</v>
      </c>
      <c r="AF582" s="103"/>
      <c r="AG582" s="577">
        <f t="shared" si="74"/>
        <v>-46157</v>
      </c>
      <c r="AH582" s="103"/>
      <c r="AI582" s="96"/>
      <c r="AJ582" s="96"/>
      <c r="AK582" s="96"/>
      <c r="AL582" s="92"/>
      <c r="AM582" s="91"/>
      <c r="AN582" s="91"/>
      <c r="AO582" s="96"/>
      <c r="AP582" s="105"/>
      <c r="AQ582" s="105"/>
      <c r="AR582" s="105"/>
      <c r="AS582" s="105"/>
    </row>
    <row r="583" spans="1:45" ht="12" customHeight="1" x14ac:dyDescent="0.25">
      <c r="A583" s="90">
        <v>582</v>
      </c>
      <c r="B583" s="91"/>
      <c r="C583" s="91" t="s">
        <v>1095</v>
      </c>
      <c r="D583" s="92" t="s">
        <v>4603</v>
      </c>
      <c r="E583" s="91" t="s">
        <v>97</v>
      </c>
      <c r="F583" s="91" t="s">
        <v>0</v>
      </c>
      <c r="G583" s="56" t="s">
        <v>163</v>
      </c>
      <c r="H583" s="91">
        <v>1200</v>
      </c>
      <c r="I583" s="91" t="s">
        <v>207</v>
      </c>
      <c r="J583" s="91" t="s">
        <v>8</v>
      </c>
      <c r="K583" s="92" t="s">
        <v>13</v>
      </c>
      <c r="L583" s="93" t="str">
        <f>VLOOKUP(G583,'SKU 对应关系'!A:E,4,0)</f>
        <v>AN6-B</v>
      </c>
      <c r="M583" s="94" t="str">
        <f>_xlfn.IFNA(VLOOKUP(G583,'SKU 对应关系'!A:B,2,0),"")</f>
        <v>AN6-B 便携式扩香仪 黑色</v>
      </c>
      <c r="N583" s="95" t="str">
        <f>_xlfn.IFNA(VLOOKUP(G583,'SKU 对应关系'!$A:$D,3,0),"")</f>
        <v>AN6</v>
      </c>
      <c r="O583" s="96">
        <v>30</v>
      </c>
      <c r="P583" s="580">
        <v>433.55675675675678</v>
      </c>
      <c r="Q583" s="96" t="s">
        <v>16</v>
      </c>
      <c r="R583" s="91">
        <v>4.25</v>
      </c>
      <c r="S583" s="106">
        <v>200</v>
      </c>
      <c r="T583" s="98">
        <v>57.692307692307693</v>
      </c>
      <c r="U583" s="99">
        <f t="shared" si="71"/>
        <v>1900.308523908524</v>
      </c>
      <c r="V583" s="100">
        <f t="shared" si="72"/>
        <v>1.5835904365904367</v>
      </c>
      <c r="W583" s="101">
        <f t="shared" si="73"/>
        <v>0.2363567815806622</v>
      </c>
      <c r="X583" s="95"/>
      <c r="Y583" s="95"/>
      <c r="Z583" s="102"/>
      <c r="AA583" s="103">
        <v>46157</v>
      </c>
      <c r="AB583" s="103">
        <v>46180</v>
      </c>
      <c r="AC583" s="103"/>
      <c r="AD583" s="104">
        <f>IF(ISNA(VLOOKUP(D583,亚马逊入库配置费!B:F,5,0)),0,VLOOKUP(D583,亚马逊入库配置费!B:F,5,0))</f>
        <v>0.3785952208544533</v>
      </c>
      <c r="AE583" s="104">
        <f t="shared" si="67"/>
        <v>454.31426502534396</v>
      </c>
      <c r="AF583" s="103"/>
      <c r="AG583" s="577">
        <f t="shared" si="74"/>
        <v>-46157</v>
      </c>
      <c r="AH583" s="103"/>
      <c r="AI583" s="96"/>
      <c r="AJ583" s="96"/>
      <c r="AK583" s="96"/>
      <c r="AL583" s="92"/>
      <c r="AM583" s="91"/>
      <c r="AN583" s="91"/>
      <c r="AO583" s="96"/>
      <c r="AP583" s="105"/>
      <c r="AQ583" s="105"/>
      <c r="AR583" s="105"/>
      <c r="AS583" s="105"/>
    </row>
    <row r="584" spans="1:45" ht="12" customHeight="1" x14ac:dyDescent="0.25">
      <c r="A584" s="90">
        <v>583</v>
      </c>
      <c r="B584" s="91"/>
      <c r="C584" s="91" t="s">
        <v>1095</v>
      </c>
      <c r="D584" s="92" t="s">
        <v>4603</v>
      </c>
      <c r="E584" s="91" t="s">
        <v>97</v>
      </c>
      <c r="F584" s="91" t="s">
        <v>0</v>
      </c>
      <c r="G584" s="56" t="s">
        <v>350</v>
      </c>
      <c r="H584" s="91">
        <v>320</v>
      </c>
      <c r="I584" s="91" t="s">
        <v>207</v>
      </c>
      <c r="J584" s="91" t="s">
        <v>8</v>
      </c>
      <c r="K584" s="92" t="s">
        <v>13</v>
      </c>
      <c r="L584" s="93" t="str">
        <f>VLOOKUP(G584,'SKU 对应关系'!A:E,4,0)</f>
        <v>AN6-GL</v>
      </c>
      <c r="M584" s="94" t="str">
        <f>_xlfn.IFNA(VLOOKUP(G584,'SKU 对应关系'!A:B,2,0),"")</f>
        <v>AN6-GL 便携式扩香仪 翠百合色</v>
      </c>
      <c r="N584" s="95" t="str">
        <f>_xlfn.IFNA(VLOOKUP(G584,'SKU 对应关系'!$A:$D,3,0),"")</f>
        <v>AN6</v>
      </c>
      <c r="O584" s="96">
        <v>8</v>
      </c>
      <c r="P584" s="580">
        <v>115.61513513513515</v>
      </c>
      <c r="Q584" s="96" t="s">
        <v>16</v>
      </c>
      <c r="R584" s="91">
        <v>4.25</v>
      </c>
      <c r="S584" s="95"/>
      <c r="T584" s="98">
        <v>15.384615384615385</v>
      </c>
      <c r="U584" s="99">
        <f t="shared" si="71"/>
        <v>506.74893970893976</v>
      </c>
      <c r="V584" s="100">
        <f t="shared" si="72"/>
        <v>1.5835904365904367</v>
      </c>
      <c r="W584" s="101">
        <f t="shared" si="73"/>
        <v>0.2363567815806622</v>
      </c>
      <c r="X584" s="95"/>
      <c r="Y584" s="95"/>
      <c r="Z584" s="102"/>
      <c r="AA584" s="103">
        <v>46157</v>
      </c>
      <c r="AB584" s="103">
        <v>46180</v>
      </c>
      <c r="AC584" s="103"/>
      <c r="AD584" s="104">
        <f>IF(ISNA(VLOOKUP(D584,亚马逊入库配置费!B:F,5,0)),0,VLOOKUP(D584,亚马逊入库配置费!B:F,5,0))</f>
        <v>0.3785952208544533</v>
      </c>
      <c r="AE584" s="104">
        <f t="shared" si="67"/>
        <v>121.15047067342505</v>
      </c>
      <c r="AF584" s="103"/>
      <c r="AG584" s="577">
        <f t="shared" si="74"/>
        <v>-46157</v>
      </c>
      <c r="AH584" s="103"/>
      <c r="AI584" s="96"/>
      <c r="AJ584" s="96"/>
      <c r="AK584" s="96"/>
      <c r="AL584" s="92"/>
      <c r="AM584" s="91"/>
      <c r="AN584" s="91"/>
      <c r="AO584" s="96"/>
      <c r="AP584" s="105"/>
      <c r="AQ584" s="105"/>
      <c r="AR584" s="105"/>
      <c r="AS584" s="105"/>
    </row>
    <row r="585" spans="1:45" ht="12" customHeight="1" x14ac:dyDescent="0.25">
      <c r="A585" s="90">
        <v>584</v>
      </c>
      <c r="B585" s="91"/>
      <c r="C585" s="91" t="s">
        <v>1095</v>
      </c>
      <c r="D585" s="92" t="s">
        <v>4603</v>
      </c>
      <c r="E585" s="91" t="s">
        <v>97</v>
      </c>
      <c r="F585" s="91" t="s">
        <v>0</v>
      </c>
      <c r="G585" s="56" t="s">
        <v>876</v>
      </c>
      <c r="H585" s="91">
        <v>200</v>
      </c>
      <c r="I585" s="91" t="s">
        <v>207</v>
      </c>
      <c r="J585" s="91" t="s">
        <v>8</v>
      </c>
      <c r="K585" s="92" t="s">
        <v>13</v>
      </c>
      <c r="L585" s="93" t="str">
        <f>VLOOKUP(G585,'SKU 对应关系'!A:E,4,0)</f>
        <v>AN6-LV</v>
      </c>
      <c r="M585" s="94" t="str">
        <f>_xlfn.IFNA(VLOOKUP(G585,'SKU 对应关系'!A:B,2,0),"")</f>
        <v>AN6-LV 便携式扩香仪 薰衣草</v>
      </c>
      <c r="N585" s="95" t="str">
        <f>_xlfn.IFNA(VLOOKUP(G585,'SKU 对应关系'!$A:$D,3,0),"")</f>
        <v>AN6</v>
      </c>
      <c r="O585" s="96">
        <v>5</v>
      </c>
      <c r="P585" s="580">
        <v>72.259459459459464</v>
      </c>
      <c r="Q585" s="96" t="s">
        <v>16</v>
      </c>
      <c r="R585" s="91">
        <v>4.25</v>
      </c>
      <c r="S585" s="95"/>
      <c r="T585" s="98">
        <v>9.615384615384615</v>
      </c>
      <c r="U585" s="99">
        <f t="shared" si="71"/>
        <v>316.71808731808738</v>
      </c>
      <c r="V585" s="100">
        <f t="shared" si="72"/>
        <v>1.583590436590437</v>
      </c>
      <c r="W585" s="101">
        <f t="shared" si="73"/>
        <v>0.23635678158066223</v>
      </c>
      <c r="X585" s="95"/>
      <c r="Y585" s="95"/>
      <c r="Z585" s="102"/>
      <c r="AA585" s="103">
        <v>46157</v>
      </c>
      <c r="AB585" s="103">
        <v>46180</v>
      </c>
      <c r="AC585" s="103"/>
      <c r="AD585" s="104">
        <f>IF(ISNA(VLOOKUP(D585,亚马逊入库配置费!B:F,5,0)),0,VLOOKUP(D585,亚马逊入库配置费!B:F,5,0))</f>
        <v>0.3785952208544533</v>
      </c>
      <c r="AE585" s="104">
        <f t="shared" si="67"/>
        <v>75.719044170890655</v>
      </c>
      <c r="AF585" s="103"/>
      <c r="AG585" s="577">
        <f t="shared" si="74"/>
        <v>-46157</v>
      </c>
      <c r="AH585" s="103"/>
      <c r="AI585" s="96"/>
      <c r="AJ585" s="96"/>
      <c r="AK585" s="96"/>
      <c r="AL585" s="92"/>
      <c r="AM585" s="91"/>
      <c r="AN585" s="91"/>
      <c r="AO585" s="96"/>
      <c r="AP585" s="105"/>
      <c r="AQ585" s="105"/>
      <c r="AR585" s="105"/>
      <c r="AS585" s="105"/>
    </row>
    <row r="586" spans="1:45" ht="12" customHeight="1" x14ac:dyDescent="0.25">
      <c r="A586" s="90">
        <v>585</v>
      </c>
      <c r="B586" s="91"/>
      <c r="C586" s="91" t="s">
        <v>1095</v>
      </c>
      <c r="D586" s="92" t="s">
        <v>4603</v>
      </c>
      <c r="E586" s="91" t="s">
        <v>97</v>
      </c>
      <c r="F586" s="91" t="s">
        <v>0</v>
      </c>
      <c r="G586" s="56" t="s">
        <v>165</v>
      </c>
      <c r="H586" s="91">
        <v>400</v>
      </c>
      <c r="I586" s="91" t="s">
        <v>207</v>
      </c>
      <c r="J586" s="91" t="s">
        <v>8</v>
      </c>
      <c r="K586" s="92" t="s">
        <v>13</v>
      </c>
      <c r="L586" s="93" t="str">
        <f>VLOOKUP(G586,'SKU 对应关系'!A:E,4,0)</f>
        <v>AN6-W</v>
      </c>
      <c r="M586" s="94" t="str">
        <f>_xlfn.IFNA(VLOOKUP(G586,'SKU 对应关系'!A:B,2,0),"")</f>
        <v>AN6-W 便携式扩香仪 白色</v>
      </c>
      <c r="N586" s="95" t="str">
        <f>_xlfn.IFNA(VLOOKUP(G586,'SKU 对应关系'!$A:$D,3,0),"")</f>
        <v>AN6</v>
      </c>
      <c r="O586" s="96">
        <v>10</v>
      </c>
      <c r="P586" s="580">
        <v>144.51891891891893</v>
      </c>
      <c r="Q586" s="96" t="s">
        <v>16</v>
      </c>
      <c r="R586" s="91">
        <v>4.25</v>
      </c>
      <c r="S586" s="95"/>
      <c r="T586" s="98">
        <v>19.23076923076923</v>
      </c>
      <c r="U586" s="99">
        <f t="shared" si="71"/>
        <v>633.43617463617477</v>
      </c>
      <c r="V586" s="100">
        <f t="shared" si="72"/>
        <v>1.583590436590437</v>
      </c>
      <c r="W586" s="101">
        <f t="shared" si="73"/>
        <v>0.23635678158066223</v>
      </c>
      <c r="X586" s="95"/>
      <c r="Y586" s="95"/>
      <c r="Z586" s="102"/>
      <c r="AA586" s="103">
        <v>46157</v>
      </c>
      <c r="AB586" s="103">
        <v>46180</v>
      </c>
      <c r="AC586" s="103"/>
      <c r="AD586" s="104">
        <f>IF(ISNA(VLOOKUP(D586,亚马逊入库配置费!B:F,5,0)),0,VLOOKUP(D586,亚马逊入库配置费!B:F,5,0))</f>
        <v>0.3785952208544533</v>
      </c>
      <c r="AE586" s="104">
        <f t="shared" si="67"/>
        <v>151.43808834178131</v>
      </c>
      <c r="AF586" s="103"/>
      <c r="AG586" s="577">
        <f t="shared" si="74"/>
        <v>-46157</v>
      </c>
      <c r="AH586" s="103"/>
      <c r="AI586" s="96"/>
      <c r="AJ586" s="96"/>
      <c r="AK586" s="96"/>
      <c r="AL586" s="92"/>
      <c r="AM586" s="91"/>
      <c r="AN586" s="91"/>
      <c r="AO586" s="96"/>
      <c r="AP586" s="105"/>
      <c r="AQ586" s="105"/>
      <c r="AR586" s="105"/>
      <c r="AS586" s="105"/>
    </row>
    <row r="587" spans="1:45" ht="12" customHeight="1" x14ac:dyDescent="0.25">
      <c r="A587" s="90">
        <v>586</v>
      </c>
      <c r="B587" s="91"/>
      <c r="C587" s="91" t="s">
        <v>1095</v>
      </c>
      <c r="D587" s="92" t="s">
        <v>4603</v>
      </c>
      <c r="E587" s="91" t="s">
        <v>97</v>
      </c>
      <c r="F587" s="91" t="s">
        <v>0</v>
      </c>
      <c r="G587" s="56" t="s">
        <v>2279</v>
      </c>
      <c r="H587" s="91">
        <v>300</v>
      </c>
      <c r="I587" s="91" t="s">
        <v>207</v>
      </c>
      <c r="J587" s="91" t="s">
        <v>8</v>
      </c>
      <c r="K587" s="92" t="s">
        <v>13</v>
      </c>
      <c r="L587" s="93" t="str">
        <f>VLOOKUP(G587,'SKU 对应关系'!A:E,4,0)</f>
        <v>RD1-B</v>
      </c>
      <c r="M587" s="94" t="str">
        <f>_xlfn.IFNA(VLOOKUP(G587,'SKU 对应关系'!A:B,2,0),"")</f>
        <v>RD1-B 便携式扩香仪 黑色</v>
      </c>
      <c r="N587" s="95" t="str">
        <f>_xlfn.IFNA(VLOOKUP(G587,'SKU 对应关系'!$A:$D,3,0),"")</f>
        <v>RD1</v>
      </c>
      <c r="O587" s="96">
        <v>10</v>
      </c>
      <c r="P587" s="580">
        <v>144.51891891891893</v>
      </c>
      <c r="Q587" s="96" t="s">
        <v>16</v>
      </c>
      <c r="R587" s="91">
        <v>4.25</v>
      </c>
      <c r="S587" s="95"/>
      <c r="T587" s="98">
        <v>19.23076923076923</v>
      </c>
      <c r="U587" s="99">
        <f t="shared" si="71"/>
        <v>633.43617463617477</v>
      </c>
      <c r="V587" s="100">
        <f t="shared" si="72"/>
        <v>2.1114539154539158</v>
      </c>
      <c r="W587" s="101">
        <f t="shared" si="73"/>
        <v>0.31514237544088297</v>
      </c>
      <c r="X587" s="95"/>
      <c r="Y587" s="95"/>
      <c r="Z587" s="102"/>
      <c r="AA587" s="103">
        <v>46157</v>
      </c>
      <c r="AB587" s="103">
        <v>46180</v>
      </c>
      <c r="AC587" s="103"/>
      <c r="AD587" s="104">
        <f>IF(ISNA(VLOOKUP(D587,亚马逊入库配置费!B:F,5,0)),0,VLOOKUP(D587,亚马逊入库配置费!B:F,5,0))</f>
        <v>0.3785952208544533</v>
      </c>
      <c r="AE587" s="104">
        <f t="shared" si="67"/>
        <v>113.57856625633599</v>
      </c>
      <c r="AF587" s="103"/>
      <c r="AG587" s="577">
        <f t="shared" si="74"/>
        <v>-46157</v>
      </c>
      <c r="AH587" s="103"/>
      <c r="AI587" s="96"/>
      <c r="AJ587" s="96"/>
      <c r="AK587" s="96"/>
      <c r="AL587" s="92"/>
      <c r="AM587" s="91"/>
      <c r="AN587" s="91"/>
      <c r="AO587" s="96"/>
      <c r="AP587" s="105"/>
      <c r="AQ587" s="105"/>
      <c r="AR587" s="105"/>
      <c r="AS587" s="105"/>
    </row>
    <row r="588" spans="1:45" ht="12" customHeight="1" x14ac:dyDescent="0.25">
      <c r="A588" s="90">
        <v>587</v>
      </c>
      <c r="B588" s="91"/>
      <c r="C588" s="91" t="s">
        <v>1095</v>
      </c>
      <c r="D588" s="92" t="s">
        <v>4603</v>
      </c>
      <c r="E588" s="91" t="s">
        <v>97</v>
      </c>
      <c r="F588" s="91" t="s">
        <v>0</v>
      </c>
      <c r="G588" s="56" t="s">
        <v>953</v>
      </c>
      <c r="H588" s="91">
        <v>150</v>
      </c>
      <c r="I588" s="91" t="s">
        <v>207</v>
      </c>
      <c r="J588" s="91" t="s">
        <v>8</v>
      </c>
      <c r="K588" s="92" t="s">
        <v>13</v>
      </c>
      <c r="L588" s="93" t="str">
        <f>VLOOKUP(G588,'SKU 对应关系'!A:E,4,0)</f>
        <v>AND-B</v>
      </c>
      <c r="M588" s="94" t="str">
        <f>_xlfn.IFNA(VLOOKUP(G588,'SKU 对应关系'!A:B,2,0),"")</f>
        <v>AND-B 便携式双喷扩香仪 黑色</v>
      </c>
      <c r="N588" s="95" t="str">
        <f>_xlfn.IFNA(VLOOKUP(G588,'SKU 对应关系'!$A:$D,3,0),"")</f>
        <v>AND</v>
      </c>
      <c r="O588" s="96">
        <v>5</v>
      </c>
      <c r="P588" s="580">
        <v>72.259459459459464</v>
      </c>
      <c r="Q588" s="96" t="s">
        <v>16</v>
      </c>
      <c r="R588" s="91">
        <v>4.25</v>
      </c>
      <c r="S588" s="95"/>
      <c r="T588" s="98">
        <v>9.615384615384615</v>
      </c>
      <c r="U588" s="99">
        <f t="shared" si="71"/>
        <v>316.71808731808738</v>
      </c>
      <c r="V588" s="100">
        <f t="shared" si="72"/>
        <v>2.1114539154539158</v>
      </c>
      <c r="W588" s="101">
        <f t="shared" si="73"/>
        <v>0.31514237544088297</v>
      </c>
      <c r="X588" s="95"/>
      <c r="Y588" s="95"/>
      <c r="Z588" s="102"/>
      <c r="AA588" s="103">
        <v>46157</v>
      </c>
      <c r="AB588" s="103">
        <v>46180</v>
      </c>
      <c r="AC588" s="103"/>
      <c r="AD588" s="104">
        <f>IF(ISNA(VLOOKUP(D588,亚马逊入库配置费!B:F,5,0)),0,VLOOKUP(D588,亚马逊入库配置费!B:F,5,0))</f>
        <v>0.3785952208544533</v>
      </c>
      <c r="AE588" s="104">
        <f t="shared" si="67"/>
        <v>56.789283128167995</v>
      </c>
      <c r="AF588" s="103"/>
      <c r="AG588" s="577">
        <f t="shared" si="74"/>
        <v>-46157</v>
      </c>
      <c r="AH588" s="103"/>
      <c r="AI588" s="96"/>
      <c r="AJ588" s="96"/>
      <c r="AK588" s="96"/>
      <c r="AL588" s="92"/>
      <c r="AM588" s="91"/>
      <c r="AN588" s="91"/>
      <c r="AO588" s="96"/>
      <c r="AP588" s="105"/>
      <c r="AQ588" s="105"/>
      <c r="AR588" s="105"/>
      <c r="AS588" s="105"/>
    </row>
    <row r="589" spans="1:45" ht="12" customHeight="1" x14ac:dyDescent="0.25">
      <c r="A589" s="90">
        <v>588</v>
      </c>
      <c r="B589" s="91"/>
      <c r="C589" s="91" t="s">
        <v>1095</v>
      </c>
      <c r="D589" s="92" t="s">
        <v>4604</v>
      </c>
      <c r="E589" s="91" t="s">
        <v>97</v>
      </c>
      <c r="F589" s="91" t="s">
        <v>0</v>
      </c>
      <c r="G589" s="56" t="s">
        <v>2888</v>
      </c>
      <c r="H589" s="91">
        <v>450</v>
      </c>
      <c r="I589" s="91" t="s">
        <v>207</v>
      </c>
      <c r="J589" s="91" t="s">
        <v>8</v>
      </c>
      <c r="K589" s="92" t="s">
        <v>13</v>
      </c>
      <c r="L589" s="93" t="str">
        <f>VLOOKUP(G589,'SKU 对应关系'!A:E,4,0)</f>
        <v>ADXKIT-B_4X10K04_TZ</v>
      </c>
      <c r="M589" s="94" t="str">
        <f>_xlfn.IFNA(VLOOKUP(G589,'SKU 对应关系'!A:B,2,0),"")</f>
        <v>ADXKIT-B_4X10K04_TZ ADX黑色机器+4x10mL酒店（天竺）香氛油 机油套装</v>
      </c>
      <c r="N589" s="95" t="str">
        <f>_xlfn.IFNA(VLOOKUP(G589,'SKU 对应关系'!$A:$D,3,0),"")</f>
        <v>ADX</v>
      </c>
      <c r="O589" s="96">
        <v>15</v>
      </c>
      <c r="P589" s="580">
        <v>216.78</v>
      </c>
      <c r="Q589" s="96" t="s">
        <v>16</v>
      </c>
      <c r="R589" s="91">
        <v>4.25</v>
      </c>
      <c r="S589" s="95"/>
      <c r="T589" s="98">
        <v>28.846153846153847</v>
      </c>
      <c r="U589" s="99">
        <f t="shared" si="71"/>
        <v>950.16115384615387</v>
      </c>
      <c r="V589" s="100">
        <f t="shared" si="72"/>
        <v>2.1114692307692309</v>
      </c>
      <c r="W589" s="101">
        <f t="shared" si="73"/>
        <v>0.31514466130884045</v>
      </c>
      <c r="X589" s="95"/>
      <c r="Y589" s="95"/>
      <c r="Z589" s="102"/>
      <c r="AA589" s="103">
        <v>46157</v>
      </c>
      <c r="AB589" s="103">
        <v>46180</v>
      </c>
      <c r="AC589" s="103"/>
      <c r="AD589" s="104">
        <f>IF(ISNA(VLOOKUP(D589,亚马逊入库配置费!B:F,5,0)),0,VLOOKUP(D589,亚马逊入库配置费!B:F,5,0))</f>
        <v>0.44</v>
      </c>
      <c r="AE589" s="104">
        <f t="shared" si="67"/>
        <v>198</v>
      </c>
      <c r="AF589" s="103"/>
      <c r="AG589" s="577">
        <f t="shared" si="74"/>
        <v>-46157</v>
      </c>
      <c r="AH589" s="103"/>
      <c r="AI589" s="96"/>
      <c r="AJ589" s="96"/>
      <c r="AK589" s="96"/>
      <c r="AL589" s="92"/>
      <c r="AM589" s="91"/>
      <c r="AN589" s="91"/>
      <c r="AO589" s="96"/>
      <c r="AP589" s="105"/>
      <c r="AQ589" s="105"/>
      <c r="AR589" s="105"/>
      <c r="AS589" s="105"/>
    </row>
    <row r="590" spans="1:45" ht="12" customHeight="1" x14ac:dyDescent="0.25">
      <c r="A590" s="90">
        <v>589</v>
      </c>
      <c r="B590" s="91"/>
      <c r="C590" s="91" t="s">
        <v>1130</v>
      </c>
      <c r="D590" s="92" t="s">
        <v>4593</v>
      </c>
      <c r="E590" s="91" t="s">
        <v>115</v>
      </c>
      <c r="F590" s="91" t="s">
        <v>0</v>
      </c>
      <c r="G590" s="56" t="s">
        <v>209</v>
      </c>
      <c r="H590" s="91">
        <v>192</v>
      </c>
      <c r="I590" s="91" t="s">
        <v>207</v>
      </c>
      <c r="J590" s="91" t="s">
        <v>8</v>
      </c>
      <c r="K590" s="92" t="s">
        <v>15</v>
      </c>
      <c r="L590" s="93" t="str">
        <f>VLOOKUP(G590,'SKU 对应关系'!A:E,4,0)</f>
        <v>ANX-2PC-BB</v>
      </c>
      <c r="M590" s="94" t="str">
        <f>_xlfn.IFNA(VLOOKUP(G590,'SKU 对应关系'!A:B,2,0),"")</f>
        <v>ANX-2PC-BB 便携式扩香仪套装 黑+黑</v>
      </c>
      <c r="N590" s="95" t="str">
        <f>_xlfn.IFNA(VLOOKUP(G590,'SKU 对应关系'!$A:$D,3,0),"")</f>
        <v>ANX</v>
      </c>
      <c r="O590" s="96">
        <v>12</v>
      </c>
      <c r="P590" s="580">
        <v>158.64461538461538</v>
      </c>
      <c r="Q590" s="96" t="s">
        <v>16</v>
      </c>
      <c r="R590" s="91">
        <v>4.3499999999999996</v>
      </c>
      <c r="S590" s="95">
        <v>200</v>
      </c>
      <c r="T590" s="98">
        <v>40.677966101694913</v>
      </c>
      <c r="U590" s="99">
        <f t="shared" si="71"/>
        <v>730.78204302477172</v>
      </c>
      <c r="V590" s="100">
        <f t="shared" si="72"/>
        <v>3.8061564740873526</v>
      </c>
      <c r="W590" s="101">
        <f t="shared" si="73"/>
        <v>0.56808305583393326</v>
      </c>
      <c r="X590" s="95"/>
      <c r="Y590" s="95"/>
      <c r="Z590" s="102"/>
      <c r="AA590" s="103">
        <v>46157</v>
      </c>
      <c r="AB590" s="103">
        <v>46188</v>
      </c>
      <c r="AC590" s="103"/>
      <c r="AD590" s="104">
        <f>IF(ISNA(VLOOKUP(D590,亚马逊入库配置费!B:F,5,0)),0,VLOOKUP(D590,亚马逊入库配置费!B:F,5,0))</f>
        <v>0.47764705882352942</v>
      </c>
      <c r="AE590" s="104">
        <f t="shared" si="67"/>
        <v>91.708235294117657</v>
      </c>
      <c r="AF590" s="103"/>
      <c r="AG590" s="577">
        <f t="shared" si="74"/>
        <v>-46157</v>
      </c>
      <c r="AH590" s="103"/>
      <c r="AI590" s="96"/>
      <c r="AJ590" s="96"/>
      <c r="AK590" s="96"/>
      <c r="AL590" s="92"/>
      <c r="AM590" s="91"/>
      <c r="AN590" s="91"/>
      <c r="AO590" s="96"/>
      <c r="AP590" s="105"/>
      <c r="AQ590" s="105"/>
      <c r="AR590" s="105"/>
      <c r="AS590" s="105"/>
    </row>
    <row r="591" spans="1:45" ht="12" customHeight="1" x14ac:dyDescent="0.25">
      <c r="A591" s="90">
        <v>590</v>
      </c>
      <c r="B591" s="91"/>
      <c r="C591" s="91" t="s">
        <v>1130</v>
      </c>
      <c r="D591" s="92" t="s">
        <v>4593</v>
      </c>
      <c r="E591" s="91" t="s">
        <v>115</v>
      </c>
      <c r="F591" s="91" t="s">
        <v>0</v>
      </c>
      <c r="G591" s="56" t="s">
        <v>211</v>
      </c>
      <c r="H591" s="91">
        <v>360</v>
      </c>
      <c r="I591" s="91" t="s">
        <v>207</v>
      </c>
      <c r="J591" s="91" t="s">
        <v>8</v>
      </c>
      <c r="K591" s="92" t="s">
        <v>15</v>
      </c>
      <c r="L591" s="93" t="str">
        <f>VLOOKUP(G591,'SKU 对应关系'!A:E,4,0)</f>
        <v>ANX-B</v>
      </c>
      <c r="M591" s="94" t="str">
        <f>_xlfn.IFNA(VLOOKUP(G591,'SKU 对应关系'!A:B,2,0),"")</f>
        <v>ANX-B 便携式扩香仪 黑色</v>
      </c>
      <c r="N591" s="95" t="str">
        <f>_xlfn.IFNA(VLOOKUP(G591,'SKU 对应关系'!$A:$D,3,0),"")</f>
        <v>ANX</v>
      </c>
      <c r="O591" s="96">
        <v>12</v>
      </c>
      <c r="P591" s="580">
        <v>158.64461538461538</v>
      </c>
      <c r="Q591" s="96" t="s">
        <v>16</v>
      </c>
      <c r="R591" s="91">
        <v>4.3499999999999996</v>
      </c>
      <c r="S591" s="106">
        <v>200</v>
      </c>
      <c r="T591" s="98">
        <v>40.677966101694913</v>
      </c>
      <c r="U591" s="99">
        <f t="shared" si="71"/>
        <v>730.78204302477172</v>
      </c>
      <c r="V591" s="100">
        <f t="shared" si="72"/>
        <v>2.0299501195132548</v>
      </c>
      <c r="W591" s="101">
        <f t="shared" si="73"/>
        <v>0.30297762977809772</v>
      </c>
      <c r="X591" s="95"/>
      <c r="Y591" s="95"/>
      <c r="Z591" s="102"/>
      <c r="AA591" s="103">
        <v>46157</v>
      </c>
      <c r="AB591" s="103">
        <v>46188</v>
      </c>
      <c r="AC591" s="103"/>
      <c r="AD591" s="104">
        <f>IF(ISNA(VLOOKUP(D591,亚马逊入库配置费!B:F,5,0)),0,VLOOKUP(D591,亚马逊入库配置费!B:F,5,0))</f>
        <v>0.47764705882352942</v>
      </c>
      <c r="AE591" s="104">
        <f t="shared" si="67"/>
        <v>171.9529411764706</v>
      </c>
      <c r="AF591" s="103"/>
      <c r="AG591" s="577">
        <f t="shared" si="74"/>
        <v>-46157</v>
      </c>
      <c r="AH591" s="103"/>
      <c r="AI591" s="96"/>
      <c r="AJ591" s="96"/>
      <c r="AK591" s="96"/>
      <c r="AL591" s="92"/>
      <c r="AM591" s="91"/>
      <c r="AN591" s="91"/>
      <c r="AO591" s="96"/>
      <c r="AP591" s="105"/>
      <c r="AQ591" s="105"/>
      <c r="AR591" s="105"/>
      <c r="AS591" s="105"/>
    </row>
    <row r="592" spans="1:45" ht="12" customHeight="1" x14ac:dyDescent="0.25">
      <c r="A592" s="90">
        <v>591</v>
      </c>
      <c r="B592" s="91"/>
      <c r="C592" s="91" t="s">
        <v>1130</v>
      </c>
      <c r="D592" s="92" t="s">
        <v>4593</v>
      </c>
      <c r="E592" s="91" t="s">
        <v>115</v>
      </c>
      <c r="F592" s="91" t="s">
        <v>0</v>
      </c>
      <c r="G592" s="56" t="s">
        <v>1085</v>
      </c>
      <c r="H592" s="91">
        <v>60</v>
      </c>
      <c r="I592" s="91" t="s">
        <v>207</v>
      </c>
      <c r="J592" s="91" t="s">
        <v>8</v>
      </c>
      <c r="K592" s="92" t="s">
        <v>15</v>
      </c>
      <c r="L592" s="93" t="str">
        <f>VLOOKUP(G592,'SKU 对应关系'!A:E,4,0)</f>
        <v>ANX-RP</v>
      </c>
      <c r="M592" s="94" t="str">
        <f>_xlfn.IFNA(VLOOKUP(G592,'SKU 对应关系'!A:B,2,0),"")</f>
        <v>ANX-RP 便携式扩香仪 红粉色</v>
      </c>
      <c r="N592" s="95" t="str">
        <f>_xlfn.IFNA(VLOOKUP(G592,'SKU 对应关系'!$A:$D,3,0),"")</f>
        <v>ANX</v>
      </c>
      <c r="O592" s="96">
        <v>2</v>
      </c>
      <c r="P592" s="580">
        <v>26.440769230769231</v>
      </c>
      <c r="Q592" s="96" t="s">
        <v>16</v>
      </c>
      <c r="R592" s="91">
        <v>4.3499999999999996</v>
      </c>
      <c r="S592" s="95"/>
      <c r="T592" s="98">
        <v>6.7796610169491522</v>
      </c>
      <c r="U592" s="99">
        <f t="shared" si="71"/>
        <v>121.7970071707953</v>
      </c>
      <c r="V592" s="100">
        <f t="shared" si="72"/>
        <v>2.0299501195132548</v>
      </c>
      <c r="W592" s="101">
        <f t="shared" si="73"/>
        <v>0.30297762977809772</v>
      </c>
      <c r="X592" s="95"/>
      <c r="Y592" s="95"/>
      <c r="Z592" s="102"/>
      <c r="AA592" s="103">
        <v>46157</v>
      </c>
      <c r="AB592" s="103">
        <v>46188</v>
      </c>
      <c r="AC592" s="103"/>
      <c r="AD592" s="104">
        <f>IF(ISNA(VLOOKUP(D592,亚马逊入库配置费!B:F,5,0)),0,VLOOKUP(D592,亚马逊入库配置费!B:F,5,0))</f>
        <v>0.47764705882352942</v>
      </c>
      <c r="AE592" s="104">
        <f t="shared" si="67"/>
        <v>28.658823529411766</v>
      </c>
      <c r="AF592" s="103"/>
      <c r="AG592" s="577">
        <f t="shared" si="74"/>
        <v>-46157</v>
      </c>
      <c r="AH592" s="103"/>
      <c r="AI592" s="96"/>
      <c r="AJ592" s="96"/>
      <c r="AK592" s="96"/>
      <c r="AL592" s="92"/>
      <c r="AM592" s="91"/>
      <c r="AN592" s="91"/>
      <c r="AO592" s="96"/>
      <c r="AP592" s="105"/>
      <c r="AQ592" s="105"/>
      <c r="AR592" s="105"/>
      <c r="AS592" s="105"/>
    </row>
    <row r="593" spans="1:45" ht="12" customHeight="1" x14ac:dyDescent="0.25">
      <c r="A593" s="90">
        <v>592</v>
      </c>
      <c r="B593" s="91"/>
      <c r="C593" s="91" t="s">
        <v>1130</v>
      </c>
      <c r="D593" s="92" t="s">
        <v>4605</v>
      </c>
      <c r="E593" s="91" t="s">
        <v>97</v>
      </c>
      <c r="F593" s="91" t="s">
        <v>0</v>
      </c>
      <c r="G593" s="56" t="s">
        <v>967</v>
      </c>
      <c r="H593" s="91">
        <v>90</v>
      </c>
      <c r="I593" s="91" t="s">
        <v>207</v>
      </c>
      <c r="J593" s="91" t="s">
        <v>8</v>
      </c>
      <c r="K593" s="92" t="s">
        <v>15</v>
      </c>
      <c r="L593" s="93" t="str">
        <f>VLOOKUP(G593,'SKU 对应关系'!A:E,4,0)</f>
        <v>AND-MT</v>
      </c>
      <c r="M593" s="94" t="str">
        <f>_xlfn.IFNA(VLOOKUP(G593,'SKU 对应关系'!A:B,2,0),"")</f>
        <v>AND-MT 便携式双喷扩香仪 薄荷绿色</v>
      </c>
      <c r="N593" s="95" t="str">
        <f>_xlfn.IFNA(VLOOKUP(G593,'SKU 对应关系'!$A:$D,3,0),"")</f>
        <v>AND</v>
      </c>
      <c r="O593" s="96">
        <v>3</v>
      </c>
      <c r="P593" s="580">
        <v>39.659999999999997</v>
      </c>
      <c r="Q593" s="96" t="s">
        <v>16</v>
      </c>
      <c r="R593" s="91">
        <v>4.3499999999999996</v>
      </c>
      <c r="S593" s="95"/>
      <c r="T593" s="98">
        <v>10.169491525423728</v>
      </c>
      <c r="U593" s="99">
        <f t="shared" si="71"/>
        <v>182.69049152542368</v>
      </c>
      <c r="V593" s="100">
        <f t="shared" si="72"/>
        <v>2.0298943502824853</v>
      </c>
      <c r="W593" s="101">
        <f t="shared" si="73"/>
        <v>0.30296930601231126</v>
      </c>
      <c r="X593" s="95"/>
      <c r="Y593" s="95"/>
      <c r="Z593" s="102"/>
      <c r="AA593" s="103">
        <v>46157</v>
      </c>
      <c r="AB593" s="103">
        <v>46188</v>
      </c>
      <c r="AC593" s="103"/>
      <c r="AD593" s="104">
        <f>IF(ISNA(VLOOKUP(D593,亚马逊入库配置费!B:F,5,0)),0,VLOOKUP(D593,亚马逊入库配置费!B:F,5,0))</f>
        <v>0.44</v>
      </c>
      <c r="AE593" s="104">
        <f t="shared" si="67"/>
        <v>39.6</v>
      </c>
      <c r="AF593" s="103"/>
      <c r="AG593" s="577">
        <f t="shared" si="74"/>
        <v>-46157</v>
      </c>
      <c r="AH593" s="103"/>
      <c r="AI593" s="96"/>
      <c r="AJ593" s="96"/>
      <c r="AK593" s="96"/>
      <c r="AL593" s="92"/>
      <c r="AM593" s="91"/>
      <c r="AN593" s="91"/>
      <c r="AO593" s="96"/>
      <c r="AP593" s="105"/>
      <c r="AQ593" s="105"/>
      <c r="AR593" s="105"/>
      <c r="AS593" s="105"/>
    </row>
    <row r="594" spans="1:45" ht="12" customHeight="1" x14ac:dyDescent="0.25">
      <c r="A594" s="90">
        <v>593</v>
      </c>
      <c r="B594" s="91"/>
      <c r="C594" s="91" t="s">
        <v>1095</v>
      </c>
      <c r="D594" s="92" t="s">
        <v>4606</v>
      </c>
      <c r="E594" s="91" t="s">
        <v>2411</v>
      </c>
      <c r="F594" s="91" t="s">
        <v>0</v>
      </c>
      <c r="G594" s="56" t="s">
        <v>4411</v>
      </c>
      <c r="H594" s="91">
        <v>300</v>
      </c>
      <c r="I594" s="91" t="s">
        <v>207</v>
      </c>
      <c r="J594" s="91" t="s">
        <v>8</v>
      </c>
      <c r="K594" s="92" t="s">
        <v>13</v>
      </c>
      <c r="L594" s="93" t="str">
        <f>VLOOKUP(G594,'SKU 对应关系'!A:E,4,0)</f>
        <v>ANZKIT-B_RZ30ML_TZ</v>
      </c>
      <c r="M594" s="94" t="str">
        <f>_xlfn.IFNA(VLOOKUP(G594,'SKU 对应关系'!A:B,2,0),"")</f>
        <v>ANZKIT-B_RZ30ML_TZ ANZ黑色机器+30mL丽思卡尔顿酒店（天竺）香氛油 机油套装</v>
      </c>
      <c r="N594" s="95" t="str">
        <f>_xlfn.IFNA(VLOOKUP(G594,'SKU 对应关系'!$A:$D,3,0),"")</f>
        <v>ANZ</v>
      </c>
      <c r="O594" s="96">
        <v>10</v>
      </c>
      <c r="P594" s="580">
        <v>144.52000000000001</v>
      </c>
      <c r="Q594" s="96" t="s">
        <v>16</v>
      </c>
      <c r="R594" s="91">
        <v>4.25</v>
      </c>
      <c r="S594" s="95">
        <v>200</v>
      </c>
      <c r="T594" s="98">
        <v>19.23076923076923</v>
      </c>
      <c r="U594" s="99">
        <f t="shared" si="71"/>
        <v>633.44076923076932</v>
      </c>
      <c r="V594" s="100">
        <f t="shared" si="72"/>
        <v>2.1114692307692309</v>
      </c>
      <c r="W594" s="101">
        <f t="shared" si="73"/>
        <v>0.31514466130884045</v>
      </c>
      <c r="X594" s="95"/>
      <c r="Y594" s="95"/>
      <c r="Z594" s="102"/>
      <c r="AA594" s="103">
        <v>46157</v>
      </c>
      <c r="AB594" s="103">
        <v>46180</v>
      </c>
      <c r="AC594" s="103"/>
      <c r="AD594" s="104">
        <f>IF(ISNA(VLOOKUP(D594,亚马逊入库配置费!B:F,5,0)),0,VLOOKUP(D594,亚马逊入库配置费!B:F,5,0))</f>
        <v>0.44</v>
      </c>
      <c r="AE594" s="104">
        <f t="shared" si="67"/>
        <v>132</v>
      </c>
      <c r="AF594" s="103"/>
      <c r="AG594" s="577">
        <f t="shared" si="74"/>
        <v>-46157</v>
      </c>
      <c r="AH594" s="103"/>
      <c r="AI594" s="96"/>
      <c r="AJ594" s="96"/>
      <c r="AK594" s="96"/>
      <c r="AL594" s="92"/>
      <c r="AM594" s="91"/>
      <c r="AN594" s="91"/>
      <c r="AO594" s="96"/>
      <c r="AP594" s="105"/>
      <c r="AQ594" s="105"/>
      <c r="AR594" s="105"/>
      <c r="AS594" s="105"/>
    </row>
    <row r="595" spans="1:45" ht="12" customHeight="1" x14ac:dyDescent="0.25">
      <c r="A595" s="90">
        <v>594</v>
      </c>
      <c r="B595" s="91"/>
      <c r="C595" s="91" t="s">
        <v>1095</v>
      </c>
      <c r="D595" s="92" t="s">
        <v>4606</v>
      </c>
      <c r="E595" s="91" t="s">
        <v>2411</v>
      </c>
      <c r="F595" s="91" t="s">
        <v>0</v>
      </c>
      <c r="G595" s="56" t="s">
        <v>4414</v>
      </c>
      <c r="H595" s="91">
        <v>150</v>
      </c>
      <c r="I595" s="91" t="s">
        <v>207</v>
      </c>
      <c r="J595" s="91" t="s">
        <v>8</v>
      </c>
      <c r="K595" s="92" t="s">
        <v>13</v>
      </c>
      <c r="L595" s="93" t="str">
        <f>VLOOKUP(G595,'SKU 对应关系'!A:E,4,0)</f>
        <v>ANZKIT-W_RZ30ML_TZ</v>
      </c>
      <c r="M595" s="94" t="str">
        <f>_xlfn.IFNA(VLOOKUP(G595,'SKU 对应关系'!A:B,2,0),"")</f>
        <v>ANZKIT-W_RZ30ML_TZ ANZ白色机器+30mL丽思卡尔顿酒店（天竺）香氛油 机油套装</v>
      </c>
      <c r="N595" s="95" t="str">
        <f>_xlfn.IFNA(VLOOKUP(G595,'SKU 对应关系'!$A:$D,3,0),"")</f>
        <v>ANZ</v>
      </c>
      <c r="O595" s="96">
        <v>5</v>
      </c>
      <c r="P595" s="580">
        <v>72.260000000000005</v>
      </c>
      <c r="Q595" s="96" t="s">
        <v>16</v>
      </c>
      <c r="R595" s="91">
        <v>4.25</v>
      </c>
      <c r="S595" s="106">
        <v>200</v>
      </c>
      <c r="T595" s="98">
        <v>9.615384615384615</v>
      </c>
      <c r="U595" s="99">
        <f t="shared" si="71"/>
        <v>316.72038461538466</v>
      </c>
      <c r="V595" s="100">
        <f t="shared" si="72"/>
        <v>2.1114692307692309</v>
      </c>
      <c r="W595" s="101">
        <f t="shared" si="73"/>
        <v>0.31514466130884045</v>
      </c>
      <c r="X595" s="95"/>
      <c r="Y595" s="95"/>
      <c r="Z595" s="102"/>
      <c r="AA595" s="103">
        <v>46157</v>
      </c>
      <c r="AB595" s="103">
        <v>46180</v>
      </c>
      <c r="AC595" s="103"/>
      <c r="AD595" s="104">
        <f>IF(ISNA(VLOOKUP(D595,亚马逊入库配置费!B:F,5,0)),0,VLOOKUP(D595,亚马逊入库配置费!B:F,5,0))</f>
        <v>0.44</v>
      </c>
      <c r="AE595" s="104">
        <f t="shared" si="67"/>
        <v>66</v>
      </c>
      <c r="AF595" s="103"/>
      <c r="AG595" s="577">
        <f t="shared" si="74"/>
        <v>-46157</v>
      </c>
      <c r="AH595" s="103"/>
      <c r="AI595" s="96"/>
      <c r="AJ595" s="96"/>
      <c r="AK595" s="96"/>
      <c r="AL595" s="92"/>
      <c r="AM595" s="91"/>
      <c r="AN595" s="91"/>
      <c r="AO595" s="96"/>
      <c r="AP595" s="105"/>
      <c r="AQ595" s="105"/>
      <c r="AR595" s="105"/>
      <c r="AS595" s="105"/>
    </row>
    <row r="596" spans="1:45" ht="12" customHeight="1" x14ac:dyDescent="0.25">
      <c r="A596" s="90">
        <v>595</v>
      </c>
      <c r="B596" s="91"/>
      <c r="C596" s="91" t="s">
        <v>1130</v>
      </c>
      <c r="D596" s="92" t="s">
        <v>4607</v>
      </c>
      <c r="E596" s="91" t="s">
        <v>97</v>
      </c>
      <c r="F596" s="91" t="s">
        <v>0</v>
      </c>
      <c r="G596" s="56" t="s">
        <v>872</v>
      </c>
      <c r="H596" s="91">
        <v>600</v>
      </c>
      <c r="I596" s="91" t="s">
        <v>207</v>
      </c>
      <c r="J596" s="91" t="s">
        <v>8</v>
      </c>
      <c r="K596" s="92" t="s">
        <v>15</v>
      </c>
      <c r="L596" s="93" t="str">
        <f>VLOOKUP(G596,'SKU 对应关系'!A:E,4,0)</f>
        <v>AN6KIT-B_RZ30ml</v>
      </c>
      <c r="M596" s="94" t="str">
        <f>_xlfn.IFNA(VLOOKUP(G596,'SKU 对应关系'!A:B,2,0),"")</f>
        <v>AN6KIT-B_RZ30ml AN6黑色机器+30mL丽思香氛油 机油套装</v>
      </c>
      <c r="N596" s="95" t="str">
        <f>_xlfn.IFNA(VLOOKUP(G596,'SKU 对应关系'!$A:$D,3,0),"")</f>
        <v>AN6</v>
      </c>
      <c r="O596" s="96">
        <v>20</v>
      </c>
      <c r="P596" s="580">
        <v>264.40666666666669</v>
      </c>
      <c r="Q596" s="96" t="s">
        <v>16</v>
      </c>
      <c r="R596" s="91">
        <v>4.3499999999999996</v>
      </c>
      <c r="S596" s="95">
        <v>200</v>
      </c>
      <c r="T596" s="98">
        <v>67.79661016949153</v>
      </c>
      <c r="U596" s="99">
        <f t="shared" si="71"/>
        <v>1217.9656101694916</v>
      </c>
      <c r="V596" s="100">
        <f t="shared" si="72"/>
        <v>2.0299426836158192</v>
      </c>
      <c r="W596" s="101">
        <f t="shared" si="73"/>
        <v>0.30297651994265956</v>
      </c>
      <c r="X596" s="95"/>
      <c r="Y596" s="95"/>
      <c r="Z596" s="102"/>
      <c r="AA596" s="103">
        <v>46157</v>
      </c>
      <c r="AB596" s="103">
        <v>46188</v>
      </c>
      <c r="AC596" s="103"/>
      <c r="AD596" s="104">
        <f>IF(ISNA(VLOOKUP(D596,亚马逊入库配置费!B:F,5,0)),0,VLOOKUP(D596,亚马逊入库配置费!B:F,5,0))</f>
        <v>0.44</v>
      </c>
      <c r="AE596" s="104">
        <f t="shared" si="67"/>
        <v>264</v>
      </c>
      <c r="AF596" s="103"/>
      <c r="AG596" s="577">
        <f t="shared" si="74"/>
        <v>-46157</v>
      </c>
      <c r="AH596" s="103"/>
      <c r="AI596" s="96"/>
      <c r="AJ596" s="96"/>
      <c r="AK596" s="96"/>
      <c r="AL596" s="92"/>
      <c r="AM596" s="91"/>
      <c r="AN596" s="91"/>
      <c r="AO596" s="96"/>
      <c r="AP596" s="105"/>
      <c r="AQ596" s="105"/>
      <c r="AR596" s="105"/>
      <c r="AS596" s="105"/>
    </row>
    <row r="597" spans="1:45" ht="12" customHeight="1" x14ac:dyDescent="0.25">
      <c r="A597" s="90">
        <v>596</v>
      </c>
      <c r="B597" s="91"/>
      <c r="C597" s="91" t="s">
        <v>1130</v>
      </c>
      <c r="D597" s="92" t="s">
        <v>4607</v>
      </c>
      <c r="E597" s="91" t="s">
        <v>97</v>
      </c>
      <c r="F597" s="91" t="s">
        <v>0</v>
      </c>
      <c r="G597" s="56" t="s">
        <v>2886</v>
      </c>
      <c r="H597" s="91">
        <v>300</v>
      </c>
      <c r="I597" s="91" t="s">
        <v>207</v>
      </c>
      <c r="J597" s="91" t="s">
        <v>8</v>
      </c>
      <c r="K597" s="92" t="s">
        <v>15</v>
      </c>
      <c r="L597" s="93" t="str">
        <f>VLOOKUP(G597,'SKU 对应关系'!A:E,4,0)</f>
        <v>AN6KIT-WH_SJ30ML_TZ</v>
      </c>
      <c r="M597" s="94" t="str">
        <f>_xlfn.IFNA(VLOOKUP(G597,'SKU 对应关系'!A:B,2,0),"")</f>
        <v>AN6KIT-WH_SJ30ML_TZ AN6白色机器+30mL四季酒店香氛油（天竺） 机油套装</v>
      </c>
      <c r="N597" s="95" t="str">
        <f>_xlfn.IFNA(VLOOKUP(G597,'SKU 对应关系'!$A:$D,3,0),"")</f>
        <v>AN6</v>
      </c>
      <c r="O597" s="96">
        <v>10</v>
      </c>
      <c r="P597" s="580">
        <v>132.20333333333335</v>
      </c>
      <c r="Q597" s="96" t="s">
        <v>16</v>
      </c>
      <c r="R597" s="91">
        <v>4.3499999999999996</v>
      </c>
      <c r="S597" s="106">
        <v>200</v>
      </c>
      <c r="T597" s="98">
        <v>33.898305084745765</v>
      </c>
      <c r="U597" s="99">
        <f t="shared" si="71"/>
        <v>608.98280508474579</v>
      </c>
      <c r="V597" s="100">
        <f t="shared" si="72"/>
        <v>2.0299426836158192</v>
      </c>
      <c r="W597" s="101">
        <f t="shared" si="73"/>
        <v>0.30297651994265956</v>
      </c>
      <c r="X597" s="95"/>
      <c r="Y597" s="95"/>
      <c r="Z597" s="102"/>
      <c r="AA597" s="103">
        <v>46157</v>
      </c>
      <c r="AB597" s="103">
        <v>46188</v>
      </c>
      <c r="AC597" s="103"/>
      <c r="AD597" s="104">
        <f>IF(ISNA(VLOOKUP(D597,亚马逊入库配置费!B:F,5,0)),0,VLOOKUP(D597,亚马逊入库配置费!B:F,5,0))</f>
        <v>0.44</v>
      </c>
      <c r="AE597" s="104">
        <f t="shared" si="67"/>
        <v>132</v>
      </c>
      <c r="AF597" s="103"/>
      <c r="AG597" s="577">
        <f t="shared" si="74"/>
        <v>-46157</v>
      </c>
      <c r="AH597" s="103"/>
      <c r="AI597" s="96"/>
      <c r="AJ597" s="96"/>
      <c r="AK597" s="96"/>
      <c r="AL597" s="92"/>
      <c r="AM597" s="91"/>
      <c r="AN597" s="91"/>
      <c r="AO597" s="96"/>
      <c r="AP597" s="105"/>
      <c r="AQ597" s="105"/>
      <c r="AR597" s="105"/>
      <c r="AS597" s="105"/>
    </row>
    <row r="598" spans="1:45" ht="12" customHeight="1" x14ac:dyDescent="0.25">
      <c r="A598" s="90">
        <v>597</v>
      </c>
      <c r="B598" s="91"/>
      <c r="C598" s="91" t="s">
        <v>1104</v>
      </c>
      <c r="D598" s="92" t="s">
        <v>4608</v>
      </c>
      <c r="E598" s="91" t="s">
        <v>4202</v>
      </c>
      <c r="F598" s="91" t="s">
        <v>0</v>
      </c>
      <c r="G598" s="56" t="s">
        <v>4609</v>
      </c>
      <c r="H598" s="91">
        <v>630</v>
      </c>
      <c r="I598" s="91" t="s">
        <v>207</v>
      </c>
      <c r="J598" s="91" t="s">
        <v>8</v>
      </c>
      <c r="K598" s="92" t="s">
        <v>9</v>
      </c>
      <c r="L598" s="93" t="str">
        <f>VLOOKUP(G598,'SKU 对应关系'!A:E,4,0)</f>
        <v>U1KIT-BG_US_2X50K01_TZ</v>
      </c>
      <c r="M598" s="94" t="str">
        <f>_xlfn.IFNA(VLOOKUP(G598,'SKU 对应关系'!A:B,2,0),"")</f>
        <v>U1KIT-BG_US_2X50K01_TZ U1米灰色机器+2X50mL酒店香氛油（天竺） 机油套装</v>
      </c>
      <c r="N598" s="95" t="str">
        <f>_xlfn.IFNA(VLOOKUP(G598,'SKU 对应关系'!$A:$D,3,0),"")</f>
        <v>U1</v>
      </c>
      <c r="O598" s="96">
        <v>70</v>
      </c>
      <c r="P598" s="580">
        <v>1158.82</v>
      </c>
      <c r="Q598" s="96" t="s">
        <v>16</v>
      </c>
      <c r="R598" s="91">
        <v>4.95</v>
      </c>
      <c r="S598" s="95">
        <v>200</v>
      </c>
      <c r="T598" s="98">
        <v>127.27272727272727</v>
      </c>
      <c r="U598" s="99">
        <f t="shared" si="71"/>
        <v>5863.4317272727267</v>
      </c>
      <c r="V598" s="100">
        <f t="shared" si="72"/>
        <v>9.3070344877344873</v>
      </c>
      <c r="W598" s="101">
        <f t="shared" si="73"/>
        <v>1.3891096250349981</v>
      </c>
      <c r="X598" s="95"/>
      <c r="Y598" s="95"/>
      <c r="Z598" s="102"/>
      <c r="AA598" s="103">
        <v>46156</v>
      </c>
      <c r="AB598" s="103">
        <v>46175</v>
      </c>
      <c r="AC598" s="103"/>
      <c r="AD598" s="104">
        <f>IF(ISNA(VLOOKUP(D598,亚马逊入库配置费!B:F,5,0)),0,VLOOKUP(D598,亚马逊入库配置费!B:F,5,0))</f>
        <v>0.56000000000000005</v>
      </c>
      <c r="AE598" s="104">
        <f t="shared" si="67"/>
        <v>352.8</v>
      </c>
      <c r="AF598" s="103">
        <v>46184</v>
      </c>
      <c r="AG598" s="577">
        <f t="shared" si="74"/>
        <v>28</v>
      </c>
      <c r="AH598" s="103"/>
      <c r="AI598" s="96"/>
      <c r="AJ598" s="96"/>
      <c r="AK598" s="96"/>
      <c r="AL598" s="92"/>
      <c r="AM598" s="91"/>
      <c r="AN598" s="91"/>
      <c r="AO598" s="96"/>
      <c r="AP598" s="105"/>
      <c r="AQ598" s="105"/>
      <c r="AR598" s="105"/>
      <c r="AS598" s="105"/>
    </row>
    <row r="599" spans="1:45" ht="12" customHeight="1" x14ac:dyDescent="0.25">
      <c r="A599" s="90">
        <v>598</v>
      </c>
      <c r="B599" s="91"/>
      <c r="C599" s="91" t="s">
        <v>1104</v>
      </c>
      <c r="D599" s="92" t="s">
        <v>4610</v>
      </c>
      <c r="E599" s="91" t="s">
        <v>4202</v>
      </c>
      <c r="F599" s="91" t="s">
        <v>0</v>
      </c>
      <c r="G599" s="56" t="s">
        <v>4611</v>
      </c>
      <c r="H599" s="91">
        <v>360</v>
      </c>
      <c r="I599" s="91" t="s">
        <v>207</v>
      </c>
      <c r="J599" s="91" t="s">
        <v>8</v>
      </c>
      <c r="K599" s="92" t="s">
        <v>9</v>
      </c>
      <c r="L599" s="93" t="str">
        <f>VLOOKUP(G599,'SKU 对应关系'!A:E,4,0)</f>
        <v>U1-BG_US</v>
      </c>
      <c r="M599" s="94" t="str">
        <f>_xlfn.IFNA(VLOOKUP(G599,'SKU 对应关系'!A:B,2,0),"")</f>
        <v>U1-BG_US 智能扩香仪 米灰色</v>
      </c>
      <c r="N599" s="95" t="str">
        <f>_xlfn.IFNA(VLOOKUP(G599,'SKU 对应关系'!$A:$D,3,0),"")</f>
        <v>U1</v>
      </c>
      <c r="O599" s="96">
        <v>40</v>
      </c>
      <c r="P599" s="580">
        <v>662.17999999999984</v>
      </c>
      <c r="Q599" s="96" t="s">
        <v>16</v>
      </c>
      <c r="R599" s="91">
        <v>4.95</v>
      </c>
      <c r="S599" s="106">
        <v>200</v>
      </c>
      <c r="T599" s="98">
        <v>72.727272727272734</v>
      </c>
      <c r="U599" s="99">
        <f t="shared" si="71"/>
        <v>3350.5182727272718</v>
      </c>
      <c r="V599" s="100">
        <f t="shared" si="72"/>
        <v>9.3069952020202003</v>
      </c>
      <c r="W599" s="101">
        <f t="shared" si="73"/>
        <v>1.3891037614955521</v>
      </c>
      <c r="X599" s="95"/>
      <c r="Y599" s="95"/>
      <c r="Z599" s="102"/>
      <c r="AA599" s="103">
        <v>46156</v>
      </c>
      <c r="AB599" s="103">
        <v>46175</v>
      </c>
      <c r="AC599" s="103"/>
      <c r="AD599" s="104">
        <f>IF(ISNA(VLOOKUP(D599,亚马逊入库配置费!B:F,5,0)),0,VLOOKUP(D599,亚马逊入库配置费!B:F,5,0))</f>
        <v>0.55999999999999994</v>
      </c>
      <c r="AE599" s="104">
        <f t="shared" ref="AE599:AE657" si="75">AD599*H599</f>
        <v>201.59999999999997</v>
      </c>
      <c r="AF599" s="103">
        <v>46184</v>
      </c>
      <c r="AG599" s="577">
        <f t="shared" si="74"/>
        <v>28</v>
      </c>
      <c r="AH599" s="103"/>
      <c r="AI599" s="96"/>
      <c r="AJ599" s="96"/>
      <c r="AK599" s="96"/>
      <c r="AL599" s="92"/>
      <c r="AM599" s="91"/>
      <c r="AN599" s="91"/>
      <c r="AO599" s="96"/>
      <c r="AP599" s="105"/>
      <c r="AQ599" s="105"/>
      <c r="AR599" s="105"/>
      <c r="AS599" s="105"/>
    </row>
    <row r="600" spans="1:45" ht="12" customHeight="1" x14ac:dyDescent="0.25">
      <c r="A600" s="90">
        <v>599</v>
      </c>
      <c r="B600" s="91"/>
      <c r="C600" s="91" t="s">
        <v>1087</v>
      </c>
      <c r="D600" s="92" t="s">
        <v>4612</v>
      </c>
      <c r="E600" s="91" t="s">
        <v>97</v>
      </c>
      <c r="F600" s="91" t="s">
        <v>0</v>
      </c>
      <c r="G600" s="56" t="s">
        <v>1330</v>
      </c>
      <c r="H600" s="91">
        <v>240</v>
      </c>
      <c r="I600" s="91" t="s">
        <v>117</v>
      </c>
      <c r="J600" s="91" t="s">
        <v>8</v>
      </c>
      <c r="K600" s="92" t="s">
        <v>50</v>
      </c>
      <c r="L600" s="93" t="str">
        <f>VLOOKUP(G600,'SKU 对应关系'!A:E,4,0)</f>
        <v>ANA-B_US</v>
      </c>
      <c r="M600" s="94" t="str">
        <f>_xlfn.IFNA(VLOOKUP(G600,'SKU 对应关系'!A:B,2,0),"")</f>
        <v>ANA-B_US 智能扩香仪 黑色</v>
      </c>
      <c r="N600" s="95" t="str">
        <f>_xlfn.IFNA(VLOOKUP(G600,'SKU 对应关系'!$A:$D,3,0),"")</f>
        <v>ANA</v>
      </c>
      <c r="O600" s="96">
        <v>20</v>
      </c>
      <c r="P600" s="580">
        <v>286.26865671641792</v>
      </c>
      <c r="Q600" s="96" t="s">
        <v>16</v>
      </c>
      <c r="R600" s="91">
        <v>4</v>
      </c>
      <c r="S600" s="95">
        <v>200</v>
      </c>
      <c r="T600" s="98">
        <v>59.701492537313435</v>
      </c>
      <c r="U600" s="99">
        <f t="shared" si="71"/>
        <v>1204.7761194029852</v>
      </c>
      <c r="V600" s="100">
        <f t="shared" si="72"/>
        <v>5.0199004975124382</v>
      </c>
      <c r="W600" s="101">
        <f t="shared" si="73"/>
        <v>0.74923888022573704</v>
      </c>
      <c r="X600" s="95"/>
      <c r="Y600" s="95"/>
      <c r="Z600" s="102"/>
      <c r="AA600" s="103">
        <v>46157</v>
      </c>
      <c r="AB600" s="103">
        <v>46195</v>
      </c>
      <c r="AC600" s="103"/>
      <c r="AD600" s="104">
        <f>IF(ISNA(VLOOKUP(D600,亚马逊入库配置费!B:F,5,0)),0,VLOOKUP(D600,亚马逊入库配置费!B:F,5,0))</f>
        <v>0.50293706293706297</v>
      </c>
      <c r="AE600" s="104">
        <f t="shared" si="75"/>
        <v>120.70489510489512</v>
      </c>
      <c r="AF600" s="103"/>
      <c r="AG600" s="577">
        <f t="shared" si="74"/>
        <v>-46157</v>
      </c>
      <c r="AH600" s="103"/>
      <c r="AI600" s="96"/>
      <c r="AJ600" s="96"/>
      <c r="AK600" s="96"/>
      <c r="AL600" s="92"/>
      <c r="AM600" s="91"/>
      <c r="AN600" s="91"/>
      <c r="AO600" s="96"/>
      <c r="AP600" s="105"/>
      <c r="AQ600" s="105"/>
      <c r="AR600" s="105"/>
      <c r="AS600" s="105"/>
    </row>
    <row r="601" spans="1:45" ht="12" customHeight="1" x14ac:dyDescent="0.25">
      <c r="A601" s="90">
        <v>600</v>
      </c>
      <c r="B601" s="91"/>
      <c r="C601" s="91" t="s">
        <v>1087</v>
      </c>
      <c r="D601" s="92" t="s">
        <v>4612</v>
      </c>
      <c r="E601" s="91" t="s">
        <v>97</v>
      </c>
      <c r="F601" s="91" t="s">
        <v>0</v>
      </c>
      <c r="G601" s="56" t="s">
        <v>93</v>
      </c>
      <c r="H601" s="91">
        <v>360</v>
      </c>
      <c r="I601" s="91" t="s">
        <v>117</v>
      </c>
      <c r="J601" s="91" t="s">
        <v>8</v>
      </c>
      <c r="K601" s="92" t="s">
        <v>50</v>
      </c>
      <c r="L601" s="93" t="str">
        <f>VLOOKUP(G601,'SKU 对应关系'!A:E,4,0)</f>
        <v>ANW-W</v>
      </c>
      <c r="M601" s="94" t="str">
        <f>_xlfn.IFNA(VLOOKUP(G601,'SKU 对应关系'!A:B,2,0),"")</f>
        <v>ANW-W 智能扩香仪 白色</v>
      </c>
      <c r="N601" s="95" t="str">
        <f>_xlfn.IFNA(VLOOKUP(G601,'SKU 对应关系'!$A:$D,3,0),"")</f>
        <v>ANW</v>
      </c>
      <c r="O601" s="96">
        <v>30</v>
      </c>
      <c r="P601" s="580">
        <v>429.40298507462688</v>
      </c>
      <c r="Q601" s="96" t="s">
        <v>16</v>
      </c>
      <c r="R601" s="91">
        <v>4</v>
      </c>
      <c r="S601" s="106">
        <v>200</v>
      </c>
      <c r="T601" s="98">
        <v>89.552238805970148</v>
      </c>
      <c r="U601" s="99">
        <f t="shared" si="71"/>
        <v>1807.1641791044776</v>
      </c>
      <c r="V601" s="100">
        <f t="shared" si="72"/>
        <v>5.0199004975124382</v>
      </c>
      <c r="W601" s="101">
        <f t="shared" si="73"/>
        <v>0.74923888022573704</v>
      </c>
      <c r="X601" s="95"/>
      <c r="Y601" s="95"/>
      <c r="Z601" s="102"/>
      <c r="AA601" s="103">
        <v>46157</v>
      </c>
      <c r="AB601" s="103">
        <v>46195</v>
      </c>
      <c r="AC601" s="103"/>
      <c r="AD601" s="104">
        <f>IF(ISNA(VLOOKUP(D601,亚马逊入库配置费!B:F,5,0)),0,VLOOKUP(D601,亚马逊入库配置费!B:F,5,0))</f>
        <v>0.50293706293706297</v>
      </c>
      <c r="AE601" s="104">
        <f t="shared" si="75"/>
        <v>181.05734265734267</v>
      </c>
      <c r="AF601" s="103"/>
      <c r="AG601" s="577">
        <f t="shared" si="74"/>
        <v>-46157</v>
      </c>
      <c r="AH601" s="103"/>
      <c r="AI601" s="96"/>
      <c r="AJ601" s="96"/>
      <c r="AK601" s="96"/>
      <c r="AL601" s="92"/>
      <c r="AM601" s="91"/>
      <c r="AN601" s="91"/>
      <c r="AO601" s="96"/>
      <c r="AP601" s="105"/>
      <c r="AQ601" s="105"/>
      <c r="AR601" s="105"/>
      <c r="AS601" s="105"/>
    </row>
    <row r="602" spans="1:45" ht="12" customHeight="1" x14ac:dyDescent="0.25">
      <c r="A602" s="90">
        <v>601</v>
      </c>
      <c r="B602" s="91"/>
      <c r="C602" s="91" t="s">
        <v>1087</v>
      </c>
      <c r="D602" s="92" t="s">
        <v>4612</v>
      </c>
      <c r="E602" s="91" t="s">
        <v>97</v>
      </c>
      <c r="F602" s="91" t="s">
        <v>0</v>
      </c>
      <c r="G602" s="56" t="s">
        <v>2170</v>
      </c>
      <c r="H602" s="91">
        <v>256</v>
      </c>
      <c r="I602" s="91" t="s">
        <v>117</v>
      </c>
      <c r="J602" s="91" t="s">
        <v>8</v>
      </c>
      <c r="K602" s="92" t="s">
        <v>50</v>
      </c>
      <c r="L602" s="93" t="str">
        <f>VLOOKUP(G602,'SKU 对应关系'!A:E,4,0)</f>
        <v>ANP-B_US</v>
      </c>
      <c r="M602" s="94" t="str">
        <f>_xlfn.IFNA(VLOOKUP(G602,'SKU 对应关系'!A:B,2,0),"")</f>
        <v>ANP-B_US 墙插式智能扩香仪 黑色</v>
      </c>
      <c r="N602" s="95" t="str">
        <f>_xlfn.IFNA(VLOOKUP(G602,'SKU 对应关系'!$A:$D,3,0),"")</f>
        <v>ANP</v>
      </c>
      <c r="O602" s="96">
        <v>8</v>
      </c>
      <c r="P602" s="580">
        <v>114.50746268656717</v>
      </c>
      <c r="Q602" s="96" t="s">
        <v>16</v>
      </c>
      <c r="R602" s="91">
        <v>4</v>
      </c>
      <c r="S602" s="95"/>
      <c r="T602" s="98">
        <v>23.880597014925375</v>
      </c>
      <c r="U602" s="99">
        <f t="shared" si="71"/>
        <v>481.91044776119406</v>
      </c>
      <c r="V602" s="100">
        <f t="shared" si="72"/>
        <v>1.8824626865671643</v>
      </c>
      <c r="W602" s="101">
        <f t="shared" si="73"/>
        <v>0.28096458008465136</v>
      </c>
      <c r="X602" s="95"/>
      <c r="Y602" s="95"/>
      <c r="Z602" s="102"/>
      <c r="AA602" s="103">
        <v>46157</v>
      </c>
      <c r="AB602" s="103">
        <v>46195</v>
      </c>
      <c r="AC602" s="103"/>
      <c r="AD602" s="104">
        <f>IF(ISNA(VLOOKUP(D602,亚马逊入库配置费!B:F,5,0)),0,VLOOKUP(D602,亚马逊入库配置费!B:F,5,0))</f>
        <v>0.50293706293706297</v>
      </c>
      <c r="AE602" s="104">
        <f t="shared" si="75"/>
        <v>128.75188811188812</v>
      </c>
      <c r="AF602" s="103"/>
      <c r="AG602" s="577">
        <f t="shared" si="74"/>
        <v>-46157</v>
      </c>
      <c r="AH602" s="103"/>
      <c r="AI602" s="96"/>
      <c r="AJ602" s="96"/>
      <c r="AK602" s="96"/>
      <c r="AL602" s="92"/>
      <c r="AM602" s="91"/>
      <c r="AN602" s="91"/>
      <c r="AO602" s="96"/>
      <c r="AP602" s="105"/>
      <c r="AQ602" s="105"/>
      <c r="AR602" s="105"/>
      <c r="AS602" s="105"/>
    </row>
    <row r="603" spans="1:45" ht="12" customHeight="1" x14ac:dyDescent="0.25">
      <c r="A603" s="90">
        <v>602</v>
      </c>
      <c r="B603" s="91"/>
      <c r="C603" s="91" t="s">
        <v>1087</v>
      </c>
      <c r="D603" s="92" t="s">
        <v>4612</v>
      </c>
      <c r="E603" s="91" t="s">
        <v>97</v>
      </c>
      <c r="F603" s="91" t="s">
        <v>0</v>
      </c>
      <c r="G603" s="56" t="s">
        <v>2172</v>
      </c>
      <c r="H603" s="91">
        <v>288</v>
      </c>
      <c r="I603" s="91" t="s">
        <v>117</v>
      </c>
      <c r="J603" s="91" t="s">
        <v>8</v>
      </c>
      <c r="K603" s="92" t="s">
        <v>50</v>
      </c>
      <c r="L603" s="93" t="str">
        <f>VLOOKUP(G603,'SKU 对应关系'!A:E,4,0)</f>
        <v>ANP-W_US</v>
      </c>
      <c r="M603" s="94" t="str">
        <f>_xlfn.IFNA(VLOOKUP(G603,'SKU 对应关系'!A:B,2,0),"")</f>
        <v>ANP-W_US 墙插式智能扩香仪 白色</v>
      </c>
      <c r="N603" s="95" t="str">
        <f>_xlfn.IFNA(VLOOKUP(G603,'SKU 对应关系'!$A:$D,3,0),"")</f>
        <v>ANP</v>
      </c>
      <c r="O603" s="96">
        <v>9</v>
      </c>
      <c r="P603" s="580">
        <v>128.82089552238807</v>
      </c>
      <c r="Q603" s="96" t="s">
        <v>16</v>
      </c>
      <c r="R603" s="91">
        <v>4</v>
      </c>
      <c r="S603" s="95"/>
      <c r="T603" s="98">
        <v>26.865671641791046</v>
      </c>
      <c r="U603" s="99">
        <f t="shared" si="71"/>
        <v>542.14925373134338</v>
      </c>
      <c r="V603" s="100">
        <f t="shared" si="72"/>
        <v>1.8824626865671645</v>
      </c>
      <c r="W603" s="101">
        <f t="shared" si="73"/>
        <v>0.28096458008465142</v>
      </c>
      <c r="X603" s="95"/>
      <c r="Y603" s="95"/>
      <c r="Z603" s="102"/>
      <c r="AA603" s="103">
        <v>46157</v>
      </c>
      <c r="AB603" s="103">
        <v>46195</v>
      </c>
      <c r="AC603" s="103"/>
      <c r="AD603" s="104">
        <f>IF(ISNA(VLOOKUP(D603,亚马逊入库配置费!B:F,5,0)),0,VLOOKUP(D603,亚马逊入库配置费!B:F,5,0))</f>
        <v>0.50293706293706297</v>
      </c>
      <c r="AE603" s="104">
        <f t="shared" si="75"/>
        <v>144.84587412587413</v>
      </c>
      <c r="AF603" s="103"/>
      <c r="AG603" s="577">
        <f t="shared" si="74"/>
        <v>-46157</v>
      </c>
      <c r="AH603" s="103"/>
      <c r="AI603" s="96"/>
      <c r="AJ603" s="96"/>
      <c r="AK603" s="96"/>
      <c r="AL603" s="92"/>
      <c r="AM603" s="91"/>
      <c r="AN603" s="91"/>
      <c r="AO603" s="96"/>
      <c r="AP603" s="105"/>
      <c r="AQ603" s="105"/>
      <c r="AR603" s="105"/>
      <c r="AS603" s="105"/>
    </row>
    <row r="604" spans="1:45" ht="12" customHeight="1" x14ac:dyDescent="0.25">
      <c r="A604" s="90">
        <v>603</v>
      </c>
      <c r="B604" s="91"/>
      <c r="C604" s="91" t="s">
        <v>1112</v>
      </c>
      <c r="D604" s="92" t="s">
        <v>4594</v>
      </c>
      <c r="E604" s="91" t="s">
        <v>115</v>
      </c>
      <c r="F604" s="91" t="s">
        <v>0</v>
      </c>
      <c r="G604" s="56" t="s">
        <v>4613</v>
      </c>
      <c r="H604" s="91">
        <v>720</v>
      </c>
      <c r="I604" s="91" t="s">
        <v>1767</v>
      </c>
      <c r="J604" s="91" t="s">
        <v>8</v>
      </c>
      <c r="K604" s="92" t="s">
        <v>42</v>
      </c>
      <c r="L604" s="93" t="str">
        <f>VLOOKUP(G604,'SKU 对应关系'!A:E,4,0)</f>
        <v>HOTEL6KIT1-6X10K03_TZ</v>
      </c>
      <c r="M604" s="94" t="str">
        <f>_xlfn.IFNA(VLOOKUP(G604,'SKU 对应关系'!A:B,2,0),"")</f>
        <v>HOTEL6KIT1-6X10K03_TZ 酒店香氛油（天竺）6款10mL套装</v>
      </c>
      <c r="N604" s="95" t="str">
        <f>_xlfn.IFNA(VLOOKUP(G604,'SKU 对应关系'!$A:$D,3,0),"")</f>
        <v>Oil-TZ</v>
      </c>
      <c r="O604" s="96">
        <v>12</v>
      </c>
      <c r="P604" s="580">
        <v>0.51600000000000001</v>
      </c>
      <c r="Q604" s="96" t="s">
        <v>3264</v>
      </c>
      <c r="R604" s="91">
        <v>1130</v>
      </c>
      <c r="S604" s="95">
        <v>180</v>
      </c>
      <c r="T604" s="98">
        <v>43.2</v>
      </c>
      <c r="U604" s="99">
        <f t="shared" si="71"/>
        <v>626.28000000000009</v>
      </c>
      <c r="V604" s="100">
        <f t="shared" si="72"/>
        <v>0.86983333333333346</v>
      </c>
      <c r="W604" s="101">
        <f t="shared" si="73"/>
        <v>0.12982587064676618</v>
      </c>
      <c r="X604" s="95"/>
      <c r="Y604" s="95"/>
      <c r="Z604" s="102"/>
      <c r="AA604" s="103">
        <v>46157</v>
      </c>
      <c r="AB604" s="103">
        <v>46179</v>
      </c>
      <c r="AC604" s="103"/>
      <c r="AD604" s="104">
        <f>IF(ISNA(VLOOKUP(D604,亚马逊入库配置费!B:F,5,0)),0,VLOOKUP(D604,亚马逊入库配置费!B:F,5,0))</f>
        <v>0.36</v>
      </c>
      <c r="AE604" s="104">
        <f t="shared" si="75"/>
        <v>259.2</v>
      </c>
      <c r="AF604" s="103"/>
      <c r="AG604" s="577">
        <f t="shared" si="74"/>
        <v>-46157</v>
      </c>
      <c r="AH604" s="103"/>
      <c r="AI604" s="96"/>
      <c r="AJ604" s="96"/>
      <c r="AK604" s="96"/>
      <c r="AL604" s="92"/>
      <c r="AM604" s="91"/>
      <c r="AN604" s="91"/>
      <c r="AO604" s="96"/>
      <c r="AP604" s="105"/>
      <c r="AQ604" s="105"/>
      <c r="AR604" s="105"/>
      <c r="AS604" s="105"/>
    </row>
    <row r="605" spans="1:45" ht="12" customHeight="1" x14ac:dyDescent="0.25">
      <c r="A605" s="90">
        <v>604</v>
      </c>
      <c r="B605" s="91"/>
      <c r="C605" s="91" t="s">
        <v>1112</v>
      </c>
      <c r="D605" s="92" t="s">
        <v>4594</v>
      </c>
      <c r="E605" s="91" t="s">
        <v>115</v>
      </c>
      <c r="F605" s="91" t="s">
        <v>0</v>
      </c>
      <c r="G605" s="56" t="s">
        <v>2863</v>
      </c>
      <c r="H605" s="91">
        <v>576</v>
      </c>
      <c r="I605" s="91" t="s">
        <v>1767</v>
      </c>
      <c r="J605" s="91" t="s">
        <v>8</v>
      </c>
      <c r="K605" s="92" t="s">
        <v>42</v>
      </c>
      <c r="L605" s="93" t="str">
        <f>VLOOKUP(G605,'SKU 对应关系'!A:E,4,0)</f>
        <v>W1-100ML_TZ</v>
      </c>
      <c r="M605" s="94" t="str">
        <f>_xlfn.IFNA(VLOOKUP(G605,'SKU 对应关系'!A:B,2,0),"")</f>
        <v>W1-100ML_TZ W酒店100mL香氛油（天竺） 销售包装</v>
      </c>
      <c r="N605" s="95" t="str">
        <f>_xlfn.IFNA(VLOOKUP(G605,'SKU 对应关系'!$A:$D,3,0),"")</f>
        <v>Oil-TZ</v>
      </c>
      <c r="O605" s="96">
        <v>9</v>
      </c>
      <c r="P605" s="580">
        <v>0.38700000000000001</v>
      </c>
      <c r="Q605" s="96" t="s">
        <v>3264</v>
      </c>
      <c r="R605" s="91">
        <v>1130</v>
      </c>
      <c r="S605" s="106">
        <v>180</v>
      </c>
      <c r="T605" s="98">
        <v>32.4</v>
      </c>
      <c r="U605" s="99">
        <f t="shared" si="71"/>
        <v>469.71</v>
      </c>
      <c r="V605" s="100">
        <f t="shared" si="72"/>
        <v>0.81546874999999996</v>
      </c>
      <c r="W605" s="101">
        <f t="shared" si="73"/>
        <v>0.12171175373134327</v>
      </c>
      <c r="X605" s="95"/>
      <c r="Y605" s="95"/>
      <c r="Z605" s="102"/>
      <c r="AA605" s="103">
        <v>46157</v>
      </c>
      <c r="AB605" s="103">
        <v>46179</v>
      </c>
      <c r="AC605" s="103"/>
      <c r="AD605" s="104">
        <f>IF(ISNA(VLOOKUP(D605,亚马逊入库配置费!B:F,5,0)),0,VLOOKUP(D605,亚马逊入库配置费!B:F,5,0))</f>
        <v>0.36</v>
      </c>
      <c r="AE605" s="104">
        <f t="shared" si="75"/>
        <v>207.35999999999999</v>
      </c>
      <c r="AF605" s="103"/>
      <c r="AG605" s="577">
        <f t="shared" si="74"/>
        <v>-46157</v>
      </c>
      <c r="AH605" s="103"/>
      <c r="AI605" s="96"/>
      <c r="AJ605" s="96"/>
      <c r="AK605" s="96"/>
      <c r="AL605" s="92"/>
      <c r="AM605" s="91"/>
      <c r="AN605" s="91"/>
      <c r="AO605" s="96"/>
      <c r="AP605" s="105"/>
      <c r="AQ605" s="105"/>
      <c r="AR605" s="105"/>
      <c r="AS605" s="105"/>
    </row>
    <row r="606" spans="1:45" ht="12" customHeight="1" x14ac:dyDescent="0.25">
      <c r="A606" s="90">
        <v>605</v>
      </c>
      <c r="B606" s="91"/>
      <c r="C606" s="91" t="s">
        <v>1112</v>
      </c>
      <c r="D606" s="92" t="s">
        <v>4594</v>
      </c>
      <c r="E606" s="91" t="s">
        <v>115</v>
      </c>
      <c r="F606" s="91" t="s">
        <v>0</v>
      </c>
      <c r="G606" s="56" t="s">
        <v>2295</v>
      </c>
      <c r="H606" s="91">
        <v>576</v>
      </c>
      <c r="I606" s="91" t="s">
        <v>1767</v>
      </c>
      <c r="J606" s="91" t="s">
        <v>8</v>
      </c>
      <c r="K606" s="92" t="s">
        <v>42</v>
      </c>
      <c r="L606" s="93" t="str">
        <f>VLOOKUP(G606,'SKU 对应关系'!A:E,4,0)</f>
        <v>HILTON1-100ML_TZ</v>
      </c>
      <c r="M606" s="94" t="str">
        <f>_xlfn.IFNA(VLOOKUP(G606,'SKU 对应关系'!A:B,2,0),"")</f>
        <v>HILTON1-100ML_TZ 希尔顿酒店100mL香氛油（天竺） 销售包装</v>
      </c>
      <c r="N606" s="95" t="str">
        <f>_xlfn.IFNA(VLOOKUP(G606,'SKU 对应关系'!$A:$D,3,0),"")</f>
        <v>Oil-TZ</v>
      </c>
      <c r="O606" s="96">
        <v>9</v>
      </c>
      <c r="P606" s="580">
        <v>0.38700000000000001</v>
      </c>
      <c r="Q606" s="96" t="s">
        <v>3264</v>
      </c>
      <c r="R606" s="91">
        <v>1130</v>
      </c>
      <c r="S606" s="95"/>
      <c r="T606" s="98">
        <v>32.4</v>
      </c>
      <c r="U606" s="99">
        <f t="shared" si="71"/>
        <v>469.71</v>
      </c>
      <c r="V606" s="100">
        <f t="shared" si="72"/>
        <v>0.81546874999999996</v>
      </c>
      <c r="W606" s="101">
        <f t="shared" si="73"/>
        <v>0.12171175373134327</v>
      </c>
      <c r="X606" s="95"/>
      <c r="Y606" s="95"/>
      <c r="Z606" s="102"/>
      <c r="AA606" s="103">
        <v>46157</v>
      </c>
      <c r="AB606" s="103">
        <v>46179</v>
      </c>
      <c r="AC606" s="103"/>
      <c r="AD606" s="104">
        <f>IF(ISNA(VLOOKUP(D606,亚马逊入库配置费!B:F,5,0)),0,VLOOKUP(D606,亚马逊入库配置费!B:F,5,0))</f>
        <v>0.36</v>
      </c>
      <c r="AE606" s="104">
        <f t="shared" si="75"/>
        <v>207.35999999999999</v>
      </c>
      <c r="AF606" s="103"/>
      <c r="AG606" s="577">
        <f t="shared" si="74"/>
        <v>-46157</v>
      </c>
      <c r="AH606" s="103"/>
      <c r="AI606" s="96"/>
      <c r="AJ606" s="96"/>
      <c r="AK606" s="96"/>
      <c r="AL606" s="92"/>
      <c r="AM606" s="91"/>
      <c r="AN606" s="91"/>
      <c r="AO606" s="96"/>
      <c r="AP606" s="105"/>
      <c r="AQ606" s="105"/>
      <c r="AR606" s="105"/>
      <c r="AS606" s="105"/>
    </row>
    <row r="607" spans="1:45" ht="12" customHeight="1" x14ac:dyDescent="0.25">
      <c r="A607" s="90">
        <v>606</v>
      </c>
      <c r="B607" s="91" t="s">
        <v>4632</v>
      </c>
      <c r="C607" s="91" t="s">
        <v>1112</v>
      </c>
      <c r="D607" s="92" t="s">
        <v>4614</v>
      </c>
      <c r="E607" s="91" t="s">
        <v>97</v>
      </c>
      <c r="F607" s="91" t="s">
        <v>0</v>
      </c>
      <c r="G607" s="56" t="s">
        <v>4214</v>
      </c>
      <c r="H607" s="91">
        <v>960</v>
      </c>
      <c r="I607" s="91" t="s">
        <v>1767</v>
      </c>
      <c r="J607" s="91" t="s">
        <v>8</v>
      </c>
      <c r="K607" s="92" t="s">
        <v>44</v>
      </c>
      <c r="L607" s="93" t="str">
        <f>VLOOKUP(G607,'SKU 对应关系'!A:E,4,0)</f>
        <v>RZ1-100ML_TZ</v>
      </c>
      <c r="M607" s="94" t="str">
        <f>_xlfn.IFNA(VLOOKUP(G607,'SKU 对应关系'!A:B,2,0),"")</f>
        <v>RZ1-100ML_TZ 丽思卡尔顿酒店100mL香氛油（天竺） 销售包装</v>
      </c>
      <c r="N607" s="95" t="str">
        <f>_xlfn.IFNA(VLOOKUP(G607,'SKU 对应关系'!$A:$D,3,0),"")</f>
        <v>Oil-TZ</v>
      </c>
      <c r="O607" s="96">
        <v>15</v>
      </c>
      <c r="P607" s="580">
        <v>0.75</v>
      </c>
      <c r="Q607" s="96" t="s">
        <v>3264</v>
      </c>
      <c r="R607" s="91">
        <v>1130</v>
      </c>
      <c r="S607" s="95"/>
      <c r="T607" s="98">
        <v>54</v>
      </c>
      <c r="U607" s="99">
        <f t="shared" si="71"/>
        <v>901.5</v>
      </c>
      <c r="V607" s="100">
        <f t="shared" si="72"/>
        <v>0.93906250000000002</v>
      </c>
      <c r="W607" s="101">
        <f t="shared" si="73"/>
        <v>0.14015858208955223</v>
      </c>
      <c r="X607" s="95"/>
      <c r="Y607" s="95"/>
      <c r="Z607" s="102"/>
      <c r="AA607" s="103">
        <v>46157</v>
      </c>
      <c r="AB607" s="103">
        <v>46179</v>
      </c>
      <c r="AC607" s="103"/>
      <c r="AD607" s="104">
        <f>IF(ISNA(VLOOKUP(D607,亚马逊入库配置费!B:F,5,0)),0,VLOOKUP(D607,亚马逊入库配置费!B:F,5,0))</f>
        <v>0.3675471698113208</v>
      </c>
      <c r="AE607" s="104">
        <f t="shared" si="75"/>
        <v>352.84528301886797</v>
      </c>
      <c r="AF607" s="103"/>
      <c r="AG607" s="577">
        <f t="shared" si="74"/>
        <v>-46157</v>
      </c>
      <c r="AH607" s="103"/>
      <c r="AI607" s="96"/>
      <c r="AJ607" s="96"/>
      <c r="AK607" s="96"/>
      <c r="AL607" s="92"/>
      <c r="AM607" s="91"/>
      <c r="AN607" s="91"/>
      <c r="AO607" s="96"/>
      <c r="AP607" s="105"/>
      <c r="AQ607" s="105"/>
      <c r="AR607" s="105"/>
      <c r="AS607" s="105"/>
    </row>
    <row r="608" spans="1:45" ht="12" customHeight="1" x14ac:dyDescent="0.25">
      <c r="A608" s="90">
        <v>607</v>
      </c>
      <c r="B608" s="91"/>
      <c r="C608" s="91" t="s">
        <v>1112</v>
      </c>
      <c r="D608" s="92" t="s">
        <v>4614</v>
      </c>
      <c r="E608" s="91" t="s">
        <v>97</v>
      </c>
      <c r="F608" s="91" t="s">
        <v>0</v>
      </c>
      <c r="G608" s="56" t="s">
        <v>4442</v>
      </c>
      <c r="H608" s="91">
        <v>100</v>
      </c>
      <c r="I608" s="91" t="s">
        <v>1767</v>
      </c>
      <c r="J608" s="91" t="s">
        <v>8</v>
      </c>
      <c r="K608" s="92" t="s">
        <v>44</v>
      </c>
      <c r="L608" s="93" t="str">
        <f>VLOOKUP(G608,'SKU 对应关系'!A:E,4,0)</f>
        <v>RZ1-500ML_TZ</v>
      </c>
      <c r="M608" s="94" t="str">
        <f>_xlfn.IFNA(VLOOKUP(G608,'SKU 对应关系'!A:B,2,0),"")</f>
        <v>RZ1-500ML_TZ 丽思卡尔顿酒店500mL香氛油（天竺） 销售包装</v>
      </c>
      <c r="N608" s="95" t="str">
        <f>_xlfn.IFNA(VLOOKUP(G608,'SKU 对应关系'!$A:$D,3,0),"")</f>
        <v>Oil-TZ</v>
      </c>
      <c r="O608" s="96">
        <v>5</v>
      </c>
      <c r="P608" s="580">
        <v>0.25</v>
      </c>
      <c r="Q608" s="96" t="s">
        <v>3264</v>
      </c>
      <c r="R608" s="91">
        <v>1130</v>
      </c>
      <c r="S608" s="95"/>
      <c r="T608" s="98">
        <v>18</v>
      </c>
      <c r="U608" s="99">
        <f t="shared" si="71"/>
        <v>300.5</v>
      </c>
      <c r="V608" s="100">
        <f t="shared" si="72"/>
        <v>3.0049999999999999</v>
      </c>
      <c r="W608" s="101">
        <f t="shared" si="73"/>
        <v>0.44850746268656716</v>
      </c>
      <c r="X608" s="95"/>
      <c r="Y608" s="95"/>
      <c r="Z608" s="102"/>
      <c r="AA608" s="103">
        <v>46157</v>
      </c>
      <c r="AB608" s="103">
        <v>46179</v>
      </c>
      <c r="AC608" s="103"/>
      <c r="AD608" s="104">
        <f>IF(ISNA(VLOOKUP(D608,亚马逊入库配置费!B:F,5,0)),0,VLOOKUP(D608,亚马逊入库配置费!B:F,5,0))</f>
        <v>0.3675471698113208</v>
      </c>
      <c r="AE608" s="104">
        <f t="shared" si="75"/>
        <v>36.754716981132077</v>
      </c>
      <c r="AF608" s="103"/>
      <c r="AG608" s="577">
        <f t="shared" si="74"/>
        <v>-46157</v>
      </c>
      <c r="AH608" s="103"/>
      <c r="AI608" s="96"/>
      <c r="AJ608" s="96"/>
      <c r="AK608" s="96"/>
      <c r="AL608" s="92"/>
      <c r="AM608" s="91"/>
      <c r="AN608" s="91"/>
      <c r="AO608" s="96"/>
      <c r="AP608" s="105"/>
      <c r="AQ608" s="105"/>
      <c r="AR608" s="105"/>
      <c r="AS608" s="105"/>
    </row>
    <row r="609" spans="1:45" ht="12" customHeight="1" x14ac:dyDescent="0.25">
      <c r="A609" s="90">
        <v>608</v>
      </c>
      <c r="B609" s="91"/>
      <c r="C609" s="91" t="s">
        <v>1070</v>
      </c>
      <c r="D609" s="92" t="s">
        <v>4615</v>
      </c>
      <c r="E609" s="91" t="s">
        <v>4202</v>
      </c>
      <c r="F609" s="91" t="s">
        <v>0</v>
      </c>
      <c r="G609" s="56" t="s">
        <v>4249</v>
      </c>
      <c r="H609" s="91">
        <v>192</v>
      </c>
      <c r="I609" s="91" t="s">
        <v>306</v>
      </c>
      <c r="J609" s="91" t="s">
        <v>8</v>
      </c>
      <c r="K609" s="92" t="s">
        <v>14</v>
      </c>
      <c r="L609" s="93" t="str">
        <f>VLOOKUP(G609,'SKU 对应关系'!A:E,4,0)</f>
        <v>BGR1_100ML_TZ</v>
      </c>
      <c r="M609" s="94" t="str">
        <f>_xlfn.IFNA(VLOOKUP(G609,'SKU 对应关系'!A:B,2,0),"")</f>
        <v>BGR1_100ML_TZ 宝格丽酒店100mL香氛油（天竺） 销售包装</v>
      </c>
      <c r="N609" s="95" t="str">
        <f>_xlfn.IFNA(VLOOKUP(G609,'SKU 对应关系'!$A:$D,3,0),"")</f>
        <v>Oil-TZ</v>
      </c>
      <c r="O609" s="96">
        <v>3</v>
      </c>
      <c r="P609" s="580">
        <v>41.53846153846154</v>
      </c>
      <c r="Q609" s="96" t="s">
        <v>16</v>
      </c>
      <c r="R609" s="91">
        <v>7.1</v>
      </c>
      <c r="S609" s="95">
        <v>200</v>
      </c>
      <c r="T609" s="98">
        <v>46.153846153846153</v>
      </c>
      <c r="U609" s="99">
        <f t="shared" si="71"/>
        <v>341.07692307692304</v>
      </c>
      <c r="V609" s="100">
        <f t="shared" si="72"/>
        <v>1.7764423076923075</v>
      </c>
      <c r="W609" s="101">
        <f t="shared" si="73"/>
        <v>0.26514064293915035</v>
      </c>
      <c r="X609" s="95"/>
      <c r="Y609" s="95"/>
      <c r="Z609" s="102"/>
      <c r="AA609" s="103">
        <v>46157</v>
      </c>
      <c r="AB609" s="103">
        <v>46179</v>
      </c>
      <c r="AC609" s="103"/>
      <c r="AD609" s="104">
        <f>IF(ISNA(VLOOKUP(D609,亚马逊入库配置费!B:F,5,0)),0,VLOOKUP(D609,亚马逊入库配置费!B:F,5,0))</f>
        <v>0.40081632653061228</v>
      </c>
      <c r="AE609" s="104">
        <f t="shared" si="75"/>
        <v>76.956734693877564</v>
      </c>
      <c r="AF609" s="103"/>
      <c r="AG609" s="577">
        <f t="shared" si="74"/>
        <v>-46157</v>
      </c>
      <c r="AH609" s="103"/>
      <c r="AI609" s="96"/>
      <c r="AJ609" s="96"/>
      <c r="AK609" s="96"/>
      <c r="AL609" s="92"/>
      <c r="AM609" s="91"/>
      <c r="AN609" s="91"/>
      <c r="AO609" s="96"/>
      <c r="AP609" s="105"/>
      <c r="AQ609" s="105"/>
      <c r="AR609" s="105"/>
      <c r="AS609" s="105"/>
    </row>
    <row r="610" spans="1:45" ht="12" customHeight="1" x14ac:dyDescent="0.25">
      <c r="A610" s="90">
        <v>609</v>
      </c>
      <c r="B610" s="91"/>
      <c r="C610" s="91" t="s">
        <v>1070</v>
      </c>
      <c r="D610" s="92" t="s">
        <v>4615</v>
      </c>
      <c r="E610" s="91" t="s">
        <v>4202</v>
      </c>
      <c r="F610" s="91" t="s">
        <v>0</v>
      </c>
      <c r="G610" s="56" t="s">
        <v>4471</v>
      </c>
      <c r="H610" s="91">
        <v>100</v>
      </c>
      <c r="I610" s="91" t="s">
        <v>306</v>
      </c>
      <c r="J610" s="91" t="s">
        <v>8</v>
      </c>
      <c r="K610" s="92" t="s">
        <v>14</v>
      </c>
      <c r="L610" s="93" t="str">
        <f>VLOOKUP(G610,'SKU 对应关系'!A:E,4,0)</f>
        <v>SJ1-500ML_TZ</v>
      </c>
      <c r="M610" s="94" t="str">
        <f>_xlfn.IFNA(VLOOKUP(G610,'SKU 对应关系'!A:B,2,0),"")</f>
        <v>SJ1-500ML_TZ 四季酒店500mL香氛油（天竺） 销售包装</v>
      </c>
      <c r="N610" s="95" t="str">
        <f>_xlfn.IFNA(VLOOKUP(G610,'SKU 对应关系'!$A:$D,3,0),"")</f>
        <v>Oil-TZ</v>
      </c>
      <c r="O610" s="96">
        <v>5</v>
      </c>
      <c r="P610" s="580">
        <v>69.230769230769226</v>
      </c>
      <c r="Q610" s="96" t="s">
        <v>16</v>
      </c>
      <c r="R610" s="91">
        <v>7.1</v>
      </c>
      <c r="S610" s="106">
        <v>200</v>
      </c>
      <c r="T610" s="98">
        <v>76.92307692307692</v>
      </c>
      <c r="U610" s="99">
        <f t="shared" si="71"/>
        <v>568.46153846153845</v>
      </c>
      <c r="V610" s="100">
        <f t="shared" si="72"/>
        <v>5.6846153846153848</v>
      </c>
      <c r="W610" s="101">
        <f t="shared" si="73"/>
        <v>0.84845005740528134</v>
      </c>
      <c r="X610" s="95"/>
      <c r="Y610" s="95"/>
      <c r="Z610" s="102"/>
      <c r="AA610" s="103">
        <v>46157</v>
      </c>
      <c r="AB610" s="103">
        <v>46179</v>
      </c>
      <c r="AC610" s="103"/>
      <c r="AD610" s="104">
        <f>IF(ISNA(VLOOKUP(D610,亚马逊入库配置费!B:F,5,0)),0,VLOOKUP(D610,亚马逊入库配置费!B:F,5,0))</f>
        <v>0.40081632653061228</v>
      </c>
      <c r="AE610" s="104">
        <f t="shared" si="75"/>
        <v>40.081632653061227</v>
      </c>
      <c r="AF610" s="103"/>
      <c r="AG610" s="577">
        <f t="shared" si="74"/>
        <v>-46157</v>
      </c>
      <c r="AH610" s="103"/>
      <c r="AI610" s="96"/>
      <c r="AJ610" s="96"/>
      <c r="AK610" s="96"/>
      <c r="AL610" s="92"/>
      <c r="AM610" s="91"/>
      <c r="AN610" s="91"/>
      <c r="AO610" s="96"/>
      <c r="AP610" s="105"/>
      <c r="AQ610" s="105"/>
      <c r="AR610" s="105"/>
      <c r="AS610" s="105"/>
    </row>
    <row r="611" spans="1:45" ht="12" customHeight="1" x14ac:dyDescent="0.25">
      <c r="A611" s="90">
        <v>610</v>
      </c>
      <c r="B611" s="91"/>
      <c r="C611" s="91" t="s">
        <v>1070</v>
      </c>
      <c r="D611" s="92" t="s">
        <v>4615</v>
      </c>
      <c r="E611" s="91" t="s">
        <v>4202</v>
      </c>
      <c r="F611" s="91" t="s">
        <v>0</v>
      </c>
      <c r="G611" s="56" t="s">
        <v>4464</v>
      </c>
      <c r="H611" s="91">
        <v>100</v>
      </c>
      <c r="I611" s="91" t="s">
        <v>306</v>
      </c>
      <c r="J611" s="91" t="s">
        <v>8</v>
      </c>
      <c r="K611" s="92" t="s">
        <v>14</v>
      </c>
      <c r="L611" s="93" t="str">
        <f>VLOOKUP(G611,'SKU 对应关系'!A:E,4,0)</f>
        <v>HILTON1-500ML_TZ</v>
      </c>
      <c r="M611" s="94" t="str">
        <f>_xlfn.IFNA(VLOOKUP(G611,'SKU 对应关系'!A:B,2,0),"")</f>
        <v>HILTON1-500ML_TZ 希尔顿酒店500mL香氛油（天竺） 销售包装</v>
      </c>
      <c r="N611" s="95" t="str">
        <f>_xlfn.IFNA(VLOOKUP(G611,'SKU 对应关系'!$A:$D,3,0),"")</f>
        <v>Oil-TZ</v>
      </c>
      <c r="O611" s="96">
        <v>5</v>
      </c>
      <c r="P611" s="580">
        <v>69.230769230769226</v>
      </c>
      <c r="Q611" s="96" t="s">
        <v>16</v>
      </c>
      <c r="R611" s="91">
        <v>7.1</v>
      </c>
      <c r="S611" s="95"/>
      <c r="T611" s="98">
        <v>76.92307692307692</v>
      </c>
      <c r="U611" s="99">
        <f t="shared" si="71"/>
        <v>568.46153846153845</v>
      </c>
      <c r="V611" s="100">
        <f t="shared" si="72"/>
        <v>5.6846153846153848</v>
      </c>
      <c r="W611" s="101">
        <f t="shared" si="73"/>
        <v>0.84845005740528134</v>
      </c>
      <c r="X611" s="95"/>
      <c r="Y611" s="95"/>
      <c r="Z611" s="102"/>
      <c r="AA611" s="103">
        <v>46157</v>
      </c>
      <c r="AB611" s="103">
        <v>46179</v>
      </c>
      <c r="AC611" s="103"/>
      <c r="AD611" s="104">
        <f>IF(ISNA(VLOOKUP(D611,亚马逊入库配置费!B:F,5,0)),0,VLOOKUP(D611,亚马逊入库配置费!B:F,5,0))</f>
        <v>0.40081632653061228</v>
      </c>
      <c r="AE611" s="104">
        <f t="shared" si="75"/>
        <v>40.081632653061227</v>
      </c>
      <c r="AF611" s="103"/>
      <c r="AG611" s="577">
        <f t="shared" si="74"/>
        <v>-46157</v>
      </c>
      <c r="AH611" s="103"/>
      <c r="AI611" s="96"/>
      <c r="AJ611" s="96"/>
      <c r="AK611" s="96"/>
      <c r="AL611" s="92"/>
      <c r="AM611" s="91"/>
      <c r="AN611" s="91"/>
      <c r="AO611" s="96"/>
      <c r="AP611" s="105"/>
      <c r="AQ611" s="105"/>
      <c r="AR611" s="105"/>
      <c r="AS611" s="105"/>
    </row>
    <row r="612" spans="1:45" ht="12" customHeight="1" x14ac:dyDescent="0.25">
      <c r="A612" s="90">
        <v>611</v>
      </c>
      <c r="B612" s="91"/>
      <c r="C612" s="91" t="s">
        <v>4616</v>
      </c>
      <c r="D612" s="92" t="s">
        <v>4617</v>
      </c>
      <c r="E612" s="91" t="s">
        <v>4202</v>
      </c>
      <c r="F612" s="91" t="s">
        <v>0</v>
      </c>
      <c r="G612" s="56" t="s">
        <v>3183</v>
      </c>
      <c r="H612" s="91">
        <v>180</v>
      </c>
      <c r="I612" s="91" t="s">
        <v>207</v>
      </c>
      <c r="J612" s="91" t="s">
        <v>8</v>
      </c>
      <c r="K612" s="92" t="s">
        <v>43</v>
      </c>
      <c r="L612" s="93" t="str">
        <f>VLOOKUP(G612,'SKU 对应关系'!A:E,4,0)</f>
        <v>RDX-SILV_US</v>
      </c>
      <c r="M612" s="94" t="str">
        <f>_xlfn.IFNA(VLOOKUP(G612,'SKU 对应关系'!A:B,2,0),"")</f>
        <v>RDX-SILV_US 智能扩香仪 银色</v>
      </c>
      <c r="N612" s="95" t="str">
        <f>_xlfn.IFNA(VLOOKUP(G612,'SKU 对应关系'!$A:$D,3,0),"")</f>
        <v>RDX</v>
      </c>
      <c r="O612" s="96">
        <v>20</v>
      </c>
      <c r="P612" s="580">
        <v>298.64</v>
      </c>
      <c r="Q612" s="96" t="s">
        <v>16</v>
      </c>
      <c r="R612" s="91">
        <v>4.2</v>
      </c>
      <c r="S612" s="95">
        <v>200</v>
      </c>
      <c r="T612" s="98">
        <v>90.909090909090907</v>
      </c>
      <c r="U612" s="99">
        <f t="shared" si="71"/>
        <v>1345.197090909091</v>
      </c>
      <c r="V612" s="100">
        <f t="shared" si="72"/>
        <v>7.4733171717171718</v>
      </c>
      <c r="W612" s="101">
        <f t="shared" si="73"/>
        <v>1.1154204733906226</v>
      </c>
      <c r="X612" s="95"/>
      <c r="Y612" s="95"/>
      <c r="Z612" s="102"/>
      <c r="AA612" s="103">
        <v>46157</v>
      </c>
      <c r="AB612" s="103">
        <v>46180</v>
      </c>
      <c r="AC612" s="103"/>
      <c r="AD612" s="104">
        <f>IF(ISNA(VLOOKUP(D612,亚马逊入库配置费!B:F,5,0)),0,VLOOKUP(D612,亚马逊入库配置费!B:F,5,0))</f>
        <v>0.7</v>
      </c>
      <c r="AE612" s="104">
        <f t="shared" si="75"/>
        <v>125.99999999999999</v>
      </c>
      <c r="AF612" s="103"/>
      <c r="AG612" s="577">
        <f t="shared" si="74"/>
        <v>-46157</v>
      </c>
      <c r="AH612" s="103"/>
      <c r="AI612" s="96"/>
      <c r="AJ612" s="96"/>
      <c r="AK612" s="96"/>
      <c r="AL612" s="92"/>
      <c r="AM612" s="91"/>
      <c r="AN612" s="91"/>
      <c r="AO612" s="96"/>
      <c r="AP612" s="105"/>
      <c r="AQ612" s="105"/>
      <c r="AR612" s="105"/>
      <c r="AS612" s="105"/>
    </row>
    <row r="613" spans="1:45" ht="12" customHeight="1" x14ac:dyDescent="0.25">
      <c r="A613" s="90">
        <v>612</v>
      </c>
      <c r="B613" s="91"/>
      <c r="C613" s="91" t="s">
        <v>4616</v>
      </c>
      <c r="D613" s="92" t="s">
        <v>4618</v>
      </c>
      <c r="E613" s="91" t="s">
        <v>4202</v>
      </c>
      <c r="F613" s="91" t="s">
        <v>0</v>
      </c>
      <c r="G613" s="56" t="s">
        <v>2938</v>
      </c>
      <c r="H613" s="91">
        <v>216</v>
      </c>
      <c r="I613" s="91" t="s">
        <v>207</v>
      </c>
      <c r="J613" s="91" t="s">
        <v>8</v>
      </c>
      <c r="K613" s="92" t="s">
        <v>43</v>
      </c>
      <c r="L613" s="93" t="str">
        <f>VLOOKUP(G613,'SKU 对应关系'!A:E,4,0)</f>
        <v>RDXKIT-B_US_2X100K04</v>
      </c>
      <c r="M613" s="94" t="str">
        <f>_xlfn.IFNA(VLOOKUP(G613,'SKU 对应关系'!A:B,2,0),"")</f>
        <v>RDXKIT-B_US_2X100K04 RDX黑色机器+2X100mL酒店香氛油（天竺） 机油套装</v>
      </c>
      <c r="N613" s="95" t="str">
        <f>_xlfn.IFNA(VLOOKUP(G613,'SKU 对应关系'!$A:$D,3,0),"")</f>
        <v>RDX</v>
      </c>
      <c r="O613" s="96">
        <v>24</v>
      </c>
      <c r="P613" s="580">
        <v>358.36</v>
      </c>
      <c r="Q613" s="96" t="s">
        <v>16</v>
      </c>
      <c r="R613" s="91">
        <v>4.2</v>
      </c>
      <c r="S613" s="106">
        <v>200</v>
      </c>
      <c r="T613" s="98">
        <v>109.09090909090909</v>
      </c>
      <c r="U613" s="99">
        <f t="shared" si="71"/>
        <v>1614.2029090909091</v>
      </c>
      <c r="V613" s="100">
        <f t="shared" si="72"/>
        <v>7.4731616161616161</v>
      </c>
      <c r="W613" s="101">
        <f t="shared" si="73"/>
        <v>1.1153972561435248</v>
      </c>
      <c r="X613" s="95"/>
      <c r="Y613" s="95"/>
      <c r="Z613" s="102"/>
      <c r="AA613" s="103">
        <v>46157</v>
      </c>
      <c r="AB613" s="103">
        <v>46180</v>
      </c>
      <c r="AC613" s="103"/>
      <c r="AD613" s="104">
        <f>IF(ISNA(VLOOKUP(D613,亚马逊入库配置费!B:F,5,0)),0,VLOOKUP(D613,亚马逊入库配置费!B:F,5,0))</f>
        <v>0.7</v>
      </c>
      <c r="AE613" s="104">
        <f t="shared" si="75"/>
        <v>151.19999999999999</v>
      </c>
      <c r="AF613" s="103"/>
      <c r="AG613" s="577">
        <f t="shared" si="74"/>
        <v>-46157</v>
      </c>
      <c r="AH613" s="103"/>
      <c r="AI613" s="96"/>
      <c r="AJ613" s="96"/>
      <c r="AK613" s="96"/>
      <c r="AL613" s="92"/>
      <c r="AM613" s="91"/>
      <c r="AN613" s="91"/>
      <c r="AO613" s="96"/>
      <c r="AP613" s="105"/>
      <c r="AQ613" s="105"/>
      <c r="AR613" s="105"/>
      <c r="AS613" s="105"/>
    </row>
    <row r="614" spans="1:45" ht="12" customHeight="1" x14ac:dyDescent="0.25">
      <c r="A614" s="90">
        <v>613</v>
      </c>
      <c r="B614" s="91"/>
      <c r="C614" s="91" t="s">
        <v>4619</v>
      </c>
      <c r="D614" s="92" t="s">
        <v>4620</v>
      </c>
      <c r="E614" s="91" t="s">
        <v>4202</v>
      </c>
      <c r="F614" s="91" t="s">
        <v>0</v>
      </c>
      <c r="G614" s="56" t="s">
        <v>2828</v>
      </c>
      <c r="H614" s="91">
        <v>60</v>
      </c>
      <c r="I614" s="91" t="s">
        <v>207</v>
      </c>
      <c r="J614" s="91" t="s">
        <v>2431</v>
      </c>
      <c r="K614" s="92" t="s">
        <v>34</v>
      </c>
      <c r="L614" s="93" t="str">
        <f>VLOOKUP(G614,'SKU 对应关系'!A:E,4,0)</f>
        <v>AH1B-WH_US</v>
      </c>
      <c r="M614" s="94" t="str">
        <f>_xlfn.IFNA(VLOOKUP(G614,'SKU 对应关系'!A:B,2,0),"")</f>
        <v>AH1B-WH_US 智能加湿器 白色 美规</v>
      </c>
      <c r="N614" s="95" t="str">
        <f>_xlfn.IFNA(VLOOKUP(G614,'SKU 对应关系'!$A:$D,3,0),"")</f>
        <v>AH1B</v>
      </c>
      <c r="O614" s="96">
        <v>10</v>
      </c>
      <c r="P614" s="580">
        <v>158</v>
      </c>
      <c r="Q614" s="96" t="s">
        <v>16</v>
      </c>
      <c r="R614" s="91">
        <v>6.6</v>
      </c>
      <c r="S614" s="95">
        <v>200</v>
      </c>
      <c r="T614" s="98">
        <v>200</v>
      </c>
      <c r="U614" s="99">
        <f t="shared" si="71"/>
        <v>1242.8</v>
      </c>
      <c r="V614" s="100">
        <f t="shared" si="72"/>
        <v>20.713333333333331</v>
      </c>
      <c r="W614" s="101">
        <f t="shared" si="73"/>
        <v>3.0915422885572137</v>
      </c>
      <c r="X614" s="95"/>
      <c r="Y614" s="95"/>
      <c r="Z614" s="102"/>
      <c r="AA614" s="103">
        <v>46158</v>
      </c>
      <c r="AB614" s="103">
        <v>46183</v>
      </c>
      <c r="AC614" s="103"/>
      <c r="AD614" s="104">
        <f>IF(ISNA(VLOOKUP(D614,亚马逊入库配置费!B:F,5,0)),0,VLOOKUP(D614,亚马逊入库配置费!B:F,5,0))</f>
        <v>0</v>
      </c>
      <c r="AE614" s="104">
        <f t="shared" si="75"/>
        <v>0</v>
      </c>
      <c r="AF614" s="103"/>
      <c r="AG614" s="577">
        <f t="shared" si="74"/>
        <v>-46158</v>
      </c>
      <c r="AH614" s="103"/>
      <c r="AI614" s="96"/>
      <c r="AJ614" s="96"/>
      <c r="AK614" s="96"/>
      <c r="AL614" s="92"/>
      <c r="AM614" s="91"/>
      <c r="AN614" s="91"/>
      <c r="AO614" s="96"/>
      <c r="AP614" s="105"/>
      <c r="AQ614" s="105"/>
      <c r="AR614" s="105"/>
      <c r="AS614" s="105"/>
    </row>
    <row r="615" spans="1:45" ht="12" customHeight="1" x14ac:dyDescent="0.25">
      <c r="A615" s="90">
        <v>614</v>
      </c>
      <c r="B615" s="91"/>
      <c r="C615" s="91" t="s">
        <v>4621</v>
      </c>
      <c r="D615" s="92" t="s">
        <v>4622</v>
      </c>
      <c r="E615" s="91" t="s">
        <v>4202</v>
      </c>
      <c r="F615" s="91" t="s">
        <v>0</v>
      </c>
      <c r="G615" s="56" t="s">
        <v>2828</v>
      </c>
      <c r="H615" s="91">
        <v>60</v>
      </c>
      <c r="I615" s="91" t="s">
        <v>207</v>
      </c>
      <c r="J615" s="91" t="s">
        <v>2431</v>
      </c>
      <c r="K615" s="92" t="s">
        <v>4623</v>
      </c>
      <c r="L615" s="93" t="str">
        <f>VLOOKUP(G615,'SKU 对应关系'!A:E,4,0)</f>
        <v>AH1B-WH_US</v>
      </c>
      <c r="M615" s="94" t="str">
        <f>_xlfn.IFNA(VLOOKUP(G615,'SKU 对应关系'!A:B,2,0),"")</f>
        <v>AH1B-WH_US 智能加湿器 白色 美规</v>
      </c>
      <c r="N615" s="95" t="str">
        <f>_xlfn.IFNA(VLOOKUP(G615,'SKU 对应关系'!$A:$D,3,0),"")</f>
        <v>AH1B</v>
      </c>
      <c r="O615" s="96">
        <v>10</v>
      </c>
      <c r="P615" s="580">
        <v>158</v>
      </c>
      <c r="Q615" s="96" t="s">
        <v>16</v>
      </c>
      <c r="R615" s="91">
        <v>5.9</v>
      </c>
      <c r="S615" s="95">
        <v>200</v>
      </c>
      <c r="T615" s="98">
        <v>200</v>
      </c>
      <c r="U615" s="99">
        <f t="shared" si="71"/>
        <v>1132.2</v>
      </c>
      <c r="V615" s="100">
        <f t="shared" si="72"/>
        <v>18.87</v>
      </c>
      <c r="W615" s="101">
        <f t="shared" si="73"/>
        <v>2.8164179104477611</v>
      </c>
      <c r="X615" s="95"/>
      <c r="Y615" s="95"/>
      <c r="Z615" s="102"/>
      <c r="AA615" s="103">
        <v>46158</v>
      </c>
      <c r="AB615" s="103">
        <v>46200</v>
      </c>
      <c r="AC615" s="103"/>
      <c r="AD615" s="104">
        <f>IF(ISNA(VLOOKUP(D615,亚马逊入库配置费!B:F,5,0)),0,VLOOKUP(D615,亚马逊入库配置费!B:F,5,0))</f>
        <v>0</v>
      </c>
      <c r="AE615" s="104">
        <f t="shared" si="75"/>
        <v>0</v>
      </c>
      <c r="AF615" s="103"/>
      <c r="AG615" s="577">
        <f t="shared" si="74"/>
        <v>-46158</v>
      </c>
      <c r="AH615" s="103"/>
      <c r="AI615" s="96"/>
      <c r="AJ615" s="96"/>
      <c r="AK615" s="96"/>
      <c r="AL615" s="92"/>
      <c r="AM615" s="91"/>
      <c r="AN615" s="91"/>
      <c r="AO615" s="96"/>
      <c r="AP615" s="105"/>
      <c r="AQ615" s="105"/>
      <c r="AR615" s="105"/>
      <c r="AS615" s="105"/>
    </row>
    <row r="616" spans="1:45" ht="12" customHeight="1" x14ac:dyDescent="0.25">
      <c r="A616" s="90">
        <v>615</v>
      </c>
      <c r="B616" s="91"/>
      <c r="C616" s="91" t="s">
        <v>4624</v>
      </c>
      <c r="D616" s="92" t="s">
        <v>4625</v>
      </c>
      <c r="E616" s="91" t="s">
        <v>4202</v>
      </c>
      <c r="F616" s="91" t="s">
        <v>0</v>
      </c>
      <c r="G616" s="56" t="s">
        <v>2828</v>
      </c>
      <c r="H616" s="91">
        <v>60</v>
      </c>
      <c r="I616" s="91" t="s">
        <v>207</v>
      </c>
      <c r="J616" s="91" t="s">
        <v>8</v>
      </c>
      <c r="K616" s="92" t="s">
        <v>3173</v>
      </c>
      <c r="L616" s="93" t="str">
        <f>VLOOKUP(G616,'SKU 对应关系'!A:E,4,0)</f>
        <v>AH1B-WH_US</v>
      </c>
      <c r="M616" s="94" t="str">
        <f>_xlfn.IFNA(VLOOKUP(G616,'SKU 对应关系'!A:B,2,0),"")</f>
        <v>AH1B-WH_US 智能加湿器 白色 美规</v>
      </c>
      <c r="N616" s="95" t="str">
        <f>_xlfn.IFNA(VLOOKUP(G616,'SKU 对应关系'!$A:$D,3,0),"")</f>
        <v>AH1B</v>
      </c>
      <c r="O616" s="96">
        <v>10</v>
      </c>
      <c r="P616" s="580">
        <v>158</v>
      </c>
      <c r="Q616" s="96" t="s">
        <v>16</v>
      </c>
      <c r="R616" s="91">
        <v>5.0999999999999996</v>
      </c>
      <c r="S616" s="95">
        <v>200</v>
      </c>
      <c r="T616" s="98">
        <v>200</v>
      </c>
      <c r="U616" s="99">
        <f t="shared" si="71"/>
        <v>1005.8</v>
      </c>
      <c r="V616" s="100">
        <f t="shared" si="72"/>
        <v>16.763333333333332</v>
      </c>
      <c r="W616" s="101">
        <f t="shared" si="73"/>
        <v>2.5019900497512433</v>
      </c>
      <c r="X616" s="95"/>
      <c r="Y616" s="95"/>
      <c r="Z616" s="102"/>
      <c r="AA616" s="103">
        <v>46158</v>
      </c>
      <c r="AB616" s="103">
        <v>46180</v>
      </c>
      <c r="AC616" s="103"/>
      <c r="AD616" s="104">
        <f>IF(ISNA(VLOOKUP(D616,亚马逊入库配置费!B:F,5,0)),0,VLOOKUP(D616,亚马逊入库配置费!B:F,5,0))</f>
        <v>0</v>
      </c>
      <c r="AE616" s="104">
        <f t="shared" si="75"/>
        <v>0</v>
      </c>
      <c r="AF616" s="103"/>
      <c r="AG616" s="577">
        <f t="shared" si="74"/>
        <v>-46158</v>
      </c>
      <c r="AH616" s="103"/>
      <c r="AI616" s="96"/>
      <c r="AJ616" s="96"/>
      <c r="AK616" s="96"/>
      <c r="AL616" s="92"/>
      <c r="AM616" s="91"/>
      <c r="AN616" s="91"/>
      <c r="AO616" s="96"/>
      <c r="AP616" s="105"/>
      <c r="AQ616" s="105"/>
      <c r="AR616" s="105"/>
      <c r="AS616" s="105"/>
    </row>
    <row r="617" spans="1:45" ht="12" customHeight="1" x14ac:dyDescent="0.25">
      <c r="A617" s="90">
        <v>616</v>
      </c>
      <c r="B617" s="91"/>
      <c r="C617" s="91" t="s">
        <v>4626</v>
      </c>
      <c r="D617" s="92" t="s">
        <v>4627</v>
      </c>
      <c r="E617" s="91" t="s">
        <v>4202</v>
      </c>
      <c r="F617" s="91" t="s">
        <v>0</v>
      </c>
      <c r="G617" s="56" t="s">
        <v>2828</v>
      </c>
      <c r="H617" s="91">
        <v>60</v>
      </c>
      <c r="I617" s="91" t="s">
        <v>207</v>
      </c>
      <c r="J617" s="91" t="s">
        <v>2421</v>
      </c>
      <c r="K617" s="92" t="s">
        <v>4452</v>
      </c>
      <c r="L617" s="93" t="str">
        <f>VLOOKUP(G617,'SKU 对应关系'!A:E,4,0)</f>
        <v>AH1B-WH_US</v>
      </c>
      <c r="M617" s="94" t="str">
        <f>_xlfn.IFNA(VLOOKUP(G617,'SKU 对应关系'!A:B,2,0),"")</f>
        <v>AH1B-WH_US 智能加湿器 白色 美规</v>
      </c>
      <c r="N617" s="95" t="str">
        <f>_xlfn.IFNA(VLOOKUP(G617,'SKU 对应关系'!$A:$D,3,0),"")</f>
        <v>AH1B</v>
      </c>
      <c r="O617" s="96">
        <v>10</v>
      </c>
      <c r="P617" s="580">
        <v>158</v>
      </c>
      <c r="Q617" s="96" t="s">
        <v>16</v>
      </c>
      <c r="R617" s="91">
        <v>5.4</v>
      </c>
      <c r="S617" s="95">
        <v>200</v>
      </c>
      <c r="T617" s="98">
        <v>200</v>
      </c>
      <c r="U617" s="99">
        <f t="shared" si="71"/>
        <v>1053.2</v>
      </c>
      <c r="V617" s="100">
        <f t="shared" si="72"/>
        <v>17.553333333333335</v>
      </c>
      <c r="W617" s="101">
        <f t="shared" si="73"/>
        <v>2.6199004975124378</v>
      </c>
      <c r="X617" s="95"/>
      <c r="Y617" s="95"/>
      <c r="Z617" s="102"/>
      <c r="AA617" s="103">
        <v>46158</v>
      </c>
      <c r="AB617" s="103">
        <v>46196</v>
      </c>
      <c r="AC617" s="103"/>
      <c r="AD617" s="104">
        <f>IF(ISNA(VLOOKUP(D617,亚马逊入库配置费!B:F,5,0)),0,VLOOKUP(D617,亚马逊入库配置费!B:F,5,0))</f>
        <v>0</v>
      </c>
      <c r="AE617" s="104">
        <f t="shared" si="75"/>
        <v>0</v>
      </c>
      <c r="AF617" s="103"/>
      <c r="AG617" s="577">
        <f t="shared" si="74"/>
        <v>-46158</v>
      </c>
      <c r="AH617" s="103"/>
      <c r="AI617" s="96"/>
      <c r="AJ617" s="96"/>
      <c r="AK617" s="96"/>
      <c r="AL617" s="92"/>
      <c r="AM617" s="91"/>
      <c r="AN617" s="91"/>
      <c r="AO617" s="96"/>
      <c r="AP617" s="105"/>
      <c r="AQ617" s="105"/>
      <c r="AR617" s="105"/>
      <c r="AS617" s="105"/>
    </row>
    <row r="618" spans="1:45" ht="12" customHeight="1" x14ac:dyDescent="0.25">
      <c r="A618" s="90">
        <v>617</v>
      </c>
      <c r="B618" s="91"/>
      <c r="C618" s="91" t="s">
        <v>4628</v>
      </c>
      <c r="D618" s="92" t="s">
        <v>4629</v>
      </c>
      <c r="E618" s="91" t="s">
        <v>4202</v>
      </c>
      <c r="F618" s="91" t="s">
        <v>0</v>
      </c>
      <c r="G618" s="56" t="s">
        <v>2828</v>
      </c>
      <c r="H618" s="91">
        <v>60</v>
      </c>
      <c r="I618" s="91" t="s">
        <v>207</v>
      </c>
      <c r="J618" s="91" t="s">
        <v>2421</v>
      </c>
      <c r="K618" s="92" t="s">
        <v>3144</v>
      </c>
      <c r="L618" s="93" t="str">
        <f>VLOOKUP(G618,'SKU 对应关系'!A:E,4,0)</f>
        <v>AH1B-WH_US</v>
      </c>
      <c r="M618" s="94" t="str">
        <f>_xlfn.IFNA(VLOOKUP(G618,'SKU 对应关系'!A:B,2,0),"")</f>
        <v>AH1B-WH_US 智能加湿器 白色 美规</v>
      </c>
      <c r="N618" s="95" t="str">
        <f>_xlfn.IFNA(VLOOKUP(G618,'SKU 对应关系'!$A:$D,3,0),"")</f>
        <v>AH1B</v>
      </c>
      <c r="O618" s="96">
        <v>10</v>
      </c>
      <c r="P618" s="580">
        <v>158</v>
      </c>
      <c r="Q618" s="96" t="s">
        <v>16</v>
      </c>
      <c r="R618" s="91">
        <v>6.3</v>
      </c>
      <c r="S618" s="95">
        <v>200</v>
      </c>
      <c r="T618" s="98">
        <v>200</v>
      </c>
      <c r="U618" s="99">
        <f t="shared" si="71"/>
        <v>1195.4000000000001</v>
      </c>
      <c r="V618" s="100">
        <f t="shared" si="72"/>
        <v>19.923333333333336</v>
      </c>
      <c r="W618" s="101">
        <f t="shared" si="73"/>
        <v>2.9736318407960201</v>
      </c>
      <c r="X618" s="95"/>
      <c r="Y618" s="95"/>
      <c r="Z618" s="102"/>
      <c r="AA618" s="103">
        <v>46158</v>
      </c>
      <c r="AB618" s="103">
        <v>46198</v>
      </c>
      <c r="AC618" s="103"/>
      <c r="AD618" s="104">
        <f>IF(ISNA(VLOOKUP(D618,亚马逊入库配置费!B:F,5,0)),0,VLOOKUP(D618,亚马逊入库配置费!B:F,5,0))</f>
        <v>0</v>
      </c>
      <c r="AE618" s="104">
        <f t="shared" si="75"/>
        <v>0</v>
      </c>
      <c r="AF618" s="103"/>
      <c r="AG618" s="577">
        <f t="shared" si="74"/>
        <v>-46158</v>
      </c>
      <c r="AH618" s="103"/>
      <c r="AI618" s="96"/>
      <c r="AJ618" s="96"/>
      <c r="AK618" s="96"/>
      <c r="AL618" s="92"/>
      <c r="AM618" s="91"/>
      <c r="AN618" s="91"/>
      <c r="AO618" s="96"/>
      <c r="AP618" s="105"/>
      <c r="AQ618" s="105"/>
      <c r="AR618" s="105"/>
      <c r="AS618" s="105"/>
    </row>
    <row r="619" spans="1:45" ht="12" customHeight="1" x14ac:dyDescent="0.25">
      <c r="A619" s="90">
        <v>618</v>
      </c>
      <c r="B619" s="91"/>
      <c r="C619" s="91" t="s">
        <v>4633</v>
      </c>
      <c r="D619" s="92" t="s">
        <v>4634</v>
      </c>
      <c r="E619" s="91" t="s">
        <v>115</v>
      </c>
      <c r="F619" s="91" t="s">
        <v>0</v>
      </c>
      <c r="G619" s="56" t="s">
        <v>209</v>
      </c>
      <c r="H619" s="91">
        <v>96</v>
      </c>
      <c r="I619" s="91" t="s">
        <v>89</v>
      </c>
      <c r="J619" s="91" t="s">
        <v>8</v>
      </c>
      <c r="K619" s="92" t="s">
        <v>32</v>
      </c>
      <c r="L619" s="93" t="str">
        <f>VLOOKUP(G619,'SKU 对应关系'!A:E,4,0)</f>
        <v>ANX-2PC-BB</v>
      </c>
      <c r="M619" s="94" t="str">
        <f>_xlfn.IFNA(VLOOKUP(G619,'SKU 对应关系'!A:B,2,0),"")</f>
        <v>ANX-2PC-BB 便携式扩香仪套装 黑+黑</v>
      </c>
      <c r="N619" s="95" t="str">
        <f>_xlfn.IFNA(VLOOKUP(G619,'SKU 对应关系'!$A:$D,3,0),"")</f>
        <v>ANX</v>
      </c>
      <c r="O619" s="96">
        <v>6</v>
      </c>
      <c r="P619" s="580">
        <v>75.75</v>
      </c>
      <c r="Q619" s="96" t="s">
        <v>16</v>
      </c>
      <c r="R619" s="91">
        <v>5.3</v>
      </c>
      <c r="S619" s="95">
        <v>200</v>
      </c>
      <c r="T619" s="98">
        <v>16</v>
      </c>
      <c r="U619" s="99">
        <f t="shared" ref="U619:U657" si="76">R619*P619+T619</f>
        <v>417.47499999999997</v>
      </c>
      <c r="V619" s="100">
        <f t="shared" ref="V619:V657" si="77">U619/H619</f>
        <v>4.3486979166666666</v>
      </c>
      <c r="W619" s="101">
        <f t="shared" ref="W619:W657" si="78">V619/6.7</f>
        <v>0.64905939054726369</v>
      </c>
      <c r="X619" s="95"/>
      <c r="Y619" s="95"/>
      <c r="Z619" s="102"/>
      <c r="AA619" s="103">
        <v>46164</v>
      </c>
      <c r="AB619" s="103">
        <v>46186</v>
      </c>
      <c r="AC619" s="103"/>
      <c r="AD619" s="104">
        <f>IF(ISNA(VLOOKUP(D619,亚马逊入库配置费!B:F,5,0)),0,VLOOKUP(D619,亚马逊入库配置费!B:F,5,0))</f>
        <v>0.56000000000000005</v>
      </c>
      <c r="AE619" s="104">
        <f t="shared" si="75"/>
        <v>53.760000000000005</v>
      </c>
      <c r="AF619" s="103"/>
      <c r="AG619" s="577">
        <f t="shared" si="74"/>
        <v>-46164</v>
      </c>
      <c r="AH619" s="103"/>
      <c r="AI619" s="96"/>
      <c r="AJ619" s="96"/>
      <c r="AK619" s="96"/>
      <c r="AL619" s="92"/>
      <c r="AM619" s="91"/>
      <c r="AN619" s="91"/>
      <c r="AO619" s="96"/>
      <c r="AP619" s="105"/>
      <c r="AQ619" s="105"/>
      <c r="AR619" s="105"/>
      <c r="AS619" s="105"/>
    </row>
    <row r="620" spans="1:45" ht="12" customHeight="1" x14ac:dyDescent="0.25">
      <c r="A620" s="90">
        <f>ROW(A619)</f>
        <v>619</v>
      </c>
      <c r="B620" s="91"/>
      <c r="C620" s="91" t="s">
        <v>4633</v>
      </c>
      <c r="D620" s="92" t="s">
        <v>4634</v>
      </c>
      <c r="E620" s="91" t="s">
        <v>115</v>
      </c>
      <c r="F620" s="91" t="s">
        <v>0</v>
      </c>
      <c r="G620" s="56" t="s">
        <v>698</v>
      </c>
      <c r="H620" s="91">
        <v>32</v>
      </c>
      <c r="I620" s="91" t="s">
        <v>89</v>
      </c>
      <c r="J620" s="91" t="s">
        <v>8</v>
      </c>
      <c r="K620" s="92" t="s">
        <v>32</v>
      </c>
      <c r="L620" s="93" t="str">
        <f>VLOOKUP(G620,'SKU 对应关系'!A:E,4,0)</f>
        <v>ANX-2PC-BGD</v>
      </c>
      <c r="M620" s="94" t="str">
        <f>_xlfn.IFNA(VLOOKUP(G620,'SKU 对应关系'!A:B,2,0),"")</f>
        <v>ANX-2PC-BGD 便携式扩香仪套装 黑+金</v>
      </c>
      <c r="N620" s="95" t="str">
        <f>_xlfn.IFNA(VLOOKUP(G620,'SKU 对应关系'!$A:$D,3,0),"")</f>
        <v>ANX</v>
      </c>
      <c r="O620" s="96">
        <v>2</v>
      </c>
      <c r="P620" s="580">
        <v>25.25</v>
      </c>
      <c r="Q620" s="96" t="s">
        <v>16</v>
      </c>
      <c r="R620" s="91">
        <v>5.3</v>
      </c>
      <c r="S620" s="95"/>
      <c r="T620" s="98">
        <v>5.333333333333333</v>
      </c>
      <c r="U620" s="99">
        <f t="shared" si="76"/>
        <v>139.15833333333333</v>
      </c>
      <c r="V620" s="100">
        <f t="shared" si="77"/>
        <v>4.3486979166666666</v>
      </c>
      <c r="W620" s="101">
        <f t="shared" si="78"/>
        <v>0.64905939054726369</v>
      </c>
      <c r="X620" s="95"/>
      <c r="Y620" s="95"/>
      <c r="Z620" s="102"/>
      <c r="AA620" s="103">
        <v>46164</v>
      </c>
      <c r="AB620" s="103">
        <v>46186</v>
      </c>
      <c r="AC620" s="103"/>
      <c r="AD620" s="104">
        <f>IF(ISNA(VLOOKUP(D620,亚马逊入库配置费!B:F,5,0)),0,VLOOKUP(D620,亚马逊入库配置费!B:F,5,0))</f>
        <v>0.56000000000000005</v>
      </c>
      <c r="AE620" s="104">
        <f t="shared" si="75"/>
        <v>17.920000000000002</v>
      </c>
      <c r="AF620" s="103"/>
      <c r="AG620" s="577">
        <f t="shared" si="74"/>
        <v>-46164</v>
      </c>
      <c r="AH620" s="103"/>
      <c r="AI620" s="96"/>
      <c r="AJ620" s="96"/>
      <c r="AK620" s="96"/>
      <c r="AL620" s="92"/>
      <c r="AM620" s="91"/>
      <c r="AN620" s="91"/>
      <c r="AO620" s="96"/>
      <c r="AP620" s="105"/>
      <c r="AQ620" s="105"/>
      <c r="AR620" s="105"/>
      <c r="AS620" s="105"/>
    </row>
    <row r="621" spans="1:45" ht="12" customHeight="1" x14ac:dyDescent="0.25">
      <c r="A621" s="90">
        <f t="shared" ref="A621:A684" si="79">ROW(A620)</f>
        <v>620</v>
      </c>
      <c r="B621" s="91"/>
      <c r="C621" s="91" t="s">
        <v>4635</v>
      </c>
      <c r="D621" s="92" t="s">
        <v>4636</v>
      </c>
      <c r="E621" s="91" t="s">
        <v>4202</v>
      </c>
      <c r="F621" s="91" t="s">
        <v>0</v>
      </c>
      <c r="G621" s="56" t="s">
        <v>4129</v>
      </c>
      <c r="H621" s="91">
        <v>200</v>
      </c>
      <c r="I621" s="91" t="s">
        <v>207</v>
      </c>
      <c r="J621" s="91" t="s">
        <v>8</v>
      </c>
      <c r="K621" s="92" t="s">
        <v>50</v>
      </c>
      <c r="L621" s="93" t="str">
        <f>VLOOKUP(G621,'SKU 对应关系'!A:E,4,0)</f>
        <v>RD2KIT-B_2X30K06_TZ</v>
      </c>
      <c r="M621" s="94" t="str">
        <f>_xlfn.IFNA(VLOOKUP(G621,'SKU 对应关系'!A:B,2,0),"")</f>
        <v>RD2KIT-B_2X30K06_TZ RD2黑色机器+2X30mL酒店香氛油（天竺）  机油套装</v>
      </c>
      <c r="N621" s="95" t="str">
        <f>_xlfn.IFNA(VLOOKUP(G621,'SKU 对应关系'!$A:$D,3,0),"")</f>
        <v>RD2</v>
      </c>
      <c r="O621" s="96">
        <v>10</v>
      </c>
      <c r="P621" s="580">
        <v>139</v>
      </c>
      <c r="Q621" s="96" t="s">
        <v>16</v>
      </c>
      <c r="R621" s="91">
        <v>4.5</v>
      </c>
      <c r="S621" s="95">
        <v>200</v>
      </c>
      <c r="T621" s="98">
        <v>100</v>
      </c>
      <c r="U621" s="99">
        <f t="shared" si="76"/>
        <v>725.5</v>
      </c>
      <c r="V621" s="100">
        <f t="shared" si="77"/>
        <v>3.6274999999999999</v>
      </c>
      <c r="W621" s="101">
        <f t="shared" si="78"/>
        <v>0.54141791044776122</v>
      </c>
      <c r="X621" s="95"/>
      <c r="Y621" s="95"/>
      <c r="Z621" s="102"/>
      <c r="AA621" s="103">
        <v>46164</v>
      </c>
      <c r="AB621" s="103">
        <v>46185</v>
      </c>
      <c r="AC621" s="103"/>
      <c r="AD621" s="104">
        <f>IF(ISNA(VLOOKUP(D621,亚马逊入库配置费!B:F,5,0)),0,VLOOKUP(D621,亚马逊入库配置费!B:F,5,0))</f>
        <v>0.56000000000000005</v>
      </c>
      <c r="AE621" s="104">
        <f t="shared" si="75"/>
        <v>112.00000000000001</v>
      </c>
      <c r="AF621" s="103"/>
      <c r="AG621" s="577">
        <f t="shared" si="74"/>
        <v>-46164</v>
      </c>
      <c r="AH621" s="103"/>
      <c r="AI621" s="96"/>
      <c r="AJ621" s="96"/>
      <c r="AK621" s="96"/>
      <c r="AL621" s="92"/>
      <c r="AM621" s="91"/>
      <c r="AN621" s="91"/>
      <c r="AO621" s="96"/>
      <c r="AP621" s="105"/>
      <c r="AQ621" s="105"/>
      <c r="AR621" s="105"/>
      <c r="AS621" s="105"/>
    </row>
    <row r="622" spans="1:45" ht="12" customHeight="1" x14ac:dyDescent="0.25">
      <c r="A622" s="90">
        <f t="shared" si="79"/>
        <v>621</v>
      </c>
      <c r="B622" s="91"/>
      <c r="C622" s="91" t="s">
        <v>1162</v>
      </c>
      <c r="D622" s="92" t="s">
        <v>4637</v>
      </c>
      <c r="E622" s="91" t="s">
        <v>86</v>
      </c>
      <c r="F622" s="91" t="s">
        <v>87</v>
      </c>
      <c r="G622" s="56" t="s">
        <v>165</v>
      </c>
      <c r="H622" s="91">
        <v>160</v>
      </c>
      <c r="I622" s="91" t="s">
        <v>89</v>
      </c>
      <c r="J622" s="91" t="s">
        <v>90</v>
      </c>
      <c r="K622" s="92" t="s">
        <v>431</v>
      </c>
      <c r="L622" s="93" t="str">
        <f>VLOOKUP(G622,'SKU 对应关系'!A:E,4,0)</f>
        <v>AN6-W</v>
      </c>
      <c r="M622" s="94" t="str">
        <f>_xlfn.IFNA(VLOOKUP(G622,'SKU 对应关系'!A:B,2,0),"")</f>
        <v>AN6-W 便携式扩香仪 白色</v>
      </c>
      <c r="N622" s="95" t="str">
        <f>_xlfn.IFNA(VLOOKUP(G622,'SKU 对应关系'!$A:$D,3,0),"")</f>
        <v>AN6</v>
      </c>
      <c r="O622" s="96">
        <v>4</v>
      </c>
      <c r="P622" s="580">
        <v>60</v>
      </c>
      <c r="Q622" s="96" t="s">
        <v>16</v>
      </c>
      <c r="R622" s="91">
        <v>6</v>
      </c>
      <c r="S622" s="95">
        <v>200</v>
      </c>
      <c r="T622" s="98">
        <v>66.666666666666671</v>
      </c>
      <c r="U622" s="99">
        <f t="shared" si="76"/>
        <v>426.66666666666669</v>
      </c>
      <c r="V622" s="100">
        <f t="shared" si="77"/>
        <v>2.666666666666667</v>
      </c>
      <c r="W622" s="101">
        <f t="shared" si="78"/>
        <v>0.39800995024875624</v>
      </c>
      <c r="X622" s="95"/>
      <c r="Y622" s="95"/>
      <c r="Z622" s="102"/>
      <c r="AA622" s="103">
        <v>46164</v>
      </c>
      <c r="AB622" s="103">
        <v>46201</v>
      </c>
      <c r="AC622" s="103"/>
      <c r="AD622" s="104">
        <f>IF(ISNA(VLOOKUP(D622,亚马逊入库配置费!B:F,5,0)),0,VLOOKUP(D622,亚马逊入库配置费!B:F,5,0))</f>
        <v>0</v>
      </c>
      <c r="AE622" s="104">
        <f t="shared" si="75"/>
        <v>0</v>
      </c>
      <c r="AF622" s="103"/>
      <c r="AG622" s="577">
        <f t="shared" si="74"/>
        <v>-46164</v>
      </c>
      <c r="AH622" s="103"/>
      <c r="AI622" s="96"/>
      <c r="AJ622" s="96"/>
      <c r="AK622" s="96"/>
      <c r="AL622" s="92"/>
      <c r="AM622" s="91"/>
      <c r="AN622" s="91"/>
      <c r="AO622" s="96"/>
      <c r="AP622" s="105"/>
      <c r="AQ622" s="105"/>
      <c r="AR622" s="105"/>
      <c r="AS622" s="105"/>
    </row>
    <row r="623" spans="1:45" ht="12" customHeight="1" x14ac:dyDescent="0.25">
      <c r="A623" s="90">
        <f t="shared" si="79"/>
        <v>622</v>
      </c>
      <c r="B623" s="91"/>
      <c r="C623" s="91" t="s">
        <v>1162</v>
      </c>
      <c r="D623" s="92" t="s">
        <v>4637</v>
      </c>
      <c r="E623" s="91" t="s">
        <v>86</v>
      </c>
      <c r="F623" s="91" t="s">
        <v>87</v>
      </c>
      <c r="G623" s="56" t="s">
        <v>2279</v>
      </c>
      <c r="H623" s="91">
        <v>150</v>
      </c>
      <c r="I623" s="91" t="s">
        <v>89</v>
      </c>
      <c r="J623" s="91" t="s">
        <v>90</v>
      </c>
      <c r="K623" s="92" t="s">
        <v>431</v>
      </c>
      <c r="L623" s="93" t="str">
        <f>VLOOKUP(G623,'SKU 对应关系'!A:E,4,0)</f>
        <v>RD1-B</v>
      </c>
      <c r="M623" s="94" t="str">
        <f>_xlfn.IFNA(VLOOKUP(G623,'SKU 对应关系'!A:B,2,0),"")</f>
        <v>RD1-B 便携式扩香仪 黑色</v>
      </c>
      <c r="N623" s="95" t="str">
        <f>_xlfn.IFNA(VLOOKUP(G623,'SKU 对应关系'!$A:$D,3,0),"")</f>
        <v>RD1</v>
      </c>
      <c r="O623" s="96">
        <v>5</v>
      </c>
      <c r="P623" s="580">
        <v>75</v>
      </c>
      <c r="Q623" s="96" t="s">
        <v>16</v>
      </c>
      <c r="R623" s="91">
        <v>6</v>
      </c>
      <c r="S623" s="106">
        <v>200</v>
      </c>
      <c r="T623" s="98">
        <v>83.333333333333329</v>
      </c>
      <c r="U623" s="99">
        <f t="shared" si="76"/>
        <v>533.33333333333337</v>
      </c>
      <c r="V623" s="100">
        <f t="shared" si="77"/>
        <v>3.5555555555555558</v>
      </c>
      <c r="W623" s="101">
        <f t="shared" si="78"/>
        <v>0.53067993366500832</v>
      </c>
      <c r="X623" s="95"/>
      <c r="Y623" s="95"/>
      <c r="Z623" s="102"/>
      <c r="AA623" s="103">
        <v>46164</v>
      </c>
      <c r="AB623" s="103">
        <v>46201</v>
      </c>
      <c r="AC623" s="103"/>
      <c r="AD623" s="104">
        <f>IF(ISNA(VLOOKUP(D623,亚马逊入库配置费!B:F,5,0)),0,VLOOKUP(D623,亚马逊入库配置费!B:F,5,0))</f>
        <v>0</v>
      </c>
      <c r="AE623" s="104">
        <f t="shared" si="75"/>
        <v>0</v>
      </c>
      <c r="AF623" s="103"/>
      <c r="AG623" s="577">
        <f t="shared" si="74"/>
        <v>-46164</v>
      </c>
      <c r="AH623" s="103"/>
      <c r="AI623" s="96"/>
      <c r="AJ623" s="96"/>
      <c r="AK623" s="96"/>
      <c r="AL623" s="92"/>
      <c r="AM623" s="91"/>
      <c r="AN623" s="91"/>
      <c r="AO623" s="96"/>
      <c r="AP623" s="105"/>
      <c r="AQ623" s="105"/>
      <c r="AR623" s="105"/>
      <c r="AS623" s="105"/>
    </row>
    <row r="624" spans="1:45" ht="12" customHeight="1" x14ac:dyDescent="0.25">
      <c r="A624" s="90">
        <f t="shared" si="79"/>
        <v>623</v>
      </c>
      <c r="B624" s="91"/>
      <c r="C624" s="91" t="s">
        <v>1162</v>
      </c>
      <c r="D624" s="92" t="s">
        <v>4637</v>
      </c>
      <c r="E624" s="91" t="s">
        <v>86</v>
      </c>
      <c r="F624" s="91" t="s">
        <v>87</v>
      </c>
      <c r="G624" s="56" t="s">
        <v>2281</v>
      </c>
      <c r="H624" s="91">
        <v>90</v>
      </c>
      <c r="I624" s="91" t="s">
        <v>89</v>
      </c>
      <c r="J624" s="91" t="s">
        <v>90</v>
      </c>
      <c r="K624" s="92" t="s">
        <v>431</v>
      </c>
      <c r="L624" s="93" t="str">
        <f>VLOOKUP(G624,'SKU 对应关系'!A:E,4,0)</f>
        <v>RD1-DT</v>
      </c>
      <c r="M624" s="94" t="str">
        <f>_xlfn.IFNA(VLOOKUP(G624,'SKU 对应关系'!A:B,2,0),"")</f>
        <v>RD1-DT 便携式扩香仪 沙漠钛色</v>
      </c>
      <c r="N624" s="95" t="str">
        <f>_xlfn.IFNA(VLOOKUP(G624,'SKU 对应关系'!$A:$D,3,0),"")</f>
        <v>RD1</v>
      </c>
      <c r="O624" s="96">
        <v>3</v>
      </c>
      <c r="P624" s="580">
        <v>45</v>
      </c>
      <c r="Q624" s="96" t="s">
        <v>16</v>
      </c>
      <c r="R624" s="91">
        <v>6</v>
      </c>
      <c r="S624" s="95"/>
      <c r="T624" s="98">
        <v>50</v>
      </c>
      <c r="U624" s="99">
        <f t="shared" si="76"/>
        <v>320</v>
      </c>
      <c r="V624" s="100">
        <f t="shared" si="77"/>
        <v>3.5555555555555554</v>
      </c>
      <c r="W624" s="101">
        <f t="shared" si="78"/>
        <v>0.53067993366500821</v>
      </c>
      <c r="X624" s="95"/>
      <c r="Y624" s="95"/>
      <c r="Z624" s="102"/>
      <c r="AA624" s="103">
        <v>46164</v>
      </c>
      <c r="AB624" s="103">
        <v>46201</v>
      </c>
      <c r="AC624" s="103"/>
      <c r="AD624" s="104">
        <f>IF(ISNA(VLOOKUP(D624,亚马逊入库配置费!B:F,5,0)),0,VLOOKUP(D624,亚马逊入库配置费!B:F,5,0))</f>
        <v>0</v>
      </c>
      <c r="AE624" s="104">
        <f t="shared" si="75"/>
        <v>0</v>
      </c>
      <c r="AF624" s="103"/>
      <c r="AG624" s="577">
        <f t="shared" si="74"/>
        <v>-46164</v>
      </c>
      <c r="AH624" s="103"/>
      <c r="AI624" s="96"/>
      <c r="AJ624" s="96"/>
      <c r="AK624" s="96"/>
      <c r="AL624" s="92"/>
      <c r="AM624" s="91"/>
      <c r="AN624" s="91"/>
      <c r="AO624" s="96"/>
      <c r="AP624" s="105"/>
      <c r="AQ624" s="105"/>
      <c r="AR624" s="105"/>
      <c r="AS624" s="105"/>
    </row>
    <row r="625" spans="1:45" ht="12" customHeight="1" x14ac:dyDescent="0.25">
      <c r="A625" s="90">
        <f t="shared" si="79"/>
        <v>624</v>
      </c>
      <c r="B625" s="91"/>
      <c r="C625" s="91" t="s">
        <v>4638</v>
      </c>
      <c r="D625" s="92" t="s">
        <v>4639</v>
      </c>
      <c r="E625" s="91" t="s">
        <v>97</v>
      </c>
      <c r="F625" s="91" t="s">
        <v>0</v>
      </c>
      <c r="G625" s="56" t="s">
        <v>163</v>
      </c>
      <c r="H625" s="91">
        <v>800</v>
      </c>
      <c r="I625" s="91" t="s">
        <v>207</v>
      </c>
      <c r="J625" s="91" t="s">
        <v>8</v>
      </c>
      <c r="K625" s="92" t="s">
        <v>13</v>
      </c>
      <c r="L625" s="93" t="str">
        <f>VLOOKUP(G625,'SKU 对应关系'!A:E,4,0)</f>
        <v>AN6-B</v>
      </c>
      <c r="M625" s="94" t="str">
        <f>_xlfn.IFNA(VLOOKUP(G625,'SKU 对应关系'!A:B,2,0),"")</f>
        <v>AN6-B 便携式扩香仪 黑色</v>
      </c>
      <c r="N625" s="95" t="str">
        <f>_xlfn.IFNA(VLOOKUP(G625,'SKU 对应关系'!$A:$D,3,0),"")</f>
        <v>AN6</v>
      </c>
      <c r="O625" s="96">
        <v>20</v>
      </c>
      <c r="P625" s="580">
        <v>278.26086956521738</v>
      </c>
      <c r="Q625" s="96" t="s">
        <v>16</v>
      </c>
      <c r="R625" s="91">
        <v>4</v>
      </c>
      <c r="S625" s="95">
        <v>200</v>
      </c>
      <c r="T625" s="98">
        <v>43.956043956043956</v>
      </c>
      <c r="U625" s="99">
        <f t="shared" si="76"/>
        <v>1156.9995222169134</v>
      </c>
      <c r="V625" s="100">
        <f t="shared" si="77"/>
        <v>1.4462494027711417</v>
      </c>
      <c r="W625" s="101">
        <f t="shared" si="78"/>
        <v>0.21585811981658831</v>
      </c>
      <c r="X625" s="95"/>
      <c r="Y625" s="95"/>
      <c r="Z625" s="102"/>
      <c r="AA625" s="103">
        <v>46164</v>
      </c>
      <c r="AB625" s="103">
        <v>46185</v>
      </c>
      <c r="AC625" s="103"/>
      <c r="AD625" s="104">
        <f>IF(ISNA(VLOOKUP(D625,亚马逊入库配置费!B:F,5,0)),0,VLOOKUP(D625,亚马逊入库配置费!B:F,5,0))</f>
        <v>0.36685714285714283</v>
      </c>
      <c r="AE625" s="104">
        <f t="shared" si="75"/>
        <v>293.48571428571427</v>
      </c>
      <c r="AF625" s="103"/>
      <c r="AG625" s="577">
        <f t="shared" si="74"/>
        <v>-46164</v>
      </c>
      <c r="AH625" s="103"/>
      <c r="AI625" s="96"/>
      <c r="AJ625" s="96"/>
      <c r="AK625" s="96"/>
      <c r="AL625" s="92"/>
      <c r="AM625" s="91"/>
      <c r="AN625" s="91"/>
      <c r="AO625" s="96"/>
      <c r="AP625" s="105"/>
      <c r="AQ625" s="105"/>
      <c r="AR625" s="105"/>
      <c r="AS625" s="105"/>
    </row>
    <row r="626" spans="1:45" ht="12" customHeight="1" x14ac:dyDescent="0.25">
      <c r="A626" s="90">
        <f t="shared" si="79"/>
        <v>625</v>
      </c>
      <c r="B626" s="91"/>
      <c r="C626" s="91" t="s">
        <v>4638</v>
      </c>
      <c r="D626" s="92" t="s">
        <v>4639</v>
      </c>
      <c r="E626" s="91" t="s">
        <v>97</v>
      </c>
      <c r="F626" s="91" t="s">
        <v>0</v>
      </c>
      <c r="G626" s="56" t="s">
        <v>165</v>
      </c>
      <c r="H626" s="91">
        <v>600</v>
      </c>
      <c r="I626" s="91" t="s">
        <v>207</v>
      </c>
      <c r="J626" s="91" t="s">
        <v>8</v>
      </c>
      <c r="K626" s="92" t="s">
        <v>13</v>
      </c>
      <c r="L626" s="93" t="str">
        <f>VLOOKUP(G626,'SKU 对应关系'!A:E,4,0)</f>
        <v>AN6-W</v>
      </c>
      <c r="M626" s="94" t="str">
        <f>_xlfn.IFNA(VLOOKUP(G626,'SKU 对应关系'!A:B,2,0),"")</f>
        <v>AN6-W 便携式扩香仪 白色</v>
      </c>
      <c r="N626" s="95" t="str">
        <f>_xlfn.IFNA(VLOOKUP(G626,'SKU 对应关系'!$A:$D,3,0),"")</f>
        <v>AN6</v>
      </c>
      <c r="O626" s="96">
        <v>15</v>
      </c>
      <c r="P626" s="580">
        <v>208.69565217391303</v>
      </c>
      <c r="Q626" s="96" t="s">
        <v>16</v>
      </c>
      <c r="R626" s="91">
        <v>4</v>
      </c>
      <c r="S626" s="106">
        <v>200</v>
      </c>
      <c r="T626" s="98">
        <v>32.967032967032964</v>
      </c>
      <c r="U626" s="99">
        <f t="shared" si="76"/>
        <v>867.74964166268512</v>
      </c>
      <c r="V626" s="100">
        <f t="shared" si="77"/>
        <v>1.4462494027711419</v>
      </c>
      <c r="W626" s="101">
        <f t="shared" si="78"/>
        <v>0.21585811981658834</v>
      </c>
      <c r="X626" s="95"/>
      <c r="Y626" s="95"/>
      <c r="Z626" s="102"/>
      <c r="AA626" s="103">
        <v>46164</v>
      </c>
      <c r="AB626" s="103">
        <v>46185</v>
      </c>
      <c r="AC626" s="103"/>
      <c r="AD626" s="104">
        <f>IF(ISNA(VLOOKUP(D626,亚马逊入库配置费!B:F,5,0)),0,VLOOKUP(D626,亚马逊入库配置费!B:F,5,0))</f>
        <v>0.36685714285714283</v>
      </c>
      <c r="AE626" s="104">
        <f t="shared" si="75"/>
        <v>220.1142857142857</v>
      </c>
      <c r="AF626" s="103"/>
      <c r="AG626" s="577">
        <f t="shared" si="74"/>
        <v>-46164</v>
      </c>
      <c r="AH626" s="103"/>
      <c r="AI626" s="96"/>
      <c r="AJ626" s="96"/>
      <c r="AK626" s="96"/>
      <c r="AL626" s="92"/>
      <c r="AM626" s="91"/>
      <c r="AN626" s="91"/>
      <c r="AO626" s="96"/>
      <c r="AP626" s="105"/>
      <c r="AQ626" s="105"/>
      <c r="AR626" s="105"/>
      <c r="AS626" s="105"/>
    </row>
    <row r="627" spans="1:45" ht="12" customHeight="1" x14ac:dyDescent="0.25">
      <c r="A627" s="90">
        <f t="shared" si="79"/>
        <v>626</v>
      </c>
      <c r="B627" s="91"/>
      <c r="C627" s="91" t="s">
        <v>4638</v>
      </c>
      <c r="D627" s="92" t="s">
        <v>4639</v>
      </c>
      <c r="E627" s="91" t="s">
        <v>97</v>
      </c>
      <c r="F627" s="91" t="s">
        <v>0</v>
      </c>
      <c r="G627" s="56" t="s">
        <v>786</v>
      </c>
      <c r="H627" s="91">
        <v>120</v>
      </c>
      <c r="I627" s="91" t="s">
        <v>207</v>
      </c>
      <c r="J627" s="91" t="s">
        <v>8</v>
      </c>
      <c r="K627" s="92" t="s">
        <v>13</v>
      </c>
      <c r="L627" s="93" t="str">
        <f>VLOOKUP(G627,'SKU 对应关系'!A:E,4,0)</f>
        <v>AN6-YG</v>
      </c>
      <c r="M627" s="94" t="str">
        <f>_xlfn.IFNA(VLOOKUP(G627,'SKU 对应关系'!A:B,2,0),"")</f>
        <v>AN6-YG 便携式扩香仪 乳酪色</v>
      </c>
      <c r="N627" s="95" t="str">
        <f>_xlfn.IFNA(VLOOKUP(G627,'SKU 对应关系'!$A:$D,3,0),"")</f>
        <v>AN6</v>
      </c>
      <c r="O627" s="96">
        <v>3</v>
      </c>
      <c r="P627" s="580">
        <v>41.739130434782609</v>
      </c>
      <c r="Q627" s="96" t="s">
        <v>16</v>
      </c>
      <c r="R627" s="91">
        <v>4</v>
      </c>
      <c r="S627" s="95"/>
      <c r="T627" s="98">
        <v>6.5934065934065931</v>
      </c>
      <c r="U627" s="99">
        <f t="shared" si="76"/>
        <v>173.54992833253704</v>
      </c>
      <c r="V627" s="100">
        <f t="shared" si="77"/>
        <v>1.4462494027711419</v>
      </c>
      <c r="W627" s="101">
        <f t="shared" si="78"/>
        <v>0.21585811981658834</v>
      </c>
      <c r="X627" s="95"/>
      <c r="Y627" s="95"/>
      <c r="Z627" s="102"/>
      <c r="AA627" s="103">
        <v>46164</v>
      </c>
      <c r="AB627" s="103">
        <v>46185</v>
      </c>
      <c r="AC627" s="103"/>
      <c r="AD627" s="104">
        <f>IF(ISNA(VLOOKUP(D627,亚马逊入库配置费!B:F,5,0)),0,VLOOKUP(D627,亚马逊入库配置费!B:F,5,0))</f>
        <v>0.36685714285714283</v>
      </c>
      <c r="AE627" s="104">
        <f t="shared" si="75"/>
        <v>44.022857142857141</v>
      </c>
      <c r="AF627" s="103"/>
      <c r="AG627" s="577">
        <f t="shared" si="74"/>
        <v>-46164</v>
      </c>
      <c r="AH627" s="103"/>
      <c r="AI627" s="96"/>
      <c r="AJ627" s="96"/>
      <c r="AK627" s="96"/>
      <c r="AL627" s="92"/>
      <c r="AM627" s="91"/>
      <c r="AN627" s="91"/>
      <c r="AO627" s="96"/>
      <c r="AP627" s="105"/>
      <c r="AQ627" s="105"/>
      <c r="AR627" s="105"/>
      <c r="AS627" s="105"/>
    </row>
    <row r="628" spans="1:45" ht="12" customHeight="1" x14ac:dyDescent="0.25">
      <c r="A628" s="90">
        <f t="shared" si="79"/>
        <v>627</v>
      </c>
      <c r="B628" s="91"/>
      <c r="C628" s="91" t="s">
        <v>4638</v>
      </c>
      <c r="D628" s="92" t="s">
        <v>4639</v>
      </c>
      <c r="E628" s="91" t="s">
        <v>97</v>
      </c>
      <c r="F628" s="91" t="s">
        <v>0</v>
      </c>
      <c r="G628" s="56" t="s">
        <v>2279</v>
      </c>
      <c r="H628" s="91">
        <v>180</v>
      </c>
      <c r="I628" s="91" t="s">
        <v>207</v>
      </c>
      <c r="J628" s="91" t="s">
        <v>8</v>
      </c>
      <c r="K628" s="92" t="s">
        <v>13</v>
      </c>
      <c r="L628" s="93" t="str">
        <f>VLOOKUP(G628,'SKU 对应关系'!A:E,4,0)</f>
        <v>RD1-B</v>
      </c>
      <c r="M628" s="94" t="str">
        <f>_xlfn.IFNA(VLOOKUP(G628,'SKU 对应关系'!A:B,2,0),"")</f>
        <v>RD1-B 便携式扩香仪 黑色</v>
      </c>
      <c r="N628" s="95" t="str">
        <f>_xlfn.IFNA(VLOOKUP(G628,'SKU 对应关系'!$A:$D,3,0),"")</f>
        <v>RD1</v>
      </c>
      <c r="O628" s="96">
        <v>6</v>
      </c>
      <c r="P628" s="580">
        <v>83.478260869565219</v>
      </c>
      <c r="Q628" s="96" t="s">
        <v>16</v>
      </c>
      <c r="R628" s="91">
        <v>4</v>
      </c>
      <c r="S628" s="95"/>
      <c r="T628" s="98">
        <v>13.186813186813186</v>
      </c>
      <c r="U628" s="99">
        <f t="shared" si="76"/>
        <v>347.09985666507407</v>
      </c>
      <c r="V628" s="100">
        <f t="shared" si="77"/>
        <v>1.9283325370281892</v>
      </c>
      <c r="W628" s="101">
        <f t="shared" si="78"/>
        <v>0.2878108264221178</v>
      </c>
      <c r="X628" s="95"/>
      <c r="Y628" s="95"/>
      <c r="Z628" s="102"/>
      <c r="AA628" s="103">
        <v>46164</v>
      </c>
      <c r="AB628" s="103">
        <v>46185</v>
      </c>
      <c r="AC628" s="103"/>
      <c r="AD628" s="104">
        <f>IF(ISNA(VLOOKUP(D628,亚马逊入库配置费!B:F,5,0)),0,VLOOKUP(D628,亚马逊入库配置费!B:F,5,0))</f>
        <v>0.36685714285714283</v>
      </c>
      <c r="AE628" s="104">
        <f t="shared" si="75"/>
        <v>66.034285714285716</v>
      </c>
      <c r="AF628" s="103"/>
      <c r="AG628" s="577">
        <f t="shared" si="74"/>
        <v>-46164</v>
      </c>
      <c r="AH628" s="103"/>
      <c r="AI628" s="96"/>
      <c r="AJ628" s="96"/>
      <c r="AK628" s="96"/>
      <c r="AL628" s="92"/>
      <c r="AM628" s="91"/>
      <c r="AN628" s="91"/>
      <c r="AO628" s="96"/>
      <c r="AP628" s="105"/>
      <c r="AQ628" s="105"/>
      <c r="AR628" s="105"/>
      <c r="AS628" s="105"/>
    </row>
    <row r="629" spans="1:45" ht="12" customHeight="1" x14ac:dyDescent="0.25">
      <c r="A629" s="90">
        <f t="shared" si="79"/>
        <v>628</v>
      </c>
      <c r="B629" s="91"/>
      <c r="C629" s="91" t="s">
        <v>4638</v>
      </c>
      <c r="D629" s="92" t="s">
        <v>4639</v>
      </c>
      <c r="E629" s="91" t="s">
        <v>97</v>
      </c>
      <c r="F629" s="91" t="s">
        <v>0</v>
      </c>
      <c r="G629" s="56" t="s">
        <v>355</v>
      </c>
      <c r="H629" s="91">
        <v>200</v>
      </c>
      <c r="I629" s="91" t="s">
        <v>207</v>
      </c>
      <c r="J629" s="91" t="s">
        <v>8</v>
      </c>
      <c r="K629" s="92" t="s">
        <v>13</v>
      </c>
      <c r="L629" s="93" t="str">
        <f>VLOOKUP(G629,'SKU 对应关系'!A:E,4,0)</f>
        <v>AN6NZ-B</v>
      </c>
      <c r="M629" s="94" t="str">
        <f>_xlfn.IFNA(VLOOKUP(G629,'SKU 对应关系'!A:B,2,0),"")</f>
        <v>AN6NZ-B AN6喷嘴配件套装 黑色</v>
      </c>
      <c r="N629" s="95" t="str">
        <f>_xlfn.IFNA(VLOOKUP(G629,'SKU 对应关系'!$A:$D,3,0),"")</f>
        <v>AN6-AC</v>
      </c>
      <c r="O629" s="96">
        <v>1</v>
      </c>
      <c r="P629" s="580">
        <v>13.913043478260869</v>
      </c>
      <c r="Q629" s="96" t="s">
        <v>16</v>
      </c>
      <c r="R629" s="91">
        <v>4</v>
      </c>
      <c r="S629" s="95"/>
      <c r="T629" s="98">
        <v>2.197802197802198</v>
      </c>
      <c r="U629" s="99">
        <f t="shared" si="76"/>
        <v>57.849976110845674</v>
      </c>
      <c r="V629" s="100">
        <f t="shared" si="77"/>
        <v>0.28924988055422834</v>
      </c>
      <c r="W629" s="101">
        <f t="shared" si="78"/>
        <v>4.3171623963317661E-2</v>
      </c>
      <c r="X629" s="95"/>
      <c r="Y629" s="95"/>
      <c r="Z629" s="102"/>
      <c r="AA629" s="103">
        <v>46164</v>
      </c>
      <c r="AB629" s="103">
        <v>46185</v>
      </c>
      <c r="AC629" s="103"/>
      <c r="AD629" s="104">
        <f>IF(ISNA(VLOOKUP(D629,亚马逊入库配置费!B:F,5,0)),0,VLOOKUP(D629,亚马逊入库配置费!B:F,5,0))</f>
        <v>0.36685714285714283</v>
      </c>
      <c r="AE629" s="104">
        <f t="shared" si="75"/>
        <v>73.371428571428567</v>
      </c>
      <c r="AF629" s="103"/>
      <c r="AG629" s="577">
        <f t="shared" si="74"/>
        <v>-46164</v>
      </c>
      <c r="AH629" s="103"/>
      <c r="AI629" s="96"/>
      <c r="AJ629" s="96"/>
      <c r="AK629" s="96"/>
      <c r="AL629" s="92"/>
      <c r="AM629" s="91"/>
      <c r="AN629" s="91"/>
      <c r="AO629" s="96"/>
      <c r="AP629" s="105"/>
      <c r="AQ629" s="105"/>
      <c r="AR629" s="105"/>
      <c r="AS629" s="105"/>
    </row>
    <row r="630" spans="1:45" ht="12" customHeight="1" x14ac:dyDescent="0.25">
      <c r="A630" s="90">
        <f t="shared" si="79"/>
        <v>629</v>
      </c>
      <c r="B630" s="91"/>
      <c r="C630" s="91" t="s">
        <v>4638</v>
      </c>
      <c r="D630" s="92" t="s">
        <v>4639</v>
      </c>
      <c r="E630" s="91" t="s">
        <v>97</v>
      </c>
      <c r="F630" s="91" t="s">
        <v>0</v>
      </c>
      <c r="G630" s="56" t="s">
        <v>1487</v>
      </c>
      <c r="H630" s="91">
        <v>200</v>
      </c>
      <c r="I630" s="91" t="s">
        <v>207</v>
      </c>
      <c r="J630" s="91" t="s">
        <v>8</v>
      </c>
      <c r="K630" s="92" t="s">
        <v>13</v>
      </c>
      <c r="L630" s="93" t="str">
        <f>VLOOKUP(G630,'SKU 对应关系'!A:E,4,0)</f>
        <v>AN8NZ-B</v>
      </c>
      <c r="M630" s="94" t="str">
        <f>_xlfn.IFNA(VLOOKUP(G630,'SKU 对应关系'!A:B,2,0),"")</f>
        <v>AN8NZ-B AN8(Z)喷嘴配件套装 黑色</v>
      </c>
      <c r="N630" s="95" t="str">
        <f>_xlfn.IFNA(VLOOKUP(G630,'SKU 对应关系'!$A:$D,3,0),"")</f>
        <v>AN8-AC</v>
      </c>
      <c r="O630" s="96">
        <v>1</v>
      </c>
      <c r="P630" s="580">
        <v>13.913043478260869</v>
      </c>
      <c r="Q630" s="96" t="s">
        <v>16</v>
      </c>
      <c r="R630" s="91">
        <v>4</v>
      </c>
      <c r="S630" s="95"/>
      <c r="T630" s="98">
        <v>2.197802197802198</v>
      </c>
      <c r="U630" s="99">
        <f t="shared" si="76"/>
        <v>57.849976110845674</v>
      </c>
      <c r="V630" s="100">
        <f t="shared" si="77"/>
        <v>0.28924988055422834</v>
      </c>
      <c r="W630" s="101">
        <f t="shared" si="78"/>
        <v>4.3171623963317661E-2</v>
      </c>
      <c r="X630" s="95"/>
      <c r="Y630" s="95"/>
      <c r="Z630" s="102"/>
      <c r="AA630" s="103">
        <v>46164</v>
      </c>
      <c r="AB630" s="103">
        <v>46185</v>
      </c>
      <c r="AC630" s="103"/>
      <c r="AD630" s="104">
        <f>IF(ISNA(VLOOKUP(D630,亚马逊入库配置费!B:F,5,0)),0,VLOOKUP(D630,亚马逊入库配置费!B:F,5,0))</f>
        <v>0.36685714285714283</v>
      </c>
      <c r="AE630" s="104">
        <f t="shared" si="75"/>
        <v>73.371428571428567</v>
      </c>
      <c r="AF630" s="103"/>
      <c r="AG630" s="577">
        <f t="shared" si="74"/>
        <v>-46164</v>
      </c>
      <c r="AH630" s="103"/>
      <c r="AI630" s="96"/>
      <c r="AJ630" s="96"/>
      <c r="AK630" s="96"/>
      <c r="AL630" s="92"/>
      <c r="AM630" s="91"/>
      <c r="AN630" s="91"/>
      <c r="AO630" s="96"/>
      <c r="AP630" s="105"/>
      <c r="AQ630" s="105"/>
      <c r="AR630" s="105"/>
      <c r="AS630" s="105"/>
    </row>
    <row r="631" spans="1:45" ht="12" customHeight="1" x14ac:dyDescent="0.25">
      <c r="A631" s="90">
        <f t="shared" si="79"/>
        <v>630</v>
      </c>
      <c r="B631" s="91"/>
      <c r="C631" s="91" t="s">
        <v>4633</v>
      </c>
      <c r="D631" s="92" t="s">
        <v>4640</v>
      </c>
      <c r="E631" s="91" t="s">
        <v>97</v>
      </c>
      <c r="F631" s="91" t="s">
        <v>0</v>
      </c>
      <c r="G631" s="56" t="s">
        <v>2888</v>
      </c>
      <c r="H631" s="91">
        <v>390</v>
      </c>
      <c r="I631" s="91" t="s">
        <v>89</v>
      </c>
      <c r="J631" s="91" t="s">
        <v>8</v>
      </c>
      <c r="K631" s="92" t="s">
        <v>9</v>
      </c>
      <c r="L631" s="93" t="str">
        <f>VLOOKUP(G631,'SKU 对应关系'!A:E,4,0)</f>
        <v>ADXKIT-B_4X10K04_TZ</v>
      </c>
      <c r="M631" s="94" t="str">
        <f>_xlfn.IFNA(VLOOKUP(G631,'SKU 对应关系'!A:B,2,0),"")</f>
        <v>ADXKIT-B_4X10K04_TZ ADX黑色机器+4x10mL酒店（天竺）香氛油 机油套装</v>
      </c>
      <c r="N631" s="95" t="str">
        <f>_xlfn.IFNA(VLOOKUP(G631,'SKU 对应关系'!$A:$D,3,0),"")</f>
        <v>ADX</v>
      </c>
      <c r="O631" s="96">
        <v>13</v>
      </c>
      <c r="P631" s="580">
        <v>204.88</v>
      </c>
      <c r="Q631" s="96" t="s">
        <v>16</v>
      </c>
      <c r="R631" s="91">
        <v>4.4000000000000004</v>
      </c>
      <c r="S631" s="95"/>
      <c r="T631" s="98">
        <v>34.666666666666664</v>
      </c>
      <c r="U631" s="99">
        <f t="shared" si="76"/>
        <v>936.13866666666672</v>
      </c>
      <c r="V631" s="100">
        <f t="shared" si="77"/>
        <v>2.4003555555555556</v>
      </c>
      <c r="W631" s="101">
        <f t="shared" si="78"/>
        <v>0.35826202321724709</v>
      </c>
      <c r="X631" s="95"/>
      <c r="Y631" s="95"/>
      <c r="Z631" s="102"/>
      <c r="AA631" s="103">
        <v>46164</v>
      </c>
      <c r="AB631" s="103">
        <v>46186</v>
      </c>
      <c r="AC631" s="103"/>
      <c r="AD631" s="104">
        <f>IF(ISNA(VLOOKUP(D631,亚马逊入库配置费!B:F,5,0)),0,VLOOKUP(D631,亚马逊入库配置费!B:F,5,0))</f>
        <v>0.44</v>
      </c>
      <c r="AE631" s="104">
        <f t="shared" si="75"/>
        <v>171.6</v>
      </c>
      <c r="AF631" s="103"/>
      <c r="AG631" s="577">
        <f t="shared" si="74"/>
        <v>-46164</v>
      </c>
      <c r="AH631" s="103"/>
      <c r="AI631" s="96"/>
      <c r="AJ631" s="96"/>
      <c r="AK631" s="96"/>
      <c r="AL631" s="92"/>
      <c r="AM631" s="91"/>
      <c r="AN631" s="91"/>
      <c r="AO631" s="96"/>
      <c r="AP631" s="105"/>
      <c r="AQ631" s="105"/>
      <c r="AR631" s="105"/>
      <c r="AS631" s="105"/>
    </row>
    <row r="632" spans="1:45" ht="12" customHeight="1" x14ac:dyDescent="0.25">
      <c r="A632" s="90">
        <f t="shared" si="79"/>
        <v>631</v>
      </c>
      <c r="B632" s="91"/>
      <c r="C632" s="91" t="s">
        <v>4633</v>
      </c>
      <c r="D632" s="92" t="s">
        <v>4640</v>
      </c>
      <c r="E632" s="91" t="s">
        <v>97</v>
      </c>
      <c r="F632" s="91" t="s">
        <v>0</v>
      </c>
      <c r="G632" s="56" t="s">
        <v>2887</v>
      </c>
      <c r="H632" s="91">
        <v>150</v>
      </c>
      <c r="I632" s="91" t="s">
        <v>89</v>
      </c>
      <c r="J632" s="91" t="s">
        <v>8</v>
      </c>
      <c r="K632" s="92" t="s">
        <v>9</v>
      </c>
      <c r="L632" s="93" t="str">
        <f>VLOOKUP(G632,'SKU 对应关系'!A:E,4,0)</f>
        <v>ADXKIT-DT_4X10K04_TZ</v>
      </c>
      <c r="M632" s="94" t="str">
        <f>_xlfn.IFNA(VLOOKUP(G632,'SKU 对应关系'!A:B,2,0),"")</f>
        <v>ADXKIT-DT_4X10K04_TZ AD钛色机器+4x10mL酒店（天竺）香氛油 机油套装</v>
      </c>
      <c r="N632" s="95" t="str">
        <f>_xlfn.IFNA(VLOOKUP(G632,'SKU 对应关系'!$A:$D,3,0),"")</f>
        <v>ADX</v>
      </c>
      <c r="O632" s="96">
        <v>5</v>
      </c>
      <c r="P632" s="580">
        <v>78.8</v>
      </c>
      <c r="Q632" s="96" t="s">
        <v>16</v>
      </c>
      <c r="R632" s="91">
        <v>4.4000000000000004</v>
      </c>
      <c r="S632" s="95"/>
      <c r="T632" s="98">
        <v>13.333333333333334</v>
      </c>
      <c r="U632" s="99">
        <f t="shared" si="76"/>
        <v>360.05333333333334</v>
      </c>
      <c r="V632" s="100">
        <f t="shared" si="77"/>
        <v>2.4003555555555556</v>
      </c>
      <c r="W632" s="101">
        <f t="shared" si="78"/>
        <v>0.35826202321724709</v>
      </c>
      <c r="X632" s="95"/>
      <c r="Y632" s="95"/>
      <c r="Z632" s="102"/>
      <c r="AA632" s="103">
        <v>46164</v>
      </c>
      <c r="AB632" s="103">
        <v>46186</v>
      </c>
      <c r="AC632" s="103"/>
      <c r="AD632" s="104">
        <f>IF(ISNA(VLOOKUP(D632,亚马逊入库配置费!B:F,5,0)),0,VLOOKUP(D632,亚马逊入库配置费!B:F,5,0))</f>
        <v>0.44</v>
      </c>
      <c r="AE632" s="104">
        <f t="shared" si="75"/>
        <v>66</v>
      </c>
      <c r="AF632" s="103"/>
      <c r="AG632" s="577">
        <f t="shared" si="74"/>
        <v>-46164</v>
      </c>
      <c r="AH632" s="103"/>
      <c r="AI632" s="96"/>
      <c r="AJ632" s="96"/>
      <c r="AK632" s="96"/>
      <c r="AL632" s="92"/>
      <c r="AM632" s="91"/>
      <c r="AN632" s="91"/>
      <c r="AO632" s="96"/>
      <c r="AP632" s="105"/>
      <c r="AQ632" s="105"/>
      <c r="AR632" s="105"/>
      <c r="AS632" s="105"/>
    </row>
    <row r="633" spans="1:45" ht="12" customHeight="1" x14ac:dyDescent="0.25">
      <c r="A633" s="90">
        <f t="shared" si="79"/>
        <v>632</v>
      </c>
      <c r="B633" s="91"/>
      <c r="C633" s="91" t="s">
        <v>4633</v>
      </c>
      <c r="D633" s="92" t="s">
        <v>4640</v>
      </c>
      <c r="E633" s="91" t="s">
        <v>97</v>
      </c>
      <c r="F633" s="91" t="s">
        <v>0</v>
      </c>
      <c r="G633" s="56" t="s">
        <v>4291</v>
      </c>
      <c r="H633" s="91">
        <v>600</v>
      </c>
      <c r="I633" s="91" t="s">
        <v>89</v>
      </c>
      <c r="J633" s="91" t="s">
        <v>8</v>
      </c>
      <c r="K633" s="92" t="s">
        <v>9</v>
      </c>
      <c r="L633" s="93" t="str">
        <f>VLOOKUP(G633,'SKU 对应关系'!A:E,4,0)</f>
        <v>AN8KIT-B_4X10K05_TZ</v>
      </c>
      <c r="M633" s="94" t="str">
        <f>_xlfn.IFNA(VLOOKUP(G633,'SKU 对应关系'!A:B,2,0),"")</f>
        <v>AN8KIT-B_4X10K05_TZ AN8黑色机器+4x10mL（天竺）酒店香氛油 机油套装</v>
      </c>
      <c r="N633" s="95" t="str">
        <f>_xlfn.IFNA(VLOOKUP(G633,'SKU 对应关系'!$A:$D,3,0),"")</f>
        <v>AN8</v>
      </c>
      <c r="O633" s="96">
        <v>20</v>
      </c>
      <c r="P633" s="580">
        <v>315.2</v>
      </c>
      <c r="Q633" s="96" t="s">
        <v>16</v>
      </c>
      <c r="R633" s="91">
        <v>4.4000000000000004</v>
      </c>
      <c r="S633" s="95"/>
      <c r="T633" s="98">
        <v>53.333333333333336</v>
      </c>
      <c r="U633" s="99">
        <f t="shared" si="76"/>
        <v>1440.2133333333334</v>
      </c>
      <c r="V633" s="100">
        <f t="shared" si="77"/>
        <v>2.4003555555555556</v>
      </c>
      <c r="W633" s="101">
        <f t="shared" si="78"/>
        <v>0.35826202321724709</v>
      </c>
      <c r="X633" s="95"/>
      <c r="Y633" s="95"/>
      <c r="Z633" s="102"/>
      <c r="AA633" s="103">
        <v>46164</v>
      </c>
      <c r="AB633" s="103">
        <v>46186</v>
      </c>
      <c r="AC633" s="103"/>
      <c r="AD633" s="104">
        <f>IF(ISNA(VLOOKUP(D633,亚马逊入库配置费!B:F,5,0)),0,VLOOKUP(D633,亚马逊入库配置费!B:F,5,0))</f>
        <v>0.44</v>
      </c>
      <c r="AE633" s="104">
        <f t="shared" si="75"/>
        <v>264</v>
      </c>
      <c r="AF633" s="103"/>
      <c r="AG633" s="577">
        <f t="shared" si="74"/>
        <v>-46164</v>
      </c>
      <c r="AH633" s="103"/>
      <c r="AI633" s="96"/>
      <c r="AJ633" s="96"/>
      <c r="AK633" s="96"/>
      <c r="AL633" s="92"/>
      <c r="AM633" s="91"/>
      <c r="AN633" s="91"/>
      <c r="AO633" s="96"/>
      <c r="AP633" s="105"/>
      <c r="AQ633" s="105"/>
      <c r="AR633" s="105"/>
      <c r="AS633" s="105"/>
    </row>
    <row r="634" spans="1:45" ht="12" customHeight="1" x14ac:dyDescent="0.25">
      <c r="A634" s="90">
        <f t="shared" si="79"/>
        <v>633</v>
      </c>
      <c r="B634" s="91"/>
      <c r="C634" s="91" t="s">
        <v>4633</v>
      </c>
      <c r="D634" s="92" t="s">
        <v>4641</v>
      </c>
      <c r="E634" s="91" t="s">
        <v>2411</v>
      </c>
      <c r="F634" s="91" t="s">
        <v>0</v>
      </c>
      <c r="G634" s="56" t="s">
        <v>2866</v>
      </c>
      <c r="H634" s="91">
        <v>340</v>
      </c>
      <c r="I634" s="91" t="s">
        <v>89</v>
      </c>
      <c r="J634" s="91" t="s">
        <v>8</v>
      </c>
      <c r="K634" s="92" t="s">
        <v>15</v>
      </c>
      <c r="L634" s="93" t="str">
        <f>VLOOKUP(G634,'SKU 对应关系'!A:E,4,0)</f>
        <v>ANZKIT-B_B</v>
      </c>
      <c r="M634" s="94" t="str">
        <f>_xlfn.IFNA(VLOOKUP(G634,'SKU 对应关系'!A:B,2,0),"")</f>
        <v>ANZKIT-B_B 便携式扩香仪 黑色 两个装</v>
      </c>
      <c r="N634" s="95" t="str">
        <f>_xlfn.IFNA(VLOOKUP(G634,'SKU 对应关系'!$A:$D,3,0),"")</f>
        <v>ANZ</v>
      </c>
      <c r="O634" s="96">
        <v>17</v>
      </c>
      <c r="P634" s="580">
        <v>219</v>
      </c>
      <c r="Q634" s="96" t="s">
        <v>16</v>
      </c>
      <c r="R634" s="91">
        <v>4.4000000000000004</v>
      </c>
      <c r="S634" s="95"/>
      <c r="T634" s="98">
        <v>45.333333333333336</v>
      </c>
      <c r="U634" s="99">
        <f t="shared" si="76"/>
        <v>1008.9333333333334</v>
      </c>
      <c r="V634" s="100">
        <f t="shared" si="77"/>
        <v>2.9674509803921572</v>
      </c>
      <c r="W634" s="101">
        <f t="shared" si="78"/>
        <v>0.44290313140181448</v>
      </c>
      <c r="X634" s="95"/>
      <c r="Y634" s="95"/>
      <c r="Z634" s="102"/>
      <c r="AA634" s="103">
        <v>46164</v>
      </c>
      <c r="AB634" s="103">
        <v>46186</v>
      </c>
      <c r="AC634" s="103"/>
      <c r="AD634" s="104">
        <f>IF(ISNA(VLOOKUP(D634,亚马逊入库配置费!B:F,5,0)),0,VLOOKUP(D634,亚马逊入库配置费!B:F,5,0))</f>
        <v>0.44</v>
      </c>
      <c r="AE634" s="104">
        <f t="shared" si="75"/>
        <v>149.6</v>
      </c>
      <c r="AF634" s="103"/>
      <c r="AG634" s="577">
        <f t="shared" si="74"/>
        <v>-46164</v>
      </c>
      <c r="AH634" s="103"/>
      <c r="AI634" s="96"/>
      <c r="AJ634" s="96"/>
      <c r="AK634" s="96"/>
      <c r="AL634" s="92"/>
      <c r="AM634" s="91"/>
      <c r="AN634" s="91"/>
      <c r="AO634" s="96"/>
      <c r="AP634" s="105"/>
      <c r="AQ634" s="105"/>
      <c r="AR634" s="105"/>
      <c r="AS634" s="105"/>
    </row>
    <row r="635" spans="1:45" ht="12" customHeight="1" x14ac:dyDescent="0.25">
      <c r="A635" s="90">
        <f t="shared" si="79"/>
        <v>634</v>
      </c>
      <c r="B635" s="91"/>
      <c r="C635" s="91" t="s">
        <v>4633</v>
      </c>
      <c r="D635" s="92" t="s">
        <v>4642</v>
      </c>
      <c r="E635" s="91" t="s">
        <v>115</v>
      </c>
      <c r="F635" s="91" t="s">
        <v>0</v>
      </c>
      <c r="G635" s="56" t="s">
        <v>2195</v>
      </c>
      <c r="H635" s="91">
        <v>480</v>
      </c>
      <c r="I635" s="91" t="s">
        <v>89</v>
      </c>
      <c r="J635" s="91" t="s">
        <v>8</v>
      </c>
      <c r="K635" s="92" t="s">
        <v>9</v>
      </c>
      <c r="L635" s="93" t="str">
        <f>VLOOKUP(G635,'SKU 对应关系'!A:E,4,0)</f>
        <v>ANZ-B</v>
      </c>
      <c r="M635" s="94" t="str">
        <f>_xlfn.IFNA(VLOOKUP(G635,'SKU 对应关系'!A:B,2,0),"")</f>
        <v>ANZ-B 便携式扩香仪 黑色</v>
      </c>
      <c r="N635" s="95" t="str">
        <f>_xlfn.IFNA(VLOOKUP(G635,'SKU 对应关系'!$A:$D,3,0),"")</f>
        <v>ANZ</v>
      </c>
      <c r="O635" s="96">
        <v>12</v>
      </c>
      <c r="P635" s="580">
        <v>189.12</v>
      </c>
      <c r="Q635" s="96" t="s">
        <v>16</v>
      </c>
      <c r="R635" s="91">
        <v>4.4000000000000004</v>
      </c>
      <c r="S635" s="95"/>
      <c r="T635" s="98">
        <v>32</v>
      </c>
      <c r="U635" s="99">
        <f t="shared" si="76"/>
        <v>864.12800000000004</v>
      </c>
      <c r="V635" s="100">
        <f t="shared" si="77"/>
        <v>1.8002666666666667</v>
      </c>
      <c r="W635" s="101">
        <f t="shared" si="78"/>
        <v>0.26869651741293532</v>
      </c>
      <c r="X635" s="95"/>
      <c r="Y635" s="95"/>
      <c r="Z635" s="102"/>
      <c r="AA635" s="103">
        <v>46164</v>
      </c>
      <c r="AB635" s="103">
        <v>46186</v>
      </c>
      <c r="AC635" s="103"/>
      <c r="AD635" s="104">
        <f>IF(ISNA(VLOOKUP(D635,亚马逊入库配置费!B:F,5,0)),0,VLOOKUP(D635,亚马逊入库配置费!B:F,5,0))</f>
        <v>0.36000000000000004</v>
      </c>
      <c r="AE635" s="104">
        <f t="shared" si="75"/>
        <v>172.8</v>
      </c>
      <c r="AF635" s="103"/>
      <c r="AG635" s="577">
        <f t="shared" si="74"/>
        <v>-46164</v>
      </c>
      <c r="AH635" s="103"/>
      <c r="AI635" s="96"/>
      <c r="AJ635" s="96"/>
      <c r="AK635" s="96"/>
      <c r="AL635" s="92"/>
      <c r="AM635" s="91"/>
      <c r="AN635" s="91"/>
      <c r="AO635" s="96"/>
      <c r="AP635" s="105"/>
      <c r="AQ635" s="105"/>
      <c r="AR635" s="105"/>
      <c r="AS635" s="105"/>
    </row>
    <row r="636" spans="1:45" ht="12" customHeight="1" x14ac:dyDescent="0.25">
      <c r="A636" s="90">
        <f t="shared" si="79"/>
        <v>635</v>
      </c>
      <c r="B636" s="91"/>
      <c r="C636" s="91" t="s">
        <v>1150</v>
      </c>
      <c r="D636" s="92" t="s">
        <v>4643</v>
      </c>
      <c r="E636" s="91" t="s">
        <v>1037</v>
      </c>
      <c r="F636" s="91" t="s">
        <v>0</v>
      </c>
      <c r="G636" s="56" t="s">
        <v>284</v>
      </c>
      <c r="H636" s="91">
        <v>32</v>
      </c>
      <c r="I636" s="91" t="s">
        <v>1767</v>
      </c>
      <c r="J636" s="91" t="s">
        <v>8</v>
      </c>
      <c r="K636" s="92" t="s">
        <v>13</v>
      </c>
      <c r="L636" s="93" t="str">
        <f>VLOOKUP(G636,'SKU 对应关系'!A:E,4,0)</f>
        <v>MD1-B</v>
      </c>
      <c r="M636" s="94" t="str">
        <f>_xlfn.IFNA(VLOOKUP(G636,'SKU 对应关系'!A:B,2,0),"")</f>
        <v>MD1-B 电子球形把手锁 指纹 黑色</v>
      </c>
      <c r="N636" s="95" t="str">
        <f>_xlfn.IFNA(VLOOKUP(G636,'SKU 对应关系'!$A:$D,3,0),"")</f>
        <v>MD1</v>
      </c>
      <c r="O636" s="96">
        <v>2</v>
      </c>
      <c r="P636" s="580">
        <v>0.12774193548387097</v>
      </c>
      <c r="Q636" s="96" t="s">
        <v>3264</v>
      </c>
      <c r="R636" s="91">
        <v>1080</v>
      </c>
      <c r="S636" s="95">
        <v>180</v>
      </c>
      <c r="T636" s="98">
        <v>11.612903225806452</v>
      </c>
      <c r="U636" s="99">
        <f t="shared" si="76"/>
        <v>149.57419354838711</v>
      </c>
      <c r="V636" s="100">
        <f t="shared" si="77"/>
        <v>4.6741935483870973</v>
      </c>
      <c r="W636" s="101">
        <f t="shared" si="78"/>
        <v>0.69764082811747719</v>
      </c>
      <c r="X636" s="95"/>
      <c r="Y636" s="95"/>
      <c r="Z636" s="102"/>
      <c r="AA636" s="103">
        <v>46164</v>
      </c>
      <c r="AB636" s="103">
        <v>46187</v>
      </c>
      <c r="AC636" s="103"/>
      <c r="AD636" s="104">
        <f>IF(ISNA(VLOOKUP(D636,亚马逊入库配置费!B:F,5,0)),0,VLOOKUP(D636,亚马逊入库配置费!B:F,5,0))</f>
        <v>0.55999999999999994</v>
      </c>
      <c r="AE636" s="104">
        <f t="shared" si="75"/>
        <v>17.919999999999998</v>
      </c>
      <c r="AF636" s="103"/>
      <c r="AG636" s="577">
        <f t="shared" si="74"/>
        <v>-46164</v>
      </c>
      <c r="AH636" s="103"/>
      <c r="AI636" s="96"/>
      <c r="AJ636" s="96"/>
      <c r="AK636" s="96"/>
      <c r="AL636" s="92"/>
      <c r="AM636" s="91"/>
      <c r="AN636" s="91"/>
      <c r="AO636" s="96"/>
      <c r="AP636" s="105"/>
      <c r="AQ636" s="105"/>
      <c r="AR636" s="105"/>
      <c r="AS636" s="105"/>
    </row>
    <row r="637" spans="1:45" ht="12" customHeight="1" x14ac:dyDescent="0.25">
      <c r="A637" s="90">
        <f t="shared" si="79"/>
        <v>636</v>
      </c>
      <c r="B637" s="91"/>
      <c r="C637" s="91" t="s">
        <v>1150</v>
      </c>
      <c r="D637" s="92" t="s">
        <v>4643</v>
      </c>
      <c r="E637" s="91" t="s">
        <v>1037</v>
      </c>
      <c r="F637" s="91" t="s">
        <v>0</v>
      </c>
      <c r="G637" s="56" t="s">
        <v>663</v>
      </c>
      <c r="H637" s="91">
        <v>96</v>
      </c>
      <c r="I637" s="91" t="s">
        <v>1767</v>
      </c>
      <c r="J637" s="91" t="s">
        <v>8</v>
      </c>
      <c r="K637" s="92" t="s">
        <v>13</v>
      </c>
      <c r="L637" s="93" t="str">
        <f>VLOOKUP(G637,'SKU 对应关系'!A:E,4,0)</f>
        <v>MD1-SILV</v>
      </c>
      <c r="M637" s="94" t="str">
        <f>_xlfn.IFNA(VLOOKUP(G637,'SKU 对应关系'!A:B,2,0),"")</f>
        <v>MD1-SILV 电子球形把手锁 指纹 银色</v>
      </c>
      <c r="N637" s="95" t="str">
        <f>_xlfn.IFNA(VLOOKUP(G637,'SKU 对应关系'!$A:$D,3,0),"")</f>
        <v>MD1</v>
      </c>
      <c r="O637" s="96">
        <v>6</v>
      </c>
      <c r="P637" s="580">
        <v>0.38322580645161292</v>
      </c>
      <c r="Q637" s="96" t="s">
        <v>3264</v>
      </c>
      <c r="R637" s="91">
        <v>1080</v>
      </c>
      <c r="S637" s="106">
        <v>180</v>
      </c>
      <c r="T637" s="98">
        <v>34.838709677419352</v>
      </c>
      <c r="U637" s="99">
        <f t="shared" si="76"/>
        <v>448.72258064516126</v>
      </c>
      <c r="V637" s="100">
        <f t="shared" si="77"/>
        <v>4.6741935483870964</v>
      </c>
      <c r="W637" s="101">
        <f t="shared" si="78"/>
        <v>0.69764082811747707</v>
      </c>
      <c r="X637" s="95"/>
      <c r="Y637" s="95"/>
      <c r="Z637" s="102"/>
      <c r="AA637" s="103">
        <v>46164</v>
      </c>
      <c r="AB637" s="103">
        <v>46187</v>
      </c>
      <c r="AC637" s="103"/>
      <c r="AD637" s="104">
        <f>IF(ISNA(VLOOKUP(D637,亚马逊入库配置费!B:F,5,0)),0,VLOOKUP(D637,亚马逊入库配置费!B:F,5,0))</f>
        <v>0.55999999999999994</v>
      </c>
      <c r="AE637" s="104">
        <f t="shared" si="75"/>
        <v>53.759999999999991</v>
      </c>
      <c r="AF637" s="103"/>
      <c r="AG637" s="577">
        <f t="shared" si="74"/>
        <v>-46164</v>
      </c>
      <c r="AH637" s="103"/>
      <c r="AI637" s="96"/>
      <c r="AJ637" s="96"/>
      <c r="AK637" s="96"/>
      <c r="AL637" s="92"/>
      <c r="AM637" s="91"/>
      <c r="AN637" s="91"/>
      <c r="AO637" s="96"/>
      <c r="AP637" s="105"/>
      <c r="AQ637" s="105"/>
      <c r="AR637" s="105"/>
      <c r="AS637" s="105"/>
    </row>
    <row r="638" spans="1:45" ht="12" customHeight="1" x14ac:dyDescent="0.25">
      <c r="A638" s="90">
        <f t="shared" si="79"/>
        <v>637</v>
      </c>
      <c r="B638" s="91"/>
      <c r="C638" s="91" t="s">
        <v>1150</v>
      </c>
      <c r="D638" s="92" t="s">
        <v>4643</v>
      </c>
      <c r="E638" s="91" t="s">
        <v>1037</v>
      </c>
      <c r="F638" s="91" t="s">
        <v>0</v>
      </c>
      <c r="G638" s="56" t="s">
        <v>556</v>
      </c>
      <c r="H638" s="91">
        <v>144</v>
      </c>
      <c r="I638" s="91" t="s">
        <v>1767</v>
      </c>
      <c r="J638" s="91" t="s">
        <v>8</v>
      </c>
      <c r="K638" s="92" t="s">
        <v>13</v>
      </c>
      <c r="L638" s="93" t="str">
        <f>VLOOKUP(G638,'SKU 对应关系'!A:E,4,0)</f>
        <v>MD1-T</v>
      </c>
      <c r="M638" s="94" t="str">
        <f>_xlfn.IFNA(VLOOKUP(G638,'SKU 对应关系'!A:B,2,0),"")</f>
        <v>MD1-T 电子球形把手锁 指纹 钛灰色</v>
      </c>
      <c r="N638" s="95" t="str">
        <f>_xlfn.IFNA(VLOOKUP(G638,'SKU 对应关系'!$A:$D,3,0),"")</f>
        <v>MD1</v>
      </c>
      <c r="O638" s="96">
        <v>9</v>
      </c>
      <c r="P638" s="580">
        <v>0.57483870967741935</v>
      </c>
      <c r="Q638" s="96" t="s">
        <v>3264</v>
      </c>
      <c r="R638" s="91">
        <v>1080</v>
      </c>
      <c r="S638" s="95"/>
      <c r="T638" s="98">
        <v>52.258064516129032</v>
      </c>
      <c r="U638" s="99">
        <f t="shared" si="76"/>
        <v>673.08387096774197</v>
      </c>
      <c r="V638" s="100">
        <f t="shared" si="77"/>
        <v>4.6741935483870973</v>
      </c>
      <c r="W638" s="101">
        <f t="shared" si="78"/>
        <v>0.69764082811747719</v>
      </c>
      <c r="X638" s="95"/>
      <c r="Y638" s="95"/>
      <c r="Z638" s="102"/>
      <c r="AA638" s="103">
        <v>46164</v>
      </c>
      <c r="AB638" s="103">
        <v>46187</v>
      </c>
      <c r="AC638" s="103"/>
      <c r="AD638" s="104">
        <f>IF(ISNA(VLOOKUP(D638,亚马逊入库配置费!B:F,5,0)),0,VLOOKUP(D638,亚马逊入库配置费!B:F,5,0))</f>
        <v>0.55999999999999994</v>
      </c>
      <c r="AE638" s="104">
        <f t="shared" si="75"/>
        <v>80.639999999999986</v>
      </c>
      <c r="AF638" s="103"/>
      <c r="AG638" s="577">
        <f t="shared" si="74"/>
        <v>-46164</v>
      </c>
      <c r="AH638" s="103"/>
      <c r="AI638" s="96"/>
      <c r="AJ638" s="96"/>
      <c r="AK638" s="96"/>
      <c r="AL638" s="92"/>
      <c r="AM638" s="91"/>
      <c r="AN638" s="91"/>
      <c r="AO638" s="96"/>
      <c r="AP638" s="105"/>
      <c r="AQ638" s="105"/>
      <c r="AR638" s="105"/>
      <c r="AS638" s="105"/>
    </row>
    <row r="639" spans="1:45" ht="12" customHeight="1" x14ac:dyDescent="0.25">
      <c r="A639" s="90">
        <f t="shared" si="79"/>
        <v>638</v>
      </c>
      <c r="B639" s="91"/>
      <c r="C639" s="91" t="s">
        <v>1150</v>
      </c>
      <c r="D639" s="92" t="s">
        <v>4643</v>
      </c>
      <c r="E639" s="91" t="s">
        <v>1037</v>
      </c>
      <c r="F639" s="91" t="s">
        <v>0</v>
      </c>
      <c r="G639" s="56" t="s">
        <v>779</v>
      </c>
      <c r="H639" s="91">
        <v>80</v>
      </c>
      <c r="I639" s="91" t="s">
        <v>1767</v>
      </c>
      <c r="J639" s="91" t="s">
        <v>8</v>
      </c>
      <c r="K639" s="92" t="s">
        <v>13</v>
      </c>
      <c r="L639" s="93" t="str">
        <f>VLOOKUP(G639,'SKU 对应关系'!A:E,4,0)</f>
        <v>MK1-B</v>
      </c>
      <c r="M639" s="94" t="str">
        <f>_xlfn.IFNA(VLOOKUP(G639,'SKU 对应关系'!A:B,2,0),"")</f>
        <v>MK1-B 智能球形把手锁 黑色</v>
      </c>
      <c r="N639" s="95" t="str">
        <f>_xlfn.IFNA(VLOOKUP(G639,'SKU 对应关系'!$A:$D,3,0),"")</f>
        <v>MK1</v>
      </c>
      <c r="O639" s="96">
        <v>5</v>
      </c>
      <c r="P639" s="580">
        <v>0.3193548387096774</v>
      </c>
      <c r="Q639" s="96" t="s">
        <v>3264</v>
      </c>
      <c r="R639" s="91">
        <v>1080</v>
      </c>
      <c r="S639" s="95"/>
      <c r="T639" s="98">
        <v>29.032258064516128</v>
      </c>
      <c r="U639" s="99">
        <f t="shared" si="76"/>
        <v>373.93548387096769</v>
      </c>
      <c r="V639" s="100">
        <f t="shared" si="77"/>
        <v>4.6741935483870964</v>
      </c>
      <c r="W639" s="101">
        <f t="shared" si="78"/>
        <v>0.69764082811747707</v>
      </c>
      <c r="X639" s="95"/>
      <c r="Y639" s="95"/>
      <c r="Z639" s="102"/>
      <c r="AA639" s="103">
        <v>46164</v>
      </c>
      <c r="AB639" s="103">
        <v>46187</v>
      </c>
      <c r="AC639" s="103"/>
      <c r="AD639" s="104">
        <f>IF(ISNA(VLOOKUP(D639,亚马逊入库配置费!B:F,5,0)),0,VLOOKUP(D639,亚马逊入库配置费!B:F,5,0))</f>
        <v>0.55999999999999994</v>
      </c>
      <c r="AE639" s="104">
        <f t="shared" si="75"/>
        <v>44.8</v>
      </c>
      <c r="AF639" s="103"/>
      <c r="AG639" s="577">
        <f t="shared" si="74"/>
        <v>-46164</v>
      </c>
      <c r="AH639" s="103"/>
      <c r="AI639" s="96"/>
      <c r="AJ639" s="96"/>
      <c r="AK639" s="96"/>
      <c r="AL639" s="92"/>
      <c r="AM639" s="91"/>
      <c r="AN639" s="91"/>
      <c r="AO639" s="96"/>
      <c r="AP639" s="105"/>
      <c r="AQ639" s="105"/>
      <c r="AR639" s="105"/>
      <c r="AS639" s="105"/>
    </row>
    <row r="640" spans="1:45" ht="12" customHeight="1" x14ac:dyDescent="0.25">
      <c r="A640" s="90">
        <f t="shared" si="79"/>
        <v>639</v>
      </c>
      <c r="B640" s="91"/>
      <c r="C640" s="91" t="s">
        <v>1150</v>
      </c>
      <c r="D640" s="92" t="s">
        <v>4643</v>
      </c>
      <c r="E640" s="91" t="s">
        <v>1037</v>
      </c>
      <c r="F640" s="91" t="s">
        <v>0</v>
      </c>
      <c r="G640" s="56" t="s">
        <v>549</v>
      </c>
      <c r="H640" s="91">
        <v>48</v>
      </c>
      <c r="I640" s="91" t="s">
        <v>1767</v>
      </c>
      <c r="J640" s="91" t="s">
        <v>8</v>
      </c>
      <c r="K640" s="92" t="s">
        <v>13</v>
      </c>
      <c r="L640" s="93" t="str">
        <f>VLOOKUP(G640,'SKU 对应关系'!A:E,4,0)</f>
        <v>MK1-SILV</v>
      </c>
      <c r="M640" s="94" t="str">
        <f>_xlfn.IFNA(VLOOKUP(G640,'SKU 对应关系'!A:B,2,0),"")</f>
        <v>MK1-SILV 智能球形把手锁 银色</v>
      </c>
      <c r="N640" s="95" t="str">
        <f>_xlfn.IFNA(VLOOKUP(G640,'SKU 对应关系'!$A:$D,3,0),"")</f>
        <v>MK1</v>
      </c>
      <c r="O640" s="96">
        <v>3</v>
      </c>
      <c r="P640" s="580">
        <v>0.19161290322580646</v>
      </c>
      <c r="Q640" s="96" t="s">
        <v>3264</v>
      </c>
      <c r="R640" s="91">
        <v>1080</v>
      </c>
      <c r="S640" s="95"/>
      <c r="T640" s="98">
        <v>17.419354838709676</v>
      </c>
      <c r="U640" s="99">
        <f t="shared" si="76"/>
        <v>224.36129032258063</v>
      </c>
      <c r="V640" s="100">
        <f t="shared" si="77"/>
        <v>4.6741935483870964</v>
      </c>
      <c r="W640" s="101">
        <f t="shared" si="78"/>
        <v>0.69764082811747707</v>
      </c>
      <c r="X640" s="95"/>
      <c r="Y640" s="95"/>
      <c r="Z640" s="102"/>
      <c r="AA640" s="103">
        <v>46164</v>
      </c>
      <c r="AB640" s="103">
        <v>46187</v>
      </c>
      <c r="AC640" s="103"/>
      <c r="AD640" s="104">
        <f>IF(ISNA(VLOOKUP(D640,亚马逊入库配置费!B:F,5,0)),0,VLOOKUP(D640,亚马逊入库配置费!B:F,5,0))</f>
        <v>0.55999999999999994</v>
      </c>
      <c r="AE640" s="104">
        <f t="shared" si="75"/>
        <v>26.879999999999995</v>
      </c>
      <c r="AF640" s="103"/>
      <c r="AG640" s="577">
        <f t="shared" si="74"/>
        <v>-46164</v>
      </c>
      <c r="AH640" s="103"/>
      <c r="AI640" s="96"/>
      <c r="AJ640" s="96"/>
      <c r="AK640" s="96"/>
      <c r="AL640" s="92"/>
      <c r="AM640" s="91"/>
      <c r="AN640" s="91"/>
      <c r="AO640" s="96"/>
      <c r="AP640" s="105"/>
      <c r="AQ640" s="105"/>
      <c r="AR640" s="105"/>
      <c r="AS640" s="105"/>
    </row>
    <row r="641" spans="1:45" ht="12" customHeight="1" x14ac:dyDescent="0.25">
      <c r="A641" s="90">
        <f t="shared" si="79"/>
        <v>640</v>
      </c>
      <c r="B641" s="91"/>
      <c r="C641" s="91" t="s">
        <v>1150</v>
      </c>
      <c r="D641" s="92" t="s">
        <v>4643</v>
      </c>
      <c r="E641" s="91" t="s">
        <v>1037</v>
      </c>
      <c r="F641" s="91" t="s">
        <v>0</v>
      </c>
      <c r="G641" s="56" t="s">
        <v>551</v>
      </c>
      <c r="H641" s="91">
        <v>96</v>
      </c>
      <c r="I641" s="91" t="s">
        <v>1767</v>
      </c>
      <c r="J641" s="91" t="s">
        <v>8</v>
      </c>
      <c r="K641" s="92" t="s">
        <v>13</v>
      </c>
      <c r="L641" s="93" t="str">
        <f>VLOOKUP(G641,'SKU 对应关系'!A:E,4,0)</f>
        <v>MK1-T</v>
      </c>
      <c r="M641" s="94" t="str">
        <f>_xlfn.IFNA(VLOOKUP(G641,'SKU 对应关系'!A:B,2,0),"")</f>
        <v>MK1-T 智能球形把手锁 钛色</v>
      </c>
      <c r="N641" s="95" t="str">
        <f>_xlfn.IFNA(VLOOKUP(G641,'SKU 对应关系'!$A:$D,3,0),"")</f>
        <v>MK1</v>
      </c>
      <c r="O641" s="96">
        <v>6</v>
      </c>
      <c r="P641" s="580">
        <v>0.38322580645161292</v>
      </c>
      <c r="Q641" s="96" t="s">
        <v>3264</v>
      </c>
      <c r="R641" s="91">
        <v>1080</v>
      </c>
      <c r="S641" s="95"/>
      <c r="T641" s="98">
        <v>34.838709677419352</v>
      </c>
      <c r="U641" s="99">
        <f t="shared" si="76"/>
        <v>448.72258064516126</v>
      </c>
      <c r="V641" s="100">
        <f t="shared" si="77"/>
        <v>4.6741935483870964</v>
      </c>
      <c r="W641" s="101">
        <f t="shared" si="78"/>
        <v>0.69764082811747707</v>
      </c>
      <c r="X641" s="95"/>
      <c r="Y641" s="95"/>
      <c r="Z641" s="102"/>
      <c r="AA641" s="103">
        <v>46164</v>
      </c>
      <c r="AB641" s="103">
        <v>46187</v>
      </c>
      <c r="AC641" s="103"/>
      <c r="AD641" s="104">
        <f>IF(ISNA(VLOOKUP(D641,亚马逊入库配置费!B:F,5,0)),0,VLOOKUP(D641,亚马逊入库配置费!B:F,5,0))</f>
        <v>0.55999999999999994</v>
      </c>
      <c r="AE641" s="104">
        <f t="shared" si="75"/>
        <v>53.759999999999991</v>
      </c>
      <c r="AF641" s="103"/>
      <c r="AG641" s="577">
        <f t="shared" si="74"/>
        <v>-46164</v>
      </c>
      <c r="AH641" s="103"/>
      <c r="AI641" s="96"/>
      <c r="AJ641" s="96"/>
      <c r="AK641" s="96"/>
      <c r="AL641" s="92"/>
      <c r="AM641" s="91"/>
      <c r="AN641" s="91"/>
      <c r="AO641" s="96"/>
      <c r="AP641" s="105"/>
      <c r="AQ641" s="105"/>
      <c r="AR641" s="105"/>
      <c r="AS641" s="105"/>
    </row>
    <row r="642" spans="1:45" ht="12" customHeight="1" x14ac:dyDescent="0.25">
      <c r="A642" s="90">
        <f t="shared" si="79"/>
        <v>641</v>
      </c>
      <c r="B642" s="91"/>
      <c r="C642" s="91" t="s">
        <v>1180</v>
      </c>
      <c r="D642" s="92" t="s">
        <v>4644</v>
      </c>
      <c r="E642" s="91" t="s">
        <v>4202</v>
      </c>
      <c r="F642" s="91" t="s">
        <v>0</v>
      </c>
      <c r="G642" s="56" t="s">
        <v>2913</v>
      </c>
      <c r="H642" s="91">
        <v>480</v>
      </c>
      <c r="I642" s="91" t="s">
        <v>1767</v>
      </c>
      <c r="J642" s="91" t="s">
        <v>8</v>
      </c>
      <c r="K642" s="92" t="s">
        <v>10</v>
      </c>
      <c r="L642" s="93" t="str">
        <f>VLOOKUP(G642,'SKU 对应关系'!A:E,4,0)</f>
        <v>GK1-B</v>
      </c>
      <c r="M642" s="94" t="str">
        <f>_xlfn.IFNA(VLOOKUP(G642,'SKU 对应关系'!A:B,2,0),"")</f>
        <v>GK1-B 智能球形把手锁 黑色</v>
      </c>
      <c r="N642" s="95" t="str">
        <f>_xlfn.IFNA(VLOOKUP(G642,'SKU 对应关系'!$A:$D,3,0),"")</f>
        <v>GK1</v>
      </c>
      <c r="O642" s="96">
        <v>30</v>
      </c>
      <c r="P642" s="580">
        <v>1.33</v>
      </c>
      <c r="Q642" s="96" t="s">
        <v>3264</v>
      </c>
      <c r="R642" s="91">
        <v>1060</v>
      </c>
      <c r="S642" s="95">
        <v>180</v>
      </c>
      <c r="T642" s="98">
        <v>180</v>
      </c>
      <c r="U642" s="99">
        <f t="shared" si="76"/>
        <v>1589.8000000000002</v>
      </c>
      <c r="V642" s="100">
        <f t="shared" si="77"/>
        <v>3.3120833333333337</v>
      </c>
      <c r="W642" s="101">
        <f t="shared" si="78"/>
        <v>0.49434079601990055</v>
      </c>
      <c r="X642" s="95"/>
      <c r="Y642" s="95"/>
      <c r="Z642" s="102"/>
      <c r="AA642" s="103">
        <v>46164</v>
      </c>
      <c r="AB642" s="103">
        <v>46186</v>
      </c>
      <c r="AC642" s="103"/>
      <c r="AD642" s="104">
        <f>IF(ISNA(VLOOKUP(D642,亚马逊入库配置费!B:F,5,0)),0,VLOOKUP(D642,亚马逊入库配置费!B:F,5,0))</f>
        <v>0.56000000000000005</v>
      </c>
      <c r="AE642" s="104">
        <f t="shared" si="75"/>
        <v>268.8</v>
      </c>
      <c r="AF642" s="103"/>
      <c r="AG642" s="577">
        <f t="shared" ref="AG642:AG705" si="80">AF642-AA642</f>
        <v>-46164</v>
      </c>
      <c r="AH642" s="103"/>
      <c r="AI642" s="96"/>
      <c r="AJ642" s="96"/>
      <c r="AK642" s="96"/>
      <c r="AL642" s="92"/>
      <c r="AM642" s="91"/>
      <c r="AN642" s="91"/>
      <c r="AO642" s="96"/>
      <c r="AP642" s="105"/>
      <c r="AQ642" s="105"/>
      <c r="AR642" s="105"/>
      <c r="AS642" s="105"/>
    </row>
    <row r="643" spans="1:45" ht="12" customHeight="1" x14ac:dyDescent="0.25">
      <c r="A643" s="90">
        <f t="shared" si="79"/>
        <v>642</v>
      </c>
      <c r="B643" s="91"/>
      <c r="C643" s="91" t="s">
        <v>1158</v>
      </c>
      <c r="D643" s="92" t="s">
        <v>4645</v>
      </c>
      <c r="E643" s="91" t="s">
        <v>1164</v>
      </c>
      <c r="F643" s="91" t="s">
        <v>1165</v>
      </c>
      <c r="G643" s="56" t="s">
        <v>4457</v>
      </c>
      <c r="H643" s="91">
        <v>72</v>
      </c>
      <c r="I643" s="91" t="s">
        <v>4576</v>
      </c>
      <c r="J643" s="91" t="s">
        <v>2064</v>
      </c>
      <c r="K643" s="92" t="s">
        <v>4186</v>
      </c>
      <c r="L643" s="93" t="str">
        <f>VLOOKUP(G643,'SKU 对应关系'!A:E,4,0)</f>
        <v>ANAKIT-B_EU_2X100K03</v>
      </c>
      <c r="M643" s="94" t="str">
        <f>_xlfn.IFNA(VLOOKUP(G643,'SKU 对应关系'!A:B,2,0),"")</f>
        <v>ANAKIT-B_EU_2X100K03 ANA欧规黑色机器+2X100mL酒店香氛油（天竺） 机油套装</v>
      </c>
      <c r="N643" s="95" t="str">
        <f>_xlfn.IFNA(VLOOKUP(G643,'SKU 对应关系'!$A:$D,3,0),"")</f>
        <v>ANA</v>
      </c>
      <c r="O643" s="96">
        <v>6</v>
      </c>
      <c r="P643" s="580">
        <v>103.33333333333333</v>
      </c>
      <c r="Q643" s="96" t="s">
        <v>16</v>
      </c>
      <c r="R643" s="91">
        <v>8</v>
      </c>
      <c r="S643" s="95">
        <v>200</v>
      </c>
      <c r="T643" s="98">
        <v>14.634146341463415</v>
      </c>
      <c r="U643" s="99">
        <f t="shared" si="76"/>
        <v>841.30081300813004</v>
      </c>
      <c r="V643" s="100">
        <f t="shared" si="77"/>
        <v>11.684733514001806</v>
      </c>
      <c r="W643" s="101">
        <f t="shared" si="78"/>
        <v>1.7439900767166874</v>
      </c>
      <c r="X643" s="95"/>
      <c r="Y643" s="95"/>
      <c r="Z643" s="102"/>
      <c r="AA643" s="103">
        <v>46163</v>
      </c>
      <c r="AB643" s="103">
        <v>46207</v>
      </c>
      <c r="AC643" s="103"/>
      <c r="AD643" s="104">
        <f>IF(ISNA(VLOOKUP(D643,亚马逊入库配置费!B:F,5,0)),0,VLOOKUP(D643,亚马逊入库配置费!B:F,5,0))</f>
        <v>0</v>
      </c>
      <c r="AE643" s="104">
        <f t="shared" si="75"/>
        <v>0</v>
      </c>
      <c r="AF643" s="103"/>
      <c r="AG643" s="577">
        <f t="shared" si="80"/>
        <v>-46163</v>
      </c>
      <c r="AH643" s="103"/>
      <c r="AI643" s="96"/>
      <c r="AJ643" s="96"/>
      <c r="AK643" s="96"/>
      <c r="AL643" s="92"/>
      <c r="AM643" s="91"/>
      <c r="AN643" s="91"/>
      <c r="AO643" s="96"/>
      <c r="AP643" s="105"/>
      <c r="AQ643" s="105"/>
      <c r="AR643" s="105"/>
      <c r="AS643" s="105"/>
    </row>
    <row r="644" spans="1:45" ht="12" customHeight="1" x14ac:dyDescent="0.25">
      <c r="A644" s="90">
        <f t="shared" si="79"/>
        <v>643</v>
      </c>
      <c r="B644" s="91"/>
      <c r="C644" s="91" t="s">
        <v>1158</v>
      </c>
      <c r="D644" s="92" t="s">
        <v>4645</v>
      </c>
      <c r="E644" s="91" t="s">
        <v>1164</v>
      </c>
      <c r="F644" s="91" t="s">
        <v>1165</v>
      </c>
      <c r="G644" s="56" t="s">
        <v>4458</v>
      </c>
      <c r="H644" s="91">
        <v>144</v>
      </c>
      <c r="I644" s="91" t="s">
        <v>4576</v>
      </c>
      <c r="J644" s="91" t="s">
        <v>2064</v>
      </c>
      <c r="K644" s="92" t="s">
        <v>4186</v>
      </c>
      <c r="L644" s="93" t="str">
        <f>VLOOKUP(G644,'SKU 对应关系'!A:E,4,0)</f>
        <v>ANAKIT-WH_EU_2X100K03</v>
      </c>
      <c r="M644" s="94" t="str">
        <f>_xlfn.IFNA(VLOOKUP(G644,'SKU 对应关系'!A:B,2,0),"")</f>
        <v>ANAKIT-WH_EU_2X100K03 ANA欧规白色机器+2X100mL酒店香氛油（天竺） 机油套装</v>
      </c>
      <c r="N644" s="95" t="str">
        <f>_xlfn.IFNA(VLOOKUP(G644,'SKU 对应关系'!$A:$D,3,0),"")</f>
        <v>ANA</v>
      </c>
      <c r="O644" s="96">
        <v>12</v>
      </c>
      <c r="P644" s="580">
        <v>206.66666666666666</v>
      </c>
      <c r="Q644" s="96" t="s">
        <v>16</v>
      </c>
      <c r="R644" s="91">
        <v>8</v>
      </c>
      <c r="S644" s="106">
        <v>200</v>
      </c>
      <c r="T644" s="98">
        <v>29.26829268292683</v>
      </c>
      <c r="U644" s="99">
        <f t="shared" si="76"/>
        <v>1682.6016260162601</v>
      </c>
      <c r="V644" s="100">
        <f t="shared" si="77"/>
        <v>11.684733514001806</v>
      </c>
      <c r="W644" s="101">
        <f t="shared" si="78"/>
        <v>1.7439900767166874</v>
      </c>
      <c r="X644" s="95"/>
      <c r="Y644" s="95"/>
      <c r="Z644" s="102"/>
      <c r="AA644" s="103">
        <v>46163</v>
      </c>
      <c r="AB644" s="103">
        <v>46207</v>
      </c>
      <c r="AC644" s="103"/>
      <c r="AD644" s="104">
        <f>IF(ISNA(VLOOKUP(D644,亚马逊入库配置费!B:F,5,0)),0,VLOOKUP(D644,亚马逊入库配置费!B:F,5,0))</f>
        <v>0</v>
      </c>
      <c r="AE644" s="104">
        <f t="shared" si="75"/>
        <v>0</v>
      </c>
      <c r="AF644" s="103"/>
      <c r="AG644" s="577">
        <f t="shared" si="80"/>
        <v>-46163</v>
      </c>
      <c r="AH644" s="103"/>
      <c r="AI644" s="96"/>
      <c r="AJ644" s="96"/>
      <c r="AK644" s="96"/>
      <c r="AL644" s="92"/>
      <c r="AM644" s="91"/>
      <c r="AN644" s="91"/>
      <c r="AO644" s="96"/>
      <c r="AP644" s="105"/>
      <c r="AQ644" s="105"/>
      <c r="AR644" s="105"/>
      <c r="AS644" s="105"/>
    </row>
    <row r="645" spans="1:45" ht="12" customHeight="1" x14ac:dyDescent="0.25">
      <c r="A645" s="90">
        <f t="shared" si="79"/>
        <v>644</v>
      </c>
      <c r="B645" s="91"/>
      <c r="C645" s="91" t="s">
        <v>4638</v>
      </c>
      <c r="D645" s="92" t="s">
        <v>4646</v>
      </c>
      <c r="E645" s="91" t="s">
        <v>97</v>
      </c>
      <c r="F645" s="91" t="s">
        <v>0</v>
      </c>
      <c r="G645" s="56" t="s">
        <v>93</v>
      </c>
      <c r="H645" s="91">
        <v>396</v>
      </c>
      <c r="I645" s="91" t="s">
        <v>207</v>
      </c>
      <c r="J645" s="91" t="s">
        <v>8</v>
      </c>
      <c r="K645" s="92" t="s">
        <v>13</v>
      </c>
      <c r="L645" s="93" t="str">
        <f>VLOOKUP(G645,'SKU 对应关系'!A:E,4,0)</f>
        <v>ANW-W</v>
      </c>
      <c r="M645" s="94" t="str">
        <f>_xlfn.IFNA(VLOOKUP(G645,'SKU 对应关系'!A:B,2,0),"")</f>
        <v>ANW-W 智能扩香仪 白色</v>
      </c>
      <c r="N645" s="95" t="str">
        <f>_xlfn.IFNA(VLOOKUP(G645,'SKU 对应关系'!$A:$D,3,0),"")</f>
        <v>ANW</v>
      </c>
      <c r="O645" s="96">
        <v>33</v>
      </c>
      <c r="P645" s="580">
        <v>498.66771428571428</v>
      </c>
      <c r="Q645" s="96" t="s">
        <v>16</v>
      </c>
      <c r="R645" s="91">
        <v>5.2</v>
      </c>
      <c r="S645" s="95">
        <v>200</v>
      </c>
      <c r="T645" s="98">
        <v>72.527472527472526</v>
      </c>
      <c r="U645" s="99">
        <f t="shared" si="76"/>
        <v>2665.5995868131868</v>
      </c>
      <c r="V645" s="100">
        <f t="shared" si="77"/>
        <v>6.7313120879120873</v>
      </c>
      <c r="W645" s="101">
        <f t="shared" si="78"/>
        <v>1.0046734459570279</v>
      </c>
      <c r="X645" s="95"/>
      <c r="Y645" s="95"/>
      <c r="Z645" s="102"/>
      <c r="AA645" s="103">
        <v>46163</v>
      </c>
      <c r="AB645" s="103">
        <v>46185</v>
      </c>
      <c r="AC645" s="103"/>
      <c r="AD645" s="104">
        <f>IF(ISNA(VLOOKUP(D645,亚马逊入库配置费!B:F,5,0)),0,VLOOKUP(D645,亚马逊入库配置费!B:F,5,0))</f>
        <v>0.4975</v>
      </c>
      <c r="AE645" s="104">
        <f t="shared" si="75"/>
        <v>197.01</v>
      </c>
      <c r="AF645" s="103"/>
      <c r="AG645" s="577">
        <f t="shared" si="80"/>
        <v>-46163</v>
      </c>
      <c r="AH645" s="103"/>
      <c r="AI645" s="96"/>
      <c r="AJ645" s="96"/>
      <c r="AK645" s="96"/>
      <c r="AL645" s="92"/>
      <c r="AM645" s="91"/>
      <c r="AN645" s="91"/>
      <c r="AO645" s="96"/>
      <c r="AP645" s="105"/>
      <c r="AQ645" s="105"/>
      <c r="AR645" s="105"/>
      <c r="AS645" s="105"/>
    </row>
    <row r="646" spans="1:45" ht="12" customHeight="1" x14ac:dyDescent="0.25">
      <c r="A646" s="90">
        <f t="shared" si="79"/>
        <v>645</v>
      </c>
      <c r="B646" s="91"/>
      <c r="C646" s="91" t="s">
        <v>4638</v>
      </c>
      <c r="D646" s="92" t="s">
        <v>4646</v>
      </c>
      <c r="E646" s="91" t="s">
        <v>97</v>
      </c>
      <c r="F646" s="91" t="s">
        <v>0</v>
      </c>
      <c r="G646" s="56" t="s">
        <v>1984</v>
      </c>
      <c r="H646" s="91">
        <v>90</v>
      </c>
      <c r="I646" s="91" t="s">
        <v>207</v>
      </c>
      <c r="J646" s="91" t="s">
        <v>8</v>
      </c>
      <c r="K646" s="92" t="s">
        <v>13</v>
      </c>
      <c r="L646" s="93" t="str">
        <f>VLOOKUP(G646,'SKU 对应关系'!A:E,4,0)</f>
        <v>ANANZ-B</v>
      </c>
      <c r="M646" s="94" t="str">
        <f>_xlfn.IFNA(VLOOKUP(G646,'SKU 对应关系'!A:B,2,0),"")</f>
        <v>ANANZ-B ANA替换瓶+黑喷头</v>
      </c>
      <c r="N646" s="95" t="str">
        <f>_xlfn.IFNA(VLOOKUP(G646,'SKU 对应关系'!$A:$D,3,0),"")</f>
        <v>ANA-AC</v>
      </c>
      <c r="O646" s="96">
        <v>1</v>
      </c>
      <c r="P646" s="580">
        <v>15.111142857142857</v>
      </c>
      <c r="Q646" s="96" t="s">
        <v>16</v>
      </c>
      <c r="R646" s="91">
        <v>5.2</v>
      </c>
      <c r="S646" s="106">
        <v>200</v>
      </c>
      <c r="T646" s="98">
        <v>2.197802197802198</v>
      </c>
      <c r="U646" s="99">
        <f t="shared" si="76"/>
        <v>80.775745054945062</v>
      </c>
      <c r="V646" s="100">
        <f t="shared" si="77"/>
        <v>0.89750827838827851</v>
      </c>
      <c r="W646" s="101">
        <f t="shared" si="78"/>
        <v>0.13395645946093709</v>
      </c>
      <c r="X646" s="95"/>
      <c r="Y646" s="95"/>
      <c r="Z646" s="102"/>
      <c r="AA646" s="103">
        <v>46163</v>
      </c>
      <c r="AB646" s="103">
        <v>46185</v>
      </c>
      <c r="AC646" s="103"/>
      <c r="AD646" s="104">
        <f>IF(ISNA(VLOOKUP(D646,亚马逊入库配置费!B:F,5,0)),0,VLOOKUP(D646,亚马逊入库配置费!B:F,5,0))</f>
        <v>0.4975</v>
      </c>
      <c r="AE646" s="104">
        <f t="shared" si="75"/>
        <v>44.774999999999999</v>
      </c>
      <c r="AF646" s="103"/>
      <c r="AG646" s="577">
        <f t="shared" si="80"/>
        <v>-46163</v>
      </c>
      <c r="AH646" s="103"/>
      <c r="AI646" s="96"/>
      <c r="AJ646" s="96"/>
      <c r="AK646" s="96"/>
      <c r="AL646" s="92"/>
      <c r="AM646" s="91"/>
      <c r="AN646" s="91"/>
      <c r="AO646" s="96"/>
      <c r="AP646" s="105"/>
      <c r="AQ646" s="105"/>
      <c r="AR646" s="105"/>
      <c r="AS646" s="105"/>
    </row>
    <row r="647" spans="1:45" ht="12" customHeight="1" x14ac:dyDescent="0.25">
      <c r="A647" s="90">
        <f t="shared" si="79"/>
        <v>646</v>
      </c>
      <c r="B647" s="91"/>
      <c r="C647" s="91" t="s">
        <v>4638</v>
      </c>
      <c r="D647" s="92" t="s">
        <v>4646</v>
      </c>
      <c r="E647" s="91" t="s">
        <v>97</v>
      </c>
      <c r="F647" s="91" t="s">
        <v>0</v>
      </c>
      <c r="G647" s="56" t="s">
        <v>1986</v>
      </c>
      <c r="H647" s="91">
        <v>90</v>
      </c>
      <c r="I647" s="91" t="s">
        <v>207</v>
      </c>
      <c r="J647" s="91" t="s">
        <v>8</v>
      </c>
      <c r="K647" s="92" t="s">
        <v>13</v>
      </c>
      <c r="L647" s="93" t="str">
        <f>VLOOKUP(G647,'SKU 对应关系'!A:E,4,0)</f>
        <v>ANANZ-WH</v>
      </c>
      <c r="M647" s="94" t="str">
        <f>_xlfn.IFNA(VLOOKUP(G647,'SKU 对应关系'!A:B,2,0),"")</f>
        <v>ANANZ-WH ANA替换瓶+白喷头</v>
      </c>
      <c r="N647" s="95" t="str">
        <f>_xlfn.IFNA(VLOOKUP(G647,'SKU 对应关系'!$A:$D,3,0),"")</f>
        <v>ANA-AC</v>
      </c>
      <c r="O647" s="96">
        <v>1</v>
      </c>
      <c r="P647" s="580">
        <v>15.111142857142857</v>
      </c>
      <c r="Q647" s="96" t="s">
        <v>16</v>
      </c>
      <c r="R647" s="91">
        <v>5.2</v>
      </c>
      <c r="S647" s="95"/>
      <c r="T647" s="98">
        <v>2.197802197802198</v>
      </c>
      <c r="U647" s="99">
        <f t="shared" si="76"/>
        <v>80.775745054945062</v>
      </c>
      <c r="V647" s="100">
        <f t="shared" si="77"/>
        <v>0.89750827838827851</v>
      </c>
      <c r="W647" s="101">
        <f t="shared" si="78"/>
        <v>0.13395645946093709</v>
      </c>
      <c r="X647" s="95"/>
      <c r="Y647" s="95"/>
      <c r="Z647" s="102"/>
      <c r="AA647" s="103">
        <v>46163</v>
      </c>
      <c r="AB647" s="103">
        <v>46185</v>
      </c>
      <c r="AC647" s="103"/>
      <c r="AD647" s="104">
        <f>IF(ISNA(VLOOKUP(D647,亚马逊入库配置费!B:F,5,0)),0,VLOOKUP(D647,亚马逊入库配置费!B:F,5,0))</f>
        <v>0.4975</v>
      </c>
      <c r="AE647" s="104">
        <f t="shared" si="75"/>
        <v>44.774999999999999</v>
      </c>
      <c r="AF647" s="103"/>
      <c r="AG647" s="577">
        <f t="shared" si="80"/>
        <v>-46163</v>
      </c>
      <c r="AH647" s="103"/>
      <c r="AI647" s="96"/>
      <c r="AJ647" s="96"/>
      <c r="AK647" s="96"/>
      <c r="AL647" s="92"/>
      <c r="AM647" s="91"/>
      <c r="AN647" s="91"/>
      <c r="AO647" s="96"/>
      <c r="AP647" s="105"/>
      <c r="AQ647" s="105"/>
      <c r="AR647" s="105"/>
      <c r="AS647" s="105"/>
    </row>
    <row r="648" spans="1:45" ht="12" customHeight="1" x14ac:dyDescent="0.25">
      <c r="A648" s="90">
        <f t="shared" si="79"/>
        <v>647</v>
      </c>
      <c r="B648" s="91"/>
      <c r="C648" s="91" t="s">
        <v>4638</v>
      </c>
      <c r="D648" s="92" t="s">
        <v>4647</v>
      </c>
      <c r="E648" s="91" t="s">
        <v>97</v>
      </c>
      <c r="F648" s="91" t="s">
        <v>0</v>
      </c>
      <c r="G648" s="56" t="s">
        <v>2179</v>
      </c>
      <c r="H648" s="91">
        <v>120</v>
      </c>
      <c r="I648" s="91" t="s">
        <v>207</v>
      </c>
      <c r="J648" s="91" t="s">
        <v>8</v>
      </c>
      <c r="K648" s="92" t="s">
        <v>13</v>
      </c>
      <c r="L648" s="93" t="str">
        <f>VLOOKUP(G648,'SKU 对应关系'!A:E,4,0)</f>
        <v>ANWKIT-WH_US_2X100K03</v>
      </c>
      <c r="M648" s="94" t="str">
        <f>_xlfn.IFNA(VLOOKUP(G648,'SKU 对应关系'!A:B,2,0),"")</f>
        <v>ANWKIT-WH_US_2X100K03 ANW白色机器+2X100mL酒店香氛油（天竺） 机油套装</v>
      </c>
      <c r="N648" s="95" t="str">
        <f>_xlfn.IFNA(VLOOKUP(G648,'SKU 对应关系'!$A:$D,3,0),"")</f>
        <v>ANW</v>
      </c>
      <c r="O648" s="96">
        <v>10</v>
      </c>
      <c r="P648" s="580">
        <v>151.11000000000001</v>
      </c>
      <c r="Q648" s="96" t="s">
        <v>16</v>
      </c>
      <c r="R648" s="91">
        <v>5.2</v>
      </c>
      <c r="S648" s="95"/>
      <c r="T648" s="98">
        <v>21.978021978021978</v>
      </c>
      <c r="U648" s="99">
        <f t="shared" si="76"/>
        <v>807.750021978022</v>
      </c>
      <c r="V648" s="100">
        <f t="shared" si="77"/>
        <v>6.7312501831501832</v>
      </c>
      <c r="W648" s="101">
        <f t="shared" si="78"/>
        <v>1.0046642064403257</v>
      </c>
      <c r="X648" s="95"/>
      <c r="Y648" s="95"/>
      <c r="Z648" s="102"/>
      <c r="AA648" s="103">
        <v>46163</v>
      </c>
      <c r="AB648" s="103">
        <v>46185</v>
      </c>
      <c r="AC648" s="103"/>
      <c r="AD648" s="104">
        <f>IF(ISNA(VLOOKUP(D648,亚马逊入库配置费!B:F,5,0)),0,VLOOKUP(D648,亚马逊入库配置费!B:F,5,0))</f>
        <v>0.7</v>
      </c>
      <c r="AE648" s="104">
        <f t="shared" si="75"/>
        <v>84</v>
      </c>
      <c r="AF648" s="103"/>
      <c r="AG648" s="577">
        <f t="shared" si="80"/>
        <v>-46163</v>
      </c>
      <c r="AH648" s="103"/>
      <c r="AI648" s="96"/>
      <c r="AJ648" s="96"/>
      <c r="AK648" s="96"/>
      <c r="AL648" s="92"/>
      <c r="AM648" s="91"/>
      <c r="AN648" s="91"/>
      <c r="AO648" s="96"/>
      <c r="AP648" s="105"/>
      <c r="AQ648" s="105"/>
      <c r="AR648" s="105"/>
      <c r="AS648" s="105"/>
    </row>
    <row r="649" spans="1:45" ht="12" customHeight="1" x14ac:dyDescent="0.25">
      <c r="A649" s="90">
        <f t="shared" si="79"/>
        <v>648</v>
      </c>
      <c r="B649" s="91"/>
      <c r="C649" s="91" t="s">
        <v>4635</v>
      </c>
      <c r="D649" s="92" t="s">
        <v>4648</v>
      </c>
      <c r="E649" s="91" t="s">
        <v>4202</v>
      </c>
      <c r="F649" s="91" t="s">
        <v>0</v>
      </c>
      <c r="G649" s="56" t="s">
        <v>2986</v>
      </c>
      <c r="H649" s="91">
        <v>320</v>
      </c>
      <c r="I649" s="91" t="s">
        <v>207</v>
      </c>
      <c r="J649" s="91" t="s">
        <v>8</v>
      </c>
      <c r="K649" s="92" t="s">
        <v>15</v>
      </c>
      <c r="L649" s="93" t="str">
        <f>VLOOKUP(G649,'SKU 对应关系'!A:E,4,0)</f>
        <v>ANPKIT-WH_US_3X20K01_TZ</v>
      </c>
      <c r="M649" s="94" t="str">
        <f>_xlfn.IFNA(VLOOKUP(G649,'SKU 对应关系'!A:B,2,0),"")</f>
        <v>ANPKIT-WH_US_3X20K01_TZ ANP白色机器+3X20mL酒店香氛油（天竺） 机油套装</v>
      </c>
      <c r="N649" s="95" t="str">
        <f>_xlfn.IFNA(VLOOKUP(G649,'SKU 对应关系'!$A:$D,3,0),"")</f>
        <v>ANP</v>
      </c>
      <c r="O649" s="96">
        <v>10</v>
      </c>
      <c r="P649" s="580">
        <v>208</v>
      </c>
      <c r="Q649" s="96" t="s">
        <v>16</v>
      </c>
      <c r="R649" s="91">
        <v>4.7</v>
      </c>
      <c r="S649" s="95">
        <v>200</v>
      </c>
      <c r="T649" s="98">
        <v>100</v>
      </c>
      <c r="U649" s="99">
        <f t="shared" si="76"/>
        <v>1077.5999999999999</v>
      </c>
      <c r="V649" s="100">
        <f t="shared" si="77"/>
        <v>3.3674999999999997</v>
      </c>
      <c r="W649" s="101">
        <f t="shared" si="78"/>
        <v>0.50261194029850742</v>
      </c>
      <c r="X649" s="95"/>
      <c r="Y649" s="95"/>
      <c r="Z649" s="102"/>
      <c r="AA649" s="103">
        <v>46163</v>
      </c>
      <c r="AB649" s="103">
        <v>46185</v>
      </c>
      <c r="AC649" s="103"/>
      <c r="AD649" s="104">
        <f>IF(ISNA(VLOOKUP(D649,亚马逊入库配置费!B:F,5,0)),0,VLOOKUP(D649,亚马逊入库配置费!B:F,5,0))</f>
        <v>0.44000000000000006</v>
      </c>
      <c r="AE649" s="104">
        <f t="shared" si="75"/>
        <v>140.80000000000001</v>
      </c>
      <c r="AF649" s="103"/>
      <c r="AG649" s="577">
        <f t="shared" si="80"/>
        <v>-46163</v>
      </c>
      <c r="AH649" s="103"/>
      <c r="AI649" s="96"/>
      <c r="AJ649" s="96"/>
      <c r="AK649" s="96"/>
      <c r="AL649" s="92"/>
      <c r="AM649" s="91"/>
      <c r="AN649" s="91"/>
      <c r="AO649" s="96"/>
      <c r="AP649" s="105"/>
      <c r="AQ649" s="105"/>
      <c r="AR649" s="105"/>
      <c r="AS649" s="105"/>
    </row>
    <row r="650" spans="1:45" ht="12" customHeight="1" x14ac:dyDescent="0.25">
      <c r="A650" s="90">
        <f t="shared" si="79"/>
        <v>649</v>
      </c>
      <c r="B650" s="91"/>
      <c r="C650" s="91" t="s">
        <v>1137</v>
      </c>
      <c r="D650" s="92" t="s">
        <v>4649</v>
      </c>
      <c r="E650" s="91" t="s">
        <v>115</v>
      </c>
      <c r="F650" s="91" t="s">
        <v>0</v>
      </c>
      <c r="G650" s="56" t="s">
        <v>2203</v>
      </c>
      <c r="H650" s="91">
        <v>90</v>
      </c>
      <c r="I650" s="91" t="s">
        <v>306</v>
      </c>
      <c r="J650" s="91" t="s">
        <v>8</v>
      </c>
      <c r="K650" s="92" t="s">
        <v>13</v>
      </c>
      <c r="L650" s="93" t="str">
        <f>VLOOKUP(G650,'SKU 对应关系'!A:E,4,0)</f>
        <v>BLG1-100ML</v>
      </c>
      <c r="M650" s="94" t="str">
        <f>_xlfn.IFNA(VLOOKUP(G650,'SKU 对应关系'!A:B,2,0),"")</f>
        <v>BLG1-100ML 百乐宫酒店香氛油100mL</v>
      </c>
      <c r="N650" s="95" t="str">
        <f>_xlfn.IFNA(VLOOKUP(G650,'SKU 对应关系'!$A:$D,3,0),"")</f>
        <v>Oil-HQ</v>
      </c>
      <c r="O650" s="96">
        <v>1</v>
      </c>
      <c r="P650" s="580">
        <v>20.2</v>
      </c>
      <c r="Q650" s="96" t="s">
        <v>16</v>
      </c>
      <c r="R650" s="91">
        <v>5.9</v>
      </c>
      <c r="S650" s="95">
        <v>200</v>
      </c>
      <c r="T650" s="98">
        <v>20</v>
      </c>
      <c r="U650" s="99">
        <f t="shared" si="76"/>
        <v>139.18</v>
      </c>
      <c r="V650" s="100">
        <f t="shared" si="77"/>
        <v>1.5464444444444445</v>
      </c>
      <c r="W650" s="101">
        <f t="shared" si="78"/>
        <v>0.23081260364842454</v>
      </c>
      <c r="X650" s="95"/>
      <c r="Y650" s="95"/>
      <c r="Z650" s="102"/>
      <c r="AA650" s="103">
        <v>46164</v>
      </c>
      <c r="AB650" s="103">
        <v>46186</v>
      </c>
      <c r="AC650" s="103"/>
      <c r="AD650" s="104">
        <f>IF(ISNA(VLOOKUP(D650,亚马逊入库配置费!B:F,5,0)),0,VLOOKUP(D650,亚马逊入库配置费!B:F,5,0))</f>
        <v>0.36</v>
      </c>
      <c r="AE650" s="104">
        <f t="shared" si="75"/>
        <v>32.4</v>
      </c>
      <c r="AF650" s="103"/>
      <c r="AG650" s="577">
        <f t="shared" si="80"/>
        <v>-46164</v>
      </c>
      <c r="AH650" s="103"/>
      <c r="AI650" s="96"/>
      <c r="AJ650" s="96"/>
      <c r="AK650" s="96"/>
      <c r="AL650" s="92"/>
      <c r="AM650" s="91"/>
      <c r="AN650" s="91"/>
      <c r="AO650" s="96"/>
      <c r="AP650" s="105"/>
      <c r="AQ650" s="105"/>
      <c r="AR650" s="105"/>
      <c r="AS650" s="105"/>
    </row>
    <row r="651" spans="1:45" ht="12" customHeight="1" x14ac:dyDescent="0.25">
      <c r="A651" s="90">
        <f t="shared" si="79"/>
        <v>650</v>
      </c>
      <c r="B651" s="91"/>
      <c r="C651" s="91" t="s">
        <v>1137</v>
      </c>
      <c r="D651" s="92" t="s">
        <v>4649</v>
      </c>
      <c r="E651" s="91" t="s">
        <v>115</v>
      </c>
      <c r="F651" s="91" t="s">
        <v>0</v>
      </c>
      <c r="G651" s="56" t="s">
        <v>2981</v>
      </c>
      <c r="H651" s="91">
        <v>304</v>
      </c>
      <c r="I651" s="91" t="s">
        <v>306</v>
      </c>
      <c r="J651" s="91" t="s">
        <v>8</v>
      </c>
      <c r="K651" s="92" t="s">
        <v>13</v>
      </c>
      <c r="L651" s="93" t="str">
        <f>VLOOKUP(G651,'SKU 对应关系'!A:E,4,0)</f>
        <v>HOTEL6KIT1-6X10K01</v>
      </c>
      <c r="M651" s="94" t="str">
        <f>_xlfn.IFNA(VLOOKUP(G651,'SKU 对应关系'!A:B,2,0),"")</f>
        <v>HOTEL6KIT1-6X10K01 酒店香氛油6款10mL套装</v>
      </c>
      <c r="N651" s="95" t="str">
        <f>_xlfn.IFNA(VLOOKUP(G651,'SKU 对应关系'!$A:$D,3,0),"")</f>
        <v>Oil-HQ</v>
      </c>
      <c r="O651" s="96">
        <v>4</v>
      </c>
      <c r="P651" s="580">
        <v>80.8</v>
      </c>
      <c r="Q651" s="96" t="s">
        <v>16</v>
      </c>
      <c r="R651" s="91">
        <v>5.9</v>
      </c>
      <c r="S651" s="106">
        <v>200</v>
      </c>
      <c r="T651" s="98">
        <v>80</v>
      </c>
      <c r="U651" s="99">
        <f t="shared" si="76"/>
        <v>556.72</v>
      </c>
      <c r="V651" s="100">
        <f t="shared" si="77"/>
        <v>1.8313157894736842</v>
      </c>
      <c r="W651" s="101">
        <f t="shared" si="78"/>
        <v>0.27333071484681853</v>
      </c>
      <c r="X651" s="95"/>
      <c r="Y651" s="95"/>
      <c r="Z651" s="102"/>
      <c r="AA651" s="103">
        <v>46164</v>
      </c>
      <c r="AB651" s="103">
        <v>46186</v>
      </c>
      <c r="AC651" s="103"/>
      <c r="AD651" s="104">
        <f>IF(ISNA(VLOOKUP(D651,亚马逊入库配置费!B:F,5,0)),0,VLOOKUP(D651,亚马逊入库配置费!B:F,5,0))</f>
        <v>0.36</v>
      </c>
      <c r="AE651" s="104">
        <f t="shared" si="75"/>
        <v>109.44</v>
      </c>
      <c r="AF651" s="103"/>
      <c r="AG651" s="577">
        <f t="shared" si="80"/>
        <v>-46164</v>
      </c>
      <c r="AH651" s="103"/>
      <c r="AI651" s="96"/>
      <c r="AJ651" s="96"/>
      <c r="AK651" s="96"/>
      <c r="AL651" s="92"/>
      <c r="AM651" s="91"/>
      <c r="AN651" s="91"/>
      <c r="AO651" s="96"/>
      <c r="AP651" s="105"/>
      <c r="AQ651" s="105"/>
      <c r="AR651" s="105"/>
      <c r="AS651" s="105"/>
    </row>
    <row r="652" spans="1:45" ht="12" customHeight="1" x14ac:dyDescent="0.25">
      <c r="A652" s="90">
        <f t="shared" si="79"/>
        <v>651</v>
      </c>
      <c r="B652" s="91"/>
      <c r="C652" s="91" t="s">
        <v>1137</v>
      </c>
      <c r="D652" s="92" t="s">
        <v>4649</v>
      </c>
      <c r="E652" s="91" t="s">
        <v>115</v>
      </c>
      <c r="F652" s="91" t="s">
        <v>0</v>
      </c>
      <c r="G652" s="56" t="s">
        <v>1054</v>
      </c>
      <c r="H652" s="91">
        <v>180</v>
      </c>
      <c r="I652" s="91" t="s">
        <v>306</v>
      </c>
      <c r="J652" s="91" t="s">
        <v>8</v>
      </c>
      <c r="K652" s="92" t="s">
        <v>13</v>
      </c>
      <c r="L652" s="93" t="str">
        <f>VLOOKUP(G652,'SKU 对应关系'!A:E,4,0)</f>
        <v>A-JY-100</v>
      </c>
      <c r="M652" s="94" t="str">
        <f>_xlfn.IFNA(VLOOKUP(G652,'SKU 对应关系'!A:B,2,0),"")</f>
        <v>A-Grand Hyatt Hotel-100 君悦酒店香氛油100mL</v>
      </c>
      <c r="N652" s="95" t="str">
        <f>_xlfn.IFNA(VLOOKUP(G652,'SKU 对应关系'!$A:$D,3,0),"")</f>
        <v>Oil-HQ</v>
      </c>
      <c r="O652" s="96">
        <v>2</v>
      </c>
      <c r="P652" s="580">
        <v>40.4</v>
      </c>
      <c r="Q652" s="96" t="s">
        <v>16</v>
      </c>
      <c r="R652" s="91">
        <v>5.9</v>
      </c>
      <c r="S652" s="95"/>
      <c r="T652" s="98">
        <v>40</v>
      </c>
      <c r="U652" s="99">
        <f t="shared" si="76"/>
        <v>278.36</v>
      </c>
      <c r="V652" s="100">
        <f t="shared" si="77"/>
        <v>1.5464444444444445</v>
      </c>
      <c r="W652" s="101">
        <f t="shared" si="78"/>
        <v>0.23081260364842454</v>
      </c>
      <c r="X652" s="95"/>
      <c r="Y652" s="95"/>
      <c r="Z652" s="102"/>
      <c r="AA652" s="103">
        <v>46164</v>
      </c>
      <c r="AB652" s="103">
        <v>46186</v>
      </c>
      <c r="AC652" s="103"/>
      <c r="AD652" s="104">
        <f>IF(ISNA(VLOOKUP(D652,亚马逊入库配置费!B:F,5,0)),0,VLOOKUP(D652,亚马逊入库配置费!B:F,5,0))</f>
        <v>0.36</v>
      </c>
      <c r="AE652" s="104">
        <f t="shared" si="75"/>
        <v>64.8</v>
      </c>
      <c r="AF652" s="103"/>
      <c r="AG652" s="577">
        <f t="shared" si="80"/>
        <v>-46164</v>
      </c>
      <c r="AH652" s="103"/>
      <c r="AI652" s="96"/>
      <c r="AJ652" s="96"/>
      <c r="AK652" s="96"/>
      <c r="AL652" s="92"/>
      <c r="AM652" s="91"/>
      <c r="AN652" s="91"/>
      <c r="AO652" s="96"/>
      <c r="AP652" s="105"/>
      <c r="AQ652" s="105"/>
      <c r="AR652" s="105"/>
      <c r="AS652" s="105"/>
    </row>
    <row r="653" spans="1:45" ht="12" customHeight="1" x14ac:dyDescent="0.25">
      <c r="A653" s="90">
        <f t="shared" si="79"/>
        <v>652</v>
      </c>
      <c r="B653" s="91"/>
      <c r="C653" s="91" t="s">
        <v>1137</v>
      </c>
      <c r="D653" s="92" t="s">
        <v>4649</v>
      </c>
      <c r="E653" s="91" t="s">
        <v>115</v>
      </c>
      <c r="F653" s="91" t="s">
        <v>0</v>
      </c>
      <c r="G653" s="56" t="s">
        <v>316</v>
      </c>
      <c r="H653" s="91">
        <v>70</v>
      </c>
      <c r="I653" s="91" t="s">
        <v>306</v>
      </c>
      <c r="J653" s="91" t="s">
        <v>8</v>
      </c>
      <c r="K653" s="92" t="s">
        <v>13</v>
      </c>
      <c r="L653" s="93" t="str">
        <f>VLOOKUP(G653,'SKU 对应关系'!A:E,4,0)</f>
        <v>A-RZ3-100</v>
      </c>
      <c r="M653" s="94" t="str">
        <f>_xlfn.IFNA(VLOOKUP(G653,'SKU 对应关系'!A:B,2,0),"")</f>
        <v>A-Ritz Carlton Hotel 3-100 丽思卡尔顿酒店3香氛油100mL</v>
      </c>
      <c r="N653" s="95" t="str">
        <f>_xlfn.IFNA(VLOOKUP(G653,'SKU 对应关系'!$A:$D,3,0),"")</f>
        <v>Oil-HQ</v>
      </c>
      <c r="O653" s="96">
        <v>1</v>
      </c>
      <c r="P653" s="580">
        <v>20.2</v>
      </c>
      <c r="Q653" s="96" t="s">
        <v>16</v>
      </c>
      <c r="R653" s="91">
        <v>5.9</v>
      </c>
      <c r="S653" s="95"/>
      <c r="T653" s="98">
        <v>20</v>
      </c>
      <c r="U653" s="99">
        <f t="shared" si="76"/>
        <v>139.18</v>
      </c>
      <c r="V653" s="100">
        <f t="shared" si="77"/>
        <v>1.9882857142857144</v>
      </c>
      <c r="W653" s="101">
        <f t="shared" si="78"/>
        <v>0.29675906183368872</v>
      </c>
      <c r="X653" s="95"/>
      <c r="Y653" s="95"/>
      <c r="Z653" s="102"/>
      <c r="AA653" s="103">
        <v>46164</v>
      </c>
      <c r="AB653" s="103">
        <v>46186</v>
      </c>
      <c r="AC653" s="103"/>
      <c r="AD653" s="104">
        <f>IF(ISNA(VLOOKUP(D653,亚马逊入库配置费!B:F,5,0)),0,VLOOKUP(D653,亚马逊入库配置费!B:F,5,0))</f>
        <v>0.36</v>
      </c>
      <c r="AE653" s="104">
        <f t="shared" si="75"/>
        <v>25.2</v>
      </c>
      <c r="AF653" s="103"/>
      <c r="AG653" s="577">
        <f t="shared" si="80"/>
        <v>-46164</v>
      </c>
      <c r="AH653" s="103"/>
      <c r="AI653" s="96"/>
      <c r="AJ653" s="96"/>
      <c r="AK653" s="96"/>
      <c r="AL653" s="92"/>
      <c r="AM653" s="91"/>
      <c r="AN653" s="91"/>
      <c r="AO653" s="96"/>
      <c r="AP653" s="105"/>
      <c r="AQ653" s="105"/>
      <c r="AR653" s="105"/>
      <c r="AS653" s="105"/>
    </row>
    <row r="654" spans="1:45" ht="12" customHeight="1" x14ac:dyDescent="0.25">
      <c r="A654" s="90">
        <f t="shared" si="79"/>
        <v>653</v>
      </c>
      <c r="B654" s="91"/>
      <c r="C654" s="91" t="s">
        <v>1137</v>
      </c>
      <c r="D654" s="92" t="s">
        <v>4649</v>
      </c>
      <c r="E654" s="91" t="s">
        <v>115</v>
      </c>
      <c r="F654" s="91" t="s">
        <v>0</v>
      </c>
      <c r="G654" s="56" t="s">
        <v>1057</v>
      </c>
      <c r="H654" s="91">
        <v>180</v>
      </c>
      <c r="I654" s="91" t="s">
        <v>306</v>
      </c>
      <c r="J654" s="91" t="s">
        <v>8</v>
      </c>
      <c r="K654" s="92" t="s">
        <v>13</v>
      </c>
      <c r="L654" s="93" t="str">
        <f>VLOOKUP(G654,'SKU 对应关系'!A:E,4,0)</f>
        <v>A-MWAY-100</v>
      </c>
      <c r="M654" s="94" t="str">
        <f>_xlfn.IFNA(VLOOKUP(G654,'SKU 对应关系'!A:B,2,0),"")</f>
        <v>A-MWAY Deluxe-100 特定香型香氛油100mL</v>
      </c>
      <c r="N654" s="95" t="str">
        <f>_xlfn.IFNA(VLOOKUP(G654,'SKU 对应关系'!$A:$D,3,0),"")</f>
        <v>Oil-HQ</v>
      </c>
      <c r="O654" s="96">
        <v>2</v>
      </c>
      <c r="P654" s="580">
        <v>40.4</v>
      </c>
      <c r="Q654" s="96" t="s">
        <v>16</v>
      </c>
      <c r="R654" s="91">
        <v>5.9</v>
      </c>
      <c r="S654" s="95"/>
      <c r="T654" s="98">
        <v>40</v>
      </c>
      <c r="U654" s="99">
        <f t="shared" si="76"/>
        <v>278.36</v>
      </c>
      <c r="V654" s="100">
        <f t="shared" si="77"/>
        <v>1.5464444444444445</v>
      </c>
      <c r="W654" s="101">
        <f t="shared" si="78"/>
        <v>0.23081260364842454</v>
      </c>
      <c r="X654" s="95"/>
      <c r="Y654" s="95"/>
      <c r="Z654" s="102"/>
      <c r="AA654" s="103">
        <v>46164</v>
      </c>
      <c r="AB654" s="103">
        <v>46186</v>
      </c>
      <c r="AC654" s="103"/>
      <c r="AD654" s="104">
        <f>IF(ISNA(VLOOKUP(D654,亚马逊入库配置费!B:F,5,0)),0,VLOOKUP(D654,亚马逊入库配置费!B:F,5,0))</f>
        <v>0.36</v>
      </c>
      <c r="AE654" s="104">
        <f t="shared" si="75"/>
        <v>64.8</v>
      </c>
      <c r="AF654" s="103"/>
      <c r="AG654" s="577">
        <f t="shared" si="80"/>
        <v>-46164</v>
      </c>
      <c r="AH654" s="103"/>
      <c r="AI654" s="96"/>
      <c r="AJ654" s="96"/>
      <c r="AK654" s="96"/>
      <c r="AL654" s="92"/>
      <c r="AM654" s="91"/>
      <c r="AN654" s="91"/>
      <c r="AO654" s="96"/>
      <c r="AP654" s="105"/>
      <c r="AQ654" s="105"/>
      <c r="AR654" s="105"/>
      <c r="AS654" s="105"/>
    </row>
    <row r="655" spans="1:45" ht="12" customHeight="1" x14ac:dyDescent="0.25">
      <c r="A655" s="90">
        <f t="shared" si="79"/>
        <v>654</v>
      </c>
      <c r="B655" s="91"/>
      <c r="C655" s="91" t="s">
        <v>1158</v>
      </c>
      <c r="D655" s="92" t="s">
        <v>4650</v>
      </c>
      <c r="E655" s="91" t="s">
        <v>1164</v>
      </c>
      <c r="F655" s="91" t="s">
        <v>1165</v>
      </c>
      <c r="G655" s="56" t="s">
        <v>4651</v>
      </c>
      <c r="H655" s="91">
        <v>180</v>
      </c>
      <c r="I655" s="91" t="s">
        <v>4576</v>
      </c>
      <c r="J655" s="91" t="s">
        <v>2064</v>
      </c>
      <c r="K655" s="92" t="s">
        <v>4186</v>
      </c>
      <c r="L655" s="93" t="str">
        <f>VLOOKUP(G655,'SKU 对应关系'!A:E,4,0)</f>
        <v>AP2EU-H14</v>
      </c>
      <c r="M655" s="94" t="str">
        <f>_xlfn.IFNA(VLOOKUP(G655,'SKU 对应关系'!A:B,2,0),"")</f>
        <v>AP2EU-H14 内置H14滤网桌面式空气净化器2-欧规</v>
      </c>
      <c r="N655" s="95" t="str">
        <f>_xlfn.IFNA(VLOOKUP(G655,'SKU 对应关系'!$A:$D,3,0),"")</f>
        <v>AP2</v>
      </c>
      <c r="O655" s="96">
        <v>45</v>
      </c>
      <c r="P655" s="580">
        <v>1095.3191489361702</v>
      </c>
      <c r="Q655" s="96" t="s">
        <v>16</v>
      </c>
      <c r="R655" s="91">
        <v>6.8</v>
      </c>
      <c r="S655" s="95">
        <v>200</v>
      </c>
      <c r="T655" s="98">
        <v>109.7560975609756</v>
      </c>
      <c r="U655" s="99">
        <f t="shared" si="76"/>
        <v>7557.9263103269332</v>
      </c>
      <c r="V655" s="100">
        <f t="shared" si="77"/>
        <v>41.988479501816293</v>
      </c>
      <c r="W655" s="101">
        <f t="shared" si="78"/>
        <v>6.2669372390770581</v>
      </c>
      <c r="X655" s="95"/>
      <c r="Y655" s="95"/>
      <c r="Z655" s="102"/>
      <c r="AA655" s="103">
        <v>46164</v>
      </c>
      <c r="AB655" s="103">
        <v>46207</v>
      </c>
      <c r="AC655" s="103"/>
      <c r="AD655" s="104">
        <f>IF(ISNA(VLOOKUP(D655,亚马逊入库配置费!B:F,5,0)),0,VLOOKUP(D655,亚马逊入库配置费!B:F,5,0))</f>
        <v>0</v>
      </c>
      <c r="AE655" s="104">
        <f t="shared" si="75"/>
        <v>0</v>
      </c>
      <c r="AF655" s="103"/>
      <c r="AG655" s="577">
        <f t="shared" si="80"/>
        <v>-46164</v>
      </c>
      <c r="AH655" s="103"/>
      <c r="AI655" s="96"/>
      <c r="AJ655" s="96"/>
      <c r="AK655" s="96"/>
      <c r="AL655" s="92"/>
      <c r="AM655" s="91"/>
      <c r="AN655" s="91"/>
      <c r="AO655" s="96"/>
      <c r="AP655" s="105"/>
      <c r="AQ655" s="105"/>
      <c r="AR655" s="105"/>
      <c r="AS655" s="105"/>
    </row>
    <row r="656" spans="1:45" ht="12" customHeight="1" x14ac:dyDescent="0.25">
      <c r="A656" s="90">
        <f t="shared" si="79"/>
        <v>655</v>
      </c>
      <c r="B656" s="91"/>
      <c r="C656" s="91" t="s">
        <v>1158</v>
      </c>
      <c r="D656" s="92" t="s">
        <v>4650</v>
      </c>
      <c r="E656" s="91" t="s">
        <v>1164</v>
      </c>
      <c r="F656" s="91" t="s">
        <v>1165</v>
      </c>
      <c r="G656" s="56" t="s">
        <v>614</v>
      </c>
      <c r="H656" s="91">
        <v>72</v>
      </c>
      <c r="I656" s="91" t="s">
        <v>4576</v>
      </c>
      <c r="J656" s="91" t="s">
        <v>2064</v>
      </c>
      <c r="K656" s="92" t="s">
        <v>4186</v>
      </c>
      <c r="L656" s="93" t="str">
        <f>VLOOKUP(G656,'SKU 对应关系'!A:E,4,0)</f>
        <v>AP2F-H14</v>
      </c>
      <c r="M656" s="94" t="str">
        <f>_xlfn.IFNA(VLOOKUP(G656,'SKU 对应关系'!A:B,2,0),"")</f>
        <v>AP2F-H14 空气净化器滤网2-H14</v>
      </c>
      <c r="N656" s="95" t="str">
        <f>_xlfn.IFNA(VLOOKUP(G656,'SKU 对应关系'!$A:$D,3,0),"")</f>
        <v>AP2F</v>
      </c>
      <c r="O656" s="96">
        <v>2</v>
      </c>
      <c r="P656" s="580">
        <v>48.680851063829785</v>
      </c>
      <c r="Q656" s="96" t="s">
        <v>16</v>
      </c>
      <c r="R656" s="91">
        <v>6.8</v>
      </c>
      <c r="S656" s="106">
        <v>200</v>
      </c>
      <c r="T656" s="98">
        <v>4.8780487804878048</v>
      </c>
      <c r="U656" s="99">
        <f t="shared" si="76"/>
        <v>335.90783601453035</v>
      </c>
      <c r="V656" s="100">
        <f t="shared" si="77"/>
        <v>4.6653866113129219</v>
      </c>
      <c r="W656" s="101">
        <f t="shared" si="78"/>
        <v>0.69632635989745095</v>
      </c>
      <c r="X656" s="95"/>
      <c r="Y656" s="95"/>
      <c r="Z656" s="102"/>
      <c r="AA656" s="103">
        <v>46164</v>
      </c>
      <c r="AB656" s="103">
        <v>46207</v>
      </c>
      <c r="AC656" s="103"/>
      <c r="AD656" s="104">
        <f>IF(ISNA(VLOOKUP(D656,亚马逊入库配置费!B:F,5,0)),0,VLOOKUP(D656,亚马逊入库配置费!B:F,5,0))</f>
        <v>0</v>
      </c>
      <c r="AE656" s="104">
        <f t="shared" si="75"/>
        <v>0</v>
      </c>
      <c r="AF656" s="103"/>
      <c r="AG656" s="577">
        <f t="shared" si="80"/>
        <v>-46164</v>
      </c>
      <c r="AH656" s="103"/>
      <c r="AI656" s="96"/>
      <c r="AJ656" s="96"/>
      <c r="AK656" s="96"/>
      <c r="AL656" s="92"/>
      <c r="AM656" s="91"/>
      <c r="AN656" s="91"/>
      <c r="AO656" s="96"/>
      <c r="AP656" s="105"/>
      <c r="AQ656" s="105"/>
      <c r="AR656" s="105"/>
      <c r="AS656" s="105"/>
    </row>
    <row r="657" spans="1:45" ht="12" customHeight="1" x14ac:dyDescent="0.25">
      <c r="A657" s="90">
        <f t="shared" si="79"/>
        <v>656</v>
      </c>
      <c r="B657" s="91"/>
      <c r="C657" s="91" t="s">
        <v>1158</v>
      </c>
      <c r="D657" s="92" t="s">
        <v>4652</v>
      </c>
      <c r="E657" s="91" t="s">
        <v>1164</v>
      </c>
      <c r="F657" s="91" t="s">
        <v>1165</v>
      </c>
      <c r="G657" s="56" t="s">
        <v>2830</v>
      </c>
      <c r="H657" s="91">
        <v>102</v>
      </c>
      <c r="I657" s="91" t="s">
        <v>4576</v>
      </c>
      <c r="J657" s="91" t="s">
        <v>2064</v>
      </c>
      <c r="K657" s="92" t="s">
        <v>2954</v>
      </c>
      <c r="L657" s="93" t="str">
        <f>VLOOKUP(G657,'SKU 对应关系'!A:E,4,0)</f>
        <v>AH1B-WH_EU</v>
      </c>
      <c r="M657" s="94" t="str">
        <f>_xlfn.IFNA(VLOOKUP(G657,'SKU 对应关系'!A:B,2,0),"")</f>
        <v>AH1B-WH_EU 智能加湿器 白色 欧规</v>
      </c>
      <c r="N657" s="95" t="str">
        <f>_xlfn.IFNA(VLOOKUP(G657,'SKU 对应关系'!$A:$D,3,0),"")</f>
        <v>AH1B</v>
      </c>
      <c r="O657" s="96">
        <v>17</v>
      </c>
      <c r="P657" s="580">
        <v>273</v>
      </c>
      <c r="Q657" s="96" t="s">
        <v>16</v>
      </c>
      <c r="R657" s="91">
        <v>7.5</v>
      </c>
      <c r="S657" s="95"/>
      <c r="T657" s="98">
        <v>41.463414634146339</v>
      </c>
      <c r="U657" s="99">
        <f t="shared" si="76"/>
        <v>2088.9634146341464</v>
      </c>
      <c r="V657" s="100">
        <f t="shared" si="77"/>
        <v>20.480033476805357</v>
      </c>
      <c r="W657" s="101">
        <f t="shared" si="78"/>
        <v>3.0567214144485608</v>
      </c>
      <c r="X657" s="95"/>
      <c r="Y657" s="95"/>
      <c r="Z657" s="102"/>
      <c r="AA657" s="103">
        <v>46164</v>
      </c>
      <c r="AB657" s="103">
        <v>46207</v>
      </c>
      <c r="AC657" s="103"/>
      <c r="AD657" s="104">
        <f>IF(ISNA(VLOOKUP(D657,亚马逊入库配置费!B:F,5,0)),0,VLOOKUP(D657,亚马逊入库配置费!B:F,5,0))</f>
        <v>0</v>
      </c>
      <c r="AE657" s="104">
        <f t="shared" si="75"/>
        <v>0</v>
      </c>
      <c r="AF657" s="103"/>
      <c r="AG657" s="577">
        <f t="shared" si="80"/>
        <v>-46164</v>
      </c>
      <c r="AH657" s="103"/>
      <c r="AI657" s="96"/>
      <c r="AJ657" s="96"/>
      <c r="AK657" s="96"/>
      <c r="AL657" s="92"/>
      <c r="AM657" s="91"/>
      <c r="AN657" s="91"/>
      <c r="AO657" s="96"/>
      <c r="AP657" s="105"/>
      <c r="AQ657" s="105"/>
      <c r="AR657" s="105"/>
      <c r="AS657" s="105"/>
    </row>
    <row r="658" spans="1:45" ht="12" customHeight="1" x14ac:dyDescent="0.25">
      <c r="A658" s="90">
        <f t="shared" si="79"/>
        <v>657</v>
      </c>
      <c r="B658" s="91"/>
      <c r="C658" s="91" t="s">
        <v>4668</v>
      </c>
      <c r="D658" s="92" t="s">
        <v>4669</v>
      </c>
      <c r="E658" s="91" t="s">
        <v>1037</v>
      </c>
      <c r="F658" s="91" t="s">
        <v>0</v>
      </c>
      <c r="G658" s="56" t="s">
        <v>2279</v>
      </c>
      <c r="H658" s="91">
        <v>300</v>
      </c>
      <c r="I658" s="91" t="s">
        <v>207</v>
      </c>
      <c r="J658" s="91" t="s">
        <v>8</v>
      </c>
      <c r="K658" s="92" t="s">
        <v>10</v>
      </c>
      <c r="L658" s="93" t="str">
        <f>VLOOKUP(G658,'SKU 对应关系'!A:E,4,0)</f>
        <v>RD1-B</v>
      </c>
      <c r="M658" s="94" t="str">
        <f>_xlfn.IFNA(VLOOKUP(G658,'SKU 对应关系'!A:B,2,0),"")</f>
        <v>RD1-B 便携式扩香仪 黑色</v>
      </c>
      <c r="N658" s="95" t="str">
        <f>_xlfn.IFNA(VLOOKUP(G658,'SKU 对应关系'!$A:$D,3,0),"")</f>
        <v>RD1</v>
      </c>
      <c r="O658" s="96">
        <v>10</v>
      </c>
      <c r="P658" s="580">
        <v>153.33333333333334</v>
      </c>
      <c r="Q658" s="96" t="s">
        <v>16</v>
      </c>
      <c r="R658" s="91">
        <v>4</v>
      </c>
      <c r="S658" s="95">
        <v>200</v>
      </c>
      <c r="T658" s="98">
        <v>29.850746268656717</v>
      </c>
      <c r="U658" s="99">
        <f t="shared" ref="U658:U687" si="81">R658*P658+T658</f>
        <v>643.18407960199011</v>
      </c>
      <c r="V658" s="100">
        <f t="shared" ref="V658:V687" si="82">U658/H658</f>
        <v>2.1439469320066338</v>
      </c>
      <c r="W658" s="101">
        <f t="shared" ref="W658:W687" si="83">V658/6.7</f>
        <v>0.31999207940397517</v>
      </c>
      <c r="X658" s="95"/>
      <c r="Y658" s="95"/>
      <c r="Z658" s="102"/>
      <c r="AA658" s="103">
        <v>46171</v>
      </c>
      <c r="AB658" s="103">
        <v>46202</v>
      </c>
      <c r="AC658" s="103"/>
      <c r="AD658" s="102"/>
      <c r="AE658" s="102"/>
      <c r="AF658" s="103"/>
      <c r="AG658" s="577">
        <f t="shared" si="80"/>
        <v>-46171</v>
      </c>
      <c r="AH658" s="103"/>
      <c r="AI658" s="96"/>
      <c r="AJ658" s="96"/>
      <c r="AK658" s="96"/>
      <c r="AL658" s="92"/>
      <c r="AM658" s="91"/>
      <c r="AN658" s="91"/>
      <c r="AO658" s="96"/>
      <c r="AP658" s="105"/>
      <c r="AQ658" s="105"/>
      <c r="AR658" s="105"/>
      <c r="AS658" s="105"/>
    </row>
    <row r="659" spans="1:45" ht="12" customHeight="1" x14ac:dyDescent="0.25">
      <c r="A659" s="90">
        <f t="shared" si="79"/>
        <v>658</v>
      </c>
      <c r="B659" s="91"/>
      <c r="C659" s="91" t="s">
        <v>4668</v>
      </c>
      <c r="D659" s="92" t="s">
        <v>4669</v>
      </c>
      <c r="E659" s="91" t="s">
        <v>1037</v>
      </c>
      <c r="F659" s="91" t="s">
        <v>0</v>
      </c>
      <c r="G659" s="56" t="s">
        <v>2281</v>
      </c>
      <c r="H659" s="91">
        <v>120</v>
      </c>
      <c r="I659" s="91" t="s">
        <v>207</v>
      </c>
      <c r="J659" s="91" t="s">
        <v>8</v>
      </c>
      <c r="K659" s="92" t="s">
        <v>10</v>
      </c>
      <c r="L659" s="93" t="str">
        <f>VLOOKUP(G659,'SKU 对应关系'!A:E,4,0)</f>
        <v>RD1-DT</v>
      </c>
      <c r="M659" s="94" t="str">
        <f>_xlfn.IFNA(VLOOKUP(G659,'SKU 对应关系'!A:B,2,0),"")</f>
        <v>RD1-DT 便携式扩香仪 沙漠钛色</v>
      </c>
      <c r="N659" s="95" t="str">
        <f>_xlfn.IFNA(VLOOKUP(G659,'SKU 对应关系'!$A:$D,3,0),"")</f>
        <v>RD1</v>
      </c>
      <c r="O659" s="96">
        <v>4</v>
      </c>
      <c r="P659" s="580">
        <v>61.333333333333336</v>
      </c>
      <c r="Q659" s="96" t="s">
        <v>16</v>
      </c>
      <c r="R659" s="91">
        <v>4</v>
      </c>
      <c r="S659" s="106">
        <v>200</v>
      </c>
      <c r="T659" s="98">
        <v>11.940298507462687</v>
      </c>
      <c r="U659" s="99">
        <f t="shared" si="81"/>
        <v>257.27363184079604</v>
      </c>
      <c r="V659" s="100">
        <f t="shared" si="82"/>
        <v>2.1439469320066338</v>
      </c>
      <c r="W659" s="101">
        <f t="shared" si="83"/>
        <v>0.31999207940397517</v>
      </c>
      <c r="X659" s="95"/>
      <c r="Y659" s="95"/>
      <c r="Z659" s="102"/>
      <c r="AA659" s="103">
        <v>46171</v>
      </c>
      <c r="AB659" s="103">
        <v>46202</v>
      </c>
      <c r="AC659" s="103"/>
      <c r="AD659" s="102"/>
      <c r="AE659" s="102"/>
      <c r="AF659" s="103"/>
      <c r="AG659" s="577">
        <f t="shared" si="80"/>
        <v>-46171</v>
      </c>
      <c r="AH659" s="103"/>
      <c r="AI659" s="96"/>
      <c r="AJ659" s="96"/>
      <c r="AK659" s="96"/>
      <c r="AL659" s="92"/>
      <c r="AM659" s="91"/>
      <c r="AN659" s="91"/>
      <c r="AO659" s="96"/>
      <c r="AP659" s="105"/>
      <c r="AQ659" s="105"/>
      <c r="AR659" s="105"/>
      <c r="AS659" s="105"/>
    </row>
    <row r="660" spans="1:45" ht="12" customHeight="1" x14ac:dyDescent="0.25">
      <c r="A660" s="90">
        <f t="shared" si="79"/>
        <v>659</v>
      </c>
      <c r="B660" s="91"/>
      <c r="C660" s="91" t="s">
        <v>4668</v>
      </c>
      <c r="D660" s="92" t="s">
        <v>4669</v>
      </c>
      <c r="E660" s="91" t="s">
        <v>1037</v>
      </c>
      <c r="F660" s="91" t="s">
        <v>0</v>
      </c>
      <c r="G660" s="56" t="s">
        <v>2342</v>
      </c>
      <c r="H660" s="91">
        <v>60</v>
      </c>
      <c r="I660" s="91" t="s">
        <v>207</v>
      </c>
      <c r="J660" s="91" t="s">
        <v>8</v>
      </c>
      <c r="K660" s="92" t="s">
        <v>10</v>
      </c>
      <c r="L660" s="93" t="str">
        <f>VLOOKUP(G660,'SKU 对应关系'!A:E,4,0)</f>
        <v>RD1KIT-T_2X30K04</v>
      </c>
      <c r="M660" s="94" t="str">
        <f>_xlfn.IFNA(VLOOKUP(G660,'SKU 对应关系'!A:B,2,0),"")</f>
        <v>RD1KIT-T_2X30K04 RD1沙漠钛色机器+2X30mL酒店香氛油 机油套装</v>
      </c>
      <c r="N660" s="95" t="str">
        <f>_xlfn.IFNA(VLOOKUP(G660,'SKU 对应关系'!$A:$D,3,0),"")</f>
        <v>RD1</v>
      </c>
      <c r="O660" s="96">
        <v>3</v>
      </c>
      <c r="P660" s="580">
        <v>46</v>
      </c>
      <c r="Q660" s="96" t="s">
        <v>16</v>
      </c>
      <c r="R660" s="91">
        <v>4</v>
      </c>
      <c r="S660" s="95"/>
      <c r="T660" s="98">
        <v>8.9552238805970141</v>
      </c>
      <c r="U660" s="99">
        <f t="shared" si="81"/>
        <v>192.955223880597</v>
      </c>
      <c r="V660" s="100">
        <f t="shared" si="82"/>
        <v>3.21592039800995</v>
      </c>
      <c r="W660" s="101">
        <f t="shared" si="83"/>
        <v>0.47998811910596267</v>
      </c>
      <c r="X660" s="95"/>
      <c r="Y660" s="95"/>
      <c r="Z660" s="102"/>
      <c r="AA660" s="103">
        <v>46171</v>
      </c>
      <c r="AB660" s="103">
        <v>46202</v>
      </c>
      <c r="AC660" s="103"/>
      <c r="AD660" s="102"/>
      <c r="AE660" s="102"/>
      <c r="AF660" s="103"/>
      <c r="AG660" s="577">
        <f t="shared" si="80"/>
        <v>-46171</v>
      </c>
      <c r="AH660" s="103"/>
      <c r="AI660" s="96"/>
      <c r="AJ660" s="96"/>
      <c r="AK660" s="96"/>
      <c r="AL660" s="92"/>
      <c r="AM660" s="91"/>
      <c r="AN660" s="91"/>
      <c r="AO660" s="96"/>
      <c r="AP660" s="105"/>
      <c r="AQ660" s="105"/>
      <c r="AR660" s="105"/>
      <c r="AS660" s="105"/>
    </row>
    <row r="661" spans="1:45" ht="12" customHeight="1" x14ac:dyDescent="0.25">
      <c r="A661" s="90">
        <f t="shared" si="79"/>
        <v>660</v>
      </c>
      <c r="B661" s="91"/>
      <c r="C661" s="91" t="s">
        <v>4668</v>
      </c>
      <c r="D661" s="92" t="s">
        <v>4669</v>
      </c>
      <c r="E661" s="91" t="s">
        <v>1037</v>
      </c>
      <c r="F661" s="91" t="s">
        <v>0</v>
      </c>
      <c r="G661" s="56" t="s">
        <v>4514</v>
      </c>
      <c r="H661" s="91">
        <v>120</v>
      </c>
      <c r="I661" s="91" t="s">
        <v>207</v>
      </c>
      <c r="J661" s="91" t="s">
        <v>8</v>
      </c>
      <c r="K661" s="92" t="s">
        <v>10</v>
      </c>
      <c r="L661" s="93" t="str">
        <f>VLOOKUP(G661,'SKU 对应关系'!A:E,4,0)</f>
        <v>RD1-G</v>
      </c>
      <c r="M661" s="94" t="str">
        <f>_xlfn.IFNA(VLOOKUP(G661,'SKU 对应关系'!A:B,2,0),"")</f>
        <v>RD1-G 便携式扩香仪 灰色</v>
      </c>
      <c r="N661" s="95" t="str">
        <f>_xlfn.IFNA(VLOOKUP(G661,'SKU 对应关系'!$A:$D,3,0),"")</f>
        <v>RD1</v>
      </c>
      <c r="O661" s="96">
        <v>4</v>
      </c>
      <c r="P661" s="580">
        <v>61.333333333333336</v>
      </c>
      <c r="Q661" s="96" t="s">
        <v>16</v>
      </c>
      <c r="R661" s="91">
        <v>4</v>
      </c>
      <c r="S661" s="95"/>
      <c r="T661" s="98">
        <v>11.940298507462687</v>
      </c>
      <c r="U661" s="99">
        <f t="shared" si="81"/>
        <v>257.27363184079604</v>
      </c>
      <c r="V661" s="100">
        <f t="shared" si="82"/>
        <v>2.1439469320066338</v>
      </c>
      <c r="W661" s="101">
        <f t="shared" si="83"/>
        <v>0.31999207940397517</v>
      </c>
      <c r="X661" s="95"/>
      <c r="Y661" s="95"/>
      <c r="Z661" s="102"/>
      <c r="AA661" s="103">
        <v>46171</v>
      </c>
      <c r="AB661" s="103">
        <v>46202</v>
      </c>
      <c r="AC661" s="103"/>
      <c r="AD661" s="102"/>
      <c r="AE661" s="102"/>
      <c r="AF661" s="103"/>
      <c r="AG661" s="577">
        <f t="shared" si="80"/>
        <v>-46171</v>
      </c>
      <c r="AH661" s="103"/>
      <c r="AI661" s="96"/>
      <c r="AJ661" s="96"/>
      <c r="AK661" s="96"/>
      <c r="AL661" s="92"/>
      <c r="AM661" s="91"/>
      <c r="AN661" s="91"/>
      <c r="AO661" s="96"/>
      <c r="AP661" s="105"/>
      <c r="AQ661" s="105"/>
      <c r="AR661" s="105"/>
      <c r="AS661" s="105"/>
    </row>
    <row r="662" spans="1:45" ht="12" customHeight="1" x14ac:dyDescent="0.25">
      <c r="A662" s="90">
        <f t="shared" si="79"/>
        <v>661</v>
      </c>
      <c r="B662" s="91"/>
      <c r="C662" s="91" t="s">
        <v>4668</v>
      </c>
      <c r="D662" s="92" t="s">
        <v>4670</v>
      </c>
      <c r="E662" s="91" t="s">
        <v>115</v>
      </c>
      <c r="F662" s="91" t="s">
        <v>0</v>
      </c>
      <c r="G662" s="56" t="s">
        <v>2195</v>
      </c>
      <c r="H662" s="91">
        <v>400</v>
      </c>
      <c r="I662" s="91" t="s">
        <v>207</v>
      </c>
      <c r="J662" s="91" t="s">
        <v>8</v>
      </c>
      <c r="K662" s="92" t="s">
        <v>15</v>
      </c>
      <c r="L662" s="93" t="str">
        <f>VLOOKUP(G662,'SKU 对应关系'!A:E,4,0)</f>
        <v>ANZ-B</v>
      </c>
      <c r="M662" s="94" t="str">
        <f>_xlfn.IFNA(VLOOKUP(G662,'SKU 对应关系'!A:B,2,0),"")</f>
        <v>ANZ-B 便携式扩香仪 黑色</v>
      </c>
      <c r="N662" s="95" t="str">
        <f>_xlfn.IFNA(VLOOKUP(G662,'SKU 对应关系'!$A:$D,3,0),"")</f>
        <v>ANZ</v>
      </c>
      <c r="O662" s="96">
        <v>10</v>
      </c>
      <c r="P662" s="580">
        <v>138.26086956521738</v>
      </c>
      <c r="Q662" s="96" t="s">
        <v>16</v>
      </c>
      <c r="R662" s="91">
        <v>5</v>
      </c>
      <c r="S662" s="95"/>
      <c r="T662" s="98">
        <v>29.850746268656717</v>
      </c>
      <c r="U662" s="99">
        <f t="shared" si="81"/>
        <v>721.15509409474362</v>
      </c>
      <c r="V662" s="100">
        <f t="shared" si="82"/>
        <v>1.8028877352368591</v>
      </c>
      <c r="W662" s="101">
        <f t="shared" si="83"/>
        <v>0.26908772167714312</v>
      </c>
      <c r="X662" s="95"/>
      <c r="Y662" s="95"/>
      <c r="Z662" s="102"/>
      <c r="AA662" s="103">
        <v>46171</v>
      </c>
      <c r="AB662" s="103">
        <v>46202</v>
      </c>
      <c r="AC662" s="103"/>
      <c r="AD662" s="102"/>
      <c r="AE662" s="102"/>
      <c r="AF662" s="103"/>
      <c r="AG662" s="577">
        <f t="shared" si="80"/>
        <v>-46171</v>
      </c>
      <c r="AH662" s="103"/>
      <c r="AI662" s="96"/>
      <c r="AJ662" s="96"/>
      <c r="AK662" s="96"/>
      <c r="AL662" s="92"/>
      <c r="AM662" s="91"/>
      <c r="AN662" s="91"/>
      <c r="AO662" s="96"/>
      <c r="AP662" s="105"/>
      <c r="AQ662" s="105"/>
      <c r="AR662" s="105"/>
      <c r="AS662" s="105"/>
    </row>
    <row r="663" spans="1:45" ht="12" customHeight="1" x14ac:dyDescent="0.25">
      <c r="A663" s="90">
        <f t="shared" si="79"/>
        <v>662</v>
      </c>
      <c r="B663" s="91"/>
      <c r="C663" s="91" t="s">
        <v>4668</v>
      </c>
      <c r="D663" s="92" t="s">
        <v>4670</v>
      </c>
      <c r="E663" s="91" t="s">
        <v>115</v>
      </c>
      <c r="F663" s="91" t="s">
        <v>0</v>
      </c>
      <c r="G663" s="56" t="s">
        <v>872</v>
      </c>
      <c r="H663" s="91">
        <v>690</v>
      </c>
      <c r="I663" s="91" t="s">
        <v>207</v>
      </c>
      <c r="J663" s="91" t="s">
        <v>8</v>
      </c>
      <c r="K663" s="92" t="s">
        <v>15</v>
      </c>
      <c r="L663" s="93" t="str">
        <f>VLOOKUP(G663,'SKU 对应关系'!A:E,4,0)</f>
        <v>AN6KIT-B_RZ30ml</v>
      </c>
      <c r="M663" s="94" t="str">
        <f>_xlfn.IFNA(VLOOKUP(G663,'SKU 对应关系'!A:B,2,0),"")</f>
        <v>AN6KIT-B_RZ30ml AN6黑色机器+30mL丽思香氛油 机油套装</v>
      </c>
      <c r="N663" s="95" t="str">
        <f>_xlfn.IFNA(VLOOKUP(G663,'SKU 对应关系'!$A:$D,3,0),"")</f>
        <v>AN6</v>
      </c>
      <c r="O663" s="96">
        <v>23</v>
      </c>
      <c r="P663" s="580">
        <v>318</v>
      </c>
      <c r="Q663" s="96" t="s">
        <v>16</v>
      </c>
      <c r="R663" s="91">
        <v>5</v>
      </c>
      <c r="S663" s="95"/>
      <c r="T663" s="98">
        <v>68.656716417910445</v>
      </c>
      <c r="U663" s="99">
        <f t="shared" si="81"/>
        <v>1658.6567164179105</v>
      </c>
      <c r="V663" s="100">
        <f t="shared" si="82"/>
        <v>2.4038503136491456</v>
      </c>
      <c r="W663" s="101">
        <f t="shared" si="83"/>
        <v>0.35878362890285753</v>
      </c>
      <c r="X663" s="95"/>
      <c r="Y663" s="95"/>
      <c r="Z663" s="102"/>
      <c r="AA663" s="103">
        <v>46171</v>
      </c>
      <c r="AB663" s="103">
        <v>46202</v>
      </c>
      <c r="AC663" s="103"/>
      <c r="AD663" s="102"/>
      <c r="AE663" s="102"/>
      <c r="AF663" s="103"/>
      <c r="AG663" s="577">
        <f t="shared" si="80"/>
        <v>-46171</v>
      </c>
      <c r="AH663" s="103"/>
      <c r="AI663" s="96"/>
      <c r="AJ663" s="96"/>
      <c r="AK663" s="96"/>
      <c r="AL663" s="92"/>
      <c r="AM663" s="91"/>
      <c r="AN663" s="91"/>
      <c r="AO663" s="96"/>
      <c r="AP663" s="105"/>
      <c r="AQ663" s="105"/>
      <c r="AR663" s="105"/>
      <c r="AS663" s="105"/>
    </row>
    <row r="664" spans="1:45" ht="12" customHeight="1" x14ac:dyDescent="0.25">
      <c r="A664" s="90">
        <f t="shared" si="79"/>
        <v>663</v>
      </c>
      <c r="B664" s="91"/>
      <c r="C664" s="91" t="s">
        <v>4668</v>
      </c>
      <c r="D664" s="92" t="s">
        <v>4670</v>
      </c>
      <c r="E664" s="91" t="s">
        <v>115</v>
      </c>
      <c r="F664" s="91" t="s">
        <v>0</v>
      </c>
      <c r="G664" s="56" t="s">
        <v>2886</v>
      </c>
      <c r="H664" s="91">
        <v>300</v>
      </c>
      <c r="I664" s="91" t="s">
        <v>207</v>
      </c>
      <c r="J664" s="91" t="s">
        <v>8</v>
      </c>
      <c r="K664" s="92" t="s">
        <v>15</v>
      </c>
      <c r="L664" s="93" t="str">
        <f>VLOOKUP(G664,'SKU 对应关系'!A:E,4,0)</f>
        <v>AN6KIT-WH_SJ30ML_TZ</v>
      </c>
      <c r="M664" s="94" t="str">
        <f>_xlfn.IFNA(VLOOKUP(G664,'SKU 对应关系'!A:B,2,0),"")</f>
        <v>AN6KIT-WH_SJ30ML_TZ AN6白色机器+30mL四季酒店香氛油（天竺） 机油套装</v>
      </c>
      <c r="N664" s="95" t="str">
        <f>_xlfn.IFNA(VLOOKUP(G664,'SKU 对应关系'!$A:$D,3,0),"")</f>
        <v>AN6</v>
      </c>
      <c r="O664" s="96">
        <v>10</v>
      </c>
      <c r="P664" s="580">
        <v>138.26086956521738</v>
      </c>
      <c r="Q664" s="96" t="s">
        <v>16</v>
      </c>
      <c r="R664" s="91">
        <v>5</v>
      </c>
      <c r="S664" s="95"/>
      <c r="T664" s="98">
        <v>29.850746268656717</v>
      </c>
      <c r="U664" s="99">
        <f t="shared" si="81"/>
        <v>721.15509409474362</v>
      </c>
      <c r="V664" s="100">
        <f t="shared" si="82"/>
        <v>2.4038503136491456</v>
      </c>
      <c r="W664" s="101">
        <f t="shared" si="83"/>
        <v>0.35878362890285753</v>
      </c>
      <c r="X664" s="95"/>
      <c r="Y664" s="95"/>
      <c r="Z664" s="102"/>
      <c r="AA664" s="103">
        <v>46171</v>
      </c>
      <c r="AB664" s="103">
        <v>46202</v>
      </c>
      <c r="AC664" s="103"/>
      <c r="AD664" s="102"/>
      <c r="AE664" s="102"/>
      <c r="AF664" s="103"/>
      <c r="AG664" s="577">
        <f t="shared" si="80"/>
        <v>-46171</v>
      </c>
      <c r="AH664" s="103"/>
      <c r="AI664" s="96"/>
      <c r="AJ664" s="96"/>
      <c r="AK664" s="96"/>
      <c r="AL664" s="92"/>
      <c r="AM664" s="91"/>
      <c r="AN664" s="91"/>
      <c r="AO664" s="96"/>
      <c r="AP664" s="105"/>
      <c r="AQ664" s="105"/>
      <c r="AR664" s="105"/>
      <c r="AS664" s="105"/>
    </row>
    <row r="665" spans="1:45" ht="12" customHeight="1" x14ac:dyDescent="0.25">
      <c r="A665" s="90">
        <f t="shared" si="79"/>
        <v>664</v>
      </c>
      <c r="B665" s="91"/>
      <c r="C665" s="91" t="s">
        <v>4668</v>
      </c>
      <c r="D665" s="92" t="s">
        <v>4670</v>
      </c>
      <c r="E665" s="91" t="s">
        <v>115</v>
      </c>
      <c r="F665" s="91" t="s">
        <v>0</v>
      </c>
      <c r="G665" s="56" t="s">
        <v>866</v>
      </c>
      <c r="H665" s="91">
        <v>90</v>
      </c>
      <c r="I665" s="91" t="s">
        <v>207</v>
      </c>
      <c r="J665" s="91" t="s">
        <v>8</v>
      </c>
      <c r="K665" s="92" t="s">
        <v>15</v>
      </c>
      <c r="L665" s="93" t="str">
        <f>VLOOKUP(G665,'SKU 对应关系'!A:E,4,0)</f>
        <v>ANXKIT-GD_RZ30ml</v>
      </c>
      <c r="M665" s="94" t="str">
        <f>_xlfn.IFNA(VLOOKUP(G665,'SKU 对应关系'!A:B,2,0),"")</f>
        <v>ANXKIT-GD_RZ30ml ANX金色机器+30mL丽思香氛油 机油套装</v>
      </c>
      <c r="N665" s="95" t="str">
        <f>_xlfn.IFNA(VLOOKUP(G665,'SKU 对应关系'!$A:$D,3,0),"")</f>
        <v>ANX</v>
      </c>
      <c r="O665" s="96">
        <v>3</v>
      </c>
      <c r="P665" s="580">
        <v>41.478260869565219</v>
      </c>
      <c r="Q665" s="96" t="s">
        <v>16</v>
      </c>
      <c r="R665" s="91">
        <v>5</v>
      </c>
      <c r="S665" s="95"/>
      <c r="T665" s="98">
        <v>8.9552238805970141</v>
      </c>
      <c r="U665" s="99">
        <f t="shared" si="81"/>
        <v>216.3465282284231</v>
      </c>
      <c r="V665" s="100">
        <f t="shared" si="82"/>
        <v>2.4038503136491456</v>
      </c>
      <c r="W665" s="101">
        <f t="shared" si="83"/>
        <v>0.35878362890285753</v>
      </c>
      <c r="X665" s="95"/>
      <c r="Y665" s="95"/>
      <c r="Z665" s="102"/>
      <c r="AA665" s="103">
        <v>46171</v>
      </c>
      <c r="AB665" s="103">
        <v>46202</v>
      </c>
      <c r="AC665" s="103"/>
      <c r="AD665" s="102"/>
      <c r="AE665" s="102"/>
      <c r="AF665" s="103"/>
      <c r="AG665" s="577">
        <f t="shared" si="80"/>
        <v>-46171</v>
      </c>
      <c r="AH665" s="103"/>
      <c r="AI665" s="96"/>
      <c r="AJ665" s="96"/>
      <c r="AK665" s="96"/>
      <c r="AL665" s="92"/>
      <c r="AM665" s="91"/>
      <c r="AN665" s="91"/>
      <c r="AO665" s="96"/>
      <c r="AP665" s="105"/>
      <c r="AQ665" s="105"/>
      <c r="AR665" s="105"/>
      <c r="AS665" s="105"/>
    </row>
    <row r="666" spans="1:45" ht="12" customHeight="1" x14ac:dyDescent="0.25">
      <c r="A666" s="90">
        <f t="shared" si="79"/>
        <v>665</v>
      </c>
      <c r="B666" s="91"/>
      <c r="C666" s="91" t="s">
        <v>4671</v>
      </c>
      <c r="D666" s="92" t="s">
        <v>4672</v>
      </c>
      <c r="E666" s="91" t="s">
        <v>97</v>
      </c>
      <c r="F666" s="91" t="s">
        <v>0</v>
      </c>
      <c r="G666" s="56" t="s">
        <v>163</v>
      </c>
      <c r="H666" s="91">
        <v>600</v>
      </c>
      <c r="I666" s="91" t="s">
        <v>207</v>
      </c>
      <c r="J666" s="91" t="s">
        <v>8</v>
      </c>
      <c r="K666" s="92" t="s">
        <v>9</v>
      </c>
      <c r="L666" s="93" t="str">
        <f>VLOOKUP(G666,'SKU 对应关系'!A:E,4,0)</f>
        <v>AN6-B</v>
      </c>
      <c r="M666" s="94" t="str">
        <f>_xlfn.IFNA(VLOOKUP(G666,'SKU 对应关系'!A:B,2,0),"")</f>
        <v>AN6-B 便携式扩香仪 黑色</v>
      </c>
      <c r="N666" s="95" t="str">
        <f>_xlfn.IFNA(VLOOKUP(G666,'SKU 对应关系'!$A:$D,3,0),"")</f>
        <v>AN6</v>
      </c>
      <c r="O666" s="96">
        <v>15</v>
      </c>
      <c r="P666" s="580">
        <v>206</v>
      </c>
      <c r="Q666" s="96" t="s">
        <v>16</v>
      </c>
      <c r="R666" s="91">
        <v>4</v>
      </c>
      <c r="S666" s="95">
        <v>200</v>
      </c>
      <c r="T666" s="98">
        <v>75</v>
      </c>
      <c r="U666" s="99">
        <f t="shared" si="81"/>
        <v>899</v>
      </c>
      <c r="V666" s="100">
        <f t="shared" si="82"/>
        <v>1.4983333333333333</v>
      </c>
      <c r="W666" s="101">
        <f t="shared" si="83"/>
        <v>0.22363184079601989</v>
      </c>
      <c r="X666" s="95"/>
      <c r="Y666" s="95"/>
      <c r="Z666" s="102"/>
      <c r="AA666" s="103">
        <v>46171</v>
      </c>
      <c r="AB666" s="103">
        <v>46193</v>
      </c>
      <c r="AC666" s="103"/>
      <c r="AD666" s="102"/>
      <c r="AE666" s="102"/>
      <c r="AF666" s="103"/>
      <c r="AG666" s="577">
        <f t="shared" si="80"/>
        <v>-46171</v>
      </c>
      <c r="AH666" s="103"/>
      <c r="AI666" s="96"/>
      <c r="AJ666" s="96"/>
      <c r="AK666" s="96"/>
      <c r="AL666" s="92"/>
      <c r="AM666" s="91"/>
      <c r="AN666" s="91"/>
      <c r="AO666" s="96"/>
      <c r="AP666" s="105"/>
      <c r="AQ666" s="105"/>
      <c r="AR666" s="105"/>
      <c r="AS666" s="105"/>
    </row>
    <row r="667" spans="1:45" ht="12" customHeight="1" x14ac:dyDescent="0.25">
      <c r="A667" s="90">
        <f t="shared" si="79"/>
        <v>666</v>
      </c>
      <c r="B667" s="91"/>
      <c r="C667" s="91" t="s">
        <v>4673</v>
      </c>
      <c r="D667" s="92" t="s">
        <v>4674</v>
      </c>
      <c r="E667" s="91" t="s">
        <v>4202</v>
      </c>
      <c r="F667" s="91" t="s">
        <v>0</v>
      </c>
      <c r="G667" s="56" t="s">
        <v>2228</v>
      </c>
      <c r="H667" s="91">
        <v>600</v>
      </c>
      <c r="I667" s="91" t="s">
        <v>207</v>
      </c>
      <c r="J667" s="91" t="s">
        <v>8</v>
      </c>
      <c r="K667" s="92" t="s">
        <v>17</v>
      </c>
      <c r="L667" s="93" t="str">
        <f>VLOOKUP(G667,'SKU 对应关系'!A:E,4,0)</f>
        <v>AN6KIT-B_2X20K01</v>
      </c>
      <c r="M667" s="94" t="str">
        <f>_xlfn.IFNA(VLOOKUP(G667,'SKU 对应关系'!A:B,2,0),"")</f>
        <v>AN6KIT-B_2X20K01 AN6黑色机器+2X20mL酒店香氛油 机油套装</v>
      </c>
      <c r="N667" s="95" t="str">
        <f>_xlfn.IFNA(VLOOKUP(G667,'SKU 对应关系'!$A:$D,3,0),"")</f>
        <v>AN6</v>
      </c>
      <c r="O667" s="96">
        <v>20</v>
      </c>
      <c r="P667" s="580">
        <v>315.52238805970148</v>
      </c>
      <c r="Q667" s="96" t="s">
        <v>16</v>
      </c>
      <c r="R667" s="91">
        <v>5.4</v>
      </c>
      <c r="S667" s="95">
        <v>200</v>
      </c>
      <c r="T667" s="98">
        <v>27.397260273972602</v>
      </c>
      <c r="U667" s="99">
        <f t="shared" si="81"/>
        <v>1731.2181557963606</v>
      </c>
      <c r="V667" s="100">
        <f t="shared" si="82"/>
        <v>2.8853635929939343</v>
      </c>
      <c r="W667" s="101">
        <f t="shared" si="83"/>
        <v>0.43065128253640811</v>
      </c>
      <c r="X667" s="95"/>
      <c r="Y667" s="95"/>
      <c r="Z667" s="102"/>
      <c r="AA667" s="103">
        <v>46171</v>
      </c>
      <c r="AB667" s="103">
        <v>46202</v>
      </c>
      <c r="AC667" s="103"/>
      <c r="AD667" s="102"/>
      <c r="AE667" s="102"/>
      <c r="AF667" s="103"/>
      <c r="AG667" s="577">
        <f t="shared" si="80"/>
        <v>-46171</v>
      </c>
      <c r="AH667" s="103"/>
      <c r="AI667" s="96"/>
      <c r="AJ667" s="96"/>
      <c r="AK667" s="96"/>
      <c r="AL667" s="92"/>
      <c r="AM667" s="91"/>
      <c r="AN667" s="91"/>
      <c r="AO667" s="96"/>
      <c r="AP667" s="105"/>
      <c r="AQ667" s="105"/>
      <c r="AR667" s="105"/>
      <c r="AS667" s="105"/>
    </row>
    <row r="668" spans="1:45" ht="12" customHeight="1" x14ac:dyDescent="0.25">
      <c r="A668" s="90">
        <f t="shared" si="79"/>
        <v>667</v>
      </c>
      <c r="B668" s="91"/>
      <c r="C668" s="91" t="s">
        <v>4673</v>
      </c>
      <c r="D668" s="92" t="s">
        <v>4674</v>
      </c>
      <c r="E668" s="91" t="s">
        <v>4202</v>
      </c>
      <c r="F668" s="91" t="s">
        <v>0</v>
      </c>
      <c r="G668" s="56" t="s">
        <v>2593</v>
      </c>
      <c r="H668" s="91">
        <v>390</v>
      </c>
      <c r="I668" s="91" t="s">
        <v>207</v>
      </c>
      <c r="J668" s="91" t="s">
        <v>8</v>
      </c>
      <c r="K668" s="92" t="s">
        <v>17</v>
      </c>
      <c r="L668" s="93" t="str">
        <f>VLOOKUP(G668,'SKU 对应关系'!A:E,4,0)</f>
        <v>AN8KIT-B_2X20K03</v>
      </c>
      <c r="M668" s="94" t="str">
        <f>_xlfn.IFNA(VLOOKUP(G668,'SKU 对应关系'!A:B,2,0),"")</f>
        <v>AN8KIT-B_2X20K03 AN8黑色机器+2X20mL（天竺）酒店香氛油 机油套装</v>
      </c>
      <c r="N668" s="95" t="str">
        <f>_xlfn.IFNA(VLOOKUP(G668,'SKU 对应关系'!$A:$D,3,0),"")</f>
        <v>AN8</v>
      </c>
      <c r="O668" s="96">
        <v>13</v>
      </c>
      <c r="P668" s="580">
        <v>205.08955223880596</v>
      </c>
      <c r="Q668" s="96" t="s">
        <v>16</v>
      </c>
      <c r="R668" s="91">
        <v>5.4</v>
      </c>
      <c r="S668" s="106">
        <v>200</v>
      </c>
      <c r="T668" s="98">
        <v>17.80821917808219</v>
      </c>
      <c r="U668" s="99">
        <f t="shared" si="81"/>
        <v>1125.2918012676346</v>
      </c>
      <c r="V668" s="100">
        <f t="shared" si="82"/>
        <v>2.8853635929939347</v>
      </c>
      <c r="W668" s="101">
        <f t="shared" si="83"/>
        <v>0.43065128253640816</v>
      </c>
      <c r="X668" s="95"/>
      <c r="Y668" s="95"/>
      <c r="Z668" s="102"/>
      <c r="AA668" s="103">
        <v>46171</v>
      </c>
      <c r="AB668" s="103">
        <v>46202</v>
      </c>
      <c r="AC668" s="103"/>
      <c r="AD668" s="102"/>
      <c r="AE668" s="102"/>
      <c r="AF668" s="103"/>
      <c r="AG668" s="577">
        <f t="shared" si="80"/>
        <v>-46171</v>
      </c>
      <c r="AH668" s="103"/>
      <c r="AI668" s="96"/>
      <c r="AJ668" s="96"/>
      <c r="AK668" s="96"/>
      <c r="AL668" s="92"/>
      <c r="AM668" s="91"/>
      <c r="AN668" s="91"/>
      <c r="AO668" s="96"/>
      <c r="AP668" s="105"/>
      <c r="AQ668" s="105"/>
      <c r="AR668" s="105"/>
      <c r="AS668" s="105"/>
    </row>
    <row r="669" spans="1:45" ht="12" customHeight="1" x14ac:dyDescent="0.25">
      <c r="A669" s="90">
        <f t="shared" si="79"/>
        <v>668</v>
      </c>
      <c r="B669" s="91"/>
      <c r="C669" s="91" t="s">
        <v>4673</v>
      </c>
      <c r="D669" s="92" t="s">
        <v>4674</v>
      </c>
      <c r="E669" s="91" t="s">
        <v>4202</v>
      </c>
      <c r="F669" s="91" t="s">
        <v>0</v>
      </c>
      <c r="G669" s="56" t="s">
        <v>1851</v>
      </c>
      <c r="H669" s="91">
        <v>180</v>
      </c>
      <c r="I669" s="91" t="s">
        <v>207</v>
      </c>
      <c r="J669" s="91" t="s">
        <v>8</v>
      </c>
      <c r="K669" s="92" t="s">
        <v>17</v>
      </c>
      <c r="L669" s="93" t="str">
        <f>VLOOKUP(G669,'SKU 对应关系'!A:E,4,0)</f>
        <v>AN8KIT-B_4X10K02</v>
      </c>
      <c r="M669" s="94" t="str">
        <f>_xlfn.IFNA(VLOOKUP(G669,'SKU 对应关系'!A:B,2,0),"")</f>
        <v>AN8KIT-B_4X10K02 AN8黑色机器+4x10mL（天竺）香氛油 机油套装</v>
      </c>
      <c r="N669" s="95" t="str">
        <f>_xlfn.IFNA(VLOOKUP(G669,'SKU 对应关系'!$A:$D,3,0),"")</f>
        <v>AN8</v>
      </c>
      <c r="O669" s="96">
        <v>6</v>
      </c>
      <c r="P669" s="580">
        <v>94.656716417910445</v>
      </c>
      <c r="Q669" s="96" t="s">
        <v>16</v>
      </c>
      <c r="R669" s="91">
        <v>5.4</v>
      </c>
      <c r="S669" s="95"/>
      <c r="T669" s="98">
        <v>8.2191780821917817</v>
      </c>
      <c r="U669" s="99">
        <f t="shared" si="81"/>
        <v>519.36544673890819</v>
      </c>
      <c r="V669" s="100">
        <f t="shared" si="82"/>
        <v>2.8853635929939343</v>
      </c>
      <c r="W669" s="101">
        <f t="shared" si="83"/>
        <v>0.43065128253640811</v>
      </c>
      <c r="X669" s="95"/>
      <c r="Y669" s="95"/>
      <c r="Z669" s="102"/>
      <c r="AA669" s="103">
        <v>46171</v>
      </c>
      <c r="AB669" s="103">
        <v>46202</v>
      </c>
      <c r="AC669" s="103"/>
      <c r="AD669" s="102"/>
      <c r="AE669" s="102"/>
      <c r="AF669" s="103"/>
      <c r="AG669" s="577">
        <f t="shared" si="80"/>
        <v>-46171</v>
      </c>
      <c r="AH669" s="103"/>
      <c r="AI669" s="96"/>
      <c r="AJ669" s="96"/>
      <c r="AK669" s="96"/>
      <c r="AL669" s="92"/>
      <c r="AM669" s="91"/>
      <c r="AN669" s="91"/>
      <c r="AO669" s="96"/>
      <c r="AP669" s="105"/>
      <c r="AQ669" s="105"/>
      <c r="AR669" s="105"/>
      <c r="AS669" s="105"/>
    </row>
    <row r="670" spans="1:45" ht="12" customHeight="1" x14ac:dyDescent="0.25">
      <c r="A670" s="90">
        <f t="shared" si="79"/>
        <v>669</v>
      </c>
      <c r="B670" s="91"/>
      <c r="C670" s="91" t="s">
        <v>4673</v>
      </c>
      <c r="D670" s="92" t="s">
        <v>4674</v>
      </c>
      <c r="E670" s="91" t="s">
        <v>4202</v>
      </c>
      <c r="F670" s="91" t="s">
        <v>0</v>
      </c>
      <c r="G670" s="56" t="s">
        <v>4291</v>
      </c>
      <c r="H670" s="91">
        <v>2100</v>
      </c>
      <c r="I670" s="91" t="s">
        <v>207</v>
      </c>
      <c r="J670" s="91" t="s">
        <v>8</v>
      </c>
      <c r="K670" s="92" t="s">
        <v>17</v>
      </c>
      <c r="L670" s="93" t="str">
        <f>VLOOKUP(G670,'SKU 对应关系'!A:E,4,0)</f>
        <v>AN8KIT-B_4X10K05_TZ</v>
      </c>
      <c r="M670" s="94" t="str">
        <f>_xlfn.IFNA(VLOOKUP(G670,'SKU 对应关系'!A:B,2,0),"")</f>
        <v>AN8KIT-B_4X10K05_TZ AN8黑色机器+4x10mL（天竺）酒店香氛油 机油套装</v>
      </c>
      <c r="N670" s="95" t="str">
        <f>_xlfn.IFNA(VLOOKUP(G670,'SKU 对应关系'!$A:$D,3,0),"")</f>
        <v>AN8</v>
      </c>
      <c r="O670" s="96">
        <v>70</v>
      </c>
      <c r="P670" s="580">
        <v>1104.3283582089553</v>
      </c>
      <c r="Q670" s="96" t="s">
        <v>16</v>
      </c>
      <c r="R670" s="91">
        <v>5.4</v>
      </c>
      <c r="S670" s="95"/>
      <c r="T670" s="98">
        <v>95.890410958904113</v>
      </c>
      <c r="U670" s="99">
        <f t="shared" si="81"/>
        <v>6059.2635452872628</v>
      </c>
      <c r="V670" s="100">
        <f t="shared" si="82"/>
        <v>2.8853635929939347</v>
      </c>
      <c r="W670" s="101">
        <f t="shared" si="83"/>
        <v>0.43065128253640816</v>
      </c>
      <c r="X670" s="95"/>
      <c r="Y670" s="95"/>
      <c r="Z670" s="102"/>
      <c r="AA670" s="103">
        <v>46171</v>
      </c>
      <c r="AB670" s="103">
        <v>46202</v>
      </c>
      <c r="AC670" s="103"/>
      <c r="AD670" s="102"/>
      <c r="AE670" s="102"/>
      <c r="AF670" s="103"/>
      <c r="AG670" s="577">
        <f t="shared" si="80"/>
        <v>-46171</v>
      </c>
      <c r="AH670" s="103"/>
      <c r="AI670" s="96"/>
      <c r="AJ670" s="96"/>
      <c r="AK670" s="96"/>
      <c r="AL670" s="92"/>
      <c r="AM670" s="91"/>
      <c r="AN670" s="91"/>
      <c r="AO670" s="96"/>
      <c r="AP670" s="105"/>
      <c r="AQ670" s="105"/>
      <c r="AR670" s="105"/>
      <c r="AS670" s="105"/>
    </row>
    <row r="671" spans="1:45" ht="12" customHeight="1" x14ac:dyDescent="0.25">
      <c r="A671" s="90">
        <f t="shared" si="79"/>
        <v>670</v>
      </c>
      <c r="B671" s="91"/>
      <c r="C671" s="91" t="s">
        <v>4673</v>
      </c>
      <c r="D671" s="92" t="s">
        <v>4674</v>
      </c>
      <c r="E671" s="91" t="s">
        <v>4202</v>
      </c>
      <c r="F671" s="91" t="s">
        <v>0</v>
      </c>
      <c r="G671" s="56" t="s">
        <v>2245</v>
      </c>
      <c r="H671" s="91">
        <v>150</v>
      </c>
      <c r="I671" s="91" t="s">
        <v>207</v>
      </c>
      <c r="J671" s="91" t="s">
        <v>8</v>
      </c>
      <c r="K671" s="92" t="s">
        <v>17</v>
      </c>
      <c r="L671" s="93" t="str">
        <f>VLOOKUP(G671,'SKU 对应关系'!A:E,4,0)</f>
        <v>AN8KIT-WH_2X20K01</v>
      </c>
      <c r="M671" s="94" t="str">
        <f>_xlfn.IFNA(VLOOKUP(G671,'SKU 对应关系'!A:B,2,0),"")</f>
        <v>AN8KIT-WH_2X20K01 AN8白色机器+2X20mL酒店香氛油 机油套装</v>
      </c>
      <c r="N671" s="95" t="str">
        <f>_xlfn.IFNA(VLOOKUP(G671,'SKU 对应关系'!$A:$D,3,0),"")</f>
        <v>AN8</v>
      </c>
      <c r="O671" s="96">
        <v>5</v>
      </c>
      <c r="P671" s="580">
        <v>78.880597014925371</v>
      </c>
      <c r="Q671" s="96" t="s">
        <v>16</v>
      </c>
      <c r="R671" s="91">
        <v>5.4</v>
      </c>
      <c r="S671" s="95"/>
      <c r="T671" s="98">
        <v>6.8493150684931505</v>
      </c>
      <c r="U671" s="99">
        <f t="shared" si="81"/>
        <v>432.80453894909016</v>
      </c>
      <c r="V671" s="100">
        <f t="shared" si="82"/>
        <v>2.8853635929939343</v>
      </c>
      <c r="W671" s="101">
        <f t="shared" si="83"/>
        <v>0.43065128253640811</v>
      </c>
      <c r="X671" s="95"/>
      <c r="Y671" s="95"/>
      <c r="Z671" s="102"/>
      <c r="AA671" s="103">
        <v>46171</v>
      </c>
      <c r="AB671" s="103">
        <v>46202</v>
      </c>
      <c r="AC671" s="103"/>
      <c r="AD671" s="102"/>
      <c r="AE671" s="102"/>
      <c r="AF671" s="103"/>
      <c r="AG671" s="577">
        <f t="shared" si="80"/>
        <v>-46171</v>
      </c>
      <c r="AH671" s="103"/>
      <c r="AI671" s="96"/>
      <c r="AJ671" s="96"/>
      <c r="AK671" s="96"/>
      <c r="AL671" s="92"/>
      <c r="AM671" s="91"/>
      <c r="AN671" s="91"/>
      <c r="AO671" s="96"/>
      <c r="AP671" s="105"/>
      <c r="AQ671" s="105"/>
      <c r="AR671" s="105"/>
      <c r="AS671" s="105"/>
    </row>
    <row r="672" spans="1:45" ht="12" customHeight="1" x14ac:dyDescent="0.25">
      <c r="A672" s="90">
        <f t="shared" si="79"/>
        <v>671</v>
      </c>
      <c r="B672" s="91"/>
      <c r="C672" s="91" t="s">
        <v>4673</v>
      </c>
      <c r="D672" s="92" t="s">
        <v>4674</v>
      </c>
      <c r="E672" s="91" t="s">
        <v>4202</v>
      </c>
      <c r="F672" s="91" t="s">
        <v>0</v>
      </c>
      <c r="G672" s="56" t="s">
        <v>4230</v>
      </c>
      <c r="H672" s="91">
        <v>600</v>
      </c>
      <c r="I672" s="91" t="s">
        <v>207</v>
      </c>
      <c r="J672" s="91" t="s">
        <v>8</v>
      </c>
      <c r="K672" s="92" t="s">
        <v>17</v>
      </c>
      <c r="L672" s="93" t="str">
        <f>VLOOKUP(G672,'SKU 对应关系'!A:E,4,0)</f>
        <v>AN8KIT-WH_4X10K05_TZ</v>
      </c>
      <c r="M672" s="94" t="str">
        <f>_xlfn.IFNA(VLOOKUP(G672,'SKU 对应关系'!A:B,2,0),"")</f>
        <v>AN8KIT-WH_4X10K05_TZ AN8白色机器+4x10mL（天竺）酒店香氛油 机油套装</v>
      </c>
      <c r="N672" s="95" t="str">
        <f>_xlfn.IFNA(VLOOKUP(G672,'SKU 对应关系'!$A:$D,3,0),"")</f>
        <v>AN8</v>
      </c>
      <c r="O672" s="96">
        <v>20</v>
      </c>
      <c r="P672" s="580">
        <v>315.52238805970148</v>
      </c>
      <c r="Q672" s="96" t="s">
        <v>16</v>
      </c>
      <c r="R672" s="91">
        <v>5.4</v>
      </c>
      <c r="S672" s="95"/>
      <c r="T672" s="98">
        <v>27.397260273972602</v>
      </c>
      <c r="U672" s="99">
        <f t="shared" si="81"/>
        <v>1731.2181557963606</v>
      </c>
      <c r="V672" s="100">
        <f t="shared" si="82"/>
        <v>2.8853635929939343</v>
      </c>
      <c r="W672" s="101">
        <f t="shared" si="83"/>
        <v>0.43065128253640811</v>
      </c>
      <c r="X672" s="95"/>
      <c r="Y672" s="95"/>
      <c r="Z672" s="102"/>
      <c r="AA672" s="103">
        <v>46171</v>
      </c>
      <c r="AB672" s="103">
        <v>46202</v>
      </c>
      <c r="AC672" s="103"/>
      <c r="AD672" s="102"/>
      <c r="AE672" s="102"/>
      <c r="AF672" s="103"/>
      <c r="AG672" s="577">
        <f t="shared" si="80"/>
        <v>-46171</v>
      </c>
      <c r="AH672" s="103"/>
      <c r="AI672" s="96"/>
      <c r="AJ672" s="96"/>
      <c r="AK672" s="96"/>
      <c r="AL672" s="92"/>
      <c r="AM672" s="91"/>
      <c r="AN672" s="91"/>
      <c r="AO672" s="96"/>
      <c r="AP672" s="105"/>
      <c r="AQ672" s="105"/>
      <c r="AR672" s="105"/>
      <c r="AS672" s="105"/>
    </row>
    <row r="673" spans="1:45" ht="12" customHeight="1" x14ac:dyDescent="0.25">
      <c r="A673" s="90">
        <f t="shared" si="79"/>
        <v>672</v>
      </c>
      <c r="B673" s="91"/>
      <c r="C673" s="91" t="s">
        <v>4673</v>
      </c>
      <c r="D673" s="92" t="s">
        <v>4675</v>
      </c>
      <c r="E673" s="91" t="s">
        <v>4202</v>
      </c>
      <c r="F673" s="91" t="s">
        <v>0</v>
      </c>
      <c r="G673" s="56" t="s">
        <v>1213</v>
      </c>
      <c r="H673" s="91">
        <v>160</v>
      </c>
      <c r="I673" s="91" t="s">
        <v>207</v>
      </c>
      <c r="J673" s="91" t="s">
        <v>8</v>
      </c>
      <c r="K673" s="92" t="s">
        <v>9</v>
      </c>
      <c r="L673" s="93" t="str">
        <f>VLOOKUP(G673,'SKU 对应关系'!A:E,4,0)</f>
        <v>AN8-B</v>
      </c>
      <c r="M673" s="94" t="str">
        <f>_xlfn.IFNA(VLOOKUP(G673,'SKU 对应关系'!A:B,2,0),"")</f>
        <v>AN8-B 便携式扩香仪 黑色</v>
      </c>
      <c r="N673" s="95" t="str">
        <f>_xlfn.IFNA(VLOOKUP(G673,'SKU 对应关系'!$A:$D,3,0),"")</f>
        <v>AN8</v>
      </c>
      <c r="O673" s="96">
        <v>4</v>
      </c>
      <c r="P673" s="580">
        <v>54.285714285714285</v>
      </c>
      <c r="Q673" s="96" t="s">
        <v>16</v>
      </c>
      <c r="R673" s="91">
        <v>4</v>
      </c>
      <c r="S673" s="95"/>
      <c r="T673" s="98">
        <v>5.4794520547945202</v>
      </c>
      <c r="U673" s="99">
        <f t="shared" si="81"/>
        <v>222.62230919765165</v>
      </c>
      <c r="V673" s="100">
        <f t="shared" si="82"/>
        <v>1.3913894324853229</v>
      </c>
      <c r="W673" s="101">
        <f t="shared" si="83"/>
        <v>0.20767006455004819</v>
      </c>
      <c r="X673" s="95"/>
      <c r="Y673" s="95"/>
      <c r="Z673" s="102"/>
      <c r="AA673" s="103">
        <v>46171</v>
      </c>
      <c r="AB673" s="103">
        <v>46202</v>
      </c>
      <c r="AC673" s="103"/>
      <c r="AD673" s="102"/>
      <c r="AE673" s="102"/>
      <c r="AF673" s="103"/>
      <c r="AG673" s="577">
        <f t="shared" si="80"/>
        <v>-46171</v>
      </c>
      <c r="AH673" s="103"/>
      <c r="AI673" s="96"/>
      <c r="AJ673" s="96"/>
      <c r="AK673" s="96"/>
      <c r="AL673" s="92"/>
      <c r="AM673" s="91"/>
      <c r="AN673" s="91"/>
      <c r="AO673" s="96"/>
      <c r="AP673" s="105"/>
      <c r="AQ673" s="105"/>
      <c r="AR673" s="105"/>
      <c r="AS673" s="105"/>
    </row>
    <row r="674" spans="1:45" ht="12" customHeight="1" x14ac:dyDescent="0.25">
      <c r="A674" s="90">
        <f t="shared" si="79"/>
        <v>673</v>
      </c>
      <c r="B674" s="91"/>
      <c r="C674" s="91" t="s">
        <v>4673</v>
      </c>
      <c r="D674" s="92" t="s">
        <v>4675</v>
      </c>
      <c r="E674" s="91" t="s">
        <v>4202</v>
      </c>
      <c r="F674" s="91" t="s">
        <v>0</v>
      </c>
      <c r="G674" s="56" t="s">
        <v>2136</v>
      </c>
      <c r="H674" s="91">
        <v>120</v>
      </c>
      <c r="I674" s="91" t="s">
        <v>207</v>
      </c>
      <c r="J674" s="91" t="s">
        <v>8</v>
      </c>
      <c r="K674" s="92" t="s">
        <v>9</v>
      </c>
      <c r="L674" s="93" t="str">
        <f>VLOOKUP(G674,'SKU 对应关系'!A:E,4,0)</f>
        <v>AN8-WH</v>
      </c>
      <c r="M674" s="94" t="str">
        <f>_xlfn.IFNA(VLOOKUP(G674,'SKU 对应关系'!A:B,2,0),"")</f>
        <v>AN8-WH 便携式扩香仪 白色</v>
      </c>
      <c r="N674" s="95" t="str">
        <f>_xlfn.IFNA(VLOOKUP(G674,'SKU 对应关系'!$A:$D,3,0),"")</f>
        <v>AN8</v>
      </c>
      <c r="O674" s="96">
        <v>3</v>
      </c>
      <c r="P674" s="580">
        <v>40.714285714285715</v>
      </c>
      <c r="Q674" s="96" t="s">
        <v>16</v>
      </c>
      <c r="R674" s="91">
        <v>4</v>
      </c>
      <c r="S674" s="95"/>
      <c r="T674" s="98">
        <v>4.1095890410958908</v>
      </c>
      <c r="U674" s="99">
        <f t="shared" si="81"/>
        <v>166.96673189823875</v>
      </c>
      <c r="V674" s="100">
        <f t="shared" si="82"/>
        <v>1.3913894324853229</v>
      </c>
      <c r="W674" s="101">
        <f t="shared" si="83"/>
        <v>0.20767006455004819</v>
      </c>
      <c r="X674" s="95"/>
      <c r="Y674" s="95"/>
      <c r="Z674" s="102"/>
      <c r="AA674" s="103">
        <v>46171</v>
      </c>
      <c r="AB674" s="103">
        <v>46202</v>
      </c>
      <c r="AC674" s="103"/>
      <c r="AD674" s="102"/>
      <c r="AE674" s="102"/>
      <c r="AF674" s="103"/>
      <c r="AG674" s="577">
        <f t="shared" si="80"/>
        <v>-46171</v>
      </c>
      <c r="AH674" s="103"/>
      <c r="AI674" s="96"/>
      <c r="AJ674" s="96"/>
      <c r="AK674" s="96"/>
      <c r="AL674" s="92"/>
      <c r="AM674" s="91"/>
      <c r="AN674" s="91"/>
      <c r="AO674" s="96"/>
      <c r="AP674" s="105"/>
      <c r="AQ674" s="105"/>
      <c r="AR674" s="105"/>
      <c r="AS674" s="105"/>
    </row>
    <row r="675" spans="1:45" ht="12" customHeight="1" x14ac:dyDescent="0.25">
      <c r="A675" s="90">
        <f t="shared" si="79"/>
        <v>674</v>
      </c>
      <c r="B675" s="91"/>
      <c r="C675" s="91" t="s">
        <v>4671</v>
      </c>
      <c r="D675" s="92" t="s">
        <v>4676</v>
      </c>
      <c r="E675" s="91" t="s">
        <v>1037</v>
      </c>
      <c r="F675" s="91" t="s">
        <v>0</v>
      </c>
      <c r="G675" s="56" t="s">
        <v>663</v>
      </c>
      <c r="H675" s="91">
        <v>16</v>
      </c>
      <c r="I675" s="91" t="s">
        <v>207</v>
      </c>
      <c r="J675" s="91" t="s">
        <v>8</v>
      </c>
      <c r="K675" s="92" t="s">
        <v>17</v>
      </c>
      <c r="L675" s="93" t="str">
        <f>VLOOKUP(G675,'SKU 对应关系'!A:E,4,0)</f>
        <v>MD1-SILV</v>
      </c>
      <c r="M675" s="94" t="str">
        <f>_xlfn.IFNA(VLOOKUP(G675,'SKU 对应关系'!A:B,2,0),"")</f>
        <v>MD1-SILV 电子球形把手锁 指纹 银色</v>
      </c>
      <c r="N675" s="95" t="str">
        <f>_xlfn.IFNA(VLOOKUP(G675,'SKU 对应关系'!$A:$D,3,0),"")</f>
        <v>MD1</v>
      </c>
      <c r="O675" s="96">
        <v>1</v>
      </c>
      <c r="P675" s="580">
        <v>14.333333333333334</v>
      </c>
      <c r="Q675" s="96" t="s">
        <v>16</v>
      </c>
      <c r="R675" s="91">
        <v>5.4</v>
      </c>
      <c r="S675" s="95">
        <v>200</v>
      </c>
      <c r="T675" s="98">
        <v>5</v>
      </c>
      <c r="U675" s="99">
        <f t="shared" si="81"/>
        <v>82.4</v>
      </c>
      <c r="V675" s="100">
        <f t="shared" si="82"/>
        <v>5.15</v>
      </c>
      <c r="W675" s="101">
        <f t="shared" si="83"/>
        <v>0.76865671641791045</v>
      </c>
      <c r="X675" s="95"/>
      <c r="Y675" s="95"/>
      <c r="Z675" s="102"/>
      <c r="AA675" s="103">
        <v>46171</v>
      </c>
      <c r="AB675" s="103">
        <v>46193</v>
      </c>
      <c r="AC675" s="103"/>
      <c r="AD675" s="102"/>
      <c r="AE675" s="102"/>
      <c r="AF675" s="103"/>
      <c r="AG675" s="577">
        <f t="shared" si="80"/>
        <v>-46171</v>
      </c>
      <c r="AH675" s="103"/>
      <c r="AI675" s="96"/>
      <c r="AJ675" s="96"/>
      <c r="AK675" s="96"/>
      <c r="AL675" s="92"/>
      <c r="AM675" s="91"/>
      <c r="AN675" s="91"/>
      <c r="AO675" s="96"/>
      <c r="AP675" s="105"/>
      <c r="AQ675" s="105"/>
      <c r="AR675" s="105"/>
      <c r="AS675" s="105"/>
    </row>
    <row r="676" spans="1:45" ht="12" customHeight="1" x14ac:dyDescent="0.25">
      <c r="A676" s="90">
        <f t="shared" si="79"/>
        <v>675</v>
      </c>
      <c r="B676" s="91"/>
      <c r="C676" s="91" t="s">
        <v>4671</v>
      </c>
      <c r="D676" s="92" t="s">
        <v>4676</v>
      </c>
      <c r="E676" s="91" t="s">
        <v>1037</v>
      </c>
      <c r="F676" s="91" t="s">
        <v>0</v>
      </c>
      <c r="G676" s="56" t="s">
        <v>779</v>
      </c>
      <c r="H676" s="91">
        <v>160</v>
      </c>
      <c r="I676" s="91" t="s">
        <v>207</v>
      </c>
      <c r="J676" s="91" t="s">
        <v>8</v>
      </c>
      <c r="K676" s="92" t="s">
        <v>17</v>
      </c>
      <c r="L676" s="93" t="str">
        <f>VLOOKUP(G676,'SKU 对应关系'!A:E,4,0)</f>
        <v>MK1-B</v>
      </c>
      <c r="M676" s="94" t="str">
        <f>_xlfn.IFNA(VLOOKUP(G676,'SKU 对应关系'!A:B,2,0),"")</f>
        <v>MK1-B 智能球形把手锁 黑色</v>
      </c>
      <c r="N676" s="95" t="str">
        <f>_xlfn.IFNA(VLOOKUP(G676,'SKU 对应关系'!$A:$D,3,0),"")</f>
        <v>MK1</v>
      </c>
      <c r="O676" s="96">
        <v>10</v>
      </c>
      <c r="P676" s="580">
        <v>143.33333333333334</v>
      </c>
      <c r="Q676" s="96" t="s">
        <v>16</v>
      </c>
      <c r="R676" s="91">
        <v>5.4</v>
      </c>
      <c r="S676" s="106">
        <v>200</v>
      </c>
      <c r="T676" s="98">
        <v>50</v>
      </c>
      <c r="U676" s="99">
        <f t="shared" si="81"/>
        <v>824.00000000000011</v>
      </c>
      <c r="V676" s="100">
        <f t="shared" si="82"/>
        <v>5.15</v>
      </c>
      <c r="W676" s="101">
        <f t="shared" si="83"/>
        <v>0.76865671641791045</v>
      </c>
      <c r="X676" s="95"/>
      <c r="Y676" s="95"/>
      <c r="Z676" s="102"/>
      <c r="AA676" s="103">
        <v>46171</v>
      </c>
      <c r="AB676" s="103">
        <v>46193</v>
      </c>
      <c r="AC676" s="103"/>
      <c r="AD676" s="102"/>
      <c r="AE676" s="102"/>
      <c r="AF676" s="103"/>
      <c r="AG676" s="577">
        <f t="shared" si="80"/>
        <v>-46171</v>
      </c>
      <c r="AH676" s="103"/>
      <c r="AI676" s="96"/>
      <c r="AJ676" s="96"/>
      <c r="AK676" s="96"/>
      <c r="AL676" s="92"/>
      <c r="AM676" s="91"/>
      <c r="AN676" s="91"/>
      <c r="AO676" s="96"/>
      <c r="AP676" s="105"/>
      <c r="AQ676" s="105"/>
      <c r="AR676" s="105"/>
      <c r="AS676" s="105"/>
    </row>
    <row r="677" spans="1:45" ht="12" customHeight="1" x14ac:dyDescent="0.25">
      <c r="A677" s="90">
        <f t="shared" si="79"/>
        <v>676</v>
      </c>
      <c r="B677" s="91"/>
      <c r="C677" s="91" t="s">
        <v>4671</v>
      </c>
      <c r="D677" s="92" t="s">
        <v>4676</v>
      </c>
      <c r="E677" s="91" t="s">
        <v>1037</v>
      </c>
      <c r="F677" s="91" t="s">
        <v>0</v>
      </c>
      <c r="G677" s="56" t="s">
        <v>549</v>
      </c>
      <c r="H677" s="91">
        <v>16</v>
      </c>
      <c r="I677" s="91" t="s">
        <v>207</v>
      </c>
      <c r="J677" s="91" t="s">
        <v>8</v>
      </c>
      <c r="K677" s="92" t="s">
        <v>17</v>
      </c>
      <c r="L677" s="93" t="str">
        <f>VLOOKUP(G677,'SKU 对应关系'!A:E,4,0)</f>
        <v>MK1-SILV</v>
      </c>
      <c r="M677" s="94" t="str">
        <f>_xlfn.IFNA(VLOOKUP(G677,'SKU 对应关系'!A:B,2,0),"")</f>
        <v>MK1-SILV 智能球形把手锁 银色</v>
      </c>
      <c r="N677" s="95" t="str">
        <f>_xlfn.IFNA(VLOOKUP(G677,'SKU 对应关系'!$A:$D,3,0),"")</f>
        <v>MK1</v>
      </c>
      <c r="O677" s="96">
        <v>1</v>
      </c>
      <c r="P677" s="580">
        <v>14.333333333333334</v>
      </c>
      <c r="Q677" s="96" t="s">
        <v>16</v>
      </c>
      <c r="R677" s="91">
        <v>5.4</v>
      </c>
      <c r="S677" s="95"/>
      <c r="T677" s="98">
        <v>5</v>
      </c>
      <c r="U677" s="99">
        <f t="shared" si="81"/>
        <v>82.4</v>
      </c>
      <c r="V677" s="100">
        <f t="shared" si="82"/>
        <v>5.15</v>
      </c>
      <c r="W677" s="101">
        <f t="shared" si="83"/>
        <v>0.76865671641791045</v>
      </c>
      <c r="X677" s="95"/>
      <c r="Y677" s="95"/>
      <c r="Z677" s="102"/>
      <c r="AA677" s="103">
        <v>46171</v>
      </c>
      <c r="AB677" s="103">
        <v>46193</v>
      </c>
      <c r="AC677" s="103"/>
      <c r="AD677" s="102"/>
      <c r="AE677" s="102"/>
      <c r="AF677" s="103"/>
      <c r="AG677" s="577">
        <f t="shared" si="80"/>
        <v>-46171</v>
      </c>
      <c r="AH677" s="103"/>
      <c r="AI677" s="96"/>
      <c r="AJ677" s="96"/>
      <c r="AK677" s="96"/>
      <c r="AL677" s="92"/>
      <c r="AM677" s="91"/>
      <c r="AN677" s="91"/>
      <c r="AO677" s="96"/>
      <c r="AP677" s="105"/>
      <c r="AQ677" s="105"/>
      <c r="AR677" s="105"/>
      <c r="AS677" s="105"/>
    </row>
    <row r="678" spans="1:45" ht="12" customHeight="1" x14ac:dyDescent="0.25">
      <c r="A678" s="90">
        <f t="shared" si="79"/>
        <v>677</v>
      </c>
      <c r="B678" s="91"/>
      <c r="C678" s="91" t="s">
        <v>4673</v>
      </c>
      <c r="D678" s="92" t="s">
        <v>4677</v>
      </c>
      <c r="E678" s="91" t="s">
        <v>4202</v>
      </c>
      <c r="F678" s="91" t="s">
        <v>0</v>
      </c>
      <c r="G678" s="56" t="s">
        <v>2439</v>
      </c>
      <c r="H678" s="91">
        <v>64</v>
      </c>
      <c r="I678" s="91" t="s">
        <v>207</v>
      </c>
      <c r="J678" s="91" t="s">
        <v>8</v>
      </c>
      <c r="K678" s="92" t="s">
        <v>17</v>
      </c>
      <c r="L678" s="93" t="str">
        <f>VLOOKUP(G678,'SKU 对应关系'!A:E,4,0)</f>
        <v>G1-B</v>
      </c>
      <c r="M678" s="94" t="str">
        <f>_xlfn.IFNA(VLOOKUP(G678,'SKU 对应关系'!A:B,2,0),"")</f>
        <v>G1-B 电子球形把手锁 黑色</v>
      </c>
      <c r="N678" s="95" t="str">
        <f>_xlfn.IFNA(VLOOKUP(G678,'SKU 对应关系'!$A:$D,3,0),"")</f>
        <v>G1</v>
      </c>
      <c r="O678" s="96">
        <v>4</v>
      </c>
      <c r="P678" s="580">
        <v>54.4</v>
      </c>
      <c r="Q678" s="96" t="s">
        <v>16</v>
      </c>
      <c r="R678" s="91">
        <v>5.4</v>
      </c>
      <c r="S678" s="95">
        <v>200</v>
      </c>
      <c r="T678" s="98">
        <v>5.4794520547945202</v>
      </c>
      <c r="U678" s="99">
        <f t="shared" si="81"/>
        <v>299.23945205479453</v>
      </c>
      <c r="V678" s="100">
        <f t="shared" si="82"/>
        <v>4.6756164383561645</v>
      </c>
      <c r="W678" s="101">
        <f t="shared" si="83"/>
        <v>0.69785319975465143</v>
      </c>
      <c r="X678" s="95"/>
      <c r="Y678" s="95"/>
      <c r="Z678" s="102"/>
      <c r="AA678" s="103">
        <v>46171</v>
      </c>
      <c r="AB678" s="103">
        <v>46202</v>
      </c>
      <c r="AC678" s="103"/>
      <c r="AD678" s="102"/>
      <c r="AE678" s="102"/>
      <c r="AF678" s="103"/>
      <c r="AG678" s="577">
        <f t="shared" si="80"/>
        <v>-46171</v>
      </c>
      <c r="AH678" s="103"/>
      <c r="AI678" s="96"/>
      <c r="AJ678" s="96"/>
      <c r="AK678" s="96"/>
      <c r="AL678" s="92"/>
      <c r="AM678" s="91"/>
      <c r="AN678" s="91"/>
      <c r="AO678" s="96"/>
      <c r="AP678" s="105"/>
      <c r="AQ678" s="105"/>
      <c r="AR678" s="105"/>
      <c r="AS678" s="105"/>
    </row>
    <row r="679" spans="1:45" ht="12" customHeight="1" x14ac:dyDescent="0.25">
      <c r="A679" s="90">
        <f t="shared" si="79"/>
        <v>678</v>
      </c>
      <c r="B679" s="91"/>
      <c r="C679" s="91" t="s">
        <v>4673</v>
      </c>
      <c r="D679" s="92" t="s">
        <v>4677</v>
      </c>
      <c r="E679" s="91" t="s">
        <v>4202</v>
      </c>
      <c r="F679" s="91" t="s">
        <v>0</v>
      </c>
      <c r="G679" s="56" t="s">
        <v>2443</v>
      </c>
      <c r="H679" s="91">
        <v>16</v>
      </c>
      <c r="I679" s="91" t="s">
        <v>207</v>
      </c>
      <c r="J679" s="91" t="s">
        <v>8</v>
      </c>
      <c r="K679" s="92" t="s">
        <v>17</v>
      </c>
      <c r="L679" s="93" t="str">
        <f>VLOOKUP(G679,'SKU 对应关系'!A:E,4,0)</f>
        <v>G1-SILV</v>
      </c>
      <c r="M679" s="94" t="str">
        <f>_xlfn.IFNA(VLOOKUP(G679,'SKU 对应关系'!A:B,2,0),"")</f>
        <v>G1-SILV 电子球形把手锁 银色</v>
      </c>
      <c r="N679" s="95" t="str">
        <f>_xlfn.IFNA(VLOOKUP(G679,'SKU 对应关系'!$A:$D,3,0),"")</f>
        <v>G1</v>
      </c>
      <c r="O679" s="96">
        <v>1</v>
      </c>
      <c r="P679" s="580">
        <v>13.6</v>
      </c>
      <c r="Q679" s="96" t="s">
        <v>16</v>
      </c>
      <c r="R679" s="91">
        <v>5.4</v>
      </c>
      <c r="S679" s="106">
        <v>200</v>
      </c>
      <c r="T679" s="98">
        <v>1.3698630136986301</v>
      </c>
      <c r="U679" s="99">
        <f t="shared" si="81"/>
        <v>74.809863013698632</v>
      </c>
      <c r="V679" s="100">
        <f t="shared" si="82"/>
        <v>4.6756164383561645</v>
      </c>
      <c r="W679" s="101">
        <f t="shared" si="83"/>
        <v>0.69785319975465143</v>
      </c>
      <c r="X679" s="95"/>
      <c r="Y679" s="95"/>
      <c r="Z679" s="102"/>
      <c r="AA679" s="103">
        <v>46171</v>
      </c>
      <c r="AB679" s="103">
        <v>46202</v>
      </c>
      <c r="AC679" s="103"/>
      <c r="AD679" s="102"/>
      <c r="AE679" s="102"/>
      <c r="AF679" s="103"/>
      <c r="AG679" s="577">
        <f t="shared" si="80"/>
        <v>-46171</v>
      </c>
      <c r="AH679" s="103"/>
      <c r="AI679" s="96"/>
      <c r="AJ679" s="96"/>
      <c r="AK679" s="96"/>
      <c r="AL679" s="92"/>
      <c r="AM679" s="91"/>
      <c r="AN679" s="91"/>
      <c r="AO679" s="96"/>
      <c r="AP679" s="105"/>
      <c r="AQ679" s="105"/>
      <c r="AR679" s="105"/>
      <c r="AS679" s="105"/>
    </row>
    <row r="680" spans="1:45" ht="12" customHeight="1" x14ac:dyDescent="0.25">
      <c r="A680" s="90">
        <f t="shared" si="79"/>
        <v>679</v>
      </c>
      <c r="B680" s="91"/>
      <c r="C680" s="91" t="s">
        <v>1183</v>
      </c>
      <c r="D680" s="92" t="s">
        <v>4678</v>
      </c>
      <c r="E680" s="91" t="s">
        <v>115</v>
      </c>
      <c r="F680" s="91" t="s">
        <v>0</v>
      </c>
      <c r="G680" s="56" t="s">
        <v>2864</v>
      </c>
      <c r="H680" s="91">
        <v>128</v>
      </c>
      <c r="I680" s="91" t="s">
        <v>1767</v>
      </c>
      <c r="J680" s="91" t="s">
        <v>8</v>
      </c>
      <c r="K680" s="92" t="s">
        <v>13</v>
      </c>
      <c r="L680" s="93" t="str">
        <f>VLOOKUP(G680,'SKU 对应关系'!A:E,4,0)</f>
        <v>BCRT1-100ML_TZ</v>
      </c>
      <c r="M680" s="94" t="str">
        <f>_xlfn.IFNA(VLOOKUP(G680,'SKU 对应关系'!A:B,2,0),"")</f>
        <v>BCRT1-100ML_TZ 巴卡拉酒店100mL香氛油（天竺） 销售包装</v>
      </c>
      <c r="N680" s="95" t="str">
        <f>_xlfn.IFNA(VLOOKUP(G680,'SKU 对应关系'!$A:$D,3,0),"")</f>
        <v>Oil-TZ</v>
      </c>
      <c r="O680" s="96">
        <v>2</v>
      </c>
      <c r="P680" s="580">
        <v>7.9333333333333325E-2</v>
      </c>
      <c r="Q680" s="96" t="s">
        <v>3264</v>
      </c>
      <c r="R680" s="91">
        <v>1300</v>
      </c>
      <c r="S680" s="95">
        <v>180</v>
      </c>
      <c r="T680" s="98">
        <v>12</v>
      </c>
      <c r="U680" s="99">
        <f t="shared" si="81"/>
        <v>115.13333333333333</v>
      </c>
      <c r="V680" s="100">
        <f t="shared" si="82"/>
        <v>0.89947916666666661</v>
      </c>
      <c r="W680" s="101">
        <f t="shared" si="83"/>
        <v>0.13425062189054726</v>
      </c>
      <c r="X680" s="95"/>
      <c r="Y680" s="95"/>
      <c r="Z680" s="102"/>
      <c r="AA680" s="103">
        <v>46171</v>
      </c>
      <c r="AB680" s="103">
        <v>46193</v>
      </c>
      <c r="AC680" s="103"/>
      <c r="AD680" s="102"/>
      <c r="AE680" s="102"/>
      <c r="AF680" s="103"/>
      <c r="AG680" s="577">
        <f t="shared" si="80"/>
        <v>-46171</v>
      </c>
      <c r="AH680" s="103"/>
      <c r="AI680" s="96"/>
      <c r="AJ680" s="96"/>
      <c r="AK680" s="96"/>
      <c r="AL680" s="92"/>
      <c r="AM680" s="91"/>
      <c r="AN680" s="91"/>
      <c r="AO680" s="96"/>
      <c r="AP680" s="105"/>
      <c r="AQ680" s="105"/>
      <c r="AR680" s="105"/>
      <c r="AS680" s="105"/>
    </row>
    <row r="681" spans="1:45" ht="12" customHeight="1" x14ac:dyDescent="0.25">
      <c r="A681" s="90">
        <f t="shared" si="79"/>
        <v>680</v>
      </c>
      <c r="B681" s="91"/>
      <c r="C681" s="91" t="s">
        <v>1183</v>
      </c>
      <c r="D681" s="92" t="s">
        <v>4678</v>
      </c>
      <c r="E681" s="91" t="s">
        <v>115</v>
      </c>
      <c r="F681" s="91" t="s">
        <v>0</v>
      </c>
      <c r="G681" s="56" t="s">
        <v>2937</v>
      </c>
      <c r="H681" s="91">
        <v>128</v>
      </c>
      <c r="I681" s="91" t="s">
        <v>1767</v>
      </c>
      <c r="J681" s="91" t="s">
        <v>8</v>
      </c>
      <c r="K681" s="92" t="s">
        <v>13</v>
      </c>
      <c r="L681" s="93" t="str">
        <f>VLOOKUP(G681,'SKU 对应关系'!A:E,4,0)</f>
        <v>SJ1-100ML_TZ</v>
      </c>
      <c r="M681" s="94" t="str">
        <f>_xlfn.IFNA(VLOOKUP(G681,'SKU 对应关系'!A:B,2,0),"")</f>
        <v>SJ1-100ML_TZ 四季酒店100mL香氛油（天竺） 销售包装</v>
      </c>
      <c r="N681" s="95" t="str">
        <f>_xlfn.IFNA(VLOOKUP(G681,'SKU 对应关系'!$A:$D,3,0),"")</f>
        <v>Oil-TZ</v>
      </c>
      <c r="O681" s="96">
        <v>2</v>
      </c>
      <c r="P681" s="580">
        <v>7.9333333333333325E-2</v>
      </c>
      <c r="Q681" s="96" t="s">
        <v>3264</v>
      </c>
      <c r="R681" s="91">
        <v>1300</v>
      </c>
      <c r="S681" s="106">
        <v>180</v>
      </c>
      <c r="T681" s="98">
        <v>12</v>
      </c>
      <c r="U681" s="99">
        <f t="shared" si="81"/>
        <v>115.13333333333333</v>
      </c>
      <c r="V681" s="100">
        <f t="shared" si="82"/>
        <v>0.89947916666666661</v>
      </c>
      <c r="W681" s="101">
        <f t="shared" si="83"/>
        <v>0.13425062189054726</v>
      </c>
      <c r="X681" s="95"/>
      <c r="Y681" s="95"/>
      <c r="Z681" s="102"/>
      <c r="AA681" s="103">
        <v>46171</v>
      </c>
      <c r="AB681" s="103">
        <v>46193</v>
      </c>
      <c r="AC681" s="103"/>
      <c r="AD681" s="102"/>
      <c r="AE681" s="102"/>
      <c r="AF681" s="103"/>
      <c r="AG681" s="577">
        <f t="shared" si="80"/>
        <v>-46171</v>
      </c>
      <c r="AH681" s="103"/>
      <c r="AI681" s="96"/>
      <c r="AJ681" s="96"/>
      <c r="AK681" s="96"/>
      <c r="AL681" s="92"/>
      <c r="AM681" s="91"/>
      <c r="AN681" s="91"/>
      <c r="AO681" s="96"/>
      <c r="AP681" s="105"/>
      <c r="AQ681" s="105"/>
      <c r="AR681" s="105"/>
      <c r="AS681" s="105"/>
    </row>
    <row r="682" spans="1:45" ht="12" customHeight="1" x14ac:dyDescent="0.25">
      <c r="A682" s="90">
        <f t="shared" si="79"/>
        <v>681</v>
      </c>
      <c r="B682" s="91"/>
      <c r="C682" s="91" t="s">
        <v>1183</v>
      </c>
      <c r="D682" s="92" t="s">
        <v>4678</v>
      </c>
      <c r="E682" s="91" t="s">
        <v>115</v>
      </c>
      <c r="F682" s="91" t="s">
        <v>0</v>
      </c>
      <c r="G682" s="56" t="s">
        <v>2863</v>
      </c>
      <c r="H682" s="91">
        <v>256</v>
      </c>
      <c r="I682" s="91" t="s">
        <v>1767</v>
      </c>
      <c r="J682" s="91" t="s">
        <v>8</v>
      </c>
      <c r="K682" s="92" t="s">
        <v>13</v>
      </c>
      <c r="L682" s="93" t="str">
        <f>VLOOKUP(G682,'SKU 对应关系'!A:E,4,0)</f>
        <v>W1-100ML_TZ</v>
      </c>
      <c r="M682" s="94" t="str">
        <f>_xlfn.IFNA(VLOOKUP(G682,'SKU 对应关系'!A:B,2,0),"")</f>
        <v>W1-100ML_TZ W酒店100mL香氛油（天竺） 销售包装</v>
      </c>
      <c r="N682" s="95" t="str">
        <f>_xlfn.IFNA(VLOOKUP(G682,'SKU 对应关系'!$A:$D,3,0),"")</f>
        <v>Oil-TZ</v>
      </c>
      <c r="O682" s="96">
        <v>4</v>
      </c>
      <c r="P682" s="580">
        <v>0.15866666666666665</v>
      </c>
      <c r="Q682" s="96" t="s">
        <v>3264</v>
      </c>
      <c r="R682" s="91">
        <v>1300</v>
      </c>
      <c r="S682" s="95"/>
      <c r="T682" s="98">
        <v>24</v>
      </c>
      <c r="U682" s="99">
        <f t="shared" si="81"/>
        <v>230.26666666666665</v>
      </c>
      <c r="V682" s="100">
        <f t="shared" si="82"/>
        <v>0.89947916666666661</v>
      </c>
      <c r="W682" s="101">
        <f t="shared" si="83"/>
        <v>0.13425062189054726</v>
      </c>
      <c r="X682" s="95"/>
      <c r="Y682" s="95"/>
      <c r="Z682" s="102"/>
      <c r="AA682" s="103">
        <v>46171</v>
      </c>
      <c r="AB682" s="103">
        <v>46193</v>
      </c>
      <c r="AC682" s="103"/>
      <c r="AD682" s="102"/>
      <c r="AE682" s="102"/>
      <c r="AF682" s="103"/>
      <c r="AG682" s="577">
        <f t="shared" si="80"/>
        <v>-46171</v>
      </c>
      <c r="AH682" s="103"/>
      <c r="AI682" s="96"/>
      <c r="AJ682" s="96"/>
      <c r="AK682" s="96"/>
      <c r="AL682" s="92"/>
      <c r="AM682" s="91"/>
      <c r="AN682" s="91"/>
      <c r="AO682" s="96"/>
      <c r="AP682" s="105"/>
      <c r="AQ682" s="105"/>
      <c r="AR682" s="105"/>
      <c r="AS682" s="105"/>
    </row>
    <row r="683" spans="1:45" ht="12" customHeight="1" x14ac:dyDescent="0.25">
      <c r="A683" s="90">
        <f t="shared" si="79"/>
        <v>682</v>
      </c>
      <c r="B683" s="91"/>
      <c r="C683" s="91" t="s">
        <v>1183</v>
      </c>
      <c r="D683" s="92" t="s">
        <v>4678</v>
      </c>
      <c r="E683" s="91" t="s">
        <v>115</v>
      </c>
      <c r="F683" s="91" t="s">
        <v>0</v>
      </c>
      <c r="G683" s="56" t="s">
        <v>2295</v>
      </c>
      <c r="H683" s="91">
        <v>1280</v>
      </c>
      <c r="I683" s="91" t="s">
        <v>1767</v>
      </c>
      <c r="J683" s="91" t="s">
        <v>8</v>
      </c>
      <c r="K683" s="92" t="s">
        <v>13</v>
      </c>
      <c r="L683" s="93" t="str">
        <f>VLOOKUP(G683,'SKU 对应关系'!A:E,4,0)</f>
        <v>HILTON1-100ML_TZ</v>
      </c>
      <c r="M683" s="94" t="str">
        <f>_xlfn.IFNA(VLOOKUP(G683,'SKU 对应关系'!A:B,2,0),"")</f>
        <v>HILTON1-100ML_TZ 希尔顿酒店100mL香氛油（天竺） 销售包装</v>
      </c>
      <c r="N683" s="95" t="str">
        <f>_xlfn.IFNA(VLOOKUP(G683,'SKU 对应关系'!$A:$D,3,0),"")</f>
        <v>Oil-TZ</v>
      </c>
      <c r="O683" s="96">
        <v>20</v>
      </c>
      <c r="P683" s="580">
        <v>0.79333333333333322</v>
      </c>
      <c r="Q683" s="96" t="s">
        <v>3264</v>
      </c>
      <c r="R683" s="91">
        <v>1300</v>
      </c>
      <c r="S683" s="95"/>
      <c r="T683" s="98">
        <v>120</v>
      </c>
      <c r="U683" s="99">
        <f t="shared" si="81"/>
        <v>1151.3333333333333</v>
      </c>
      <c r="V683" s="100">
        <f t="shared" si="82"/>
        <v>0.89947916666666661</v>
      </c>
      <c r="W683" s="101">
        <f t="shared" si="83"/>
        <v>0.13425062189054726</v>
      </c>
      <c r="X683" s="95"/>
      <c r="Y683" s="95"/>
      <c r="Z683" s="102"/>
      <c r="AA683" s="103">
        <v>46171</v>
      </c>
      <c r="AB683" s="103">
        <v>46193</v>
      </c>
      <c r="AC683" s="103"/>
      <c r="AD683" s="102"/>
      <c r="AE683" s="102"/>
      <c r="AF683" s="103"/>
      <c r="AG683" s="577">
        <f t="shared" si="80"/>
        <v>-46171</v>
      </c>
      <c r="AH683" s="103"/>
      <c r="AI683" s="96"/>
      <c r="AJ683" s="96"/>
      <c r="AK683" s="96"/>
      <c r="AL683" s="92"/>
      <c r="AM683" s="91"/>
      <c r="AN683" s="91"/>
      <c r="AO683" s="96"/>
      <c r="AP683" s="105"/>
      <c r="AQ683" s="105"/>
      <c r="AR683" s="105"/>
      <c r="AS683" s="105"/>
    </row>
    <row r="684" spans="1:45" ht="12" customHeight="1" x14ac:dyDescent="0.25">
      <c r="A684" s="90">
        <f t="shared" si="79"/>
        <v>683</v>
      </c>
      <c r="B684" s="91"/>
      <c r="C684" s="91" t="s">
        <v>1183</v>
      </c>
      <c r="D684" s="92" t="s">
        <v>4678</v>
      </c>
      <c r="E684" s="91" t="s">
        <v>115</v>
      </c>
      <c r="F684" s="91" t="s">
        <v>0</v>
      </c>
      <c r="G684" s="56" t="s">
        <v>4135</v>
      </c>
      <c r="H684" s="91">
        <v>128</v>
      </c>
      <c r="I684" s="91" t="s">
        <v>1767</v>
      </c>
      <c r="J684" s="91" t="s">
        <v>8</v>
      </c>
      <c r="K684" s="92" t="s">
        <v>13</v>
      </c>
      <c r="L684" s="93" t="str">
        <f>VLOOKUP(G684,'SKU 对应关系'!A:E,4,0)</f>
        <v>ATS1_100ML_TZ</v>
      </c>
      <c r="M684" s="94" t="str">
        <f>_xlfn.IFNA(VLOOKUP(G684,'SKU 对应关系'!A:B,2,0),"")</f>
        <v>ATS1_100ML_TZ 亚特兰蒂斯酒店100mL香氛油（天竺） 销售包装</v>
      </c>
      <c r="N684" s="95" t="str">
        <f>_xlfn.IFNA(VLOOKUP(G684,'SKU 对应关系'!$A:$D,3,0),"")</f>
        <v>Oil-TZ</v>
      </c>
      <c r="O684" s="96">
        <v>2</v>
      </c>
      <c r="P684" s="580">
        <v>7.9333333333333325E-2</v>
      </c>
      <c r="Q684" s="96" t="s">
        <v>3264</v>
      </c>
      <c r="R684" s="91">
        <v>1300</v>
      </c>
      <c r="S684" s="95"/>
      <c r="T684" s="98">
        <v>12</v>
      </c>
      <c r="U684" s="99">
        <f t="shared" si="81"/>
        <v>115.13333333333333</v>
      </c>
      <c r="V684" s="100">
        <f t="shared" si="82"/>
        <v>0.89947916666666661</v>
      </c>
      <c r="W684" s="101">
        <f t="shared" si="83"/>
        <v>0.13425062189054726</v>
      </c>
      <c r="X684" s="95"/>
      <c r="Y684" s="95"/>
      <c r="Z684" s="102"/>
      <c r="AA684" s="103">
        <v>46171</v>
      </c>
      <c r="AB684" s="103">
        <v>46193</v>
      </c>
      <c r="AC684" s="103"/>
      <c r="AD684" s="102"/>
      <c r="AE684" s="102"/>
      <c r="AF684" s="103"/>
      <c r="AG684" s="577">
        <f t="shared" si="80"/>
        <v>-46171</v>
      </c>
      <c r="AH684" s="103"/>
      <c r="AI684" s="96"/>
      <c r="AJ684" s="96"/>
      <c r="AK684" s="96"/>
      <c r="AL684" s="92"/>
      <c r="AM684" s="91"/>
      <c r="AN684" s="91"/>
      <c r="AO684" s="96"/>
      <c r="AP684" s="105"/>
      <c r="AQ684" s="105"/>
      <c r="AR684" s="105"/>
      <c r="AS684" s="105"/>
    </row>
    <row r="685" spans="1:45" ht="12" customHeight="1" x14ac:dyDescent="0.25">
      <c r="A685" s="90">
        <f t="shared" ref="A685:A748" si="84">ROW(A684)</f>
        <v>684</v>
      </c>
      <c r="B685" s="91"/>
      <c r="C685" s="91" t="s">
        <v>1193</v>
      </c>
      <c r="D685" s="92" t="s">
        <v>4679</v>
      </c>
      <c r="E685" s="91" t="s">
        <v>4202</v>
      </c>
      <c r="F685" s="91" t="s">
        <v>0</v>
      </c>
      <c r="G685" s="56" t="s">
        <v>4442</v>
      </c>
      <c r="H685" s="91">
        <v>100</v>
      </c>
      <c r="I685" s="91" t="s">
        <v>1767</v>
      </c>
      <c r="J685" s="91" t="s">
        <v>8</v>
      </c>
      <c r="K685" s="92" t="s">
        <v>17</v>
      </c>
      <c r="L685" s="93" t="str">
        <f>VLOOKUP(G685,'SKU 对应关系'!A:E,4,0)</f>
        <v>RZ1-500ML_TZ</v>
      </c>
      <c r="M685" s="94" t="str">
        <f>_xlfn.IFNA(VLOOKUP(G685,'SKU 对应关系'!A:B,2,0),"")</f>
        <v>RZ1-500ML_TZ 丽思卡尔顿酒店500mL香氛油（天竺） 销售包装</v>
      </c>
      <c r="N685" s="95" t="str">
        <f>_xlfn.IFNA(VLOOKUP(G685,'SKU 对应关系'!$A:$D,3,0),"")</f>
        <v>Oil-TZ</v>
      </c>
      <c r="O685" s="96">
        <v>5</v>
      </c>
      <c r="P685" s="580">
        <v>0.18857142857142856</v>
      </c>
      <c r="Q685" s="96" t="s">
        <v>3264</v>
      </c>
      <c r="R685" s="91">
        <v>1610</v>
      </c>
      <c r="S685" s="95">
        <v>180</v>
      </c>
      <c r="T685" s="98">
        <v>25.714285714285715</v>
      </c>
      <c r="U685" s="99">
        <f t="shared" si="81"/>
        <v>329.31428571428569</v>
      </c>
      <c r="V685" s="100">
        <f t="shared" si="82"/>
        <v>3.2931428571428567</v>
      </c>
      <c r="W685" s="101">
        <f t="shared" si="83"/>
        <v>0.4915138592750532</v>
      </c>
      <c r="X685" s="95"/>
      <c r="Y685" s="95"/>
      <c r="Z685" s="102"/>
      <c r="AA685" s="103">
        <v>46171</v>
      </c>
      <c r="AB685" s="103">
        <v>46196</v>
      </c>
      <c r="AC685" s="103"/>
      <c r="AD685" s="102"/>
      <c r="AE685" s="102"/>
      <c r="AF685" s="103"/>
      <c r="AG685" s="577">
        <f t="shared" si="80"/>
        <v>-46171</v>
      </c>
      <c r="AH685" s="103"/>
      <c r="AI685" s="96"/>
      <c r="AJ685" s="96"/>
      <c r="AK685" s="96"/>
      <c r="AL685" s="92"/>
      <c r="AM685" s="91"/>
      <c r="AN685" s="91"/>
      <c r="AO685" s="96"/>
      <c r="AP685" s="105"/>
      <c r="AQ685" s="105"/>
      <c r="AR685" s="105"/>
      <c r="AS685" s="105"/>
    </row>
    <row r="686" spans="1:45" ht="12" customHeight="1" x14ac:dyDescent="0.25">
      <c r="A686" s="90">
        <f t="shared" si="84"/>
        <v>685</v>
      </c>
      <c r="B686" s="91"/>
      <c r="C686" s="91" t="s">
        <v>1193</v>
      </c>
      <c r="D686" s="92" t="s">
        <v>4679</v>
      </c>
      <c r="E686" s="91" t="s">
        <v>4202</v>
      </c>
      <c r="F686" s="91" t="s">
        <v>0</v>
      </c>
      <c r="G686" s="56" t="s">
        <v>4214</v>
      </c>
      <c r="H686" s="91">
        <v>1920</v>
      </c>
      <c r="I686" s="91" t="s">
        <v>1767</v>
      </c>
      <c r="J686" s="91" t="s">
        <v>8</v>
      </c>
      <c r="K686" s="92" t="s">
        <v>17</v>
      </c>
      <c r="L686" s="93" t="str">
        <f>VLOOKUP(G686,'SKU 对应关系'!A:E,4,0)</f>
        <v>RZ1-100ML_TZ</v>
      </c>
      <c r="M686" s="94" t="str">
        <f>_xlfn.IFNA(VLOOKUP(G686,'SKU 对应关系'!A:B,2,0),"")</f>
        <v>RZ1-100ML_TZ 丽思卡尔顿酒店100mL香氛油（天竺） 销售包装</v>
      </c>
      <c r="N686" s="95" t="str">
        <f>_xlfn.IFNA(VLOOKUP(G686,'SKU 对应关系'!$A:$D,3,0),"")</f>
        <v>Oil-TZ</v>
      </c>
      <c r="O686" s="96">
        <v>30</v>
      </c>
      <c r="P686" s="580">
        <v>1.1314285714285715</v>
      </c>
      <c r="Q686" s="96" t="s">
        <v>3264</v>
      </c>
      <c r="R686" s="91">
        <v>1610</v>
      </c>
      <c r="S686" s="106">
        <v>180</v>
      </c>
      <c r="T686" s="98">
        <v>154.28571428571428</v>
      </c>
      <c r="U686" s="99">
        <f t="shared" si="81"/>
        <v>1975.8857142857144</v>
      </c>
      <c r="V686" s="100">
        <f t="shared" si="82"/>
        <v>1.029107142857143</v>
      </c>
      <c r="W686" s="101">
        <f t="shared" si="83"/>
        <v>0.15359808102345418</v>
      </c>
      <c r="X686" s="95"/>
      <c r="Y686" s="95"/>
      <c r="Z686" s="102"/>
      <c r="AA686" s="103">
        <v>46171</v>
      </c>
      <c r="AB686" s="103">
        <v>46196</v>
      </c>
      <c r="AC686" s="103"/>
      <c r="AD686" s="102"/>
      <c r="AE686" s="102"/>
      <c r="AF686" s="103"/>
      <c r="AG686" s="577">
        <f t="shared" si="80"/>
        <v>-46171</v>
      </c>
      <c r="AH686" s="103"/>
      <c r="AI686" s="96"/>
      <c r="AJ686" s="96"/>
      <c r="AK686" s="96"/>
      <c r="AL686" s="92"/>
      <c r="AM686" s="91"/>
      <c r="AN686" s="91"/>
      <c r="AO686" s="96"/>
      <c r="AP686" s="105"/>
      <c r="AQ686" s="105"/>
      <c r="AR686" s="105"/>
      <c r="AS686" s="105"/>
    </row>
    <row r="687" spans="1:45" ht="12" customHeight="1" x14ac:dyDescent="0.25">
      <c r="A687" s="90">
        <f t="shared" si="84"/>
        <v>686</v>
      </c>
      <c r="B687" s="91"/>
      <c r="C687" s="91" t="s">
        <v>4671</v>
      </c>
      <c r="D687" s="92" t="s">
        <v>4680</v>
      </c>
      <c r="E687" s="91" t="s">
        <v>115</v>
      </c>
      <c r="F687" s="91" t="s">
        <v>0</v>
      </c>
      <c r="G687" s="56" t="s">
        <v>614</v>
      </c>
      <c r="H687" s="91">
        <v>468</v>
      </c>
      <c r="I687" s="91" t="s">
        <v>207</v>
      </c>
      <c r="J687" s="91" t="s">
        <v>8</v>
      </c>
      <c r="K687" s="92" t="s">
        <v>10</v>
      </c>
      <c r="L687" s="93" t="str">
        <f>VLOOKUP(G687,'SKU 对应关系'!A:E,4,0)</f>
        <v>AP2F-H14</v>
      </c>
      <c r="M687" s="94" t="str">
        <f>_xlfn.IFNA(VLOOKUP(G687,'SKU 对应关系'!A:B,2,0),"")</f>
        <v>AP2F-H14 空气净化器滤网2-H14</v>
      </c>
      <c r="N687" s="95" t="str">
        <f>_xlfn.IFNA(VLOOKUP(G687,'SKU 对应关系'!$A:$D,3,0),"")</f>
        <v>AP2F</v>
      </c>
      <c r="O687" s="96">
        <v>13</v>
      </c>
      <c r="P687" s="580">
        <v>296</v>
      </c>
      <c r="Q687" s="96" t="s">
        <v>16</v>
      </c>
      <c r="R687" s="91">
        <v>5</v>
      </c>
      <c r="S687" s="95">
        <v>200</v>
      </c>
      <c r="T687" s="98">
        <v>65</v>
      </c>
      <c r="U687" s="99">
        <f t="shared" si="81"/>
        <v>1545</v>
      </c>
      <c r="V687" s="100">
        <f t="shared" si="82"/>
        <v>3.3012820512820511</v>
      </c>
      <c r="W687" s="101">
        <f t="shared" si="83"/>
        <v>0.49272866437045537</v>
      </c>
      <c r="X687" s="95"/>
      <c r="Y687" s="95"/>
      <c r="Z687" s="102"/>
      <c r="AA687" s="103">
        <v>46171</v>
      </c>
      <c r="AB687" s="103">
        <v>46193</v>
      </c>
      <c r="AC687" s="103"/>
      <c r="AD687" s="102"/>
      <c r="AE687" s="102"/>
      <c r="AF687" s="103"/>
      <c r="AG687" s="577">
        <f t="shared" si="80"/>
        <v>-46171</v>
      </c>
      <c r="AH687" s="103"/>
      <c r="AI687" s="96"/>
      <c r="AJ687" s="96"/>
      <c r="AK687" s="96"/>
      <c r="AL687" s="92"/>
      <c r="AM687" s="91"/>
      <c r="AN687" s="91"/>
      <c r="AO687" s="96"/>
      <c r="AP687" s="105"/>
      <c r="AQ687" s="105"/>
      <c r="AR687" s="105"/>
      <c r="AS687" s="105"/>
    </row>
    <row r="688" spans="1:45" ht="12" customHeight="1" x14ac:dyDescent="0.25">
      <c r="A688" s="90">
        <f t="shared" si="84"/>
        <v>687</v>
      </c>
      <c r="B688" s="91"/>
      <c r="C688" s="91" t="s">
        <v>4697</v>
      </c>
      <c r="D688" s="92" t="s">
        <v>4698</v>
      </c>
      <c r="E688" s="91" t="s">
        <v>115</v>
      </c>
      <c r="F688" s="91" t="s">
        <v>0</v>
      </c>
      <c r="G688" s="56" t="s">
        <v>2195</v>
      </c>
      <c r="H688" s="91">
        <v>400</v>
      </c>
      <c r="I688" s="91" t="s">
        <v>89</v>
      </c>
      <c r="J688" s="91" t="s">
        <v>8</v>
      </c>
      <c r="K688" s="92" t="s">
        <v>9</v>
      </c>
      <c r="L688" s="93" t="str">
        <f>VLOOKUP(G688,'SKU 对应关系'!A:E,4,0)</f>
        <v>ANZ-B</v>
      </c>
      <c r="M688" s="94" t="str">
        <f>_xlfn.IFNA(VLOOKUP(G688,'SKU 对应关系'!A:B,2,0),"")</f>
        <v>ANZ-B 便携式扩香仪 黑色</v>
      </c>
      <c r="N688" s="95" t="str">
        <f>_xlfn.IFNA(VLOOKUP(G688,'SKU 对应关系'!$A:$D,3,0),"")</f>
        <v>ANZ</v>
      </c>
      <c r="O688" s="96">
        <v>10</v>
      </c>
      <c r="P688" s="580">
        <v>133.39500000000001</v>
      </c>
      <c r="Q688" s="96" t="s">
        <v>16</v>
      </c>
      <c r="R688" s="91">
        <v>5.4</v>
      </c>
      <c r="S688" s="106">
        <v>200</v>
      </c>
      <c r="T688" s="98">
        <v>17.857142857142858</v>
      </c>
      <c r="U688" s="99">
        <f t="shared" ref="U688:U737" si="85">R688*P688+T688</f>
        <v>738.19014285714297</v>
      </c>
      <c r="V688" s="100">
        <f t="shared" ref="V688:V737" si="86">U688/H688</f>
        <v>1.8454753571428575</v>
      </c>
      <c r="W688" s="101">
        <f t="shared" ref="W688:W737" si="87">V688/6.7</f>
        <v>0.27544408315565039</v>
      </c>
      <c r="X688" s="95"/>
      <c r="Y688" s="95"/>
      <c r="Z688" s="102"/>
      <c r="AA688" s="103">
        <v>46179</v>
      </c>
      <c r="AB688" s="103">
        <v>46205</v>
      </c>
      <c r="AC688" s="103"/>
      <c r="AD688" s="102"/>
      <c r="AE688" s="102"/>
      <c r="AF688" s="103"/>
      <c r="AG688" s="577">
        <f t="shared" si="80"/>
        <v>-46179</v>
      </c>
      <c r="AH688" s="103"/>
      <c r="AI688" s="96"/>
      <c r="AJ688" s="96"/>
      <c r="AK688" s="96"/>
      <c r="AL688" s="92"/>
      <c r="AM688" s="91"/>
      <c r="AN688" s="91"/>
      <c r="AO688" s="96"/>
      <c r="AP688" s="105"/>
      <c r="AQ688" s="105"/>
      <c r="AR688" s="105"/>
      <c r="AS688" s="105"/>
    </row>
    <row r="689" spans="1:45" ht="12" customHeight="1" x14ac:dyDescent="0.25">
      <c r="A689" s="90">
        <f t="shared" si="84"/>
        <v>688</v>
      </c>
      <c r="B689" s="91"/>
      <c r="C689" s="91" t="s">
        <v>4697</v>
      </c>
      <c r="D689" s="92" t="s">
        <v>4698</v>
      </c>
      <c r="E689" s="91" t="s">
        <v>115</v>
      </c>
      <c r="F689" s="91" t="s">
        <v>0</v>
      </c>
      <c r="G689" s="56" t="s">
        <v>2866</v>
      </c>
      <c r="H689" s="91">
        <v>200</v>
      </c>
      <c r="I689" s="91" t="s">
        <v>89</v>
      </c>
      <c r="J689" s="91" t="s">
        <v>8</v>
      </c>
      <c r="K689" s="92" t="s">
        <v>9</v>
      </c>
      <c r="L689" s="93" t="str">
        <f>VLOOKUP(G689,'SKU 对应关系'!A:E,4,0)</f>
        <v>ANZKIT-B_B</v>
      </c>
      <c r="M689" s="94" t="str">
        <f>_xlfn.IFNA(VLOOKUP(G689,'SKU 对应关系'!A:B,2,0),"")</f>
        <v>ANZKIT-B_B 便携式扩香仪 黑色 两个装</v>
      </c>
      <c r="N689" s="95" t="str">
        <f>_xlfn.IFNA(VLOOKUP(G689,'SKU 对应关系'!$A:$D,3,0),"")</f>
        <v>ANZ</v>
      </c>
      <c r="O689" s="96">
        <v>10</v>
      </c>
      <c r="P689" s="580">
        <v>133.39500000000001</v>
      </c>
      <c r="Q689" s="96" t="s">
        <v>16</v>
      </c>
      <c r="R689" s="91">
        <v>5.4</v>
      </c>
      <c r="S689" s="95"/>
      <c r="T689" s="98">
        <v>17.857142857142858</v>
      </c>
      <c r="U689" s="99">
        <f t="shared" si="85"/>
        <v>738.19014285714297</v>
      </c>
      <c r="V689" s="100">
        <f t="shared" si="86"/>
        <v>3.690950714285715</v>
      </c>
      <c r="W689" s="101">
        <f t="shared" si="87"/>
        <v>0.55088816631130078</v>
      </c>
      <c r="X689" s="95"/>
      <c r="Y689" s="95"/>
      <c r="Z689" s="102"/>
      <c r="AA689" s="103">
        <v>46179</v>
      </c>
      <c r="AB689" s="103">
        <v>46205</v>
      </c>
      <c r="AC689" s="103"/>
      <c r="AD689" s="102"/>
      <c r="AE689" s="102"/>
      <c r="AF689" s="103"/>
      <c r="AG689" s="577">
        <f t="shared" si="80"/>
        <v>-46179</v>
      </c>
      <c r="AH689" s="103"/>
      <c r="AI689" s="96"/>
      <c r="AJ689" s="96"/>
      <c r="AK689" s="96"/>
      <c r="AL689" s="92"/>
      <c r="AM689" s="91"/>
      <c r="AN689" s="91"/>
      <c r="AO689" s="96"/>
      <c r="AP689" s="105"/>
      <c r="AQ689" s="105"/>
      <c r="AR689" s="105"/>
      <c r="AS689" s="105"/>
    </row>
    <row r="690" spans="1:45" ht="12" customHeight="1" x14ac:dyDescent="0.25">
      <c r="A690" s="90">
        <f t="shared" si="84"/>
        <v>689</v>
      </c>
      <c r="B690" s="91"/>
      <c r="C690" s="91" t="s">
        <v>4697</v>
      </c>
      <c r="D690" s="92" t="s">
        <v>4699</v>
      </c>
      <c r="E690" s="91" t="s">
        <v>115</v>
      </c>
      <c r="F690" s="91" t="s">
        <v>0</v>
      </c>
      <c r="G690" s="56" t="s">
        <v>872</v>
      </c>
      <c r="H690" s="91">
        <v>1800</v>
      </c>
      <c r="I690" s="91" t="s">
        <v>89</v>
      </c>
      <c r="J690" s="91" t="s">
        <v>8</v>
      </c>
      <c r="K690" s="92" t="s">
        <v>9</v>
      </c>
      <c r="L690" s="93" t="str">
        <f>VLOOKUP(G690,'SKU 对应关系'!A:E,4,0)</f>
        <v>AN6KIT-B_RZ30ml</v>
      </c>
      <c r="M690" s="94" t="str">
        <f>_xlfn.IFNA(VLOOKUP(G690,'SKU 对应关系'!A:B,2,0),"")</f>
        <v>AN6KIT-B_RZ30ml AN6黑色机器+30mL丽思香氛油 机油套装</v>
      </c>
      <c r="N690" s="95" t="str">
        <f>_xlfn.IFNA(VLOOKUP(G690,'SKU 对应关系'!$A:$D,3,0),"")</f>
        <v>AN6</v>
      </c>
      <c r="O690" s="96">
        <v>60</v>
      </c>
      <c r="P690" s="580">
        <v>800.38</v>
      </c>
      <c r="Q690" s="96" t="s">
        <v>16</v>
      </c>
      <c r="R690" s="91">
        <v>5.4</v>
      </c>
      <c r="S690" s="95"/>
      <c r="T690" s="98">
        <v>107.14285714285714</v>
      </c>
      <c r="U690" s="99">
        <f t="shared" si="85"/>
        <v>4429.1948571428575</v>
      </c>
      <c r="V690" s="100">
        <f t="shared" si="86"/>
        <v>2.4606638095238096</v>
      </c>
      <c r="W690" s="101">
        <f t="shared" si="87"/>
        <v>0.36726325515280739</v>
      </c>
      <c r="X690" s="95"/>
      <c r="Y690" s="95"/>
      <c r="Z690" s="102"/>
      <c r="AA690" s="103">
        <v>46179</v>
      </c>
      <c r="AB690" s="103">
        <v>46205</v>
      </c>
      <c r="AC690" s="103"/>
      <c r="AD690" s="102"/>
      <c r="AE690" s="102"/>
      <c r="AF690" s="103"/>
      <c r="AG690" s="577">
        <f t="shared" si="80"/>
        <v>-46179</v>
      </c>
      <c r="AH690" s="103"/>
      <c r="AI690" s="96"/>
      <c r="AJ690" s="96"/>
      <c r="AK690" s="96"/>
      <c r="AL690" s="92"/>
      <c r="AM690" s="91"/>
      <c r="AN690" s="91"/>
      <c r="AO690" s="96"/>
      <c r="AP690" s="105"/>
      <c r="AQ690" s="105"/>
      <c r="AR690" s="105"/>
      <c r="AS690" s="105"/>
    </row>
    <row r="691" spans="1:45" ht="12" customHeight="1" x14ac:dyDescent="0.25">
      <c r="A691" s="90">
        <f t="shared" si="84"/>
        <v>690</v>
      </c>
      <c r="B691" s="91"/>
      <c r="C691" s="91" t="s">
        <v>1225</v>
      </c>
      <c r="D691" s="92" t="s">
        <v>4700</v>
      </c>
      <c r="E691" s="91" t="s">
        <v>254</v>
      </c>
      <c r="F691" s="91" t="s">
        <v>255</v>
      </c>
      <c r="G691" s="56" t="s">
        <v>163</v>
      </c>
      <c r="H691" s="91">
        <v>280</v>
      </c>
      <c r="I691" s="91" t="s">
        <v>207</v>
      </c>
      <c r="J691" s="91" t="s">
        <v>2313</v>
      </c>
      <c r="K691" s="92" t="s">
        <v>437</v>
      </c>
      <c r="L691" s="93" t="str">
        <f>VLOOKUP(G691,'SKU 对应关系'!A:E,4,0)</f>
        <v>AN6-B</v>
      </c>
      <c r="M691" s="94" t="str">
        <f>_xlfn.IFNA(VLOOKUP(G691,'SKU 对应关系'!A:B,2,0),"")</f>
        <v>AN6-B 便携式扩香仪 黑色</v>
      </c>
      <c r="N691" s="95" t="str">
        <f>_xlfn.IFNA(VLOOKUP(G691,'SKU 对应关系'!$A:$D,3,0),"")</f>
        <v>AN6</v>
      </c>
      <c r="O691" s="96">
        <v>7</v>
      </c>
      <c r="P691" s="580">
        <v>0.38888888888888884</v>
      </c>
      <c r="Q691" s="96" t="s">
        <v>3264</v>
      </c>
      <c r="R691" s="91">
        <v>850</v>
      </c>
      <c r="S691" s="95">
        <v>550</v>
      </c>
      <c r="T691" s="98">
        <v>128.33333333333334</v>
      </c>
      <c r="U691" s="99">
        <f t="shared" si="85"/>
        <v>458.8888888888888</v>
      </c>
      <c r="V691" s="100">
        <f t="shared" si="86"/>
        <v>1.6388888888888886</v>
      </c>
      <c r="W691" s="101">
        <f t="shared" si="87"/>
        <v>0.2446102819237147</v>
      </c>
      <c r="X691" s="95"/>
      <c r="Y691" s="95"/>
      <c r="Z691" s="102"/>
      <c r="AA691" s="103">
        <v>46177</v>
      </c>
      <c r="AB691" s="103">
        <v>46215</v>
      </c>
      <c r="AC691" s="103"/>
      <c r="AD691" s="102"/>
      <c r="AE691" s="102"/>
      <c r="AF691" s="103"/>
      <c r="AG691" s="577">
        <f t="shared" si="80"/>
        <v>-46177</v>
      </c>
      <c r="AH691" s="103"/>
      <c r="AI691" s="96"/>
      <c r="AJ691" s="96"/>
      <c r="AK691" s="96"/>
      <c r="AL691" s="92"/>
      <c r="AM691" s="91"/>
      <c r="AN691" s="91"/>
      <c r="AO691" s="96"/>
      <c r="AP691" s="105"/>
      <c r="AQ691" s="105"/>
      <c r="AR691" s="105"/>
      <c r="AS691" s="105"/>
    </row>
    <row r="692" spans="1:45" ht="12" customHeight="1" x14ac:dyDescent="0.25">
      <c r="A692" s="90">
        <f t="shared" si="84"/>
        <v>691</v>
      </c>
      <c r="B692" s="91"/>
      <c r="C692" s="91" t="s">
        <v>1225</v>
      </c>
      <c r="D692" s="92" t="s">
        <v>4700</v>
      </c>
      <c r="E692" s="91" t="s">
        <v>254</v>
      </c>
      <c r="F692" s="91" t="s">
        <v>255</v>
      </c>
      <c r="G692" s="56" t="s">
        <v>350</v>
      </c>
      <c r="H692" s="91">
        <v>160</v>
      </c>
      <c r="I692" s="91" t="s">
        <v>207</v>
      </c>
      <c r="J692" s="91" t="s">
        <v>2313</v>
      </c>
      <c r="K692" s="92" t="s">
        <v>437</v>
      </c>
      <c r="L692" s="93" t="str">
        <f>VLOOKUP(G692,'SKU 对应关系'!A:E,4,0)</f>
        <v>AN6-GL</v>
      </c>
      <c r="M692" s="94" t="str">
        <f>_xlfn.IFNA(VLOOKUP(G692,'SKU 对应关系'!A:B,2,0),"")</f>
        <v>AN6-GL 便携式扩香仪 翠百合色</v>
      </c>
      <c r="N692" s="95" t="str">
        <f>_xlfn.IFNA(VLOOKUP(G692,'SKU 对应关系'!$A:$D,3,0),"")</f>
        <v>AN6</v>
      </c>
      <c r="O692" s="96">
        <v>4</v>
      </c>
      <c r="P692" s="580">
        <v>0.22222222222222221</v>
      </c>
      <c r="Q692" s="96" t="s">
        <v>3264</v>
      </c>
      <c r="R692" s="91">
        <v>850</v>
      </c>
      <c r="S692" s="106">
        <v>550</v>
      </c>
      <c r="T692" s="98">
        <v>73.333333333333329</v>
      </c>
      <c r="U692" s="99">
        <f t="shared" si="85"/>
        <v>262.22222222222223</v>
      </c>
      <c r="V692" s="100">
        <f t="shared" si="86"/>
        <v>1.6388888888888888</v>
      </c>
      <c r="W692" s="101">
        <f t="shared" si="87"/>
        <v>0.24461028192371476</v>
      </c>
      <c r="X692" s="95"/>
      <c r="Y692" s="95"/>
      <c r="Z692" s="102"/>
      <c r="AA692" s="103">
        <v>46177</v>
      </c>
      <c r="AB692" s="103">
        <v>46215</v>
      </c>
      <c r="AC692" s="103"/>
      <c r="AD692" s="102"/>
      <c r="AE692" s="102"/>
      <c r="AF692" s="103"/>
      <c r="AG692" s="577">
        <f t="shared" si="80"/>
        <v>-46177</v>
      </c>
      <c r="AH692" s="103"/>
      <c r="AI692" s="96"/>
      <c r="AJ692" s="96"/>
      <c r="AK692" s="96"/>
      <c r="AL692" s="92"/>
      <c r="AM692" s="91"/>
      <c r="AN692" s="91"/>
      <c r="AO692" s="96"/>
      <c r="AP692" s="105"/>
      <c r="AQ692" s="105"/>
      <c r="AR692" s="105"/>
      <c r="AS692" s="105"/>
    </row>
    <row r="693" spans="1:45" ht="12" customHeight="1" x14ac:dyDescent="0.25">
      <c r="A693" s="90">
        <f t="shared" si="84"/>
        <v>692</v>
      </c>
      <c r="B693" s="91"/>
      <c r="C693" s="91" t="s">
        <v>1225</v>
      </c>
      <c r="D693" s="92" t="s">
        <v>4700</v>
      </c>
      <c r="E693" s="91" t="s">
        <v>254</v>
      </c>
      <c r="F693" s="91" t="s">
        <v>255</v>
      </c>
      <c r="G693" s="56" t="s">
        <v>352</v>
      </c>
      <c r="H693" s="91">
        <v>80</v>
      </c>
      <c r="I693" s="91" t="s">
        <v>207</v>
      </c>
      <c r="J693" s="91" t="s">
        <v>2313</v>
      </c>
      <c r="K693" s="92" t="s">
        <v>437</v>
      </c>
      <c r="L693" s="93" t="str">
        <f>VLOOKUP(G693,'SKU 对应关系'!A:E,4,0)</f>
        <v>AN6-LB</v>
      </c>
      <c r="M693" s="94" t="str">
        <f>_xlfn.IFNA(VLOOKUP(G693,'SKU 对应关系'!A:B,2,0),"")</f>
        <v>AN6-LB 便携式扩香仪 浅钢蓝色</v>
      </c>
      <c r="N693" s="95" t="str">
        <f>_xlfn.IFNA(VLOOKUP(G693,'SKU 对应关系'!$A:$D,3,0),"")</f>
        <v>AN6</v>
      </c>
      <c r="O693" s="96">
        <v>2</v>
      </c>
      <c r="P693" s="580">
        <v>0.1111111111111111</v>
      </c>
      <c r="Q693" s="96" t="s">
        <v>3264</v>
      </c>
      <c r="R693" s="91">
        <v>850</v>
      </c>
      <c r="S693" s="95"/>
      <c r="T693" s="98">
        <v>36.666666666666664</v>
      </c>
      <c r="U693" s="99">
        <f t="shared" si="85"/>
        <v>131.11111111111111</v>
      </c>
      <c r="V693" s="100">
        <f t="shared" si="86"/>
        <v>1.6388888888888888</v>
      </c>
      <c r="W693" s="101">
        <f t="shared" si="87"/>
        <v>0.24461028192371476</v>
      </c>
      <c r="X693" s="95"/>
      <c r="Y693" s="95"/>
      <c r="Z693" s="102"/>
      <c r="AA693" s="103">
        <v>46177</v>
      </c>
      <c r="AB693" s="103">
        <v>46215</v>
      </c>
      <c r="AC693" s="103"/>
      <c r="AD693" s="102"/>
      <c r="AE693" s="102"/>
      <c r="AF693" s="103"/>
      <c r="AG693" s="577">
        <f t="shared" si="80"/>
        <v>-46177</v>
      </c>
      <c r="AH693" s="103"/>
      <c r="AI693" s="96"/>
      <c r="AJ693" s="96"/>
      <c r="AK693" s="96"/>
      <c r="AL693" s="92"/>
      <c r="AM693" s="91"/>
      <c r="AN693" s="91"/>
      <c r="AO693" s="96"/>
      <c r="AP693" s="105"/>
      <c r="AQ693" s="105"/>
      <c r="AR693" s="105"/>
      <c r="AS693" s="105"/>
    </row>
    <row r="694" spans="1:45" ht="12" customHeight="1" x14ac:dyDescent="0.25">
      <c r="A694" s="90">
        <f t="shared" si="84"/>
        <v>693</v>
      </c>
      <c r="B694" s="91"/>
      <c r="C694" s="91" t="s">
        <v>1225</v>
      </c>
      <c r="D694" s="92" t="s">
        <v>4700</v>
      </c>
      <c r="E694" s="91" t="s">
        <v>254</v>
      </c>
      <c r="F694" s="91" t="s">
        <v>255</v>
      </c>
      <c r="G694" s="56" t="s">
        <v>165</v>
      </c>
      <c r="H694" s="91">
        <v>200</v>
      </c>
      <c r="I694" s="91" t="s">
        <v>207</v>
      </c>
      <c r="J694" s="91" t="s">
        <v>2313</v>
      </c>
      <c r="K694" s="92" t="s">
        <v>437</v>
      </c>
      <c r="L694" s="93" t="str">
        <f>VLOOKUP(G694,'SKU 对应关系'!A:E,4,0)</f>
        <v>AN6-W</v>
      </c>
      <c r="M694" s="94" t="str">
        <f>_xlfn.IFNA(VLOOKUP(G694,'SKU 对应关系'!A:B,2,0),"")</f>
        <v>AN6-W 便携式扩香仪 白色</v>
      </c>
      <c r="N694" s="95" t="str">
        <f>_xlfn.IFNA(VLOOKUP(G694,'SKU 对应关系'!$A:$D,3,0),"")</f>
        <v>AN6</v>
      </c>
      <c r="O694" s="96">
        <v>5</v>
      </c>
      <c r="P694" s="580">
        <v>0.27777777777777779</v>
      </c>
      <c r="Q694" s="96" t="s">
        <v>3264</v>
      </c>
      <c r="R694" s="91">
        <v>850</v>
      </c>
      <c r="S694" s="95"/>
      <c r="T694" s="98">
        <v>91.666666666666671</v>
      </c>
      <c r="U694" s="99">
        <f t="shared" si="85"/>
        <v>327.77777777777777</v>
      </c>
      <c r="V694" s="100">
        <f t="shared" si="86"/>
        <v>1.6388888888888888</v>
      </c>
      <c r="W694" s="101">
        <f t="shared" si="87"/>
        <v>0.24461028192371476</v>
      </c>
      <c r="X694" s="95"/>
      <c r="Y694" s="95"/>
      <c r="Z694" s="102"/>
      <c r="AA694" s="103">
        <v>46177</v>
      </c>
      <c r="AB694" s="103">
        <v>46215</v>
      </c>
      <c r="AC694" s="103"/>
      <c r="AD694" s="102"/>
      <c r="AE694" s="102"/>
      <c r="AF694" s="103"/>
      <c r="AG694" s="577">
        <f t="shared" si="80"/>
        <v>-46177</v>
      </c>
      <c r="AH694" s="103"/>
      <c r="AI694" s="96"/>
      <c r="AJ694" s="96"/>
      <c r="AK694" s="96"/>
      <c r="AL694" s="92"/>
      <c r="AM694" s="91"/>
      <c r="AN694" s="91"/>
      <c r="AO694" s="96"/>
      <c r="AP694" s="105"/>
      <c r="AQ694" s="105"/>
      <c r="AR694" s="105"/>
      <c r="AS694" s="105"/>
    </row>
    <row r="695" spans="1:45" ht="12" customHeight="1" x14ac:dyDescent="0.25">
      <c r="A695" s="90">
        <f t="shared" si="84"/>
        <v>694</v>
      </c>
      <c r="B695" s="91"/>
      <c r="C695" s="91" t="s">
        <v>4701</v>
      </c>
      <c r="D695" s="92" t="s">
        <v>4702</v>
      </c>
      <c r="E695" s="91" t="s">
        <v>4703</v>
      </c>
      <c r="F695" s="91" t="s">
        <v>87</v>
      </c>
      <c r="G695" s="56" t="s">
        <v>211</v>
      </c>
      <c r="H695" s="91">
        <v>120</v>
      </c>
      <c r="I695" s="91" t="s">
        <v>207</v>
      </c>
      <c r="J695" s="91" t="s">
        <v>90</v>
      </c>
      <c r="K695" s="92" t="s">
        <v>91</v>
      </c>
      <c r="L695" s="93" t="str">
        <f>VLOOKUP(G695,'SKU 对应关系'!A:E,4,0)</f>
        <v>ANX-B</v>
      </c>
      <c r="M695" s="94" t="str">
        <f>_xlfn.IFNA(VLOOKUP(G695,'SKU 对应关系'!A:B,2,0),"")</f>
        <v>ANX-B 便携式扩香仪 黑色</v>
      </c>
      <c r="N695" s="95" t="str">
        <f>_xlfn.IFNA(VLOOKUP(G695,'SKU 对应关系'!$A:$D,3,0),"")</f>
        <v>ANX</v>
      </c>
      <c r="O695" s="96">
        <v>4</v>
      </c>
      <c r="P695" s="580">
        <v>50</v>
      </c>
      <c r="Q695" s="96" t="s">
        <v>16</v>
      </c>
      <c r="R695" s="91">
        <v>6.8</v>
      </c>
      <c r="S695" s="95">
        <v>250</v>
      </c>
      <c r="T695" s="98">
        <v>66.666666666666671</v>
      </c>
      <c r="U695" s="99">
        <f t="shared" si="85"/>
        <v>406.66666666666669</v>
      </c>
      <c r="V695" s="100">
        <f t="shared" si="86"/>
        <v>3.3888888888888888</v>
      </c>
      <c r="W695" s="101">
        <f t="shared" si="87"/>
        <v>0.50580431177446106</v>
      </c>
      <c r="X695" s="95"/>
      <c r="Y695" s="95"/>
      <c r="Z695" s="102"/>
      <c r="AA695" s="103">
        <v>46179</v>
      </c>
      <c r="AB695" s="103"/>
      <c r="AC695" s="103"/>
      <c r="AD695" s="102"/>
      <c r="AE695" s="102"/>
      <c r="AF695" s="103"/>
      <c r="AG695" s="577">
        <f t="shared" si="80"/>
        <v>-46179</v>
      </c>
      <c r="AH695" s="103"/>
      <c r="AI695" s="96"/>
      <c r="AJ695" s="96"/>
      <c r="AK695" s="96"/>
      <c r="AL695" s="92"/>
      <c r="AM695" s="91"/>
      <c r="AN695" s="91"/>
      <c r="AO695" s="96"/>
      <c r="AP695" s="105"/>
      <c r="AQ695" s="105"/>
      <c r="AR695" s="105"/>
      <c r="AS695" s="105"/>
    </row>
    <row r="696" spans="1:45" ht="12" customHeight="1" x14ac:dyDescent="0.25">
      <c r="A696" s="90">
        <f t="shared" si="84"/>
        <v>695</v>
      </c>
      <c r="B696" s="91"/>
      <c r="C696" s="91" t="s">
        <v>4701</v>
      </c>
      <c r="D696" s="92" t="s">
        <v>4702</v>
      </c>
      <c r="E696" s="91" t="s">
        <v>4703</v>
      </c>
      <c r="F696" s="91" t="s">
        <v>87</v>
      </c>
      <c r="G696" s="56" t="s">
        <v>213</v>
      </c>
      <c r="H696" s="91">
        <v>90</v>
      </c>
      <c r="I696" s="91" t="s">
        <v>207</v>
      </c>
      <c r="J696" s="91" t="s">
        <v>90</v>
      </c>
      <c r="K696" s="92" t="s">
        <v>91</v>
      </c>
      <c r="L696" s="93" t="str">
        <f>VLOOKUP(G696,'SKU 对应关系'!A:E,4,0)</f>
        <v>ANX-DT</v>
      </c>
      <c r="M696" s="94" t="str">
        <f>_xlfn.IFNA(VLOOKUP(G696,'SKU 对应关系'!A:B,2,0),"")</f>
        <v>ANX-DT 便携式扩香仪 沙漠钛色</v>
      </c>
      <c r="N696" s="95" t="str">
        <f>_xlfn.IFNA(VLOOKUP(G696,'SKU 对应关系'!$A:$D,3,0),"")</f>
        <v>ANX</v>
      </c>
      <c r="O696" s="96">
        <v>3</v>
      </c>
      <c r="P696" s="580">
        <v>37.5</v>
      </c>
      <c r="Q696" s="96" t="s">
        <v>16</v>
      </c>
      <c r="R696" s="91">
        <v>6.8</v>
      </c>
      <c r="S696" s="106">
        <v>250</v>
      </c>
      <c r="T696" s="98">
        <v>50</v>
      </c>
      <c r="U696" s="99">
        <f t="shared" si="85"/>
        <v>305</v>
      </c>
      <c r="V696" s="100">
        <f t="shared" si="86"/>
        <v>3.3888888888888888</v>
      </c>
      <c r="W696" s="101">
        <f t="shared" si="87"/>
        <v>0.50580431177446106</v>
      </c>
      <c r="X696" s="95"/>
      <c r="Y696" s="95"/>
      <c r="Z696" s="102"/>
      <c r="AA696" s="103">
        <v>46179</v>
      </c>
      <c r="AB696" s="103"/>
      <c r="AC696" s="103"/>
      <c r="AD696" s="102"/>
      <c r="AE696" s="102"/>
      <c r="AF696" s="103"/>
      <c r="AG696" s="577">
        <f t="shared" si="80"/>
        <v>-46179</v>
      </c>
      <c r="AH696" s="103"/>
      <c r="AI696" s="96"/>
      <c r="AJ696" s="96"/>
      <c r="AK696" s="96"/>
      <c r="AL696" s="92"/>
      <c r="AM696" s="91"/>
      <c r="AN696" s="91"/>
      <c r="AO696" s="96"/>
      <c r="AP696" s="105"/>
      <c r="AQ696" s="105"/>
      <c r="AR696" s="105"/>
      <c r="AS696" s="105"/>
    </row>
    <row r="697" spans="1:45" ht="12" customHeight="1" x14ac:dyDescent="0.25">
      <c r="A697" s="90">
        <f t="shared" si="84"/>
        <v>696</v>
      </c>
      <c r="B697" s="91"/>
      <c r="C697" s="91" t="s">
        <v>4701</v>
      </c>
      <c r="D697" s="92" t="s">
        <v>4702</v>
      </c>
      <c r="E697" s="91" t="s">
        <v>4703</v>
      </c>
      <c r="F697" s="91" t="s">
        <v>87</v>
      </c>
      <c r="G697" s="56" t="s">
        <v>608</v>
      </c>
      <c r="H697" s="91">
        <v>30</v>
      </c>
      <c r="I697" s="91" t="s">
        <v>207</v>
      </c>
      <c r="J697" s="91" t="s">
        <v>90</v>
      </c>
      <c r="K697" s="92" t="s">
        <v>91</v>
      </c>
      <c r="L697" s="93" t="str">
        <f>VLOOKUP(G697,'SKU 对应关系'!A:E,4,0)</f>
        <v>ANX-SG</v>
      </c>
      <c r="M697" s="94" t="str">
        <f>_xlfn.IFNA(VLOOKUP(G697,'SKU 对应关系'!A:B,2,0),"")</f>
        <v>ANX-SG 便携式扩香仪 太空灰色</v>
      </c>
      <c r="N697" s="95" t="str">
        <f>_xlfn.IFNA(VLOOKUP(G697,'SKU 对应关系'!$A:$D,3,0),"")</f>
        <v>ANX</v>
      </c>
      <c r="O697" s="96">
        <v>1</v>
      </c>
      <c r="P697" s="580">
        <v>12.5</v>
      </c>
      <c r="Q697" s="96" t="s">
        <v>16</v>
      </c>
      <c r="R697" s="91">
        <v>6.8</v>
      </c>
      <c r="S697" s="95"/>
      <c r="T697" s="98">
        <v>16.666666666666668</v>
      </c>
      <c r="U697" s="99">
        <f t="shared" si="85"/>
        <v>101.66666666666667</v>
      </c>
      <c r="V697" s="100">
        <f t="shared" si="86"/>
        <v>3.3888888888888888</v>
      </c>
      <c r="W697" s="101">
        <f t="shared" si="87"/>
        <v>0.50580431177446106</v>
      </c>
      <c r="X697" s="95"/>
      <c r="Y697" s="95"/>
      <c r="Z697" s="102"/>
      <c r="AA697" s="103">
        <v>46179</v>
      </c>
      <c r="AB697" s="103"/>
      <c r="AC697" s="103"/>
      <c r="AD697" s="102"/>
      <c r="AE697" s="102"/>
      <c r="AF697" s="103"/>
      <c r="AG697" s="577">
        <f t="shared" si="80"/>
        <v>-46179</v>
      </c>
      <c r="AH697" s="103"/>
      <c r="AI697" s="96"/>
      <c r="AJ697" s="96"/>
      <c r="AK697" s="96"/>
      <c r="AL697" s="92"/>
      <c r="AM697" s="91"/>
      <c r="AN697" s="91"/>
      <c r="AO697" s="96"/>
      <c r="AP697" s="105"/>
      <c r="AQ697" s="105"/>
      <c r="AR697" s="105"/>
      <c r="AS697" s="105"/>
    </row>
    <row r="698" spans="1:45" ht="12" customHeight="1" x14ac:dyDescent="0.25">
      <c r="A698" s="90">
        <f t="shared" si="84"/>
        <v>697</v>
      </c>
      <c r="B698" s="91"/>
      <c r="C698" s="91" t="s">
        <v>4704</v>
      </c>
      <c r="D698" s="92" t="s">
        <v>4705</v>
      </c>
      <c r="E698" s="91" t="s">
        <v>4202</v>
      </c>
      <c r="F698" s="91" t="s">
        <v>0</v>
      </c>
      <c r="G698" s="56" t="s">
        <v>2888</v>
      </c>
      <c r="H698" s="91">
        <v>390</v>
      </c>
      <c r="I698" s="91" t="s">
        <v>207</v>
      </c>
      <c r="J698" s="91" t="s">
        <v>8</v>
      </c>
      <c r="K698" s="92" t="s">
        <v>9</v>
      </c>
      <c r="L698" s="93" t="str">
        <f>VLOOKUP(G698,'SKU 对应关系'!A:E,4,0)</f>
        <v>ADXKIT-B_4X10K04_TZ</v>
      </c>
      <c r="M698" s="94" t="str">
        <f>_xlfn.IFNA(VLOOKUP(G698,'SKU 对应关系'!A:B,2,0),"")</f>
        <v>ADXKIT-B_4X10K04_TZ ADX黑色机器+4x10mL酒店（天竺）香氛油 机油套装</v>
      </c>
      <c r="N698" s="95" t="str">
        <f>_xlfn.IFNA(VLOOKUP(G698,'SKU 对应关系'!$A:$D,3,0),"")</f>
        <v>ADX</v>
      </c>
      <c r="O698" s="96">
        <v>13</v>
      </c>
      <c r="P698" s="580">
        <v>206.0233918128655</v>
      </c>
      <c r="Q698" s="96" t="s">
        <v>16</v>
      </c>
      <c r="R698" s="91">
        <v>5.4</v>
      </c>
      <c r="S698" s="95">
        <v>200</v>
      </c>
      <c r="T698" s="98">
        <v>15.2046783625731</v>
      </c>
      <c r="U698" s="99">
        <f t="shared" si="85"/>
        <v>1127.7309941520468</v>
      </c>
      <c r="V698" s="100">
        <f t="shared" si="86"/>
        <v>2.8916179337231971</v>
      </c>
      <c r="W698" s="101">
        <f t="shared" si="87"/>
        <v>0.43158476622734282</v>
      </c>
      <c r="X698" s="95"/>
      <c r="Y698" s="95"/>
      <c r="Z698" s="102"/>
      <c r="AA698" s="103">
        <v>46179</v>
      </c>
      <c r="AB698" s="103">
        <v>46194</v>
      </c>
      <c r="AC698" s="103"/>
      <c r="AD698" s="102"/>
      <c r="AE698" s="102"/>
      <c r="AF698" s="103"/>
      <c r="AG698" s="577">
        <f t="shared" si="80"/>
        <v>-46179</v>
      </c>
      <c r="AH698" s="103"/>
      <c r="AI698" s="96"/>
      <c r="AJ698" s="96"/>
      <c r="AK698" s="96"/>
      <c r="AL698" s="92"/>
      <c r="AM698" s="91"/>
      <c r="AN698" s="91"/>
      <c r="AO698" s="96"/>
      <c r="AP698" s="105"/>
      <c r="AQ698" s="105"/>
      <c r="AR698" s="105"/>
      <c r="AS698" s="105"/>
    </row>
    <row r="699" spans="1:45" ht="12" customHeight="1" x14ac:dyDescent="0.25">
      <c r="A699" s="90">
        <f t="shared" si="84"/>
        <v>698</v>
      </c>
      <c r="B699" s="91"/>
      <c r="C699" s="91" t="s">
        <v>4704</v>
      </c>
      <c r="D699" s="92" t="s">
        <v>4705</v>
      </c>
      <c r="E699" s="91" t="s">
        <v>4202</v>
      </c>
      <c r="F699" s="91" t="s">
        <v>0</v>
      </c>
      <c r="G699" s="56" t="s">
        <v>2887</v>
      </c>
      <c r="H699" s="91">
        <v>150</v>
      </c>
      <c r="I699" s="91" t="s">
        <v>207</v>
      </c>
      <c r="J699" s="91" t="s">
        <v>8</v>
      </c>
      <c r="K699" s="92" t="s">
        <v>9</v>
      </c>
      <c r="L699" s="93" t="str">
        <f>VLOOKUP(G699,'SKU 对应关系'!A:E,4,0)</f>
        <v>ADXKIT-DT_4X10K04_TZ</v>
      </c>
      <c r="M699" s="94" t="str">
        <f>_xlfn.IFNA(VLOOKUP(G699,'SKU 对应关系'!A:B,2,0),"")</f>
        <v>ADXKIT-DT_4X10K04_TZ AD钛色机器+4x10mL酒店（天竺）香氛油 机油套装</v>
      </c>
      <c r="N699" s="95" t="str">
        <f>_xlfn.IFNA(VLOOKUP(G699,'SKU 对应关系'!$A:$D,3,0),"")</f>
        <v>ADX</v>
      </c>
      <c r="O699" s="96">
        <v>5</v>
      </c>
      <c r="P699" s="580">
        <v>79.239766081871338</v>
      </c>
      <c r="Q699" s="96" t="s">
        <v>16</v>
      </c>
      <c r="R699" s="91">
        <v>5.4</v>
      </c>
      <c r="S699" s="106">
        <v>200</v>
      </c>
      <c r="T699" s="98">
        <v>5.8479532163742691</v>
      </c>
      <c r="U699" s="99">
        <f t="shared" si="85"/>
        <v>433.74269005847952</v>
      </c>
      <c r="V699" s="100">
        <f t="shared" si="86"/>
        <v>2.8916179337231966</v>
      </c>
      <c r="W699" s="101">
        <f t="shared" si="87"/>
        <v>0.43158476622734276</v>
      </c>
      <c r="X699" s="95"/>
      <c r="Y699" s="95"/>
      <c r="Z699" s="102"/>
      <c r="AA699" s="103">
        <v>46179</v>
      </c>
      <c r="AB699" s="103">
        <v>46194</v>
      </c>
      <c r="AC699" s="103"/>
      <c r="AD699" s="102"/>
      <c r="AE699" s="102"/>
      <c r="AF699" s="103"/>
      <c r="AG699" s="577">
        <f t="shared" si="80"/>
        <v>-46179</v>
      </c>
      <c r="AH699" s="103"/>
      <c r="AI699" s="96"/>
      <c r="AJ699" s="96"/>
      <c r="AK699" s="96"/>
      <c r="AL699" s="92"/>
      <c r="AM699" s="91"/>
      <c r="AN699" s="91"/>
      <c r="AO699" s="96"/>
      <c r="AP699" s="105"/>
      <c r="AQ699" s="105"/>
      <c r="AR699" s="105"/>
      <c r="AS699" s="105"/>
    </row>
    <row r="700" spans="1:45" ht="12" customHeight="1" x14ac:dyDescent="0.25">
      <c r="A700" s="90">
        <f t="shared" si="84"/>
        <v>699</v>
      </c>
      <c r="B700" s="91"/>
      <c r="C700" s="91" t="s">
        <v>4704</v>
      </c>
      <c r="D700" s="92" t="s">
        <v>4705</v>
      </c>
      <c r="E700" s="91" t="s">
        <v>4202</v>
      </c>
      <c r="F700" s="91" t="s">
        <v>0</v>
      </c>
      <c r="G700" s="56" t="s">
        <v>2228</v>
      </c>
      <c r="H700" s="91">
        <v>1200</v>
      </c>
      <c r="I700" s="91" t="s">
        <v>207</v>
      </c>
      <c r="J700" s="91" t="s">
        <v>8</v>
      </c>
      <c r="K700" s="92" t="s">
        <v>9</v>
      </c>
      <c r="L700" s="93" t="str">
        <f>VLOOKUP(G700,'SKU 对应关系'!A:E,4,0)</f>
        <v>AN6KIT-B_2X20K01</v>
      </c>
      <c r="M700" s="94" t="str">
        <f>_xlfn.IFNA(VLOOKUP(G700,'SKU 对应关系'!A:B,2,0),"")</f>
        <v>AN6KIT-B_2X20K01 AN6黑色机器+2X20mL酒店香氛油 机油套装</v>
      </c>
      <c r="N700" s="95" t="str">
        <f>_xlfn.IFNA(VLOOKUP(G700,'SKU 对应关系'!$A:$D,3,0),"")</f>
        <v>AN6</v>
      </c>
      <c r="O700" s="96">
        <v>40</v>
      </c>
      <c r="P700" s="580">
        <v>633.9181286549707</v>
      </c>
      <c r="Q700" s="96" t="s">
        <v>16</v>
      </c>
      <c r="R700" s="91">
        <v>5.4</v>
      </c>
      <c r="S700" s="95"/>
      <c r="T700" s="98">
        <v>46.783625730994153</v>
      </c>
      <c r="U700" s="99">
        <f t="shared" si="85"/>
        <v>3469.9415204678362</v>
      </c>
      <c r="V700" s="100">
        <f t="shared" si="86"/>
        <v>2.8916179337231966</v>
      </c>
      <c r="W700" s="101">
        <f t="shared" si="87"/>
        <v>0.43158476622734276</v>
      </c>
      <c r="X700" s="95"/>
      <c r="Y700" s="95"/>
      <c r="Z700" s="102"/>
      <c r="AA700" s="103">
        <v>46179</v>
      </c>
      <c r="AB700" s="103">
        <v>46194</v>
      </c>
      <c r="AC700" s="103"/>
      <c r="AD700" s="102"/>
      <c r="AE700" s="102"/>
      <c r="AF700" s="103"/>
      <c r="AG700" s="577">
        <f t="shared" si="80"/>
        <v>-46179</v>
      </c>
      <c r="AH700" s="103"/>
      <c r="AI700" s="96"/>
      <c r="AJ700" s="96"/>
      <c r="AK700" s="96"/>
      <c r="AL700" s="92"/>
      <c r="AM700" s="91"/>
      <c r="AN700" s="91"/>
      <c r="AO700" s="96"/>
      <c r="AP700" s="105"/>
      <c r="AQ700" s="105"/>
      <c r="AR700" s="105"/>
      <c r="AS700" s="105"/>
    </row>
    <row r="701" spans="1:45" ht="12" customHeight="1" x14ac:dyDescent="0.25">
      <c r="A701" s="90">
        <f t="shared" si="84"/>
        <v>700</v>
      </c>
      <c r="B701" s="91"/>
      <c r="C701" s="91" t="s">
        <v>4704</v>
      </c>
      <c r="D701" s="92" t="s">
        <v>4705</v>
      </c>
      <c r="E701" s="91" t="s">
        <v>4202</v>
      </c>
      <c r="F701" s="91" t="s">
        <v>0</v>
      </c>
      <c r="G701" s="56" t="s">
        <v>2593</v>
      </c>
      <c r="H701" s="91">
        <v>600</v>
      </c>
      <c r="I701" s="91" t="s">
        <v>207</v>
      </c>
      <c r="J701" s="91" t="s">
        <v>8</v>
      </c>
      <c r="K701" s="92" t="s">
        <v>9</v>
      </c>
      <c r="L701" s="93" t="str">
        <f>VLOOKUP(G701,'SKU 对应关系'!A:E,4,0)</f>
        <v>AN8KIT-B_2X20K03</v>
      </c>
      <c r="M701" s="94" t="str">
        <f>_xlfn.IFNA(VLOOKUP(G701,'SKU 对应关系'!A:B,2,0),"")</f>
        <v>AN8KIT-B_2X20K03 AN8黑色机器+2X20mL（天竺）酒店香氛油 机油套装</v>
      </c>
      <c r="N701" s="95" t="str">
        <f>_xlfn.IFNA(VLOOKUP(G701,'SKU 对应关系'!$A:$D,3,0),"")</f>
        <v>AN8</v>
      </c>
      <c r="O701" s="96">
        <v>20</v>
      </c>
      <c r="P701" s="580">
        <v>316.95906432748535</v>
      </c>
      <c r="Q701" s="96" t="s">
        <v>16</v>
      </c>
      <c r="R701" s="91">
        <v>5.4</v>
      </c>
      <c r="S701" s="95"/>
      <c r="T701" s="98">
        <v>23.391812865497077</v>
      </c>
      <c r="U701" s="99">
        <f t="shared" si="85"/>
        <v>1734.9707602339181</v>
      </c>
      <c r="V701" s="100">
        <f t="shared" si="86"/>
        <v>2.8916179337231966</v>
      </c>
      <c r="W701" s="101">
        <f t="shared" si="87"/>
        <v>0.43158476622734276</v>
      </c>
      <c r="X701" s="95"/>
      <c r="Y701" s="95"/>
      <c r="Z701" s="102"/>
      <c r="AA701" s="103">
        <v>46179</v>
      </c>
      <c r="AB701" s="103">
        <v>46194</v>
      </c>
      <c r="AC701" s="103"/>
      <c r="AD701" s="102"/>
      <c r="AE701" s="102"/>
      <c r="AF701" s="103"/>
      <c r="AG701" s="577">
        <f t="shared" si="80"/>
        <v>-46179</v>
      </c>
      <c r="AH701" s="103"/>
      <c r="AI701" s="96"/>
      <c r="AJ701" s="96"/>
      <c r="AK701" s="96"/>
      <c r="AL701" s="92"/>
      <c r="AM701" s="91"/>
      <c r="AN701" s="91"/>
      <c r="AO701" s="96"/>
      <c r="AP701" s="105"/>
      <c r="AQ701" s="105"/>
      <c r="AR701" s="105"/>
      <c r="AS701" s="105"/>
    </row>
    <row r="702" spans="1:45" ht="12" customHeight="1" x14ac:dyDescent="0.25">
      <c r="A702" s="90">
        <f t="shared" si="84"/>
        <v>701</v>
      </c>
      <c r="B702" s="91"/>
      <c r="C702" s="91" t="s">
        <v>4704</v>
      </c>
      <c r="D702" s="92" t="s">
        <v>4705</v>
      </c>
      <c r="E702" s="91" t="s">
        <v>4202</v>
      </c>
      <c r="F702" s="91" t="s">
        <v>0</v>
      </c>
      <c r="G702" s="56" t="s">
        <v>4291</v>
      </c>
      <c r="H702" s="91">
        <v>2100</v>
      </c>
      <c r="I702" s="91" t="s">
        <v>207</v>
      </c>
      <c r="J702" s="91" t="s">
        <v>8</v>
      </c>
      <c r="K702" s="92" t="s">
        <v>9</v>
      </c>
      <c r="L702" s="93" t="str">
        <f>VLOOKUP(G702,'SKU 对应关系'!A:E,4,0)</f>
        <v>AN8KIT-B_4X10K05_TZ</v>
      </c>
      <c r="M702" s="94" t="str">
        <f>_xlfn.IFNA(VLOOKUP(G702,'SKU 对应关系'!A:B,2,0),"")</f>
        <v>AN8KIT-B_4X10K05_TZ AN8黑色机器+4x10mL（天竺）酒店香氛油 机油套装</v>
      </c>
      <c r="N702" s="95" t="str">
        <f>_xlfn.IFNA(VLOOKUP(G702,'SKU 对应关系'!$A:$D,3,0),"")</f>
        <v>AN8</v>
      </c>
      <c r="O702" s="96">
        <v>70</v>
      </c>
      <c r="P702" s="580">
        <v>1109.3567251461989</v>
      </c>
      <c r="Q702" s="96" t="s">
        <v>16</v>
      </c>
      <c r="R702" s="91">
        <v>5.4</v>
      </c>
      <c r="S702" s="95"/>
      <c r="T702" s="98">
        <v>81.871345029239762</v>
      </c>
      <c r="U702" s="99">
        <f t="shared" si="85"/>
        <v>6072.397660818714</v>
      </c>
      <c r="V702" s="100">
        <f t="shared" si="86"/>
        <v>2.8916179337231971</v>
      </c>
      <c r="W702" s="101">
        <f t="shared" si="87"/>
        <v>0.43158476622734282</v>
      </c>
      <c r="X702" s="95"/>
      <c r="Y702" s="95"/>
      <c r="Z702" s="102"/>
      <c r="AA702" s="103">
        <v>46179</v>
      </c>
      <c r="AB702" s="103">
        <v>46194</v>
      </c>
      <c r="AC702" s="103"/>
      <c r="AD702" s="102"/>
      <c r="AE702" s="102"/>
      <c r="AF702" s="103"/>
      <c r="AG702" s="577">
        <f t="shared" si="80"/>
        <v>-46179</v>
      </c>
      <c r="AH702" s="103"/>
      <c r="AI702" s="96"/>
      <c r="AJ702" s="96"/>
      <c r="AK702" s="96"/>
      <c r="AL702" s="92"/>
      <c r="AM702" s="91"/>
      <c r="AN702" s="91"/>
      <c r="AO702" s="96"/>
      <c r="AP702" s="105"/>
      <c r="AQ702" s="105"/>
      <c r="AR702" s="105"/>
      <c r="AS702" s="105"/>
    </row>
    <row r="703" spans="1:45" ht="12" customHeight="1" x14ac:dyDescent="0.25">
      <c r="A703" s="90">
        <f t="shared" si="84"/>
        <v>702</v>
      </c>
      <c r="B703" s="91"/>
      <c r="C703" s="91" t="s">
        <v>4704</v>
      </c>
      <c r="D703" s="92" t="s">
        <v>4705</v>
      </c>
      <c r="E703" s="91" t="s">
        <v>4202</v>
      </c>
      <c r="F703" s="91" t="s">
        <v>0</v>
      </c>
      <c r="G703" s="56" t="s">
        <v>4230</v>
      </c>
      <c r="H703" s="91">
        <v>690</v>
      </c>
      <c r="I703" s="91" t="s">
        <v>207</v>
      </c>
      <c r="J703" s="91" t="s">
        <v>8</v>
      </c>
      <c r="K703" s="92" t="s">
        <v>9</v>
      </c>
      <c r="L703" s="93" t="str">
        <f>VLOOKUP(G703,'SKU 对应关系'!A:E,4,0)</f>
        <v>AN8KIT-WH_4X10K05_TZ</v>
      </c>
      <c r="M703" s="94" t="str">
        <f>_xlfn.IFNA(VLOOKUP(G703,'SKU 对应关系'!A:B,2,0),"")</f>
        <v>AN8KIT-WH_4X10K05_TZ AN8白色机器+4x10mL（天竺）酒店香氛油 机油套装</v>
      </c>
      <c r="N703" s="95" t="str">
        <f>_xlfn.IFNA(VLOOKUP(G703,'SKU 对应关系'!$A:$D,3,0),"")</f>
        <v>AN8</v>
      </c>
      <c r="O703" s="96">
        <v>23</v>
      </c>
      <c r="P703" s="580">
        <v>364.50292397660814</v>
      </c>
      <c r="Q703" s="96" t="s">
        <v>16</v>
      </c>
      <c r="R703" s="91">
        <v>5.4</v>
      </c>
      <c r="S703" s="95"/>
      <c r="T703" s="98">
        <v>26.900584795321638</v>
      </c>
      <c r="U703" s="99">
        <f t="shared" si="85"/>
        <v>1995.2163742690059</v>
      </c>
      <c r="V703" s="100">
        <f t="shared" si="86"/>
        <v>2.8916179337231971</v>
      </c>
      <c r="W703" s="101">
        <f t="shared" si="87"/>
        <v>0.43158476622734282</v>
      </c>
      <c r="X703" s="95"/>
      <c r="Y703" s="95"/>
      <c r="Z703" s="102"/>
      <c r="AA703" s="103">
        <v>46179</v>
      </c>
      <c r="AB703" s="103">
        <v>46194</v>
      </c>
      <c r="AC703" s="103"/>
      <c r="AD703" s="102"/>
      <c r="AE703" s="102"/>
      <c r="AF703" s="103"/>
      <c r="AG703" s="577">
        <f t="shared" si="80"/>
        <v>-46179</v>
      </c>
      <c r="AH703" s="103"/>
      <c r="AI703" s="96"/>
      <c r="AJ703" s="96"/>
      <c r="AK703" s="96"/>
      <c r="AL703" s="92"/>
      <c r="AM703" s="91"/>
      <c r="AN703" s="91"/>
      <c r="AO703" s="96"/>
      <c r="AP703" s="105"/>
      <c r="AQ703" s="105"/>
      <c r="AR703" s="105"/>
      <c r="AS703" s="105"/>
    </row>
    <row r="704" spans="1:45" ht="12" customHeight="1" x14ac:dyDescent="0.25">
      <c r="A704" s="90">
        <f t="shared" si="84"/>
        <v>703</v>
      </c>
      <c r="B704" s="91"/>
      <c r="C704" s="91" t="s">
        <v>4697</v>
      </c>
      <c r="D704" s="92" t="s">
        <v>4706</v>
      </c>
      <c r="E704" s="91" t="s">
        <v>97</v>
      </c>
      <c r="F704" s="91" t="s">
        <v>0</v>
      </c>
      <c r="G704" s="56" t="s">
        <v>163</v>
      </c>
      <c r="H704" s="91">
        <v>600</v>
      </c>
      <c r="I704" s="91" t="s">
        <v>89</v>
      </c>
      <c r="J704" s="91" t="s">
        <v>8</v>
      </c>
      <c r="K704" s="92" t="s">
        <v>9</v>
      </c>
      <c r="L704" s="93" t="str">
        <f>VLOOKUP(G704,'SKU 对应关系'!A:E,4,0)</f>
        <v>AN6-B</v>
      </c>
      <c r="M704" s="94" t="str">
        <f>_xlfn.IFNA(VLOOKUP(G704,'SKU 对应关系'!A:B,2,0),"")</f>
        <v>AN6-B 便携式扩香仪 黑色</v>
      </c>
      <c r="N704" s="95" t="str">
        <f>_xlfn.IFNA(VLOOKUP(G704,'SKU 对应关系'!$A:$D,3,0),"")</f>
        <v>AN6</v>
      </c>
      <c r="O704" s="96">
        <v>15</v>
      </c>
      <c r="P704" s="580">
        <v>200.09423076923076</v>
      </c>
      <c r="Q704" s="96" t="s">
        <v>16</v>
      </c>
      <c r="R704" s="91">
        <v>5.4</v>
      </c>
      <c r="S704" s="95">
        <v>200</v>
      </c>
      <c r="T704" s="98">
        <v>26.785714285714285</v>
      </c>
      <c r="U704" s="99">
        <f t="shared" si="85"/>
        <v>1107.2945604395604</v>
      </c>
      <c r="V704" s="100">
        <f t="shared" si="86"/>
        <v>1.845490934065934</v>
      </c>
      <c r="W704" s="101">
        <f t="shared" si="87"/>
        <v>0.2754464080695424</v>
      </c>
      <c r="X704" s="95"/>
      <c r="Y704" s="95"/>
      <c r="Z704" s="102"/>
      <c r="AA704" s="103">
        <v>46179</v>
      </c>
      <c r="AB704" s="103">
        <v>46205</v>
      </c>
      <c r="AC704" s="103"/>
      <c r="AD704" s="102"/>
      <c r="AE704" s="102"/>
      <c r="AF704" s="103"/>
      <c r="AG704" s="577">
        <f t="shared" si="80"/>
        <v>-46179</v>
      </c>
      <c r="AH704" s="103"/>
      <c r="AI704" s="96"/>
      <c r="AJ704" s="96"/>
      <c r="AK704" s="96"/>
      <c r="AL704" s="92"/>
      <c r="AM704" s="91"/>
      <c r="AN704" s="91"/>
      <c r="AO704" s="96"/>
      <c r="AP704" s="105"/>
      <c r="AQ704" s="105"/>
      <c r="AR704" s="105"/>
      <c r="AS704" s="105"/>
    </row>
    <row r="705" spans="1:45" ht="12" customHeight="1" x14ac:dyDescent="0.25">
      <c r="A705" s="90">
        <f t="shared" si="84"/>
        <v>704</v>
      </c>
      <c r="B705" s="91"/>
      <c r="C705" s="91" t="s">
        <v>4697</v>
      </c>
      <c r="D705" s="92" t="s">
        <v>4706</v>
      </c>
      <c r="E705" s="91" t="s">
        <v>97</v>
      </c>
      <c r="F705" s="91" t="s">
        <v>0</v>
      </c>
      <c r="G705" s="56" t="s">
        <v>165</v>
      </c>
      <c r="H705" s="91">
        <v>400</v>
      </c>
      <c r="I705" s="91" t="s">
        <v>89</v>
      </c>
      <c r="J705" s="91" t="s">
        <v>8</v>
      </c>
      <c r="K705" s="92" t="s">
        <v>9</v>
      </c>
      <c r="L705" s="93" t="str">
        <f>VLOOKUP(G705,'SKU 对应关系'!A:E,4,0)</f>
        <v>AN6-W</v>
      </c>
      <c r="M705" s="94" t="str">
        <f>_xlfn.IFNA(VLOOKUP(G705,'SKU 对应关系'!A:B,2,0),"")</f>
        <v>AN6-W 便携式扩香仪 白色</v>
      </c>
      <c r="N705" s="95" t="str">
        <f>_xlfn.IFNA(VLOOKUP(G705,'SKU 对应关系'!$A:$D,3,0),"")</f>
        <v>AN6</v>
      </c>
      <c r="O705" s="96">
        <v>10</v>
      </c>
      <c r="P705" s="580">
        <v>133.39615384615382</v>
      </c>
      <c r="Q705" s="96" t="s">
        <v>16</v>
      </c>
      <c r="R705" s="91">
        <v>5.4</v>
      </c>
      <c r="S705" s="106">
        <v>200</v>
      </c>
      <c r="T705" s="98">
        <v>17.857142857142858</v>
      </c>
      <c r="U705" s="99">
        <f t="shared" si="85"/>
        <v>738.19637362637354</v>
      </c>
      <c r="V705" s="100">
        <f t="shared" si="86"/>
        <v>1.8454909340659338</v>
      </c>
      <c r="W705" s="101">
        <f t="shared" si="87"/>
        <v>0.27544640806954235</v>
      </c>
      <c r="X705" s="95"/>
      <c r="Y705" s="95"/>
      <c r="Z705" s="102"/>
      <c r="AA705" s="103">
        <v>46179</v>
      </c>
      <c r="AB705" s="103">
        <v>46205</v>
      </c>
      <c r="AC705" s="103"/>
      <c r="AD705" s="102"/>
      <c r="AE705" s="102"/>
      <c r="AF705" s="103"/>
      <c r="AG705" s="577">
        <f t="shared" si="80"/>
        <v>-46179</v>
      </c>
      <c r="AH705" s="103"/>
      <c r="AI705" s="96"/>
      <c r="AJ705" s="96"/>
      <c r="AK705" s="96"/>
      <c r="AL705" s="92"/>
      <c r="AM705" s="91"/>
      <c r="AN705" s="91"/>
      <c r="AO705" s="96"/>
      <c r="AP705" s="105"/>
      <c r="AQ705" s="105"/>
      <c r="AR705" s="105"/>
      <c r="AS705" s="105"/>
    </row>
    <row r="706" spans="1:45" ht="12" customHeight="1" x14ac:dyDescent="0.25">
      <c r="A706" s="90">
        <f t="shared" si="84"/>
        <v>705</v>
      </c>
      <c r="B706" s="91"/>
      <c r="C706" s="91" t="s">
        <v>4697</v>
      </c>
      <c r="D706" s="92" t="s">
        <v>4706</v>
      </c>
      <c r="E706" s="91" t="s">
        <v>97</v>
      </c>
      <c r="F706" s="91" t="s">
        <v>0</v>
      </c>
      <c r="G706" s="56" t="s">
        <v>355</v>
      </c>
      <c r="H706" s="91">
        <v>100</v>
      </c>
      <c r="I706" s="91" t="s">
        <v>89</v>
      </c>
      <c r="J706" s="91" t="s">
        <v>8</v>
      </c>
      <c r="K706" s="92" t="s">
        <v>9</v>
      </c>
      <c r="L706" s="93" t="str">
        <f>VLOOKUP(G706,'SKU 对应关系'!A:E,4,0)</f>
        <v>AN6NZ-B</v>
      </c>
      <c r="M706" s="94" t="str">
        <f>_xlfn.IFNA(VLOOKUP(G706,'SKU 对应关系'!A:B,2,0),"")</f>
        <v>AN6NZ-B AN6喷嘴配件套装 黑色</v>
      </c>
      <c r="N706" s="95" t="str">
        <f>_xlfn.IFNA(VLOOKUP(G706,'SKU 对应关系'!$A:$D,3,0),"")</f>
        <v>AN6-AC</v>
      </c>
      <c r="O706" s="96">
        <v>0.5</v>
      </c>
      <c r="P706" s="580">
        <v>6.6698076923076917</v>
      </c>
      <c r="Q706" s="96" t="s">
        <v>16</v>
      </c>
      <c r="R706" s="91">
        <v>5.4</v>
      </c>
      <c r="S706" s="95"/>
      <c r="T706" s="98">
        <v>0.8928571428571429</v>
      </c>
      <c r="U706" s="99">
        <f t="shared" si="85"/>
        <v>36.909818681318683</v>
      </c>
      <c r="V706" s="100">
        <f t="shared" si="86"/>
        <v>0.36909818681318685</v>
      </c>
      <c r="W706" s="101">
        <f t="shared" si="87"/>
        <v>5.5089281613908483E-2</v>
      </c>
      <c r="X706" s="95"/>
      <c r="Y706" s="95"/>
      <c r="Z706" s="102"/>
      <c r="AA706" s="103">
        <v>46179</v>
      </c>
      <c r="AB706" s="103">
        <v>46205</v>
      </c>
      <c r="AC706" s="103"/>
      <c r="AD706" s="102"/>
      <c r="AE706" s="102"/>
      <c r="AF706" s="103"/>
      <c r="AG706" s="577">
        <f t="shared" ref="AG706:AG737" si="88">AF706-AA706</f>
        <v>-46179</v>
      </c>
      <c r="AH706" s="103"/>
      <c r="AI706" s="96"/>
      <c r="AJ706" s="96"/>
      <c r="AK706" s="96"/>
      <c r="AL706" s="92"/>
      <c r="AM706" s="91"/>
      <c r="AN706" s="91"/>
      <c r="AO706" s="96"/>
      <c r="AP706" s="105"/>
      <c r="AQ706" s="105"/>
      <c r="AR706" s="105"/>
      <c r="AS706" s="105"/>
    </row>
    <row r="707" spans="1:45" ht="12" customHeight="1" x14ac:dyDescent="0.25">
      <c r="A707" s="90">
        <f t="shared" si="84"/>
        <v>706</v>
      </c>
      <c r="B707" s="91"/>
      <c r="C707" s="91" t="s">
        <v>4697</v>
      </c>
      <c r="D707" s="92" t="s">
        <v>4706</v>
      </c>
      <c r="E707" s="91" t="s">
        <v>97</v>
      </c>
      <c r="F707" s="91" t="s">
        <v>0</v>
      </c>
      <c r="G707" s="56" t="s">
        <v>357</v>
      </c>
      <c r="H707" s="91">
        <v>100</v>
      </c>
      <c r="I707" s="91" t="s">
        <v>89</v>
      </c>
      <c r="J707" s="91" t="s">
        <v>8</v>
      </c>
      <c r="K707" s="92" t="s">
        <v>9</v>
      </c>
      <c r="L707" s="93" t="str">
        <f>VLOOKUP(G707,'SKU 对应关系'!A:E,4,0)</f>
        <v>AN6NZ-W</v>
      </c>
      <c r="M707" s="94" t="str">
        <f>_xlfn.IFNA(VLOOKUP(G707,'SKU 对应关系'!A:B,2,0),"")</f>
        <v>AN6NZ-W AN6喷嘴配件套装 白色</v>
      </c>
      <c r="N707" s="95" t="str">
        <f>_xlfn.IFNA(VLOOKUP(G707,'SKU 对应关系'!$A:$D,3,0),"")</f>
        <v>AN6-AC</v>
      </c>
      <c r="O707" s="96">
        <v>0.5</v>
      </c>
      <c r="P707" s="580">
        <v>6.6698076923076917</v>
      </c>
      <c r="Q707" s="96" t="s">
        <v>16</v>
      </c>
      <c r="R707" s="91">
        <v>5.4</v>
      </c>
      <c r="S707" s="95"/>
      <c r="T707" s="98">
        <v>0.8928571428571429</v>
      </c>
      <c r="U707" s="99">
        <f t="shared" si="85"/>
        <v>36.909818681318683</v>
      </c>
      <c r="V707" s="100">
        <f t="shared" si="86"/>
        <v>0.36909818681318685</v>
      </c>
      <c r="W707" s="101">
        <f t="shared" si="87"/>
        <v>5.5089281613908483E-2</v>
      </c>
      <c r="X707" s="95"/>
      <c r="Y707" s="95"/>
      <c r="Z707" s="102"/>
      <c r="AA707" s="103">
        <v>46179</v>
      </c>
      <c r="AB707" s="103">
        <v>46205</v>
      </c>
      <c r="AC707" s="103"/>
      <c r="AD707" s="102"/>
      <c r="AE707" s="102"/>
      <c r="AF707" s="103"/>
      <c r="AG707" s="577">
        <f t="shared" si="88"/>
        <v>-46179</v>
      </c>
      <c r="AH707" s="103"/>
      <c r="AI707" s="96"/>
      <c r="AJ707" s="96"/>
      <c r="AK707" s="96"/>
      <c r="AL707" s="92"/>
      <c r="AM707" s="91"/>
      <c r="AN707" s="91"/>
      <c r="AO707" s="96"/>
      <c r="AP707" s="105"/>
      <c r="AQ707" s="105"/>
      <c r="AR707" s="105"/>
      <c r="AS707" s="105"/>
    </row>
    <row r="708" spans="1:45" ht="12" customHeight="1" x14ac:dyDescent="0.25">
      <c r="A708" s="90">
        <f t="shared" si="84"/>
        <v>707</v>
      </c>
      <c r="B708" s="91"/>
      <c r="C708" s="91" t="s">
        <v>4707</v>
      </c>
      <c r="D708" s="92" t="s">
        <v>4708</v>
      </c>
      <c r="E708" s="91" t="s">
        <v>1164</v>
      </c>
      <c r="F708" s="91" t="s">
        <v>1165</v>
      </c>
      <c r="G708" s="56" t="s">
        <v>163</v>
      </c>
      <c r="H708" s="91">
        <v>280</v>
      </c>
      <c r="I708" s="91" t="s">
        <v>207</v>
      </c>
      <c r="J708" s="91" t="s">
        <v>2064</v>
      </c>
      <c r="K708" s="92" t="s">
        <v>2386</v>
      </c>
      <c r="L708" s="93" t="str">
        <f>VLOOKUP(G708,'SKU 对应关系'!A:E,4,0)</f>
        <v>AN6-B</v>
      </c>
      <c r="M708" s="94" t="str">
        <f>_xlfn.IFNA(VLOOKUP(G708,'SKU 对应关系'!A:B,2,0),"")</f>
        <v>AN6-B 便携式扩香仪 黑色</v>
      </c>
      <c r="N708" s="95" t="str">
        <f>_xlfn.IFNA(VLOOKUP(G708,'SKU 对应关系'!$A:$D,3,0),"")</f>
        <v>AN6</v>
      </c>
      <c r="O708" s="96">
        <v>7</v>
      </c>
      <c r="P708" s="580">
        <v>103.16</v>
      </c>
      <c r="Q708" s="96" t="s">
        <v>16</v>
      </c>
      <c r="R708" s="91">
        <v>7.7</v>
      </c>
      <c r="S708" s="95">
        <v>250</v>
      </c>
      <c r="T708" s="98">
        <v>92.10526315789474</v>
      </c>
      <c r="U708" s="99">
        <f t="shared" si="85"/>
        <v>886.43726315789468</v>
      </c>
      <c r="V708" s="100">
        <f t="shared" si="86"/>
        <v>3.1658473684210526</v>
      </c>
      <c r="W708" s="101">
        <f t="shared" si="87"/>
        <v>0.47251453260015708</v>
      </c>
      <c r="X708" s="95"/>
      <c r="Y708" s="95"/>
      <c r="Z708" s="102"/>
      <c r="AA708" s="103">
        <v>46177</v>
      </c>
      <c r="AB708" s="103">
        <v>46211</v>
      </c>
      <c r="AC708" s="103"/>
      <c r="AD708" s="102"/>
      <c r="AE708" s="102"/>
      <c r="AF708" s="103"/>
      <c r="AG708" s="577">
        <f t="shared" si="88"/>
        <v>-46177</v>
      </c>
      <c r="AH708" s="103"/>
      <c r="AI708" s="96"/>
      <c r="AJ708" s="96"/>
      <c r="AK708" s="96"/>
      <c r="AL708" s="92"/>
      <c r="AM708" s="91"/>
      <c r="AN708" s="91"/>
      <c r="AO708" s="96"/>
      <c r="AP708" s="105"/>
      <c r="AQ708" s="105"/>
      <c r="AR708" s="105"/>
      <c r="AS708" s="105"/>
    </row>
    <row r="709" spans="1:45" ht="12" customHeight="1" x14ac:dyDescent="0.25">
      <c r="A709" s="90">
        <f t="shared" si="84"/>
        <v>708</v>
      </c>
      <c r="B709" s="91"/>
      <c r="C709" s="91" t="s">
        <v>4707</v>
      </c>
      <c r="D709" s="92" t="s">
        <v>4708</v>
      </c>
      <c r="E709" s="91" t="s">
        <v>1164</v>
      </c>
      <c r="F709" s="91" t="s">
        <v>1165</v>
      </c>
      <c r="G709" s="56" t="s">
        <v>352</v>
      </c>
      <c r="H709" s="91">
        <v>40</v>
      </c>
      <c r="I709" s="91" t="s">
        <v>207</v>
      </c>
      <c r="J709" s="91" t="s">
        <v>2064</v>
      </c>
      <c r="K709" s="92" t="s">
        <v>2386</v>
      </c>
      <c r="L709" s="93" t="str">
        <f>VLOOKUP(G709,'SKU 对应关系'!A:E,4,0)</f>
        <v>AN6-LB</v>
      </c>
      <c r="M709" s="94" t="str">
        <f>_xlfn.IFNA(VLOOKUP(G709,'SKU 对应关系'!A:B,2,0),"")</f>
        <v>AN6-LB 便携式扩香仪 浅钢蓝色</v>
      </c>
      <c r="N709" s="95" t="str">
        <f>_xlfn.IFNA(VLOOKUP(G709,'SKU 对应关系'!$A:$D,3,0),"")</f>
        <v>AN6</v>
      </c>
      <c r="O709" s="96">
        <v>1</v>
      </c>
      <c r="P709" s="580">
        <v>14.737142857142857</v>
      </c>
      <c r="Q709" s="96" t="s">
        <v>16</v>
      </c>
      <c r="R709" s="91">
        <v>7.7</v>
      </c>
      <c r="S709" s="106">
        <v>250</v>
      </c>
      <c r="T709" s="98">
        <v>13.157894736842104</v>
      </c>
      <c r="U709" s="99">
        <f t="shared" si="85"/>
        <v>126.63389473684211</v>
      </c>
      <c r="V709" s="100">
        <f t="shared" si="86"/>
        <v>3.1658473684210526</v>
      </c>
      <c r="W709" s="101">
        <f t="shared" si="87"/>
        <v>0.47251453260015708</v>
      </c>
      <c r="X709" s="95"/>
      <c r="Y709" s="95"/>
      <c r="Z709" s="102"/>
      <c r="AA709" s="103">
        <v>46177</v>
      </c>
      <c r="AB709" s="103">
        <v>46211</v>
      </c>
      <c r="AC709" s="103"/>
      <c r="AD709" s="102"/>
      <c r="AE709" s="102"/>
      <c r="AF709" s="103"/>
      <c r="AG709" s="577">
        <f t="shared" si="88"/>
        <v>-46177</v>
      </c>
      <c r="AH709" s="103"/>
      <c r="AI709" s="96"/>
      <c r="AJ709" s="96"/>
      <c r="AK709" s="96"/>
      <c r="AL709" s="92"/>
      <c r="AM709" s="91"/>
      <c r="AN709" s="91"/>
      <c r="AO709" s="96"/>
      <c r="AP709" s="105"/>
      <c r="AQ709" s="105"/>
      <c r="AR709" s="105"/>
      <c r="AS709" s="105"/>
    </row>
    <row r="710" spans="1:45" ht="12" customHeight="1" x14ac:dyDescent="0.25">
      <c r="A710" s="90">
        <f t="shared" si="84"/>
        <v>709</v>
      </c>
      <c r="B710" s="91"/>
      <c r="C710" s="91" t="s">
        <v>4707</v>
      </c>
      <c r="D710" s="92" t="s">
        <v>4708</v>
      </c>
      <c r="E710" s="91" t="s">
        <v>1164</v>
      </c>
      <c r="F710" s="91" t="s">
        <v>1165</v>
      </c>
      <c r="G710" s="56" t="s">
        <v>165</v>
      </c>
      <c r="H710" s="91">
        <v>240</v>
      </c>
      <c r="I710" s="91" t="s">
        <v>207</v>
      </c>
      <c r="J710" s="91" t="s">
        <v>2064</v>
      </c>
      <c r="K710" s="92" t="s">
        <v>2386</v>
      </c>
      <c r="L710" s="93" t="str">
        <f>VLOOKUP(G710,'SKU 对应关系'!A:E,4,0)</f>
        <v>AN6-W</v>
      </c>
      <c r="M710" s="94" t="str">
        <f>_xlfn.IFNA(VLOOKUP(G710,'SKU 对应关系'!A:B,2,0),"")</f>
        <v>AN6-W 便携式扩香仪 白色</v>
      </c>
      <c r="N710" s="95" t="str">
        <f>_xlfn.IFNA(VLOOKUP(G710,'SKU 对应关系'!$A:$D,3,0),"")</f>
        <v>AN6</v>
      </c>
      <c r="O710" s="96">
        <v>6</v>
      </c>
      <c r="P710" s="580">
        <v>88.42285714285714</v>
      </c>
      <c r="Q710" s="96" t="s">
        <v>16</v>
      </c>
      <c r="R710" s="91">
        <v>7.7</v>
      </c>
      <c r="S710" s="95"/>
      <c r="T710" s="98">
        <v>78.94736842105263</v>
      </c>
      <c r="U710" s="99">
        <f t="shared" si="85"/>
        <v>759.8033684210526</v>
      </c>
      <c r="V710" s="100">
        <f t="shared" si="86"/>
        <v>3.1658473684210526</v>
      </c>
      <c r="W710" s="101">
        <f t="shared" si="87"/>
        <v>0.47251453260015708</v>
      </c>
      <c r="X710" s="95"/>
      <c r="Y710" s="95"/>
      <c r="Z710" s="102"/>
      <c r="AA710" s="103">
        <v>46177</v>
      </c>
      <c r="AB710" s="103">
        <v>46211</v>
      </c>
      <c r="AC710" s="103"/>
      <c r="AD710" s="102"/>
      <c r="AE710" s="102"/>
      <c r="AF710" s="103"/>
      <c r="AG710" s="577">
        <f t="shared" si="88"/>
        <v>-46177</v>
      </c>
      <c r="AH710" s="103"/>
      <c r="AI710" s="96"/>
      <c r="AJ710" s="96"/>
      <c r="AK710" s="96"/>
      <c r="AL710" s="92"/>
      <c r="AM710" s="91"/>
      <c r="AN710" s="91"/>
      <c r="AO710" s="96"/>
      <c r="AP710" s="105"/>
      <c r="AQ710" s="105"/>
      <c r="AR710" s="105"/>
      <c r="AS710" s="105"/>
    </row>
    <row r="711" spans="1:45" ht="12" customHeight="1" x14ac:dyDescent="0.25">
      <c r="A711" s="90">
        <f t="shared" si="84"/>
        <v>710</v>
      </c>
      <c r="B711" s="91"/>
      <c r="C711" s="91" t="s">
        <v>1207</v>
      </c>
      <c r="D711" s="92" t="s">
        <v>4709</v>
      </c>
      <c r="E711" s="91" t="s">
        <v>2607</v>
      </c>
      <c r="F711" s="91" t="s">
        <v>1073</v>
      </c>
      <c r="G711" s="56" t="s">
        <v>953</v>
      </c>
      <c r="H711" s="91">
        <v>150</v>
      </c>
      <c r="I711" s="91" t="s">
        <v>4735</v>
      </c>
      <c r="J711" s="91" t="s">
        <v>2102</v>
      </c>
      <c r="K711" s="92" t="s">
        <v>4710</v>
      </c>
      <c r="L711" s="93" t="str">
        <f>VLOOKUP(G711,'SKU 对应关系'!A:E,4,0)</f>
        <v>AND-B</v>
      </c>
      <c r="M711" s="94" t="str">
        <f>_xlfn.IFNA(VLOOKUP(G711,'SKU 对应关系'!A:B,2,0),"")</f>
        <v>AND-B 便携式双喷扩香仪 黑色</v>
      </c>
      <c r="N711" s="95" t="str">
        <f>_xlfn.IFNA(VLOOKUP(G711,'SKU 对应关系'!$A:$D,3,0),"")</f>
        <v>AND</v>
      </c>
      <c r="O711" s="96">
        <v>5</v>
      </c>
      <c r="P711" s="580">
        <v>75.9375</v>
      </c>
      <c r="Q711" s="96" t="s">
        <v>16</v>
      </c>
      <c r="R711" s="91">
        <v>8</v>
      </c>
      <c r="S711" s="95">
        <v>350</v>
      </c>
      <c r="T711" s="98">
        <v>109.375</v>
      </c>
      <c r="U711" s="99">
        <f t="shared" si="85"/>
        <v>716.875</v>
      </c>
      <c r="V711" s="100">
        <f t="shared" si="86"/>
        <v>4.7791666666666668</v>
      </c>
      <c r="W711" s="101">
        <f t="shared" si="87"/>
        <v>0.7133084577114428</v>
      </c>
      <c r="X711" s="95"/>
      <c r="Y711" s="95"/>
      <c r="Z711" s="102"/>
      <c r="AA711" s="103">
        <v>46178</v>
      </c>
      <c r="AB711" s="103">
        <v>46204</v>
      </c>
      <c r="AC711" s="103"/>
      <c r="AD711" s="102"/>
      <c r="AE711" s="102"/>
      <c r="AF711" s="103"/>
      <c r="AG711" s="577">
        <f t="shared" si="88"/>
        <v>-46178</v>
      </c>
      <c r="AH711" s="103"/>
      <c r="AI711" s="96"/>
      <c r="AJ711" s="96"/>
      <c r="AK711" s="96"/>
      <c r="AL711" s="92"/>
      <c r="AM711" s="91"/>
      <c r="AN711" s="91"/>
      <c r="AO711" s="96"/>
      <c r="AP711" s="105"/>
      <c r="AQ711" s="105"/>
      <c r="AR711" s="105"/>
      <c r="AS711" s="105"/>
    </row>
    <row r="712" spans="1:45" ht="12" customHeight="1" x14ac:dyDescent="0.25">
      <c r="A712" s="90">
        <f t="shared" si="84"/>
        <v>711</v>
      </c>
      <c r="B712" s="91"/>
      <c r="C712" s="91" t="s">
        <v>1207</v>
      </c>
      <c r="D712" s="92" t="s">
        <v>4709</v>
      </c>
      <c r="E712" s="91" t="s">
        <v>2607</v>
      </c>
      <c r="F712" s="91" t="s">
        <v>1073</v>
      </c>
      <c r="G712" s="56" t="s">
        <v>957</v>
      </c>
      <c r="H712" s="91">
        <v>90</v>
      </c>
      <c r="I712" s="91" t="s">
        <v>4735</v>
      </c>
      <c r="J712" s="91" t="s">
        <v>2102</v>
      </c>
      <c r="K712" s="92" t="s">
        <v>4710</v>
      </c>
      <c r="L712" s="93" t="str">
        <f>VLOOKUP(G712,'SKU 对应关系'!A:E,4,0)</f>
        <v>AND-DT</v>
      </c>
      <c r="M712" s="94" t="str">
        <f>_xlfn.IFNA(VLOOKUP(G712,'SKU 对应关系'!A:B,2,0),"")</f>
        <v>AND-DT 便携式双喷扩香仪 沙漠钛色</v>
      </c>
      <c r="N712" s="95" t="str">
        <f>_xlfn.IFNA(VLOOKUP(G712,'SKU 对应关系'!$A:$D,3,0),"")</f>
        <v>AND</v>
      </c>
      <c r="O712" s="96">
        <v>3</v>
      </c>
      <c r="P712" s="580">
        <v>45.5625</v>
      </c>
      <c r="Q712" s="96" t="s">
        <v>16</v>
      </c>
      <c r="R712" s="91">
        <v>8</v>
      </c>
      <c r="S712" s="106">
        <v>350</v>
      </c>
      <c r="T712" s="98">
        <v>65.625</v>
      </c>
      <c r="U712" s="99">
        <f t="shared" si="85"/>
        <v>430.125</v>
      </c>
      <c r="V712" s="100">
        <f t="shared" si="86"/>
        <v>4.7791666666666668</v>
      </c>
      <c r="W712" s="101">
        <f t="shared" si="87"/>
        <v>0.7133084577114428</v>
      </c>
      <c r="X712" s="95"/>
      <c r="Y712" s="95"/>
      <c r="Z712" s="102"/>
      <c r="AA712" s="103">
        <v>46178</v>
      </c>
      <c r="AB712" s="103">
        <v>46204</v>
      </c>
      <c r="AC712" s="103"/>
      <c r="AD712" s="102"/>
      <c r="AE712" s="102"/>
      <c r="AF712" s="103"/>
      <c r="AG712" s="577">
        <f t="shared" si="88"/>
        <v>-46178</v>
      </c>
      <c r="AH712" s="103"/>
      <c r="AI712" s="96"/>
      <c r="AJ712" s="96"/>
      <c r="AK712" s="96"/>
      <c r="AL712" s="92"/>
      <c r="AM712" s="91"/>
      <c r="AN712" s="91"/>
      <c r="AO712" s="96"/>
      <c r="AP712" s="105"/>
      <c r="AQ712" s="105"/>
      <c r="AR712" s="105"/>
      <c r="AS712" s="105"/>
    </row>
    <row r="713" spans="1:45" ht="12" customHeight="1" x14ac:dyDescent="0.25">
      <c r="A713" s="90">
        <f t="shared" si="84"/>
        <v>712</v>
      </c>
      <c r="B713" s="91"/>
      <c r="C713" s="91" t="s">
        <v>1207</v>
      </c>
      <c r="D713" s="92" t="s">
        <v>4709</v>
      </c>
      <c r="E713" s="91" t="s">
        <v>2607</v>
      </c>
      <c r="F713" s="91" t="s">
        <v>1073</v>
      </c>
      <c r="G713" s="56" t="s">
        <v>2279</v>
      </c>
      <c r="H713" s="91">
        <v>120</v>
      </c>
      <c r="I713" s="91" t="s">
        <v>4735</v>
      </c>
      <c r="J713" s="91" t="s">
        <v>2102</v>
      </c>
      <c r="K713" s="92" t="s">
        <v>4710</v>
      </c>
      <c r="L713" s="93" t="str">
        <f>VLOOKUP(G713,'SKU 对应关系'!A:E,4,0)</f>
        <v>RD1-B</v>
      </c>
      <c r="M713" s="94" t="str">
        <f>_xlfn.IFNA(VLOOKUP(G713,'SKU 对应关系'!A:B,2,0),"")</f>
        <v>RD1-B 便携式扩香仪 黑色</v>
      </c>
      <c r="N713" s="95" t="str">
        <f>_xlfn.IFNA(VLOOKUP(G713,'SKU 对应关系'!$A:$D,3,0),"")</f>
        <v>RD1</v>
      </c>
      <c r="O713" s="96">
        <v>4</v>
      </c>
      <c r="P713" s="580">
        <v>60.75</v>
      </c>
      <c r="Q713" s="96" t="s">
        <v>16</v>
      </c>
      <c r="R713" s="91">
        <v>8</v>
      </c>
      <c r="S713" s="95"/>
      <c r="T713" s="98">
        <v>87.5</v>
      </c>
      <c r="U713" s="99">
        <f t="shared" si="85"/>
        <v>573.5</v>
      </c>
      <c r="V713" s="100">
        <f t="shared" si="86"/>
        <v>4.7791666666666668</v>
      </c>
      <c r="W713" s="101">
        <f t="shared" si="87"/>
        <v>0.7133084577114428</v>
      </c>
      <c r="X713" s="95"/>
      <c r="Y713" s="95"/>
      <c r="Z713" s="102"/>
      <c r="AA713" s="103">
        <v>46178</v>
      </c>
      <c r="AB713" s="103">
        <v>46204</v>
      </c>
      <c r="AC713" s="103"/>
      <c r="AD713" s="102"/>
      <c r="AE713" s="102"/>
      <c r="AF713" s="103"/>
      <c r="AG713" s="577">
        <f t="shared" si="88"/>
        <v>-46178</v>
      </c>
      <c r="AH713" s="103"/>
      <c r="AI713" s="96"/>
      <c r="AJ713" s="96"/>
      <c r="AK713" s="96"/>
      <c r="AL713" s="92"/>
      <c r="AM713" s="91"/>
      <c r="AN713" s="91"/>
      <c r="AO713" s="96"/>
      <c r="AP713" s="105"/>
      <c r="AQ713" s="105"/>
      <c r="AR713" s="105"/>
      <c r="AS713" s="105"/>
    </row>
    <row r="714" spans="1:45" ht="12" customHeight="1" x14ac:dyDescent="0.25">
      <c r="A714" s="90">
        <f t="shared" si="84"/>
        <v>713</v>
      </c>
      <c r="B714" s="91"/>
      <c r="C714" s="91" t="s">
        <v>1207</v>
      </c>
      <c r="D714" s="92" t="s">
        <v>4709</v>
      </c>
      <c r="E714" s="91" t="s">
        <v>2607</v>
      </c>
      <c r="F714" s="91" t="s">
        <v>1073</v>
      </c>
      <c r="G714" s="56" t="s">
        <v>2281</v>
      </c>
      <c r="H714" s="91">
        <v>90</v>
      </c>
      <c r="I714" s="91" t="s">
        <v>4735</v>
      </c>
      <c r="J714" s="91" t="s">
        <v>2102</v>
      </c>
      <c r="K714" s="92" t="s">
        <v>4710</v>
      </c>
      <c r="L714" s="93" t="str">
        <f>VLOOKUP(G714,'SKU 对应关系'!A:E,4,0)</f>
        <v>RD1-DT</v>
      </c>
      <c r="M714" s="94" t="str">
        <f>_xlfn.IFNA(VLOOKUP(G714,'SKU 对应关系'!A:B,2,0),"")</f>
        <v>RD1-DT 便携式扩香仪 沙漠钛色</v>
      </c>
      <c r="N714" s="95" t="str">
        <f>_xlfn.IFNA(VLOOKUP(G714,'SKU 对应关系'!$A:$D,3,0),"")</f>
        <v>RD1</v>
      </c>
      <c r="O714" s="96">
        <v>3</v>
      </c>
      <c r="P714" s="580">
        <v>45.5625</v>
      </c>
      <c r="Q714" s="96" t="s">
        <v>16</v>
      </c>
      <c r="R714" s="91">
        <v>8</v>
      </c>
      <c r="S714" s="95"/>
      <c r="T714" s="98">
        <v>65.625</v>
      </c>
      <c r="U714" s="99">
        <f t="shared" si="85"/>
        <v>430.125</v>
      </c>
      <c r="V714" s="100">
        <f t="shared" si="86"/>
        <v>4.7791666666666668</v>
      </c>
      <c r="W714" s="101">
        <f t="shared" si="87"/>
        <v>0.7133084577114428</v>
      </c>
      <c r="X714" s="95"/>
      <c r="Y714" s="95"/>
      <c r="Z714" s="102"/>
      <c r="AA714" s="103">
        <v>46178</v>
      </c>
      <c r="AB714" s="103">
        <v>46204</v>
      </c>
      <c r="AC714" s="103"/>
      <c r="AD714" s="102"/>
      <c r="AE714" s="102"/>
      <c r="AF714" s="103"/>
      <c r="AG714" s="577">
        <f t="shared" si="88"/>
        <v>-46178</v>
      </c>
      <c r="AH714" s="103"/>
      <c r="AI714" s="96"/>
      <c r="AJ714" s="96"/>
      <c r="AK714" s="96"/>
      <c r="AL714" s="92"/>
      <c r="AM714" s="91"/>
      <c r="AN714" s="91"/>
      <c r="AO714" s="96"/>
      <c r="AP714" s="105"/>
      <c r="AQ714" s="105"/>
      <c r="AR714" s="105"/>
      <c r="AS714" s="105"/>
    </row>
    <row r="715" spans="1:45" ht="12" customHeight="1" x14ac:dyDescent="0.25">
      <c r="A715" s="90">
        <f t="shared" si="84"/>
        <v>714</v>
      </c>
      <c r="B715" s="91"/>
      <c r="C715" s="91" t="s">
        <v>1207</v>
      </c>
      <c r="D715" s="92" t="s">
        <v>4709</v>
      </c>
      <c r="E715" s="91" t="s">
        <v>2607</v>
      </c>
      <c r="F715" s="91" t="s">
        <v>1073</v>
      </c>
      <c r="G715" s="56" t="s">
        <v>2279</v>
      </c>
      <c r="H715" s="91">
        <v>27</v>
      </c>
      <c r="I715" s="91" t="s">
        <v>4735</v>
      </c>
      <c r="J715" s="91" t="s">
        <v>2102</v>
      </c>
      <c r="K715" s="92" t="s">
        <v>4710</v>
      </c>
      <c r="L715" s="93" t="str">
        <f>VLOOKUP(G715,'SKU 对应关系'!A:E,4,0)</f>
        <v>RD1-B</v>
      </c>
      <c r="M715" s="94" t="str">
        <f>_xlfn.IFNA(VLOOKUP(G715,'SKU 对应关系'!A:B,2,0),"")</f>
        <v>RD1-B 便携式扩香仪 黑色</v>
      </c>
      <c r="N715" s="95" t="str">
        <f>_xlfn.IFNA(VLOOKUP(G715,'SKU 对应关系'!$A:$D,3,0),"")</f>
        <v>RD1</v>
      </c>
      <c r="O715" s="96">
        <v>0.5</v>
      </c>
      <c r="P715" s="580">
        <v>7.59375</v>
      </c>
      <c r="Q715" s="96" t="s">
        <v>16</v>
      </c>
      <c r="R715" s="91">
        <v>8</v>
      </c>
      <c r="S715" s="95"/>
      <c r="T715" s="98">
        <v>10.9375</v>
      </c>
      <c r="U715" s="99">
        <f t="shared" si="85"/>
        <v>71.6875</v>
      </c>
      <c r="V715" s="100">
        <f t="shared" si="86"/>
        <v>2.6550925925925926</v>
      </c>
      <c r="W715" s="101">
        <f t="shared" si="87"/>
        <v>0.39628247650635706</v>
      </c>
      <c r="X715" s="95"/>
      <c r="Y715" s="95"/>
      <c r="Z715" s="102"/>
      <c r="AA715" s="103">
        <v>46178</v>
      </c>
      <c r="AB715" s="103">
        <v>46204</v>
      </c>
      <c r="AC715" s="103"/>
      <c r="AD715" s="102"/>
      <c r="AE715" s="102"/>
      <c r="AF715" s="103"/>
      <c r="AG715" s="577">
        <f t="shared" si="88"/>
        <v>-46178</v>
      </c>
      <c r="AH715" s="103"/>
      <c r="AI715" s="96"/>
      <c r="AJ715" s="96"/>
      <c r="AK715" s="96"/>
      <c r="AL715" s="92"/>
      <c r="AM715" s="91"/>
      <c r="AN715" s="91"/>
      <c r="AO715" s="96"/>
      <c r="AP715" s="105"/>
      <c r="AQ715" s="105"/>
      <c r="AR715" s="105"/>
      <c r="AS715" s="105"/>
    </row>
    <row r="716" spans="1:45" ht="12" customHeight="1" x14ac:dyDescent="0.25">
      <c r="A716" s="90">
        <f t="shared" si="84"/>
        <v>715</v>
      </c>
      <c r="B716" s="91"/>
      <c r="C716" s="91" t="s">
        <v>1207</v>
      </c>
      <c r="D716" s="92" t="s">
        <v>4709</v>
      </c>
      <c r="E716" s="91" t="s">
        <v>2607</v>
      </c>
      <c r="F716" s="91" t="s">
        <v>1073</v>
      </c>
      <c r="G716" s="56" t="s">
        <v>355</v>
      </c>
      <c r="H716" s="91">
        <v>15</v>
      </c>
      <c r="I716" s="91" t="s">
        <v>4735</v>
      </c>
      <c r="J716" s="91" t="s">
        <v>2102</v>
      </c>
      <c r="K716" s="92" t="s">
        <v>4710</v>
      </c>
      <c r="L716" s="93" t="str">
        <f>VLOOKUP(G716,'SKU 对应关系'!A:E,4,0)</f>
        <v>AN6NZ-B</v>
      </c>
      <c r="M716" s="94" t="str">
        <f>_xlfn.IFNA(VLOOKUP(G716,'SKU 对应关系'!A:B,2,0),"")</f>
        <v>AN6NZ-B AN6喷嘴配件套装 黑色</v>
      </c>
      <c r="N716" s="95" t="str">
        <f>_xlfn.IFNA(VLOOKUP(G716,'SKU 对应关系'!$A:$D,3,0),"")</f>
        <v>AN6-AC</v>
      </c>
      <c r="O716" s="96">
        <v>0.5</v>
      </c>
      <c r="P716" s="580">
        <v>7.59375</v>
      </c>
      <c r="Q716" s="96" t="s">
        <v>16</v>
      </c>
      <c r="R716" s="91">
        <v>8</v>
      </c>
      <c r="S716" s="95"/>
      <c r="T716" s="98">
        <v>10.9375</v>
      </c>
      <c r="U716" s="99">
        <f t="shared" si="85"/>
        <v>71.6875</v>
      </c>
      <c r="V716" s="100">
        <f t="shared" si="86"/>
        <v>4.7791666666666668</v>
      </c>
      <c r="W716" s="101">
        <f t="shared" si="87"/>
        <v>0.7133084577114428</v>
      </c>
      <c r="X716" s="95"/>
      <c r="Y716" s="95"/>
      <c r="Z716" s="102"/>
      <c r="AA716" s="103">
        <v>46178</v>
      </c>
      <c r="AB716" s="103">
        <v>46204</v>
      </c>
      <c r="AC716" s="103"/>
      <c r="AD716" s="102"/>
      <c r="AE716" s="102"/>
      <c r="AF716" s="103"/>
      <c r="AG716" s="577">
        <f t="shared" si="88"/>
        <v>-46178</v>
      </c>
      <c r="AH716" s="103"/>
      <c r="AI716" s="96"/>
      <c r="AJ716" s="96"/>
      <c r="AK716" s="96"/>
      <c r="AL716" s="92"/>
      <c r="AM716" s="91"/>
      <c r="AN716" s="91"/>
      <c r="AO716" s="96"/>
      <c r="AP716" s="105"/>
      <c r="AQ716" s="105"/>
      <c r="AR716" s="105"/>
      <c r="AS716" s="105"/>
    </row>
    <row r="717" spans="1:45" ht="12" customHeight="1" x14ac:dyDescent="0.25">
      <c r="A717" s="90">
        <f t="shared" si="84"/>
        <v>716</v>
      </c>
      <c r="B717" s="91"/>
      <c r="C717" s="91" t="s">
        <v>4697</v>
      </c>
      <c r="D717" s="92" t="s">
        <v>4711</v>
      </c>
      <c r="E717" s="91" t="s">
        <v>1037</v>
      </c>
      <c r="F717" s="91" t="s">
        <v>0</v>
      </c>
      <c r="G717" s="56" t="s">
        <v>556</v>
      </c>
      <c r="H717" s="91">
        <v>96</v>
      </c>
      <c r="I717" s="91" t="s">
        <v>89</v>
      </c>
      <c r="J717" s="91" t="s">
        <v>8</v>
      </c>
      <c r="K717" s="92" t="s">
        <v>50</v>
      </c>
      <c r="L717" s="93" t="str">
        <f>VLOOKUP(G717,'SKU 对应关系'!A:E,4,0)</f>
        <v>MD1-T</v>
      </c>
      <c r="M717" s="94" t="str">
        <f>_xlfn.IFNA(VLOOKUP(G717,'SKU 对应关系'!A:B,2,0),"")</f>
        <v>MD1-T 电子球形把手锁 指纹 钛灰色</v>
      </c>
      <c r="N717" s="95" t="str">
        <f>_xlfn.IFNA(VLOOKUP(G717,'SKU 对应关系'!$A:$D,3,0),"")</f>
        <v>MD1</v>
      </c>
      <c r="O717" s="96">
        <v>6</v>
      </c>
      <c r="P717" s="580">
        <v>90</v>
      </c>
      <c r="Q717" s="96" t="s">
        <v>16</v>
      </c>
      <c r="R717" s="91">
        <v>5.4</v>
      </c>
      <c r="S717" s="95"/>
      <c r="T717" s="98">
        <v>10.714285714285714</v>
      </c>
      <c r="U717" s="99">
        <f t="shared" si="85"/>
        <v>496.71428571428578</v>
      </c>
      <c r="V717" s="100">
        <f t="shared" si="86"/>
        <v>5.1741071428571432</v>
      </c>
      <c r="W717" s="101">
        <f t="shared" si="87"/>
        <v>0.7722547974413646</v>
      </c>
      <c r="X717" s="95"/>
      <c r="Y717" s="95"/>
      <c r="Z717" s="102"/>
      <c r="AA717" s="103">
        <v>46178</v>
      </c>
      <c r="AB717" s="103">
        <v>46205</v>
      </c>
      <c r="AC717" s="103"/>
      <c r="AD717" s="102"/>
      <c r="AE717" s="102"/>
      <c r="AF717" s="103"/>
      <c r="AG717" s="577">
        <f t="shared" si="88"/>
        <v>-46178</v>
      </c>
      <c r="AH717" s="103"/>
      <c r="AI717" s="96"/>
      <c r="AJ717" s="96"/>
      <c r="AK717" s="96"/>
      <c r="AL717" s="92"/>
      <c r="AM717" s="91"/>
      <c r="AN717" s="91"/>
      <c r="AO717" s="96"/>
      <c r="AP717" s="105"/>
      <c r="AQ717" s="105"/>
      <c r="AR717" s="105"/>
      <c r="AS717" s="105"/>
    </row>
    <row r="718" spans="1:45" ht="12" customHeight="1" x14ac:dyDescent="0.25">
      <c r="A718" s="90">
        <f t="shared" si="84"/>
        <v>717</v>
      </c>
      <c r="B718" s="91"/>
      <c r="C718" s="91" t="s">
        <v>4712</v>
      </c>
      <c r="D718" s="92" t="s">
        <v>4713</v>
      </c>
      <c r="E718" s="91" t="s">
        <v>4202</v>
      </c>
      <c r="F718" s="91" t="s">
        <v>0</v>
      </c>
      <c r="G718" s="56" t="s">
        <v>2911</v>
      </c>
      <c r="H718" s="91">
        <v>240</v>
      </c>
      <c r="I718" s="91" t="s">
        <v>89</v>
      </c>
      <c r="J718" s="91" t="s">
        <v>8</v>
      </c>
      <c r="K718" s="92" t="s">
        <v>32</v>
      </c>
      <c r="L718" s="93" t="str">
        <f>VLOOKUP(G718,'SKU 对应关系'!A:E,4,0)</f>
        <v>GK1-SILV</v>
      </c>
      <c r="M718" s="94" t="str">
        <f>_xlfn.IFNA(VLOOKUP(G718,'SKU 对应关系'!A:B,2,0),"")</f>
        <v>GK1-SILV 智能球形把手锁 银色</v>
      </c>
      <c r="N718" s="95" t="str">
        <f>_xlfn.IFNA(VLOOKUP(G718,'SKU 对应关系'!$A:$D,3,0),"")</f>
        <v>GK1</v>
      </c>
      <c r="O718" s="96">
        <v>15</v>
      </c>
      <c r="P718" s="580">
        <v>202</v>
      </c>
      <c r="Q718" s="96" t="s">
        <v>16</v>
      </c>
      <c r="R718" s="91">
        <v>4.5</v>
      </c>
      <c r="S718" s="95">
        <v>200</v>
      </c>
      <c r="T718" s="98">
        <v>71.428571428571431</v>
      </c>
      <c r="U718" s="99">
        <f t="shared" si="85"/>
        <v>980.42857142857144</v>
      </c>
      <c r="V718" s="100">
        <f t="shared" si="86"/>
        <v>4.085119047619048</v>
      </c>
      <c r="W718" s="101">
        <f t="shared" si="87"/>
        <v>0.6097192608386639</v>
      </c>
      <c r="X718" s="95"/>
      <c r="Y718" s="95"/>
      <c r="Z718" s="102"/>
      <c r="AA718" s="103">
        <v>46178</v>
      </c>
      <c r="AB718" s="103">
        <v>46202</v>
      </c>
      <c r="AC718" s="103"/>
      <c r="AD718" s="102"/>
      <c r="AE718" s="102"/>
      <c r="AF718" s="103"/>
      <c r="AG718" s="577">
        <f t="shared" si="88"/>
        <v>-46178</v>
      </c>
      <c r="AH718" s="103"/>
      <c r="AI718" s="96"/>
      <c r="AJ718" s="96"/>
      <c r="AK718" s="96"/>
      <c r="AL718" s="92"/>
      <c r="AM718" s="91"/>
      <c r="AN718" s="91"/>
      <c r="AO718" s="96"/>
      <c r="AP718" s="105"/>
      <c r="AQ718" s="105"/>
      <c r="AR718" s="105"/>
      <c r="AS718" s="105"/>
    </row>
    <row r="719" spans="1:45" ht="12" customHeight="1" x14ac:dyDescent="0.25">
      <c r="A719" s="90">
        <f t="shared" si="84"/>
        <v>718</v>
      </c>
      <c r="B719" s="91"/>
      <c r="C719" s="91" t="s">
        <v>4707</v>
      </c>
      <c r="D719" s="92" t="s">
        <v>4714</v>
      </c>
      <c r="E719" s="91" t="s">
        <v>1164</v>
      </c>
      <c r="F719" s="91" t="s">
        <v>1165</v>
      </c>
      <c r="G719" s="56" t="s">
        <v>4459</v>
      </c>
      <c r="H719" s="91">
        <v>32</v>
      </c>
      <c r="I719" s="91" t="s">
        <v>207</v>
      </c>
      <c r="J719" s="91" t="s">
        <v>2064</v>
      </c>
      <c r="K719" s="92" t="s">
        <v>2386</v>
      </c>
      <c r="L719" s="93" t="str">
        <f>VLOOKUP(G719,'SKU 对应关系'!A:E,4,0)</f>
        <v>ANP-W_EU</v>
      </c>
      <c r="M719" s="94" t="str">
        <f>_xlfn.IFNA(VLOOKUP(G719,'SKU 对应关系'!A:B,2,0),"")</f>
        <v>ANP-W_EU 欧规墙插式智能扩香仪 白色</v>
      </c>
      <c r="N719" s="95" t="str">
        <f>_xlfn.IFNA(VLOOKUP(G719,'SKU 对应关系'!$A:$D,3,0),"")</f>
        <v>ANP</v>
      </c>
      <c r="O719" s="96">
        <v>1</v>
      </c>
      <c r="P719" s="580">
        <v>14.736000000000001</v>
      </c>
      <c r="Q719" s="96" t="s">
        <v>16</v>
      </c>
      <c r="R719" s="91">
        <v>7.7</v>
      </c>
      <c r="S719" s="95">
        <v>250</v>
      </c>
      <c r="T719" s="98">
        <v>13.157894736842104</v>
      </c>
      <c r="U719" s="99">
        <f t="shared" si="85"/>
        <v>126.62509473684212</v>
      </c>
      <c r="V719" s="100">
        <f t="shared" si="86"/>
        <v>3.9570342105263161</v>
      </c>
      <c r="W719" s="101">
        <f t="shared" si="87"/>
        <v>0.59060212097407705</v>
      </c>
      <c r="X719" s="95"/>
      <c r="Y719" s="95"/>
      <c r="Z719" s="102"/>
      <c r="AA719" s="103">
        <v>46177</v>
      </c>
      <c r="AB719" s="103">
        <v>46211</v>
      </c>
      <c r="AC719" s="103"/>
      <c r="AD719" s="102"/>
      <c r="AE719" s="102"/>
      <c r="AF719" s="103"/>
      <c r="AG719" s="577">
        <f t="shared" si="88"/>
        <v>-46177</v>
      </c>
      <c r="AH719" s="103"/>
      <c r="AI719" s="96"/>
      <c r="AJ719" s="96"/>
      <c r="AK719" s="96"/>
      <c r="AL719" s="92"/>
      <c r="AM719" s="91"/>
      <c r="AN719" s="91"/>
      <c r="AO719" s="96"/>
      <c r="AP719" s="105"/>
      <c r="AQ719" s="105"/>
      <c r="AR719" s="105"/>
      <c r="AS719" s="105"/>
    </row>
    <row r="720" spans="1:45" ht="12" customHeight="1" x14ac:dyDescent="0.25">
      <c r="A720" s="90">
        <f t="shared" si="84"/>
        <v>719</v>
      </c>
      <c r="B720" s="91"/>
      <c r="C720" s="91" t="s">
        <v>4707</v>
      </c>
      <c r="D720" s="92" t="s">
        <v>4714</v>
      </c>
      <c r="E720" s="91" t="s">
        <v>1164</v>
      </c>
      <c r="F720" s="91" t="s">
        <v>1165</v>
      </c>
      <c r="G720" s="56" t="s">
        <v>4460</v>
      </c>
      <c r="H720" s="91">
        <v>128</v>
      </c>
      <c r="I720" s="91" t="s">
        <v>207</v>
      </c>
      <c r="J720" s="91" t="s">
        <v>2064</v>
      </c>
      <c r="K720" s="92" t="s">
        <v>2386</v>
      </c>
      <c r="L720" s="93" t="str">
        <f>VLOOKUP(G720,'SKU 对应关系'!A:E,4,0)</f>
        <v>ANPKIT-W_EU_3X20K01_TZ</v>
      </c>
      <c r="M720" s="94" t="str">
        <f>_xlfn.IFNA(VLOOKUP(G720,'SKU 对应关系'!A:B,2,0),"")</f>
        <v>ANPKIT-W_EU_3X20K01_TZ ANP欧规白色机器+3X20mL酒店香氛油（天竺） 机油套装</v>
      </c>
      <c r="N720" s="95" t="str">
        <f>_xlfn.IFNA(VLOOKUP(G720,'SKU 对应关系'!$A:$D,3,0),"")</f>
        <v>ANP</v>
      </c>
      <c r="O720" s="96">
        <v>4</v>
      </c>
      <c r="P720" s="580">
        <v>58.944000000000003</v>
      </c>
      <c r="Q720" s="96" t="s">
        <v>16</v>
      </c>
      <c r="R720" s="91">
        <v>7.7</v>
      </c>
      <c r="S720" s="106">
        <v>250</v>
      </c>
      <c r="T720" s="98">
        <v>52.631578947368418</v>
      </c>
      <c r="U720" s="99">
        <f t="shared" si="85"/>
        <v>506.50037894736846</v>
      </c>
      <c r="V720" s="100">
        <f t="shared" si="86"/>
        <v>3.9570342105263161</v>
      </c>
      <c r="W720" s="101">
        <f t="shared" si="87"/>
        <v>0.59060212097407705</v>
      </c>
      <c r="X720" s="95"/>
      <c r="Y720" s="95"/>
      <c r="Z720" s="102"/>
      <c r="AA720" s="103">
        <v>46177</v>
      </c>
      <c r="AB720" s="103">
        <v>46211</v>
      </c>
      <c r="AC720" s="103"/>
      <c r="AD720" s="102"/>
      <c r="AE720" s="102"/>
      <c r="AF720" s="103"/>
      <c r="AG720" s="577">
        <f t="shared" si="88"/>
        <v>-46177</v>
      </c>
      <c r="AH720" s="103"/>
      <c r="AI720" s="96"/>
      <c r="AJ720" s="96"/>
      <c r="AK720" s="96"/>
      <c r="AL720" s="92"/>
      <c r="AM720" s="91"/>
      <c r="AN720" s="91"/>
      <c r="AO720" s="96"/>
      <c r="AP720" s="105"/>
      <c r="AQ720" s="105"/>
      <c r="AR720" s="105"/>
      <c r="AS720" s="105"/>
    </row>
    <row r="721" spans="1:45" ht="12" customHeight="1" x14ac:dyDescent="0.25">
      <c r="A721" s="90">
        <f t="shared" si="84"/>
        <v>720</v>
      </c>
      <c r="B721" s="91"/>
      <c r="C721" s="91" t="s">
        <v>1225</v>
      </c>
      <c r="D721" s="92" t="s">
        <v>4715</v>
      </c>
      <c r="E721" s="91" t="s">
        <v>254</v>
      </c>
      <c r="F721" s="91" t="s">
        <v>255</v>
      </c>
      <c r="G721" s="56" t="s">
        <v>2871</v>
      </c>
      <c r="H721" s="91">
        <v>144</v>
      </c>
      <c r="I721" s="91" t="s">
        <v>207</v>
      </c>
      <c r="J721" s="91" t="s">
        <v>2313</v>
      </c>
      <c r="K721" s="92" t="s">
        <v>257</v>
      </c>
      <c r="L721" s="93" t="str">
        <f>VLOOKUP(G721,'SKU 对应关系'!A:E,4,0)</f>
        <v>ANA-WH_UK</v>
      </c>
      <c r="M721" s="94" t="str">
        <f>_xlfn.IFNA(VLOOKUP(G721,'SKU 对应关系'!A:B,2,0),"")</f>
        <v>ANA-WH_UK 智能扩香仪 英规 白色</v>
      </c>
      <c r="N721" s="95" t="str">
        <f>_xlfn.IFNA(VLOOKUP(G721,'SKU 对应关系'!$A:$D,3,0),"")</f>
        <v>ANA</v>
      </c>
      <c r="O721" s="96">
        <v>12</v>
      </c>
      <c r="P721" s="580">
        <v>1</v>
      </c>
      <c r="Q721" s="96" t="s">
        <v>3264</v>
      </c>
      <c r="R721" s="91">
        <v>790</v>
      </c>
      <c r="S721" s="95"/>
      <c r="T721" s="98">
        <v>220</v>
      </c>
      <c r="U721" s="99">
        <f t="shared" si="85"/>
        <v>1010</v>
      </c>
      <c r="V721" s="100">
        <f t="shared" si="86"/>
        <v>7.0138888888888893</v>
      </c>
      <c r="W721" s="101">
        <f t="shared" si="87"/>
        <v>1.0468490878938641</v>
      </c>
      <c r="X721" s="95"/>
      <c r="Y721" s="95"/>
      <c r="Z721" s="102"/>
      <c r="AA721" s="103">
        <v>46177</v>
      </c>
      <c r="AB721" s="103">
        <v>46215</v>
      </c>
      <c r="AC721" s="103"/>
      <c r="AD721" s="102"/>
      <c r="AE721" s="102"/>
      <c r="AF721" s="103"/>
      <c r="AG721" s="577">
        <f t="shared" si="88"/>
        <v>-46177</v>
      </c>
      <c r="AH721" s="103"/>
      <c r="AI721" s="96"/>
      <c r="AJ721" s="96"/>
      <c r="AK721" s="96"/>
      <c r="AL721" s="92"/>
      <c r="AM721" s="91"/>
      <c r="AN721" s="91"/>
      <c r="AO721" s="96"/>
      <c r="AP721" s="105"/>
      <c r="AQ721" s="105"/>
      <c r="AR721" s="105"/>
      <c r="AS721" s="105"/>
    </row>
    <row r="722" spans="1:45" ht="12" customHeight="1" x14ac:dyDescent="0.25">
      <c r="A722" s="90">
        <f t="shared" si="84"/>
        <v>721</v>
      </c>
      <c r="B722" s="91"/>
      <c r="C722" s="91" t="s">
        <v>4716</v>
      </c>
      <c r="D722" s="92" t="s">
        <v>4717</v>
      </c>
      <c r="E722" s="91" t="s">
        <v>1037</v>
      </c>
      <c r="F722" s="91" t="s">
        <v>0</v>
      </c>
      <c r="G722" s="56" t="s">
        <v>1330</v>
      </c>
      <c r="H722" s="91">
        <v>324</v>
      </c>
      <c r="I722" s="91" t="s">
        <v>117</v>
      </c>
      <c r="J722" s="91" t="s">
        <v>8</v>
      </c>
      <c r="K722" s="92" t="s">
        <v>15</v>
      </c>
      <c r="L722" s="93" t="str">
        <f>VLOOKUP(G722,'SKU 对应关系'!A:E,4,0)</f>
        <v>ANA-B_US</v>
      </c>
      <c r="M722" s="94" t="str">
        <f>_xlfn.IFNA(VLOOKUP(G722,'SKU 对应关系'!A:B,2,0),"")</f>
        <v>ANA-B_US 智能扩香仪 黑色</v>
      </c>
      <c r="N722" s="95" t="str">
        <f>_xlfn.IFNA(VLOOKUP(G722,'SKU 对应关系'!$A:$D,3,0),"")</f>
        <v>ANA</v>
      </c>
      <c r="O722" s="96">
        <v>27</v>
      </c>
      <c r="P722" s="580">
        <v>396</v>
      </c>
      <c r="Q722" s="96" t="s">
        <v>16</v>
      </c>
      <c r="R722" s="91">
        <v>5.3</v>
      </c>
      <c r="S722" s="95">
        <v>200</v>
      </c>
      <c r="T722" s="98">
        <v>100</v>
      </c>
      <c r="U722" s="99">
        <f t="shared" si="85"/>
        <v>2198.7999999999997</v>
      </c>
      <c r="V722" s="100">
        <f t="shared" si="86"/>
        <v>6.7864197530864185</v>
      </c>
      <c r="W722" s="101">
        <f t="shared" si="87"/>
        <v>1.0128984706099131</v>
      </c>
      <c r="X722" s="95"/>
      <c r="Y722" s="95"/>
      <c r="Z722" s="102"/>
      <c r="AA722" s="103">
        <v>46178</v>
      </c>
      <c r="AB722" s="103">
        <v>46209</v>
      </c>
      <c r="AC722" s="103"/>
      <c r="AD722" s="102"/>
      <c r="AE722" s="102"/>
      <c r="AF722" s="103"/>
      <c r="AG722" s="577">
        <f t="shared" si="88"/>
        <v>-46178</v>
      </c>
      <c r="AH722" s="103"/>
      <c r="AI722" s="96"/>
      <c r="AJ722" s="96"/>
      <c r="AK722" s="96"/>
      <c r="AL722" s="92"/>
      <c r="AM722" s="91"/>
      <c r="AN722" s="91"/>
      <c r="AO722" s="96"/>
      <c r="AP722" s="105"/>
      <c r="AQ722" s="105"/>
      <c r="AR722" s="105"/>
      <c r="AS722" s="105"/>
    </row>
    <row r="723" spans="1:45" ht="12" customHeight="1" x14ac:dyDescent="0.25">
      <c r="A723" s="90">
        <f t="shared" si="84"/>
        <v>722</v>
      </c>
      <c r="B723" s="91"/>
      <c r="C723" s="91" t="s">
        <v>4716</v>
      </c>
      <c r="D723" s="92" t="s">
        <v>4717</v>
      </c>
      <c r="E723" s="91" t="s">
        <v>1037</v>
      </c>
      <c r="F723" s="91" t="s">
        <v>0</v>
      </c>
      <c r="G723" s="56" t="s">
        <v>1332</v>
      </c>
      <c r="H723" s="91">
        <v>324</v>
      </c>
      <c r="I723" s="91" t="s">
        <v>117</v>
      </c>
      <c r="J723" s="91" t="s">
        <v>8</v>
      </c>
      <c r="K723" s="92" t="s">
        <v>15</v>
      </c>
      <c r="L723" s="93" t="str">
        <f>VLOOKUP(G723,'SKU 对应关系'!A:E,4,0)</f>
        <v>ANA-W_US</v>
      </c>
      <c r="M723" s="94" t="str">
        <f>_xlfn.IFNA(VLOOKUP(G723,'SKU 对应关系'!A:B,2,0),"")</f>
        <v>ANA-W_US 智能扩香仪 白色</v>
      </c>
      <c r="N723" s="95" t="str">
        <f>_xlfn.IFNA(VLOOKUP(G723,'SKU 对应关系'!$A:$D,3,0),"")</f>
        <v>ANA</v>
      </c>
      <c r="O723" s="96">
        <v>27</v>
      </c>
      <c r="P723" s="580">
        <v>396</v>
      </c>
      <c r="Q723" s="96" t="s">
        <v>16</v>
      </c>
      <c r="R723" s="91">
        <v>5.3</v>
      </c>
      <c r="S723" s="106">
        <v>200</v>
      </c>
      <c r="T723" s="98">
        <v>100</v>
      </c>
      <c r="U723" s="99">
        <f t="shared" si="85"/>
        <v>2198.7999999999997</v>
      </c>
      <c r="V723" s="100">
        <f t="shared" si="86"/>
        <v>6.7864197530864185</v>
      </c>
      <c r="W723" s="101">
        <f t="shared" si="87"/>
        <v>1.0128984706099131</v>
      </c>
      <c r="X723" s="95"/>
      <c r="Y723" s="95"/>
      <c r="Z723" s="102"/>
      <c r="AA723" s="103">
        <v>46178</v>
      </c>
      <c r="AB723" s="103">
        <v>46209</v>
      </c>
      <c r="AC723" s="103"/>
      <c r="AD723" s="102"/>
      <c r="AE723" s="102"/>
      <c r="AF723" s="103"/>
      <c r="AG723" s="577">
        <f t="shared" si="88"/>
        <v>-46178</v>
      </c>
      <c r="AH723" s="103"/>
      <c r="AI723" s="96"/>
      <c r="AJ723" s="96"/>
      <c r="AK723" s="96"/>
      <c r="AL723" s="92"/>
      <c r="AM723" s="91"/>
      <c r="AN723" s="91"/>
      <c r="AO723" s="96"/>
      <c r="AP723" s="105"/>
      <c r="AQ723" s="105"/>
      <c r="AR723" s="105"/>
      <c r="AS723" s="105"/>
    </row>
    <row r="724" spans="1:45" ht="12" customHeight="1" x14ac:dyDescent="0.25">
      <c r="A724" s="90">
        <f t="shared" si="84"/>
        <v>723</v>
      </c>
      <c r="B724" s="91"/>
      <c r="C724" s="91" t="s">
        <v>4718</v>
      </c>
      <c r="D724" s="92" t="s">
        <v>4719</v>
      </c>
      <c r="E724" s="91" t="s">
        <v>1037</v>
      </c>
      <c r="F724" s="91" t="s">
        <v>0</v>
      </c>
      <c r="G724" s="56" t="s">
        <v>2355</v>
      </c>
      <c r="H724" s="91">
        <v>120</v>
      </c>
      <c r="I724" s="91" t="s">
        <v>207</v>
      </c>
      <c r="J724" s="91" t="s">
        <v>8</v>
      </c>
      <c r="K724" s="92" t="s">
        <v>15</v>
      </c>
      <c r="L724" s="93" t="str">
        <f>VLOOKUP(G724,'SKU 对应关系'!A:E,4,0)</f>
        <v>ANAKIT-B_US_2X100K03</v>
      </c>
      <c r="M724" s="94" t="str">
        <f>_xlfn.IFNA(VLOOKUP(G724,'SKU 对应关系'!A:B,2,0),"")</f>
        <v>ANAKIT-B_US_2X100K03 ANA黑色机器+2X100mL酒店香氛油（天竺） 机油套装</v>
      </c>
      <c r="N724" s="95" t="str">
        <f>_xlfn.IFNA(VLOOKUP(G724,'SKU 对应关系'!$A:$D,3,0),"")</f>
        <v>ANA</v>
      </c>
      <c r="O724" s="96">
        <v>10</v>
      </c>
      <c r="P724" s="580">
        <v>175</v>
      </c>
      <c r="Q724" s="96" t="s">
        <v>16</v>
      </c>
      <c r="R724" s="91">
        <v>5.8</v>
      </c>
      <c r="S724" s="95">
        <v>200</v>
      </c>
      <c r="T724" s="98">
        <v>29.850746268656717</v>
      </c>
      <c r="U724" s="99">
        <f t="shared" si="85"/>
        <v>1044.8507462686566</v>
      </c>
      <c r="V724" s="100">
        <f t="shared" si="86"/>
        <v>8.7070895522388057</v>
      </c>
      <c r="W724" s="101">
        <f t="shared" si="87"/>
        <v>1.2995656048117621</v>
      </c>
      <c r="X724" s="95"/>
      <c r="Y724" s="95"/>
      <c r="Z724" s="102"/>
      <c r="AA724" s="103">
        <v>46177</v>
      </c>
      <c r="AB724" s="103">
        <v>46200</v>
      </c>
      <c r="AC724" s="103"/>
      <c r="AD724" s="102"/>
      <c r="AE724" s="102"/>
      <c r="AF724" s="103"/>
      <c r="AG724" s="577">
        <f t="shared" si="88"/>
        <v>-46177</v>
      </c>
      <c r="AH724" s="103"/>
      <c r="AI724" s="96"/>
      <c r="AJ724" s="96"/>
      <c r="AK724" s="96"/>
      <c r="AL724" s="92"/>
      <c r="AM724" s="91"/>
      <c r="AN724" s="91"/>
      <c r="AO724" s="96"/>
      <c r="AP724" s="105"/>
      <c r="AQ724" s="105"/>
      <c r="AR724" s="105"/>
      <c r="AS724" s="105"/>
    </row>
    <row r="725" spans="1:45" ht="12" customHeight="1" x14ac:dyDescent="0.25">
      <c r="A725" s="90">
        <f t="shared" si="84"/>
        <v>724</v>
      </c>
      <c r="B725" s="91"/>
      <c r="C725" s="91" t="s">
        <v>4718</v>
      </c>
      <c r="D725" s="92" t="s">
        <v>4719</v>
      </c>
      <c r="E725" s="91" t="s">
        <v>1037</v>
      </c>
      <c r="F725" s="91" t="s">
        <v>0</v>
      </c>
      <c r="G725" s="56" t="s">
        <v>2357</v>
      </c>
      <c r="H725" s="91">
        <v>120</v>
      </c>
      <c r="I725" s="91" t="s">
        <v>207</v>
      </c>
      <c r="J725" s="91" t="s">
        <v>8</v>
      </c>
      <c r="K725" s="92" t="s">
        <v>15</v>
      </c>
      <c r="L725" s="93" t="str">
        <f>VLOOKUP(G725,'SKU 对应关系'!A:E,4,0)</f>
        <v>ANAKIT-WH_US_2X100K03</v>
      </c>
      <c r="M725" s="94" t="str">
        <f>_xlfn.IFNA(VLOOKUP(G725,'SKU 对应关系'!A:B,2,0),"")</f>
        <v>ANAKIT-WH_US_2X100K03 ANA白色机器+2X100mL酒店香氛油（天竺） 机油套装</v>
      </c>
      <c r="N725" s="95" t="str">
        <f>_xlfn.IFNA(VLOOKUP(G725,'SKU 对应关系'!$A:$D,3,0),"")</f>
        <v>ANA</v>
      </c>
      <c r="O725" s="96">
        <v>10</v>
      </c>
      <c r="P725" s="580">
        <v>175</v>
      </c>
      <c r="Q725" s="96" t="s">
        <v>16</v>
      </c>
      <c r="R725" s="91">
        <v>5.8</v>
      </c>
      <c r="S725" s="106">
        <v>200</v>
      </c>
      <c r="T725" s="98">
        <v>29.850746268656717</v>
      </c>
      <c r="U725" s="99">
        <f t="shared" si="85"/>
        <v>1044.8507462686566</v>
      </c>
      <c r="V725" s="100">
        <f t="shared" si="86"/>
        <v>8.7070895522388057</v>
      </c>
      <c r="W725" s="101">
        <f t="shared" si="87"/>
        <v>1.2995656048117621</v>
      </c>
      <c r="X725" s="95"/>
      <c r="Y725" s="95"/>
      <c r="Z725" s="102"/>
      <c r="AA725" s="103">
        <v>46177</v>
      </c>
      <c r="AB725" s="103">
        <v>46200</v>
      </c>
      <c r="AC725" s="103"/>
      <c r="AD725" s="102"/>
      <c r="AE725" s="102"/>
      <c r="AF725" s="103"/>
      <c r="AG725" s="577">
        <f t="shared" si="88"/>
        <v>-46177</v>
      </c>
      <c r="AH725" s="103"/>
      <c r="AI725" s="96"/>
      <c r="AJ725" s="96"/>
      <c r="AK725" s="96"/>
      <c r="AL725" s="92"/>
      <c r="AM725" s="91"/>
      <c r="AN725" s="91"/>
      <c r="AO725" s="96"/>
      <c r="AP725" s="105"/>
      <c r="AQ725" s="105"/>
      <c r="AR725" s="105"/>
      <c r="AS725" s="105"/>
    </row>
    <row r="726" spans="1:45" ht="12" customHeight="1" x14ac:dyDescent="0.25">
      <c r="A726" s="90">
        <f t="shared" si="84"/>
        <v>725</v>
      </c>
      <c r="B726" s="91"/>
      <c r="C726" s="91" t="s">
        <v>4701</v>
      </c>
      <c r="D726" s="92" t="s">
        <v>4720</v>
      </c>
      <c r="E726" s="91" t="s">
        <v>4703</v>
      </c>
      <c r="F726" s="91" t="s">
        <v>87</v>
      </c>
      <c r="G726" s="56" t="s">
        <v>93</v>
      </c>
      <c r="H726" s="91">
        <v>84</v>
      </c>
      <c r="I726" s="91" t="s">
        <v>207</v>
      </c>
      <c r="J726" s="91" t="s">
        <v>90</v>
      </c>
      <c r="K726" s="92" t="s">
        <v>91</v>
      </c>
      <c r="L726" s="93" t="str">
        <f>VLOOKUP(G726,'SKU 对应关系'!A:E,4,0)</f>
        <v>ANW-W</v>
      </c>
      <c r="M726" s="94" t="str">
        <f>_xlfn.IFNA(VLOOKUP(G726,'SKU 对应关系'!A:B,2,0),"")</f>
        <v>ANW-W 智能扩香仪 白色</v>
      </c>
      <c r="N726" s="95" t="str">
        <f>_xlfn.IFNA(VLOOKUP(G726,'SKU 对应关系'!$A:$D,3,0),"")</f>
        <v>ANW</v>
      </c>
      <c r="O726" s="96">
        <v>7</v>
      </c>
      <c r="P726" s="580">
        <v>102</v>
      </c>
      <c r="Q726" s="96" t="s">
        <v>16</v>
      </c>
      <c r="R726" s="91">
        <v>7.3</v>
      </c>
      <c r="S726" s="95">
        <v>250</v>
      </c>
      <c r="T726" s="98">
        <v>116.66666666666667</v>
      </c>
      <c r="U726" s="99">
        <f t="shared" si="85"/>
        <v>861.26666666666665</v>
      </c>
      <c r="V726" s="100">
        <f t="shared" si="86"/>
        <v>10.253174603174603</v>
      </c>
      <c r="W726" s="101">
        <f t="shared" si="87"/>
        <v>1.5303245676380004</v>
      </c>
      <c r="X726" s="95"/>
      <c r="Y726" s="95"/>
      <c r="Z726" s="102"/>
      <c r="AA726" s="103">
        <v>46177</v>
      </c>
      <c r="AB726" s="103"/>
      <c r="AC726" s="103"/>
      <c r="AD726" s="102"/>
      <c r="AE726" s="102"/>
      <c r="AF726" s="103"/>
      <c r="AG726" s="577">
        <f t="shared" si="88"/>
        <v>-46177</v>
      </c>
      <c r="AH726" s="103"/>
      <c r="AI726" s="96"/>
      <c r="AJ726" s="96"/>
      <c r="AK726" s="96"/>
      <c r="AL726" s="92"/>
      <c r="AM726" s="91"/>
      <c r="AN726" s="91"/>
      <c r="AO726" s="96"/>
      <c r="AP726" s="105"/>
      <c r="AQ726" s="105"/>
      <c r="AR726" s="105"/>
      <c r="AS726" s="105"/>
    </row>
    <row r="727" spans="1:45" ht="12" customHeight="1" x14ac:dyDescent="0.25">
      <c r="A727" s="90">
        <f t="shared" si="84"/>
        <v>726</v>
      </c>
      <c r="B727" s="91"/>
      <c r="C727" s="91" t="s">
        <v>4718</v>
      </c>
      <c r="D727" s="92" t="s">
        <v>4721</v>
      </c>
      <c r="E727" s="91" t="s">
        <v>97</v>
      </c>
      <c r="F727" s="91" t="s">
        <v>0</v>
      </c>
      <c r="G727" s="56" t="s">
        <v>2177</v>
      </c>
      <c r="H727" s="91">
        <v>204</v>
      </c>
      <c r="I727" s="91" t="s">
        <v>207</v>
      </c>
      <c r="J727" s="91" t="s">
        <v>8</v>
      </c>
      <c r="K727" s="92" t="s">
        <v>50</v>
      </c>
      <c r="L727" s="93" t="str">
        <f>VLOOKUP(G727,'SKU 对应关系'!A:E,4,0)</f>
        <v>ANWKIT-B_US_2X100K03</v>
      </c>
      <c r="M727" s="94" t="str">
        <f>_xlfn.IFNA(VLOOKUP(G727,'SKU 对应关系'!A:B,2,0),"")</f>
        <v>ANWKIT-B_US_2X100K03 ANW黑色机器+2X100mL酒店香氛油（天竺） 机油套装</v>
      </c>
      <c r="N727" s="95" t="str">
        <f>_xlfn.IFNA(VLOOKUP(G727,'SKU 对应关系'!$A:$D,3,0),"")</f>
        <v>ANW</v>
      </c>
      <c r="O727" s="96">
        <v>17</v>
      </c>
      <c r="P727" s="580">
        <v>295.87234042553195</v>
      </c>
      <c r="Q727" s="96" t="s">
        <v>16</v>
      </c>
      <c r="R727" s="91">
        <v>5.4</v>
      </c>
      <c r="S727" s="95">
        <v>200</v>
      </c>
      <c r="T727" s="98">
        <v>50.746268656716417</v>
      </c>
      <c r="U727" s="99">
        <f t="shared" si="85"/>
        <v>1648.4569069545892</v>
      </c>
      <c r="V727" s="100">
        <f t="shared" si="86"/>
        <v>8.080671112522495</v>
      </c>
      <c r="W727" s="101">
        <f t="shared" si="87"/>
        <v>1.2060703153018648</v>
      </c>
      <c r="X727" s="95"/>
      <c r="Y727" s="95"/>
      <c r="Z727" s="102"/>
      <c r="AA727" s="103">
        <v>46177</v>
      </c>
      <c r="AB727" s="103">
        <v>46200</v>
      </c>
      <c r="AC727" s="103"/>
      <c r="AD727" s="102"/>
      <c r="AE727" s="102"/>
      <c r="AF727" s="103"/>
      <c r="AG727" s="577">
        <f t="shared" si="88"/>
        <v>-46177</v>
      </c>
      <c r="AH727" s="103"/>
      <c r="AI727" s="96"/>
      <c r="AJ727" s="96"/>
      <c r="AK727" s="96"/>
      <c r="AL727" s="92"/>
      <c r="AM727" s="91"/>
      <c r="AN727" s="91"/>
      <c r="AO727" s="96"/>
      <c r="AP727" s="105"/>
      <c r="AQ727" s="105"/>
      <c r="AR727" s="105"/>
      <c r="AS727" s="105"/>
    </row>
    <row r="728" spans="1:45" ht="12" customHeight="1" x14ac:dyDescent="0.25">
      <c r="A728" s="90">
        <f t="shared" si="84"/>
        <v>727</v>
      </c>
      <c r="B728" s="91"/>
      <c r="C728" s="91" t="s">
        <v>4718</v>
      </c>
      <c r="D728" s="92" t="s">
        <v>4721</v>
      </c>
      <c r="E728" s="91" t="s">
        <v>97</v>
      </c>
      <c r="F728" s="91" t="s">
        <v>0</v>
      </c>
      <c r="G728" s="56" t="s">
        <v>2179</v>
      </c>
      <c r="H728" s="91">
        <v>360</v>
      </c>
      <c r="I728" s="91" t="s">
        <v>207</v>
      </c>
      <c r="J728" s="91" t="s">
        <v>8</v>
      </c>
      <c r="K728" s="92" t="s">
        <v>50</v>
      </c>
      <c r="L728" s="93" t="str">
        <f>VLOOKUP(G728,'SKU 对应关系'!A:E,4,0)</f>
        <v>ANWKIT-WH_US_2X100K03</v>
      </c>
      <c r="M728" s="94" t="str">
        <f>_xlfn.IFNA(VLOOKUP(G728,'SKU 对应关系'!A:B,2,0),"")</f>
        <v>ANWKIT-WH_US_2X100K03 ANW白色机器+2X100mL酒店香氛油（天竺） 机油套装</v>
      </c>
      <c r="N728" s="95" t="str">
        <f>_xlfn.IFNA(VLOOKUP(G728,'SKU 对应关系'!$A:$D,3,0),"")</f>
        <v>ANW</v>
      </c>
      <c r="O728" s="96">
        <v>30</v>
      </c>
      <c r="P728" s="580">
        <v>522.12765957446811</v>
      </c>
      <c r="Q728" s="96" t="s">
        <v>16</v>
      </c>
      <c r="R728" s="91">
        <v>5.4</v>
      </c>
      <c r="S728" s="106">
        <v>200</v>
      </c>
      <c r="T728" s="98">
        <v>89.552238805970148</v>
      </c>
      <c r="U728" s="99">
        <f t="shared" si="85"/>
        <v>2909.0416005080983</v>
      </c>
      <c r="V728" s="100">
        <f t="shared" si="86"/>
        <v>8.080671112522495</v>
      </c>
      <c r="W728" s="101">
        <f t="shared" si="87"/>
        <v>1.2060703153018648</v>
      </c>
      <c r="X728" s="95"/>
      <c r="Y728" s="95"/>
      <c r="Z728" s="102"/>
      <c r="AA728" s="103">
        <v>46177</v>
      </c>
      <c r="AB728" s="103">
        <v>46200</v>
      </c>
      <c r="AC728" s="103"/>
      <c r="AD728" s="102"/>
      <c r="AE728" s="102"/>
      <c r="AF728" s="103"/>
      <c r="AG728" s="577">
        <f t="shared" si="88"/>
        <v>-46177</v>
      </c>
      <c r="AH728" s="103"/>
      <c r="AI728" s="96"/>
      <c r="AJ728" s="96"/>
      <c r="AK728" s="96"/>
      <c r="AL728" s="92"/>
      <c r="AM728" s="91"/>
      <c r="AN728" s="91"/>
      <c r="AO728" s="96"/>
      <c r="AP728" s="105"/>
      <c r="AQ728" s="105"/>
      <c r="AR728" s="105"/>
      <c r="AS728" s="105"/>
    </row>
    <row r="729" spans="1:45" ht="12" customHeight="1" x14ac:dyDescent="0.25">
      <c r="A729" s="90">
        <f t="shared" si="84"/>
        <v>728</v>
      </c>
      <c r="B729" s="91"/>
      <c r="C729" s="91" t="s">
        <v>4722</v>
      </c>
      <c r="D729" s="92" t="s">
        <v>4723</v>
      </c>
      <c r="E729" s="91" t="s">
        <v>97</v>
      </c>
      <c r="F729" s="91" t="s">
        <v>0</v>
      </c>
      <c r="G729" s="56" t="s">
        <v>88</v>
      </c>
      <c r="H729" s="91">
        <v>120</v>
      </c>
      <c r="I729" s="91" t="s">
        <v>117</v>
      </c>
      <c r="J729" s="91" t="s">
        <v>8</v>
      </c>
      <c r="K729" s="92" t="s">
        <v>10</v>
      </c>
      <c r="L729" s="93" t="str">
        <f>VLOOKUP(G729,'SKU 对应关系'!A:E,4,0)</f>
        <v>ANW-B</v>
      </c>
      <c r="M729" s="94" t="str">
        <f>_xlfn.IFNA(VLOOKUP(G729,'SKU 对应关系'!A:B,2,0),"")</f>
        <v>ANW-B 智能扩香仪 黑色</v>
      </c>
      <c r="N729" s="95" t="str">
        <f>_xlfn.IFNA(VLOOKUP(G729,'SKU 对应关系'!$A:$D,3,0),"")</f>
        <v>ANW</v>
      </c>
      <c r="O729" s="96">
        <v>10</v>
      </c>
      <c r="P729" s="580">
        <v>143.66666666666669</v>
      </c>
      <c r="Q729" s="96" t="s">
        <v>16</v>
      </c>
      <c r="R729" s="91">
        <v>5.5</v>
      </c>
      <c r="S729" s="95">
        <v>200</v>
      </c>
      <c r="T729" s="98">
        <v>33.333333333333336</v>
      </c>
      <c r="U729" s="99">
        <f t="shared" si="85"/>
        <v>823.50000000000011</v>
      </c>
      <c r="V729" s="100">
        <f t="shared" si="86"/>
        <v>6.8625000000000007</v>
      </c>
      <c r="W729" s="101">
        <f t="shared" si="87"/>
        <v>1.0242537313432836</v>
      </c>
      <c r="X729" s="95"/>
      <c r="Y729" s="95"/>
      <c r="Z729" s="102"/>
      <c r="AA729" s="103">
        <v>46178</v>
      </c>
      <c r="AB729" s="103">
        <v>46201</v>
      </c>
      <c r="AC729" s="103"/>
      <c r="AD729" s="102"/>
      <c r="AE729" s="102"/>
      <c r="AF729" s="103"/>
      <c r="AG729" s="577">
        <f t="shared" si="88"/>
        <v>-46178</v>
      </c>
      <c r="AH729" s="103"/>
      <c r="AI729" s="96"/>
      <c r="AJ729" s="96"/>
      <c r="AK729" s="96"/>
      <c r="AL729" s="92"/>
      <c r="AM729" s="91"/>
      <c r="AN729" s="91"/>
      <c r="AO729" s="96"/>
      <c r="AP729" s="105"/>
      <c r="AQ729" s="105"/>
      <c r="AR729" s="105"/>
      <c r="AS729" s="105"/>
    </row>
    <row r="730" spans="1:45" ht="12" customHeight="1" x14ac:dyDescent="0.25">
      <c r="A730" s="90">
        <f t="shared" si="84"/>
        <v>729</v>
      </c>
      <c r="B730" s="91"/>
      <c r="C730" s="91" t="s">
        <v>4722</v>
      </c>
      <c r="D730" s="92" t="s">
        <v>4723</v>
      </c>
      <c r="E730" s="91" t="s">
        <v>97</v>
      </c>
      <c r="F730" s="91" t="s">
        <v>0</v>
      </c>
      <c r="G730" s="56" t="s">
        <v>93</v>
      </c>
      <c r="H730" s="91">
        <v>600</v>
      </c>
      <c r="I730" s="91" t="s">
        <v>117</v>
      </c>
      <c r="J730" s="91" t="s">
        <v>8</v>
      </c>
      <c r="K730" s="92" t="s">
        <v>10</v>
      </c>
      <c r="L730" s="93" t="str">
        <f>VLOOKUP(G730,'SKU 对应关系'!A:E,4,0)</f>
        <v>ANW-W</v>
      </c>
      <c r="M730" s="94" t="str">
        <f>_xlfn.IFNA(VLOOKUP(G730,'SKU 对应关系'!A:B,2,0),"")</f>
        <v>ANW-W 智能扩香仪 白色</v>
      </c>
      <c r="N730" s="95" t="str">
        <f>_xlfn.IFNA(VLOOKUP(G730,'SKU 对应关系'!$A:$D,3,0),"")</f>
        <v>ANW</v>
      </c>
      <c r="O730" s="96">
        <v>50</v>
      </c>
      <c r="P730" s="580">
        <v>718.33333333333337</v>
      </c>
      <c r="Q730" s="96" t="s">
        <v>16</v>
      </c>
      <c r="R730" s="91">
        <v>5.5</v>
      </c>
      <c r="S730" s="106">
        <v>200</v>
      </c>
      <c r="T730" s="98">
        <v>166.66666666666666</v>
      </c>
      <c r="U730" s="99">
        <f t="shared" si="85"/>
        <v>4117.5</v>
      </c>
      <c r="V730" s="100">
        <f t="shared" si="86"/>
        <v>6.8624999999999998</v>
      </c>
      <c r="W730" s="101">
        <f t="shared" si="87"/>
        <v>1.0242537313432836</v>
      </c>
      <c r="X730" s="95"/>
      <c r="Y730" s="95"/>
      <c r="Z730" s="102"/>
      <c r="AA730" s="103">
        <v>46178</v>
      </c>
      <c r="AB730" s="103">
        <v>46201</v>
      </c>
      <c r="AC730" s="103"/>
      <c r="AD730" s="102"/>
      <c r="AE730" s="102"/>
      <c r="AF730" s="103"/>
      <c r="AG730" s="577">
        <f t="shared" si="88"/>
        <v>-46178</v>
      </c>
      <c r="AH730" s="103"/>
      <c r="AI730" s="96"/>
      <c r="AJ730" s="96"/>
      <c r="AK730" s="96"/>
      <c r="AL730" s="92"/>
      <c r="AM730" s="91"/>
      <c r="AN730" s="91"/>
      <c r="AO730" s="96"/>
      <c r="AP730" s="105"/>
      <c r="AQ730" s="105"/>
      <c r="AR730" s="105"/>
      <c r="AS730" s="105"/>
    </row>
    <row r="731" spans="1:45" ht="12" customHeight="1" x14ac:dyDescent="0.25">
      <c r="A731" s="90">
        <f t="shared" si="84"/>
        <v>730</v>
      </c>
      <c r="B731" s="91"/>
      <c r="C731" s="91" t="s">
        <v>4712</v>
      </c>
      <c r="D731" s="92" t="s">
        <v>4724</v>
      </c>
      <c r="E731" s="91" t="s">
        <v>4202</v>
      </c>
      <c r="F731" s="91" t="s">
        <v>0</v>
      </c>
      <c r="G731" s="56" t="s">
        <v>2170</v>
      </c>
      <c r="H731" s="91">
        <v>128</v>
      </c>
      <c r="I731" s="91" t="s">
        <v>89</v>
      </c>
      <c r="J731" s="91" t="s">
        <v>8</v>
      </c>
      <c r="K731" s="92" t="s">
        <v>32</v>
      </c>
      <c r="L731" s="93" t="str">
        <f>VLOOKUP(G731,'SKU 对应关系'!A:E,4,0)</f>
        <v>ANP-B_US</v>
      </c>
      <c r="M731" s="94" t="str">
        <f>_xlfn.IFNA(VLOOKUP(G731,'SKU 对应关系'!A:B,2,0),"")</f>
        <v>ANP-B_US 墙插式智能扩香仪 黑色</v>
      </c>
      <c r="N731" s="95" t="str">
        <f>_xlfn.IFNA(VLOOKUP(G731,'SKU 对应关系'!$A:$D,3,0),"")</f>
        <v>ANP</v>
      </c>
      <c r="O731" s="96">
        <v>4</v>
      </c>
      <c r="P731" s="580">
        <v>61.629090909090905</v>
      </c>
      <c r="Q731" s="96" t="s">
        <v>16</v>
      </c>
      <c r="R731" s="91">
        <v>5.8</v>
      </c>
      <c r="S731" s="95">
        <v>200</v>
      </c>
      <c r="T731" s="98">
        <v>19.047619047619047</v>
      </c>
      <c r="U731" s="99">
        <f t="shared" si="85"/>
        <v>376.49634632034628</v>
      </c>
      <c r="V731" s="100">
        <f t="shared" si="86"/>
        <v>2.9413777056277053</v>
      </c>
      <c r="W731" s="101">
        <f t="shared" si="87"/>
        <v>0.43901159785488136</v>
      </c>
      <c r="X731" s="95"/>
      <c r="Y731" s="95"/>
      <c r="Z731" s="102"/>
      <c r="AA731" s="103">
        <v>46178</v>
      </c>
      <c r="AB731" s="103">
        <v>46202</v>
      </c>
      <c r="AC731" s="103"/>
      <c r="AD731" s="102"/>
      <c r="AE731" s="102"/>
      <c r="AF731" s="103"/>
      <c r="AG731" s="577">
        <f t="shared" si="88"/>
        <v>-46178</v>
      </c>
      <c r="AH731" s="103"/>
      <c r="AI731" s="96"/>
      <c r="AJ731" s="96"/>
      <c r="AK731" s="96"/>
      <c r="AL731" s="92"/>
      <c r="AM731" s="91"/>
      <c r="AN731" s="91"/>
      <c r="AO731" s="96"/>
      <c r="AP731" s="105"/>
      <c r="AQ731" s="105"/>
      <c r="AR731" s="105"/>
      <c r="AS731" s="105"/>
    </row>
    <row r="732" spans="1:45" ht="12" customHeight="1" x14ac:dyDescent="0.25">
      <c r="A732" s="90">
        <f t="shared" si="84"/>
        <v>731</v>
      </c>
      <c r="B732" s="91"/>
      <c r="C732" s="91" t="s">
        <v>4712</v>
      </c>
      <c r="D732" s="92" t="s">
        <v>4724</v>
      </c>
      <c r="E732" s="91" t="s">
        <v>4202</v>
      </c>
      <c r="F732" s="91" t="s">
        <v>0</v>
      </c>
      <c r="G732" s="56" t="s">
        <v>2172</v>
      </c>
      <c r="H732" s="91">
        <v>224</v>
      </c>
      <c r="I732" s="91" t="s">
        <v>89</v>
      </c>
      <c r="J732" s="91" t="s">
        <v>8</v>
      </c>
      <c r="K732" s="92" t="s">
        <v>32</v>
      </c>
      <c r="L732" s="93" t="str">
        <f>VLOOKUP(G732,'SKU 对应关系'!A:E,4,0)</f>
        <v>ANP-W_US</v>
      </c>
      <c r="M732" s="94" t="str">
        <f>_xlfn.IFNA(VLOOKUP(G732,'SKU 对应关系'!A:B,2,0),"")</f>
        <v>ANP-W_US 墙插式智能扩香仪 白色</v>
      </c>
      <c r="N732" s="95" t="str">
        <f>_xlfn.IFNA(VLOOKUP(G732,'SKU 对应关系'!$A:$D,3,0),"")</f>
        <v>ANP</v>
      </c>
      <c r="O732" s="96">
        <v>7</v>
      </c>
      <c r="P732" s="580">
        <v>107.85090909090908</v>
      </c>
      <c r="Q732" s="96" t="s">
        <v>16</v>
      </c>
      <c r="R732" s="91">
        <v>5.8</v>
      </c>
      <c r="S732" s="106">
        <v>200</v>
      </c>
      <c r="T732" s="98">
        <v>33.333333333333336</v>
      </c>
      <c r="U732" s="99">
        <f t="shared" si="85"/>
        <v>658.868606060606</v>
      </c>
      <c r="V732" s="100">
        <f t="shared" si="86"/>
        <v>2.9413777056277053</v>
      </c>
      <c r="W732" s="101">
        <f t="shared" si="87"/>
        <v>0.43901159785488136</v>
      </c>
      <c r="X732" s="95"/>
      <c r="Y732" s="95"/>
      <c r="Z732" s="102"/>
      <c r="AA732" s="103">
        <v>46178</v>
      </c>
      <c r="AB732" s="103">
        <v>46202</v>
      </c>
      <c r="AC732" s="103"/>
      <c r="AD732" s="102"/>
      <c r="AE732" s="102"/>
      <c r="AF732" s="103"/>
      <c r="AG732" s="577">
        <f t="shared" si="88"/>
        <v>-46178</v>
      </c>
      <c r="AH732" s="103"/>
      <c r="AI732" s="96"/>
      <c r="AJ732" s="96"/>
      <c r="AK732" s="96"/>
      <c r="AL732" s="92"/>
      <c r="AM732" s="91"/>
      <c r="AN732" s="91"/>
      <c r="AO732" s="96"/>
      <c r="AP732" s="105"/>
      <c r="AQ732" s="105"/>
      <c r="AR732" s="105"/>
      <c r="AS732" s="105"/>
    </row>
    <row r="733" spans="1:45" ht="12" customHeight="1" x14ac:dyDescent="0.25">
      <c r="A733" s="90">
        <f t="shared" si="84"/>
        <v>732</v>
      </c>
      <c r="B733" s="91"/>
      <c r="C733" s="91" t="s">
        <v>4712</v>
      </c>
      <c r="D733" s="92" t="s">
        <v>4725</v>
      </c>
      <c r="E733" s="91" t="s">
        <v>4202</v>
      </c>
      <c r="F733" s="91" t="s">
        <v>0</v>
      </c>
      <c r="G733" s="56" t="s">
        <v>2984</v>
      </c>
      <c r="H733" s="91">
        <v>224</v>
      </c>
      <c r="I733" s="91" t="s">
        <v>89</v>
      </c>
      <c r="J733" s="91" t="s">
        <v>8</v>
      </c>
      <c r="K733" s="92" t="s">
        <v>32</v>
      </c>
      <c r="L733" s="93" t="str">
        <f>VLOOKUP(G733,'SKU 对应关系'!A:E,4,0)</f>
        <v>ANPKIT-B_US_3X20K01_TZ</v>
      </c>
      <c r="M733" s="94" t="str">
        <f>_xlfn.IFNA(VLOOKUP(G733,'SKU 对应关系'!A:B,2,0),"")</f>
        <v>ANPKIT-B_US_3X20K01_TZ ANP黑色机器+3X20mL酒店香氛油（天竺） 机油套装</v>
      </c>
      <c r="N733" s="95" t="str">
        <f>_xlfn.IFNA(VLOOKUP(G733,'SKU 对应关系'!$A:$D,3,0),"")</f>
        <v>ANP</v>
      </c>
      <c r="O733" s="96">
        <v>7</v>
      </c>
      <c r="P733" s="580">
        <v>107.85250000000001</v>
      </c>
      <c r="Q733" s="96" t="s">
        <v>16</v>
      </c>
      <c r="R733" s="91">
        <v>5.8</v>
      </c>
      <c r="S733" s="95"/>
      <c r="T733" s="98">
        <v>33.333333333333336</v>
      </c>
      <c r="U733" s="99">
        <f t="shared" si="85"/>
        <v>658.87783333333334</v>
      </c>
      <c r="V733" s="100">
        <f t="shared" si="86"/>
        <v>2.9414188988095238</v>
      </c>
      <c r="W733" s="101">
        <f t="shared" si="87"/>
        <v>0.43901774609097372</v>
      </c>
      <c r="X733" s="95"/>
      <c r="Y733" s="95"/>
      <c r="Z733" s="102"/>
      <c r="AA733" s="103">
        <v>46178</v>
      </c>
      <c r="AB733" s="103">
        <v>46202</v>
      </c>
      <c r="AC733" s="103"/>
      <c r="AD733" s="102"/>
      <c r="AE733" s="102"/>
      <c r="AF733" s="103"/>
      <c r="AG733" s="577">
        <f t="shared" si="88"/>
        <v>-46178</v>
      </c>
      <c r="AH733" s="103"/>
      <c r="AI733" s="96"/>
      <c r="AJ733" s="96"/>
      <c r="AK733" s="96"/>
      <c r="AL733" s="92"/>
      <c r="AM733" s="91"/>
      <c r="AN733" s="91"/>
      <c r="AO733" s="96"/>
      <c r="AP733" s="105"/>
      <c r="AQ733" s="105"/>
      <c r="AR733" s="105"/>
      <c r="AS733" s="105"/>
    </row>
    <row r="734" spans="1:45" ht="12" customHeight="1" x14ac:dyDescent="0.25">
      <c r="A734" s="90">
        <f t="shared" si="84"/>
        <v>733</v>
      </c>
      <c r="B734" s="91"/>
      <c r="C734" s="91" t="s">
        <v>4712</v>
      </c>
      <c r="D734" s="92" t="s">
        <v>4725</v>
      </c>
      <c r="E734" s="91" t="s">
        <v>4202</v>
      </c>
      <c r="F734" s="91" t="s">
        <v>0</v>
      </c>
      <c r="G734" s="56" t="s">
        <v>2986</v>
      </c>
      <c r="H734" s="91">
        <v>288</v>
      </c>
      <c r="I734" s="91" t="s">
        <v>89</v>
      </c>
      <c r="J734" s="91" t="s">
        <v>8</v>
      </c>
      <c r="K734" s="92" t="s">
        <v>32</v>
      </c>
      <c r="L734" s="93" t="str">
        <f>VLOOKUP(G734,'SKU 对应关系'!A:E,4,0)</f>
        <v>ANPKIT-WH_US_3X20K01_TZ</v>
      </c>
      <c r="M734" s="94" t="str">
        <f>_xlfn.IFNA(VLOOKUP(G734,'SKU 对应关系'!A:B,2,0),"")</f>
        <v>ANPKIT-WH_US_3X20K01_TZ ANP白色机器+3X20mL酒店香氛油（天竺） 机油套装</v>
      </c>
      <c r="N734" s="95" t="str">
        <f>_xlfn.IFNA(VLOOKUP(G734,'SKU 对应关系'!$A:$D,3,0),"")</f>
        <v>ANP</v>
      </c>
      <c r="O734" s="96">
        <v>9</v>
      </c>
      <c r="P734" s="580">
        <v>138.66750000000002</v>
      </c>
      <c r="Q734" s="96" t="s">
        <v>16</v>
      </c>
      <c r="R734" s="91">
        <v>5.8</v>
      </c>
      <c r="S734" s="95"/>
      <c r="T734" s="98">
        <v>42.857142857142854</v>
      </c>
      <c r="U734" s="99">
        <f t="shared" si="85"/>
        <v>847.12864285714295</v>
      </c>
      <c r="V734" s="100">
        <f t="shared" si="86"/>
        <v>2.9414188988095242</v>
      </c>
      <c r="W734" s="101">
        <f t="shared" si="87"/>
        <v>0.43901774609097377</v>
      </c>
      <c r="X734" s="95"/>
      <c r="Y734" s="95"/>
      <c r="Z734" s="102"/>
      <c r="AA734" s="103">
        <v>46178</v>
      </c>
      <c r="AB734" s="103">
        <v>46202</v>
      </c>
      <c r="AC734" s="103"/>
      <c r="AD734" s="102"/>
      <c r="AE734" s="102"/>
      <c r="AF734" s="103"/>
      <c r="AG734" s="577">
        <f t="shared" si="88"/>
        <v>-46178</v>
      </c>
      <c r="AH734" s="103"/>
      <c r="AI734" s="96"/>
      <c r="AJ734" s="96"/>
      <c r="AK734" s="96"/>
      <c r="AL734" s="92"/>
      <c r="AM734" s="91"/>
      <c r="AN734" s="91"/>
      <c r="AO734" s="96"/>
      <c r="AP734" s="105"/>
      <c r="AQ734" s="105"/>
      <c r="AR734" s="105"/>
      <c r="AS734" s="105"/>
    </row>
    <row r="735" spans="1:45" ht="12" customHeight="1" x14ac:dyDescent="0.25">
      <c r="A735" s="90">
        <f t="shared" si="84"/>
        <v>734</v>
      </c>
      <c r="B735" s="91"/>
      <c r="C735" s="91" t="s">
        <v>4726</v>
      </c>
      <c r="D735" s="92" t="s">
        <v>4727</v>
      </c>
      <c r="E735" s="91" t="s">
        <v>4202</v>
      </c>
      <c r="F735" s="91" t="s">
        <v>0</v>
      </c>
      <c r="G735" s="56" t="s">
        <v>2986</v>
      </c>
      <c r="H735" s="91">
        <v>320</v>
      </c>
      <c r="I735" s="91" t="s">
        <v>207</v>
      </c>
      <c r="J735" s="91" t="s">
        <v>4</v>
      </c>
      <c r="K735" s="92" t="s">
        <v>32</v>
      </c>
      <c r="L735" s="93" t="str">
        <f>VLOOKUP(G735,'SKU 对应关系'!A:E,4,0)</f>
        <v>ANPKIT-WH_US_3X20K01_TZ</v>
      </c>
      <c r="M735" s="94" t="str">
        <f>_xlfn.IFNA(VLOOKUP(G735,'SKU 对应关系'!A:B,2,0),"")</f>
        <v>ANPKIT-WH_US_3X20K01_TZ ANP白色机器+3X20mL酒店香氛油（天竺） 机油套装</v>
      </c>
      <c r="N735" s="95" t="str">
        <f>_xlfn.IFNA(VLOOKUP(G735,'SKU 对应关系'!$A:$D,3,0),"")</f>
        <v>ANP</v>
      </c>
      <c r="O735" s="96">
        <v>10</v>
      </c>
      <c r="P735" s="580">
        <v>208</v>
      </c>
      <c r="Q735" s="96" t="s">
        <v>16</v>
      </c>
      <c r="R735" s="91">
        <v>10.3</v>
      </c>
      <c r="S735" s="95">
        <v>200</v>
      </c>
      <c r="T735" s="98">
        <v>200</v>
      </c>
      <c r="U735" s="99">
        <f t="shared" si="85"/>
        <v>2342.4</v>
      </c>
      <c r="V735" s="100">
        <f t="shared" si="86"/>
        <v>7.32</v>
      </c>
      <c r="W735" s="101">
        <f t="shared" si="87"/>
        <v>1.0925373134328358</v>
      </c>
      <c r="X735" s="95"/>
      <c r="Y735" s="95"/>
      <c r="Z735" s="102"/>
      <c r="AA735" s="103">
        <v>46177</v>
      </c>
      <c r="AB735" s="103">
        <v>46194</v>
      </c>
      <c r="AC735" s="103"/>
      <c r="AD735" s="102"/>
      <c r="AE735" s="102"/>
      <c r="AF735" s="103"/>
      <c r="AG735" s="577">
        <f t="shared" si="88"/>
        <v>-46177</v>
      </c>
      <c r="AH735" s="103"/>
      <c r="AI735" s="96"/>
      <c r="AJ735" s="96"/>
      <c r="AK735" s="96"/>
      <c r="AL735" s="92"/>
      <c r="AM735" s="91"/>
      <c r="AN735" s="91"/>
      <c r="AO735" s="96"/>
      <c r="AP735" s="105"/>
      <c r="AQ735" s="105"/>
      <c r="AR735" s="105"/>
      <c r="AS735" s="105"/>
    </row>
    <row r="736" spans="1:45" ht="12" customHeight="1" x14ac:dyDescent="0.25">
      <c r="A736" s="90">
        <f t="shared" si="84"/>
        <v>735</v>
      </c>
      <c r="B736" s="91"/>
      <c r="C736" s="91" t="s">
        <v>4728</v>
      </c>
      <c r="D736" s="92" t="s">
        <v>4729</v>
      </c>
      <c r="E736" s="91" t="s">
        <v>1971</v>
      </c>
      <c r="F736" s="91" t="s">
        <v>87</v>
      </c>
      <c r="G736" s="56" t="s">
        <v>2129</v>
      </c>
      <c r="H736" s="91">
        <v>48</v>
      </c>
      <c r="I736" s="91" t="s">
        <v>89</v>
      </c>
      <c r="J736" s="91" t="s">
        <v>90</v>
      </c>
      <c r="K736" s="92" t="s">
        <v>4340</v>
      </c>
      <c r="L736" s="93" t="str">
        <f>VLOOKUP(G736,'SKU 对应关系'!A:E,4,0)</f>
        <v>H2-SILV</v>
      </c>
      <c r="M736" s="94" t="str">
        <f>_xlfn.IFNA(VLOOKUP(G736,'SKU 对应关系'!A:B,2,0),"")</f>
        <v>H2-SILV 电子指纹球形把手锁-银色</v>
      </c>
      <c r="N736" s="95" t="str">
        <f>_xlfn.IFNA(VLOOKUP(G736,'SKU 对应关系'!$A:$D,3,0),"")</f>
        <v>H2</v>
      </c>
      <c r="O736" s="96">
        <v>4</v>
      </c>
      <c r="P736" s="580">
        <v>54.5</v>
      </c>
      <c r="Q736" s="96" t="s">
        <v>16</v>
      </c>
      <c r="R736" s="91">
        <v>6.7</v>
      </c>
      <c r="S736" s="95">
        <v>200</v>
      </c>
      <c r="T736" s="98">
        <v>50</v>
      </c>
      <c r="U736" s="99">
        <f t="shared" si="85"/>
        <v>415.15000000000003</v>
      </c>
      <c r="V736" s="100">
        <f t="shared" si="86"/>
        <v>8.6489583333333346</v>
      </c>
      <c r="W736" s="101">
        <f t="shared" si="87"/>
        <v>1.2908893034825872</v>
      </c>
      <c r="X736" s="95"/>
      <c r="Y736" s="95"/>
      <c r="Z736" s="102"/>
      <c r="AA736" s="103">
        <v>46178</v>
      </c>
      <c r="AB736" s="103">
        <v>46215</v>
      </c>
      <c r="AC736" s="103"/>
      <c r="AD736" s="102"/>
      <c r="AE736" s="102"/>
      <c r="AF736" s="103"/>
      <c r="AG736" s="577">
        <f t="shared" si="88"/>
        <v>-46178</v>
      </c>
      <c r="AH736" s="103"/>
      <c r="AI736" s="96"/>
      <c r="AJ736" s="96"/>
      <c r="AK736" s="96"/>
      <c r="AL736" s="92"/>
      <c r="AM736" s="91"/>
      <c r="AN736" s="91"/>
      <c r="AO736" s="96"/>
      <c r="AP736" s="105"/>
      <c r="AQ736" s="105"/>
      <c r="AR736" s="105"/>
      <c r="AS736" s="105"/>
    </row>
    <row r="737" spans="1:45" ht="12" customHeight="1" x14ac:dyDescent="0.25">
      <c r="A737" s="90">
        <f t="shared" si="84"/>
        <v>736</v>
      </c>
      <c r="B737" s="91"/>
      <c r="C737" s="91" t="s">
        <v>4728</v>
      </c>
      <c r="D737" s="92" t="s">
        <v>4729</v>
      </c>
      <c r="E737" s="91" t="s">
        <v>1971</v>
      </c>
      <c r="F737" s="91" t="s">
        <v>87</v>
      </c>
      <c r="G737" s="56" t="s">
        <v>300</v>
      </c>
      <c r="H737" s="91">
        <v>144</v>
      </c>
      <c r="I737" s="91" t="s">
        <v>89</v>
      </c>
      <c r="J737" s="91" t="s">
        <v>90</v>
      </c>
      <c r="K737" s="92" t="s">
        <v>4340</v>
      </c>
      <c r="L737" s="93" t="str">
        <f>VLOOKUP(G737,'SKU 对应关系'!A:E,4,0)</f>
        <v>K1-B</v>
      </c>
      <c r="M737" s="94" t="str">
        <f>_xlfn.IFNA(VLOOKUP(G737,'SKU 对应关系'!A:B,2,0),"")</f>
        <v>K1-B 电子球形把手锁-黑色</v>
      </c>
      <c r="N737" s="95" t="str">
        <f>_xlfn.IFNA(VLOOKUP(G737,'SKU 对应关系'!$A:$D,3,0),"")</f>
        <v>K1</v>
      </c>
      <c r="O737" s="96">
        <v>12</v>
      </c>
      <c r="P737" s="580">
        <v>163.5</v>
      </c>
      <c r="Q737" s="96" t="s">
        <v>16</v>
      </c>
      <c r="R737" s="91">
        <v>6.7</v>
      </c>
      <c r="S737" s="106">
        <v>200</v>
      </c>
      <c r="T737" s="98">
        <v>150</v>
      </c>
      <c r="U737" s="99">
        <f t="shared" si="85"/>
        <v>1245.45</v>
      </c>
      <c r="V737" s="100">
        <f t="shared" si="86"/>
        <v>8.6489583333333329</v>
      </c>
      <c r="W737" s="101">
        <f t="shared" si="87"/>
        <v>1.290889303482587</v>
      </c>
      <c r="X737" s="95"/>
      <c r="Y737" s="95"/>
      <c r="Z737" s="102"/>
      <c r="AA737" s="103">
        <v>46178</v>
      </c>
      <c r="AB737" s="103">
        <v>46215</v>
      </c>
      <c r="AC737" s="103"/>
      <c r="AD737" s="102"/>
      <c r="AE737" s="102"/>
      <c r="AF737" s="103"/>
      <c r="AG737" s="577">
        <f t="shared" si="88"/>
        <v>-46178</v>
      </c>
      <c r="AH737" s="103"/>
      <c r="AI737" s="96"/>
      <c r="AJ737" s="96"/>
      <c r="AK737" s="96"/>
      <c r="AL737" s="92"/>
      <c r="AM737" s="91"/>
      <c r="AN737" s="91"/>
      <c r="AO737" s="96"/>
      <c r="AP737" s="105"/>
      <c r="AQ737" s="105"/>
      <c r="AR737" s="105"/>
      <c r="AS737" s="105"/>
    </row>
    <row r="738" spans="1:45" ht="12" customHeight="1" x14ac:dyDescent="0.25">
      <c r="A738" s="90">
        <f t="shared" si="84"/>
        <v>737</v>
      </c>
      <c r="B738" s="91"/>
      <c r="C738" s="91" t="s">
        <v>4748</v>
      </c>
      <c r="D738" s="92" t="s">
        <v>4749</v>
      </c>
      <c r="E738" s="91" t="s">
        <v>115</v>
      </c>
      <c r="F738" s="91" t="s">
        <v>0</v>
      </c>
      <c r="G738" s="56" t="s">
        <v>2195</v>
      </c>
      <c r="H738" s="91">
        <v>480</v>
      </c>
      <c r="I738" s="91" t="s">
        <v>89</v>
      </c>
      <c r="J738" s="91" t="s">
        <v>4</v>
      </c>
      <c r="K738" s="92" t="s">
        <v>15</v>
      </c>
      <c r="L738" s="93" t="str">
        <f>VLOOKUP(G738,'SKU 对应关系'!A:E,4,0)</f>
        <v>ANZ-B</v>
      </c>
      <c r="M738" s="94" t="str">
        <f>_xlfn.IFNA(VLOOKUP(G738,'SKU 对应关系'!A:B,2,0),"")</f>
        <v>ANZ-B 便携式扩香仪 黑色</v>
      </c>
      <c r="N738" s="95" t="str">
        <f>_xlfn.IFNA(VLOOKUP(G738,'SKU 对应关系'!$A:$D,3,0),"")</f>
        <v>ANZ</v>
      </c>
      <c r="O738" s="96">
        <v>12</v>
      </c>
      <c r="P738" s="580">
        <v>160</v>
      </c>
      <c r="Q738" s="96" t="s">
        <v>16</v>
      </c>
      <c r="R738" s="91">
        <v>8.4</v>
      </c>
      <c r="S738" s="95">
        <v>200</v>
      </c>
      <c r="T738" s="98">
        <v>200</v>
      </c>
      <c r="U738" s="99">
        <f t="shared" ref="U738:U790" si="89">R738*P738+T738</f>
        <v>1544</v>
      </c>
      <c r="V738" s="100">
        <f t="shared" ref="V738:V790" si="90">U738/H738</f>
        <v>3.2166666666666668</v>
      </c>
      <c r="W738" s="101">
        <f t="shared" ref="W738:W790" si="91">V738/6.7</f>
        <v>0.48009950248756217</v>
      </c>
      <c r="X738" s="95"/>
      <c r="Y738" s="95"/>
      <c r="Z738" s="102"/>
      <c r="AA738" s="103">
        <v>46185</v>
      </c>
      <c r="AB738" s="103">
        <v>46201</v>
      </c>
      <c r="AC738" s="103"/>
      <c r="AD738" s="102"/>
      <c r="AE738" s="102"/>
      <c r="AF738" s="103"/>
      <c r="AG738" s="579"/>
      <c r="AH738" s="103"/>
      <c r="AI738" s="96"/>
      <c r="AJ738" s="96"/>
      <c r="AK738" s="96"/>
      <c r="AL738" s="92"/>
      <c r="AM738" s="91"/>
      <c r="AN738" s="91"/>
      <c r="AO738" s="96"/>
      <c r="AP738" s="105"/>
      <c r="AQ738" s="105"/>
      <c r="AR738" s="105"/>
      <c r="AS738" s="105"/>
    </row>
    <row r="739" spans="1:45" ht="12" customHeight="1" x14ac:dyDescent="0.25">
      <c r="A739" s="90">
        <f t="shared" si="84"/>
        <v>738</v>
      </c>
      <c r="B739" s="91" t="s">
        <v>4779</v>
      </c>
      <c r="C739" s="91" t="s">
        <v>4751</v>
      </c>
      <c r="D739" s="92" t="s">
        <v>4797</v>
      </c>
      <c r="E739" s="91" t="s">
        <v>2511</v>
      </c>
      <c r="F739" s="91" t="s">
        <v>262</v>
      </c>
      <c r="G739" s="56" t="s">
        <v>165</v>
      </c>
      <c r="H739" s="91">
        <v>80</v>
      </c>
      <c r="I739" s="91" t="s">
        <v>1097</v>
      </c>
      <c r="J739" s="91" t="s">
        <v>3282</v>
      </c>
      <c r="K739" s="92" t="s">
        <v>2512</v>
      </c>
      <c r="L739" s="93" t="str">
        <f>VLOOKUP(G739,'SKU 对应关系'!A:E,4,0)</f>
        <v>AN6-W</v>
      </c>
      <c r="M739" s="94" t="str">
        <f>_xlfn.IFNA(VLOOKUP(G739,'SKU 对应关系'!A:B,2,0),"")</f>
        <v>AN6-W 便携式扩香仪 白色</v>
      </c>
      <c r="N739" s="95" t="str">
        <f>_xlfn.IFNA(VLOOKUP(G739,'SKU 对应关系'!$A:$D,3,0),"")</f>
        <v>AN6</v>
      </c>
      <c r="O739" s="96">
        <v>2</v>
      </c>
      <c r="P739" s="580">
        <v>9.6363636363636374E-2</v>
      </c>
      <c r="Q739" s="96" t="s">
        <v>3264</v>
      </c>
      <c r="R739" s="91">
        <v>2100</v>
      </c>
      <c r="S739" s="95">
        <f>400+37.59</f>
        <v>437.59000000000003</v>
      </c>
      <c r="T739" s="98">
        <v>79.561818181818182</v>
      </c>
      <c r="U739" s="99">
        <f t="shared" si="89"/>
        <v>281.92545454545456</v>
      </c>
      <c r="V739" s="100">
        <f t="shared" si="90"/>
        <v>3.524068181818182</v>
      </c>
      <c r="W739" s="101">
        <f t="shared" si="91"/>
        <v>0.52598032564450481</v>
      </c>
      <c r="X739" s="95"/>
      <c r="Y739" s="95"/>
      <c r="Z739" s="102"/>
      <c r="AA739" s="103">
        <v>46185</v>
      </c>
      <c r="AB739" s="103">
        <v>46214</v>
      </c>
      <c r="AC739" s="103"/>
      <c r="AD739" s="102"/>
      <c r="AE739" s="102"/>
      <c r="AF739" s="103"/>
      <c r="AG739" s="579"/>
      <c r="AH739" s="103"/>
      <c r="AI739" s="96"/>
      <c r="AJ739" s="96"/>
      <c r="AK739" s="96"/>
      <c r="AL739" s="92"/>
      <c r="AM739" s="91"/>
      <c r="AN739" s="91"/>
      <c r="AO739" s="96"/>
      <c r="AP739" s="105"/>
      <c r="AQ739" s="105"/>
      <c r="AR739" s="105"/>
      <c r="AS739" s="105"/>
    </row>
    <row r="740" spans="1:45" ht="12" customHeight="1" x14ac:dyDescent="0.25">
      <c r="A740" s="90">
        <f t="shared" si="84"/>
        <v>739</v>
      </c>
      <c r="B740" s="91"/>
      <c r="C740" s="91" t="s">
        <v>4751</v>
      </c>
      <c r="D740" s="92" t="s">
        <v>4752</v>
      </c>
      <c r="E740" s="91" t="s">
        <v>2511</v>
      </c>
      <c r="F740" s="91" t="s">
        <v>262</v>
      </c>
      <c r="G740" s="56" t="s">
        <v>2279</v>
      </c>
      <c r="H740" s="91">
        <v>90</v>
      </c>
      <c r="I740" s="91" t="s">
        <v>1097</v>
      </c>
      <c r="J740" s="91" t="s">
        <v>3282</v>
      </c>
      <c r="K740" s="92" t="s">
        <v>2512</v>
      </c>
      <c r="L740" s="93" t="str">
        <f>VLOOKUP(G740,'SKU 对应关系'!A:E,4,0)</f>
        <v>RD1-B</v>
      </c>
      <c r="M740" s="94" t="str">
        <f>_xlfn.IFNA(VLOOKUP(G740,'SKU 对应关系'!A:B,2,0),"")</f>
        <v>RD1-B 便携式扩香仪 黑色</v>
      </c>
      <c r="N740" s="95" t="str">
        <f>_xlfn.IFNA(VLOOKUP(G740,'SKU 对应关系'!$A:$D,3,0),"")</f>
        <v>RD1</v>
      </c>
      <c r="O740" s="96">
        <v>3</v>
      </c>
      <c r="P740" s="580">
        <v>0.14454545454545456</v>
      </c>
      <c r="Q740" s="96" t="s">
        <v>3264</v>
      </c>
      <c r="R740" s="91">
        <v>2100</v>
      </c>
      <c r="S740" s="106">
        <v>437.59</v>
      </c>
      <c r="T740" s="98">
        <v>119.34272727272726</v>
      </c>
      <c r="U740" s="99">
        <f t="shared" si="89"/>
        <v>422.88818181818181</v>
      </c>
      <c r="V740" s="100">
        <f t="shared" si="90"/>
        <v>4.6987575757575755</v>
      </c>
      <c r="W740" s="101">
        <f t="shared" si="91"/>
        <v>0.70130710085933956</v>
      </c>
      <c r="X740" s="95"/>
      <c r="Y740" s="95"/>
      <c r="Z740" s="102"/>
      <c r="AA740" s="103">
        <v>46185</v>
      </c>
      <c r="AB740" s="103">
        <v>46214</v>
      </c>
      <c r="AC740" s="103"/>
      <c r="AD740" s="102"/>
      <c r="AE740" s="102"/>
      <c r="AF740" s="103"/>
      <c r="AG740" s="579"/>
      <c r="AH740" s="103"/>
      <c r="AI740" s="96"/>
      <c r="AJ740" s="96"/>
      <c r="AK740" s="96"/>
      <c r="AL740" s="92"/>
      <c r="AM740" s="91"/>
      <c r="AN740" s="91"/>
      <c r="AO740" s="96"/>
      <c r="AP740" s="105"/>
      <c r="AQ740" s="105"/>
      <c r="AR740" s="105"/>
      <c r="AS740" s="105"/>
    </row>
    <row r="741" spans="1:45" ht="12" customHeight="1" x14ac:dyDescent="0.25">
      <c r="A741" s="90">
        <f t="shared" si="84"/>
        <v>740</v>
      </c>
      <c r="B741" s="91"/>
      <c r="C741" s="91" t="s">
        <v>4751</v>
      </c>
      <c r="D741" s="92" t="s">
        <v>4752</v>
      </c>
      <c r="E741" s="91" t="s">
        <v>2511</v>
      </c>
      <c r="F741" s="91" t="s">
        <v>262</v>
      </c>
      <c r="G741" s="56" t="s">
        <v>163</v>
      </c>
      <c r="H741" s="91">
        <v>120</v>
      </c>
      <c r="I741" s="91" t="s">
        <v>1097</v>
      </c>
      <c r="J741" s="91" t="s">
        <v>3282</v>
      </c>
      <c r="K741" s="92" t="s">
        <v>2512</v>
      </c>
      <c r="L741" s="93" t="str">
        <f>VLOOKUP(G741,'SKU 对应关系'!A:E,4,0)</f>
        <v>AN6-B</v>
      </c>
      <c r="M741" s="94" t="str">
        <f>_xlfn.IFNA(VLOOKUP(G741,'SKU 对应关系'!A:B,2,0),"")</f>
        <v>AN6-B 便携式扩香仪 黑色</v>
      </c>
      <c r="N741" s="95" t="str">
        <f>_xlfn.IFNA(VLOOKUP(G741,'SKU 对应关系'!$A:$D,3,0),"")</f>
        <v>AN6</v>
      </c>
      <c r="O741" s="96">
        <v>3</v>
      </c>
      <c r="P741" s="580">
        <v>0.14454545454545456</v>
      </c>
      <c r="Q741" s="96" t="s">
        <v>3264</v>
      </c>
      <c r="R741" s="91">
        <v>2100</v>
      </c>
      <c r="S741" s="95"/>
      <c r="T741" s="98">
        <v>119.34272727272726</v>
      </c>
      <c r="U741" s="99">
        <f t="shared" si="89"/>
        <v>422.88818181818181</v>
      </c>
      <c r="V741" s="100">
        <f t="shared" si="90"/>
        <v>3.5240681818181816</v>
      </c>
      <c r="W741" s="101">
        <f t="shared" si="91"/>
        <v>0.5259803256445047</v>
      </c>
      <c r="X741" s="95"/>
      <c r="Y741" s="95"/>
      <c r="Z741" s="102"/>
      <c r="AA741" s="103">
        <v>46185</v>
      </c>
      <c r="AB741" s="103">
        <v>46214</v>
      </c>
      <c r="AC741" s="103"/>
      <c r="AD741" s="102"/>
      <c r="AE741" s="102"/>
      <c r="AF741" s="103"/>
      <c r="AG741" s="579"/>
      <c r="AH741" s="103"/>
      <c r="AI741" s="96"/>
      <c r="AJ741" s="96"/>
      <c r="AK741" s="96"/>
      <c r="AL741" s="92"/>
      <c r="AM741" s="91"/>
      <c r="AN741" s="91"/>
      <c r="AO741" s="96"/>
      <c r="AP741" s="105"/>
      <c r="AQ741" s="105"/>
      <c r="AR741" s="105"/>
      <c r="AS741" s="105"/>
    </row>
    <row r="742" spans="1:45" ht="12" customHeight="1" x14ac:dyDescent="0.25">
      <c r="A742" s="90">
        <f t="shared" si="84"/>
        <v>741</v>
      </c>
      <c r="B742" s="91"/>
      <c r="C742" s="91" t="s">
        <v>4751</v>
      </c>
      <c r="D742" s="92" t="s">
        <v>4752</v>
      </c>
      <c r="E742" s="91" t="s">
        <v>2511</v>
      </c>
      <c r="F742" s="91" t="s">
        <v>262</v>
      </c>
      <c r="G742" s="56" t="s">
        <v>211</v>
      </c>
      <c r="H742" s="91">
        <v>90</v>
      </c>
      <c r="I742" s="91" t="s">
        <v>1097</v>
      </c>
      <c r="J742" s="91" t="s">
        <v>3282</v>
      </c>
      <c r="K742" s="92" t="s">
        <v>2512</v>
      </c>
      <c r="L742" s="93" t="str">
        <f>VLOOKUP(G742,'SKU 对应关系'!A:E,4,0)</f>
        <v>ANX-B</v>
      </c>
      <c r="M742" s="94" t="str">
        <f>_xlfn.IFNA(VLOOKUP(G742,'SKU 对应关系'!A:B,2,0),"")</f>
        <v>ANX-B 便携式扩香仪 黑色</v>
      </c>
      <c r="N742" s="95" t="str">
        <f>_xlfn.IFNA(VLOOKUP(G742,'SKU 对应关系'!$A:$D,3,0),"")</f>
        <v>ANX</v>
      </c>
      <c r="O742" s="96">
        <v>3</v>
      </c>
      <c r="P742" s="580">
        <v>0.14454545454545456</v>
      </c>
      <c r="Q742" s="96" t="s">
        <v>3264</v>
      </c>
      <c r="R742" s="91">
        <v>2100</v>
      </c>
      <c r="S742" s="95"/>
      <c r="T742" s="98">
        <v>119.34272727272726</v>
      </c>
      <c r="U742" s="99">
        <f t="shared" si="89"/>
        <v>422.88818181818181</v>
      </c>
      <c r="V742" s="100">
        <f t="shared" si="90"/>
        <v>4.6987575757575755</v>
      </c>
      <c r="W742" s="101">
        <f t="shared" si="91"/>
        <v>0.70130710085933956</v>
      </c>
      <c r="X742" s="95"/>
      <c r="Y742" s="95"/>
      <c r="Z742" s="102"/>
      <c r="AA742" s="103">
        <v>46185</v>
      </c>
      <c r="AB742" s="103">
        <v>46214</v>
      </c>
      <c r="AC742" s="103"/>
      <c r="AD742" s="102"/>
      <c r="AE742" s="102"/>
      <c r="AF742" s="103"/>
      <c r="AG742" s="579"/>
      <c r="AH742" s="103"/>
      <c r="AI742" s="96"/>
      <c r="AJ742" s="96"/>
      <c r="AK742" s="96"/>
      <c r="AL742" s="92"/>
      <c r="AM742" s="91"/>
      <c r="AN742" s="91"/>
      <c r="AO742" s="96"/>
      <c r="AP742" s="105"/>
      <c r="AQ742" s="105"/>
      <c r="AR742" s="105"/>
      <c r="AS742" s="105"/>
    </row>
    <row r="743" spans="1:45" ht="12" customHeight="1" x14ac:dyDescent="0.25">
      <c r="A743" s="90">
        <f t="shared" si="84"/>
        <v>742</v>
      </c>
      <c r="B743" s="91"/>
      <c r="C743" s="91" t="s">
        <v>4753</v>
      </c>
      <c r="D743" s="92" t="s">
        <v>4754</v>
      </c>
      <c r="E743" s="91" t="s">
        <v>3159</v>
      </c>
      <c r="F743" s="91" t="s">
        <v>271</v>
      </c>
      <c r="G743" s="56" t="s">
        <v>163</v>
      </c>
      <c r="H743" s="91">
        <v>120</v>
      </c>
      <c r="I743" s="91" t="s">
        <v>1097</v>
      </c>
      <c r="J743" s="91" t="s">
        <v>2273</v>
      </c>
      <c r="K743" s="92" t="s">
        <v>4755</v>
      </c>
      <c r="L743" s="93" t="str">
        <f>VLOOKUP(G743,'SKU 对应关系'!A:E,4,0)</f>
        <v>AN6-B</v>
      </c>
      <c r="M743" s="94" t="str">
        <f>_xlfn.IFNA(VLOOKUP(G743,'SKU 对应关系'!A:B,2,0),"")</f>
        <v>AN6-B 便携式扩香仪 黑色</v>
      </c>
      <c r="N743" s="95" t="str">
        <f>_xlfn.IFNA(VLOOKUP(G743,'SKU 对应关系'!$A:$D,3,0),"")</f>
        <v>AN6</v>
      </c>
      <c r="O743" s="96">
        <v>3</v>
      </c>
      <c r="P743" s="580">
        <v>0.14400000000000002</v>
      </c>
      <c r="Q743" s="96" t="s">
        <v>3264</v>
      </c>
      <c r="R743" s="91">
        <v>1450</v>
      </c>
      <c r="S743" s="95">
        <f>400+51.25</f>
        <v>451.25</v>
      </c>
      <c r="T743" s="98">
        <v>90.25</v>
      </c>
      <c r="U743" s="99">
        <f t="shared" si="89"/>
        <v>299.05</v>
      </c>
      <c r="V743" s="100">
        <f t="shared" si="90"/>
        <v>2.4920833333333334</v>
      </c>
      <c r="W743" s="101">
        <f t="shared" si="91"/>
        <v>0.37195273631840797</v>
      </c>
      <c r="X743" s="95"/>
      <c r="Y743" s="95"/>
      <c r="Z743" s="102"/>
      <c r="AA743" s="103">
        <v>46185</v>
      </c>
      <c r="AB743" s="103"/>
      <c r="AC743" s="103"/>
      <c r="AD743" s="102"/>
      <c r="AE743" s="102"/>
      <c r="AF743" s="103"/>
      <c r="AG743" s="579"/>
      <c r="AH743" s="103"/>
      <c r="AI743" s="96"/>
      <c r="AJ743" s="96"/>
      <c r="AK743" s="96"/>
      <c r="AL743" s="92"/>
      <c r="AM743" s="91"/>
      <c r="AN743" s="91"/>
      <c r="AO743" s="96"/>
      <c r="AP743" s="105"/>
      <c r="AQ743" s="105"/>
      <c r="AR743" s="105"/>
      <c r="AS743" s="105"/>
    </row>
    <row r="744" spans="1:45" ht="12" customHeight="1" x14ac:dyDescent="0.25">
      <c r="A744" s="90">
        <f t="shared" si="84"/>
        <v>743</v>
      </c>
      <c r="B744" s="91"/>
      <c r="C744" s="91" t="s">
        <v>4753</v>
      </c>
      <c r="D744" s="92" t="s">
        <v>4754</v>
      </c>
      <c r="E744" s="91" t="s">
        <v>3159</v>
      </c>
      <c r="F744" s="91" t="s">
        <v>271</v>
      </c>
      <c r="G744" s="56" t="s">
        <v>165</v>
      </c>
      <c r="H744" s="91">
        <v>80</v>
      </c>
      <c r="I744" s="91" t="s">
        <v>1097</v>
      </c>
      <c r="J744" s="91" t="s">
        <v>2273</v>
      </c>
      <c r="K744" s="92" t="s">
        <v>4755</v>
      </c>
      <c r="L744" s="93" t="str">
        <f>VLOOKUP(G744,'SKU 对应关系'!A:E,4,0)</f>
        <v>AN6-W</v>
      </c>
      <c r="M744" s="94" t="str">
        <f>_xlfn.IFNA(VLOOKUP(G744,'SKU 对应关系'!A:B,2,0),"")</f>
        <v>AN6-W 便携式扩香仪 白色</v>
      </c>
      <c r="N744" s="95" t="str">
        <f>_xlfn.IFNA(VLOOKUP(G744,'SKU 对应关系'!$A:$D,3,0),"")</f>
        <v>AN6</v>
      </c>
      <c r="O744" s="96">
        <v>2</v>
      </c>
      <c r="P744" s="580">
        <v>9.6000000000000002E-2</v>
      </c>
      <c r="Q744" s="96" t="s">
        <v>3264</v>
      </c>
      <c r="R744" s="91">
        <v>1450</v>
      </c>
      <c r="S744" s="106">
        <v>451.25</v>
      </c>
      <c r="T744" s="98">
        <v>60.166666666666664</v>
      </c>
      <c r="U744" s="99">
        <f t="shared" si="89"/>
        <v>199.36666666666667</v>
      </c>
      <c r="V744" s="100">
        <f t="shared" si="90"/>
        <v>2.4920833333333334</v>
      </c>
      <c r="W744" s="101">
        <f t="shared" si="91"/>
        <v>0.37195273631840797</v>
      </c>
      <c r="X744" s="95"/>
      <c r="Y744" s="95"/>
      <c r="Z744" s="102"/>
      <c r="AA744" s="103">
        <v>46185</v>
      </c>
      <c r="AB744" s="103"/>
      <c r="AC744" s="103"/>
      <c r="AD744" s="102"/>
      <c r="AE744" s="102"/>
      <c r="AF744" s="103"/>
      <c r="AG744" s="579"/>
      <c r="AH744" s="103"/>
      <c r="AI744" s="96"/>
      <c r="AJ744" s="96"/>
      <c r="AK744" s="96"/>
      <c r="AL744" s="92"/>
      <c r="AM744" s="91"/>
      <c r="AN744" s="91"/>
      <c r="AO744" s="96"/>
      <c r="AP744" s="105"/>
      <c r="AQ744" s="105"/>
      <c r="AR744" s="105"/>
      <c r="AS744" s="105"/>
    </row>
    <row r="745" spans="1:45" ht="12" customHeight="1" x14ac:dyDescent="0.25">
      <c r="A745" s="90">
        <f t="shared" si="84"/>
        <v>744</v>
      </c>
      <c r="B745" s="91"/>
      <c r="C745" s="91" t="s">
        <v>4753</v>
      </c>
      <c r="D745" s="92" t="s">
        <v>4754</v>
      </c>
      <c r="E745" s="91" t="s">
        <v>3159</v>
      </c>
      <c r="F745" s="91" t="s">
        <v>271</v>
      </c>
      <c r="G745" s="56" t="s">
        <v>211</v>
      </c>
      <c r="H745" s="91">
        <v>90</v>
      </c>
      <c r="I745" s="91" t="s">
        <v>1097</v>
      </c>
      <c r="J745" s="91" t="s">
        <v>2273</v>
      </c>
      <c r="K745" s="92" t="s">
        <v>4755</v>
      </c>
      <c r="L745" s="93" t="str">
        <f>VLOOKUP(G745,'SKU 对应关系'!A:E,4,0)</f>
        <v>ANX-B</v>
      </c>
      <c r="M745" s="94" t="str">
        <f>_xlfn.IFNA(VLOOKUP(G745,'SKU 对应关系'!A:B,2,0),"")</f>
        <v>ANX-B 便携式扩香仪 黑色</v>
      </c>
      <c r="N745" s="95" t="str">
        <f>_xlfn.IFNA(VLOOKUP(G745,'SKU 对应关系'!$A:$D,3,0),"")</f>
        <v>ANX</v>
      </c>
      <c r="O745" s="96">
        <v>3</v>
      </c>
      <c r="P745" s="580">
        <v>0.14400000000000002</v>
      </c>
      <c r="Q745" s="96" t="s">
        <v>3264</v>
      </c>
      <c r="R745" s="91">
        <v>1450</v>
      </c>
      <c r="S745" s="95"/>
      <c r="T745" s="98">
        <v>90.25</v>
      </c>
      <c r="U745" s="99">
        <f t="shared" si="89"/>
        <v>299.05</v>
      </c>
      <c r="V745" s="100">
        <f t="shared" si="90"/>
        <v>3.3227777777777781</v>
      </c>
      <c r="W745" s="101">
        <f t="shared" si="91"/>
        <v>0.49593698175787732</v>
      </c>
      <c r="X745" s="95"/>
      <c r="Y745" s="95"/>
      <c r="Z745" s="102"/>
      <c r="AA745" s="103">
        <v>46185</v>
      </c>
      <c r="AB745" s="103"/>
      <c r="AC745" s="103"/>
      <c r="AD745" s="102"/>
      <c r="AE745" s="102"/>
      <c r="AF745" s="103"/>
      <c r="AG745" s="579"/>
      <c r="AH745" s="103"/>
      <c r="AI745" s="96"/>
      <c r="AJ745" s="96"/>
      <c r="AK745" s="96"/>
      <c r="AL745" s="92"/>
      <c r="AM745" s="91"/>
      <c r="AN745" s="91"/>
      <c r="AO745" s="96"/>
      <c r="AP745" s="105"/>
      <c r="AQ745" s="105"/>
      <c r="AR745" s="105"/>
      <c r="AS745" s="105"/>
    </row>
    <row r="746" spans="1:45" ht="12" customHeight="1" x14ac:dyDescent="0.25">
      <c r="A746" s="90">
        <f t="shared" si="84"/>
        <v>745</v>
      </c>
      <c r="B746" s="91"/>
      <c r="C746" s="91" t="s">
        <v>4753</v>
      </c>
      <c r="D746" s="92" t="s">
        <v>4754</v>
      </c>
      <c r="E746" s="91" t="s">
        <v>3159</v>
      </c>
      <c r="F746" s="91" t="s">
        <v>271</v>
      </c>
      <c r="G746" s="56" t="s">
        <v>2281</v>
      </c>
      <c r="H746" s="91">
        <v>120</v>
      </c>
      <c r="I746" s="91" t="s">
        <v>1097</v>
      </c>
      <c r="J746" s="91" t="s">
        <v>2273</v>
      </c>
      <c r="K746" s="92" t="s">
        <v>4755</v>
      </c>
      <c r="L746" s="93" t="str">
        <f>VLOOKUP(G746,'SKU 对应关系'!A:E,4,0)</f>
        <v>RD1-DT</v>
      </c>
      <c r="M746" s="94" t="str">
        <f>_xlfn.IFNA(VLOOKUP(G746,'SKU 对应关系'!A:B,2,0),"")</f>
        <v>RD1-DT 便携式扩香仪 沙漠钛色</v>
      </c>
      <c r="N746" s="95" t="str">
        <f>_xlfn.IFNA(VLOOKUP(G746,'SKU 对应关系'!$A:$D,3,0),"")</f>
        <v>RD1</v>
      </c>
      <c r="O746" s="96">
        <v>4</v>
      </c>
      <c r="P746" s="580">
        <v>0.192</v>
      </c>
      <c r="Q746" s="96" t="s">
        <v>3264</v>
      </c>
      <c r="R746" s="91">
        <v>1450</v>
      </c>
      <c r="S746" s="95"/>
      <c r="T746" s="98">
        <v>120.33333333333333</v>
      </c>
      <c r="U746" s="99">
        <f t="shared" si="89"/>
        <v>398.73333333333335</v>
      </c>
      <c r="V746" s="100">
        <f t="shared" si="90"/>
        <v>3.3227777777777781</v>
      </c>
      <c r="W746" s="101">
        <f t="shared" si="91"/>
        <v>0.49593698175787732</v>
      </c>
      <c r="X746" s="95"/>
      <c r="Y746" s="95"/>
      <c r="Z746" s="102"/>
      <c r="AA746" s="103">
        <v>46185</v>
      </c>
      <c r="AB746" s="103"/>
      <c r="AC746" s="103"/>
      <c r="AD746" s="102"/>
      <c r="AE746" s="102"/>
      <c r="AF746" s="103"/>
      <c r="AG746" s="579"/>
      <c r="AH746" s="103"/>
      <c r="AI746" s="96"/>
      <c r="AJ746" s="96"/>
      <c r="AK746" s="96"/>
      <c r="AL746" s="92"/>
      <c r="AM746" s="91"/>
      <c r="AN746" s="91"/>
      <c r="AO746" s="96"/>
      <c r="AP746" s="105"/>
      <c r="AQ746" s="105"/>
      <c r="AR746" s="105"/>
      <c r="AS746" s="105"/>
    </row>
    <row r="747" spans="1:45" ht="12" customHeight="1" x14ac:dyDescent="0.25">
      <c r="A747" s="90">
        <f t="shared" si="84"/>
        <v>746</v>
      </c>
      <c r="B747" s="91"/>
      <c r="C747" s="91" t="s">
        <v>4753</v>
      </c>
      <c r="D747" s="92" t="s">
        <v>4754</v>
      </c>
      <c r="E747" s="91" t="s">
        <v>3159</v>
      </c>
      <c r="F747" s="91" t="s">
        <v>271</v>
      </c>
      <c r="G747" s="56" t="s">
        <v>2279</v>
      </c>
      <c r="H747" s="91">
        <v>90</v>
      </c>
      <c r="I747" s="91" t="s">
        <v>1097</v>
      </c>
      <c r="J747" s="91" t="s">
        <v>2273</v>
      </c>
      <c r="K747" s="92" t="s">
        <v>4755</v>
      </c>
      <c r="L747" s="93" t="str">
        <f>VLOOKUP(G747,'SKU 对应关系'!A:E,4,0)</f>
        <v>RD1-B</v>
      </c>
      <c r="M747" s="94" t="str">
        <f>_xlfn.IFNA(VLOOKUP(G747,'SKU 对应关系'!A:B,2,0),"")</f>
        <v>RD1-B 便携式扩香仪 黑色</v>
      </c>
      <c r="N747" s="95" t="str">
        <f>_xlfn.IFNA(VLOOKUP(G747,'SKU 对应关系'!$A:$D,3,0),"")</f>
        <v>RD1</v>
      </c>
      <c r="O747" s="96">
        <v>3</v>
      </c>
      <c r="P747" s="580">
        <v>0.14400000000000002</v>
      </c>
      <c r="Q747" s="96" t="s">
        <v>3264</v>
      </c>
      <c r="R747" s="91">
        <v>1450</v>
      </c>
      <c r="S747" s="95"/>
      <c r="T747" s="98">
        <v>90.25</v>
      </c>
      <c r="U747" s="99">
        <f t="shared" si="89"/>
        <v>299.05</v>
      </c>
      <c r="V747" s="100">
        <f t="shared" si="90"/>
        <v>3.3227777777777781</v>
      </c>
      <c r="W747" s="101">
        <f t="shared" si="91"/>
        <v>0.49593698175787732</v>
      </c>
      <c r="X747" s="95"/>
      <c r="Y747" s="95"/>
      <c r="Z747" s="102"/>
      <c r="AA747" s="103">
        <v>46185</v>
      </c>
      <c r="AB747" s="103"/>
      <c r="AC747" s="103"/>
      <c r="AD747" s="102"/>
      <c r="AE747" s="102"/>
      <c r="AF747" s="103"/>
      <c r="AG747" s="579"/>
      <c r="AH747" s="103"/>
      <c r="AI747" s="96"/>
      <c r="AJ747" s="96"/>
      <c r="AK747" s="96"/>
      <c r="AL747" s="92"/>
      <c r="AM747" s="91"/>
      <c r="AN747" s="91"/>
      <c r="AO747" s="96"/>
      <c r="AP747" s="105"/>
      <c r="AQ747" s="105"/>
      <c r="AR747" s="105"/>
      <c r="AS747" s="105"/>
    </row>
    <row r="748" spans="1:45" ht="12" customHeight="1" x14ac:dyDescent="0.25">
      <c r="A748" s="90">
        <f t="shared" si="84"/>
        <v>747</v>
      </c>
      <c r="B748" s="91"/>
      <c r="C748" s="91" t="s">
        <v>4756</v>
      </c>
      <c r="D748" s="92" t="s">
        <v>4757</v>
      </c>
      <c r="E748" s="91" t="s">
        <v>4703</v>
      </c>
      <c r="F748" s="91" t="s">
        <v>87</v>
      </c>
      <c r="G748" s="56" t="s">
        <v>165</v>
      </c>
      <c r="H748" s="91">
        <v>160</v>
      </c>
      <c r="I748" s="91" t="s">
        <v>89</v>
      </c>
      <c r="J748" s="91" t="s">
        <v>90</v>
      </c>
      <c r="K748" s="92" t="s">
        <v>2530</v>
      </c>
      <c r="L748" s="93" t="str">
        <f>VLOOKUP(G748,'SKU 对应关系'!A:E,4,0)</f>
        <v>AN6-W</v>
      </c>
      <c r="M748" s="94" t="str">
        <f>_xlfn.IFNA(VLOOKUP(G748,'SKU 对应关系'!A:B,2,0),"")</f>
        <v>AN6-W 便携式扩香仪 白色</v>
      </c>
      <c r="N748" s="95" t="str">
        <f>_xlfn.IFNA(VLOOKUP(G748,'SKU 对应关系'!$A:$D,3,0),"")</f>
        <v>AN6</v>
      </c>
      <c r="O748" s="96">
        <v>4</v>
      </c>
      <c r="P748" s="580">
        <v>52</v>
      </c>
      <c r="Q748" s="96" t="s">
        <v>16</v>
      </c>
      <c r="R748" s="91">
        <v>7</v>
      </c>
      <c r="S748" s="95">
        <v>200</v>
      </c>
      <c r="T748" s="98">
        <v>114.28571428571429</v>
      </c>
      <c r="U748" s="99">
        <f t="shared" si="89"/>
        <v>478.28571428571428</v>
      </c>
      <c r="V748" s="100">
        <f t="shared" si="90"/>
        <v>2.9892857142857143</v>
      </c>
      <c r="W748" s="101">
        <f t="shared" si="91"/>
        <v>0.44616204690831557</v>
      </c>
      <c r="X748" s="95"/>
      <c r="Y748" s="95"/>
      <c r="Z748" s="102"/>
      <c r="AA748" s="103">
        <v>46185</v>
      </c>
      <c r="AB748" s="103">
        <v>46219</v>
      </c>
      <c r="AC748" s="103"/>
      <c r="AD748" s="102"/>
      <c r="AE748" s="102"/>
      <c r="AF748" s="103"/>
      <c r="AG748" s="579"/>
      <c r="AH748" s="103"/>
      <c r="AI748" s="96"/>
      <c r="AJ748" s="96"/>
      <c r="AK748" s="96"/>
      <c r="AL748" s="92"/>
      <c r="AM748" s="91"/>
      <c r="AN748" s="91"/>
      <c r="AO748" s="96"/>
      <c r="AP748" s="105"/>
      <c r="AQ748" s="105"/>
      <c r="AR748" s="105"/>
      <c r="AS748" s="105"/>
    </row>
    <row r="749" spans="1:45" ht="12" customHeight="1" x14ac:dyDescent="0.25">
      <c r="A749" s="90">
        <f t="shared" ref="A749:A811" si="92">ROW(A748)</f>
        <v>748</v>
      </c>
      <c r="B749" s="91"/>
      <c r="C749" s="91" t="s">
        <v>4756</v>
      </c>
      <c r="D749" s="92" t="s">
        <v>4757</v>
      </c>
      <c r="E749" s="91" t="s">
        <v>4703</v>
      </c>
      <c r="F749" s="91" t="s">
        <v>87</v>
      </c>
      <c r="G749" s="56" t="s">
        <v>211</v>
      </c>
      <c r="H749" s="91">
        <v>60</v>
      </c>
      <c r="I749" s="91" t="s">
        <v>89</v>
      </c>
      <c r="J749" s="91" t="s">
        <v>90</v>
      </c>
      <c r="K749" s="92" t="s">
        <v>2530</v>
      </c>
      <c r="L749" s="93" t="str">
        <f>VLOOKUP(G749,'SKU 对应关系'!A:E,4,0)</f>
        <v>ANX-B</v>
      </c>
      <c r="M749" s="94" t="str">
        <f>_xlfn.IFNA(VLOOKUP(G749,'SKU 对应关系'!A:B,2,0),"")</f>
        <v>ANX-B 便携式扩香仪 黑色</v>
      </c>
      <c r="N749" s="95" t="str">
        <f>_xlfn.IFNA(VLOOKUP(G749,'SKU 对应关系'!$A:$D,3,0),"")</f>
        <v>ANX</v>
      </c>
      <c r="O749" s="96">
        <v>2</v>
      </c>
      <c r="P749" s="580">
        <v>26</v>
      </c>
      <c r="Q749" s="96" t="s">
        <v>16</v>
      </c>
      <c r="R749" s="91">
        <v>7</v>
      </c>
      <c r="S749" s="106">
        <v>200</v>
      </c>
      <c r="T749" s="98">
        <v>57.142857142857146</v>
      </c>
      <c r="U749" s="99">
        <f t="shared" si="89"/>
        <v>239.14285714285714</v>
      </c>
      <c r="V749" s="100">
        <f t="shared" si="90"/>
        <v>3.9857142857142858</v>
      </c>
      <c r="W749" s="101">
        <f t="shared" si="91"/>
        <v>0.59488272921108742</v>
      </c>
      <c r="X749" s="95"/>
      <c r="Y749" s="95"/>
      <c r="Z749" s="102"/>
      <c r="AA749" s="103">
        <v>46185</v>
      </c>
      <c r="AB749" s="103">
        <v>46219</v>
      </c>
      <c r="AC749" s="103"/>
      <c r="AD749" s="102"/>
      <c r="AE749" s="102"/>
      <c r="AF749" s="103"/>
      <c r="AG749" s="579"/>
      <c r="AH749" s="103"/>
      <c r="AI749" s="96"/>
      <c r="AJ749" s="96"/>
      <c r="AK749" s="96"/>
      <c r="AL749" s="92"/>
      <c r="AM749" s="91"/>
      <c r="AN749" s="91"/>
      <c r="AO749" s="96"/>
      <c r="AP749" s="105"/>
      <c r="AQ749" s="105"/>
      <c r="AR749" s="105"/>
      <c r="AS749" s="105"/>
    </row>
    <row r="750" spans="1:45" ht="12" customHeight="1" x14ac:dyDescent="0.25">
      <c r="A750" s="90">
        <f t="shared" si="92"/>
        <v>749</v>
      </c>
      <c r="B750" s="91"/>
      <c r="C750" s="91" t="s">
        <v>4756</v>
      </c>
      <c r="D750" s="92" t="s">
        <v>4757</v>
      </c>
      <c r="E750" s="91" t="s">
        <v>4703</v>
      </c>
      <c r="F750" s="91" t="s">
        <v>87</v>
      </c>
      <c r="G750" s="56" t="s">
        <v>213</v>
      </c>
      <c r="H750" s="91">
        <v>30</v>
      </c>
      <c r="I750" s="91" t="s">
        <v>89</v>
      </c>
      <c r="J750" s="91" t="s">
        <v>90</v>
      </c>
      <c r="K750" s="92" t="s">
        <v>2530</v>
      </c>
      <c r="L750" s="93" t="str">
        <f>VLOOKUP(G750,'SKU 对应关系'!A:E,4,0)</f>
        <v>ANX-DT</v>
      </c>
      <c r="M750" s="94" t="str">
        <f>_xlfn.IFNA(VLOOKUP(G750,'SKU 对应关系'!A:B,2,0),"")</f>
        <v>ANX-DT 便携式扩香仪 沙漠钛色</v>
      </c>
      <c r="N750" s="95" t="str">
        <f>_xlfn.IFNA(VLOOKUP(G750,'SKU 对应关系'!$A:$D,3,0),"")</f>
        <v>ANX</v>
      </c>
      <c r="O750" s="96">
        <v>1</v>
      </c>
      <c r="P750" s="580">
        <v>13</v>
      </c>
      <c r="Q750" s="96" t="s">
        <v>16</v>
      </c>
      <c r="R750" s="91">
        <v>7</v>
      </c>
      <c r="S750" s="95"/>
      <c r="T750" s="98">
        <v>28.571428571428573</v>
      </c>
      <c r="U750" s="99">
        <f t="shared" si="89"/>
        <v>119.57142857142857</v>
      </c>
      <c r="V750" s="100">
        <f t="shared" si="90"/>
        <v>3.9857142857142858</v>
      </c>
      <c r="W750" s="101">
        <f t="shared" si="91"/>
        <v>0.59488272921108742</v>
      </c>
      <c r="X750" s="95"/>
      <c r="Y750" s="95"/>
      <c r="Z750" s="102"/>
      <c r="AA750" s="103">
        <v>46185</v>
      </c>
      <c r="AB750" s="103">
        <v>46219</v>
      </c>
      <c r="AC750" s="103"/>
      <c r="AD750" s="102"/>
      <c r="AE750" s="102"/>
      <c r="AF750" s="103"/>
      <c r="AG750" s="579"/>
      <c r="AH750" s="103"/>
      <c r="AI750" s="96"/>
      <c r="AJ750" s="96"/>
      <c r="AK750" s="96"/>
      <c r="AL750" s="92"/>
      <c r="AM750" s="91"/>
      <c r="AN750" s="91"/>
      <c r="AO750" s="96"/>
      <c r="AP750" s="105"/>
      <c r="AQ750" s="105"/>
      <c r="AR750" s="105"/>
      <c r="AS750" s="105"/>
    </row>
    <row r="751" spans="1:45" ht="12" customHeight="1" x14ac:dyDescent="0.25">
      <c r="A751" s="90">
        <f t="shared" si="92"/>
        <v>750</v>
      </c>
      <c r="B751" s="91"/>
      <c r="C751" s="91" t="s">
        <v>4758</v>
      </c>
      <c r="D751" s="92" t="s">
        <v>4759</v>
      </c>
      <c r="E751" s="91" t="s">
        <v>115</v>
      </c>
      <c r="F751" s="91" t="s">
        <v>0</v>
      </c>
      <c r="G751" s="56" t="s">
        <v>3117</v>
      </c>
      <c r="H751" s="91">
        <v>30</v>
      </c>
      <c r="I751" s="91" t="s">
        <v>207</v>
      </c>
      <c r="J751" s="91" t="s">
        <v>8</v>
      </c>
      <c r="K751" s="92" t="s">
        <v>32</v>
      </c>
      <c r="L751" s="93" t="str">
        <f>VLOOKUP(G751,'SKU 对应关系'!A:E,4,0)</f>
        <v>ANXKIT-T_4X10K04_TZ</v>
      </c>
      <c r="M751" s="94" t="str">
        <f>_xlfn.IFNA(VLOOKUP(G751,'SKU 对应关系'!A:B,2,0),"")</f>
        <v>ANXKIT-T_4X10K04_TZ ANX钛色机器+4x10mL酒店（天竺）香氛油 机油套装</v>
      </c>
      <c r="N751" s="95" t="str">
        <f>_xlfn.IFNA(VLOOKUP(G751,'SKU 对应关系'!$A:$D,3,0),"")</f>
        <v>ANX</v>
      </c>
      <c r="O751" s="96">
        <v>1</v>
      </c>
      <c r="P751" s="580">
        <v>14.3125</v>
      </c>
      <c r="Q751" s="96" t="s">
        <v>16</v>
      </c>
      <c r="R751" s="91">
        <v>5.8</v>
      </c>
      <c r="S751" s="95">
        <v>200</v>
      </c>
      <c r="T751" s="98">
        <v>3.4482758620689653</v>
      </c>
      <c r="U751" s="99">
        <f t="shared" si="89"/>
        <v>86.460775862068971</v>
      </c>
      <c r="V751" s="100">
        <f t="shared" si="90"/>
        <v>2.8820258620689656</v>
      </c>
      <c r="W751" s="101">
        <f t="shared" si="91"/>
        <v>0.43015311374163667</v>
      </c>
      <c r="X751" s="95"/>
      <c r="Y751" s="95"/>
      <c r="Z751" s="102"/>
      <c r="AA751" s="103">
        <v>46186</v>
      </c>
      <c r="AB751" s="103">
        <v>46206</v>
      </c>
      <c r="AC751" s="103"/>
      <c r="AD751" s="102"/>
      <c r="AE751" s="102"/>
      <c r="AF751" s="103"/>
      <c r="AG751" s="579"/>
      <c r="AH751" s="103"/>
      <c r="AI751" s="96"/>
      <c r="AJ751" s="96"/>
      <c r="AK751" s="96"/>
      <c r="AL751" s="92"/>
      <c r="AM751" s="91"/>
      <c r="AN751" s="91"/>
      <c r="AO751" s="96"/>
      <c r="AP751" s="105"/>
      <c r="AQ751" s="105"/>
      <c r="AR751" s="105"/>
      <c r="AS751" s="105"/>
    </row>
    <row r="752" spans="1:45" ht="12" customHeight="1" x14ac:dyDescent="0.25">
      <c r="A752" s="90">
        <f t="shared" si="92"/>
        <v>751</v>
      </c>
      <c r="B752" s="91"/>
      <c r="C752" s="91" t="s">
        <v>4758</v>
      </c>
      <c r="D752" s="92" t="s">
        <v>4759</v>
      </c>
      <c r="E752" s="91" t="s">
        <v>115</v>
      </c>
      <c r="F752" s="91" t="s">
        <v>0</v>
      </c>
      <c r="G752" s="56" t="s">
        <v>1879</v>
      </c>
      <c r="H752" s="91">
        <v>80</v>
      </c>
      <c r="I752" s="91" t="s">
        <v>207</v>
      </c>
      <c r="J752" s="91" t="s">
        <v>8</v>
      </c>
      <c r="K752" s="92" t="s">
        <v>32</v>
      </c>
      <c r="L752" s="93" t="str">
        <f>VLOOKUP(G752,'SKU 对应关系'!A:E,4,0)</f>
        <v>ANZKIT-B_B_2X30K01</v>
      </c>
      <c r="M752" s="94" t="str">
        <f>_xlfn.IFNA(VLOOKUP(G752,'SKU 对应关系'!A:B,2,0),"")</f>
        <v>ANZKIT-B_B_2X30K01 ANZ黑色机器两个装+2X30毫升香氛油（天竺） 机油套装</v>
      </c>
      <c r="N752" s="95" t="str">
        <f>_xlfn.IFNA(VLOOKUP(G752,'SKU 对应关系'!$A:$D,3,0),"")</f>
        <v>ANZ</v>
      </c>
      <c r="O752" s="96">
        <v>4</v>
      </c>
      <c r="P752" s="580">
        <v>57.25</v>
      </c>
      <c r="Q752" s="96" t="s">
        <v>16</v>
      </c>
      <c r="R752" s="91">
        <v>5.8</v>
      </c>
      <c r="S752" s="106">
        <v>200</v>
      </c>
      <c r="T752" s="98">
        <v>13.793103448275861</v>
      </c>
      <c r="U752" s="99">
        <f t="shared" si="89"/>
        <v>345.84310344827588</v>
      </c>
      <c r="V752" s="100">
        <f t="shared" si="90"/>
        <v>4.3230387931034482</v>
      </c>
      <c r="W752" s="101">
        <f t="shared" si="91"/>
        <v>0.64522967061245495</v>
      </c>
      <c r="X752" s="95"/>
      <c r="Y752" s="95"/>
      <c r="Z752" s="102"/>
      <c r="AA752" s="103">
        <v>46186</v>
      </c>
      <c r="AB752" s="103">
        <v>46206</v>
      </c>
      <c r="AC752" s="103"/>
      <c r="AD752" s="102"/>
      <c r="AE752" s="102"/>
      <c r="AF752" s="103"/>
      <c r="AG752" s="579"/>
      <c r="AH752" s="103"/>
      <c r="AI752" s="96"/>
      <c r="AJ752" s="96"/>
      <c r="AK752" s="96"/>
      <c r="AL752" s="92"/>
      <c r="AM752" s="91"/>
      <c r="AN752" s="91"/>
      <c r="AO752" s="96"/>
      <c r="AP752" s="105"/>
      <c r="AQ752" s="105"/>
      <c r="AR752" s="105"/>
      <c r="AS752" s="105"/>
    </row>
    <row r="753" spans="1:45" ht="12" customHeight="1" x14ac:dyDescent="0.25">
      <c r="A753" s="90">
        <f t="shared" si="92"/>
        <v>752</v>
      </c>
      <c r="B753" s="91"/>
      <c r="C753" s="91" t="s">
        <v>4758</v>
      </c>
      <c r="D753" s="92" t="s">
        <v>4759</v>
      </c>
      <c r="E753" s="91" t="s">
        <v>115</v>
      </c>
      <c r="F753" s="91" t="s">
        <v>0</v>
      </c>
      <c r="G753" s="56" t="s">
        <v>872</v>
      </c>
      <c r="H753" s="91">
        <v>600</v>
      </c>
      <c r="I753" s="91" t="s">
        <v>207</v>
      </c>
      <c r="J753" s="91" t="s">
        <v>8</v>
      </c>
      <c r="K753" s="92" t="s">
        <v>32</v>
      </c>
      <c r="L753" s="93" t="str">
        <f>VLOOKUP(G753,'SKU 对应关系'!A:E,4,0)</f>
        <v>AN6KIT-B_RZ30ml</v>
      </c>
      <c r="M753" s="94" t="str">
        <f>_xlfn.IFNA(VLOOKUP(G753,'SKU 对应关系'!A:B,2,0),"")</f>
        <v>AN6KIT-B_RZ30ml AN6黑色机器+30mL丽思香氛油 机油套装</v>
      </c>
      <c r="N753" s="95" t="str">
        <f>_xlfn.IFNA(VLOOKUP(G753,'SKU 对应关系'!$A:$D,3,0),"")</f>
        <v>AN6</v>
      </c>
      <c r="O753" s="96">
        <v>20</v>
      </c>
      <c r="P753" s="580">
        <v>286.25</v>
      </c>
      <c r="Q753" s="96" t="s">
        <v>16</v>
      </c>
      <c r="R753" s="91">
        <v>5.8</v>
      </c>
      <c r="S753" s="95"/>
      <c r="T753" s="98">
        <v>68.965517241379317</v>
      </c>
      <c r="U753" s="99">
        <f t="shared" si="89"/>
        <v>1729.2155172413793</v>
      </c>
      <c r="V753" s="100">
        <f t="shared" si="90"/>
        <v>2.8820258620689656</v>
      </c>
      <c r="W753" s="101">
        <f t="shared" si="91"/>
        <v>0.43015311374163667</v>
      </c>
      <c r="X753" s="95"/>
      <c r="Y753" s="95"/>
      <c r="Z753" s="102"/>
      <c r="AA753" s="103">
        <v>46186</v>
      </c>
      <c r="AB753" s="103">
        <v>46206</v>
      </c>
      <c r="AC753" s="103"/>
      <c r="AD753" s="102"/>
      <c r="AE753" s="102"/>
      <c r="AF753" s="103"/>
      <c r="AG753" s="579"/>
      <c r="AH753" s="103"/>
      <c r="AI753" s="96"/>
      <c r="AJ753" s="96"/>
      <c r="AK753" s="96"/>
      <c r="AL753" s="92"/>
      <c r="AM753" s="91"/>
      <c r="AN753" s="91"/>
      <c r="AO753" s="96"/>
      <c r="AP753" s="105"/>
      <c r="AQ753" s="105"/>
      <c r="AR753" s="105"/>
      <c r="AS753" s="105"/>
    </row>
    <row r="754" spans="1:45" ht="12" customHeight="1" x14ac:dyDescent="0.25">
      <c r="A754" s="90">
        <f t="shared" si="92"/>
        <v>753</v>
      </c>
      <c r="B754" s="91"/>
      <c r="C754" s="91" t="s">
        <v>4758</v>
      </c>
      <c r="D754" s="92" t="s">
        <v>4759</v>
      </c>
      <c r="E754" s="91" t="s">
        <v>115</v>
      </c>
      <c r="F754" s="91" t="s">
        <v>0</v>
      </c>
      <c r="G754" s="56" t="s">
        <v>2886</v>
      </c>
      <c r="H754" s="91">
        <v>210</v>
      </c>
      <c r="I754" s="91" t="s">
        <v>207</v>
      </c>
      <c r="J754" s="91" t="s">
        <v>8</v>
      </c>
      <c r="K754" s="92" t="s">
        <v>32</v>
      </c>
      <c r="L754" s="93" t="str">
        <f>VLOOKUP(G754,'SKU 对应关系'!A:E,4,0)</f>
        <v>AN6KIT-WH_SJ30ML_TZ</v>
      </c>
      <c r="M754" s="94" t="str">
        <f>_xlfn.IFNA(VLOOKUP(G754,'SKU 对应关系'!A:B,2,0),"")</f>
        <v>AN6KIT-WH_SJ30ML_TZ AN6白色机器+30mL四季酒店香氛油（天竺） 机油套装</v>
      </c>
      <c r="N754" s="95" t="str">
        <f>_xlfn.IFNA(VLOOKUP(G754,'SKU 对应关系'!$A:$D,3,0),"")</f>
        <v>AN6</v>
      </c>
      <c r="O754" s="96">
        <v>7</v>
      </c>
      <c r="P754" s="580">
        <v>100.1875</v>
      </c>
      <c r="Q754" s="96" t="s">
        <v>16</v>
      </c>
      <c r="R754" s="91">
        <v>5.8</v>
      </c>
      <c r="S754" s="95"/>
      <c r="T754" s="98">
        <v>24.137931034482758</v>
      </c>
      <c r="U754" s="99">
        <f t="shared" si="89"/>
        <v>605.22543103448277</v>
      </c>
      <c r="V754" s="100">
        <f t="shared" si="90"/>
        <v>2.8820258620689656</v>
      </c>
      <c r="W754" s="101">
        <f t="shared" si="91"/>
        <v>0.43015311374163667</v>
      </c>
      <c r="X754" s="95"/>
      <c r="Y754" s="95"/>
      <c r="Z754" s="102"/>
      <c r="AA754" s="103">
        <v>46186</v>
      </c>
      <c r="AB754" s="103">
        <v>46206</v>
      </c>
      <c r="AC754" s="103"/>
      <c r="AD754" s="102"/>
      <c r="AE754" s="102"/>
      <c r="AF754" s="103"/>
      <c r="AG754" s="579"/>
      <c r="AH754" s="103"/>
      <c r="AI754" s="96"/>
      <c r="AJ754" s="96"/>
      <c r="AK754" s="96"/>
      <c r="AL754" s="92"/>
      <c r="AM754" s="91"/>
      <c r="AN754" s="91"/>
      <c r="AO754" s="96"/>
      <c r="AP754" s="105"/>
      <c r="AQ754" s="105"/>
      <c r="AR754" s="105"/>
      <c r="AS754" s="105"/>
    </row>
    <row r="755" spans="1:45" ht="12" customHeight="1" x14ac:dyDescent="0.25">
      <c r="A755" s="90">
        <f t="shared" si="92"/>
        <v>754</v>
      </c>
      <c r="B755" s="91"/>
      <c r="C755" s="91" t="s">
        <v>4760</v>
      </c>
      <c r="D755" s="92" t="s">
        <v>4761</v>
      </c>
      <c r="E755" s="91" t="s">
        <v>115</v>
      </c>
      <c r="F755" s="91" t="s">
        <v>0</v>
      </c>
      <c r="G755" s="56" t="s">
        <v>209</v>
      </c>
      <c r="H755" s="91">
        <v>80</v>
      </c>
      <c r="I755" s="91" t="s">
        <v>117</v>
      </c>
      <c r="J755" s="91" t="s">
        <v>8</v>
      </c>
      <c r="K755" s="92" t="s">
        <v>50</v>
      </c>
      <c r="L755" s="93" t="str">
        <f>VLOOKUP(G755,'SKU 对应关系'!A:E,4,0)</f>
        <v>ANX-2PC-BB</v>
      </c>
      <c r="M755" s="94" t="str">
        <f>_xlfn.IFNA(VLOOKUP(G755,'SKU 对应关系'!A:B,2,0),"")</f>
        <v>ANX-2PC-BB 便携式扩香仪套装 黑+黑</v>
      </c>
      <c r="N755" s="95" t="str">
        <f>_xlfn.IFNA(VLOOKUP(G755,'SKU 对应关系'!$A:$D,3,0),"")</f>
        <v>ANX</v>
      </c>
      <c r="O755" s="96">
        <v>5</v>
      </c>
      <c r="P755" s="580">
        <v>65.924999999999997</v>
      </c>
      <c r="Q755" s="96" t="s">
        <v>16</v>
      </c>
      <c r="R755" s="91">
        <v>5.3</v>
      </c>
      <c r="S755" s="95">
        <v>200</v>
      </c>
      <c r="T755" s="98">
        <v>14.925373134328359</v>
      </c>
      <c r="U755" s="99">
        <f t="shared" si="89"/>
        <v>364.32787313432834</v>
      </c>
      <c r="V755" s="100">
        <f t="shared" si="90"/>
        <v>4.5540984141791041</v>
      </c>
      <c r="W755" s="101">
        <f t="shared" si="91"/>
        <v>0.67971618122076183</v>
      </c>
      <c r="X755" s="95"/>
      <c r="Y755" s="95"/>
      <c r="Z755" s="102"/>
      <c r="AA755" s="103">
        <v>46185</v>
      </c>
      <c r="AB755" s="103"/>
      <c r="AC755" s="103"/>
      <c r="AD755" s="102"/>
      <c r="AE755" s="102"/>
      <c r="AF755" s="103"/>
      <c r="AG755" s="579"/>
      <c r="AH755" s="103"/>
      <c r="AI755" s="96"/>
      <c r="AJ755" s="96"/>
      <c r="AK755" s="96"/>
      <c r="AL755" s="92"/>
      <c r="AM755" s="91"/>
      <c r="AN755" s="91"/>
      <c r="AO755" s="96"/>
      <c r="AP755" s="105"/>
      <c r="AQ755" s="105"/>
      <c r="AR755" s="105"/>
      <c r="AS755" s="105"/>
    </row>
    <row r="756" spans="1:45" ht="12" customHeight="1" x14ac:dyDescent="0.25">
      <c r="A756" s="90">
        <f t="shared" si="92"/>
        <v>755</v>
      </c>
      <c r="B756" s="91"/>
      <c r="C756" s="91" t="s">
        <v>4760</v>
      </c>
      <c r="D756" s="92" t="s">
        <v>4761</v>
      </c>
      <c r="E756" s="91" t="s">
        <v>115</v>
      </c>
      <c r="F756" s="91" t="s">
        <v>0</v>
      </c>
      <c r="G756" s="56" t="s">
        <v>698</v>
      </c>
      <c r="H756" s="91">
        <v>32</v>
      </c>
      <c r="I756" s="91" t="s">
        <v>117</v>
      </c>
      <c r="J756" s="91" t="s">
        <v>8</v>
      </c>
      <c r="K756" s="92" t="s">
        <v>50</v>
      </c>
      <c r="L756" s="93" t="str">
        <f>VLOOKUP(G756,'SKU 对应关系'!A:E,4,0)</f>
        <v>ANX-2PC-BGD</v>
      </c>
      <c r="M756" s="94" t="str">
        <f>_xlfn.IFNA(VLOOKUP(G756,'SKU 对应关系'!A:B,2,0),"")</f>
        <v>ANX-2PC-BGD 便携式扩香仪套装 黑+金</v>
      </c>
      <c r="N756" s="95" t="str">
        <f>_xlfn.IFNA(VLOOKUP(G756,'SKU 对应关系'!$A:$D,3,0),"")</f>
        <v>ANX</v>
      </c>
      <c r="O756" s="96">
        <v>2</v>
      </c>
      <c r="P756" s="580">
        <v>26.37</v>
      </c>
      <c r="Q756" s="96" t="s">
        <v>16</v>
      </c>
      <c r="R756" s="91">
        <v>5.3</v>
      </c>
      <c r="S756" s="106">
        <v>200</v>
      </c>
      <c r="T756" s="98">
        <v>5.9701492537313436</v>
      </c>
      <c r="U756" s="99">
        <f t="shared" si="89"/>
        <v>145.73114925373133</v>
      </c>
      <c r="V756" s="100">
        <f t="shared" si="90"/>
        <v>4.5540984141791041</v>
      </c>
      <c r="W756" s="101">
        <f t="shared" si="91"/>
        <v>0.67971618122076183</v>
      </c>
      <c r="X756" s="95"/>
      <c r="Y756" s="95"/>
      <c r="Z756" s="102"/>
      <c r="AA756" s="103">
        <v>46185</v>
      </c>
      <c r="AB756" s="103"/>
      <c r="AC756" s="103"/>
      <c r="AD756" s="102"/>
      <c r="AE756" s="102"/>
      <c r="AF756" s="103"/>
      <c r="AG756" s="579"/>
      <c r="AH756" s="103"/>
      <c r="AI756" s="96"/>
      <c r="AJ756" s="96"/>
      <c r="AK756" s="96"/>
      <c r="AL756" s="92"/>
      <c r="AM756" s="91"/>
      <c r="AN756" s="91"/>
      <c r="AO756" s="96"/>
      <c r="AP756" s="105"/>
      <c r="AQ756" s="105"/>
      <c r="AR756" s="105"/>
      <c r="AS756" s="105"/>
    </row>
    <row r="757" spans="1:45" ht="12" customHeight="1" x14ac:dyDescent="0.25">
      <c r="A757" s="90">
        <f t="shared" si="92"/>
        <v>756</v>
      </c>
      <c r="B757" s="91"/>
      <c r="C757" s="91" t="s">
        <v>4760</v>
      </c>
      <c r="D757" s="92" t="s">
        <v>4761</v>
      </c>
      <c r="E757" s="91" t="s">
        <v>115</v>
      </c>
      <c r="F757" s="91" t="s">
        <v>0</v>
      </c>
      <c r="G757" s="56" t="s">
        <v>2195</v>
      </c>
      <c r="H757" s="91">
        <v>480</v>
      </c>
      <c r="I757" s="91" t="s">
        <v>117</v>
      </c>
      <c r="J757" s="91" t="s">
        <v>8</v>
      </c>
      <c r="K757" s="92" t="s">
        <v>50</v>
      </c>
      <c r="L757" s="93" t="str">
        <f>VLOOKUP(G757,'SKU 对应关系'!A:E,4,0)</f>
        <v>ANZ-B</v>
      </c>
      <c r="M757" s="94" t="str">
        <f>_xlfn.IFNA(VLOOKUP(G757,'SKU 对应关系'!A:B,2,0),"")</f>
        <v>ANZ-B 便携式扩香仪 黑色</v>
      </c>
      <c r="N757" s="95" t="str">
        <f>_xlfn.IFNA(VLOOKUP(G757,'SKU 对应关系'!$A:$D,3,0),"")</f>
        <v>ANZ</v>
      </c>
      <c r="O757" s="96">
        <v>12</v>
      </c>
      <c r="P757" s="580">
        <v>158.22</v>
      </c>
      <c r="Q757" s="96" t="s">
        <v>16</v>
      </c>
      <c r="R757" s="91">
        <v>5.3</v>
      </c>
      <c r="S757" s="95"/>
      <c r="T757" s="98">
        <v>35.820895522388057</v>
      </c>
      <c r="U757" s="99">
        <f t="shared" si="89"/>
        <v>874.38689552238793</v>
      </c>
      <c r="V757" s="100">
        <f t="shared" si="90"/>
        <v>1.8216393656716414</v>
      </c>
      <c r="W757" s="101">
        <f t="shared" si="91"/>
        <v>0.27188647248830466</v>
      </c>
      <c r="X757" s="95"/>
      <c r="Y757" s="95"/>
      <c r="Z757" s="102"/>
      <c r="AA757" s="103">
        <v>46185</v>
      </c>
      <c r="AB757" s="103"/>
      <c r="AC757" s="103"/>
      <c r="AD757" s="102"/>
      <c r="AE757" s="102"/>
      <c r="AF757" s="103"/>
      <c r="AG757" s="579"/>
      <c r="AH757" s="103"/>
      <c r="AI757" s="96"/>
      <c r="AJ757" s="96"/>
      <c r="AK757" s="96"/>
      <c r="AL757" s="92"/>
      <c r="AM757" s="91"/>
      <c r="AN757" s="91"/>
      <c r="AO757" s="96"/>
      <c r="AP757" s="105"/>
      <c r="AQ757" s="105"/>
      <c r="AR757" s="105"/>
      <c r="AS757" s="105"/>
    </row>
    <row r="758" spans="1:45" ht="12" customHeight="1" x14ac:dyDescent="0.25">
      <c r="A758" s="90">
        <f t="shared" si="92"/>
        <v>757</v>
      </c>
      <c r="B758" s="91"/>
      <c r="C758" s="91" t="s">
        <v>4760</v>
      </c>
      <c r="D758" s="92" t="s">
        <v>4761</v>
      </c>
      <c r="E758" s="91" t="s">
        <v>115</v>
      </c>
      <c r="F758" s="91" t="s">
        <v>0</v>
      </c>
      <c r="G758" s="56" t="s">
        <v>2197</v>
      </c>
      <c r="H758" s="91">
        <v>280</v>
      </c>
      <c r="I758" s="91" t="s">
        <v>117</v>
      </c>
      <c r="J758" s="91" t="s">
        <v>8</v>
      </c>
      <c r="K758" s="92" t="s">
        <v>50</v>
      </c>
      <c r="L758" s="93" t="str">
        <f>VLOOKUP(G758,'SKU 对应关系'!A:E,4,0)</f>
        <v>ANZ-WH</v>
      </c>
      <c r="M758" s="94" t="str">
        <f>_xlfn.IFNA(VLOOKUP(G758,'SKU 对应关系'!A:B,2,0),"")</f>
        <v>ANZ-WH 便携式扩香仪 白色</v>
      </c>
      <c r="N758" s="95" t="str">
        <f>_xlfn.IFNA(VLOOKUP(G758,'SKU 对应关系'!$A:$D,3,0),"")</f>
        <v>ANZ</v>
      </c>
      <c r="O758" s="96">
        <v>7</v>
      </c>
      <c r="P758" s="580">
        <v>92.295000000000002</v>
      </c>
      <c r="Q758" s="96" t="s">
        <v>16</v>
      </c>
      <c r="R758" s="91">
        <v>5.3</v>
      </c>
      <c r="S758" s="95"/>
      <c r="T758" s="98">
        <v>20.895522388059703</v>
      </c>
      <c r="U758" s="99">
        <f t="shared" si="89"/>
        <v>510.0590223880597</v>
      </c>
      <c r="V758" s="100">
        <f t="shared" si="90"/>
        <v>1.8216393656716419</v>
      </c>
      <c r="W758" s="101">
        <f t="shared" si="91"/>
        <v>0.27188647248830478</v>
      </c>
      <c r="X758" s="95"/>
      <c r="Y758" s="95"/>
      <c r="Z758" s="102"/>
      <c r="AA758" s="103">
        <v>46185</v>
      </c>
      <c r="AB758" s="103"/>
      <c r="AC758" s="103"/>
      <c r="AD758" s="102"/>
      <c r="AE758" s="102"/>
      <c r="AF758" s="103"/>
      <c r="AG758" s="579"/>
      <c r="AH758" s="103"/>
      <c r="AI758" s="96"/>
      <c r="AJ758" s="96"/>
      <c r="AK758" s="96"/>
      <c r="AL758" s="92"/>
      <c r="AM758" s="91"/>
      <c r="AN758" s="91"/>
      <c r="AO758" s="96"/>
      <c r="AP758" s="105"/>
      <c r="AQ758" s="105"/>
      <c r="AR758" s="105"/>
      <c r="AS758" s="105"/>
    </row>
    <row r="759" spans="1:45" ht="12" customHeight="1" x14ac:dyDescent="0.25">
      <c r="A759" s="90">
        <f t="shared" si="92"/>
        <v>758</v>
      </c>
      <c r="B759" s="91"/>
      <c r="C759" s="91" t="s">
        <v>4760</v>
      </c>
      <c r="D759" s="92" t="s">
        <v>4762</v>
      </c>
      <c r="E759" s="91" t="s">
        <v>1037</v>
      </c>
      <c r="F759" s="91" t="s">
        <v>0</v>
      </c>
      <c r="G759" s="56" t="s">
        <v>971</v>
      </c>
      <c r="H759" s="91">
        <v>30</v>
      </c>
      <c r="I759" s="91" t="s">
        <v>117</v>
      </c>
      <c r="J759" s="91" t="s">
        <v>8</v>
      </c>
      <c r="K759" s="92" t="s">
        <v>50</v>
      </c>
      <c r="L759" s="93" t="str">
        <f>VLOOKUP(G759,'SKU 对应关系'!A:E,4,0)</f>
        <v>AND-SILV</v>
      </c>
      <c r="M759" s="94" t="str">
        <f>_xlfn.IFNA(VLOOKUP(G759,'SKU 对应关系'!A:B,2,0),"")</f>
        <v>AND-SILV 便携式双喷扩香仪 银色</v>
      </c>
      <c r="N759" s="95" t="str">
        <f>_xlfn.IFNA(VLOOKUP(G759,'SKU 对应关系'!$A:$D,3,0),"")</f>
        <v>AND</v>
      </c>
      <c r="O759" s="96">
        <v>1</v>
      </c>
      <c r="P759" s="580">
        <v>13.19</v>
      </c>
      <c r="Q759" s="96" t="s">
        <v>16</v>
      </c>
      <c r="R759" s="91">
        <v>5.3</v>
      </c>
      <c r="S759" s="95"/>
      <c r="T759" s="98">
        <v>2.9850746268656718</v>
      </c>
      <c r="U759" s="99">
        <f t="shared" si="89"/>
        <v>72.892074626865664</v>
      </c>
      <c r="V759" s="100">
        <f t="shared" si="90"/>
        <v>2.4297358208955222</v>
      </c>
      <c r="W759" s="101">
        <f t="shared" si="91"/>
        <v>0.36264713744709287</v>
      </c>
      <c r="X759" s="95"/>
      <c r="Y759" s="95"/>
      <c r="Z759" s="102"/>
      <c r="AA759" s="103">
        <v>46185</v>
      </c>
      <c r="AB759" s="103"/>
      <c r="AC759" s="103"/>
      <c r="AD759" s="102"/>
      <c r="AE759" s="102"/>
      <c r="AF759" s="103"/>
      <c r="AG759" s="579"/>
      <c r="AH759" s="103"/>
      <c r="AI759" s="96"/>
      <c r="AJ759" s="96"/>
      <c r="AK759" s="96"/>
      <c r="AL759" s="92"/>
      <c r="AM759" s="91"/>
      <c r="AN759" s="91"/>
      <c r="AO759" s="96"/>
      <c r="AP759" s="105"/>
      <c r="AQ759" s="105"/>
      <c r="AR759" s="105"/>
      <c r="AS759" s="105"/>
    </row>
    <row r="760" spans="1:45" ht="12" customHeight="1" x14ac:dyDescent="0.25">
      <c r="A760" s="90">
        <f t="shared" si="92"/>
        <v>759</v>
      </c>
      <c r="B760" s="91"/>
      <c r="C760" s="91" t="s">
        <v>4763</v>
      </c>
      <c r="D760" s="92" t="s">
        <v>4764</v>
      </c>
      <c r="E760" s="91" t="s">
        <v>4202</v>
      </c>
      <c r="F760" s="91" t="s">
        <v>0</v>
      </c>
      <c r="G760" s="56" t="s">
        <v>2888</v>
      </c>
      <c r="H760" s="91">
        <v>510</v>
      </c>
      <c r="I760" s="91" t="s">
        <v>207</v>
      </c>
      <c r="J760" s="91" t="s">
        <v>8</v>
      </c>
      <c r="K760" s="92" t="s">
        <v>50</v>
      </c>
      <c r="L760" s="93" t="str">
        <f>VLOOKUP(G760,'SKU 对应关系'!A:E,4,0)</f>
        <v>ADXKIT-B_4X10K04_TZ</v>
      </c>
      <c r="M760" s="94" t="str">
        <f>_xlfn.IFNA(VLOOKUP(G760,'SKU 对应关系'!A:B,2,0),"")</f>
        <v>ADXKIT-B_4X10K04_TZ ADX黑色机器+4x10mL酒店（天竺）香氛油 机油套装</v>
      </c>
      <c r="N760" s="95" t="str">
        <f>_xlfn.IFNA(VLOOKUP(G760,'SKU 对应关系'!$A:$D,3,0),"")</f>
        <v>ADX</v>
      </c>
      <c r="O760" s="96">
        <v>17</v>
      </c>
      <c r="P760" s="580">
        <v>275.12883435582819</v>
      </c>
      <c r="Q760" s="96" t="s">
        <v>16</v>
      </c>
      <c r="R760" s="91">
        <v>5.5</v>
      </c>
      <c r="S760" s="95">
        <v>200</v>
      </c>
      <c r="T760" s="98">
        <v>16.037735849056602</v>
      </c>
      <c r="U760" s="99">
        <f t="shared" si="89"/>
        <v>1529.2463248061117</v>
      </c>
      <c r="V760" s="100">
        <f t="shared" si="90"/>
        <v>2.9985222055021796</v>
      </c>
      <c r="W760" s="101">
        <f t="shared" si="91"/>
        <v>0.44754062768689246</v>
      </c>
      <c r="X760" s="95"/>
      <c r="Y760" s="95"/>
      <c r="Z760" s="102"/>
      <c r="AA760" s="103">
        <v>46186</v>
      </c>
      <c r="AB760" s="103">
        <v>46176</v>
      </c>
      <c r="AC760" s="103"/>
      <c r="AD760" s="102"/>
      <c r="AE760" s="102"/>
      <c r="AF760" s="103"/>
      <c r="AG760" s="579"/>
      <c r="AH760" s="103"/>
      <c r="AI760" s="96"/>
      <c r="AJ760" s="96"/>
      <c r="AK760" s="96"/>
      <c r="AL760" s="92"/>
      <c r="AM760" s="91"/>
      <c r="AN760" s="91"/>
      <c r="AO760" s="96"/>
      <c r="AP760" s="105"/>
      <c r="AQ760" s="105"/>
      <c r="AR760" s="105"/>
      <c r="AS760" s="105"/>
    </row>
    <row r="761" spans="1:45" ht="12" customHeight="1" x14ac:dyDescent="0.25">
      <c r="A761" s="90">
        <f t="shared" si="92"/>
        <v>760</v>
      </c>
      <c r="B761" s="91"/>
      <c r="C761" s="91" t="s">
        <v>4763</v>
      </c>
      <c r="D761" s="92" t="s">
        <v>4764</v>
      </c>
      <c r="E761" s="91" t="s">
        <v>4202</v>
      </c>
      <c r="F761" s="91" t="s">
        <v>0</v>
      </c>
      <c r="G761" s="56" t="s">
        <v>2887</v>
      </c>
      <c r="H761" s="91">
        <v>300</v>
      </c>
      <c r="I761" s="91" t="s">
        <v>207</v>
      </c>
      <c r="J761" s="91" t="s">
        <v>8</v>
      </c>
      <c r="K761" s="92" t="s">
        <v>50</v>
      </c>
      <c r="L761" s="93" t="str">
        <f>VLOOKUP(G761,'SKU 对应关系'!A:E,4,0)</f>
        <v>ADXKIT-DT_4X10K04_TZ</v>
      </c>
      <c r="M761" s="94" t="str">
        <f>_xlfn.IFNA(VLOOKUP(G761,'SKU 对应关系'!A:B,2,0),"")</f>
        <v>ADXKIT-DT_4X10K04_TZ AD钛色机器+4x10mL酒店（天竺）香氛油 机油套装</v>
      </c>
      <c r="N761" s="95" t="str">
        <f>_xlfn.IFNA(VLOOKUP(G761,'SKU 对应关系'!$A:$D,3,0),"")</f>
        <v>ADX</v>
      </c>
      <c r="O761" s="96">
        <v>10</v>
      </c>
      <c r="P761" s="580">
        <v>161.84049079754601</v>
      </c>
      <c r="Q761" s="96" t="s">
        <v>16</v>
      </c>
      <c r="R761" s="91">
        <v>5.5</v>
      </c>
      <c r="S761" s="106">
        <v>200</v>
      </c>
      <c r="T761" s="98">
        <v>9.433962264150944</v>
      </c>
      <c r="U761" s="99">
        <f t="shared" si="89"/>
        <v>899.55666165065406</v>
      </c>
      <c r="V761" s="100">
        <f t="shared" si="90"/>
        <v>2.9985222055021801</v>
      </c>
      <c r="W761" s="101">
        <f t="shared" si="91"/>
        <v>0.44754062768689251</v>
      </c>
      <c r="X761" s="95"/>
      <c r="Y761" s="95"/>
      <c r="Z761" s="102"/>
      <c r="AA761" s="103">
        <v>46186</v>
      </c>
      <c r="AB761" s="103">
        <v>46176</v>
      </c>
      <c r="AC761" s="103"/>
      <c r="AD761" s="102"/>
      <c r="AE761" s="102"/>
      <c r="AF761" s="103"/>
      <c r="AG761" s="579"/>
      <c r="AH761" s="103"/>
      <c r="AI761" s="96"/>
      <c r="AJ761" s="96"/>
      <c r="AK761" s="96"/>
      <c r="AL761" s="92"/>
      <c r="AM761" s="91"/>
      <c r="AN761" s="91"/>
      <c r="AO761" s="96"/>
      <c r="AP761" s="105"/>
      <c r="AQ761" s="105"/>
      <c r="AR761" s="105"/>
      <c r="AS761" s="105"/>
    </row>
    <row r="762" spans="1:45" ht="12" customHeight="1" x14ac:dyDescent="0.25">
      <c r="A762" s="90">
        <f t="shared" si="92"/>
        <v>761</v>
      </c>
      <c r="B762" s="91"/>
      <c r="C762" s="91" t="s">
        <v>4763</v>
      </c>
      <c r="D762" s="92" t="s">
        <v>4764</v>
      </c>
      <c r="E762" s="91" t="s">
        <v>4202</v>
      </c>
      <c r="F762" s="91" t="s">
        <v>0</v>
      </c>
      <c r="G762" s="56" t="s">
        <v>2593</v>
      </c>
      <c r="H762" s="91">
        <v>300</v>
      </c>
      <c r="I762" s="91" t="s">
        <v>207</v>
      </c>
      <c r="J762" s="91" t="s">
        <v>8</v>
      </c>
      <c r="K762" s="92" t="s">
        <v>50</v>
      </c>
      <c r="L762" s="93" t="str">
        <f>VLOOKUP(G762,'SKU 对应关系'!A:E,4,0)</f>
        <v>AN8KIT-B_2X20K03</v>
      </c>
      <c r="M762" s="94" t="str">
        <f>_xlfn.IFNA(VLOOKUP(G762,'SKU 对应关系'!A:B,2,0),"")</f>
        <v>AN8KIT-B_2X20K03 AN8黑色机器+2X20mL（天竺）酒店香氛油 机油套装</v>
      </c>
      <c r="N762" s="95" t="str">
        <f>_xlfn.IFNA(VLOOKUP(G762,'SKU 对应关系'!$A:$D,3,0),"")</f>
        <v>AN8</v>
      </c>
      <c r="O762" s="96">
        <v>10</v>
      </c>
      <c r="P762" s="580">
        <v>161.84049079754601</v>
      </c>
      <c r="Q762" s="96" t="s">
        <v>16</v>
      </c>
      <c r="R762" s="91">
        <v>5.5</v>
      </c>
      <c r="S762" s="95"/>
      <c r="T762" s="98">
        <v>9.433962264150944</v>
      </c>
      <c r="U762" s="99">
        <f t="shared" si="89"/>
        <v>899.55666165065406</v>
      </c>
      <c r="V762" s="100">
        <f t="shared" si="90"/>
        <v>2.9985222055021801</v>
      </c>
      <c r="W762" s="101">
        <f t="shared" si="91"/>
        <v>0.44754062768689251</v>
      </c>
      <c r="X762" s="95"/>
      <c r="Y762" s="95"/>
      <c r="Z762" s="102"/>
      <c r="AA762" s="103">
        <v>46186</v>
      </c>
      <c r="AB762" s="103">
        <v>46176</v>
      </c>
      <c r="AC762" s="103"/>
      <c r="AD762" s="102"/>
      <c r="AE762" s="102"/>
      <c r="AF762" s="103"/>
      <c r="AG762" s="579"/>
      <c r="AH762" s="103"/>
      <c r="AI762" s="96"/>
      <c r="AJ762" s="96"/>
      <c r="AK762" s="96"/>
      <c r="AL762" s="92"/>
      <c r="AM762" s="91"/>
      <c r="AN762" s="91"/>
      <c r="AO762" s="96"/>
      <c r="AP762" s="105"/>
      <c r="AQ762" s="105"/>
      <c r="AR762" s="105"/>
      <c r="AS762" s="105"/>
    </row>
    <row r="763" spans="1:45" ht="12" customHeight="1" x14ac:dyDescent="0.25">
      <c r="A763" s="90">
        <f t="shared" si="92"/>
        <v>762</v>
      </c>
      <c r="B763" s="91"/>
      <c r="C763" s="91" t="s">
        <v>4763</v>
      </c>
      <c r="D763" s="92" t="s">
        <v>4764</v>
      </c>
      <c r="E763" s="91" t="s">
        <v>4202</v>
      </c>
      <c r="F763" s="91" t="s">
        <v>0</v>
      </c>
      <c r="G763" s="56" t="s">
        <v>4291</v>
      </c>
      <c r="H763" s="91">
        <v>2970</v>
      </c>
      <c r="I763" s="91" t="s">
        <v>207</v>
      </c>
      <c r="J763" s="91" t="s">
        <v>8</v>
      </c>
      <c r="K763" s="92" t="s">
        <v>50</v>
      </c>
      <c r="L763" s="93" t="str">
        <f>VLOOKUP(G763,'SKU 对应关系'!A:E,4,0)</f>
        <v>AN8KIT-B_4X10K05_TZ</v>
      </c>
      <c r="M763" s="94" t="str">
        <f>_xlfn.IFNA(VLOOKUP(G763,'SKU 对应关系'!A:B,2,0),"")</f>
        <v>AN8KIT-B_4X10K05_TZ AN8黑色机器+4x10mL（天竺）酒店香氛油 机油套装</v>
      </c>
      <c r="N763" s="95" t="str">
        <f>_xlfn.IFNA(VLOOKUP(G763,'SKU 对应关系'!$A:$D,3,0),"")</f>
        <v>AN8</v>
      </c>
      <c r="O763" s="96">
        <v>99</v>
      </c>
      <c r="P763" s="580">
        <v>1602.2208588957055</v>
      </c>
      <c r="Q763" s="96" t="s">
        <v>16</v>
      </c>
      <c r="R763" s="91">
        <v>5.5</v>
      </c>
      <c r="S763" s="95"/>
      <c r="T763" s="98">
        <v>93.396226415094333</v>
      </c>
      <c r="U763" s="99">
        <f t="shared" si="89"/>
        <v>8905.6109503414737</v>
      </c>
      <c r="V763" s="100">
        <f t="shared" si="90"/>
        <v>2.9985222055021796</v>
      </c>
      <c r="W763" s="101">
        <f t="shared" si="91"/>
        <v>0.44754062768689246</v>
      </c>
      <c r="X763" s="95"/>
      <c r="Y763" s="95"/>
      <c r="Z763" s="102"/>
      <c r="AA763" s="103">
        <v>46186</v>
      </c>
      <c r="AB763" s="103">
        <v>46176</v>
      </c>
      <c r="AC763" s="103"/>
      <c r="AD763" s="102"/>
      <c r="AE763" s="102"/>
      <c r="AF763" s="103"/>
      <c r="AG763" s="579"/>
      <c r="AH763" s="103"/>
      <c r="AI763" s="96"/>
      <c r="AJ763" s="96"/>
      <c r="AK763" s="96"/>
      <c r="AL763" s="92"/>
      <c r="AM763" s="91"/>
      <c r="AN763" s="91"/>
      <c r="AO763" s="96"/>
      <c r="AP763" s="105"/>
      <c r="AQ763" s="105"/>
      <c r="AR763" s="105"/>
      <c r="AS763" s="105"/>
    </row>
    <row r="764" spans="1:45" ht="12" customHeight="1" x14ac:dyDescent="0.25">
      <c r="A764" s="90">
        <f t="shared" si="92"/>
        <v>763</v>
      </c>
      <c r="B764" s="91"/>
      <c r="C764" s="91" t="s">
        <v>4763</v>
      </c>
      <c r="D764" s="92" t="s">
        <v>4764</v>
      </c>
      <c r="E764" s="91" t="s">
        <v>4202</v>
      </c>
      <c r="F764" s="91" t="s">
        <v>0</v>
      </c>
      <c r="G764" s="56" t="s">
        <v>1217</v>
      </c>
      <c r="H764" s="91">
        <v>100</v>
      </c>
      <c r="I764" s="91" t="s">
        <v>207</v>
      </c>
      <c r="J764" s="91" t="s">
        <v>8</v>
      </c>
      <c r="K764" s="92" t="s">
        <v>50</v>
      </c>
      <c r="L764" s="93" t="str">
        <f>VLOOKUP(G764,'SKU 对应关系'!A:E,4,0)</f>
        <v>AN8KIT-B_B</v>
      </c>
      <c r="M764" s="94" t="str">
        <f>_xlfn.IFNA(VLOOKUP(G764,'SKU 对应关系'!A:B,2,0),"")</f>
        <v>AN8KIT-B_B 便携式扩香仪套装 黑+黑</v>
      </c>
      <c r="N764" s="95" t="str">
        <f>_xlfn.IFNA(VLOOKUP(G764,'SKU 对应关系'!$A:$D,3,0),"")</f>
        <v>AN8</v>
      </c>
      <c r="O764" s="96">
        <v>5</v>
      </c>
      <c r="P764" s="580">
        <v>80.920245398773005</v>
      </c>
      <c r="Q764" s="96" t="s">
        <v>16</v>
      </c>
      <c r="R764" s="91">
        <v>5.5</v>
      </c>
      <c r="S764" s="95"/>
      <c r="T764" s="98">
        <v>4.716981132075472</v>
      </c>
      <c r="U764" s="99">
        <f t="shared" si="89"/>
        <v>449.77833082532703</v>
      </c>
      <c r="V764" s="100">
        <f t="shared" si="90"/>
        <v>4.4977833082532701</v>
      </c>
      <c r="W764" s="101">
        <f t="shared" si="91"/>
        <v>0.67131094153033877</v>
      </c>
      <c r="X764" s="95"/>
      <c r="Y764" s="95"/>
      <c r="Z764" s="102"/>
      <c r="AA764" s="103">
        <v>46186</v>
      </c>
      <c r="AB764" s="103">
        <v>46176</v>
      </c>
      <c r="AC764" s="103"/>
      <c r="AD764" s="102"/>
      <c r="AE764" s="102"/>
      <c r="AF764" s="103"/>
      <c r="AG764" s="579"/>
      <c r="AH764" s="103"/>
      <c r="AI764" s="96"/>
      <c r="AJ764" s="96"/>
      <c r="AK764" s="96"/>
      <c r="AL764" s="92"/>
      <c r="AM764" s="91"/>
      <c r="AN764" s="91"/>
      <c r="AO764" s="96"/>
      <c r="AP764" s="105"/>
      <c r="AQ764" s="105"/>
      <c r="AR764" s="105"/>
      <c r="AS764" s="105"/>
    </row>
    <row r="765" spans="1:45" ht="12" customHeight="1" x14ac:dyDescent="0.25">
      <c r="A765" s="90">
        <f t="shared" si="92"/>
        <v>764</v>
      </c>
      <c r="B765" s="91"/>
      <c r="C765" s="91" t="s">
        <v>4763</v>
      </c>
      <c r="D765" s="92" t="s">
        <v>4764</v>
      </c>
      <c r="E765" s="91" t="s">
        <v>4202</v>
      </c>
      <c r="F765" s="91" t="s">
        <v>0</v>
      </c>
      <c r="G765" s="56" t="s">
        <v>1941</v>
      </c>
      <c r="H765" s="91">
        <v>100</v>
      </c>
      <c r="I765" s="91" t="s">
        <v>207</v>
      </c>
      <c r="J765" s="91" t="s">
        <v>8</v>
      </c>
      <c r="K765" s="92" t="s">
        <v>50</v>
      </c>
      <c r="L765" s="93" t="str">
        <f>VLOOKUP(G765,'SKU 对应关系'!A:E,4,0)</f>
        <v>AN8KIT-B_B_2X30K02</v>
      </c>
      <c r="M765" s="94" t="str">
        <f>_xlfn.IFNA(VLOOKUP(G765,'SKU 对应关系'!A:B,2,0),"")</f>
        <v>AN8KIT-B_B_2X30K02 AN8黑色机器两个装+2X30mL香氛油（天竺） 机油套装</v>
      </c>
      <c r="N765" s="95" t="str">
        <f>_xlfn.IFNA(VLOOKUP(G765,'SKU 对应关系'!$A:$D,3,0),"")</f>
        <v>AN8</v>
      </c>
      <c r="O765" s="96">
        <v>5</v>
      </c>
      <c r="P765" s="580">
        <v>80.920245398773005</v>
      </c>
      <c r="Q765" s="96" t="s">
        <v>16</v>
      </c>
      <c r="R765" s="91">
        <v>5.5</v>
      </c>
      <c r="S765" s="95"/>
      <c r="T765" s="98">
        <v>4.716981132075472</v>
      </c>
      <c r="U765" s="99">
        <f t="shared" si="89"/>
        <v>449.77833082532703</v>
      </c>
      <c r="V765" s="100">
        <f t="shared" si="90"/>
        <v>4.4977833082532701</v>
      </c>
      <c r="W765" s="101">
        <f t="shared" si="91"/>
        <v>0.67131094153033877</v>
      </c>
      <c r="X765" s="95"/>
      <c r="Y765" s="95"/>
      <c r="Z765" s="102"/>
      <c r="AA765" s="103">
        <v>46186</v>
      </c>
      <c r="AB765" s="103">
        <v>46176</v>
      </c>
      <c r="AC765" s="103"/>
      <c r="AD765" s="102"/>
      <c r="AE765" s="102"/>
      <c r="AF765" s="103"/>
      <c r="AG765" s="579"/>
      <c r="AH765" s="103"/>
      <c r="AI765" s="96"/>
      <c r="AJ765" s="96"/>
      <c r="AK765" s="96"/>
      <c r="AL765" s="92"/>
      <c r="AM765" s="91"/>
      <c r="AN765" s="91"/>
      <c r="AO765" s="96"/>
      <c r="AP765" s="105"/>
      <c r="AQ765" s="105"/>
      <c r="AR765" s="105"/>
      <c r="AS765" s="105"/>
    </row>
    <row r="766" spans="1:45" ht="12" customHeight="1" x14ac:dyDescent="0.25">
      <c r="A766" s="90">
        <f t="shared" si="92"/>
        <v>765</v>
      </c>
      <c r="B766" s="91"/>
      <c r="C766" s="91" t="s">
        <v>4763</v>
      </c>
      <c r="D766" s="92" t="s">
        <v>4764</v>
      </c>
      <c r="E766" s="91" t="s">
        <v>4202</v>
      </c>
      <c r="F766" s="91" t="s">
        <v>0</v>
      </c>
      <c r="G766" s="56" t="s">
        <v>2245</v>
      </c>
      <c r="H766" s="91">
        <v>150</v>
      </c>
      <c r="I766" s="91" t="s">
        <v>207</v>
      </c>
      <c r="J766" s="91" t="s">
        <v>8</v>
      </c>
      <c r="K766" s="92" t="s">
        <v>50</v>
      </c>
      <c r="L766" s="93" t="str">
        <f>VLOOKUP(G766,'SKU 对应关系'!A:E,4,0)</f>
        <v>AN8KIT-WH_2X20K01</v>
      </c>
      <c r="M766" s="94" t="str">
        <f>_xlfn.IFNA(VLOOKUP(G766,'SKU 对应关系'!A:B,2,0),"")</f>
        <v>AN8KIT-WH_2X20K01 AN8白色机器+2X20mL酒店香氛油 机油套装</v>
      </c>
      <c r="N766" s="95" t="str">
        <f>_xlfn.IFNA(VLOOKUP(G766,'SKU 对应关系'!$A:$D,3,0),"")</f>
        <v>AN8</v>
      </c>
      <c r="O766" s="96">
        <v>5</v>
      </c>
      <c r="P766" s="580">
        <v>80.920245398773005</v>
      </c>
      <c r="Q766" s="96" t="s">
        <v>16</v>
      </c>
      <c r="R766" s="91">
        <v>5.5</v>
      </c>
      <c r="S766" s="95"/>
      <c r="T766" s="98">
        <v>4.716981132075472</v>
      </c>
      <c r="U766" s="99">
        <f t="shared" si="89"/>
        <v>449.77833082532703</v>
      </c>
      <c r="V766" s="100">
        <f t="shared" si="90"/>
        <v>2.9985222055021801</v>
      </c>
      <c r="W766" s="101">
        <f t="shared" si="91"/>
        <v>0.44754062768689251</v>
      </c>
      <c r="X766" s="95"/>
      <c r="Y766" s="95"/>
      <c r="Z766" s="102"/>
      <c r="AA766" s="103">
        <v>46186</v>
      </c>
      <c r="AB766" s="103">
        <v>46176</v>
      </c>
      <c r="AC766" s="103"/>
      <c r="AD766" s="102"/>
      <c r="AE766" s="102"/>
      <c r="AF766" s="103"/>
      <c r="AG766" s="579"/>
      <c r="AH766" s="103"/>
      <c r="AI766" s="96"/>
      <c r="AJ766" s="96"/>
      <c r="AK766" s="96"/>
      <c r="AL766" s="92"/>
      <c r="AM766" s="91"/>
      <c r="AN766" s="91"/>
      <c r="AO766" s="96"/>
      <c r="AP766" s="105"/>
      <c r="AQ766" s="105"/>
      <c r="AR766" s="105"/>
      <c r="AS766" s="105"/>
    </row>
    <row r="767" spans="1:45" ht="12" customHeight="1" x14ac:dyDescent="0.25">
      <c r="A767" s="90">
        <f t="shared" si="92"/>
        <v>766</v>
      </c>
      <c r="B767" s="91"/>
      <c r="C767" s="91" t="s">
        <v>4763</v>
      </c>
      <c r="D767" s="92" t="s">
        <v>4764</v>
      </c>
      <c r="E767" s="91" t="s">
        <v>4202</v>
      </c>
      <c r="F767" s="91" t="s">
        <v>0</v>
      </c>
      <c r="G767" s="56" t="s">
        <v>4230</v>
      </c>
      <c r="H767" s="91">
        <v>330</v>
      </c>
      <c r="I767" s="91" t="s">
        <v>207</v>
      </c>
      <c r="J767" s="91" t="s">
        <v>8</v>
      </c>
      <c r="K767" s="92" t="s">
        <v>50</v>
      </c>
      <c r="L767" s="93" t="str">
        <f>VLOOKUP(G767,'SKU 对应关系'!A:E,4,0)</f>
        <v>AN8KIT-WH_4X10K05_TZ</v>
      </c>
      <c r="M767" s="94" t="str">
        <f>_xlfn.IFNA(VLOOKUP(G767,'SKU 对应关系'!A:B,2,0),"")</f>
        <v>AN8KIT-WH_4X10K05_TZ AN8白色机器+4x10mL（天竺）酒店香氛油 机油套装</v>
      </c>
      <c r="N767" s="95" t="str">
        <f>_xlfn.IFNA(VLOOKUP(G767,'SKU 对应关系'!$A:$D,3,0),"")</f>
        <v>AN8</v>
      </c>
      <c r="O767" s="96">
        <v>11</v>
      </c>
      <c r="P767" s="580">
        <v>178.02453987730061</v>
      </c>
      <c r="Q767" s="96" t="s">
        <v>16</v>
      </c>
      <c r="R767" s="91">
        <v>5.5</v>
      </c>
      <c r="S767" s="95"/>
      <c r="T767" s="98">
        <v>10.377358490566039</v>
      </c>
      <c r="U767" s="99">
        <f t="shared" si="89"/>
        <v>989.51232781571946</v>
      </c>
      <c r="V767" s="100">
        <f t="shared" si="90"/>
        <v>2.9985222055021801</v>
      </c>
      <c r="W767" s="101">
        <f t="shared" si="91"/>
        <v>0.44754062768689251</v>
      </c>
      <c r="X767" s="95"/>
      <c r="Y767" s="95"/>
      <c r="Z767" s="102"/>
      <c r="AA767" s="103">
        <v>46186</v>
      </c>
      <c r="AB767" s="103">
        <v>46176</v>
      </c>
      <c r="AC767" s="103"/>
      <c r="AD767" s="102"/>
      <c r="AE767" s="102"/>
      <c r="AF767" s="103"/>
      <c r="AG767" s="579"/>
      <c r="AH767" s="103"/>
      <c r="AI767" s="96"/>
      <c r="AJ767" s="96"/>
      <c r="AK767" s="96"/>
      <c r="AL767" s="92"/>
      <c r="AM767" s="91"/>
      <c r="AN767" s="91"/>
      <c r="AO767" s="96"/>
      <c r="AP767" s="105"/>
      <c r="AQ767" s="105"/>
      <c r="AR767" s="105"/>
      <c r="AS767" s="105"/>
    </row>
    <row r="768" spans="1:45" ht="12" customHeight="1" x14ac:dyDescent="0.25">
      <c r="A768" s="90">
        <f t="shared" si="92"/>
        <v>767</v>
      </c>
      <c r="B768" s="91"/>
      <c r="C768" s="91" t="s">
        <v>1782</v>
      </c>
      <c r="D768" s="92" t="s">
        <v>4764</v>
      </c>
      <c r="E768" s="91" t="s">
        <v>4202</v>
      </c>
      <c r="F768" s="91" t="s">
        <v>0</v>
      </c>
      <c r="G768" s="56" t="s">
        <v>4693</v>
      </c>
      <c r="H768" s="91">
        <v>30</v>
      </c>
      <c r="I768" s="91" t="s">
        <v>207</v>
      </c>
      <c r="J768" s="91" t="s">
        <v>8</v>
      </c>
      <c r="K768" s="92" t="s">
        <v>50</v>
      </c>
      <c r="L768" s="93" t="str">
        <f>VLOOKUP(G768,'SKU 对应关系'!A:E,4,0)</f>
        <v>RDXPJ-BOT</v>
      </c>
      <c r="M768" s="94" t="str">
        <f>_xlfn.IFNA(VLOOKUP(G768,'SKU 对应关系'!A:B,2,0),"")</f>
        <v>RDXPJ-BOT 智能塔式香薰机带盖替换瓶 300mL</v>
      </c>
      <c r="N768" s="95" t="str">
        <f>_xlfn.IFNA(VLOOKUP(G768,'SKU 对应关系'!$A:$D,3,0),"")</f>
        <v>RDX-AC</v>
      </c>
      <c r="O768" s="96">
        <v>1</v>
      </c>
      <c r="P768" s="580">
        <v>16.184049079754601</v>
      </c>
      <c r="Q768" s="96" t="s">
        <v>16</v>
      </c>
      <c r="R768" s="91">
        <v>5.5</v>
      </c>
      <c r="S768" s="95"/>
      <c r="T768" s="98"/>
      <c r="U768" s="99">
        <f t="shared" si="89"/>
        <v>89.012269938650306</v>
      </c>
      <c r="V768" s="100">
        <f t="shared" si="90"/>
        <v>2.9670756646216767</v>
      </c>
      <c r="W768" s="101">
        <f t="shared" si="91"/>
        <v>0.44284711412263833</v>
      </c>
      <c r="X768" s="95"/>
      <c r="Y768" s="95"/>
      <c r="Z768" s="102"/>
      <c r="AA768" s="103">
        <v>46186</v>
      </c>
      <c r="AB768" s="103">
        <v>46176</v>
      </c>
      <c r="AC768" s="103"/>
      <c r="AD768" s="102"/>
      <c r="AE768" s="102"/>
      <c r="AF768" s="103"/>
      <c r="AG768" s="579"/>
      <c r="AH768" s="103"/>
      <c r="AI768" s="96"/>
      <c r="AJ768" s="96"/>
      <c r="AK768" s="96"/>
      <c r="AL768" s="92"/>
      <c r="AM768" s="91"/>
      <c r="AN768" s="91"/>
      <c r="AO768" s="96"/>
      <c r="AP768" s="105"/>
      <c r="AQ768" s="105"/>
      <c r="AR768" s="105"/>
      <c r="AS768" s="105"/>
    </row>
    <row r="769" spans="1:45" ht="12" customHeight="1" x14ac:dyDescent="0.25">
      <c r="A769" s="90">
        <f t="shared" si="92"/>
        <v>768</v>
      </c>
      <c r="B769" s="91"/>
      <c r="C769" s="91" t="s">
        <v>4760</v>
      </c>
      <c r="D769" s="92" t="s">
        <v>4765</v>
      </c>
      <c r="E769" s="91" t="s">
        <v>97</v>
      </c>
      <c r="F769" s="91" t="s">
        <v>0</v>
      </c>
      <c r="G769" s="56" t="s">
        <v>163</v>
      </c>
      <c r="H769" s="91">
        <v>680</v>
      </c>
      <c r="I769" s="91" t="s">
        <v>117</v>
      </c>
      <c r="J769" s="91" t="s">
        <v>8</v>
      </c>
      <c r="K769" s="92" t="s">
        <v>32</v>
      </c>
      <c r="L769" s="93" t="str">
        <f>VLOOKUP(G769,'SKU 对应关系'!A:E,4,0)</f>
        <v>AN6-B</v>
      </c>
      <c r="M769" s="94" t="str">
        <f>_xlfn.IFNA(VLOOKUP(G769,'SKU 对应关系'!A:B,2,0),"")</f>
        <v>AN6-B 便携式扩香仪 黑色</v>
      </c>
      <c r="N769" s="95" t="str">
        <f>_xlfn.IFNA(VLOOKUP(G769,'SKU 对应关系'!$A:$D,3,0),"")</f>
        <v>AN6</v>
      </c>
      <c r="O769" s="96">
        <v>17</v>
      </c>
      <c r="P769" s="580">
        <v>226.95</v>
      </c>
      <c r="Q769" s="96" t="s">
        <v>16</v>
      </c>
      <c r="R769" s="91">
        <v>5.3</v>
      </c>
      <c r="S769" s="95">
        <v>200</v>
      </c>
      <c r="T769" s="98">
        <v>50.746268656716417</v>
      </c>
      <c r="U769" s="99">
        <f t="shared" si="89"/>
        <v>1253.5812686567162</v>
      </c>
      <c r="V769" s="100">
        <f t="shared" si="90"/>
        <v>1.8435018656716415</v>
      </c>
      <c r="W769" s="101">
        <f t="shared" si="91"/>
        <v>0.27514953218979726</v>
      </c>
      <c r="X769" s="95"/>
      <c r="Y769" s="95"/>
      <c r="Z769" s="102"/>
      <c r="AA769" s="103">
        <v>46185</v>
      </c>
      <c r="AB769" s="103"/>
      <c r="AC769" s="103"/>
      <c r="AD769" s="102"/>
      <c r="AE769" s="102"/>
      <c r="AF769" s="103"/>
      <c r="AG769" s="579"/>
      <c r="AH769" s="103"/>
      <c r="AI769" s="96"/>
      <c r="AJ769" s="96"/>
      <c r="AK769" s="96"/>
      <c r="AL769" s="92"/>
      <c r="AM769" s="91"/>
      <c r="AN769" s="91"/>
      <c r="AO769" s="96"/>
      <c r="AP769" s="105"/>
      <c r="AQ769" s="105"/>
      <c r="AR769" s="105"/>
      <c r="AS769" s="105"/>
    </row>
    <row r="770" spans="1:45" ht="12" customHeight="1" x14ac:dyDescent="0.25">
      <c r="A770" s="90">
        <f t="shared" si="92"/>
        <v>769</v>
      </c>
      <c r="B770" s="91"/>
      <c r="C770" s="91" t="s">
        <v>4760</v>
      </c>
      <c r="D770" s="92" t="s">
        <v>4765</v>
      </c>
      <c r="E770" s="91" t="s">
        <v>97</v>
      </c>
      <c r="F770" s="91" t="s">
        <v>0</v>
      </c>
      <c r="G770" s="56" t="s">
        <v>350</v>
      </c>
      <c r="H770" s="91">
        <v>200</v>
      </c>
      <c r="I770" s="91" t="s">
        <v>117</v>
      </c>
      <c r="J770" s="91" t="s">
        <v>8</v>
      </c>
      <c r="K770" s="92" t="s">
        <v>32</v>
      </c>
      <c r="L770" s="93" t="str">
        <f>VLOOKUP(G770,'SKU 对应关系'!A:E,4,0)</f>
        <v>AN6-GL</v>
      </c>
      <c r="M770" s="94" t="str">
        <f>_xlfn.IFNA(VLOOKUP(G770,'SKU 对应关系'!A:B,2,0),"")</f>
        <v>AN6-GL 便携式扩香仪 翠百合色</v>
      </c>
      <c r="N770" s="95" t="str">
        <f>_xlfn.IFNA(VLOOKUP(G770,'SKU 对应关系'!$A:$D,3,0),"")</f>
        <v>AN6</v>
      </c>
      <c r="O770" s="96">
        <v>5</v>
      </c>
      <c r="P770" s="580">
        <v>66.75</v>
      </c>
      <c r="Q770" s="96" t="s">
        <v>16</v>
      </c>
      <c r="R770" s="91">
        <v>5.3</v>
      </c>
      <c r="S770" s="106">
        <v>200</v>
      </c>
      <c r="T770" s="98">
        <v>14.925373134328359</v>
      </c>
      <c r="U770" s="99">
        <f t="shared" si="89"/>
        <v>368.70037313432834</v>
      </c>
      <c r="V770" s="100">
        <f t="shared" si="90"/>
        <v>1.8435018656716418</v>
      </c>
      <c r="W770" s="101">
        <f t="shared" si="91"/>
        <v>0.27514953218979726</v>
      </c>
      <c r="X770" s="95"/>
      <c r="Y770" s="95"/>
      <c r="Z770" s="102"/>
      <c r="AA770" s="103">
        <v>46185</v>
      </c>
      <c r="AB770" s="103"/>
      <c r="AC770" s="103"/>
      <c r="AD770" s="102"/>
      <c r="AE770" s="102"/>
      <c r="AF770" s="103"/>
      <c r="AG770" s="579"/>
      <c r="AH770" s="103"/>
      <c r="AI770" s="96"/>
      <c r="AJ770" s="96"/>
      <c r="AK770" s="96"/>
      <c r="AL770" s="92"/>
      <c r="AM770" s="91"/>
      <c r="AN770" s="91"/>
      <c r="AO770" s="96"/>
      <c r="AP770" s="105"/>
      <c r="AQ770" s="105"/>
      <c r="AR770" s="105"/>
      <c r="AS770" s="105"/>
    </row>
    <row r="771" spans="1:45" ht="12" customHeight="1" x14ac:dyDescent="0.25">
      <c r="A771" s="90">
        <f t="shared" si="92"/>
        <v>770</v>
      </c>
      <c r="B771" s="91"/>
      <c r="C771" s="91" t="s">
        <v>4760</v>
      </c>
      <c r="D771" s="92" t="s">
        <v>4765</v>
      </c>
      <c r="E771" s="91" t="s">
        <v>97</v>
      </c>
      <c r="F771" s="91" t="s">
        <v>0</v>
      </c>
      <c r="G771" s="56" t="s">
        <v>876</v>
      </c>
      <c r="H771" s="91">
        <v>440</v>
      </c>
      <c r="I771" s="91" t="s">
        <v>117</v>
      </c>
      <c r="J771" s="91" t="s">
        <v>8</v>
      </c>
      <c r="K771" s="92" t="s">
        <v>32</v>
      </c>
      <c r="L771" s="93" t="str">
        <f>VLOOKUP(G771,'SKU 对应关系'!A:E,4,0)</f>
        <v>AN6-LV</v>
      </c>
      <c r="M771" s="94" t="str">
        <f>_xlfn.IFNA(VLOOKUP(G771,'SKU 对应关系'!A:B,2,0),"")</f>
        <v>AN6-LV 便携式扩香仪 薰衣草</v>
      </c>
      <c r="N771" s="95" t="str">
        <f>_xlfn.IFNA(VLOOKUP(G771,'SKU 对应关系'!$A:$D,3,0),"")</f>
        <v>AN6</v>
      </c>
      <c r="O771" s="96">
        <v>11</v>
      </c>
      <c r="P771" s="580">
        <v>146.85</v>
      </c>
      <c r="Q771" s="96" t="s">
        <v>16</v>
      </c>
      <c r="R771" s="91">
        <v>5.3</v>
      </c>
      <c r="S771" s="95"/>
      <c r="T771" s="98">
        <v>32.835820895522389</v>
      </c>
      <c r="U771" s="99">
        <f t="shared" si="89"/>
        <v>811.14082089552232</v>
      </c>
      <c r="V771" s="100">
        <f t="shared" si="90"/>
        <v>1.8435018656716415</v>
      </c>
      <c r="W771" s="101">
        <f t="shared" si="91"/>
        <v>0.27514953218979726</v>
      </c>
      <c r="X771" s="95"/>
      <c r="Y771" s="95"/>
      <c r="Z771" s="102"/>
      <c r="AA771" s="103">
        <v>46185</v>
      </c>
      <c r="AB771" s="103"/>
      <c r="AC771" s="103"/>
      <c r="AD771" s="102"/>
      <c r="AE771" s="102"/>
      <c r="AF771" s="103"/>
      <c r="AG771" s="579"/>
      <c r="AH771" s="103"/>
      <c r="AI771" s="96"/>
      <c r="AJ771" s="96"/>
      <c r="AK771" s="96"/>
      <c r="AL771" s="92"/>
      <c r="AM771" s="91"/>
      <c r="AN771" s="91"/>
      <c r="AO771" s="96"/>
      <c r="AP771" s="105"/>
      <c r="AQ771" s="105"/>
      <c r="AR771" s="105"/>
      <c r="AS771" s="105"/>
    </row>
    <row r="772" spans="1:45" ht="12" customHeight="1" x14ac:dyDescent="0.25">
      <c r="A772" s="90">
        <f t="shared" si="92"/>
        <v>771</v>
      </c>
      <c r="B772" s="91"/>
      <c r="C772" s="91" t="s">
        <v>4760</v>
      </c>
      <c r="D772" s="92" t="s">
        <v>4765</v>
      </c>
      <c r="E772" s="91" t="s">
        <v>97</v>
      </c>
      <c r="F772" s="91" t="s">
        <v>0</v>
      </c>
      <c r="G772" s="56" t="s">
        <v>165</v>
      </c>
      <c r="H772" s="91">
        <v>200</v>
      </c>
      <c r="I772" s="91" t="s">
        <v>117</v>
      </c>
      <c r="J772" s="91" t="s">
        <v>8</v>
      </c>
      <c r="K772" s="92" t="s">
        <v>32</v>
      </c>
      <c r="L772" s="93" t="str">
        <f>VLOOKUP(G772,'SKU 对应关系'!A:E,4,0)</f>
        <v>AN6-W</v>
      </c>
      <c r="M772" s="94" t="str">
        <f>_xlfn.IFNA(VLOOKUP(G772,'SKU 对应关系'!A:B,2,0),"")</f>
        <v>AN6-W 便携式扩香仪 白色</v>
      </c>
      <c r="N772" s="95" t="str">
        <f>_xlfn.IFNA(VLOOKUP(G772,'SKU 对应关系'!$A:$D,3,0),"")</f>
        <v>AN6</v>
      </c>
      <c r="O772" s="96">
        <v>5</v>
      </c>
      <c r="P772" s="580">
        <v>66.75</v>
      </c>
      <c r="Q772" s="96" t="s">
        <v>16</v>
      </c>
      <c r="R772" s="91">
        <v>5.3</v>
      </c>
      <c r="S772" s="95"/>
      <c r="T772" s="98">
        <v>14.925373134328359</v>
      </c>
      <c r="U772" s="99">
        <f t="shared" si="89"/>
        <v>368.70037313432834</v>
      </c>
      <c r="V772" s="100">
        <f t="shared" si="90"/>
        <v>1.8435018656716418</v>
      </c>
      <c r="W772" s="101">
        <f t="shared" si="91"/>
        <v>0.27514953218979726</v>
      </c>
      <c r="X772" s="95"/>
      <c r="Y772" s="95"/>
      <c r="Z772" s="102"/>
      <c r="AA772" s="103">
        <v>46185</v>
      </c>
      <c r="AB772" s="103"/>
      <c r="AC772" s="103"/>
      <c r="AD772" s="102"/>
      <c r="AE772" s="102"/>
      <c r="AF772" s="103"/>
      <c r="AG772" s="579"/>
      <c r="AH772" s="103"/>
      <c r="AI772" s="96"/>
      <c r="AJ772" s="96"/>
      <c r="AK772" s="96"/>
      <c r="AL772" s="92"/>
      <c r="AM772" s="91"/>
      <c r="AN772" s="91"/>
      <c r="AO772" s="96"/>
      <c r="AP772" s="105"/>
      <c r="AQ772" s="105"/>
      <c r="AR772" s="105"/>
      <c r="AS772" s="105"/>
    </row>
    <row r="773" spans="1:45" ht="12" customHeight="1" x14ac:dyDescent="0.25">
      <c r="A773" s="90">
        <f t="shared" si="92"/>
        <v>772</v>
      </c>
      <c r="B773" s="91"/>
      <c r="C773" s="91" t="s">
        <v>4760</v>
      </c>
      <c r="D773" s="92" t="s">
        <v>4765</v>
      </c>
      <c r="E773" s="91" t="s">
        <v>97</v>
      </c>
      <c r="F773" s="91" t="s">
        <v>0</v>
      </c>
      <c r="G773" s="56" t="s">
        <v>786</v>
      </c>
      <c r="H773" s="91">
        <v>80</v>
      </c>
      <c r="I773" s="91" t="s">
        <v>117</v>
      </c>
      <c r="J773" s="91" t="s">
        <v>8</v>
      </c>
      <c r="K773" s="92" t="s">
        <v>32</v>
      </c>
      <c r="L773" s="93" t="str">
        <f>VLOOKUP(G773,'SKU 对应关系'!A:E,4,0)</f>
        <v>AN6-YG</v>
      </c>
      <c r="M773" s="94" t="str">
        <f>_xlfn.IFNA(VLOOKUP(G773,'SKU 对应关系'!A:B,2,0),"")</f>
        <v>AN6-YG 便携式扩香仪 乳酪色</v>
      </c>
      <c r="N773" s="95" t="str">
        <f>_xlfn.IFNA(VLOOKUP(G773,'SKU 对应关系'!$A:$D,3,0),"")</f>
        <v>AN6</v>
      </c>
      <c r="O773" s="96">
        <v>2</v>
      </c>
      <c r="P773" s="580">
        <v>26.7</v>
      </c>
      <c r="Q773" s="96" t="s">
        <v>16</v>
      </c>
      <c r="R773" s="91">
        <v>5.3</v>
      </c>
      <c r="S773" s="95"/>
      <c r="T773" s="98">
        <v>5.9701492537313436</v>
      </c>
      <c r="U773" s="99">
        <f t="shared" si="89"/>
        <v>147.48014925373133</v>
      </c>
      <c r="V773" s="100">
        <f t="shared" si="90"/>
        <v>1.8435018656716415</v>
      </c>
      <c r="W773" s="101">
        <f t="shared" si="91"/>
        <v>0.27514953218979726</v>
      </c>
      <c r="X773" s="95"/>
      <c r="Y773" s="95"/>
      <c r="Z773" s="102"/>
      <c r="AA773" s="103">
        <v>46185</v>
      </c>
      <c r="AB773" s="103"/>
      <c r="AC773" s="103"/>
      <c r="AD773" s="102"/>
      <c r="AE773" s="102"/>
      <c r="AF773" s="103"/>
      <c r="AG773" s="579"/>
      <c r="AH773" s="103"/>
      <c r="AI773" s="96"/>
      <c r="AJ773" s="96"/>
      <c r="AK773" s="96"/>
      <c r="AL773" s="92"/>
      <c r="AM773" s="91"/>
      <c r="AN773" s="91"/>
      <c r="AO773" s="96"/>
      <c r="AP773" s="105"/>
      <c r="AQ773" s="105"/>
      <c r="AR773" s="105"/>
      <c r="AS773" s="105"/>
    </row>
    <row r="774" spans="1:45" ht="12" customHeight="1" x14ac:dyDescent="0.25">
      <c r="A774" s="90">
        <f t="shared" si="92"/>
        <v>773</v>
      </c>
      <c r="B774" s="91"/>
      <c r="C774" s="91" t="s">
        <v>4763</v>
      </c>
      <c r="D774" s="92" t="s">
        <v>4766</v>
      </c>
      <c r="E774" s="91" t="s">
        <v>4202</v>
      </c>
      <c r="F774" s="91" t="s">
        <v>0</v>
      </c>
      <c r="G774" s="56" t="s">
        <v>4526</v>
      </c>
      <c r="H774" s="91">
        <v>450</v>
      </c>
      <c r="I774" s="91" t="s">
        <v>207</v>
      </c>
      <c r="J774" s="91" t="s">
        <v>8</v>
      </c>
      <c r="K774" s="92" t="s">
        <v>50</v>
      </c>
      <c r="L774" s="93" t="str">
        <f>VLOOKUP(G774,'SKU 对应关系'!A:E,4,0)</f>
        <v>U1KIT-B_US_2X50K01_TZ</v>
      </c>
      <c r="M774" s="94" t="str">
        <f>_xlfn.IFNA(VLOOKUP(G774,'SKU 对应关系'!A:B,2,0),"")</f>
        <v>U1KIT-B_US_2X50K01_TZ U1黑色机器+2X50mL酒店香氛油（天竺） 机油套装</v>
      </c>
      <c r="N774" s="95" t="str">
        <f>_xlfn.IFNA(VLOOKUP(G774,'SKU 对应关系'!$A:$D,3,0),"")</f>
        <v>U1</v>
      </c>
      <c r="O774" s="96">
        <v>50</v>
      </c>
      <c r="P774" s="580">
        <v>852</v>
      </c>
      <c r="Q774" s="96" t="s">
        <v>16</v>
      </c>
      <c r="R774" s="91">
        <v>5.5</v>
      </c>
      <c r="S774" s="95">
        <v>200</v>
      </c>
      <c r="T774" s="98">
        <v>47.169811320754718</v>
      </c>
      <c r="U774" s="99">
        <f t="shared" si="89"/>
        <v>4733.1698113207549</v>
      </c>
      <c r="V774" s="100">
        <f t="shared" si="90"/>
        <v>10.518155136268344</v>
      </c>
      <c r="W774" s="101">
        <f t="shared" si="91"/>
        <v>1.5698739009355738</v>
      </c>
      <c r="X774" s="95"/>
      <c r="Y774" s="95"/>
      <c r="Z774" s="102"/>
      <c r="AA774" s="103">
        <v>46184</v>
      </c>
      <c r="AB774" s="103">
        <v>46206</v>
      </c>
      <c r="AC774" s="103"/>
      <c r="AD774" s="102"/>
      <c r="AE774" s="102"/>
      <c r="AF774" s="103"/>
      <c r="AG774" s="579"/>
      <c r="AH774" s="103"/>
      <c r="AI774" s="96"/>
      <c r="AJ774" s="96"/>
      <c r="AK774" s="96"/>
      <c r="AL774" s="92"/>
      <c r="AM774" s="91"/>
      <c r="AN774" s="91"/>
      <c r="AO774" s="96"/>
      <c r="AP774" s="105"/>
      <c r="AQ774" s="105"/>
      <c r="AR774" s="105"/>
      <c r="AS774" s="105"/>
    </row>
    <row r="775" spans="1:45" ht="12" customHeight="1" x14ac:dyDescent="0.25">
      <c r="A775" s="90">
        <f t="shared" si="92"/>
        <v>774</v>
      </c>
      <c r="B775" s="91"/>
      <c r="C775" s="91" t="s">
        <v>4767</v>
      </c>
      <c r="D775" s="92" t="s">
        <v>4768</v>
      </c>
      <c r="E775" s="91" t="s">
        <v>97</v>
      </c>
      <c r="F775" s="91" t="s">
        <v>0</v>
      </c>
      <c r="G775" s="56" t="s">
        <v>88</v>
      </c>
      <c r="H775" s="91">
        <v>300</v>
      </c>
      <c r="I775" s="91" t="s">
        <v>117</v>
      </c>
      <c r="J775" s="91" t="s">
        <v>8</v>
      </c>
      <c r="K775" s="92" t="s">
        <v>9</v>
      </c>
      <c r="L775" s="93" t="str">
        <f>VLOOKUP(G775,'SKU 对应关系'!A:E,4,0)</f>
        <v>ANW-B</v>
      </c>
      <c r="M775" s="94" t="str">
        <f>_xlfn.IFNA(VLOOKUP(G775,'SKU 对应关系'!A:B,2,0),"")</f>
        <v>ANW-B 智能扩香仪 黑色</v>
      </c>
      <c r="N775" s="95" t="str">
        <f>_xlfn.IFNA(VLOOKUP(G775,'SKU 对应关系'!$A:$D,3,0),"")</f>
        <v>ANW</v>
      </c>
      <c r="O775" s="96">
        <v>25</v>
      </c>
      <c r="P775" s="580">
        <v>356.63265306122452</v>
      </c>
      <c r="Q775" s="96" t="s">
        <v>16</v>
      </c>
      <c r="R775" s="91">
        <v>5.5</v>
      </c>
      <c r="S775" s="95">
        <v>200</v>
      </c>
      <c r="T775" s="98">
        <v>102.04081632653062</v>
      </c>
      <c r="U775" s="99">
        <f t="shared" si="89"/>
        <v>2063.5204081632655</v>
      </c>
      <c r="V775" s="100">
        <f t="shared" si="90"/>
        <v>6.8784013605442187</v>
      </c>
      <c r="W775" s="101">
        <f t="shared" si="91"/>
        <v>1.0266270687379431</v>
      </c>
      <c r="X775" s="95"/>
      <c r="Y775" s="95"/>
      <c r="Z775" s="102"/>
      <c r="AA775" s="103">
        <v>46184</v>
      </c>
      <c r="AB775" s="103">
        <v>46210</v>
      </c>
      <c r="AC775" s="103"/>
      <c r="AD775" s="102"/>
      <c r="AE775" s="102"/>
      <c r="AF775" s="103"/>
      <c r="AG775" s="579"/>
      <c r="AH775" s="103"/>
      <c r="AI775" s="96"/>
      <c r="AJ775" s="96"/>
      <c r="AK775" s="96"/>
      <c r="AL775" s="92"/>
      <c r="AM775" s="91"/>
      <c r="AN775" s="91"/>
      <c r="AO775" s="96"/>
      <c r="AP775" s="105"/>
      <c r="AQ775" s="105"/>
      <c r="AR775" s="105"/>
      <c r="AS775" s="105"/>
    </row>
    <row r="776" spans="1:45" ht="12" customHeight="1" x14ac:dyDescent="0.25">
      <c r="A776" s="90">
        <f t="shared" si="92"/>
        <v>775</v>
      </c>
      <c r="B776" s="91"/>
      <c r="C776" s="91" t="s">
        <v>4767</v>
      </c>
      <c r="D776" s="92" t="s">
        <v>4768</v>
      </c>
      <c r="E776" s="91" t="s">
        <v>97</v>
      </c>
      <c r="F776" s="91" t="s">
        <v>0</v>
      </c>
      <c r="G776" s="56" t="s">
        <v>93</v>
      </c>
      <c r="H776" s="91">
        <v>288</v>
      </c>
      <c r="I776" s="91" t="s">
        <v>117</v>
      </c>
      <c r="J776" s="91" t="s">
        <v>8</v>
      </c>
      <c r="K776" s="92" t="s">
        <v>9</v>
      </c>
      <c r="L776" s="93" t="str">
        <f>VLOOKUP(G776,'SKU 对应关系'!A:E,4,0)</f>
        <v>ANW-W</v>
      </c>
      <c r="M776" s="94" t="str">
        <f>_xlfn.IFNA(VLOOKUP(G776,'SKU 对应关系'!A:B,2,0),"")</f>
        <v>ANW-W 智能扩香仪 白色</v>
      </c>
      <c r="N776" s="95" t="str">
        <f>_xlfn.IFNA(VLOOKUP(G776,'SKU 对应关系'!$A:$D,3,0),"")</f>
        <v>ANW</v>
      </c>
      <c r="O776" s="96">
        <v>24</v>
      </c>
      <c r="P776" s="580">
        <v>342.36734693877554</v>
      </c>
      <c r="Q776" s="96" t="s">
        <v>16</v>
      </c>
      <c r="R776" s="91">
        <v>5.5</v>
      </c>
      <c r="S776" s="106">
        <v>200</v>
      </c>
      <c r="T776" s="98">
        <v>97.959183673469383</v>
      </c>
      <c r="U776" s="99">
        <f t="shared" si="89"/>
        <v>1980.9795918367349</v>
      </c>
      <c r="V776" s="100">
        <f t="shared" si="90"/>
        <v>6.8784013605442187</v>
      </c>
      <c r="W776" s="101">
        <f t="shared" si="91"/>
        <v>1.0266270687379431</v>
      </c>
      <c r="X776" s="95"/>
      <c r="Y776" s="95"/>
      <c r="Z776" s="102"/>
      <c r="AA776" s="103">
        <v>46184</v>
      </c>
      <c r="AB776" s="103">
        <v>46210</v>
      </c>
      <c r="AC776" s="103"/>
      <c r="AD776" s="102"/>
      <c r="AE776" s="102"/>
      <c r="AF776" s="103"/>
      <c r="AG776" s="579"/>
      <c r="AH776" s="103"/>
      <c r="AI776" s="96"/>
      <c r="AJ776" s="96"/>
      <c r="AK776" s="96"/>
      <c r="AL776" s="92"/>
      <c r="AM776" s="91"/>
      <c r="AN776" s="91"/>
      <c r="AO776" s="96"/>
      <c r="AP776" s="105"/>
      <c r="AQ776" s="105"/>
      <c r="AR776" s="105"/>
      <c r="AS776" s="105"/>
    </row>
    <row r="777" spans="1:45" ht="12" customHeight="1" x14ac:dyDescent="0.25">
      <c r="A777" s="90">
        <f t="shared" si="92"/>
        <v>776</v>
      </c>
      <c r="B777" s="91"/>
      <c r="C777" s="91" t="s">
        <v>4758</v>
      </c>
      <c r="D777" s="92" t="s">
        <v>4769</v>
      </c>
      <c r="E777" s="91" t="s">
        <v>97</v>
      </c>
      <c r="F777" s="91" t="s">
        <v>0</v>
      </c>
      <c r="G777" s="56" t="s">
        <v>2179</v>
      </c>
      <c r="H777" s="91">
        <v>192</v>
      </c>
      <c r="I777" s="91" t="s">
        <v>207</v>
      </c>
      <c r="J777" s="91" t="s">
        <v>8</v>
      </c>
      <c r="K777" s="92" t="s">
        <v>13</v>
      </c>
      <c r="L777" s="93" t="str">
        <f>VLOOKUP(G777,'SKU 对应关系'!A:E,4,0)</f>
        <v>ANWKIT-WH_US_2X100K03</v>
      </c>
      <c r="M777" s="94" t="str">
        <f>_xlfn.IFNA(VLOOKUP(G777,'SKU 对应关系'!A:B,2,0),"")</f>
        <v>ANWKIT-WH_US_2X100K03 ANW白色机器+2X100mL酒店香氛油（天竺） 机油套装</v>
      </c>
      <c r="N777" s="95" t="str">
        <f>_xlfn.IFNA(VLOOKUP(G777,'SKU 对应关系'!$A:$D,3,0),"")</f>
        <v>ANW</v>
      </c>
      <c r="O777" s="96">
        <v>16</v>
      </c>
      <c r="P777" s="580">
        <v>278.76923076923077</v>
      </c>
      <c r="Q777" s="96" t="s">
        <v>16</v>
      </c>
      <c r="R777" s="91">
        <v>5.5</v>
      </c>
      <c r="S777" s="95"/>
      <c r="T777" s="98">
        <v>55.172413793103445</v>
      </c>
      <c r="U777" s="99">
        <f t="shared" si="89"/>
        <v>1588.4031830238728</v>
      </c>
      <c r="V777" s="100">
        <f t="shared" si="90"/>
        <v>8.272933244916004</v>
      </c>
      <c r="W777" s="101">
        <f t="shared" si="91"/>
        <v>1.2347661559576124</v>
      </c>
      <c r="X777" s="95"/>
      <c r="Y777" s="95"/>
      <c r="Z777" s="102"/>
      <c r="AA777" s="103">
        <v>46184</v>
      </c>
      <c r="AB777" s="103">
        <v>46206</v>
      </c>
      <c r="AC777" s="103"/>
      <c r="AD777" s="102"/>
      <c r="AE777" s="102"/>
      <c r="AF777" s="103"/>
      <c r="AG777" s="579"/>
      <c r="AH777" s="103"/>
      <c r="AI777" s="96"/>
      <c r="AJ777" s="96"/>
      <c r="AK777" s="96"/>
      <c r="AL777" s="92"/>
      <c r="AM777" s="91"/>
      <c r="AN777" s="91"/>
      <c r="AO777" s="96"/>
      <c r="AP777" s="105"/>
      <c r="AQ777" s="105"/>
      <c r="AR777" s="105"/>
      <c r="AS777" s="105"/>
    </row>
    <row r="778" spans="1:45" ht="12" customHeight="1" x14ac:dyDescent="0.25">
      <c r="A778" s="90">
        <f t="shared" si="92"/>
        <v>777</v>
      </c>
      <c r="B778" s="91"/>
      <c r="C778" s="91" t="s">
        <v>4758</v>
      </c>
      <c r="D778" s="92" t="s">
        <v>4769</v>
      </c>
      <c r="E778" s="91" t="s">
        <v>97</v>
      </c>
      <c r="F778" s="91" t="s">
        <v>0</v>
      </c>
      <c r="G778" s="56" t="s">
        <v>2177</v>
      </c>
      <c r="H778" s="91">
        <v>120</v>
      </c>
      <c r="I778" s="91" t="s">
        <v>207</v>
      </c>
      <c r="J778" s="91" t="s">
        <v>8</v>
      </c>
      <c r="K778" s="92" t="s">
        <v>13</v>
      </c>
      <c r="L778" s="93" t="str">
        <f>VLOOKUP(G778,'SKU 对应关系'!A:E,4,0)</f>
        <v>ANWKIT-B_US_2X100K03</v>
      </c>
      <c r="M778" s="94" t="str">
        <f>_xlfn.IFNA(VLOOKUP(G778,'SKU 对应关系'!A:B,2,0),"")</f>
        <v>ANWKIT-B_US_2X100K03 ANW黑色机器+2X100mL酒店香氛油（天竺） 机油套装</v>
      </c>
      <c r="N778" s="95" t="str">
        <f>_xlfn.IFNA(VLOOKUP(G778,'SKU 对应关系'!$A:$D,3,0),"")</f>
        <v>ANW</v>
      </c>
      <c r="O778" s="96">
        <v>10</v>
      </c>
      <c r="P778" s="580">
        <v>174.23076923076923</v>
      </c>
      <c r="Q778" s="96" t="s">
        <v>16</v>
      </c>
      <c r="R778" s="91">
        <v>5.5</v>
      </c>
      <c r="S778" s="95"/>
      <c r="T778" s="98">
        <v>34.482758620689658</v>
      </c>
      <c r="U778" s="99">
        <f t="shared" si="89"/>
        <v>992.75198938992037</v>
      </c>
      <c r="V778" s="100">
        <f t="shared" si="90"/>
        <v>8.2729332449160022</v>
      </c>
      <c r="W778" s="101">
        <f t="shared" si="91"/>
        <v>1.2347661559576122</v>
      </c>
      <c r="X778" s="95"/>
      <c r="Y778" s="95"/>
      <c r="Z778" s="102"/>
      <c r="AA778" s="103">
        <v>46184</v>
      </c>
      <c r="AB778" s="103">
        <v>46206</v>
      </c>
      <c r="AC778" s="103"/>
      <c r="AD778" s="102"/>
      <c r="AE778" s="102"/>
      <c r="AF778" s="103"/>
      <c r="AG778" s="579"/>
      <c r="AH778" s="103"/>
      <c r="AI778" s="96"/>
      <c r="AJ778" s="96"/>
      <c r="AK778" s="96"/>
      <c r="AL778" s="92"/>
      <c r="AM778" s="91"/>
      <c r="AN778" s="91"/>
      <c r="AO778" s="96"/>
      <c r="AP778" s="105"/>
      <c r="AQ778" s="105"/>
      <c r="AR778" s="105"/>
      <c r="AS778" s="105"/>
    </row>
    <row r="779" spans="1:45" ht="12" customHeight="1" x14ac:dyDescent="0.25">
      <c r="A779" s="90">
        <f t="shared" si="92"/>
        <v>778</v>
      </c>
      <c r="B779" s="91"/>
      <c r="C779" s="91" t="s">
        <v>4770</v>
      </c>
      <c r="D779" s="92" t="s">
        <v>4771</v>
      </c>
      <c r="E779" s="91" t="s">
        <v>4202</v>
      </c>
      <c r="F779" s="91" t="s">
        <v>0</v>
      </c>
      <c r="G779" s="56" t="s">
        <v>2170</v>
      </c>
      <c r="H779" s="91">
        <v>128</v>
      </c>
      <c r="I779" s="91" t="s">
        <v>117</v>
      </c>
      <c r="J779" s="91" t="s">
        <v>8</v>
      </c>
      <c r="K779" s="92" t="s">
        <v>17</v>
      </c>
      <c r="L779" s="93" t="str">
        <f>VLOOKUP(G779,'SKU 对应关系'!A:E,4,0)</f>
        <v>ANP-B_US</v>
      </c>
      <c r="M779" s="94" t="str">
        <f>_xlfn.IFNA(VLOOKUP(G779,'SKU 对应关系'!A:B,2,0),"")</f>
        <v>ANP-B_US 墙插式智能扩香仪 黑色</v>
      </c>
      <c r="N779" s="95" t="str">
        <f>_xlfn.IFNA(VLOOKUP(G779,'SKU 对应关系'!$A:$D,3,0),"")</f>
        <v>ANP</v>
      </c>
      <c r="O779" s="96">
        <v>4</v>
      </c>
      <c r="P779" s="580">
        <v>57.714285714285715</v>
      </c>
      <c r="Q779" s="96" t="s">
        <v>16</v>
      </c>
      <c r="R779" s="91">
        <v>6.6</v>
      </c>
      <c r="S779" s="95">
        <v>200</v>
      </c>
      <c r="T779" s="98">
        <v>57.142857142857146</v>
      </c>
      <c r="U779" s="99">
        <f t="shared" si="89"/>
        <v>438.05714285714288</v>
      </c>
      <c r="V779" s="100">
        <f t="shared" si="90"/>
        <v>3.4223214285714287</v>
      </c>
      <c r="W779" s="101">
        <f t="shared" si="91"/>
        <v>0.51079424307036247</v>
      </c>
      <c r="X779" s="95"/>
      <c r="Y779" s="95"/>
      <c r="Z779" s="102"/>
      <c r="AA779" s="103">
        <v>46184</v>
      </c>
      <c r="AB779" s="103">
        <v>46210</v>
      </c>
      <c r="AC779" s="103"/>
      <c r="AD779" s="102"/>
      <c r="AE779" s="102"/>
      <c r="AF779" s="103"/>
      <c r="AG779" s="579"/>
      <c r="AH779" s="103"/>
      <c r="AI779" s="96"/>
      <c r="AJ779" s="96"/>
      <c r="AK779" s="96"/>
      <c r="AL779" s="92"/>
      <c r="AM779" s="91"/>
      <c r="AN779" s="91"/>
      <c r="AO779" s="96"/>
      <c r="AP779" s="105"/>
      <c r="AQ779" s="105"/>
      <c r="AR779" s="105"/>
      <c r="AS779" s="105"/>
    </row>
    <row r="780" spans="1:45" ht="12" customHeight="1" x14ac:dyDescent="0.25">
      <c r="A780" s="90">
        <f t="shared" si="92"/>
        <v>779</v>
      </c>
      <c r="B780" s="91"/>
      <c r="C780" s="91" t="s">
        <v>4770</v>
      </c>
      <c r="D780" s="92" t="s">
        <v>4771</v>
      </c>
      <c r="E780" s="91" t="s">
        <v>4202</v>
      </c>
      <c r="F780" s="91" t="s">
        <v>0</v>
      </c>
      <c r="G780" s="56" t="s">
        <v>2172</v>
      </c>
      <c r="H780" s="91">
        <v>320</v>
      </c>
      <c r="I780" s="91" t="s">
        <v>117</v>
      </c>
      <c r="J780" s="91" t="s">
        <v>8</v>
      </c>
      <c r="K780" s="92" t="s">
        <v>17</v>
      </c>
      <c r="L780" s="93" t="str">
        <f>VLOOKUP(G780,'SKU 对应关系'!A:E,4,0)</f>
        <v>ANP-W_US</v>
      </c>
      <c r="M780" s="94" t="str">
        <f>_xlfn.IFNA(VLOOKUP(G780,'SKU 对应关系'!A:B,2,0),"")</f>
        <v>ANP-W_US 墙插式智能扩香仪 白色</v>
      </c>
      <c r="N780" s="95" t="str">
        <f>_xlfn.IFNA(VLOOKUP(G780,'SKU 对应关系'!$A:$D,3,0),"")</f>
        <v>ANP</v>
      </c>
      <c r="O780" s="96">
        <v>10</v>
      </c>
      <c r="P780" s="580">
        <v>144.28571428571428</v>
      </c>
      <c r="Q780" s="96" t="s">
        <v>16</v>
      </c>
      <c r="R780" s="91">
        <v>6.6</v>
      </c>
      <c r="S780" s="106">
        <v>200</v>
      </c>
      <c r="T780" s="98">
        <v>142.85714285714286</v>
      </c>
      <c r="U780" s="99">
        <f t="shared" si="89"/>
        <v>1095.1428571428571</v>
      </c>
      <c r="V780" s="100">
        <f t="shared" si="90"/>
        <v>3.4223214285714283</v>
      </c>
      <c r="W780" s="101">
        <f t="shared" si="91"/>
        <v>0.51079424307036236</v>
      </c>
      <c r="X780" s="95"/>
      <c r="Y780" s="95"/>
      <c r="Z780" s="102"/>
      <c r="AA780" s="103">
        <v>46184</v>
      </c>
      <c r="AB780" s="103">
        <v>46210</v>
      </c>
      <c r="AC780" s="103"/>
      <c r="AD780" s="102"/>
      <c r="AE780" s="102"/>
      <c r="AF780" s="103"/>
      <c r="AG780" s="579"/>
      <c r="AH780" s="103"/>
      <c r="AI780" s="96"/>
      <c r="AJ780" s="96"/>
      <c r="AK780" s="96"/>
      <c r="AL780" s="92"/>
      <c r="AM780" s="91"/>
      <c r="AN780" s="91"/>
      <c r="AO780" s="96"/>
      <c r="AP780" s="105"/>
      <c r="AQ780" s="105"/>
      <c r="AR780" s="105"/>
      <c r="AS780" s="105"/>
    </row>
    <row r="781" spans="1:45" ht="12" customHeight="1" x14ac:dyDescent="0.25">
      <c r="A781" s="90">
        <f t="shared" si="92"/>
        <v>780</v>
      </c>
      <c r="B781" s="91" t="s">
        <v>4780</v>
      </c>
      <c r="C781" s="91" t="s">
        <v>1248</v>
      </c>
      <c r="D781" s="92" t="s">
        <v>4772</v>
      </c>
      <c r="E781" s="91" t="s">
        <v>115</v>
      </c>
      <c r="F781" s="91" t="s">
        <v>0</v>
      </c>
      <c r="G781" s="56" t="s">
        <v>1054</v>
      </c>
      <c r="H781" s="91">
        <v>90</v>
      </c>
      <c r="I781" s="91" t="s">
        <v>1767</v>
      </c>
      <c r="J781" s="91" t="s">
        <v>8</v>
      </c>
      <c r="K781" s="92" t="s">
        <v>50</v>
      </c>
      <c r="L781" s="93" t="str">
        <f>VLOOKUP(G781,'SKU 对应关系'!A:E,4,0)</f>
        <v>A-JY-100</v>
      </c>
      <c r="M781" s="94" t="str">
        <f>_xlfn.IFNA(VLOOKUP(G781,'SKU 对应关系'!A:B,2,0),"")</f>
        <v>A-Grand Hyatt Hotel-100 君悦酒店香氛油100mL</v>
      </c>
      <c r="N781" s="95" t="str">
        <f>_xlfn.IFNA(VLOOKUP(G781,'SKU 对应关系'!$A:$D,3,0),"")</f>
        <v>Oil-HQ</v>
      </c>
      <c r="O781" s="96">
        <v>1</v>
      </c>
      <c r="P781" s="580">
        <v>7.1428571428571425E-2</v>
      </c>
      <c r="Q781" s="96" t="s">
        <v>3264</v>
      </c>
      <c r="R781" s="91">
        <v>1400</v>
      </c>
      <c r="S781" s="95">
        <v>180</v>
      </c>
      <c r="T781" s="98">
        <v>25.714285714285715</v>
      </c>
      <c r="U781" s="99">
        <f t="shared" si="89"/>
        <v>125.71428571428572</v>
      </c>
      <c r="V781" s="100">
        <f t="shared" si="90"/>
        <v>1.396825396825397</v>
      </c>
      <c r="W781" s="101">
        <f t="shared" si="91"/>
        <v>0.20848140251125327</v>
      </c>
      <c r="X781" s="95"/>
      <c r="Y781" s="95"/>
      <c r="Z781" s="102"/>
      <c r="AA781" s="103">
        <v>46185</v>
      </c>
      <c r="AB781" s="103"/>
      <c r="AC781" s="103"/>
      <c r="AD781" s="102"/>
      <c r="AE781" s="102"/>
      <c r="AF781" s="103"/>
      <c r="AG781" s="579"/>
      <c r="AH781" s="103"/>
      <c r="AI781" s="96"/>
      <c r="AJ781" s="96"/>
      <c r="AK781" s="96"/>
      <c r="AL781" s="92"/>
      <c r="AM781" s="91"/>
      <c r="AN781" s="91"/>
      <c r="AO781" s="96"/>
      <c r="AP781" s="105"/>
      <c r="AQ781" s="105"/>
      <c r="AR781" s="105"/>
      <c r="AS781" s="105"/>
    </row>
    <row r="782" spans="1:45" ht="12" customHeight="1" x14ac:dyDescent="0.25">
      <c r="A782" s="90">
        <f t="shared" si="92"/>
        <v>781</v>
      </c>
      <c r="B782" s="91" t="s">
        <v>4780</v>
      </c>
      <c r="C782" s="91" t="s">
        <v>1248</v>
      </c>
      <c r="D782" s="92" t="s">
        <v>4772</v>
      </c>
      <c r="E782" s="91" t="s">
        <v>115</v>
      </c>
      <c r="F782" s="91" t="s">
        <v>0</v>
      </c>
      <c r="G782" s="56" t="s">
        <v>1057</v>
      </c>
      <c r="H782" s="91">
        <v>180</v>
      </c>
      <c r="I782" s="91" t="s">
        <v>1767</v>
      </c>
      <c r="J782" s="91" t="s">
        <v>8</v>
      </c>
      <c r="K782" s="92" t="s">
        <v>50</v>
      </c>
      <c r="L782" s="93" t="str">
        <f>VLOOKUP(G782,'SKU 对应关系'!A:E,4,0)</f>
        <v>A-MWAY-100</v>
      </c>
      <c r="M782" s="94" t="str">
        <f>_xlfn.IFNA(VLOOKUP(G782,'SKU 对应关系'!A:B,2,0),"")</f>
        <v>A-MWAY Deluxe-100 特定香型香氛油100mL</v>
      </c>
      <c r="N782" s="95" t="str">
        <f>_xlfn.IFNA(VLOOKUP(G782,'SKU 对应关系'!$A:$D,3,0),"")</f>
        <v>Oil-HQ</v>
      </c>
      <c r="O782" s="96">
        <v>2</v>
      </c>
      <c r="P782" s="580">
        <v>0.14285714285714285</v>
      </c>
      <c r="Q782" s="96" t="s">
        <v>3264</v>
      </c>
      <c r="R782" s="91">
        <v>1400</v>
      </c>
      <c r="S782" s="106">
        <v>180</v>
      </c>
      <c r="T782" s="98">
        <v>51.428571428571431</v>
      </c>
      <c r="U782" s="99">
        <f t="shared" si="89"/>
        <v>251.42857142857144</v>
      </c>
      <c r="V782" s="100">
        <f t="shared" si="90"/>
        <v>1.396825396825397</v>
      </c>
      <c r="W782" s="101">
        <f t="shared" si="91"/>
        <v>0.20848140251125327</v>
      </c>
      <c r="X782" s="95"/>
      <c r="Y782" s="95"/>
      <c r="Z782" s="102"/>
      <c r="AA782" s="103">
        <v>46185</v>
      </c>
      <c r="AB782" s="103"/>
      <c r="AC782" s="103"/>
      <c r="AD782" s="102"/>
      <c r="AE782" s="102"/>
      <c r="AF782" s="103"/>
      <c r="AG782" s="579"/>
      <c r="AH782" s="103"/>
      <c r="AI782" s="96"/>
      <c r="AJ782" s="96"/>
      <c r="AK782" s="96"/>
      <c r="AL782" s="92"/>
      <c r="AM782" s="91"/>
      <c r="AN782" s="91"/>
      <c r="AO782" s="96"/>
      <c r="AP782" s="105"/>
      <c r="AQ782" s="105"/>
      <c r="AR782" s="105"/>
      <c r="AS782" s="105"/>
    </row>
    <row r="783" spans="1:45" ht="12" customHeight="1" x14ac:dyDescent="0.25">
      <c r="A783" s="90">
        <f t="shared" si="92"/>
        <v>782</v>
      </c>
      <c r="B783" s="91" t="s">
        <v>4780</v>
      </c>
      <c r="C783" s="91" t="s">
        <v>1248</v>
      </c>
      <c r="D783" s="92" t="s">
        <v>4772</v>
      </c>
      <c r="E783" s="91" t="s">
        <v>115</v>
      </c>
      <c r="F783" s="91" t="s">
        <v>0</v>
      </c>
      <c r="G783" s="56" t="s">
        <v>650</v>
      </c>
      <c r="H783" s="91">
        <v>360</v>
      </c>
      <c r="I783" s="91" t="s">
        <v>1767</v>
      </c>
      <c r="J783" s="91" t="s">
        <v>8</v>
      </c>
      <c r="K783" s="92" t="s">
        <v>50</v>
      </c>
      <c r="L783" s="93" t="str">
        <f>VLOOKUP(G783,'SKU 对应关系'!A:E,4,0)</f>
        <v>A-MT-100</v>
      </c>
      <c r="M783" s="94" t="str">
        <f>_xlfn.IFNA(VLOOKUP(G783,'SKU 对应关系'!A:B,2,0),"")</f>
        <v>A-Marriott Hotel 1-100 万豪酒店1香氛油100mL</v>
      </c>
      <c r="N783" s="95" t="str">
        <f>_xlfn.IFNA(VLOOKUP(G783,'SKU 对应关系'!$A:$D,3,0),"")</f>
        <v>Oil-HQ</v>
      </c>
      <c r="O783" s="96">
        <v>4</v>
      </c>
      <c r="P783" s="580">
        <v>0.2857142857142857</v>
      </c>
      <c r="Q783" s="96" t="s">
        <v>3264</v>
      </c>
      <c r="R783" s="91">
        <v>1400</v>
      </c>
      <c r="S783" s="95"/>
      <c r="T783" s="98">
        <v>102.85714285714286</v>
      </c>
      <c r="U783" s="99">
        <f t="shared" si="89"/>
        <v>502.85714285714289</v>
      </c>
      <c r="V783" s="100">
        <f t="shared" si="90"/>
        <v>1.396825396825397</v>
      </c>
      <c r="W783" s="101">
        <f t="shared" si="91"/>
        <v>0.20848140251125327</v>
      </c>
      <c r="X783" s="95"/>
      <c r="Y783" s="95"/>
      <c r="Z783" s="102"/>
      <c r="AA783" s="103">
        <v>46185</v>
      </c>
      <c r="AB783" s="103"/>
      <c r="AC783" s="103"/>
      <c r="AD783" s="102"/>
      <c r="AE783" s="102"/>
      <c r="AF783" s="103"/>
      <c r="AG783" s="579"/>
      <c r="AH783" s="103"/>
      <c r="AI783" s="96"/>
      <c r="AJ783" s="96"/>
      <c r="AK783" s="96"/>
      <c r="AL783" s="92"/>
      <c r="AM783" s="91"/>
      <c r="AN783" s="91"/>
      <c r="AO783" s="96"/>
      <c r="AP783" s="105"/>
      <c r="AQ783" s="105"/>
      <c r="AR783" s="105"/>
      <c r="AS783" s="105"/>
    </row>
    <row r="784" spans="1:45" ht="12" customHeight="1" x14ac:dyDescent="0.25">
      <c r="A784" s="90">
        <f t="shared" si="92"/>
        <v>783</v>
      </c>
      <c r="B784" s="91" t="s">
        <v>4780</v>
      </c>
      <c r="C784" s="91" t="s">
        <v>4773</v>
      </c>
      <c r="D784" s="92" t="s">
        <v>4774</v>
      </c>
      <c r="E784" s="91" t="s">
        <v>4202</v>
      </c>
      <c r="F784" s="91" t="s">
        <v>0</v>
      </c>
      <c r="G784" s="56" t="s">
        <v>4613</v>
      </c>
      <c r="H784" s="91">
        <v>600</v>
      </c>
      <c r="I784" s="91" t="s">
        <v>1767</v>
      </c>
      <c r="J784" s="91" t="s">
        <v>8</v>
      </c>
      <c r="K784" s="92" t="s">
        <v>50</v>
      </c>
      <c r="L784" s="93" t="str">
        <f>VLOOKUP(G784,'SKU 对应关系'!A:E,4,0)</f>
        <v>HOTEL6KIT1-6X10K03_TZ</v>
      </c>
      <c r="M784" s="94" t="str">
        <f>_xlfn.IFNA(VLOOKUP(G784,'SKU 对应关系'!A:B,2,0),"")</f>
        <v>HOTEL6KIT1-6X10K03_TZ 酒店香氛油（天竺）6款10mL套装</v>
      </c>
      <c r="N784" s="95" t="str">
        <f>_xlfn.IFNA(VLOOKUP(G784,'SKU 对应关系'!$A:$D,3,0),"")</f>
        <v>Oil-TZ</v>
      </c>
      <c r="O784" s="96">
        <v>10</v>
      </c>
      <c r="P784" s="580">
        <v>0.4375</v>
      </c>
      <c r="Q784" s="96" t="s">
        <v>3264</v>
      </c>
      <c r="R784" s="91">
        <v>1400</v>
      </c>
      <c r="S784" s="95">
        <v>180</v>
      </c>
      <c r="T784" s="98">
        <v>112.5</v>
      </c>
      <c r="U784" s="99">
        <f t="shared" si="89"/>
        <v>725</v>
      </c>
      <c r="V784" s="100">
        <f t="shared" si="90"/>
        <v>1.2083333333333333</v>
      </c>
      <c r="W784" s="101">
        <f t="shared" si="91"/>
        <v>0.18034825870646765</v>
      </c>
      <c r="X784" s="95"/>
      <c r="Y784" s="95"/>
      <c r="Z784" s="102"/>
      <c r="AA784" s="103">
        <v>46185</v>
      </c>
      <c r="AB784" s="103">
        <v>46207</v>
      </c>
      <c r="AC784" s="103"/>
      <c r="AD784" s="102"/>
      <c r="AE784" s="102"/>
      <c r="AF784" s="103"/>
      <c r="AG784" s="579"/>
      <c r="AH784" s="103"/>
      <c r="AI784" s="96"/>
      <c r="AJ784" s="96"/>
      <c r="AK784" s="96"/>
      <c r="AL784" s="92"/>
      <c r="AM784" s="91"/>
      <c r="AN784" s="91"/>
      <c r="AO784" s="96"/>
      <c r="AP784" s="105"/>
      <c r="AQ784" s="105"/>
      <c r="AR784" s="105"/>
      <c r="AS784" s="105"/>
    </row>
    <row r="785" spans="1:45" ht="12" customHeight="1" x14ac:dyDescent="0.25">
      <c r="A785" s="90">
        <f t="shared" si="92"/>
        <v>784</v>
      </c>
      <c r="B785" s="91" t="s">
        <v>4780</v>
      </c>
      <c r="C785" s="91" t="s">
        <v>4773</v>
      </c>
      <c r="D785" s="92" t="s">
        <v>4774</v>
      </c>
      <c r="E785" s="91" t="s">
        <v>4202</v>
      </c>
      <c r="F785" s="91" t="s">
        <v>0</v>
      </c>
      <c r="G785" s="56" t="s">
        <v>4214</v>
      </c>
      <c r="H785" s="91">
        <v>384</v>
      </c>
      <c r="I785" s="91" t="s">
        <v>1767</v>
      </c>
      <c r="J785" s="91" t="s">
        <v>8</v>
      </c>
      <c r="K785" s="92" t="s">
        <v>50</v>
      </c>
      <c r="L785" s="93" t="str">
        <f>VLOOKUP(G785,'SKU 对应关系'!A:E,4,0)</f>
        <v>RZ1-100ML_TZ</v>
      </c>
      <c r="M785" s="94" t="str">
        <f>_xlfn.IFNA(VLOOKUP(G785,'SKU 对应关系'!A:B,2,0),"")</f>
        <v>RZ1-100ML_TZ 丽思卡尔顿酒店100mL香氛油（天竺） 销售包装</v>
      </c>
      <c r="N785" s="95" t="str">
        <f>_xlfn.IFNA(VLOOKUP(G785,'SKU 对应关系'!$A:$D,3,0),"")</f>
        <v>Oil-TZ</v>
      </c>
      <c r="O785" s="96">
        <v>6</v>
      </c>
      <c r="P785" s="580">
        <v>0.26249999999999996</v>
      </c>
      <c r="Q785" s="96" t="s">
        <v>3264</v>
      </c>
      <c r="R785" s="91">
        <v>1400</v>
      </c>
      <c r="S785" s="106">
        <v>180</v>
      </c>
      <c r="T785" s="98">
        <v>67.5</v>
      </c>
      <c r="U785" s="99">
        <f t="shared" si="89"/>
        <v>434.99999999999994</v>
      </c>
      <c r="V785" s="100">
        <f t="shared" si="90"/>
        <v>1.1328124999999998</v>
      </c>
      <c r="W785" s="101">
        <f t="shared" si="91"/>
        <v>0.16907649253731338</v>
      </c>
      <c r="X785" s="95"/>
      <c r="Y785" s="95"/>
      <c r="Z785" s="102"/>
      <c r="AA785" s="103">
        <v>46185</v>
      </c>
      <c r="AB785" s="103">
        <v>46207</v>
      </c>
      <c r="AC785" s="103"/>
      <c r="AD785" s="102"/>
      <c r="AE785" s="102"/>
      <c r="AF785" s="103"/>
      <c r="AG785" s="579"/>
      <c r="AH785" s="103"/>
      <c r="AI785" s="96"/>
      <c r="AJ785" s="96"/>
      <c r="AK785" s="96"/>
      <c r="AL785" s="92"/>
      <c r="AM785" s="91"/>
      <c r="AN785" s="91"/>
      <c r="AO785" s="96"/>
      <c r="AP785" s="105"/>
      <c r="AQ785" s="105"/>
      <c r="AR785" s="105"/>
      <c r="AS785" s="105"/>
    </row>
    <row r="786" spans="1:45" ht="12" customHeight="1" x14ac:dyDescent="0.25">
      <c r="A786" s="90">
        <f t="shared" si="92"/>
        <v>785</v>
      </c>
      <c r="B786" s="91" t="s">
        <v>4780</v>
      </c>
      <c r="C786" s="91" t="s">
        <v>4775</v>
      </c>
      <c r="D786" s="92" t="s">
        <v>4776</v>
      </c>
      <c r="E786" s="91" t="s">
        <v>115</v>
      </c>
      <c r="F786" s="91" t="s">
        <v>0</v>
      </c>
      <c r="G786" s="56" t="s">
        <v>2864</v>
      </c>
      <c r="H786" s="91">
        <v>320</v>
      </c>
      <c r="I786" s="91" t="s">
        <v>1767</v>
      </c>
      <c r="J786" s="91" t="s">
        <v>8</v>
      </c>
      <c r="K786" s="92" t="s">
        <v>9</v>
      </c>
      <c r="L786" s="93" t="str">
        <f>VLOOKUP(G786,'SKU 对应关系'!A:E,4,0)</f>
        <v>BCRT1-100ML_TZ</v>
      </c>
      <c r="M786" s="94" t="str">
        <f>_xlfn.IFNA(VLOOKUP(G786,'SKU 对应关系'!A:B,2,0),"")</f>
        <v>BCRT1-100ML_TZ 巴卡拉酒店100mL香氛油（天竺） 销售包装</v>
      </c>
      <c r="N786" s="95" t="str">
        <f>_xlfn.IFNA(VLOOKUP(G786,'SKU 对应关系'!$A:$D,3,0),"")</f>
        <v>Oil-TZ</v>
      </c>
      <c r="O786" s="96">
        <v>5</v>
      </c>
      <c r="P786" s="580">
        <v>0.19347826086956521</v>
      </c>
      <c r="Q786" s="96" t="s">
        <v>3264</v>
      </c>
      <c r="R786" s="91">
        <v>1400</v>
      </c>
      <c r="S786" s="95">
        <v>180</v>
      </c>
      <c r="T786" s="98">
        <v>39.130434782608695</v>
      </c>
      <c r="U786" s="99">
        <f t="shared" si="89"/>
        <v>310</v>
      </c>
      <c r="V786" s="100">
        <f t="shared" si="90"/>
        <v>0.96875</v>
      </c>
      <c r="W786" s="101">
        <f t="shared" si="91"/>
        <v>0.14458955223880596</v>
      </c>
      <c r="X786" s="95"/>
      <c r="Y786" s="95"/>
      <c r="Z786" s="102"/>
      <c r="AA786" s="103">
        <v>46185</v>
      </c>
      <c r="AB786" s="103">
        <v>46207</v>
      </c>
      <c r="AC786" s="103"/>
      <c r="AD786" s="102"/>
      <c r="AE786" s="102"/>
      <c r="AF786" s="103"/>
      <c r="AG786" s="579"/>
      <c r="AH786" s="103"/>
      <c r="AI786" s="96"/>
      <c r="AJ786" s="96"/>
      <c r="AK786" s="96"/>
      <c r="AL786" s="92"/>
      <c r="AM786" s="91"/>
      <c r="AN786" s="91"/>
      <c r="AO786" s="96"/>
      <c r="AP786" s="105"/>
      <c r="AQ786" s="105"/>
      <c r="AR786" s="105"/>
      <c r="AS786" s="105"/>
    </row>
    <row r="787" spans="1:45" ht="12" customHeight="1" x14ac:dyDescent="0.25">
      <c r="A787" s="90">
        <f t="shared" si="92"/>
        <v>786</v>
      </c>
      <c r="B787" s="91" t="s">
        <v>4780</v>
      </c>
      <c r="C787" s="91" t="s">
        <v>4775</v>
      </c>
      <c r="D787" s="92" t="s">
        <v>4776</v>
      </c>
      <c r="E787" s="91" t="s">
        <v>115</v>
      </c>
      <c r="F787" s="91" t="s">
        <v>0</v>
      </c>
      <c r="G787" s="56" t="s">
        <v>2937</v>
      </c>
      <c r="H787" s="91">
        <v>832</v>
      </c>
      <c r="I787" s="91" t="s">
        <v>1767</v>
      </c>
      <c r="J787" s="91" t="s">
        <v>8</v>
      </c>
      <c r="K787" s="92" t="s">
        <v>9</v>
      </c>
      <c r="L787" s="93" t="str">
        <f>VLOOKUP(G787,'SKU 对应关系'!A:E,4,0)</f>
        <v>SJ1-100ML_TZ</v>
      </c>
      <c r="M787" s="94" t="str">
        <f>_xlfn.IFNA(VLOOKUP(G787,'SKU 对应关系'!A:B,2,0),"")</f>
        <v>SJ1-100ML_TZ 四季酒店100mL香氛油（天竺） 销售包装</v>
      </c>
      <c r="N787" s="95" t="str">
        <f>_xlfn.IFNA(VLOOKUP(G787,'SKU 对应关系'!$A:$D,3,0),"")</f>
        <v>Oil-TZ</v>
      </c>
      <c r="O787" s="96">
        <v>13</v>
      </c>
      <c r="P787" s="580">
        <v>0.50304347826086948</v>
      </c>
      <c r="Q787" s="96" t="s">
        <v>3264</v>
      </c>
      <c r="R787" s="91">
        <v>1400</v>
      </c>
      <c r="S787" s="106">
        <v>180</v>
      </c>
      <c r="T787" s="98">
        <v>101.73913043478261</v>
      </c>
      <c r="U787" s="99">
        <f t="shared" si="89"/>
        <v>805.99999999999989</v>
      </c>
      <c r="V787" s="100">
        <f t="shared" si="90"/>
        <v>0.96874999999999989</v>
      </c>
      <c r="W787" s="101">
        <f t="shared" si="91"/>
        <v>0.14458955223880596</v>
      </c>
      <c r="X787" s="95"/>
      <c r="Y787" s="95"/>
      <c r="Z787" s="102"/>
      <c r="AA787" s="103">
        <v>46185</v>
      </c>
      <c r="AB787" s="103">
        <v>46207</v>
      </c>
      <c r="AC787" s="103"/>
      <c r="AD787" s="102"/>
      <c r="AE787" s="102"/>
      <c r="AF787" s="103"/>
      <c r="AG787" s="579"/>
      <c r="AH787" s="103"/>
      <c r="AI787" s="96"/>
      <c r="AJ787" s="96"/>
      <c r="AK787" s="96"/>
      <c r="AL787" s="92"/>
      <c r="AM787" s="91"/>
      <c r="AN787" s="91"/>
      <c r="AO787" s="96"/>
      <c r="AP787" s="105"/>
      <c r="AQ787" s="105"/>
      <c r="AR787" s="105"/>
      <c r="AS787" s="105"/>
    </row>
    <row r="788" spans="1:45" ht="12" customHeight="1" x14ac:dyDescent="0.25">
      <c r="A788" s="90">
        <f t="shared" si="92"/>
        <v>787</v>
      </c>
      <c r="B788" s="91" t="s">
        <v>4780</v>
      </c>
      <c r="C788" s="91" t="s">
        <v>4775</v>
      </c>
      <c r="D788" s="92" t="s">
        <v>4776</v>
      </c>
      <c r="E788" s="91" t="s">
        <v>115</v>
      </c>
      <c r="F788" s="91" t="s">
        <v>0</v>
      </c>
      <c r="G788" s="56" t="s">
        <v>2295</v>
      </c>
      <c r="H788" s="91">
        <v>256</v>
      </c>
      <c r="I788" s="91" t="s">
        <v>1767</v>
      </c>
      <c r="J788" s="91" t="s">
        <v>8</v>
      </c>
      <c r="K788" s="92" t="s">
        <v>9</v>
      </c>
      <c r="L788" s="93" t="str">
        <f>VLOOKUP(G788,'SKU 对应关系'!A:E,4,0)</f>
        <v>HILTON1-100ML_TZ</v>
      </c>
      <c r="M788" s="94" t="str">
        <f>_xlfn.IFNA(VLOOKUP(G788,'SKU 对应关系'!A:B,2,0),"")</f>
        <v>HILTON1-100ML_TZ 希尔顿酒店100mL香氛油（天竺） 销售包装</v>
      </c>
      <c r="N788" s="95" t="str">
        <f>_xlfn.IFNA(VLOOKUP(G788,'SKU 对应关系'!$A:$D,3,0),"")</f>
        <v>Oil-TZ</v>
      </c>
      <c r="O788" s="96">
        <v>4</v>
      </c>
      <c r="P788" s="580">
        <v>0.15478260869565216</v>
      </c>
      <c r="Q788" s="96" t="s">
        <v>3264</v>
      </c>
      <c r="R788" s="91">
        <v>1400</v>
      </c>
      <c r="S788" s="95"/>
      <c r="T788" s="98">
        <v>31.304347826086957</v>
      </c>
      <c r="U788" s="99">
        <f t="shared" si="89"/>
        <v>248</v>
      </c>
      <c r="V788" s="100">
        <f t="shared" si="90"/>
        <v>0.96875</v>
      </c>
      <c r="W788" s="101">
        <f t="shared" si="91"/>
        <v>0.14458955223880596</v>
      </c>
      <c r="X788" s="95"/>
      <c r="Y788" s="95"/>
      <c r="Z788" s="102"/>
      <c r="AA788" s="103">
        <v>46185</v>
      </c>
      <c r="AB788" s="103">
        <v>46207</v>
      </c>
      <c r="AC788" s="103"/>
      <c r="AD788" s="102"/>
      <c r="AE788" s="102"/>
      <c r="AF788" s="103"/>
      <c r="AG788" s="579"/>
      <c r="AH788" s="103"/>
      <c r="AI788" s="96"/>
      <c r="AJ788" s="96"/>
      <c r="AK788" s="96"/>
      <c r="AL788" s="92"/>
      <c r="AM788" s="91"/>
      <c r="AN788" s="91"/>
      <c r="AO788" s="96"/>
      <c r="AP788" s="105"/>
      <c r="AQ788" s="105"/>
      <c r="AR788" s="105"/>
      <c r="AS788" s="105"/>
    </row>
    <row r="789" spans="1:45" ht="12" customHeight="1" x14ac:dyDescent="0.25">
      <c r="A789" s="90">
        <f t="shared" si="92"/>
        <v>788</v>
      </c>
      <c r="B789" s="91" t="s">
        <v>4780</v>
      </c>
      <c r="C789" s="91" t="s">
        <v>4775</v>
      </c>
      <c r="D789" s="92" t="s">
        <v>4776</v>
      </c>
      <c r="E789" s="91" t="s">
        <v>115</v>
      </c>
      <c r="F789" s="91" t="s">
        <v>0</v>
      </c>
      <c r="G789" s="56" t="s">
        <v>4135</v>
      </c>
      <c r="H789" s="91">
        <v>64</v>
      </c>
      <c r="I789" s="91" t="s">
        <v>1767</v>
      </c>
      <c r="J789" s="91" t="s">
        <v>8</v>
      </c>
      <c r="K789" s="92" t="s">
        <v>9</v>
      </c>
      <c r="L789" s="93" t="str">
        <f>VLOOKUP(G789,'SKU 对应关系'!A:E,4,0)</f>
        <v>ATS1_100ML_TZ</v>
      </c>
      <c r="M789" s="94" t="str">
        <f>_xlfn.IFNA(VLOOKUP(G789,'SKU 对应关系'!A:B,2,0),"")</f>
        <v>ATS1_100ML_TZ 亚特兰蒂斯酒店100mL香氛油（天竺） 销售包装</v>
      </c>
      <c r="N789" s="95" t="str">
        <f>_xlfn.IFNA(VLOOKUP(G789,'SKU 对应关系'!$A:$D,3,0),"")</f>
        <v>Oil-TZ</v>
      </c>
      <c r="O789" s="96">
        <v>1</v>
      </c>
      <c r="P789" s="580">
        <v>3.8695652173913041E-2</v>
      </c>
      <c r="Q789" s="96" t="s">
        <v>3264</v>
      </c>
      <c r="R789" s="91">
        <v>1400</v>
      </c>
      <c r="S789" s="95"/>
      <c r="T789" s="98">
        <v>7.8260869565217392</v>
      </c>
      <c r="U789" s="99">
        <f t="shared" si="89"/>
        <v>62</v>
      </c>
      <c r="V789" s="100">
        <f t="shared" si="90"/>
        <v>0.96875</v>
      </c>
      <c r="W789" s="101">
        <f t="shared" si="91"/>
        <v>0.14458955223880596</v>
      </c>
      <c r="X789" s="95"/>
      <c r="Y789" s="95"/>
      <c r="Z789" s="102"/>
      <c r="AA789" s="103">
        <v>46185</v>
      </c>
      <c r="AB789" s="103">
        <v>46207</v>
      </c>
      <c r="AC789" s="103"/>
      <c r="AD789" s="102"/>
      <c r="AE789" s="102"/>
      <c r="AF789" s="103"/>
      <c r="AG789" s="579"/>
      <c r="AH789" s="103"/>
      <c r="AI789" s="96"/>
      <c r="AJ789" s="96"/>
      <c r="AK789" s="96"/>
      <c r="AL789" s="92"/>
      <c r="AM789" s="91"/>
      <c r="AN789" s="91"/>
      <c r="AO789" s="96"/>
      <c r="AP789" s="105"/>
      <c r="AQ789" s="105"/>
      <c r="AR789" s="105"/>
      <c r="AS789" s="105"/>
    </row>
    <row r="790" spans="1:45" ht="12" customHeight="1" x14ac:dyDescent="0.25">
      <c r="A790" s="90">
        <f t="shared" si="92"/>
        <v>789</v>
      </c>
      <c r="B790" s="91" t="s">
        <v>4780</v>
      </c>
      <c r="C790" s="91" t="s">
        <v>4777</v>
      </c>
      <c r="D790" s="92" t="s">
        <v>4778</v>
      </c>
      <c r="E790" s="91" t="s">
        <v>4202</v>
      </c>
      <c r="F790" s="91" t="s">
        <v>0</v>
      </c>
      <c r="G790" s="56" t="s">
        <v>4216</v>
      </c>
      <c r="H790" s="91">
        <v>992</v>
      </c>
      <c r="I790" s="91" t="s">
        <v>1767</v>
      </c>
      <c r="J790" s="91" t="s">
        <v>8</v>
      </c>
      <c r="K790" s="92" t="s">
        <v>10</v>
      </c>
      <c r="L790" s="93" t="str">
        <f>VLOOKUP(G790,'SKU 对应关系'!A:E,4,0)</f>
        <v>G1-B_YD</v>
      </c>
      <c r="M790" s="94" t="str">
        <f>_xlfn.IFNA(VLOOKUP(G790,'SKU 对应关系'!A:B,2,0),"")</f>
        <v>G1-B_YD 电子球形把手锁（永定） 黑色</v>
      </c>
      <c r="N790" s="95" t="str">
        <f>_xlfn.IFNA(VLOOKUP(G790,'SKU 对应关系'!$A:$D,3,0),"")</f>
        <v>G1_YD</v>
      </c>
      <c r="O790" s="96">
        <v>62</v>
      </c>
      <c r="P790" s="580">
        <v>2.78</v>
      </c>
      <c r="Q790" s="96" t="s">
        <v>3264</v>
      </c>
      <c r="R790" s="91">
        <v>1200</v>
      </c>
      <c r="S790" s="95">
        <v>180</v>
      </c>
      <c r="T790" s="98">
        <v>180</v>
      </c>
      <c r="U790" s="99">
        <f t="shared" si="89"/>
        <v>3515.9999999999995</v>
      </c>
      <c r="V790" s="100">
        <f t="shared" si="90"/>
        <v>3.544354838709677</v>
      </c>
      <c r="W790" s="101">
        <f t="shared" si="91"/>
        <v>0.52900818488204138</v>
      </c>
      <c r="X790" s="95"/>
      <c r="Y790" s="95"/>
      <c r="Z790" s="102"/>
      <c r="AA790" s="103">
        <v>46186</v>
      </c>
      <c r="AB790" s="103">
        <v>46207</v>
      </c>
      <c r="AC790" s="103"/>
      <c r="AD790" s="102"/>
      <c r="AE790" s="102"/>
      <c r="AF790" s="103"/>
      <c r="AG790" s="579"/>
      <c r="AH790" s="103"/>
      <c r="AI790" s="96"/>
      <c r="AJ790" s="96"/>
      <c r="AK790" s="96"/>
      <c r="AL790" s="92"/>
      <c r="AM790" s="91"/>
      <c r="AN790" s="91"/>
      <c r="AO790" s="96"/>
      <c r="AP790" s="105"/>
      <c r="AQ790" s="105"/>
      <c r="AR790" s="105"/>
      <c r="AS790" s="105"/>
    </row>
    <row r="791" spans="1:45" ht="12" customHeight="1" x14ac:dyDescent="0.25">
      <c r="A791" s="90">
        <f t="shared" si="92"/>
        <v>790</v>
      </c>
      <c r="B791" s="91"/>
      <c r="C791" s="91" t="s">
        <v>4781</v>
      </c>
      <c r="D791" s="92" t="s">
        <v>4782</v>
      </c>
      <c r="E791" s="91" t="s">
        <v>115</v>
      </c>
      <c r="F791" s="91" t="s">
        <v>0</v>
      </c>
      <c r="G791" s="56" t="s">
        <v>211</v>
      </c>
      <c r="H791" s="91">
        <v>210</v>
      </c>
      <c r="I791" s="91" t="s">
        <v>89</v>
      </c>
      <c r="J791" s="91" t="s">
        <v>8</v>
      </c>
      <c r="K791" s="92" t="s">
        <v>50</v>
      </c>
      <c r="L791" s="93" t="str">
        <f>VLOOKUP(G791,'SKU 对应关系'!A:E,4,0)</f>
        <v>ANX-B</v>
      </c>
      <c r="M791" s="94" t="str">
        <f>_xlfn.IFNA(VLOOKUP(G791,'SKU 对应关系'!A:B,2,0),"")</f>
        <v>ANX-B 便携式扩香仪 黑色</v>
      </c>
      <c r="N791" s="95" t="str">
        <f>_xlfn.IFNA(VLOOKUP(G791,'SKU 对应关系'!$A:$D,3,0),"")</f>
        <v>ANX</v>
      </c>
      <c r="O791" s="96">
        <v>7</v>
      </c>
      <c r="P791" s="580">
        <v>92.1786046511628</v>
      </c>
      <c r="Q791" s="96" t="s">
        <v>16</v>
      </c>
      <c r="R791" s="91">
        <v>5.3</v>
      </c>
      <c r="S791" s="95">
        <v>200</v>
      </c>
      <c r="T791" s="98">
        <v>13.861386138613861</v>
      </c>
      <c r="U791" s="99">
        <f t="shared" ref="U791:U811" si="93">R791*P791+T791</f>
        <v>502.4079907897767</v>
      </c>
      <c r="V791" s="100">
        <f t="shared" ref="V791:V811" si="94">U791/H791</f>
        <v>2.3924190037608413</v>
      </c>
      <c r="W791" s="101">
        <f t="shared" ref="W791:W811" si="95">V791/6.7</f>
        <v>0.35707746324788675</v>
      </c>
      <c r="X791" s="95"/>
      <c r="Y791" s="95"/>
      <c r="Z791" s="102"/>
      <c r="AA791" s="103">
        <v>46191</v>
      </c>
      <c r="AB791" s="103"/>
      <c r="AC791" s="103"/>
      <c r="AD791" s="102"/>
      <c r="AE791" s="102"/>
      <c r="AF791" s="103"/>
      <c r="AG791" s="579"/>
      <c r="AH791" s="103"/>
      <c r="AI791" s="96"/>
      <c r="AJ791" s="96"/>
      <c r="AK791" s="96"/>
      <c r="AL791" s="92"/>
      <c r="AM791" s="91"/>
      <c r="AN791" s="91"/>
      <c r="AO791" s="96"/>
      <c r="AP791" s="105"/>
      <c r="AQ791" s="105"/>
      <c r="AR791" s="105"/>
      <c r="AS791" s="105"/>
    </row>
    <row r="792" spans="1:45" ht="12" customHeight="1" x14ac:dyDescent="0.25">
      <c r="A792" s="90">
        <f t="shared" si="92"/>
        <v>791</v>
      </c>
      <c r="B792" s="91"/>
      <c r="C792" s="91" t="s">
        <v>4781</v>
      </c>
      <c r="D792" s="92" t="s">
        <v>4782</v>
      </c>
      <c r="E792" s="91" t="s">
        <v>115</v>
      </c>
      <c r="F792" s="91" t="s">
        <v>0</v>
      </c>
      <c r="G792" s="56" t="s">
        <v>2195</v>
      </c>
      <c r="H792" s="91">
        <v>1240</v>
      </c>
      <c r="I792" s="91" t="s">
        <v>89</v>
      </c>
      <c r="J792" s="91" t="s">
        <v>8</v>
      </c>
      <c r="K792" s="92" t="s">
        <v>50</v>
      </c>
      <c r="L792" s="93" t="str">
        <f>VLOOKUP(G792,'SKU 对应关系'!A:E,4,0)</f>
        <v>ANZ-B</v>
      </c>
      <c r="M792" s="94" t="str">
        <f>_xlfn.IFNA(VLOOKUP(G792,'SKU 对应关系'!A:B,2,0),"")</f>
        <v>ANZ-B 便携式扩香仪 黑色</v>
      </c>
      <c r="N792" s="95" t="str">
        <f>_xlfn.IFNA(VLOOKUP(G792,'SKU 对应关系'!$A:$D,3,0),"")</f>
        <v>ANZ</v>
      </c>
      <c r="O792" s="96">
        <v>31</v>
      </c>
      <c r="P792" s="580">
        <v>408.21953488372094</v>
      </c>
      <c r="Q792" s="96" t="s">
        <v>16</v>
      </c>
      <c r="R792" s="91">
        <v>5.3</v>
      </c>
      <c r="S792" s="106">
        <v>200</v>
      </c>
      <c r="T792" s="98">
        <v>61.386138613861384</v>
      </c>
      <c r="U792" s="99">
        <f t="shared" si="93"/>
        <v>2224.9496734975824</v>
      </c>
      <c r="V792" s="100">
        <f t="shared" si="94"/>
        <v>1.7943142528206308</v>
      </c>
      <c r="W792" s="101">
        <f t="shared" si="95"/>
        <v>0.26780809743591505</v>
      </c>
      <c r="X792" s="95"/>
      <c r="Y792" s="95"/>
      <c r="Z792" s="102"/>
      <c r="AA792" s="103">
        <v>46191</v>
      </c>
      <c r="AB792" s="103"/>
      <c r="AC792" s="103"/>
      <c r="AD792" s="102"/>
      <c r="AE792" s="102"/>
      <c r="AF792" s="103"/>
      <c r="AG792" s="579"/>
      <c r="AH792" s="103"/>
      <c r="AI792" s="96"/>
      <c r="AJ792" s="96"/>
      <c r="AK792" s="96"/>
      <c r="AL792" s="92"/>
      <c r="AM792" s="91"/>
      <c r="AN792" s="91"/>
      <c r="AO792" s="96"/>
      <c r="AP792" s="105"/>
      <c r="AQ792" s="105"/>
      <c r="AR792" s="105"/>
      <c r="AS792" s="105"/>
    </row>
    <row r="793" spans="1:45" ht="12" customHeight="1" x14ac:dyDescent="0.25">
      <c r="A793" s="90">
        <f t="shared" si="92"/>
        <v>792</v>
      </c>
      <c r="B793" s="91"/>
      <c r="C793" s="91" t="s">
        <v>4781</v>
      </c>
      <c r="D793" s="92" t="s">
        <v>4782</v>
      </c>
      <c r="E793" s="91" t="s">
        <v>115</v>
      </c>
      <c r="F793" s="91" t="s">
        <v>0</v>
      </c>
      <c r="G793" s="56" t="s">
        <v>2197</v>
      </c>
      <c r="H793" s="91">
        <v>200</v>
      </c>
      <c r="I793" s="91" t="s">
        <v>89</v>
      </c>
      <c r="J793" s="91" t="s">
        <v>8</v>
      </c>
      <c r="K793" s="92" t="s">
        <v>50</v>
      </c>
      <c r="L793" s="93" t="str">
        <f>VLOOKUP(G793,'SKU 对应关系'!A:E,4,0)</f>
        <v>ANZ-WH</v>
      </c>
      <c r="M793" s="94" t="str">
        <f>_xlfn.IFNA(VLOOKUP(G793,'SKU 对应关系'!A:B,2,0),"")</f>
        <v>ANZ-WH 便携式扩香仪 白色</v>
      </c>
      <c r="N793" s="95" t="str">
        <f>_xlfn.IFNA(VLOOKUP(G793,'SKU 对应关系'!$A:$D,3,0),"")</f>
        <v>ANZ</v>
      </c>
      <c r="O793" s="96">
        <v>5</v>
      </c>
      <c r="P793" s="580">
        <v>65.841860465116284</v>
      </c>
      <c r="Q793" s="96" t="s">
        <v>16</v>
      </c>
      <c r="R793" s="91">
        <v>5.3</v>
      </c>
      <c r="S793" s="95"/>
      <c r="T793" s="98">
        <v>9.9009900990099009</v>
      </c>
      <c r="U793" s="99">
        <f t="shared" si="93"/>
        <v>358.86285056412618</v>
      </c>
      <c r="V793" s="100">
        <f t="shared" si="94"/>
        <v>1.7943142528206308</v>
      </c>
      <c r="W793" s="101">
        <f t="shared" si="95"/>
        <v>0.26780809743591505</v>
      </c>
      <c r="X793" s="95"/>
      <c r="Y793" s="95"/>
      <c r="Z793" s="102"/>
      <c r="AA793" s="103">
        <v>46191</v>
      </c>
      <c r="AB793" s="103"/>
      <c r="AC793" s="103"/>
      <c r="AD793" s="102"/>
      <c r="AE793" s="102"/>
      <c r="AF793" s="103"/>
      <c r="AG793" s="579"/>
      <c r="AH793" s="103"/>
      <c r="AI793" s="96"/>
      <c r="AJ793" s="96"/>
      <c r="AK793" s="96"/>
      <c r="AL793" s="92"/>
      <c r="AM793" s="91"/>
      <c r="AN793" s="91"/>
      <c r="AO793" s="96"/>
      <c r="AP793" s="105"/>
      <c r="AQ793" s="105"/>
      <c r="AR793" s="105"/>
      <c r="AS793" s="105"/>
    </row>
    <row r="794" spans="1:45" ht="12" customHeight="1" x14ac:dyDescent="0.25">
      <c r="A794" s="90">
        <f t="shared" si="92"/>
        <v>793</v>
      </c>
      <c r="B794" s="91"/>
      <c r="C794" s="91" t="s">
        <v>1284</v>
      </c>
      <c r="D794" s="92" t="s">
        <v>4783</v>
      </c>
      <c r="E794" s="91" t="s">
        <v>4202</v>
      </c>
      <c r="F794" s="91" t="s">
        <v>0</v>
      </c>
      <c r="G794" s="56" t="s">
        <v>2888</v>
      </c>
      <c r="H794" s="91">
        <v>210</v>
      </c>
      <c r="I794" s="91" t="s">
        <v>207</v>
      </c>
      <c r="J794" s="91" t="s">
        <v>8</v>
      </c>
      <c r="K794" s="92" t="s">
        <v>9</v>
      </c>
      <c r="L794" s="93" t="str">
        <f>VLOOKUP(G794,'SKU 对应关系'!A:E,4,0)</f>
        <v>ADXKIT-B_4X10K04_TZ</v>
      </c>
      <c r="M794" s="94" t="str">
        <f>_xlfn.IFNA(VLOOKUP(G794,'SKU 对应关系'!A:B,2,0),"")</f>
        <v>ADXKIT-B_4X10K04_TZ ADX黑色机器+4x10mL酒店（天竺）香氛油 机油套装</v>
      </c>
      <c r="N794" s="95" t="str">
        <f>_xlfn.IFNA(VLOOKUP(G794,'SKU 对应关系'!$A:$D,3,0),"")</f>
        <v>ADX</v>
      </c>
      <c r="O794" s="96">
        <v>7</v>
      </c>
      <c r="P794" s="580">
        <v>114.11926605504587</v>
      </c>
      <c r="Q794" s="96" t="s">
        <v>16</v>
      </c>
      <c r="R794" s="91">
        <v>6.3</v>
      </c>
      <c r="S794" s="95">
        <v>200</v>
      </c>
      <c r="T794" s="98">
        <v>9.2105263157894743</v>
      </c>
      <c r="U794" s="99">
        <f t="shared" si="93"/>
        <v>728.16190246257838</v>
      </c>
      <c r="V794" s="100">
        <f t="shared" si="94"/>
        <v>3.467437630774183</v>
      </c>
      <c r="W794" s="101">
        <f t="shared" si="95"/>
        <v>0.51752800459316162</v>
      </c>
      <c r="X794" s="95"/>
      <c r="Y794" s="95"/>
      <c r="Z794" s="102"/>
      <c r="AA794" s="103">
        <v>46191</v>
      </c>
      <c r="AB794" s="103">
        <v>46213</v>
      </c>
      <c r="AC794" s="103"/>
      <c r="AD794" s="102"/>
      <c r="AE794" s="102"/>
      <c r="AF794" s="103"/>
      <c r="AG794" s="579"/>
      <c r="AH794" s="103"/>
      <c r="AI794" s="96"/>
      <c r="AJ794" s="96"/>
      <c r="AK794" s="96"/>
      <c r="AL794" s="92"/>
      <c r="AM794" s="91"/>
      <c r="AN794" s="91"/>
      <c r="AO794" s="96"/>
      <c r="AP794" s="105"/>
      <c r="AQ794" s="105"/>
      <c r="AR794" s="105"/>
      <c r="AS794" s="105"/>
    </row>
    <row r="795" spans="1:45" ht="12" customHeight="1" x14ac:dyDescent="0.25">
      <c r="A795" s="90">
        <f t="shared" si="92"/>
        <v>794</v>
      </c>
      <c r="B795" s="91"/>
      <c r="C795" s="91" t="s">
        <v>1284</v>
      </c>
      <c r="D795" s="92" t="s">
        <v>4783</v>
      </c>
      <c r="E795" s="91" t="s">
        <v>4202</v>
      </c>
      <c r="F795" s="91" t="s">
        <v>0</v>
      </c>
      <c r="G795" s="56" t="s">
        <v>1851</v>
      </c>
      <c r="H795" s="91">
        <v>300</v>
      </c>
      <c r="I795" s="91" t="s">
        <v>207</v>
      </c>
      <c r="J795" s="91" t="s">
        <v>8</v>
      </c>
      <c r="K795" s="92" t="s">
        <v>9</v>
      </c>
      <c r="L795" s="93" t="str">
        <f>VLOOKUP(G795,'SKU 对应关系'!A:E,4,0)</f>
        <v>AN8KIT-B_4X10K02</v>
      </c>
      <c r="M795" s="94" t="str">
        <f>_xlfn.IFNA(VLOOKUP(G795,'SKU 对应关系'!A:B,2,0),"")</f>
        <v>AN8KIT-B_4X10K02 AN8黑色机器+4x10mL（天竺）香氛油 机油套装</v>
      </c>
      <c r="N795" s="95" t="str">
        <f>_xlfn.IFNA(VLOOKUP(G795,'SKU 对应关系'!$A:$D,3,0),"")</f>
        <v>AN8</v>
      </c>
      <c r="O795" s="96">
        <v>10</v>
      </c>
      <c r="P795" s="580">
        <v>163.02752293577981</v>
      </c>
      <c r="Q795" s="96" t="s">
        <v>16</v>
      </c>
      <c r="R795" s="91">
        <v>6.3</v>
      </c>
      <c r="S795" s="106">
        <v>200</v>
      </c>
      <c r="T795" s="98">
        <v>13.157894736842104</v>
      </c>
      <c r="U795" s="99">
        <f t="shared" si="93"/>
        <v>1040.2312892322548</v>
      </c>
      <c r="V795" s="100">
        <f t="shared" si="94"/>
        <v>3.4674376307741825</v>
      </c>
      <c r="W795" s="101">
        <f t="shared" si="95"/>
        <v>0.51752800459316151</v>
      </c>
      <c r="X795" s="95"/>
      <c r="Y795" s="95"/>
      <c r="Z795" s="102"/>
      <c r="AA795" s="103">
        <v>46191</v>
      </c>
      <c r="AB795" s="103">
        <v>46213</v>
      </c>
      <c r="AC795" s="103"/>
      <c r="AD795" s="102"/>
      <c r="AE795" s="102"/>
      <c r="AF795" s="103"/>
      <c r="AG795" s="579"/>
      <c r="AH795" s="103"/>
      <c r="AI795" s="96"/>
      <c r="AJ795" s="96"/>
      <c r="AK795" s="96"/>
      <c r="AL795" s="92"/>
      <c r="AM795" s="91"/>
      <c r="AN795" s="91"/>
      <c r="AO795" s="96"/>
      <c r="AP795" s="105"/>
      <c r="AQ795" s="105"/>
      <c r="AR795" s="105"/>
      <c r="AS795" s="105"/>
    </row>
    <row r="796" spans="1:45" ht="12" customHeight="1" x14ac:dyDescent="0.25">
      <c r="A796" s="90">
        <f t="shared" si="92"/>
        <v>795</v>
      </c>
      <c r="B796" s="91"/>
      <c r="C796" s="91" t="s">
        <v>1284</v>
      </c>
      <c r="D796" s="92" t="s">
        <v>4783</v>
      </c>
      <c r="E796" s="91" t="s">
        <v>4202</v>
      </c>
      <c r="F796" s="91" t="s">
        <v>0</v>
      </c>
      <c r="G796" s="56" t="s">
        <v>4291</v>
      </c>
      <c r="H796" s="91">
        <v>2100</v>
      </c>
      <c r="I796" s="91" t="s">
        <v>207</v>
      </c>
      <c r="J796" s="91" t="s">
        <v>8</v>
      </c>
      <c r="K796" s="92" t="s">
        <v>9</v>
      </c>
      <c r="L796" s="93" t="str">
        <f>VLOOKUP(G796,'SKU 对应关系'!A:E,4,0)</f>
        <v>AN8KIT-B_4X10K05_TZ</v>
      </c>
      <c r="M796" s="94" t="str">
        <f>_xlfn.IFNA(VLOOKUP(G796,'SKU 对应关系'!A:B,2,0),"")</f>
        <v>AN8KIT-B_4X10K05_TZ AN8黑色机器+4x10mL（天竺）酒店香氛油 机油套装</v>
      </c>
      <c r="N796" s="95" t="str">
        <f>_xlfn.IFNA(VLOOKUP(G796,'SKU 对应关系'!$A:$D,3,0),"")</f>
        <v>AN8</v>
      </c>
      <c r="O796" s="96">
        <v>70</v>
      </c>
      <c r="P796" s="580">
        <v>1141.1926605504586</v>
      </c>
      <c r="Q796" s="96" t="s">
        <v>16</v>
      </c>
      <c r="R796" s="91">
        <v>6.3</v>
      </c>
      <c r="S796" s="95"/>
      <c r="T796" s="98">
        <v>92.10526315789474</v>
      </c>
      <c r="U796" s="99">
        <f t="shared" si="93"/>
        <v>7281.6190246257838</v>
      </c>
      <c r="V796" s="100">
        <f t="shared" si="94"/>
        <v>3.467437630774183</v>
      </c>
      <c r="W796" s="101">
        <f t="shared" si="95"/>
        <v>0.51752800459316162</v>
      </c>
      <c r="X796" s="95"/>
      <c r="Y796" s="95"/>
      <c r="Z796" s="102"/>
      <c r="AA796" s="103">
        <v>46191</v>
      </c>
      <c r="AB796" s="103">
        <v>46213</v>
      </c>
      <c r="AC796" s="103"/>
      <c r="AD796" s="102"/>
      <c r="AE796" s="102"/>
      <c r="AF796" s="103"/>
      <c r="AG796" s="579"/>
      <c r="AH796" s="103"/>
      <c r="AI796" s="96"/>
      <c r="AJ796" s="96"/>
      <c r="AK796" s="96"/>
      <c r="AL796" s="92"/>
      <c r="AM796" s="91"/>
      <c r="AN796" s="91"/>
      <c r="AO796" s="96"/>
      <c r="AP796" s="105"/>
      <c r="AQ796" s="105"/>
      <c r="AR796" s="105"/>
      <c r="AS796" s="105"/>
    </row>
    <row r="797" spans="1:45" ht="12" customHeight="1" x14ac:dyDescent="0.25">
      <c r="A797" s="90">
        <f t="shared" si="92"/>
        <v>796</v>
      </c>
      <c r="B797" s="91"/>
      <c r="C797" s="91" t="s">
        <v>1284</v>
      </c>
      <c r="D797" s="92" t="s">
        <v>4783</v>
      </c>
      <c r="E797" s="91" t="s">
        <v>4202</v>
      </c>
      <c r="F797" s="91" t="s">
        <v>0</v>
      </c>
      <c r="G797" s="56" t="s">
        <v>4230</v>
      </c>
      <c r="H797" s="91">
        <v>660</v>
      </c>
      <c r="I797" s="91" t="s">
        <v>207</v>
      </c>
      <c r="J797" s="91" t="s">
        <v>8</v>
      </c>
      <c r="K797" s="92" t="s">
        <v>9</v>
      </c>
      <c r="L797" s="93" t="str">
        <f>VLOOKUP(G797,'SKU 对应关系'!A:E,4,0)</f>
        <v>AN8KIT-WH_4X10K05_TZ</v>
      </c>
      <c r="M797" s="94" t="str">
        <f>_xlfn.IFNA(VLOOKUP(G797,'SKU 对应关系'!A:B,2,0),"")</f>
        <v>AN8KIT-WH_4X10K05_TZ AN8白色机器+4x10mL（天竺）酒店香氛油 机油套装</v>
      </c>
      <c r="N797" s="95" t="str">
        <f>_xlfn.IFNA(VLOOKUP(G797,'SKU 对应关系'!$A:$D,3,0),"")</f>
        <v>AN8</v>
      </c>
      <c r="O797" s="96">
        <v>22</v>
      </c>
      <c r="P797" s="580">
        <v>358.66055045871559</v>
      </c>
      <c r="Q797" s="96" t="s">
        <v>16</v>
      </c>
      <c r="R797" s="91">
        <v>6.3</v>
      </c>
      <c r="S797" s="95"/>
      <c r="T797" s="98">
        <v>28.94736842105263</v>
      </c>
      <c r="U797" s="99">
        <f t="shared" si="93"/>
        <v>2288.5088363109608</v>
      </c>
      <c r="V797" s="100">
        <f t="shared" si="94"/>
        <v>3.467437630774183</v>
      </c>
      <c r="W797" s="101">
        <f t="shared" si="95"/>
        <v>0.51752800459316162</v>
      </c>
      <c r="X797" s="95"/>
      <c r="Y797" s="95"/>
      <c r="Z797" s="102"/>
      <c r="AA797" s="103">
        <v>46191</v>
      </c>
      <c r="AB797" s="103">
        <v>46213</v>
      </c>
      <c r="AC797" s="103"/>
      <c r="AD797" s="102"/>
      <c r="AE797" s="102"/>
      <c r="AF797" s="103"/>
      <c r="AG797" s="579"/>
      <c r="AH797" s="103"/>
      <c r="AI797" s="96"/>
      <c r="AJ797" s="96"/>
      <c r="AK797" s="96"/>
      <c r="AL797" s="92"/>
      <c r="AM797" s="91"/>
      <c r="AN797" s="91"/>
      <c r="AO797" s="96"/>
      <c r="AP797" s="105"/>
      <c r="AQ797" s="105"/>
      <c r="AR797" s="105"/>
      <c r="AS797" s="105"/>
    </row>
    <row r="798" spans="1:45" ht="12" customHeight="1" x14ac:dyDescent="0.25">
      <c r="A798" s="90">
        <f t="shared" si="92"/>
        <v>797</v>
      </c>
      <c r="B798" s="91"/>
      <c r="C798" s="91" t="s">
        <v>4781</v>
      </c>
      <c r="D798" s="92" t="s">
        <v>4784</v>
      </c>
      <c r="E798" s="91" t="s">
        <v>97</v>
      </c>
      <c r="F798" s="91" t="s">
        <v>0</v>
      </c>
      <c r="G798" s="56" t="s">
        <v>161</v>
      </c>
      <c r="H798" s="91">
        <v>96</v>
      </c>
      <c r="I798" s="91" t="s">
        <v>89</v>
      </c>
      <c r="J798" s="91" t="s">
        <v>8</v>
      </c>
      <c r="K798" s="92" t="s">
        <v>50</v>
      </c>
      <c r="L798" s="93" t="str">
        <f>VLOOKUP(G798,'SKU 对应关系'!A:E,4,0)</f>
        <v>AN6B-NZB</v>
      </c>
      <c r="M798" s="94" t="str">
        <f>_xlfn.IFNA(VLOOKUP(G798,'SKU 对应关系'!A:B,2,0),"")</f>
        <v>AN6B-NZB 便携式扩香仪套装 黑机器+黑喷嘴</v>
      </c>
      <c r="N798" s="95" t="str">
        <f>_xlfn.IFNA(VLOOKUP(G798,'SKU 对应关系'!$A:$D,3,0),"")</f>
        <v>AN6</v>
      </c>
      <c r="O798" s="96">
        <v>3</v>
      </c>
      <c r="P798" s="580">
        <v>39.504827586206893</v>
      </c>
      <c r="Q798" s="96" t="s">
        <v>16</v>
      </c>
      <c r="R798" s="91">
        <v>5.3</v>
      </c>
      <c r="S798" s="95">
        <v>200</v>
      </c>
      <c r="T798" s="98">
        <v>5.9405940594059405</v>
      </c>
      <c r="U798" s="99">
        <f t="shared" si="93"/>
        <v>215.31618026630247</v>
      </c>
      <c r="V798" s="100">
        <f t="shared" si="94"/>
        <v>2.242876877773984</v>
      </c>
      <c r="W798" s="101">
        <f t="shared" si="95"/>
        <v>0.33475774295134086</v>
      </c>
      <c r="X798" s="95"/>
      <c r="Y798" s="95"/>
      <c r="Z798" s="102"/>
      <c r="AA798" s="103">
        <v>46191</v>
      </c>
      <c r="AB798" s="103"/>
      <c r="AC798" s="103"/>
      <c r="AD798" s="102"/>
      <c r="AE798" s="102"/>
      <c r="AF798" s="103"/>
      <c r="AG798" s="579"/>
      <c r="AH798" s="103"/>
      <c r="AI798" s="96"/>
      <c r="AJ798" s="96"/>
      <c r="AK798" s="96"/>
      <c r="AL798" s="92"/>
      <c r="AM798" s="91"/>
      <c r="AN798" s="91"/>
      <c r="AO798" s="96"/>
      <c r="AP798" s="105"/>
      <c r="AQ798" s="105"/>
      <c r="AR798" s="105"/>
      <c r="AS798" s="105"/>
    </row>
    <row r="799" spans="1:45" ht="12" customHeight="1" x14ac:dyDescent="0.25">
      <c r="A799" s="90">
        <f t="shared" si="92"/>
        <v>798</v>
      </c>
      <c r="B799" s="91"/>
      <c r="C799" s="91" t="s">
        <v>4781</v>
      </c>
      <c r="D799" s="92" t="s">
        <v>4784</v>
      </c>
      <c r="E799" s="91" t="s">
        <v>97</v>
      </c>
      <c r="F799" s="91" t="s">
        <v>0</v>
      </c>
      <c r="G799" s="56" t="s">
        <v>163</v>
      </c>
      <c r="H799" s="91">
        <v>1600</v>
      </c>
      <c r="I799" s="91" t="s">
        <v>89</v>
      </c>
      <c r="J799" s="91" t="s">
        <v>8</v>
      </c>
      <c r="K799" s="92" t="s">
        <v>50</v>
      </c>
      <c r="L799" s="93" t="str">
        <f>VLOOKUP(G799,'SKU 对应关系'!A:E,4,0)</f>
        <v>AN6-B</v>
      </c>
      <c r="M799" s="94" t="str">
        <f>_xlfn.IFNA(VLOOKUP(G799,'SKU 对应关系'!A:B,2,0),"")</f>
        <v>AN6-B 便携式扩香仪 黑色</v>
      </c>
      <c r="N799" s="95" t="str">
        <f>_xlfn.IFNA(VLOOKUP(G799,'SKU 对应关系'!$A:$D,3,0),"")</f>
        <v>AN6</v>
      </c>
      <c r="O799" s="96">
        <v>40</v>
      </c>
      <c r="P799" s="580">
        <v>526.73103448275856</v>
      </c>
      <c r="Q799" s="96" t="s">
        <v>16</v>
      </c>
      <c r="R799" s="91">
        <v>5.3</v>
      </c>
      <c r="S799" s="106">
        <v>200</v>
      </c>
      <c r="T799" s="98">
        <v>79.207920792079207</v>
      </c>
      <c r="U799" s="99">
        <f t="shared" si="93"/>
        <v>2870.8824035506996</v>
      </c>
      <c r="V799" s="100">
        <f t="shared" si="94"/>
        <v>1.7943015022191873</v>
      </c>
      <c r="W799" s="101">
        <f t="shared" si="95"/>
        <v>0.26780619436107272</v>
      </c>
      <c r="X799" s="95"/>
      <c r="Y799" s="95"/>
      <c r="Z799" s="102"/>
      <c r="AA799" s="103">
        <v>46191</v>
      </c>
      <c r="AB799" s="103"/>
      <c r="AC799" s="103"/>
      <c r="AD799" s="102"/>
      <c r="AE799" s="102"/>
      <c r="AF799" s="103"/>
      <c r="AG799" s="579"/>
      <c r="AH799" s="103"/>
      <c r="AI799" s="96"/>
      <c r="AJ799" s="96"/>
      <c r="AK799" s="96"/>
      <c r="AL799" s="92"/>
      <c r="AM799" s="91"/>
      <c r="AN799" s="91"/>
      <c r="AO799" s="96"/>
      <c r="AP799" s="105"/>
      <c r="AQ799" s="105"/>
      <c r="AR799" s="105"/>
      <c r="AS799" s="105"/>
    </row>
    <row r="800" spans="1:45" ht="12" customHeight="1" x14ac:dyDescent="0.25">
      <c r="A800" s="90">
        <f t="shared" si="92"/>
        <v>799</v>
      </c>
      <c r="B800" s="91"/>
      <c r="C800" s="91" t="s">
        <v>4781</v>
      </c>
      <c r="D800" s="92" t="s">
        <v>4784</v>
      </c>
      <c r="E800" s="91" t="s">
        <v>97</v>
      </c>
      <c r="F800" s="91" t="s">
        <v>0</v>
      </c>
      <c r="G800" s="56" t="s">
        <v>165</v>
      </c>
      <c r="H800" s="91">
        <v>600</v>
      </c>
      <c r="I800" s="91" t="s">
        <v>89</v>
      </c>
      <c r="J800" s="91" t="s">
        <v>8</v>
      </c>
      <c r="K800" s="92" t="s">
        <v>50</v>
      </c>
      <c r="L800" s="93" t="str">
        <f>VLOOKUP(G800,'SKU 对应关系'!A:E,4,0)</f>
        <v>AN6-W</v>
      </c>
      <c r="M800" s="94" t="str">
        <f>_xlfn.IFNA(VLOOKUP(G800,'SKU 对应关系'!A:B,2,0),"")</f>
        <v>AN6-W 便携式扩香仪 白色</v>
      </c>
      <c r="N800" s="95" t="str">
        <f>_xlfn.IFNA(VLOOKUP(G800,'SKU 对应关系'!$A:$D,3,0),"")</f>
        <v>AN6</v>
      </c>
      <c r="O800" s="96">
        <v>15</v>
      </c>
      <c r="P800" s="580">
        <v>197.52413793103449</v>
      </c>
      <c r="Q800" s="96" t="s">
        <v>16</v>
      </c>
      <c r="R800" s="91">
        <v>5.3</v>
      </c>
      <c r="S800" s="95"/>
      <c r="T800" s="98">
        <v>29.702970297029704</v>
      </c>
      <c r="U800" s="99">
        <f t="shared" si="93"/>
        <v>1076.5809013315125</v>
      </c>
      <c r="V800" s="100">
        <f t="shared" si="94"/>
        <v>1.7943015022191875</v>
      </c>
      <c r="W800" s="101">
        <f t="shared" si="95"/>
        <v>0.26780619436107278</v>
      </c>
      <c r="X800" s="95"/>
      <c r="Y800" s="95"/>
      <c r="Z800" s="102"/>
      <c r="AA800" s="103">
        <v>46191</v>
      </c>
      <c r="AB800" s="103"/>
      <c r="AC800" s="103"/>
      <c r="AD800" s="102"/>
      <c r="AE800" s="102"/>
      <c r="AF800" s="103"/>
      <c r="AG800" s="579"/>
      <c r="AH800" s="103"/>
      <c r="AI800" s="96"/>
      <c r="AJ800" s="96"/>
      <c r="AK800" s="96"/>
      <c r="AL800" s="92"/>
      <c r="AM800" s="91"/>
      <c r="AN800" s="91"/>
      <c r="AO800" s="96"/>
      <c r="AP800" s="105"/>
      <c r="AQ800" s="105"/>
      <c r="AR800" s="105"/>
      <c r="AS800" s="105"/>
    </row>
    <row r="801" spans="1:45" ht="12" customHeight="1" x14ac:dyDescent="0.25">
      <c r="A801" s="90">
        <f t="shared" si="92"/>
        <v>800</v>
      </c>
      <c r="B801" s="91"/>
      <c r="C801" s="91" t="s">
        <v>1270</v>
      </c>
      <c r="D801" s="92" t="s">
        <v>4785</v>
      </c>
      <c r="E801" s="91" t="s">
        <v>115</v>
      </c>
      <c r="F801" s="91" t="s">
        <v>0</v>
      </c>
      <c r="G801" s="56" t="s">
        <v>3116</v>
      </c>
      <c r="H801" s="91">
        <v>30</v>
      </c>
      <c r="I801" s="91" t="s">
        <v>207</v>
      </c>
      <c r="J801" s="91" t="s">
        <v>8</v>
      </c>
      <c r="K801" s="92" t="s">
        <v>10</v>
      </c>
      <c r="L801" s="93" t="str">
        <f>VLOOKUP(G801,'SKU 对应关系'!A:E,4,0)</f>
        <v>ANXKIT-B_4X10K04_TZ</v>
      </c>
      <c r="M801" s="94" t="str">
        <f>_xlfn.IFNA(VLOOKUP(G801,'SKU 对应关系'!A:B,2,0),"")</f>
        <v>ANXKIT-B_4X10K04_TZ ANX黑色机器+4x10mL酒店（天竺）香氛油 机油套装</v>
      </c>
      <c r="N801" s="95" t="str">
        <f>_xlfn.IFNA(VLOOKUP(G801,'SKU 对应关系'!$A:$D,3,0),"")</f>
        <v>ANX</v>
      </c>
      <c r="O801" s="96">
        <v>1</v>
      </c>
      <c r="P801" s="580">
        <v>14.058823529411764</v>
      </c>
      <c r="Q801" s="96" t="s">
        <v>16</v>
      </c>
      <c r="R801" s="91">
        <v>6.8</v>
      </c>
      <c r="S801" s="95">
        <v>200</v>
      </c>
      <c r="T801" s="98">
        <v>3.7037037037037037</v>
      </c>
      <c r="U801" s="99">
        <f t="shared" si="93"/>
        <v>99.303703703703704</v>
      </c>
      <c r="V801" s="100">
        <f t="shared" si="94"/>
        <v>3.3101234567901234</v>
      </c>
      <c r="W801" s="101">
        <f t="shared" si="95"/>
        <v>0.49404827713285421</v>
      </c>
      <c r="X801" s="95"/>
      <c r="Y801" s="95"/>
      <c r="Z801" s="102"/>
      <c r="AA801" s="103">
        <v>46191</v>
      </c>
      <c r="AB801" s="103">
        <v>46213</v>
      </c>
      <c r="AC801" s="103"/>
      <c r="AD801" s="102"/>
      <c r="AE801" s="102"/>
      <c r="AF801" s="103"/>
      <c r="AG801" s="579"/>
      <c r="AH801" s="103"/>
      <c r="AI801" s="96"/>
      <c r="AJ801" s="96"/>
      <c r="AK801" s="96"/>
      <c r="AL801" s="92"/>
      <c r="AM801" s="91"/>
      <c r="AN801" s="91"/>
      <c r="AO801" s="96"/>
      <c r="AP801" s="105"/>
      <c r="AQ801" s="105"/>
      <c r="AR801" s="105"/>
      <c r="AS801" s="105"/>
    </row>
    <row r="802" spans="1:45" ht="12" customHeight="1" x14ac:dyDescent="0.25">
      <c r="A802" s="90">
        <f t="shared" si="92"/>
        <v>801</v>
      </c>
      <c r="B802" s="91"/>
      <c r="C802" s="91" t="s">
        <v>1270</v>
      </c>
      <c r="D802" s="92" t="s">
        <v>4785</v>
      </c>
      <c r="E802" s="91" t="s">
        <v>115</v>
      </c>
      <c r="F802" s="91" t="s">
        <v>0</v>
      </c>
      <c r="G802" s="56" t="s">
        <v>872</v>
      </c>
      <c r="H802" s="91">
        <v>480</v>
      </c>
      <c r="I802" s="91" t="s">
        <v>207</v>
      </c>
      <c r="J802" s="91" t="s">
        <v>8</v>
      </c>
      <c r="K802" s="92" t="s">
        <v>10</v>
      </c>
      <c r="L802" s="93" t="str">
        <f>VLOOKUP(G802,'SKU 对应关系'!A:E,4,0)</f>
        <v>AN6KIT-B_RZ30ml</v>
      </c>
      <c r="M802" s="94" t="str">
        <f>_xlfn.IFNA(VLOOKUP(G802,'SKU 对应关系'!A:B,2,0),"")</f>
        <v>AN6KIT-B_RZ30ml AN6黑色机器+30mL丽思香氛油 机油套装</v>
      </c>
      <c r="N802" s="95" t="str">
        <f>_xlfn.IFNA(VLOOKUP(G802,'SKU 对应关系'!$A:$D,3,0),"")</f>
        <v>AN6</v>
      </c>
      <c r="O802" s="96">
        <v>16</v>
      </c>
      <c r="P802" s="580">
        <v>224.94117647058823</v>
      </c>
      <c r="Q802" s="96" t="s">
        <v>16</v>
      </c>
      <c r="R802" s="91">
        <v>6.8</v>
      </c>
      <c r="S802" s="106">
        <v>200</v>
      </c>
      <c r="T802" s="98">
        <v>59.25925925925926</v>
      </c>
      <c r="U802" s="99">
        <f t="shared" si="93"/>
        <v>1588.8592592592593</v>
      </c>
      <c r="V802" s="100">
        <f t="shared" si="94"/>
        <v>3.3101234567901234</v>
      </c>
      <c r="W802" s="101">
        <f t="shared" si="95"/>
        <v>0.49404827713285421</v>
      </c>
      <c r="X802" s="95"/>
      <c r="Y802" s="95"/>
      <c r="Z802" s="102"/>
      <c r="AA802" s="103">
        <v>46191</v>
      </c>
      <c r="AB802" s="103">
        <v>46213</v>
      </c>
      <c r="AC802" s="103"/>
      <c r="AD802" s="102"/>
      <c r="AE802" s="102"/>
      <c r="AF802" s="103"/>
      <c r="AG802" s="579"/>
      <c r="AH802" s="103"/>
      <c r="AI802" s="96"/>
      <c r="AJ802" s="96"/>
      <c r="AK802" s="96"/>
      <c r="AL802" s="92"/>
      <c r="AM802" s="91"/>
      <c r="AN802" s="91"/>
      <c r="AO802" s="96"/>
      <c r="AP802" s="105"/>
      <c r="AQ802" s="105"/>
      <c r="AR802" s="105"/>
      <c r="AS802" s="105"/>
    </row>
    <row r="803" spans="1:45" ht="12" customHeight="1" x14ac:dyDescent="0.25">
      <c r="A803" s="90">
        <f t="shared" si="92"/>
        <v>802</v>
      </c>
      <c r="B803" s="91"/>
      <c r="C803" s="91" t="s">
        <v>4786</v>
      </c>
      <c r="D803" s="92" t="s">
        <v>4787</v>
      </c>
      <c r="E803" s="91" t="s">
        <v>4202</v>
      </c>
      <c r="F803" s="91" t="s">
        <v>0</v>
      </c>
      <c r="G803" s="56" t="s">
        <v>2228</v>
      </c>
      <c r="H803" s="91">
        <v>600</v>
      </c>
      <c r="I803" s="91" t="s">
        <v>89</v>
      </c>
      <c r="J803" s="91" t="s">
        <v>8</v>
      </c>
      <c r="K803" s="92" t="s">
        <v>50</v>
      </c>
      <c r="L803" s="93" t="str">
        <f>VLOOKUP(G803,'SKU 对应关系'!A:E,4,0)</f>
        <v>AN6KIT-B_2X20K01</v>
      </c>
      <c r="M803" s="94" t="str">
        <f>_xlfn.IFNA(VLOOKUP(G803,'SKU 对应关系'!A:B,2,0),"")</f>
        <v>AN6KIT-B_2X20K01 AN6黑色机器+2X20mL酒店香氛油 机油套装</v>
      </c>
      <c r="N803" s="95" t="str">
        <f>_xlfn.IFNA(VLOOKUP(G803,'SKU 对应关系'!$A:$D,3,0),"")</f>
        <v>AN6</v>
      </c>
      <c r="O803" s="96">
        <v>20</v>
      </c>
      <c r="P803" s="580">
        <v>291</v>
      </c>
      <c r="Q803" s="96" t="s">
        <v>16</v>
      </c>
      <c r="R803" s="91">
        <v>5.3</v>
      </c>
      <c r="S803" s="95">
        <v>200</v>
      </c>
      <c r="T803" s="98">
        <v>200</v>
      </c>
      <c r="U803" s="99">
        <f t="shared" si="93"/>
        <v>1742.3</v>
      </c>
      <c r="V803" s="100">
        <f t="shared" si="94"/>
        <v>2.903833333333333</v>
      </c>
      <c r="W803" s="101">
        <f t="shared" si="95"/>
        <v>0.4334079601990049</v>
      </c>
      <c r="X803" s="95"/>
      <c r="Y803" s="95"/>
      <c r="Z803" s="102"/>
      <c r="AA803" s="103">
        <v>46191</v>
      </c>
      <c r="AB803" s="103"/>
      <c r="AC803" s="103"/>
      <c r="AD803" s="102"/>
      <c r="AE803" s="102"/>
      <c r="AF803" s="103"/>
      <c r="AG803" s="579"/>
      <c r="AH803" s="103"/>
      <c r="AI803" s="96"/>
      <c r="AJ803" s="96"/>
      <c r="AK803" s="96"/>
      <c r="AL803" s="92"/>
      <c r="AM803" s="91"/>
      <c r="AN803" s="91"/>
      <c r="AO803" s="96"/>
      <c r="AP803" s="105"/>
      <c r="AQ803" s="105"/>
      <c r="AR803" s="105"/>
      <c r="AS803" s="105"/>
    </row>
    <row r="804" spans="1:45" ht="12" customHeight="1" x14ac:dyDescent="0.25">
      <c r="A804" s="90">
        <f t="shared" si="92"/>
        <v>803</v>
      </c>
      <c r="B804" s="91"/>
      <c r="C804" s="91" t="s">
        <v>1263</v>
      </c>
      <c r="D804" s="92" t="s">
        <v>4788</v>
      </c>
      <c r="E804" s="91" t="s">
        <v>1037</v>
      </c>
      <c r="F804" s="91" t="s">
        <v>0</v>
      </c>
      <c r="G804" s="56" t="s">
        <v>1330</v>
      </c>
      <c r="H804" s="91">
        <v>324</v>
      </c>
      <c r="I804" s="91" t="s">
        <v>117</v>
      </c>
      <c r="J804" s="91" t="s">
        <v>8</v>
      </c>
      <c r="K804" s="92" t="s">
        <v>50</v>
      </c>
      <c r="L804" s="93" t="str">
        <f>VLOOKUP(G804,'SKU 对应关系'!A:E,4,0)</f>
        <v>ANA-B_US</v>
      </c>
      <c r="M804" s="94" t="str">
        <f>_xlfn.IFNA(VLOOKUP(G804,'SKU 对应关系'!A:B,2,0),"")</f>
        <v>ANA-B_US 智能扩香仪 黑色</v>
      </c>
      <c r="N804" s="95" t="str">
        <f>_xlfn.IFNA(VLOOKUP(G804,'SKU 对应关系'!$A:$D,3,0),"")</f>
        <v>ANA</v>
      </c>
      <c r="O804" s="96">
        <v>27</v>
      </c>
      <c r="P804" s="580">
        <v>398.5</v>
      </c>
      <c r="Q804" s="96" t="s">
        <v>16</v>
      </c>
      <c r="R804" s="91">
        <v>6.1</v>
      </c>
      <c r="S804" s="95">
        <v>200</v>
      </c>
      <c r="T804" s="98">
        <v>57.446808510638299</v>
      </c>
      <c r="U804" s="99">
        <f t="shared" si="93"/>
        <v>2488.2968085106381</v>
      </c>
      <c r="V804" s="100">
        <f t="shared" si="94"/>
        <v>7.6799284213291301</v>
      </c>
      <c r="W804" s="101">
        <f t="shared" si="95"/>
        <v>1.1462579733327058</v>
      </c>
      <c r="X804" s="95"/>
      <c r="Y804" s="95"/>
      <c r="Z804" s="102"/>
      <c r="AA804" s="103">
        <v>46191</v>
      </c>
      <c r="AB804" s="103"/>
      <c r="AC804" s="103"/>
      <c r="AD804" s="102"/>
      <c r="AE804" s="102"/>
      <c r="AF804" s="103"/>
      <c r="AG804" s="579"/>
      <c r="AH804" s="103"/>
      <c r="AI804" s="96"/>
      <c r="AJ804" s="96"/>
      <c r="AK804" s="96"/>
      <c r="AL804" s="92"/>
      <c r="AM804" s="91"/>
      <c r="AN804" s="91"/>
      <c r="AO804" s="96"/>
      <c r="AP804" s="105"/>
      <c r="AQ804" s="105"/>
      <c r="AR804" s="105"/>
      <c r="AS804" s="105"/>
    </row>
    <row r="805" spans="1:45" ht="12" customHeight="1" x14ac:dyDescent="0.25">
      <c r="A805" s="90">
        <f t="shared" si="92"/>
        <v>804</v>
      </c>
      <c r="B805" s="91"/>
      <c r="C805" s="91" t="s">
        <v>1263</v>
      </c>
      <c r="D805" s="92" t="s">
        <v>4788</v>
      </c>
      <c r="E805" s="91" t="s">
        <v>1037</v>
      </c>
      <c r="F805" s="91" t="s">
        <v>0</v>
      </c>
      <c r="G805" s="56" t="s">
        <v>1332</v>
      </c>
      <c r="H805" s="91">
        <v>324</v>
      </c>
      <c r="I805" s="91" t="s">
        <v>117</v>
      </c>
      <c r="J805" s="91" t="s">
        <v>8</v>
      </c>
      <c r="K805" s="92" t="s">
        <v>50</v>
      </c>
      <c r="L805" s="93" t="str">
        <f>VLOOKUP(G805,'SKU 对应关系'!A:E,4,0)</f>
        <v>ANA-W_US</v>
      </c>
      <c r="M805" s="94" t="str">
        <f>_xlfn.IFNA(VLOOKUP(G805,'SKU 对应关系'!A:B,2,0),"")</f>
        <v>ANA-W_US 智能扩香仪 白色</v>
      </c>
      <c r="N805" s="95" t="str">
        <f>_xlfn.IFNA(VLOOKUP(G805,'SKU 对应关系'!$A:$D,3,0),"")</f>
        <v>ANA</v>
      </c>
      <c r="O805" s="96">
        <v>27</v>
      </c>
      <c r="P805" s="580">
        <v>398.5</v>
      </c>
      <c r="Q805" s="96" t="s">
        <v>16</v>
      </c>
      <c r="R805" s="91">
        <v>6.1</v>
      </c>
      <c r="S805" s="106">
        <v>200</v>
      </c>
      <c r="T805" s="98">
        <v>57.446808510638299</v>
      </c>
      <c r="U805" s="99">
        <f t="shared" si="93"/>
        <v>2488.2968085106381</v>
      </c>
      <c r="V805" s="100">
        <f t="shared" si="94"/>
        <v>7.6799284213291301</v>
      </c>
      <c r="W805" s="101">
        <f t="shared" si="95"/>
        <v>1.1462579733327058</v>
      </c>
      <c r="X805" s="95"/>
      <c r="Y805" s="95"/>
      <c r="Z805" s="102"/>
      <c r="AA805" s="103">
        <v>46191</v>
      </c>
      <c r="AB805" s="103"/>
      <c r="AC805" s="103"/>
      <c r="AD805" s="102"/>
      <c r="AE805" s="102"/>
      <c r="AF805" s="103"/>
      <c r="AG805" s="579"/>
      <c r="AH805" s="103"/>
      <c r="AI805" s="96"/>
      <c r="AJ805" s="96"/>
      <c r="AK805" s="96"/>
      <c r="AL805" s="92"/>
      <c r="AM805" s="91"/>
      <c r="AN805" s="91"/>
      <c r="AO805" s="96"/>
      <c r="AP805" s="105"/>
      <c r="AQ805" s="105"/>
      <c r="AR805" s="105"/>
      <c r="AS805" s="105"/>
    </row>
    <row r="806" spans="1:45" ht="12" customHeight="1" x14ac:dyDescent="0.25">
      <c r="A806" s="90">
        <f t="shared" si="92"/>
        <v>805</v>
      </c>
      <c r="B806" s="91"/>
      <c r="C806" s="91" t="s">
        <v>1270</v>
      </c>
      <c r="D806" s="92" t="s">
        <v>4789</v>
      </c>
      <c r="E806" s="91" t="s">
        <v>1037</v>
      </c>
      <c r="F806" s="91" t="s">
        <v>0</v>
      </c>
      <c r="G806" s="56" t="s">
        <v>2355</v>
      </c>
      <c r="H806" s="91">
        <v>132</v>
      </c>
      <c r="I806" s="91" t="s">
        <v>207</v>
      </c>
      <c r="J806" s="91" t="s">
        <v>8</v>
      </c>
      <c r="K806" s="92" t="s">
        <v>50</v>
      </c>
      <c r="L806" s="93" t="str">
        <f>VLOOKUP(G806,'SKU 对应关系'!A:E,4,0)</f>
        <v>ANAKIT-B_US_2X100K03</v>
      </c>
      <c r="M806" s="94" t="str">
        <f>_xlfn.IFNA(VLOOKUP(G806,'SKU 对应关系'!A:B,2,0),"")</f>
        <v>ANAKIT-B_US_2X100K03 ANA黑色机器+2X100mL酒店香氛油（天竺） 机油套装</v>
      </c>
      <c r="N806" s="95" t="str">
        <f>_xlfn.IFNA(VLOOKUP(G806,'SKU 对应关系'!$A:$D,3,0),"")</f>
        <v>ANA</v>
      </c>
      <c r="O806" s="96">
        <v>11</v>
      </c>
      <c r="P806" s="580">
        <v>191.71428571428569</v>
      </c>
      <c r="Q806" s="96" t="s">
        <v>16</v>
      </c>
      <c r="R806" s="91">
        <v>6.8</v>
      </c>
      <c r="S806" s="95">
        <v>200</v>
      </c>
      <c r="T806" s="98">
        <v>40.74074074074074</v>
      </c>
      <c r="U806" s="99">
        <f t="shared" si="93"/>
        <v>1344.3978835978833</v>
      </c>
      <c r="V806" s="100">
        <f t="shared" si="94"/>
        <v>10.184832451499116</v>
      </c>
      <c r="W806" s="101">
        <f t="shared" si="95"/>
        <v>1.5201242464924052</v>
      </c>
      <c r="X806" s="95"/>
      <c r="Y806" s="95"/>
      <c r="Z806" s="102"/>
      <c r="AA806" s="103">
        <v>46191</v>
      </c>
      <c r="AB806" s="103">
        <v>46213</v>
      </c>
      <c r="AC806" s="103"/>
      <c r="AD806" s="102"/>
      <c r="AE806" s="102"/>
      <c r="AF806" s="103"/>
      <c r="AG806" s="579"/>
      <c r="AH806" s="103"/>
      <c r="AI806" s="96"/>
      <c r="AJ806" s="96"/>
      <c r="AK806" s="96"/>
      <c r="AL806" s="92"/>
      <c r="AM806" s="91"/>
      <c r="AN806" s="91"/>
      <c r="AO806" s="96"/>
      <c r="AP806" s="105"/>
      <c r="AQ806" s="105"/>
      <c r="AR806" s="105"/>
      <c r="AS806" s="105"/>
    </row>
    <row r="807" spans="1:45" ht="12" customHeight="1" x14ac:dyDescent="0.25">
      <c r="A807" s="90">
        <f t="shared" si="92"/>
        <v>806</v>
      </c>
      <c r="B807" s="91"/>
      <c r="C807" s="91" t="s">
        <v>1270</v>
      </c>
      <c r="D807" s="92" t="s">
        <v>4789</v>
      </c>
      <c r="E807" s="91" t="s">
        <v>1037</v>
      </c>
      <c r="F807" s="91" t="s">
        <v>0</v>
      </c>
      <c r="G807" s="56" t="s">
        <v>2357</v>
      </c>
      <c r="H807" s="91">
        <v>120</v>
      </c>
      <c r="I807" s="91" t="s">
        <v>207</v>
      </c>
      <c r="J807" s="91" t="s">
        <v>8</v>
      </c>
      <c r="K807" s="92" t="s">
        <v>50</v>
      </c>
      <c r="L807" s="93" t="str">
        <f>VLOOKUP(G807,'SKU 对应关系'!A:E,4,0)</f>
        <v>ANAKIT-WH_US_2X100K03</v>
      </c>
      <c r="M807" s="94" t="str">
        <f>_xlfn.IFNA(VLOOKUP(G807,'SKU 对应关系'!A:B,2,0),"")</f>
        <v>ANAKIT-WH_US_2X100K03 ANA白色机器+2X100mL酒店香氛油（天竺） 机油套装</v>
      </c>
      <c r="N807" s="95" t="str">
        <f>_xlfn.IFNA(VLOOKUP(G807,'SKU 对应关系'!$A:$D,3,0),"")</f>
        <v>ANA</v>
      </c>
      <c r="O807" s="96">
        <v>10</v>
      </c>
      <c r="P807" s="580">
        <v>174.28571428571428</v>
      </c>
      <c r="Q807" s="96" t="s">
        <v>16</v>
      </c>
      <c r="R807" s="91">
        <v>6.8</v>
      </c>
      <c r="S807" s="106">
        <v>200</v>
      </c>
      <c r="T807" s="98">
        <v>37.037037037037038</v>
      </c>
      <c r="U807" s="99">
        <f t="shared" si="93"/>
        <v>1222.1798941798941</v>
      </c>
      <c r="V807" s="100">
        <f t="shared" si="94"/>
        <v>10.184832451499117</v>
      </c>
      <c r="W807" s="101">
        <f t="shared" si="95"/>
        <v>1.5201242464924056</v>
      </c>
      <c r="X807" s="95"/>
      <c r="Y807" s="95"/>
      <c r="Z807" s="102"/>
      <c r="AA807" s="103">
        <v>46191</v>
      </c>
      <c r="AB807" s="103">
        <v>46213</v>
      </c>
      <c r="AC807" s="103"/>
      <c r="AD807" s="102"/>
      <c r="AE807" s="102"/>
      <c r="AF807" s="103"/>
      <c r="AG807" s="579"/>
      <c r="AH807" s="103"/>
      <c r="AI807" s="96"/>
      <c r="AJ807" s="96"/>
      <c r="AK807" s="96"/>
      <c r="AL807" s="92"/>
      <c r="AM807" s="91"/>
      <c r="AN807" s="91"/>
      <c r="AO807" s="96"/>
      <c r="AP807" s="105"/>
      <c r="AQ807" s="105"/>
      <c r="AR807" s="105"/>
      <c r="AS807" s="105"/>
    </row>
    <row r="808" spans="1:45" ht="12" customHeight="1" x14ac:dyDescent="0.25">
      <c r="A808" s="90">
        <f t="shared" si="92"/>
        <v>807</v>
      </c>
      <c r="B808" s="91"/>
      <c r="C808" s="91" t="s">
        <v>1284</v>
      </c>
      <c r="D808" s="92" t="s">
        <v>4790</v>
      </c>
      <c r="E808" s="91" t="s">
        <v>4202</v>
      </c>
      <c r="F808" s="91" t="s">
        <v>0</v>
      </c>
      <c r="G808" s="56" t="s">
        <v>2984</v>
      </c>
      <c r="H808" s="91">
        <v>96</v>
      </c>
      <c r="I808" s="91" t="s">
        <v>207</v>
      </c>
      <c r="J808" s="91" t="s">
        <v>8</v>
      </c>
      <c r="K808" s="92" t="s">
        <v>9</v>
      </c>
      <c r="L808" s="93" t="str">
        <f>VLOOKUP(G808,'SKU 对应关系'!A:E,4,0)</f>
        <v>ANPKIT-B_US_3X20K01_TZ</v>
      </c>
      <c r="M808" s="94" t="str">
        <f>_xlfn.IFNA(VLOOKUP(G808,'SKU 对应关系'!A:B,2,0),"")</f>
        <v>ANPKIT-B_US_3X20K01_TZ ANP黑色机器+3X20mL酒店香氛油（天竺） 机油套装</v>
      </c>
      <c r="N808" s="95" t="str">
        <f>_xlfn.IFNA(VLOOKUP(G808,'SKU 对应关系'!$A:$D,3,0),"")</f>
        <v>ANP</v>
      </c>
      <c r="O808" s="96">
        <v>3</v>
      </c>
      <c r="P808" s="580">
        <v>50.441860465116278</v>
      </c>
      <c r="Q808" s="96" t="s">
        <v>16</v>
      </c>
      <c r="R808" s="91">
        <v>6.8</v>
      </c>
      <c r="S808" s="95">
        <v>200</v>
      </c>
      <c r="T808" s="98">
        <v>3.9473684210526314</v>
      </c>
      <c r="U808" s="99">
        <f t="shared" si="93"/>
        <v>346.95201958384337</v>
      </c>
      <c r="V808" s="100">
        <f t="shared" si="94"/>
        <v>3.6140835373317017</v>
      </c>
      <c r="W808" s="101">
        <f t="shared" si="95"/>
        <v>0.53941545333308982</v>
      </c>
      <c r="X808" s="95"/>
      <c r="Y808" s="95"/>
      <c r="Z808" s="102"/>
      <c r="AA808" s="103">
        <v>46191</v>
      </c>
      <c r="AB808" s="103">
        <v>46213</v>
      </c>
      <c r="AC808" s="103"/>
      <c r="AD808" s="102"/>
      <c r="AE808" s="102"/>
      <c r="AF808" s="103"/>
      <c r="AG808" s="579"/>
      <c r="AH808" s="103"/>
      <c r="AI808" s="96"/>
      <c r="AJ808" s="96"/>
      <c r="AK808" s="96"/>
      <c r="AL808" s="92"/>
      <c r="AM808" s="91"/>
      <c r="AN808" s="91"/>
      <c r="AO808" s="96"/>
      <c r="AP808" s="105"/>
      <c r="AQ808" s="105"/>
      <c r="AR808" s="105"/>
      <c r="AS808" s="105"/>
    </row>
    <row r="809" spans="1:45" ht="12" customHeight="1" x14ac:dyDescent="0.25">
      <c r="A809" s="90">
        <f t="shared" si="92"/>
        <v>808</v>
      </c>
      <c r="B809" s="91"/>
      <c r="C809" s="91" t="s">
        <v>1284</v>
      </c>
      <c r="D809" s="92" t="s">
        <v>4790</v>
      </c>
      <c r="E809" s="91" t="s">
        <v>4202</v>
      </c>
      <c r="F809" s="91" t="s">
        <v>0</v>
      </c>
      <c r="G809" s="56" t="s">
        <v>4526</v>
      </c>
      <c r="H809" s="91">
        <v>360</v>
      </c>
      <c r="I809" s="91" t="s">
        <v>207</v>
      </c>
      <c r="J809" s="91" t="s">
        <v>8</v>
      </c>
      <c r="K809" s="92" t="s">
        <v>9</v>
      </c>
      <c r="L809" s="93" t="str">
        <f>VLOOKUP(G809,'SKU 对应关系'!A:E,4,0)</f>
        <v>U1KIT-B_US_2X50K01_TZ</v>
      </c>
      <c r="M809" s="94" t="str">
        <f>_xlfn.IFNA(VLOOKUP(G809,'SKU 对应关系'!A:B,2,0),"")</f>
        <v>U1KIT-B_US_2X50K01_TZ U1黑色机器+2X50mL酒店香氛油（天竺） 机油套装</v>
      </c>
      <c r="N809" s="95" t="str">
        <f>_xlfn.IFNA(VLOOKUP(G809,'SKU 对应关系'!$A:$D,3,0),"")</f>
        <v>U1</v>
      </c>
      <c r="O809" s="96">
        <v>40</v>
      </c>
      <c r="P809" s="580">
        <v>672.55813953488371</v>
      </c>
      <c r="Q809" s="96" t="s">
        <v>16</v>
      </c>
      <c r="R809" s="91">
        <v>6.8</v>
      </c>
      <c r="S809" s="106">
        <v>200</v>
      </c>
      <c r="T809" s="98">
        <v>52.631578947368418</v>
      </c>
      <c r="U809" s="99">
        <f t="shared" si="93"/>
        <v>4626.0269277845773</v>
      </c>
      <c r="V809" s="100">
        <f t="shared" si="94"/>
        <v>12.850074799401604</v>
      </c>
      <c r="W809" s="101">
        <f t="shared" si="95"/>
        <v>1.9179216118509856</v>
      </c>
      <c r="X809" s="95"/>
      <c r="Y809" s="95"/>
      <c r="Z809" s="102"/>
      <c r="AA809" s="103">
        <v>46191</v>
      </c>
      <c r="AB809" s="103">
        <v>46213</v>
      </c>
      <c r="AC809" s="103"/>
      <c r="AD809" s="102"/>
      <c r="AE809" s="102"/>
      <c r="AF809" s="103"/>
      <c r="AG809" s="579"/>
      <c r="AH809" s="103"/>
      <c r="AI809" s="96"/>
      <c r="AJ809" s="96"/>
      <c r="AK809" s="96"/>
      <c r="AL809" s="92"/>
      <c r="AM809" s="91"/>
      <c r="AN809" s="91"/>
      <c r="AO809" s="96"/>
      <c r="AP809" s="105"/>
      <c r="AQ809" s="105"/>
      <c r="AR809" s="105"/>
      <c r="AS809" s="105"/>
    </row>
    <row r="810" spans="1:45" ht="12" customHeight="1" x14ac:dyDescent="0.25">
      <c r="A810" s="90">
        <f t="shared" si="92"/>
        <v>809</v>
      </c>
      <c r="B810" s="91"/>
      <c r="C810" s="91" t="s">
        <v>1270</v>
      </c>
      <c r="D810" s="92" t="s">
        <v>4791</v>
      </c>
      <c r="E810" s="91" t="s">
        <v>97</v>
      </c>
      <c r="F810" s="91" t="s">
        <v>0</v>
      </c>
      <c r="G810" s="56" t="s">
        <v>2179</v>
      </c>
      <c r="H810" s="91">
        <v>192</v>
      </c>
      <c r="I810" s="91" t="s">
        <v>207</v>
      </c>
      <c r="J810" s="91" t="s">
        <v>8</v>
      </c>
      <c r="K810" s="92" t="s">
        <v>32</v>
      </c>
      <c r="L810" s="93" t="str">
        <f>VLOOKUP(G810,'SKU 对应关系'!A:E,4,0)</f>
        <v>ANWKIT-WH_US_2X100K03</v>
      </c>
      <c r="M810" s="94" t="str">
        <f>_xlfn.IFNA(VLOOKUP(G810,'SKU 对应关系'!A:B,2,0),"")</f>
        <v>ANWKIT-WH_US_2X100K03 ANW白色机器+2X100mL酒店香氛油（天竺） 机油套装</v>
      </c>
      <c r="N810" s="95" t="str">
        <f>_xlfn.IFNA(VLOOKUP(G810,'SKU 对应关系'!$A:$D,3,0),"")</f>
        <v>ANW</v>
      </c>
      <c r="O810" s="96">
        <v>16</v>
      </c>
      <c r="P810" s="580">
        <v>280</v>
      </c>
      <c r="Q810" s="96" t="s">
        <v>16</v>
      </c>
      <c r="R810" s="91">
        <v>6.8</v>
      </c>
      <c r="S810" s="95">
        <v>200</v>
      </c>
      <c r="T810" s="98">
        <v>59.25925925925926</v>
      </c>
      <c r="U810" s="99">
        <f t="shared" si="93"/>
        <v>1963.2592592592594</v>
      </c>
      <c r="V810" s="100">
        <f t="shared" si="94"/>
        <v>10.225308641975309</v>
      </c>
      <c r="W810" s="101">
        <f t="shared" si="95"/>
        <v>1.5261654689515385</v>
      </c>
      <c r="X810" s="95"/>
      <c r="Y810" s="95"/>
      <c r="Z810" s="102"/>
      <c r="AA810" s="103">
        <v>46191</v>
      </c>
      <c r="AB810" s="103">
        <v>46213</v>
      </c>
      <c r="AC810" s="103"/>
      <c r="AD810" s="102"/>
      <c r="AE810" s="102"/>
      <c r="AF810" s="103"/>
      <c r="AG810" s="579"/>
      <c r="AH810" s="103"/>
      <c r="AI810" s="96"/>
      <c r="AJ810" s="96"/>
      <c r="AK810" s="96"/>
      <c r="AL810" s="92"/>
      <c r="AM810" s="91"/>
      <c r="AN810" s="91"/>
      <c r="AO810" s="96"/>
      <c r="AP810" s="105"/>
      <c r="AQ810" s="105"/>
      <c r="AR810" s="105"/>
      <c r="AS810" s="105"/>
    </row>
    <row r="811" spans="1:45" ht="12" customHeight="1" x14ac:dyDescent="0.25">
      <c r="A811" s="90">
        <f t="shared" si="92"/>
        <v>810</v>
      </c>
      <c r="B811" s="91"/>
      <c r="C811" s="91" t="s">
        <v>1263</v>
      </c>
      <c r="D811" s="92" t="s">
        <v>4792</v>
      </c>
      <c r="E811" s="91" t="s">
        <v>97</v>
      </c>
      <c r="F811" s="91" t="s">
        <v>0</v>
      </c>
      <c r="G811" s="56" t="s">
        <v>93</v>
      </c>
      <c r="H811" s="91">
        <v>480</v>
      </c>
      <c r="I811" s="91" t="s">
        <v>117</v>
      </c>
      <c r="J811" s="91" t="s">
        <v>8</v>
      </c>
      <c r="K811" s="92" t="s">
        <v>32</v>
      </c>
      <c r="L811" s="93" t="str">
        <f>VLOOKUP(G811,'SKU 对应关系'!A:E,4,0)</f>
        <v>ANW-W</v>
      </c>
      <c r="M811" s="94" t="str">
        <f>_xlfn.IFNA(VLOOKUP(G811,'SKU 对应关系'!A:B,2,0),"")</f>
        <v>ANW-W 智能扩香仪 白色</v>
      </c>
      <c r="N811" s="95" t="str">
        <f>_xlfn.IFNA(VLOOKUP(G811,'SKU 对应关系'!$A:$D,3,0),"")</f>
        <v>ANW</v>
      </c>
      <c r="O811" s="96">
        <v>40</v>
      </c>
      <c r="P811" s="580">
        <v>580</v>
      </c>
      <c r="Q811" s="96" t="s">
        <v>16</v>
      </c>
      <c r="R811" s="91">
        <v>6.3</v>
      </c>
      <c r="S811" s="95"/>
      <c r="T811" s="98">
        <v>85.106382978723403</v>
      </c>
      <c r="U811" s="99">
        <f t="shared" si="93"/>
        <v>3739.1063829787236</v>
      </c>
      <c r="V811" s="100">
        <f t="shared" si="94"/>
        <v>7.7898049645390071</v>
      </c>
      <c r="W811" s="101">
        <f t="shared" si="95"/>
        <v>1.1626574573938817</v>
      </c>
      <c r="X811" s="95"/>
      <c r="Y811" s="95"/>
      <c r="Z811" s="102"/>
      <c r="AA811" s="103">
        <v>46191</v>
      </c>
      <c r="AB811" s="103"/>
      <c r="AC811" s="103"/>
      <c r="AD811" s="102"/>
      <c r="AE811" s="102"/>
      <c r="AF811" s="103"/>
      <c r="AG811" s="579"/>
      <c r="AH811" s="103"/>
      <c r="AI811" s="96"/>
      <c r="AJ811" s="96"/>
      <c r="AK811" s="96"/>
      <c r="AL811" s="92"/>
      <c r="AM811" s="91"/>
      <c r="AN811" s="91"/>
      <c r="AO811" s="96"/>
      <c r="AP811" s="105"/>
      <c r="AQ811" s="105"/>
      <c r="AR811" s="105"/>
      <c r="AS811" s="105"/>
    </row>
  </sheetData>
  <autoFilter ref="A1:AN811" xr:uid="{6F3849BB-D6F2-4781-88DB-6A8325395F46}"/>
  <phoneticPr fontId="25" type="noConversion"/>
  <pageMargins left="0.7" right="0.7" top="0.75" bottom="0.75" header="0.3" footer="0.3"/>
  <pageSetup paperSize="9" orientation="portrait" r:id="rId1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tabColor rgb="FF0070C0"/>
  </sheetPr>
  <dimension ref="A1:AZ179"/>
  <sheetViews>
    <sheetView zoomScale="90" zoomScaleNormal="90" workbookViewId="0">
      <pane ySplit="1" topLeftCell="A146" activePane="bottomLeft" state="frozen"/>
      <selection pane="bottomLeft" activeCell="G166" sqref="G166"/>
    </sheetView>
  </sheetViews>
  <sheetFormatPr defaultColWidth="9.08984375" defaultRowHeight="13" customHeight="1" outlineLevelRow="1" x14ac:dyDescent="0.3"/>
  <cols>
    <col min="1" max="1" width="11.08984375" style="27" bestFit="1" customWidth="1"/>
    <col min="2" max="2" width="14.81640625" style="27" customWidth="1"/>
    <col min="3" max="3" width="25.54296875" style="27" bestFit="1" customWidth="1"/>
    <col min="4" max="4" width="14.1796875" style="383" bestFit="1" customWidth="1"/>
    <col min="5" max="5" width="18.08984375" style="27" customWidth="1"/>
    <col min="6" max="6" width="9.54296875" style="383" customWidth="1"/>
    <col min="7" max="7" width="43.08984375" style="27" customWidth="1"/>
    <col min="8" max="8" width="8" style="46" customWidth="1"/>
    <col min="9" max="9" width="10.36328125" style="46" customWidth="1"/>
    <col min="10" max="10" width="11.453125" style="46" customWidth="1"/>
    <col min="11" max="12" width="12.54296875" style="46" customWidth="1"/>
    <col min="13" max="13" width="12.81640625" style="46" customWidth="1"/>
    <col min="14" max="14" width="11.81640625" style="306" customWidth="1"/>
    <col min="15" max="15" width="7.54296875" style="309" customWidth="1"/>
    <col min="16" max="16" width="9" style="306" customWidth="1"/>
    <col min="17" max="18" width="10.36328125" style="306" customWidth="1"/>
    <col min="19" max="19" width="11.08984375" style="309" bestFit="1" customWidth="1"/>
    <col min="20" max="26" width="12.54296875" style="46" customWidth="1"/>
    <col min="27" max="27" width="15" style="46" customWidth="1"/>
    <col min="28" max="16384" width="9.08984375" style="27"/>
  </cols>
  <sheetData>
    <row r="1" spans="1:52" s="307" customFormat="1" ht="22.25" customHeight="1" x14ac:dyDescent="0.3">
      <c r="A1" s="469" t="s">
        <v>4257</v>
      </c>
      <c r="B1" s="469" t="s">
        <v>4258</v>
      </c>
      <c r="C1" s="470" t="s">
        <v>4259</v>
      </c>
      <c r="D1" s="471" t="s">
        <v>4260</v>
      </c>
      <c r="E1" s="469" t="s">
        <v>3689</v>
      </c>
      <c r="F1" s="472" t="s">
        <v>4261</v>
      </c>
      <c r="G1" s="469" t="s">
        <v>4262</v>
      </c>
      <c r="H1" s="472" t="s">
        <v>4263</v>
      </c>
      <c r="I1" s="472" t="s">
        <v>4264</v>
      </c>
      <c r="J1" s="472" t="s">
        <v>4265</v>
      </c>
      <c r="K1" s="472" t="s">
        <v>4266</v>
      </c>
      <c r="L1" s="472" t="s">
        <v>4267</v>
      </c>
      <c r="M1" s="472" t="s">
        <v>4268</v>
      </c>
      <c r="N1" s="473" t="s">
        <v>4269</v>
      </c>
      <c r="O1" s="474" t="s">
        <v>4270</v>
      </c>
      <c r="P1" s="473" t="s">
        <v>4271</v>
      </c>
      <c r="Q1" s="475" t="s">
        <v>4272</v>
      </c>
      <c r="R1" s="475" t="s">
        <v>4732</v>
      </c>
      <c r="S1" s="476" t="s">
        <v>4273</v>
      </c>
      <c r="T1" s="477" t="s">
        <v>4274</v>
      </c>
      <c r="U1" s="477" t="s">
        <v>4275</v>
      </c>
      <c r="V1" s="478" t="s">
        <v>76</v>
      </c>
      <c r="W1" s="472" t="s">
        <v>4276</v>
      </c>
      <c r="X1" s="477" t="s">
        <v>4277</v>
      </c>
      <c r="Y1" s="479" t="s">
        <v>4278</v>
      </c>
      <c r="Z1" s="479" t="s">
        <v>4279</v>
      </c>
      <c r="AA1" s="480" t="s">
        <v>4280</v>
      </c>
      <c r="AB1" s="481"/>
      <c r="AC1" s="481"/>
      <c r="AD1" s="481"/>
      <c r="AE1" s="481"/>
      <c r="AF1" s="481"/>
      <c r="AG1" s="481"/>
      <c r="AH1" s="481"/>
      <c r="AI1" s="481"/>
      <c r="AJ1" s="481"/>
      <c r="AK1" s="481"/>
      <c r="AL1" s="481"/>
      <c r="AM1" s="481"/>
      <c r="AN1" s="481"/>
      <c r="AO1" s="481"/>
      <c r="AP1" s="481"/>
      <c r="AQ1" s="481"/>
      <c r="AR1" s="481"/>
      <c r="AS1" s="481"/>
      <c r="AT1" s="481"/>
      <c r="AU1" s="481"/>
      <c r="AV1" s="481"/>
      <c r="AW1" s="481"/>
      <c r="AX1" s="481"/>
      <c r="AY1" s="481"/>
      <c r="AZ1" s="481"/>
    </row>
    <row r="2" spans="1:52" ht="13" hidden="1" customHeight="1" outlineLevel="1" x14ac:dyDescent="0.3">
      <c r="A2" s="310"/>
      <c r="B2" s="311"/>
      <c r="C2" s="312" t="s">
        <v>2628</v>
      </c>
      <c r="D2" s="313"/>
      <c r="E2" s="311" t="s">
        <v>2629</v>
      </c>
      <c r="F2" s="313"/>
      <c r="G2" s="311" t="s">
        <v>3191</v>
      </c>
      <c r="H2" s="313">
        <v>15</v>
      </c>
      <c r="I2" s="313" t="s">
        <v>418</v>
      </c>
      <c r="J2" s="313" t="s">
        <v>1</v>
      </c>
      <c r="K2" s="313" t="s">
        <v>2630</v>
      </c>
      <c r="L2" s="313"/>
      <c r="M2" s="313" t="s">
        <v>2631</v>
      </c>
      <c r="N2" s="314">
        <v>1</v>
      </c>
      <c r="O2" s="315">
        <v>11</v>
      </c>
      <c r="P2" s="314"/>
      <c r="Q2" s="314">
        <v>905</v>
      </c>
      <c r="R2" s="314"/>
      <c r="S2" s="315"/>
      <c r="T2" s="391">
        <v>45307</v>
      </c>
      <c r="U2" s="313"/>
      <c r="V2" s="391">
        <v>45310</v>
      </c>
      <c r="W2" s="313">
        <f t="shared" ref="W2:W7" si="0">V2-T2</f>
        <v>3</v>
      </c>
      <c r="X2" s="391">
        <v>45310</v>
      </c>
      <c r="Y2" s="313"/>
      <c r="Z2" s="313"/>
      <c r="AA2" s="411" t="s">
        <v>413</v>
      </c>
      <c r="AB2" s="50"/>
      <c r="AC2" s="50"/>
      <c r="AD2" s="50"/>
      <c r="AE2" s="50"/>
      <c r="AF2" s="50"/>
      <c r="AG2" s="50"/>
      <c r="AH2" s="50"/>
      <c r="AI2" s="50"/>
      <c r="AJ2" s="50"/>
      <c r="AK2" s="50"/>
      <c r="AL2" s="50"/>
      <c r="AM2" s="50"/>
      <c r="AN2" s="50"/>
      <c r="AO2" s="50"/>
      <c r="AP2" s="50"/>
      <c r="AQ2" s="50"/>
      <c r="AR2" s="50"/>
      <c r="AS2" s="50"/>
      <c r="AT2" s="50"/>
      <c r="AU2" s="50"/>
      <c r="AV2" s="50"/>
      <c r="AW2" s="50"/>
      <c r="AX2" s="50"/>
      <c r="AY2" s="50"/>
      <c r="AZ2" s="50"/>
    </row>
    <row r="3" spans="1:52" ht="13" hidden="1" customHeight="1" outlineLevel="1" x14ac:dyDescent="0.3">
      <c r="A3" s="316"/>
      <c r="B3" s="317"/>
      <c r="C3" s="318" t="s">
        <v>2628</v>
      </c>
      <c r="D3" s="319"/>
      <c r="E3" s="317" t="s">
        <v>2632</v>
      </c>
      <c r="F3" s="319"/>
      <c r="G3" s="317" t="s">
        <v>3192</v>
      </c>
      <c r="H3" s="319">
        <v>15</v>
      </c>
      <c r="I3" s="319" t="s">
        <v>418</v>
      </c>
      <c r="J3" s="319" t="s">
        <v>1</v>
      </c>
      <c r="K3" s="319" t="s">
        <v>2630</v>
      </c>
      <c r="L3" s="319"/>
      <c r="M3" s="319" t="s">
        <v>2631</v>
      </c>
      <c r="N3" s="320"/>
      <c r="O3" s="321"/>
      <c r="P3" s="320"/>
      <c r="Q3" s="320"/>
      <c r="R3" s="320"/>
      <c r="S3" s="321"/>
      <c r="T3" s="392">
        <v>45307</v>
      </c>
      <c r="U3" s="319"/>
      <c r="V3" s="392">
        <v>45310</v>
      </c>
      <c r="W3" s="319">
        <f t="shared" si="0"/>
        <v>3</v>
      </c>
      <c r="X3" s="392">
        <v>45310</v>
      </c>
      <c r="Y3" s="319"/>
      <c r="Z3" s="319"/>
      <c r="AA3" s="412" t="s">
        <v>413</v>
      </c>
      <c r="AB3" s="50"/>
      <c r="AC3" s="50"/>
      <c r="AD3" s="50"/>
      <c r="AE3" s="50"/>
      <c r="AF3" s="50"/>
      <c r="AG3" s="50"/>
      <c r="AH3" s="50"/>
      <c r="AI3" s="50"/>
      <c r="AJ3" s="50"/>
      <c r="AK3" s="50"/>
      <c r="AL3" s="50"/>
      <c r="AM3" s="50"/>
      <c r="AN3" s="50"/>
      <c r="AO3" s="50"/>
      <c r="AP3" s="50"/>
      <c r="AQ3" s="50"/>
      <c r="AR3" s="50"/>
      <c r="AS3" s="50"/>
      <c r="AT3" s="50"/>
      <c r="AU3" s="50"/>
      <c r="AV3" s="50"/>
      <c r="AW3" s="50"/>
      <c r="AX3" s="50"/>
      <c r="AY3" s="50"/>
      <c r="AZ3" s="50"/>
    </row>
    <row r="4" spans="1:52" ht="13" hidden="1" customHeight="1" outlineLevel="1" x14ac:dyDescent="0.3">
      <c r="A4" s="316"/>
      <c r="B4" s="317"/>
      <c r="C4" s="318" t="s">
        <v>2628</v>
      </c>
      <c r="D4" s="319"/>
      <c r="E4" s="317" t="s">
        <v>2633</v>
      </c>
      <c r="F4" s="319"/>
      <c r="G4" s="317" t="s">
        <v>3193</v>
      </c>
      <c r="H4" s="319">
        <v>7</v>
      </c>
      <c r="I4" s="319" t="s">
        <v>418</v>
      </c>
      <c r="J4" s="319" t="s">
        <v>1</v>
      </c>
      <c r="K4" s="319" t="s">
        <v>2630</v>
      </c>
      <c r="L4" s="319"/>
      <c r="M4" s="319" t="s">
        <v>2631</v>
      </c>
      <c r="N4" s="320"/>
      <c r="O4" s="321"/>
      <c r="P4" s="320"/>
      <c r="Q4" s="320"/>
      <c r="R4" s="320"/>
      <c r="S4" s="321"/>
      <c r="T4" s="392">
        <v>45307</v>
      </c>
      <c r="U4" s="319"/>
      <c r="V4" s="392">
        <v>45310</v>
      </c>
      <c r="W4" s="319">
        <f t="shared" si="0"/>
        <v>3</v>
      </c>
      <c r="X4" s="392">
        <v>45310</v>
      </c>
      <c r="Y4" s="319"/>
      <c r="Z4" s="319"/>
      <c r="AA4" s="412" t="s">
        <v>413</v>
      </c>
      <c r="AB4" s="50"/>
      <c r="AC4" s="50"/>
      <c r="AD4" s="50"/>
      <c r="AE4" s="50"/>
      <c r="AF4" s="50"/>
      <c r="AG4" s="50"/>
      <c r="AH4" s="50"/>
      <c r="AI4" s="50"/>
      <c r="AJ4" s="50"/>
      <c r="AK4" s="50"/>
      <c r="AL4" s="50"/>
      <c r="AM4" s="50"/>
      <c r="AN4" s="50"/>
      <c r="AO4" s="50"/>
      <c r="AP4" s="50"/>
      <c r="AQ4" s="50"/>
      <c r="AR4" s="50"/>
      <c r="AS4" s="50"/>
      <c r="AT4" s="50"/>
      <c r="AU4" s="50"/>
      <c r="AV4" s="50"/>
      <c r="AW4" s="50"/>
      <c r="AX4" s="50"/>
      <c r="AY4" s="50"/>
      <c r="AZ4" s="50"/>
    </row>
    <row r="5" spans="1:52" ht="13" hidden="1" customHeight="1" outlineLevel="1" x14ac:dyDescent="0.3">
      <c r="A5" s="316"/>
      <c r="B5" s="317"/>
      <c r="C5" s="317" t="s">
        <v>2634</v>
      </c>
      <c r="D5" s="319"/>
      <c r="E5" s="317" t="s">
        <v>2629</v>
      </c>
      <c r="F5" s="319"/>
      <c r="G5" s="317" t="s">
        <v>3191</v>
      </c>
      <c r="H5" s="319">
        <v>15</v>
      </c>
      <c r="I5" s="319" t="s">
        <v>418</v>
      </c>
      <c r="J5" s="319" t="s">
        <v>1</v>
      </c>
      <c r="K5" s="319" t="s">
        <v>2635</v>
      </c>
      <c r="L5" s="319"/>
      <c r="M5" s="319" t="s">
        <v>2631</v>
      </c>
      <c r="N5" s="320">
        <v>1</v>
      </c>
      <c r="O5" s="321">
        <v>11</v>
      </c>
      <c r="P5" s="320"/>
      <c r="Q5" s="320">
        <v>905</v>
      </c>
      <c r="R5" s="320"/>
      <c r="S5" s="321"/>
      <c r="T5" s="392">
        <v>45307</v>
      </c>
      <c r="U5" s="319"/>
      <c r="V5" s="392">
        <v>45310</v>
      </c>
      <c r="W5" s="319">
        <f t="shared" si="0"/>
        <v>3</v>
      </c>
      <c r="X5" s="392">
        <v>45310</v>
      </c>
      <c r="Y5" s="319"/>
      <c r="Z5" s="319"/>
      <c r="AA5" s="412" t="s">
        <v>413</v>
      </c>
      <c r="AB5" s="50"/>
      <c r="AC5" s="50"/>
      <c r="AD5" s="50"/>
      <c r="AE5" s="50"/>
      <c r="AF5" s="50"/>
      <c r="AG5" s="50"/>
      <c r="AH5" s="50"/>
      <c r="AI5" s="50"/>
      <c r="AJ5" s="50"/>
      <c r="AK5" s="50"/>
      <c r="AL5" s="50"/>
      <c r="AM5" s="50"/>
      <c r="AN5" s="50"/>
      <c r="AO5" s="50"/>
      <c r="AP5" s="50"/>
      <c r="AQ5" s="50"/>
      <c r="AR5" s="50"/>
      <c r="AS5" s="50"/>
      <c r="AT5" s="50"/>
      <c r="AU5" s="50"/>
      <c r="AV5" s="50"/>
      <c r="AW5" s="50"/>
      <c r="AX5" s="50"/>
      <c r="AY5" s="50"/>
      <c r="AZ5" s="50"/>
    </row>
    <row r="6" spans="1:52" ht="13" hidden="1" customHeight="1" outlineLevel="1" x14ac:dyDescent="0.3">
      <c r="A6" s="316"/>
      <c r="B6" s="317"/>
      <c r="C6" s="317" t="s">
        <v>2634</v>
      </c>
      <c r="D6" s="319"/>
      <c r="E6" s="317" t="s">
        <v>2632</v>
      </c>
      <c r="F6" s="319"/>
      <c r="G6" s="317" t="s">
        <v>3192</v>
      </c>
      <c r="H6" s="319">
        <v>15</v>
      </c>
      <c r="I6" s="319" t="s">
        <v>418</v>
      </c>
      <c r="J6" s="319" t="s">
        <v>1</v>
      </c>
      <c r="K6" s="319" t="s">
        <v>2635</v>
      </c>
      <c r="L6" s="319"/>
      <c r="M6" s="319" t="s">
        <v>2631</v>
      </c>
      <c r="N6" s="320"/>
      <c r="O6" s="321"/>
      <c r="P6" s="320"/>
      <c r="Q6" s="320"/>
      <c r="R6" s="320"/>
      <c r="S6" s="321"/>
      <c r="T6" s="392">
        <v>45307</v>
      </c>
      <c r="U6" s="319"/>
      <c r="V6" s="392">
        <v>45310</v>
      </c>
      <c r="W6" s="319">
        <f t="shared" si="0"/>
        <v>3</v>
      </c>
      <c r="X6" s="392">
        <v>45310</v>
      </c>
      <c r="Y6" s="319"/>
      <c r="Z6" s="319"/>
      <c r="AA6" s="412" t="s">
        <v>413</v>
      </c>
      <c r="AB6" s="50"/>
      <c r="AC6" s="50"/>
      <c r="AD6" s="50"/>
      <c r="AE6" s="50"/>
      <c r="AF6" s="50"/>
      <c r="AG6" s="50"/>
      <c r="AH6" s="50"/>
      <c r="AI6" s="50"/>
      <c r="AJ6" s="50"/>
      <c r="AK6" s="50"/>
      <c r="AL6" s="50"/>
      <c r="AM6" s="50"/>
      <c r="AN6" s="50"/>
      <c r="AO6" s="50"/>
      <c r="AP6" s="50"/>
      <c r="AQ6" s="50"/>
      <c r="AR6" s="50"/>
      <c r="AS6" s="50"/>
      <c r="AT6" s="50"/>
      <c r="AU6" s="50"/>
      <c r="AV6" s="50"/>
      <c r="AW6" s="50"/>
      <c r="AX6" s="50"/>
      <c r="AY6" s="50"/>
      <c r="AZ6" s="50"/>
    </row>
    <row r="7" spans="1:52" ht="13" hidden="1" customHeight="1" outlineLevel="1" x14ac:dyDescent="0.3">
      <c r="A7" s="316"/>
      <c r="B7" s="317"/>
      <c r="C7" s="317" t="s">
        <v>2634</v>
      </c>
      <c r="D7" s="319"/>
      <c r="E7" s="317" t="s">
        <v>2633</v>
      </c>
      <c r="F7" s="319"/>
      <c r="G7" s="317" t="s">
        <v>3193</v>
      </c>
      <c r="H7" s="319">
        <v>8</v>
      </c>
      <c r="I7" s="319" t="s">
        <v>418</v>
      </c>
      <c r="J7" s="319" t="s">
        <v>1</v>
      </c>
      <c r="K7" s="319" t="s">
        <v>2635</v>
      </c>
      <c r="L7" s="319"/>
      <c r="M7" s="319" t="s">
        <v>2631</v>
      </c>
      <c r="N7" s="320"/>
      <c r="O7" s="321"/>
      <c r="P7" s="320"/>
      <c r="Q7" s="320"/>
      <c r="R7" s="320"/>
      <c r="S7" s="321"/>
      <c r="T7" s="392">
        <v>45307</v>
      </c>
      <c r="U7" s="319"/>
      <c r="V7" s="392">
        <v>45310</v>
      </c>
      <c r="W7" s="319">
        <f t="shared" si="0"/>
        <v>3</v>
      </c>
      <c r="X7" s="392">
        <v>45310</v>
      </c>
      <c r="Y7" s="319"/>
      <c r="Z7" s="319"/>
      <c r="AA7" s="412" t="s">
        <v>413</v>
      </c>
      <c r="AB7" s="50"/>
      <c r="AC7" s="50"/>
      <c r="AD7" s="50"/>
      <c r="AE7" s="50"/>
      <c r="AF7" s="50"/>
      <c r="AG7" s="50"/>
      <c r="AH7" s="50"/>
      <c r="AI7" s="50"/>
      <c r="AJ7" s="50"/>
      <c r="AK7" s="50"/>
      <c r="AL7" s="50"/>
      <c r="AM7" s="50"/>
      <c r="AN7" s="50"/>
      <c r="AO7" s="50"/>
      <c r="AP7" s="50"/>
      <c r="AQ7" s="50"/>
      <c r="AR7" s="50"/>
      <c r="AS7" s="50"/>
      <c r="AT7" s="50"/>
      <c r="AU7" s="50"/>
      <c r="AV7" s="50"/>
      <c r="AW7" s="50"/>
      <c r="AX7" s="50"/>
      <c r="AY7" s="50"/>
      <c r="AZ7" s="50"/>
    </row>
    <row r="8" spans="1:52" ht="13" hidden="1" customHeight="1" outlineLevel="1" x14ac:dyDescent="0.3">
      <c r="A8" s="316"/>
      <c r="B8" s="317"/>
      <c r="C8" s="318"/>
      <c r="D8" s="319"/>
      <c r="E8" s="317" t="s">
        <v>2629</v>
      </c>
      <c r="F8" s="319"/>
      <c r="G8" s="317" t="s">
        <v>3191</v>
      </c>
      <c r="H8" s="319">
        <v>100</v>
      </c>
      <c r="I8" s="319" t="s">
        <v>418</v>
      </c>
      <c r="J8" s="319" t="s">
        <v>2636</v>
      </c>
      <c r="K8" s="319" t="s">
        <v>2630</v>
      </c>
      <c r="L8" s="319"/>
      <c r="M8" s="319" t="s">
        <v>2631</v>
      </c>
      <c r="N8" s="320">
        <v>1</v>
      </c>
      <c r="O8" s="321">
        <v>59</v>
      </c>
      <c r="P8" s="320">
        <v>21</v>
      </c>
      <c r="Q8" s="320">
        <f>O8*P8</f>
        <v>1239</v>
      </c>
      <c r="R8" s="320"/>
      <c r="S8" s="321">
        <f>Q8/200</f>
        <v>6.1950000000000003</v>
      </c>
      <c r="T8" s="392">
        <v>45323</v>
      </c>
      <c r="U8" s="319"/>
      <c r="V8" s="392"/>
      <c r="W8" s="319"/>
      <c r="X8" s="392"/>
      <c r="Y8" s="319"/>
      <c r="Z8" s="319"/>
      <c r="AA8" s="412" t="s">
        <v>413</v>
      </c>
      <c r="AB8" s="50"/>
      <c r="AC8" s="50"/>
      <c r="AD8" s="50"/>
      <c r="AE8" s="50"/>
      <c r="AF8" s="50"/>
      <c r="AG8" s="50"/>
      <c r="AH8" s="50"/>
      <c r="AI8" s="50"/>
      <c r="AJ8" s="50"/>
      <c r="AK8" s="50"/>
      <c r="AL8" s="50"/>
      <c r="AM8" s="50"/>
      <c r="AN8" s="50"/>
      <c r="AO8" s="50"/>
      <c r="AP8" s="50"/>
      <c r="AQ8" s="50"/>
      <c r="AR8" s="50"/>
      <c r="AS8" s="50"/>
      <c r="AT8" s="50"/>
      <c r="AU8" s="50"/>
      <c r="AV8" s="50"/>
      <c r="AW8" s="50"/>
      <c r="AX8" s="50"/>
      <c r="AY8" s="50"/>
      <c r="AZ8" s="50"/>
    </row>
    <row r="9" spans="1:52" ht="13" hidden="1" customHeight="1" outlineLevel="1" x14ac:dyDescent="0.3">
      <c r="A9" s="316"/>
      <c r="B9" s="317"/>
      <c r="C9" s="318"/>
      <c r="D9" s="319"/>
      <c r="E9" s="317" t="s">
        <v>2632</v>
      </c>
      <c r="F9" s="319"/>
      <c r="G9" s="317" t="s">
        <v>3192</v>
      </c>
      <c r="H9" s="319">
        <v>100</v>
      </c>
      <c r="I9" s="319" t="s">
        <v>418</v>
      </c>
      <c r="J9" s="319" t="s">
        <v>2636</v>
      </c>
      <c r="K9" s="319" t="s">
        <v>2630</v>
      </c>
      <c r="L9" s="319"/>
      <c r="M9" s="319" t="s">
        <v>2631</v>
      </c>
      <c r="N9" s="320">
        <v>3</v>
      </c>
      <c r="O9" s="321"/>
      <c r="P9" s="320">
        <v>21</v>
      </c>
      <c r="Q9" s="320"/>
      <c r="R9" s="320"/>
      <c r="S9" s="321">
        <f>Q8/200</f>
        <v>6.1950000000000003</v>
      </c>
      <c r="T9" s="392">
        <v>45323</v>
      </c>
      <c r="U9" s="319"/>
      <c r="V9" s="392"/>
      <c r="W9" s="319"/>
      <c r="X9" s="392"/>
      <c r="Y9" s="319"/>
      <c r="Z9" s="319"/>
      <c r="AA9" s="412" t="s">
        <v>413</v>
      </c>
      <c r="AB9" s="50"/>
      <c r="AC9" s="50"/>
      <c r="AD9" s="50"/>
      <c r="AE9" s="50"/>
      <c r="AF9" s="50"/>
      <c r="AG9" s="50"/>
      <c r="AH9" s="50"/>
      <c r="AI9" s="50"/>
      <c r="AJ9" s="50"/>
      <c r="AK9" s="50"/>
      <c r="AL9" s="50"/>
      <c r="AM9" s="50"/>
      <c r="AN9" s="50"/>
      <c r="AO9" s="50"/>
      <c r="AP9" s="50"/>
      <c r="AQ9" s="50"/>
      <c r="AR9" s="50"/>
      <c r="AS9" s="50"/>
      <c r="AT9" s="50"/>
      <c r="AU9" s="50"/>
      <c r="AV9" s="50"/>
      <c r="AW9" s="50"/>
      <c r="AX9" s="50"/>
      <c r="AY9" s="50"/>
      <c r="AZ9" s="50"/>
    </row>
    <row r="10" spans="1:52" ht="13" hidden="1" customHeight="1" outlineLevel="1" x14ac:dyDescent="0.3">
      <c r="A10" s="316"/>
      <c r="B10" s="317"/>
      <c r="C10" s="317" t="s">
        <v>2637</v>
      </c>
      <c r="D10" s="319"/>
      <c r="E10" s="317" t="s">
        <v>2638</v>
      </c>
      <c r="F10" s="319"/>
      <c r="G10" s="317" t="s">
        <v>3194</v>
      </c>
      <c r="H10" s="319">
        <v>150</v>
      </c>
      <c r="I10" s="319" t="s">
        <v>306</v>
      </c>
      <c r="J10" s="319" t="s">
        <v>2636</v>
      </c>
      <c r="K10" s="319" t="s">
        <v>2630</v>
      </c>
      <c r="L10" s="319"/>
      <c r="M10" s="319" t="s">
        <v>2631</v>
      </c>
      <c r="N10" s="320">
        <v>5</v>
      </c>
      <c r="O10" s="321">
        <v>81</v>
      </c>
      <c r="P10" s="320">
        <v>12.6</v>
      </c>
      <c r="Q10" s="320">
        <f>O10*P10</f>
        <v>1020.6</v>
      </c>
      <c r="R10" s="320"/>
      <c r="S10" s="321">
        <f>$Q$10/558</f>
        <v>1.8290322580645162</v>
      </c>
      <c r="T10" s="392">
        <v>45323</v>
      </c>
      <c r="U10" s="392">
        <v>45347</v>
      </c>
      <c r="V10" s="319"/>
      <c r="W10" s="319"/>
      <c r="X10" s="319"/>
      <c r="Y10" s="319"/>
      <c r="Z10" s="319"/>
      <c r="AA10" s="412"/>
      <c r="AB10" s="50"/>
      <c r="AC10" s="50"/>
      <c r="AD10" s="50"/>
      <c r="AE10" s="50"/>
      <c r="AF10" s="50"/>
      <c r="AG10" s="50"/>
      <c r="AH10" s="50"/>
      <c r="AI10" s="50"/>
      <c r="AJ10" s="50"/>
      <c r="AK10" s="50"/>
      <c r="AL10" s="50"/>
      <c r="AM10" s="50"/>
      <c r="AN10" s="50"/>
      <c r="AO10" s="50"/>
      <c r="AP10" s="50"/>
      <c r="AQ10" s="50"/>
      <c r="AR10" s="50"/>
      <c r="AS10" s="50"/>
      <c r="AT10" s="50"/>
      <c r="AU10" s="50"/>
      <c r="AV10" s="50"/>
      <c r="AW10" s="50"/>
      <c r="AX10" s="50"/>
      <c r="AY10" s="50"/>
      <c r="AZ10" s="50"/>
    </row>
    <row r="11" spans="1:52" ht="13" hidden="1" customHeight="1" outlineLevel="1" x14ac:dyDescent="0.3">
      <c r="A11" s="316"/>
      <c r="B11" s="317"/>
      <c r="C11" s="317" t="s">
        <v>2637</v>
      </c>
      <c r="D11" s="319"/>
      <c r="E11" s="317" t="s">
        <v>2639</v>
      </c>
      <c r="F11" s="319"/>
      <c r="G11" s="317" t="s">
        <v>3195</v>
      </c>
      <c r="H11" s="319">
        <v>150</v>
      </c>
      <c r="I11" s="319" t="s">
        <v>306</v>
      </c>
      <c r="J11" s="319" t="s">
        <v>2636</v>
      </c>
      <c r="K11" s="319" t="s">
        <v>2630</v>
      </c>
      <c r="L11" s="319"/>
      <c r="M11" s="319" t="s">
        <v>2631</v>
      </c>
      <c r="N11" s="320"/>
      <c r="O11" s="321"/>
      <c r="P11" s="320">
        <v>12.6</v>
      </c>
      <c r="Q11" s="320"/>
      <c r="R11" s="320"/>
      <c r="S11" s="321">
        <f t="shared" ref="S11:S14" si="1">$Q$10/558</f>
        <v>1.8290322580645162</v>
      </c>
      <c r="T11" s="392">
        <v>45323</v>
      </c>
      <c r="U11" s="392">
        <v>45347</v>
      </c>
      <c r="V11" s="319"/>
      <c r="W11" s="319"/>
      <c r="X11" s="319"/>
      <c r="Y11" s="319"/>
      <c r="Z11" s="319"/>
      <c r="AA11" s="412"/>
      <c r="AB11" s="50"/>
      <c r="AC11" s="50"/>
      <c r="AD11" s="50"/>
      <c r="AE11" s="50"/>
      <c r="AF11" s="50"/>
      <c r="AG11" s="50"/>
      <c r="AH11" s="50"/>
      <c r="AI11" s="50"/>
      <c r="AJ11" s="50"/>
      <c r="AK11" s="50"/>
      <c r="AL11" s="50"/>
      <c r="AM11" s="50"/>
      <c r="AN11" s="50"/>
      <c r="AO11" s="50"/>
      <c r="AP11" s="50"/>
      <c r="AQ11" s="50"/>
      <c r="AR11" s="50"/>
      <c r="AS11" s="50"/>
      <c r="AT11" s="50"/>
      <c r="AU11" s="50"/>
      <c r="AV11" s="50"/>
      <c r="AW11" s="50"/>
      <c r="AX11" s="50"/>
      <c r="AY11" s="50"/>
      <c r="AZ11" s="50"/>
    </row>
    <row r="12" spans="1:52" ht="13" hidden="1" customHeight="1" outlineLevel="1" x14ac:dyDescent="0.3">
      <c r="A12" s="316"/>
      <c r="B12" s="317"/>
      <c r="C12" s="317" t="s">
        <v>2637</v>
      </c>
      <c r="D12" s="319"/>
      <c r="E12" s="317" t="s">
        <v>2640</v>
      </c>
      <c r="F12" s="319"/>
      <c r="G12" s="317" t="s">
        <v>3196</v>
      </c>
      <c r="H12" s="319">
        <v>78</v>
      </c>
      <c r="I12" s="319" t="s">
        <v>306</v>
      </c>
      <c r="J12" s="319" t="s">
        <v>2636</v>
      </c>
      <c r="K12" s="319" t="s">
        <v>2630</v>
      </c>
      <c r="L12" s="319"/>
      <c r="M12" s="319" t="s">
        <v>2631</v>
      </c>
      <c r="N12" s="320"/>
      <c r="O12" s="321"/>
      <c r="P12" s="320">
        <v>12.6</v>
      </c>
      <c r="Q12" s="320"/>
      <c r="R12" s="320"/>
      <c r="S12" s="321">
        <f t="shared" si="1"/>
        <v>1.8290322580645162</v>
      </c>
      <c r="T12" s="392">
        <v>45323</v>
      </c>
      <c r="U12" s="392">
        <v>45347</v>
      </c>
      <c r="V12" s="319"/>
      <c r="W12" s="319"/>
      <c r="X12" s="319"/>
      <c r="Y12" s="319"/>
      <c r="Z12" s="319"/>
      <c r="AA12" s="412"/>
      <c r="AB12" s="50"/>
      <c r="AC12" s="50"/>
      <c r="AD12" s="50"/>
      <c r="AE12" s="50"/>
      <c r="AF12" s="50"/>
      <c r="AG12" s="50"/>
      <c r="AH12" s="50"/>
      <c r="AI12" s="50"/>
      <c r="AJ12" s="50"/>
      <c r="AK12" s="50"/>
      <c r="AL12" s="50"/>
      <c r="AM12" s="50"/>
      <c r="AN12" s="50"/>
      <c r="AO12" s="50"/>
      <c r="AP12" s="50"/>
      <c r="AQ12" s="50"/>
      <c r="AR12" s="50"/>
      <c r="AS12" s="50"/>
      <c r="AT12" s="50"/>
      <c r="AU12" s="50"/>
      <c r="AV12" s="50"/>
      <c r="AW12" s="50"/>
      <c r="AX12" s="50"/>
      <c r="AY12" s="50"/>
      <c r="AZ12" s="50"/>
    </row>
    <row r="13" spans="1:52" ht="13" hidden="1" customHeight="1" outlineLevel="1" x14ac:dyDescent="0.3">
      <c r="A13" s="316"/>
      <c r="B13" s="317"/>
      <c r="C13" s="317" t="s">
        <v>2637</v>
      </c>
      <c r="D13" s="319"/>
      <c r="E13" s="322" t="s">
        <v>2641</v>
      </c>
      <c r="F13" s="319"/>
      <c r="G13" s="322" t="s">
        <v>3197</v>
      </c>
      <c r="H13" s="323">
        <v>90</v>
      </c>
      <c r="I13" s="323" t="s">
        <v>306</v>
      </c>
      <c r="J13" s="323" t="s">
        <v>2636</v>
      </c>
      <c r="K13" s="323" t="s">
        <v>2630</v>
      </c>
      <c r="L13" s="323"/>
      <c r="M13" s="323" t="s">
        <v>2631</v>
      </c>
      <c r="N13" s="324"/>
      <c r="O13" s="325"/>
      <c r="P13" s="324">
        <v>12.6</v>
      </c>
      <c r="Q13" s="324"/>
      <c r="R13" s="324"/>
      <c r="S13" s="325">
        <f t="shared" si="1"/>
        <v>1.8290322580645162</v>
      </c>
      <c r="T13" s="393">
        <v>45323</v>
      </c>
      <c r="U13" s="393">
        <v>45347</v>
      </c>
      <c r="V13" s="323"/>
      <c r="W13" s="319"/>
      <c r="X13" s="319"/>
      <c r="Y13" s="319"/>
      <c r="Z13" s="319"/>
      <c r="AA13" s="412"/>
      <c r="AB13" s="50"/>
      <c r="AC13" s="50"/>
      <c r="AD13" s="50"/>
      <c r="AE13" s="50"/>
      <c r="AF13" s="50"/>
      <c r="AG13" s="50"/>
      <c r="AH13" s="50"/>
      <c r="AI13" s="50"/>
      <c r="AJ13" s="50"/>
      <c r="AK13" s="50"/>
      <c r="AL13" s="50"/>
      <c r="AM13" s="50"/>
      <c r="AN13" s="50"/>
      <c r="AO13" s="50"/>
      <c r="AP13" s="50"/>
      <c r="AQ13" s="50"/>
      <c r="AR13" s="50"/>
      <c r="AS13" s="50"/>
      <c r="AT13" s="50"/>
      <c r="AU13" s="50"/>
      <c r="AV13" s="50"/>
      <c r="AW13" s="50"/>
      <c r="AX13" s="50"/>
      <c r="AY13" s="50"/>
      <c r="AZ13" s="50"/>
    </row>
    <row r="14" spans="1:52" ht="13" hidden="1" customHeight="1" outlineLevel="1" x14ac:dyDescent="0.3">
      <c r="A14" s="316"/>
      <c r="B14" s="317"/>
      <c r="C14" s="317" t="s">
        <v>2637</v>
      </c>
      <c r="D14" s="319"/>
      <c r="E14" s="317" t="s">
        <v>2642</v>
      </c>
      <c r="F14" s="319"/>
      <c r="G14" s="317" t="s">
        <v>3198</v>
      </c>
      <c r="H14" s="319">
        <v>90</v>
      </c>
      <c r="I14" s="319" t="s">
        <v>306</v>
      </c>
      <c r="J14" s="319" t="s">
        <v>2636</v>
      </c>
      <c r="K14" s="319" t="s">
        <v>2630</v>
      </c>
      <c r="L14" s="319"/>
      <c r="M14" s="319" t="s">
        <v>2631</v>
      </c>
      <c r="N14" s="320"/>
      <c r="O14" s="321"/>
      <c r="P14" s="320">
        <v>12.6</v>
      </c>
      <c r="Q14" s="320"/>
      <c r="R14" s="320"/>
      <c r="S14" s="321">
        <f t="shared" si="1"/>
        <v>1.8290322580645162</v>
      </c>
      <c r="T14" s="392">
        <v>45323</v>
      </c>
      <c r="U14" s="392">
        <v>45347</v>
      </c>
      <c r="V14" s="319"/>
      <c r="W14" s="319"/>
      <c r="X14" s="319"/>
      <c r="Y14" s="319"/>
      <c r="Z14" s="319"/>
      <c r="AA14" s="412"/>
      <c r="AB14" s="50"/>
      <c r="AC14" s="50"/>
      <c r="AD14" s="50"/>
      <c r="AE14" s="50"/>
      <c r="AF14" s="50"/>
      <c r="AG14" s="50"/>
      <c r="AH14" s="50"/>
      <c r="AI14" s="50"/>
      <c r="AJ14" s="50"/>
      <c r="AK14" s="50"/>
      <c r="AL14" s="50"/>
      <c r="AM14" s="50"/>
      <c r="AN14" s="50"/>
      <c r="AO14" s="50"/>
      <c r="AP14" s="50"/>
      <c r="AQ14" s="50"/>
      <c r="AR14" s="50"/>
      <c r="AS14" s="50"/>
      <c r="AT14" s="50"/>
      <c r="AU14" s="50"/>
      <c r="AV14" s="50"/>
      <c r="AW14" s="50"/>
      <c r="AX14" s="50"/>
      <c r="AY14" s="50"/>
      <c r="AZ14" s="50"/>
    </row>
    <row r="15" spans="1:52" ht="13" hidden="1" customHeight="1" outlineLevel="1" x14ac:dyDescent="0.3">
      <c r="A15" s="316"/>
      <c r="B15" s="317"/>
      <c r="C15" s="317" t="s">
        <v>2643</v>
      </c>
      <c r="D15" s="319"/>
      <c r="E15" s="317" t="s">
        <v>2644</v>
      </c>
      <c r="F15" s="319"/>
      <c r="G15" s="317" t="s">
        <v>3199</v>
      </c>
      <c r="H15" s="319">
        <v>15</v>
      </c>
      <c r="I15" s="319" t="s">
        <v>306</v>
      </c>
      <c r="J15" s="319" t="s">
        <v>2636</v>
      </c>
      <c r="K15" s="319" t="s">
        <v>2635</v>
      </c>
      <c r="L15" s="319"/>
      <c r="M15" s="319" t="s">
        <v>2631</v>
      </c>
      <c r="N15" s="320">
        <v>1</v>
      </c>
      <c r="O15" s="321">
        <v>16.079999999999998</v>
      </c>
      <c r="P15" s="320">
        <v>10.6</v>
      </c>
      <c r="Q15" s="320">
        <f>$P$15*O15+350/12*N15</f>
        <v>199.61466666666664</v>
      </c>
      <c r="R15" s="320"/>
      <c r="S15" s="321">
        <v>3.27</v>
      </c>
      <c r="T15" s="392">
        <v>45323</v>
      </c>
      <c r="U15" s="392">
        <v>45347</v>
      </c>
      <c r="V15" s="319"/>
      <c r="W15" s="319"/>
      <c r="X15" s="319"/>
      <c r="Y15" s="319"/>
      <c r="Z15" s="319"/>
      <c r="AA15" s="412"/>
      <c r="AB15" s="50"/>
      <c r="AC15" s="50"/>
      <c r="AD15" s="50"/>
      <c r="AE15" s="50"/>
      <c r="AF15" s="50"/>
      <c r="AG15" s="50"/>
      <c r="AH15" s="50"/>
      <c r="AI15" s="50"/>
      <c r="AJ15" s="50"/>
      <c r="AK15" s="50"/>
      <c r="AL15" s="50"/>
      <c r="AM15" s="50"/>
      <c r="AN15" s="50"/>
      <c r="AO15" s="50"/>
      <c r="AP15" s="50"/>
      <c r="AQ15" s="50"/>
      <c r="AR15" s="50"/>
      <c r="AS15" s="50"/>
      <c r="AT15" s="50"/>
      <c r="AU15" s="50"/>
      <c r="AV15" s="50"/>
      <c r="AW15" s="50"/>
      <c r="AX15" s="50"/>
      <c r="AY15" s="50"/>
      <c r="AZ15" s="50"/>
    </row>
    <row r="16" spans="1:52" ht="13" hidden="1" customHeight="1" outlineLevel="1" x14ac:dyDescent="0.3">
      <c r="A16" s="316"/>
      <c r="B16" s="317"/>
      <c r="C16" s="317" t="s">
        <v>2643</v>
      </c>
      <c r="D16" s="319"/>
      <c r="E16" s="317" t="s">
        <v>2645</v>
      </c>
      <c r="F16" s="319"/>
      <c r="G16" s="317" t="s">
        <v>3200</v>
      </c>
      <c r="H16" s="319">
        <v>4</v>
      </c>
      <c r="I16" s="319" t="s">
        <v>306</v>
      </c>
      <c r="J16" s="319" t="s">
        <v>2636</v>
      </c>
      <c r="K16" s="319" t="s">
        <v>2635</v>
      </c>
      <c r="L16" s="319"/>
      <c r="M16" s="319" t="s">
        <v>2631</v>
      </c>
      <c r="N16" s="320"/>
      <c r="O16" s="321"/>
      <c r="P16" s="320">
        <v>10.6</v>
      </c>
      <c r="Q16" s="320"/>
      <c r="R16" s="320"/>
      <c r="S16" s="321">
        <v>3.27</v>
      </c>
      <c r="T16" s="392">
        <v>45323</v>
      </c>
      <c r="U16" s="392">
        <v>45347</v>
      </c>
      <c r="V16" s="319"/>
      <c r="W16" s="319"/>
      <c r="X16" s="319"/>
      <c r="Y16" s="319"/>
      <c r="Z16" s="319"/>
      <c r="AA16" s="412"/>
      <c r="AB16" s="50"/>
      <c r="AC16" s="50"/>
      <c r="AD16" s="50"/>
      <c r="AE16" s="50"/>
      <c r="AF16" s="50"/>
      <c r="AG16" s="50"/>
      <c r="AH16" s="50"/>
      <c r="AI16" s="50"/>
      <c r="AJ16" s="50"/>
      <c r="AK16" s="50"/>
      <c r="AL16" s="50"/>
      <c r="AM16" s="50"/>
      <c r="AN16" s="50"/>
      <c r="AO16" s="50"/>
      <c r="AP16" s="50"/>
      <c r="AQ16" s="50"/>
      <c r="AR16" s="50"/>
      <c r="AS16" s="50"/>
      <c r="AT16" s="50"/>
      <c r="AU16" s="50"/>
      <c r="AV16" s="50"/>
      <c r="AW16" s="50"/>
      <c r="AX16" s="50"/>
      <c r="AY16" s="50"/>
      <c r="AZ16" s="50"/>
    </row>
    <row r="17" spans="1:52" ht="13" hidden="1" customHeight="1" outlineLevel="1" x14ac:dyDescent="0.3">
      <c r="A17" s="316"/>
      <c r="B17" s="317"/>
      <c r="C17" s="317" t="s">
        <v>2643</v>
      </c>
      <c r="D17" s="319"/>
      <c r="E17" s="317" t="s">
        <v>2646</v>
      </c>
      <c r="F17" s="319"/>
      <c r="G17" s="317" t="s">
        <v>2647</v>
      </c>
      <c r="H17" s="319">
        <v>15</v>
      </c>
      <c r="I17" s="319" t="s">
        <v>306</v>
      </c>
      <c r="J17" s="319" t="s">
        <v>2636</v>
      </c>
      <c r="K17" s="319" t="s">
        <v>2635</v>
      </c>
      <c r="L17" s="319"/>
      <c r="M17" s="319" t="s">
        <v>2631</v>
      </c>
      <c r="N17" s="320"/>
      <c r="O17" s="321"/>
      <c r="P17" s="320">
        <v>10.6</v>
      </c>
      <c r="Q17" s="320"/>
      <c r="R17" s="320"/>
      <c r="S17" s="321">
        <v>3.27</v>
      </c>
      <c r="T17" s="392">
        <v>45323</v>
      </c>
      <c r="U17" s="392">
        <v>45347</v>
      </c>
      <c r="V17" s="319"/>
      <c r="W17" s="319"/>
      <c r="X17" s="319"/>
      <c r="Y17" s="319"/>
      <c r="Z17" s="319"/>
      <c r="AA17" s="412"/>
      <c r="AB17" s="50"/>
      <c r="AC17" s="50"/>
      <c r="AD17" s="50"/>
      <c r="AE17" s="50"/>
      <c r="AF17" s="50"/>
      <c r="AG17" s="50"/>
      <c r="AH17" s="50"/>
      <c r="AI17" s="50"/>
      <c r="AJ17" s="50"/>
      <c r="AK17" s="50"/>
      <c r="AL17" s="50"/>
      <c r="AM17" s="50"/>
      <c r="AN17" s="50"/>
      <c r="AO17" s="50"/>
      <c r="AP17" s="50"/>
      <c r="AQ17" s="50"/>
      <c r="AR17" s="50"/>
      <c r="AS17" s="50"/>
      <c r="AT17" s="50"/>
      <c r="AU17" s="50"/>
      <c r="AV17" s="50"/>
      <c r="AW17" s="50"/>
      <c r="AX17" s="50"/>
      <c r="AY17" s="50"/>
      <c r="AZ17" s="50"/>
    </row>
    <row r="18" spans="1:52" ht="13" hidden="1" customHeight="1" outlineLevel="1" x14ac:dyDescent="0.3">
      <c r="A18" s="316"/>
      <c r="B18" s="317"/>
      <c r="C18" s="317" t="s">
        <v>2643</v>
      </c>
      <c r="D18" s="319"/>
      <c r="E18" s="317" t="s">
        <v>2648</v>
      </c>
      <c r="F18" s="319"/>
      <c r="G18" s="317" t="s">
        <v>2649</v>
      </c>
      <c r="H18" s="319">
        <v>4</v>
      </c>
      <c r="I18" s="319" t="s">
        <v>306</v>
      </c>
      <c r="J18" s="319" t="s">
        <v>2636</v>
      </c>
      <c r="K18" s="319" t="s">
        <v>2635</v>
      </c>
      <c r="L18" s="319"/>
      <c r="M18" s="319" t="s">
        <v>2631</v>
      </c>
      <c r="N18" s="320"/>
      <c r="O18" s="321"/>
      <c r="P18" s="320">
        <v>10.6</v>
      </c>
      <c r="Q18" s="320"/>
      <c r="R18" s="320"/>
      <c r="S18" s="321">
        <v>3.27</v>
      </c>
      <c r="T18" s="392">
        <v>45323</v>
      </c>
      <c r="U18" s="392">
        <v>45347</v>
      </c>
      <c r="V18" s="319"/>
      <c r="W18" s="319"/>
      <c r="X18" s="319"/>
      <c r="Y18" s="319"/>
      <c r="Z18" s="319"/>
      <c r="AA18" s="412"/>
      <c r="AB18" s="50"/>
      <c r="AC18" s="50"/>
      <c r="AD18" s="50"/>
      <c r="AE18" s="50"/>
      <c r="AF18" s="50"/>
      <c r="AG18" s="50"/>
      <c r="AH18" s="50"/>
      <c r="AI18" s="50"/>
      <c r="AJ18" s="50"/>
      <c r="AK18" s="50"/>
      <c r="AL18" s="50"/>
      <c r="AM18" s="50"/>
      <c r="AN18" s="50"/>
      <c r="AO18" s="50"/>
      <c r="AP18" s="50"/>
      <c r="AQ18" s="50"/>
      <c r="AR18" s="50"/>
      <c r="AS18" s="50"/>
      <c r="AT18" s="50"/>
      <c r="AU18" s="50"/>
      <c r="AV18" s="50"/>
      <c r="AW18" s="50"/>
      <c r="AX18" s="50"/>
      <c r="AY18" s="50"/>
      <c r="AZ18" s="50"/>
    </row>
    <row r="19" spans="1:52" ht="13" hidden="1" customHeight="1" outlineLevel="1" x14ac:dyDescent="0.3">
      <c r="A19" s="316"/>
      <c r="B19" s="317"/>
      <c r="C19" s="317" t="s">
        <v>2643</v>
      </c>
      <c r="D19" s="319"/>
      <c r="E19" s="317" t="s">
        <v>2650</v>
      </c>
      <c r="F19" s="319"/>
      <c r="G19" s="317" t="s">
        <v>2651</v>
      </c>
      <c r="H19" s="319">
        <v>23</v>
      </c>
      <c r="I19" s="319" t="s">
        <v>306</v>
      </c>
      <c r="J19" s="319" t="s">
        <v>2636</v>
      </c>
      <c r="K19" s="319" t="s">
        <v>2635</v>
      </c>
      <c r="L19" s="319"/>
      <c r="M19" s="319" t="s">
        <v>2631</v>
      </c>
      <c r="N19" s="320"/>
      <c r="O19" s="321"/>
      <c r="P19" s="320">
        <v>10.6</v>
      </c>
      <c r="Q19" s="320"/>
      <c r="R19" s="320"/>
      <c r="S19" s="321">
        <v>3.27</v>
      </c>
      <c r="T19" s="392">
        <v>45323</v>
      </c>
      <c r="U19" s="392">
        <v>45347</v>
      </c>
      <c r="V19" s="319"/>
      <c r="W19" s="319"/>
      <c r="X19" s="319"/>
      <c r="Y19" s="319"/>
      <c r="Z19" s="319"/>
      <c r="AA19" s="412"/>
      <c r="AB19" s="50"/>
      <c r="AC19" s="50"/>
      <c r="AD19" s="50"/>
      <c r="AE19" s="50"/>
      <c r="AF19" s="50"/>
      <c r="AG19" s="50"/>
      <c r="AH19" s="50"/>
      <c r="AI19" s="50"/>
      <c r="AJ19" s="50"/>
      <c r="AK19" s="50"/>
      <c r="AL19" s="50"/>
      <c r="AM19" s="50"/>
      <c r="AN19" s="50"/>
      <c r="AO19" s="50"/>
      <c r="AP19" s="50"/>
      <c r="AQ19" s="50"/>
      <c r="AR19" s="50"/>
      <c r="AS19" s="50"/>
      <c r="AT19" s="50"/>
      <c r="AU19" s="50"/>
      <c r="AV19" s="50"/>
      <c r="AW19" s="50"/>
      <c r="AX19" s="50"/>
      <c r="AY19" s="50"/>
      <c r="AZ19" s="50"/>
    </row>
    <row r="20" spans="1:52" ht="13" hidden="1" customHeight="1" outlineLevel="1" x14ac:dyDescent="0.3">
      <c r="A20" s="316"/>
      <c r="B20" s="317"/>
      <c r="C20" s="317" t="s">
        <v>2643</v>
      </c>
      <c r="D20" s="319"/>
      <c r="E20" s="317" t="s">
        <v>2652</v>
      </c>
      <c r="F20" s="319"/>
      <c r="G20" s="317" t="s">
        <v>3201</v>
      </c>
      <c r="H20" s="319">
        <v>15</v>
      </c>
      <c r="I20" s="319" t="s">
        <v>306</v>
      </c>
      <c r="J20" s="319" t="s">
        <v>2636</v>
      </c>
      <c r="K20" s="319" t="s">
        <v>2635</v>
      </c>
      <c r="L20" s="319" t="s">
        <v>2653</v>
      </c>
      <c r="M20" s="319" t="s">
        <v>2631</v>
      </c>
      <c r="N20" s="320">
        <v>1</v>
      </c>
      <c r="O20" s="321">
        <v>18.149999999999999</v>
      </c>
      <c r="P20" s="320">
        <v>10.6</v>
      </c>
      <c r="Q20" s="320">
        <f>$P$15*O20+350/12*N20</f>
        <v>221.55666666666664</v>
      </c>
      <c r="R20" s="320"/>
      <c r="S20" s="321">
        <f>221.56/70</f>
        <v>3.165142857142857</v>
      </c>
      <c r="T20" s="392">
        <v>45323</v>
      </c>
      <c r="U20" s="392">
        <v>45347</v>
      </c>
      <c r="V20" s="319"/>
      <c r="W20" s="319"/>
      <c r="X20" s="319"/>
      <c r="Y20" s="319"/>
      <c r="Z20" s="319"/>
      <c r="AA20" s="412"/>
      <c r="AB20" s="50"/>
      <c r="AC20" s="50"/>
      <c r="AD20" s="50"/>
      <c r="AE20" s="50"/>
      <c r="AF20" s="50"/>
      <c r="AG20" s="50"/>
      <c r="AH20" s="50"/>
      <c r="AI20" s="50"/>
      <c r="AJ20" s="50"/>
      <c r="AK20" s="50"/>
      <c r="AL20" s="50"/>
      <c r="AM20" s="50"/>
      <c r="AN20" s="50"/>
      <c r="AO20" s="50"/>
      <c r="AP20" s="50"/>
      <c r="AQ20" s="50"/>
      <c r="AR20" s="50"/>
      <c r="AS20" s="50"/>
      <c r="AT20" s="50"/>
      <c r="AU20" s="50"/>
      <c r="AV20" s="50"/>
      <c r="AW20" s="50"/>
      <c r="AX20" s="50"/>
      <c r="AY20" s="50"/>
      <c r="AZ20" s="50"/>
    </row>
    <row r="21" spans="1:52" ht="13" hidden="1" customHeight="1" outlineLevel="1" x14ac:dyDescent="0.3">
      <c r="A21" s="316"/>
      <c r="B21" s="317"/>
      <c r="C21" s="317" t="s">
        <v>2643</v>
      </c>
      <c r="D21" s="319"/>
      <c r="E21" s="317" t="s">
        <v>2654</v>
      </c>
      <c r="F21" s="319"/>
      <c r="G21" s="317" t="s">
        <v>3202</v>
      </c>
      <c r="H21" s="319">
        <v>15</v>
      </c>
      <c r="I21" s="319" t="s">
        <v>306</v>
      </c>
      <c r="J21" s="319" t="s">
        <v>2636</v>
      </c>
      <c r="K21" s="319" t="s">
        <v>2635</v>
      </c>
      <c r="L21" s="319" t="s">
        <v>2653</v>
      </c>
      <c r="M21" s="319" t="s">
        <v>2631</v>
      </c>
      <c r="N21" s="320"/>
      <c r="O21" s="321"/>
      <c r="P21" s="320">
        <v>10.6</v>
      </c>
      <c r="Q21" s="320"/>
      <c r="R21" s="320"/>
      <c r="S21" s="321">
        <f t="shared" ref="S21:S23" si="2">221.56/70</f>
        <v>3.165142857142857</v>
      </c>
      <c r="T21" s="392">
        <v>45323</v>
      </c>
      <c r="U21" s="392">
        <v>45347</v>
      </c>
      <c r="V21" s="319"/>
      <c r="W21" s="319"/>
      <c r="X21" s="319"/>
      <c r="Y21" s="319"/>
      <c r="Z21" s="319"/>
      <c r="AA21" s="412"/>
      <c r="AB21" s="50"/>
      <c r="AC21" s="50"/>
      <c r="AD21" s="50"/>
      <c r="AE21" s="50"/>
      <c r="AF21" s="50"/>
      <c r="AG21" s="50"/>
      <c r="AH21" s="50"/>
      <c r="AI21" s="50"/>
      <c r="AJ21" s="50"/>
      <c r="AK21" s="50"/>
      <c r="AL21" s="50"/>
      <c r="AM21" s="50"/>
      <c r="AN21" s="50"/>
      <c r="AO21" s="50"/>
      <c r="AP21" s="50"/>
      <c r="AQ21" s="50"/>
      <c r="AR21" s="50"/>
      <c r="AS21" s="50"/>
      <c r="AT21" s="50"/>
      <c r="AU21" s="50"/>
      <c r="AV21" s="50"/>
      <c r="AW21" s="50"/>
      <c r="AX21" s="50"/>
      <c r="AY21" s="50"/>
      <c r="AZ21" s="50"/>
    </row>
    <row r="22" spans="1:52" ht="13" hidden="1" customHeight="1" outlineLevel="1" x14ac:dyDescent="0.3">
      <c r="A22" s="316"/>
      <c r="B22" s="317"/>
      <c r="C22" s="317" t="s">
        <v>2643</v>
      </c>
      <c r="D22" s="319"/>
      <c r="E22" s="317" t="s">
        <v>2655</v>
      </c>
      <c r="F22" s="319"/>
      <c r="G22" s="317" t="s">
        <v>3203</v>
      </c>
      <c r="H22" s="319">
        <v>20</v>
      </c>
      <c r="I22" s="319" t="s">
        <v>306</v>
      </c>
      <c r="J22" s="319" t="s">
        <v>2636</v>
      </c>
      <c r="K22" s="319" t="s">
        <v>2635</v>
      </c>
      <c r="L22" s="319" t="s">
        <v>2653</v>
      </c>
      <c r="M22" s="319" t="s">
        <v>2631</v>
      </c>
      <c r="N22" s="320"/>
      <c r="O22" s="321"/>
      <c r="P22" s="320">
        <v>10.6</v>
      </c>
      <c r="Q22" s="320"/>
      <c r="R22" s="320"/>
      <c r="S22" s="321">
        <f t="shared" si="2"/>
        <v>3.165142857142857</v>
      </c>
      <c r="T22" s="392">
        <v>45323</v>
      </c>
      <c r="U22" s="392">
        <v>45347</v>
      </c>
      <c r="V22" s="319"/>
      <c r="W22" s="319"/>
      <c r="X22" s="319"/>
      <c r="Y22" s="319"/>
      <c r="Z22" s="319"/>
      <c r="AA22" s="412"/>
      <c r="AB22" s="50"/>
      <c r="AC22" s="50"/>
      <c r="AD22" s="50"/>
      <c r="AE22" s="50"/>
      <c r="AF22" s="50"/>
      <c r="AG22" s="50"/>
      <c r="AH22" s="50"/>
      <c r="AI22" s="50"/>
      <c r="AJ22" s="50"/>
      <c r="AK22" s="50"/>
      <c r="AL22" s="50"/>
      <c r="AM22" s="50"/>
      <c r="AN22" s="50"/>
      <c r="AO22" s="50"/>
      <c r="AP22" s="50"/>
      <c r="AQ22" s="50"/>
      <c r="AR22" s="50"/>
      <c r="AS22" s="50"/>
      <c r="AT22" s="50"/>
      <c r="AU22" s="50"/>
      <c r="AV22" s="50"/>
      <c r="AW22" s="50"/>
      <c r="AX22" s="50"/>
      <c r="AY22" s="50"/>
      <c r="AZ22" s="50"/>
    </row>
    <row r="23" spans="1:52" ht="13" hidden="1" customHeight="1" outlineLevel="1" x14ac:dyDescent="0.3">
      <c r="A23" s="316"/>
      <c r="B23" s="317"/>
      <c r="C23" s="317" t="s">
        <v>2643</v>
      </c>
      <c r="D23" s="319"/>
      <c r="E23" s="317" t="s">
        <v>2656</v>
      </c>
      <c r="F23" s="319"/>
      <c r="G23" s="317" t="s">
        <v>3203</v>
      </c>
      <c r="H23" s="319">
        <v>20</v>
      </c>
      <c r="I23" s="319" t="s">
        <v>306</v>
      </c>
      <c r="J23" s="319" t="s">
        <v>2636</v>
      </c>
      <c r="K23" s="319" t="s">
        <v>2635</v>
      </c>
      <c r="L23" s="319" t="s">
        <v>2653</v>
      </c>
      <c r="M23" s="319" t="s">
        <v>2631</v>
      </c>
      <c r="N23" s="320"/>
      <c r="O23" s="321"/>
      <c r="P23" s="320">
        <v>10.6</v>
      </c>
      <c r="Q23" s="320"/>
      <c r="R23" s="320"/>
      <c r="S23" s="321">
        <f t="shared" si="2"/>
        <v>3.165142857142857</v>
      </c>
      <c r="T23" s="392">
        <v>45323</v>
      </c>
      <c r="U23" s="392">
        <v>45347</v>
      </c>
      <c r="V23" s="319"/>
      <c r="W23" s="319"/>
      <c r="X23" s="319"/>
      <c r="Y23" s="319"/>
      <c r="Z23" s="319"/>
      <c r="AA23" s="412"/>
      <c r="AB23" s="50"/>
      <c r="AC23" s="50"/>
      <c r="AD23" s="50"/>
      <c r="AE23" s="50"/>
      <c r="AF23" s="50"/>
      <c r="AG23" s="50"/>
      <c r="AH23" s="50"/>
      <c r="AI23" s="50"/>
      <c r="AJ23" s="50"/>
      <c r="AK23" s="50"/>
      <c r="AL23" s="50"/>
      <c r="AM23" s="50"/>
      <c r="AN23" s="50"/>
      <c r="AO23" s="50"/>
      <c r="AP23" s="50"/>
      <c r="AQ23" s="50"/>
      <c r="AR23" s="50"/>
      <c r="AS23" s="50"/>
      <c r="AT23" s="50"/>
      <c r="AU23" s="50"/>
      <c r="AV23" s="50"/>
      <c r="AW23" s="50"/>
      <c r="AX23" s="50"/>
      <c r="AY23" s="50"/>
      <c r="AZ23" s="50"/>
    </row>
    <row r="24" spans="1:52" ht="13" hidden="1" customHeight="1" outlineLevel="1" x14ac:dyDescent="0.3">
      <c r="A24" s="316"/>
      <c r="B24" s="317"/>
      <c r="C24" s="317" t="s">
        <v>2643</v>
      </c>
      <c r="D24" s="319"/>
      <c r="E24" s="317" t="s">
        <v>2644</v>
      </c>
      <c r="F24" s="319"/>
      <c r="G24" s="317" t="s">
        <v>3199</v>
      </c>
      <c r="H24" s="319">
        <v>2</v>
      </c>
      <c r="I24" s="319" t="s">
        <v>306</v>
      </c>
      <c r="J24" s="319" t="s">
        <v>2636</v>
      </c>
      <c r="K24" s="319" t="s">
        <v>2635</v>
      </c>
      <c r="L24" s="319" t="s">
        <v>2653</v>
      </c>
      <c r="M24" s="319" t="s">
        <v>2631</v>
      </c>
      <c r="N24" s="320">
        <v>1</v>
      </c>
      <c r="O24" s="321">
        <v>12</v>
      </c>
      <c r="P24" s="320">
        <v>10.6</v>
      </c>
      <c r="Q24" s="320">
        <f>$P$15*O24+350/12*N24</f>
        <v>156.36666666666665</v>
      </c>
      <c r="R24" s="320"/>
      <c r="S24" s="321">
        <f>156.37/35</f>
        <v>4.467714285714286</v>
      </c>
      <c r="T24" s="392">
        <v>45323</v>
      </c>
      <c r="U24" s="392">
        <v>45347</v>
      </c>
      <c r="V24" s="319"/>
      <c r="W24" s="319"/>
      <c r="X24" s="319"/>
      <c r="Y24" s="319"/>
      <c r="Z24" s="319"/>
      <c r="AA24" s="412"/>
      <c r="AB24" s="50"/>
      <c r="AC24" s="50"/>
      <c r="AD24" s="50"/>
      <c r="AE24" s="50"/>
      <c r="AF24" s="50"/>
      <c r="AG24" s="50"/>
      <c r="AH24" s="50"/>
      <c r="AI24" s="50"/>
      <c r="AJ24" s="50"/>
      <c r="AK24" s="50"/>
      <c r="AL24" s="50"/>
      <c r="AM24" s="50"/>
      <c r="AN24" s="50"/>
      <c r="AO24" s="50"/>
      <c r="AP24" s="50"/>
      <c r="AQ24" s="50"/>
      <c r="AR24" s="50"/>
      <c r="AS24" s="50"/>
      <c r="AT24" s="50"/>
      <c r="AU24" s="50"/>
      <c r="AV24" s="50"/>
      <c r="AW24" s="50"/>
      <c r="AX24" s="50"/>
      <c r="AY24" s="50"/>
      <c r="AZ24" s="50"/>
    </row>
    <row r="25" spans="1:52" ht="13" hidden="1" customHeight="1" outlineLevel="1" x14ac:dyDescent="0.3">
      <c r="A25" s="316"/>
      <c r="B25" s="317"/>
      <c r="C25" s="317" t="s">
        <v>2643</v>
      </c>
      <c r="D25" s="319"/>
      <c r="E25" s="317" t="s">
        <v>2657</v>
      </c>
      <c r="F25" s="319"/>
      <c r="G25" s="317" t="s">
        <v>2658</v>
      </c>
      <c r="H25" s="319">
        <v>10</v>
      </c>
      <c r="I25" s="319" t="s">
        <v>306</v>
      </c>
      <c r="J25" s="319" t="s">
        <v>2636</v>
      </c>
      <c r="K25" s="319" t="s">
        <v>2635</v>
      </c>
      <c r="L25" s="319" t="s">
        <v>2653</v>
      </c>
      <c r="M25" s="319" t="s">
        <v>2631</v>
      </c>
      <c r="N25" s="320"/>
      <c r="O25" s="321"/>
      <c r="P25" s="320">
        <v>10.6</v>
      </c>
      <c r="Q25" s="320"/>
      <c r="R25" s="320"/>
      <c r="S25" s="321">
        <f t="shared" ref="S25:S26" si="3">156.37/35</f>
        <v>4.467714285714286</v>
      </c>
      <c r="T25" s="392">
        <v>45323</v>
      </c>
      <c r="U25" s="392">
        <v>45347</v>
      </c>
      <c r="V25" s="319"/>
      <c r="W25" s="319"/>
      <c r="X25" s="319"/>
      <c r="Y25" s="319"/>
      <c r="Z25" s="319"/>
      <c r="AA25" s="412"/>
      <c r="AB25" s="50"/>
      <c r="AC25" s="50"/>
      <c r="AD25" s="50"/>
      <c r="AE25" s="50"/>
      <c r="AF25" s="50"/>
      <c r="AG25" s="50"/>
      <c r="AH25" s="50"/>
      <c r="AI25" s="50"/>
      <c r="AJ25" s="50"/>
      <c r="AK25" s="50"/>
      <c r="AL25" s="50"/>
      <c r="AM25" s="50"/>
      <c r="AN25" s="50"/>
      <c r="AO25" s="50"/>
      <c r="AP25" s="50"/>
      <c r="AQ25" s="50"/>
      <c r="AR25" s="50"/>
      <c r="AS25" s="50"/>
      <c r="AT25" s="50"/>
      <c r="AU25" s="50"/>
      <c r="AV25" s="50"/>
      <c r="AW25" s="50"/>
      <c r="AX25" s="50"/>
      <c r="AY25" s="50"/>
      <c r="AZ25" s="50"/>
    </row>
    <row r="26" spans="1:52" ht="13" hidden="1" customHeight="1" outlineLevel="1" x14ac:dyDescent="0.3">
      <c r="A26" s="316"/>
      <c r="B26" s="317"/>
      <c r="C26" s="317" t="s">
        <v>2643</v>
      </c>
      <c r="D26" s="319"/>
      <c r="E26" s="317" t="s">
        <v>2659</v>
      </c>
      <c r="F26" s="319"/>
      <c r="G26" s="317" t="s">
        <v>2660</v>
      </c>
      <c r="H26" s="319">
        <v>23</v>
      </c>
      <c r="I26" s="319" t="s">
        <v>306</v>
      </c>
      <c r="J26" s="319" t="s">
        <v>2636</v>
      </c>
      <c r="K26" s="319" t="s">
        <v>2635</v>
      </c>
      <c r="L26" s="319" t="s">
        <v>2653</v>
      </c>
      <c r="M26" s="319" t="s">
        <v>2631</v>
      </c>
      <c r="N26" s="320"/>
      <c r="O26" s="321"/>
      <c r="P26" s="320">
        <v>10.6</v>
      </c>
      <c r="Q26" s="320"/>
      <c r="R26" s="320"/>
      <c r="S26" s="321">
        <f t="shared" si="3"/>
        <v>4.467714285714286</v>
      </c>
      <c r="T26" s="392">
        <v>45323</v>
      </c>
      <c r="U26" s="392">
        <v>45347</v>
      </c>
      <c r="V26" s="319"/>
      <c r="W26" s="319"/>
      <c r="X26" s="319"/>
      <c r="Y26" s="319"/>
      <c r="Z26" s="319"/>
      <c r="AA26" s="412"/>
      <c r="AB26" s="50"/>
      <c r="AC26" s="50"/>
      <c r="AD26" s="50"/>
      <c r="AE26" s="50"/>
      <c r="AF26" s="50"/>
      <c r="AG26" s="50"/>
      <c r="AH26" s="50"/>
      <c r="AI26" s="50"/>
      <c r="AJ26" s="50"/>
      <c r="AK26" s="50"/>
      <c r="AL26" s="50"/>
      <c r="AM26" s="50"/>
      <c r="AN26" s="50"/>
      <c r="AO26" s="50"/>
      <c r="AP26" s="50"/>
      <c r="AQ26" s="50"/>
      <c r="AR26" s="50"/>
      <c r="AS26" s="50"/>
      <c r="AT26" s="50"/>
      <c r="AU26" s="50"/>
      <c r="AV26" s="50"/>
      <c r="AW26" s="50"/>
      <c r="AX26" s="50"/>
      <c r="AY26" s="50"/>
      <c r="AZ26" s="50"/>
    </row>
    <row r="27" spans="1:52" ht="13" hidden="1" customHeight="1" outlineLevel="1" x14ac:dyDescent="0.3">
      <c r="A27" s="316"/>
      <c r="B27" s="317"/>
      <c r="C27" s="317" t="s">
        <v>2643</v>
      </c>
      <c r="D27" s="319"/>
      <c r="E27" s="317" t="s">
        <v>2661</v>
      </c>
      <c r="F27" s="319"/>
      <c r="G27" s="317" t="s">
        <v>2662</v>
      </c>
      <c r="H27" s="319">
        <v>12</v>
      </c>
      <c r="I27" s="319" t="s">
        <v>306</v>
      </c>
      <c r="J27" s="319" t="s">
        <v>2636</v>
      </c>
      <c r="K27" s="319" t="s">
        <v>2635</v>
      </c>
      <c r="L27" s="319" t="s">
        <v>2653</v>
      </c>
      <c r="M27" s="319" t="s">
        <v>2631</v>
      </c>
      <c r="N27" s="320">
        <v>3</v>
      </c>
      <c r="O27" s="321">
        <v>72.66</v>
      </c>
      <c r="P27" s="320">
        <v>10.6</v>
      </c>
      <c r="Q27" s="320">
        <f>$P$15*O27+350/12*N27</f>
        <v>857.69599999999991</v>
      </c>
      <c r="R27" s="320"/>
      <c r="S27" s="321">
        <f>Q27/H27</f>
        <v>71.474666666666664</v>
      </c>
      <c r="T27" s="392">
        <v>45323</v>
      </c>
      <c r="U27" s="392">
        <v>45347</v>
      </c>
      <c r="V27" s="319"/>
      <c r="W27" s="319"/>
      <c r="X27" s="319"/>
      <c r="Y27" s="319"/>
      <c r="Z27" s="319"/>
      <c r="AA27" s="412"/>
      <c r="AB27" s="50"/>
      <c r="AC27" s="50"/>
      <c r="AD27" s="50"/>
      <c r="AE27" s="50"/>
      <c r="AF27" s="50"/>
      <c r="AG27" s="50"/>
      <c r="AH27" s="50"/>
      <c r="AI27" s="50"/>
      <c r="AJ27" s="50"/>
      <c r="AK27" s="50"/>
      <c r="AL27" s="50"/>
      <c r="AM27" s="50"/>
      <c r="AN27" s="50"/>
      <c r="AO27" s="50"/>
      <c r="AP27" s="50"/>
      <c r="AQ27" s="50"/>
      <c r="AR27" s="50"/>
      <c r="AS27" s="50"/>
      <c r="AT27" s="50"/>
      <c r="AU27" s="50"/>
      <c r="AV27" s="50"/>
      <c r="AW27" s="50"/>
      <c r="AX27" s="50"/>
      <c r="AY27" s="50"/>
      <c r="AZ27" s="50"/>
    </row>
    <row r="28" spans="1:52" ht="13" hidden="1" customHeight="1" outlineLevel="1" x14ac:dyDescent="0.3">
      <c r="A28" s="316"/>
      <c r="B28" s="317"/>
      <c r="C28" s="317" t="s">
        <v>2643</v>
      </c>
      <c r="D28" s="319"/>
      <c r="E28" s="317" t="s">
        <v>2663</v>
      </c>
      <c r="F28" s="319"/>
      <c r="G28" s="317" t="s">
        <v>3204</v>
      </c>
      <c r="H28" s="319">
        <v>12</v>
      </c>
      <c r="I28" s="319" t="s">
        <v>306</v>
      </c>
      <c r="J28" s="319" t="s">
        <v>2636</v>
      </c>
      <c r="K28" s="319" t="s">
        <v>2635</v>
      </c>
      <c r="L28" s="319" t="s">
        <v>2653</v>
      </c>
      <c r="M28" s="319" t="s">
        <v>2631</v>
      </c>
      <c r="N28" s="320">
        <v>3</v>
      </c>
      <c r="O28" s="321">
        <v>52.42</v>
      </c>
      <c r="P28" s="320">
        <v>10.6</v>
      </c>
      <c r="Q28" s="320">
        <f>$P$15*O28+350/12*N28</f>
        <v>643.15200000000004</v>
      </c>
      <c r="R28" s="320"/>
      <c r="S28" s="321">
        <f t="shared" ref="S28:S33" si="4">Q28/H28</f>
        <v>53.596000000000004</v>
      </c>
      <c r="T28" s="392">
        <v>45323</v>
      </c>
      <c r="U28" s="392">
        <v>45347</v>
      </c>
      <c r="V28" s="319"/>
      <c r="W28" s="319"/>
      <c r="X28" s="319"/>
      <c r="Y28" s="319"/>
      <c r="Z28" s="319"/>
      <c r="AA28" s="412"/>
      <c r="AB28" s="50"/>
      <c r="AC28" s="50"/>
      <c r="AD28" s="50"/>
      <c r="AE28" s="50"/>
      <c r="AF28" s="50"/>
      <c r="AG28" s="50"/>
      <c r="AH28" s="50"/>
      <c r="AI28" s="50"/>
      <c r="AJ28" s="50"/>
      <c r="AK28" s="50"/>
      <c r="AL28" s="50"/>
      <c r="AM28" s="50"/>
      <c r="AN28" s="50"/>
      <c r="AO28" s="50"/>
      <c r="AP28" s="50"/>
      <c r="AQ28" s="50"/>
      <c r="AR28" s="50"/>
      <c r="AS28" s="50"/>
      <c r="AT28" s="50"/>
      <c r="AU28" s="50"/>
      <c r="AV28" s="50"/>
      <c r="AW28" s="50"/>
      <c r="AX28" s="50"/>
      <c r="AY28" s="50"/>
      <c r="AZ28" s="50"/>
    </row>
    <row r="29" spans="1:52" ht="13" hidden="1" customHeight="1" outlineLevel="1" x14ac:dyDescent="0.3">
      <c r="A29" s="316"/>
      <c r="B29" s="317"/>
      <c r="C29" s="317" t="s">
        <v>2643</v>
      </c>
      <c r="D29" s="319"/>
      <c r="E29" s="317" t="s">
        <v>2664</v>
      </c>
      <c r="F29" s="319"/>
      <c r="G29" s="317" t="s">
        <v>3205</v>
      </c>
      <c r="H29" s="319">
        <v>12</v>
      </c>
      <c r="I29" s="319" t="s">
        <v>306</v>
      </c>
      <c r="J29" s="319" t="s">
        <v>2636</v>
      </c>
      <c r="K29" s="319" t="s">
        <v>2635</v>
      </c>
      <c r="L29" s="319" t="s">
        <v>2653</v>
      </c>
      <c r="M29" s="319" t="s">
        <v>2631</v>
      </c>
      <c r="N29" s="320">
        <v>3</v>
      </c>
      <c r="O29" s="321">
        <v>52.42</v>
      </c>
      <c r="P29" s="320">
        <v>10.6</v>
      </c>
      <c r="Q29" s="320">
        <f>$P$15*O29+350/12*N29</f>
        <v>643.15200000000004</v>
      </c>
      <c r="R29" s="320"/>
      <c r="S29" s="321">
        <f t="shared" si="4"/>
        <v>53.596000000000004</v>
      </c>
      <c r="T29" s="392">
        <v>45323</v>
      </c>
      <c r="U29" s="392">
        <v>45347</v>
      </c>
      <c r="V29" s="319"/>
      <c r="W29" s="319"/>
      <c r="X29" s="319"/>
      <c r="Y29" s="319"/>
      <c r="Z29" s="319"/>
      <c r="AA29" s="412"/>
      <c r="AB29" s="50"/>
      <c r="AC29" s="50"/>
      <c r="AD29" s="50"/>
      <c r="AE29" s="50"/>
      <c r="AF29" s="50"/>
      <c r="AG29" s="50"/>
      <c r="AH29" s="50"/>
      <c r="AI29" s="50"/>
      <c r="AJ29" s="50"/>
      <c r="AK29" s="50"/>
      <c r="AL29" s="50"/>
      <c r="AM29" s="50"/>
      <c r="AN29" s="50"/>
      <c r="AO29" s="50"/>
      <c r="AP29" s="50"/>
      <c r="AQ29" s="50"/>
      <c r="AR29" s="50"/>
      <c r="AS29" s="50"/>
      <c r="AT29" s="50"/>
      <c r="AU29" s="50"/>
      <c r="AV29" s="50"/>
      <c r="AW29" s="50"/>
      <c r="AX29" s="50"/>
      <c r="AY29" s="50"/>
      <c r="AZ29" s="50"/>
    </row>
    <row r="30" spans="1:52" ht="13" hidden="1" customHeight="1" outlineLevel="1" x14ac:dyDescent="0.3">
      <c r="A30" s="316"/>
      <c r="B30" s="317"/>
      <c r="C30" s="317" t="s">
        <v>2665</v>
      </c>
      <c r="D30" s="319"/>
      <c r="E30" s="317" t="s">
        <v>2661</v>
      </c>
      <c r="F30" s="319"/>
      <c r="G30" s="317" t="s">
        <v>2662</v>
      </c>
      <c r="H30" s="319">
        <v>20</v>
      </c>
      <c r="I30" s="319" t="s">
        <v>306</v>
      </c>
      <c r="J30" s="319" t="s">
        <v>2636</v>
      </c>
      <c r="K30" s="319" t="s">
        <v>2630</v>
      </c>
      <c r="L30" s="319" t="s">
        <v>2653</v>
      </c>
      <c r="M30" s="319" t="s">
        <v>2631</v>
      </c>
      <c r="N30" s="320">
        <v>5</v>
      </c>
      <c r="O30" s="321">
        <v>122.05</v>
      </c>
      <c r="P30" s="320">
        <v>12.6</v>
      </c>
      <c r="Q30" s="320">
        <f>$P$30*O30+(350+50)/20*N30</f>
        <v>1637.83</v>
      </c>
      <c r="R30" s="320"/>
      <c r="S30" s="321">
        <f t="shared" si="4"/>
        <v>81.891499999999994</v>
      </c>
      <c r="T30" s="392">
        <v>45323</v>
      </c>
      <c r="U30" s="392">
        <v>45347</v>
      </c>
      <c r="V30" s="319"/>
      <c r="W30" s="319"/>
      <c r="X30" s="319"/>
      <c r="Y30" s="319"/>
      <c r="Z30" s="319"/>
      <c r="AA30" s="412"/>
      <c r="AB30" s="50"/>
      <c r="AC30" s="50"/>
      <c r="AD30" s="50"/>
      <c r="AE30" s="50"/>
      <c r="AF30" s="50"/>
      <c r="AG30" s="50"/>
      <c r="AH30" s="50"/>
      <c r="AI30" s="50"/>
      <c r="AJ30" s="50"/>
      <c r="AK30" s="50"/>
      <c r="AL30" s="50"/>
      <c r="AM30" s="50"/>
      <c r="AN30" s="50"/>
      <c r="AO30" s="50"/>
      <c r="AP30" s="50"/>
      <c r="AQ30" s="50"/>
      <c r="AR30" s="50"/>
      <c r="AS30" s="50"/>
      <c r="AT30" s="50"/>
      <c r="AU30" s="50"/>
      <c r="AV30" s="50"/>
      <c r="AW30" s="50"/>
      <c r="AX30" s="50"/>
      <c r="AY30" s="50"/>
      <c r="AZ30" s="50"/>
    </row>
    <row r="31" spans="1:52" ht="13" hidden="1" customHeight="1" outlineLevel="1" x14ac:dyDescent="0.3">
      <c r="A31" s="316"/>
      <c r="B31" s="317"/>
      <c r="C31" s="317" t="s">
        <v>2665</v>
      </c>
      <c r="D31" s="319"/>
      <c r="E31" s="317" t="s">
        <v>2663</v>
      </c>
      <c r="F31" s="319"/>
      <c r="G31" s="317" t="s">
        <v>3204</v>
      </c>
      <c r="H31" s="319">
        <v>20</v>
      </c>
      <c r="I31" s="319" t="s">
        <v>306</v>
      </c>
      <c r="J31" s="319" t="s">
        <v>2636</v>
      </c>
      <c r="K31" s="319" t="s">
        <v>2630</v>
      </c>
      <c r="L31" s="319" t="s">
        <v>2653</v>
      </c>
      <c r="M31" s="319" t="s">
        <v>2631</v>
      </c>
      <c r="N31" s="320">
        <v>5</v>
      </c>
      <c r="O31" s="321">
        <v>87.37</v>
      </c>
      <c r="P31" s="320">
        <v>12.6</v>
      </c>
      <c r="Q31" s="320">
        <f t="shared" ref="Q31:Q45" si="5">$P$30*O31+(350+50)/20*N31</f>
        <v>1200.8620000000001</v>
      </c>
      <c r="R31" s="320"/>
      <c r="S31" s="321">
        <f t="shared" si="4"/>
        <v>60.043100000000003</v>
      </c>
      <c r="T31" s="392">
        <v>45323</v>
      </c>
      <c r="U31" s="392">
        <v>45347</v>
      </c>
      <c r="V31" s="319"/>
      <c r="W31" s="319"/>
      <c r="X31" s="319"/>
      <c r="Y31" s="319"/>
      <c r="Z31" s="319"/>
      <c r="AA31" s="412"/>
      <c r="AB31" s="50"/>
      <c r="AC31" s="50"/>
      <c r="AD31" s="50"/>
      <c r="AE31" s="50"/>
      <c r="AF31" s="50"/>
      <c r="AG31" s="50"/>
      <c r="AH31" s="50"/>
      <c r="AI31" s="50"/>
      <c r="AJ31" s="50"/>
      <c r="AK31" s="50"/>
      <c r="AL31" s="50"/>
      <c r="AM31" s="50"/>
      <c r="AN31" s="50"/>
      <c r="AO31" s="50"/>
      <c r="AP31" s="50"/>
      <c r="AQ31" s="50"/>
      <c r="AR31" s="50"/>
      <c r="AS31" s="50"/>
      <c r="AT31" s="50"/>
      <c r="AU31" s="50"/>
      <c r="AV31" s="50"/>
      <c r="AW31" s="50"/>
      <c r="AX31" s="50"/>
      <c r="AY31" s="50"/>
      <c r="AZ31" s="50"/>
    </row>
    <row r="32" spans="1:52" ht="13" hidden="1" customHeight="1" outlineLevel="1" x14ac:dyDescent="0.3">
      <c r="A32" s="316"/>
      <c r="B32" s="317"/>
      <c r="C32" s="317" t="s">
        <v>2665</v>
      </c>
      <c r="D32" s="319"/>
      <c r="E32" s="317" t="s">
        <v>2664</v>
      </c>
      <c r="F32" s="319"/>
      <c r="G32" s="317" t="s">
        <v>3205</v>
      </c>
      <c r="H32" s="319">
        <v>20</v>
      </c>
      <c r="I32" s="319" t="s">
        <v>306</v>
      </c>
      <c r="J32" s="319" t="s">
        <v>2636</v>
      </c>
      <c r="K32" s="319" t="s">
        <v>2630</v>
      </c>
      <c r="L32" s="319" t="s">
        <v>2653</v>
      </c>
      <c r="M32" s="319" t="s">
        <v>2631</v>
      </c>
      <c r="N32" s="320">
        <v>5</v>
      </c>
      <c r="O32" s="321">
        <v>87.37</v>
      </c>
      <c r="P32" s="320">
        <v>12.6</v>
      </c>
      <c r="Q32" s="320">
        <f t="shared" si="5"/>
        <v>1200.8620000000001</v>
      </c>
      <c r="R32" s="320"/>
      <c r="S32" s="321">
        <f t="shared" si="4"/>
        <v>60.043100000000003</v>
      </c>
      <c r="T32" s="392">
        <v>45323</v>
      </c>
      <c r="U32" s="392">
        <v>45347</v>
      </c>
      <c r="V32" s="319"/>
      <c r="W32" s="319"/>
      <c r="X32" s="319"/>
      <c r="Y32" s="319"/>
      <c r="Z32" s="319"/>
      <c r="AA32" s="412"/>
      <c r="AB32" s="50"/>
      <c r="AC32" s="50"/>
      <c r="AD32" s="50"/>
      <c r="AE32" s="50"/>
      <c r="AF32" s="50"/>
      <c r="AG32" s="50"/>
      <c r="AH32" s="50"/>
      <c r="AI32" s="50"/>
      <c r="AJ32" s="50"/>
      <c r="AK32" s="50"/>
      <c r="AL32" s="50"/>
      <c r="AM32" s="50"/>
      <c r="AN32" s="50"/>
      <c r="AO32" s="50"/>
      <c r="AP32" s="50"/>
      <c r="AQ32" s="50"/>
      <c r="AR32" s="50"/>
      <c r="AS32" s="50"/>
      <c r="AT32" s="50"/>
      <c r="AU32" s="50"/>
      <c r="AV32" s="50"/>
      <c r="AW32" s="50"/>
      <c r="AX32" s="50"/>
      <c r="AY32" s="50"/>
      <c r="AZ32" s="50"/>
    </row>
    <row r="33" spans="1:52" ht="13" hidden="1" customHeight="1" outlineLevel="1" x14ac:dyDescent="0.3">
      <c r="A33" s="316"/>
      <c r="B33" s="317"/>
      <c r="C33" s="317" t="s">
        <v>2665</v>
      </c>
      <c r="D33" s="319"/>
      <c r="E33" s="317" t="s">
        <v>2644</v>
      </c>
      <c r="F33" s="319"/>
      <c r="G33" s="317" t="s">
        <v>3199</v>
      </c>
      <c r="H33" s="319">
        <v>36</v>
      </c>
      <c r="I33" s="319" t="s">
        <v>306</v>
      </c>
      <c r="J33" s="319" t="s">
        <v>2636</v>
      </c>
      <c r="K33" s="319" t="s">
        <v>2630</v>
      </c>
      <c r="L33" s="319" t="s">
        <v>2653</v>
      </c>
      <c r="M33" s="319" t="s">
        <v>2631</v>
      </c>
      <c r="N33" s="320">
        <v>1</v>
      </c>
      <c r="O33" s="321">
        <v>20</v>
      </c>
      <c r="P33" s="320">
        <v>12.6</v>
      </c>
      <c r="Q33" s="320">
        <f t="shared" si="5"/>
        <v>272</v>
      </c>
      <c r="R33" s="320"/>
      <c r="S33" s="321">
        <f t="shared" si="4"/>
        <v>7.5555555555555554</v>
      </c>
      <c r="T33" s="392">
        <v>45323</v>
      </c>
      <c r="U33" s="392">
        <v>45347</v>
      </c>
      <c r="V33" s="319"/>
      <c r="W33" s="319"/>
      <c r="X33" s="319"/>
      <c r="Y33" s="319"/>
      <c r="Z33" s="319"/>
      <c r="AA33" s="412"/>
      <c r="AB33" s="50"/>
      <c r="AC33" s="50"/>
      <c r="AD33" s="50"/>
      <c r="AE33" s="50"/>
      <c r="AF33" s="50"/>
      <c r="AG33" s="50"/>
      <c r="AH33" s="50"/>
      <c r="AI33" s="50"/>
      <c r="AJ33" s="50"/>
      <c r="AK33" s="50"/>
      <c r="AL33" s="50"/>
      <c r="AM33" s="50"/>
      <c r="AN33" s="50"/>
      <c r="AO33" s="50"/>
      <c r="AP33" s="50"/>
      <c r="AQ33" s="50"/>
      <c r="AR33" s="50"/>
      <c r="AS33" s="50"/>
      <c r="AT33" s="50"/>
      <c r="AU33" s="50"/>
      <c r="AV33" s="50"/>
      <c r="AW33" s="50"/>
      <c r="AX33" s="50"/>
      <c r="AY33" s="50"/>
      <c r="AZ33" s="50"/>
    </row>
    <row r="34" spans="1:52" ht="13" hidden="1" customHeight="1" outlineLevel="1" x14ac:dyDescent="0.3">
      <c r="A34" s="316"/>
      <c r="B34" s="317"/>
      <c r="C34" s="317" t="s">
        <v>2665</v>
      </c>
      <c r="D34" s="319"/>
      <c r="E34" s="317" t="s">
        <v>2644</v>
      </c>
      <c r="F34" s="319"/>
      <c r="G34" s="317" t="s">
        <v>3199</v>
      </c>
      <c r="H34" s="319">
        <v>4</v>
      </c>
      <c r="I34" s="319" t="s">
        <v>306</v>
      </c>
      <c r="J34" s="319" t="s">
        <v>2636</v>
      </c>
      <c r="K34" s="319" t="s">
        <v>2630</v>
      </c>
      <c r="L34" s="319" t="s">
        <v>2653</v>
      </c>
      <c r="M34" s="319" t="s">
        <v>2631</v>
      </c>
      <c r="N34" s="320">
        <v>1</v>
      </c>
      <c r="O34" s="321">
        <v>16.399999999999999</v>
      </c>
      <c r="P34" s="320">
        <v>12.6</v>
      </c>
      <c r="Q34" s="320">
        <f t="shared" si="5"/>
        <v>226.64</v>
      </c>
      <c r="R34" s="320"/>
      <c r="S34" s="321">
        <f>226.64/30</f>
        <v>7.554666666666666</v>
      </c>
      <c r="T34" s="392">
        <v>45323</v>
      </c>
      <c r="U34" s="392">
        <v>45347</v>
      </c>
      <c r="V34" s="319"/>
      <c r="W34" s="319"/>
      <c r="X34" s="319"/>
      <c r="Y34" s="319"/>
      <c r="Z34" s="319"/>
      <c r="AA34" s="412"/>
      <c r="AB34" s="50"/>
      <c r="AC34" s="50"/>
      <c r="AD34" s="50"/>
      <c r="AE34" s="50"/>
      <c r="AF34" s="50"/>
      <c r="AG34" s="50"/>
      <c r="AH34" s="50"/>
      <c r="AI34" s="50"/>
      <c r="AJ34" s="50"/>
      <c r="AK34" s="50"/>
      <c r="AL34" s="50"/>
      <c r="AM34" s="50"/>
      <c r="AN34" s="50"/>
      <c r="AO34" s="50"/>
      <c r="AP34" s="50"/>
      <c r="AQ34" s="50"/>
      <c r="AR34" s="50"/>
      <c r="AS34" s="50"/>
      <c r="AT34" s="50"/>
      <c r="AU34" s="50"/>
      <c r="AV34" s="50"/>
      <c r="AW34" s="50"/>
      <c r="AX34" s="50"/>
      <c r="AY34" s="50"/>
      <c r="AZ34" s="50"/>
    </row>
    <row r="35" spans="1:52" ht="13" hidden="1" customHeight="1" outlineLevel="1" x14ac:dyDescent="0.3">
      <c r="A35" s="316"/>
      <c r="B35" s="317"/>
      <c r="C35" s="317" t="s">
        <v>2665</v>
      </c>
      <c r="D35" s="319"/>
      <c r="E35" s="317" t="s">
        <v>2645</v>
      </c>
      <c r="F35" s="319"/>
      <c r="G35" s="317" t="s">
        <v>3200</v>
      </c>
      <c r="H35" s="319">
        <v>11</v>
      </c>
      <c r="I35" s="319" t="s">
        <v>306</v>
      </c>
      <c r="J35" s="319" t="s">
        <v>2636</v>
      </c>
      <c r="K35" s="319" t="s">
        <v>2630</v>
      </c>
      <c r="L35" s="319" t="s">
        <v>2653</v>
      </c>
      <c r="M35" s="319" t="s">
        <v>2631</v>
      </c>
      <c r="N35" s="320"/>
      <c r="O35" s="321"/>
      <c r="P35" s="320">
        <v>12.6</v>
      </c>
      <c r="Q35" s="320">
        <f t="shared" si="5"/>
        <v>0</v>
      </c>
      <c r="R35" s="320"/>
      <c r="S35" s="321">
        <f t="shared" ref="S35:S36" si="6">226.64/30</f>
        <v>7.554666666666666</v>
      </c>
      <c r="T35" s="392">
        <v>45323</v>
      </c>
      <c r="U35" s="392">
        <v>45347</v>
      </c>
      <c r="V35" s="319"/>
      <c r="W35" s="319"/>
      <c r="X35" s="319"/>
      <c r="Y35" s="319"/>
      <c r="Z35" s="319"/>
      <c r="AA35" s="412"/>
      <c r="AB35" s="50"/>
      <c r="AC35" s="50"/>
      <c r="AD35" s="50"/>
      <c r="AE35" s="50"/>
      <c r="AF35" s="50"/>
      <c r="AG35" s="50"/>
      <c r="AH35" s="50"/>
      <c r="AI35" s="50"/>
      <c r="AJ35" s="50"/>
      <c r="AK35" s="50"/>
      <c r="AL35" s="50"/>
      <c r="AM35" s="50"/>
      <c r="AN35" s="50"/>
      <c r="AO35" s="50"/>
      <c r="AP35" s="50"/>
      <c r="AQ35" s="50"/>
      <c r="AR35" s="50"/>
      <c r="AS35" s="50"/>
      <c r="AT35" s="50"/>
      <c r="AU35" s="50"/>
      <c r="AV35" s="50"/>
      <c r="AW35" s="50"/>
      <c r="AX35" s="50"/>
      <c r="AY35" s="50"/>
      <c r="AZ35" s="50"/>
    </row>
    <row r="36" spans="1:52" ht="13" hidden="1" customHeight="1" outlineLevel="1" x14ac:dyDescent="0.3">
      <c r="A36" s="316"/>
      <c r="B36" s="317"/>
      <c r="C36" s="317" t="s">
        <v>2665</v>
      </c>
      <c r="D36" s="319"/>
      <c r="E36" s="317" t="s">
        <v>2633</v>
      </c>
      <c r="F36" s="319"/>
      <c r="G36" s="317" t="s">
        <v>2666</v>
      </c>
      <c r="H36" s="319">
        <v>15</v>
      </c>
      <c r="I36" s="319" t="s">
        <v>306</v>
      </c>
      <c r="J36" s="319" t="s">
        <v>2636</v>
      </c>
      <c r="K36" s="319" t="s">
        <v>2630</v>
      </c>
      <c r="L36" s="319" t="s">
        <v>2653</v>
      </c>
      <c r="M36" s="319" t="s">
        <v>2631</v>
      </c>
      <c r="N36" s="320"/>
      <c r="O36" s="321"/>
      <c r="P36" s="320">
        <v>12.6</v>
      </c>
      <c r="Q36" s="320">
        <f t="shared" si="5"/>
        <v>0</v>
      </c>
      <c r="R36" s="320"/>
      <c r="S36" s="321">
        <f t="shared" si="6"/>
        <v>7.554666666666666</v>
      </c>
      <c r="T36" s="392">
        <v>45323</v>
      </c>
      <c r="U36" s="392">
        <v>45347</v>
      </c>
      <c r="V36" s="319"/>
      <c r="W36" s="319"/>
      <c r="X36" s="319"/>
      <c r="Y36" s="319"/>
      <c r="Z36" s="319"/>
      <c r="AA36" s="412"/>
      <c r="AB36" s="50"/>
      <c r="AC36" s="50"/>
      <c r="AD36" s="50"/>
      <c r="AE36" s="50"/>
      <c r="AF36" s="50"/>
      <c r="AG36" s="50"/>
      <c r="AH36" s="50"/>
      <c r="AI36" s="50"/>
      <c r="AJ36" s="50"/>
      <c r="AK36" s="50"/>
      <c r="AL36" s="50"/>
      <c r="AM36" s="50"/>
      <c r="AN36" s="50"/>
      <c r="AO36" s="50"/>
      <c r="AP36" s="50"/>
      <c r="AQ36" s="50"/>
      <c r="AR36" s="50"/>
      <c r="AS36" s="50"/>
      <c r="AT36" s="50"/>
      <c r="AU36" s="50"/>
      <c r="AV36" s="50"/>
      <c r="AW36" s="50"/>
      <c r="AX36" s="50"/>
      <c r="AY36" s="50"/>
      <c r="AZ36" s="50"/>
    </row>
    <row r="37" spans="1:52" ht="13" hidden="1" customHeight="1" outlineLevel="1" x14ac:dyDescent="0.3">
      <c r="A37" s="316"/>
      <c r="B37" s="317"/>
      <c r="C37" s="317" t="s">
        <v>2665</v>
      </c>
      <c r="D37" s="319"/>
      <c r="E37" s="317" t="s">
        <v>2650</v>
      </c>
      <c r="F37" s="319"/>
      <c r="G37" s="317" t="s">
        <v>2651</v>
      </c>
      <c r="H37" s="319">
        <v>52</v>
      </c>
      <c r="I37" s="319" t="s">
        <v>306</v>
      </c>
      <c r="J37" s="319" t="s">
        <v>2636</v>
      </c>
      <c r="K37" s="319" t="s">
        <v>2630</v>
      </c>
      <c r="L37" s="319" t="s">
        <v>2653</v>
      </c>
      <c r="M37" s="319" t="s">
        <v>2631</v>
      </c>
      <c r="N37" s="320">
        <v>1</v>
      </c>
      <c r="O37" s="321">
        <v>16</v>
      </c>
      <c r="P37" s="320">
        <v>12.6</v>
      </c>
      <c r="Q37" s="320">
        <f t="shared" si="5"/>
        <v>221.6</v>
      </c>
      <c r="R37" s="320"/>
      <c r="S37" s="321">
        <f>221.6/124</f>
        <v>1.7870967741935484</v>
      </c>
      <c r="T37" s="392">
        <v>45323</v>
      </c>
      <c r="U37" s="392">
        <v>45347</v>
      </c>
      <c r="V37" s="319"/>
      <c r="W37" s="319"/>
      <c r="X37" s="319"/>
      <c r="Y37" s="319"/>
      <c r="Z37" s="319"/>
      <c r="AA37" s="412"/>
      <c r="AB37" s="50"/>
      <c r="AC37" s="50"/>
      <c r="AD37" s="50"/>
      <c r="AE37" s="50"/>
      <c r="AF37" s="50"/>
      <c r="AG37" s="50"/>
      <c r="AH37" s="50"/>
      <c r="AI37" s="50"/>
      <c r="AJ37" s="50"/>
      <c r="AK37" s="50"/>
      <c r="AL37" s="50"/>
      <c r="AM37" s="50"/>
      <c r="AN37" s="50"/>
      <c r="AO37" s="50"/>
      <c r="AP37" s="50"/>
      <c r="AQ37" s="50"/>
      <c r="AR37" s="50"/>
      <c r="AS37" s="50"/>
      <c r="AT37" s="50"/>
      <c r="AU37" s="50"/>
      <c r="AV37" s="50"/>
      <c r="AW37" s="50"/>
      <c r="AX37" s="50"/>
      <c r="AY37" s="50"/>
      <c r="AZ37" s="50"/>
    </row>
    <row r="38" spans="1:52" ht="13" hidden="1" customHeight="1" outlineLevel="1" x14ac:dyDescent="0.3">
      <c r="A38" s="316"/>
      <c r="B38" s="317"/>
      <c r="C38" s="317" t="s">
        <v>2665</v>
      </c>
      <c r="D38" s="319"/>
      <c r="E38" s="317" t="s">
        <v>2659</v>
      </c>
      <c r="F38" s="319"/>
      <c r="G38" s="317" t="s">
        <v>2660</v>
      </c>
      <c r="H38" s="319">
        <v>52</v>
      </c>
      <c r="I38" s="319" t="s">
        <v>306</v>
      </c>
      <c r="J38" s="319" t="s">
        <v>2636</v>
      </c>
      <c r="K38" s="319" t="s">
        <v>2630</v>
      </c>
      <c r="L38" s="319" t="s">
        <v>2653</v>
      </c>
      <c r="M38" s="319" t="s">
        <v>2631</v>
      </c>
      <c r="N38" s="320"/>
      <c r="O38" s="321"/>
      <c r="P38" s="320">
        <v>12.6</v>
      </c>
      <c r="Q38" s="320">
        <f t="shared" si="5"/>
        <v>0</v>
      </c>
      <c r="R38" s="320"/>
      <c r="S38" s="321">
        <f t="shared" ref="S38:S39" si="7">221.6/124</f>
        <v>1.7870967741935484</v>
      </c>
      <c r="T38" s="392">
        <v>45323</v>
      </c>
      <c r="U38" s="392">
        <v>45347</v>
      </c>
      <c r="V38" s="319"/>
      <c r="W38" s="319"/>
      <c r="X38" s="319"/>
      <c r="Y38" s="319"/>
      <c r="Z38" s="319"/>
      <c r="AA38" s="412"/>
      <c r="AB38" s="50"/>
      <c r="AC38" s="50"/>
      <c r="AD38" s="50"/>
      <c r="AE38" s="50"/>
      <c r="AF38" s="50"/>
      <c r="AG38" s="50"/>
      <c r="AH38" s="50"/>
      <c r="AI38" s="50"/>
      <c r="AJ38" s="50"/>
      <c r="AK38" s="50"/>
      <c r="AL38" s="50"/>
      <c r="AM38" s="50"/>
      <c r="AN38" s="50"/>
      <c r="AO38" s="50"/>
      <c r="AP38" s="50"/>
      <c r="AQ38" s="50"/>
      <c r="AR38" s="50"/>
      <c r="AS38" s="50"/>
      <c r="AT38" s="50"/>
      <c r="AU38" s="50"/>
      <c r="AV38" s="50"/>
      <c r="AW38" s="50"/>
      <c r="AX38" s="50"/>
      <c r="AY38" s="50"/>
      <c r="AZ38" s="50"/>
    </row>
    <row r="39" spans="1:52" ht="13" hidden="1" customHeight="1" outlineLevel="1" x14ac:dyDescent="0.3">
      <c r="A39" s="316"/>
      <c r="B39" s="317"/>
      <c r="C39" s="317" t="s">
        <v>2665</v>
      </c>
      <c r="D39" s="319"/>
      <c r="E39" s="317" t="s">
        <v>2657</v>
      </c>
      <c r="F39" s="319"/>
      <c r="G39" s="317" t="s">
        <v>2658</v>
      </c>
      <c r="H39" s="319">
        <v>20</v>
      </c>
      <c r="I39" s="319" t="s">
        <v>306</v>
      </c>
      <c r="J39" s="319" t="s">
        <v>2636</v>
      </c>
      <c r="K39" s="319" t="s">
        <v>2630</v>
      </c>
      <c r="L39" s="319" t="s">
        <v>2653</v>
      </c>
      <c r="M39" s="319" t="s">
        <v>2631</v>
      </c>
      <c r="N39" s="320"/>
      <c r="O39" s="321"/>
      <c r="P39" s="320">
        <v>12.6</v>
      </c>
      <c r="Q39" s="320">
        <f t="shared" si="5"/>
        <v>0</v>
      </c>
      <c r="R39" s="320"/>
      <c r="S39" s="321">
        <f t="shared" si="7"/>
        <v>1.7870967741935484</v>
      </c>
      <c r="T39" s="392">
        <v>45323</v>
      </c>
      <c r="U39" s="392">
        <v>45347</v>
      </c>
      <c r="V39" s="319"/>
      <c r="W39" s="319"/>
      <c r="X39" s="319"/>
      <c r="Y39" s="319"/>
      <c r="Z39" s="319"/>
      <c r="AA39" s="412"/>
      <c r="AB39" s="50"/>
      <c r="AC39" s="50"/>
      <c r="AD39" s="50"/>
      <c r="AE39" s="50"/>
      <c r="AF39" s="50"/>
      <c r="AG39" s="50"/>
      <c r="AH39" s="50"/>
      <c r="AI39" s="50"/>
      <c r="AJ39" s="50"/>
      <c r="AK39" s="50"/>
      <c r="AL39" s="50"/>
      <c r="AM39" s="50"/>
      <c r="AN39" s="50"/>
      <c r="AO39" s="50"/>
      <c r="AP39" s="50"/>
      <c r="AQ39" s="50"/>
      <c r="AR39" s="50"/>
      <c r="AS39" s="50"/>
      <c r="AT39" s="50"/>
      <c r="AU39" s="50"/>
      <c r="AV39" s="50"/>
      <c r="AW39" s="50"/>
      <c r="AX39" s="50"/>
      <c r="AY39" s="50"/>
      <c r="AZ39" s="50"/>
    </row>
    <row r="40" spans="1:52" ht="13" hidden="1" customHeight="1" outlineLevel="1" x14ac:dyDescent="0.3">
      <c r="A40" s="316"/>
      <c r="B40" s="317"/>
      <c r="C40" s="317" t="s">
        <v>2665</v>
      </c>
      <c r="D40" s="319"/>
      <c r="E40" s="317" t="s">
        <v>2652</v>
      </c>
      <c r="F40" s="319"/>
      <c r="G40" s="317" t="s">
        <v>3201</v>
      </c>
      <c r="H40" s="319">
        <v>15</v>
      </c>
      <c r="I40" s="319" t="s">
        <v>306</v>
      </c>
      <c r="J40" s="319" t="s">
        <v>2636</v>
      </c>
      <c r="K40" s="319" t="s">
        <v>2630</v>
      </c>
      <c r="L40" s="319" t="s">
        <v>2653</v>
      </c>
      <c r="M40" s="319" t="s">
        <v>2631</v>
      </c>
      <c r="N40" s="320">
        <v>1</v>
      </c>
      <c r="O40" s="321">
        <v>17.45</v>
      </c>
      <c r="P40" s="320">
        <v>12.6</v>
      </c>
      <c r="Q40" s="320">
        <f t="shared" si="5"/>
        <v>239.86999999999998</v>
      </c>
      <c r="R40" s="320"/>
      <c r="S40" s="321">
        <f>239.87/69</f>
        <v>3.4763768115942031</v>
      </c>
      <c r="T40" s="392">
        <v>45323</v>
      </c>
      <c r="U40" s="392">
        <v>45347</v>
      </c>
      <c r="V40" s="319"/>
      <c r="W40" s="319"/>
      <c r="X40" s="319"/>
      <c r="Y40" s="319"/>
      <c r="Z40" s="319"/>
      <c r="AA40" s="412"/>
      <c r="AB40" s="50"/>
      <c r="AC40" s="50"/>
      <c r="AD40" s="50"/>
      <c r="AE40" s="50"/>
      <c r="AF40" s="50"/>
      <c r="AG40" s="50"/>
      <c r="AH40" s="50"/>
      <c r="AI40" s="50"/>
      <c r="AJ40" s="50"/>
      <c r="AK40" s="50"/>
      <c r="AL40" s="50"/>
      <c r="AM40" s="50"/>
      <c r="AN40" s="50"/>
      <c r="AO40" s="50"/>
      <c r="AP40" s="50"/>
      <c r="AQ40" s="50"/>
      <c r="AR40" s="50"/>
      <c r="AS40" s="50"/>
      <c r="AT40" s="50"/>
      <c r="AU40" s="50"/>
      <c r="AV40" s="50"/>
      <c r="AW40" s="50"/>
      <c r="AX40" s="50"/>
      <c r="AY40" s="50"/>
      <c r="AZ40" s="50"/>
    </row>
    <row r="41" spans="1:52" ht="13" hidden="1" customHeight="1" outlineLevel="1" x14ac:dyDescent="0.3">
      <c r="A41" s="316"/>
      <c r="B41" s="317"/>
      <c r="C41" s="317" t="s">
        <v>2665</v>
      </c>
      <c r="D41" s="319"/>
      <c r="E41" s="317" t="s">
        <v>2654</v>
      </c>
      <c r="F41" s="319"/>
      <c r="G41" s="317" t="s">
        <v>3206</v>
      </c>
      <c r="H41" s="319">
        <v>15</v>
      </c>
      <c r="I41" s="319" t="s">
        <v>306</v>
      </c>
      <c r="J41" s="319" t="s">
        <v>2636</v>
      </c>
      <c r="K41" s="319" t="s">
        <v>2630</v>
      </c>
      <c r="L41" s="319" t="s">
        <v>2653</v>
      </c>
      <c r="M41" s="319" t="s">
        <v>2631</v>
      </c>
      <c r="N41" s="320"/>
      <c r="O41" s="321"/>
      <c r="P41" s="320">
        <v>12.6</v>
      </c>
      <c r="Q41" s="320">
        <f t="shared" si="5"/>
        <v>0</v>
      </c>
      <c r="R41" s="320"/>
      <c r="S41" s="321">
        <f t="shared" ref="S41:S43" si="8">239.87/69</f>
        <v>3.4763768115942031</v>
      </c>
      <c r="T41" s="392">
        <v>45323</v>
      </c>
      <c r="U41" s="392">
        <v>45347</v>
      </c>
      <c r="V41" s="319"/>
      <c r="W41" s="319"/>
      <c r="X41" s="319"/>
      <c r="Y41" s="319"/>
      <c r="Z41" s="319"/>
      <c r="AA41" s="412"/>
      <c r="AB41" s="50"/>
      <c r="AC41" s="50"/>
      <c r="AD41" s="50"/>
      <c r="AE41" s="50"/>
      <c r="AF41" s="50"/>
      <c r="AG41" s="50"/>
      <c r="AH41" s="50"/>
      <c r="AI41" s="50"/>
      <c r="AJ41" s="50"/>
      <c r="AK41" s="50"/>
      <c r="AL41" s="50"/>
      <c r="AM41" s="50"/>
      <c r="AN41" s="50"/>
      <c r="AO41" s="50"/>
      <c r="AP41" s="50"/>
      <c r="AQ41" s="50"/>
      <c r="AR41" s="50"/>
      <c r="AS41" s="50"/>
      <c r="AT41" s="50"/>
      <c r="AU41" s="50"/>
      <c r="AV41" s="50"/>
      <c r="AW41" s="50"/>
      <c r="AX41" s="50"/>
      <c r="AY41" s="50"/>
      <c r="AZ41" s="50"/>
    </row>
    <row r="42" spans="1:52" ht="13" hidden="1" customHeight="1" outlineLevel="1" x14ac:dyDescent="0.3">
      <c r="A42" s="316"/>
      <c r="B42" s="317"/>
      <c r="C42" s="317" t="s">
        <v>2665</v>
      </c>
      <c r="D42" s="319"/>
      <c r="E42" s="317" t="s">
        <v>2648</v>
      </c>
      <c r="F42" s="319"/>
      <c r="G42" s="317" t="s">
        <v>2649</v>
      </c>
      <c r="H42" s="319">
        <v>4</v>
      </c>
      <c r="I42" s="319" t="s">
        <v>306</v>
      </c>
      <c r="J42" s="319" t="s">
        <v>2636</v>
      </c>
      <c r="K42" s="319" t="s">
        <v>2630</v>
      </c>
      <c r="L42" s="319" t="s">
        <v>2653</v>
      </c>
      <c r="M42" s="319" t="s">
        <v>2631</v>
      </c>
      <c r="N42" s="320"/>
      <c r="O42" s="321"/>
      <c r="P42" s="320">
        <v>12.6</v>
      </c>
      <c r="Q42" s="320">
        <f t="shared" si="5"/>
        <v>0</v>
      </c>
      <c r="R42" s="320"/>
      <c r="S42" s="321">
        <f t="shared" si="8"/>
        <v>3.4763768115942031</v>
      </c>
      <c r="T42" s="392">
        <v>45323</v>
      </c>
      <c r="U42" s="392">
        <v>45347</v>
      </c>
      <c r="V42" s="319"/>
      <c r="W42" s="319"/>
      <c r="X42" s="319"/>
      <c r="Y42" s="319"/>
      <c r="Z42" s="319"/>
      <c r="AA42" s="412"/>
      <c r="AB42" s="50"/>
      <c r="AC42" s="50"/>
      <c r="AD42" s="50"/>
      <c r="AE42" s="50"/>
      <c r="AF42" s="50"/>
      <c r="AG42" s="50"/>
      <c r="AH42" s="50"/>
      <c r="AI42" s="50"/>
      <c r="AJ42" s="50"/>
      <c r="AK42" s="50"/>
      <c r="AL42" s="50"/>
      <c r="AM42" s="50"/>
      <c r="AN42" s="50"/>
      <c r="AO42" s="50"/>
      <c r="AP42" s="50"/>
      <c r="AQ42" s="50"/>
      <c r="AR42" s="50"/>
      <c r="AS42" s="50"/>
      <c r="AT42" s="50"/>
      <c r="AU42" s="50"/>
      <c r="AV42" s="50"/>
      <c r="AW42" s="50"/>
      <c r="AX42" s="50"/>
      <c r="AY42" s="50"/>
      <c r="AZ42" s="50"/>
    </row>
    <row r="43" spans="1:52" ht="13" hidden="1" customHeight="1" outlineLevel="1" x14ac:dyDescent="0.3">
      <c r="A43" s="316"/>
      <c r="B43" s="317"/>
      <c r="C43" s="317" t="s">
        <v>2665</v>
      </c>
      <c r="D43" s="319"/>
      <c r="E43" s="317" t="s">
        <v>2646</v>
      </c>
      <c r="F43" s="319"/>
      <c r="G43" s="317" t="s">
        <v>2647</v>
      </c>
      <c r="H43" s="319">
        <v>35</v>
      </c>
      <c r="I43" s="319" t="s">
        <v>306</v>
      </c>
      <c r="J43" s="319" t="s">
        <v>2636</v>
      </c>
      <c r="K43" s="319" t="s">
        <v>2630</v>
      </c>
      <c r="L43" s="319" t="s">
        <v>2653</v>
      </c>
      <c r="M43" s="319" t="s">
        <v>2631</v>
      </c>
      <c r="N43" s="320"/>
      <c r="O43" s="321"/>
      <c r="P43" s="320">
        <v>12.6</v>
      </c>
      <c r="Q43" s="320">
        <f t="shared" si="5"/>
        <v>0</v>
      </c>
      <c r="R43" s="320"/>
      <c r="S43" s="321">
        <f t="shared" si="8"/>
        <v>3.4763768115942031</v>
      </c>
      <c r="T43" s="392">
        <v>45323</v>
      </c>
      <c r="U43" s="392">
        <v>45347</v>
      </c>
      <c r="V43" s="319"/>
      <c r="W43" s="319"/>
      <c r="X43" s="319"/>
      <c r="Y43" s="319"/>
      <c r="Z43" s="319"/>
      <c r="AA43" s="412"/>
      <c r="AB43" s="50"/>
      <c r="AC43" s="50"/>
      <c r="AD43" s="50"/>
      <c r="AE43" s="50"/>
      <c r="AF43" s="50"/>
      <c r="AG43" s="50"/>
      <c r="AH43" s="50"/>
      <c r="AI43" s="50"/>
      <c r="AJ43" s="50"/>
      <c r="AK43" s="50"/>
      <c r="AL43" s="50"/>
      <c r="AM43" s="50"/>
      <c r="AN43" s="50"/>
      <c r="AO43" s="50"/>
      <c r="AP43" s="50"/>
      <c r="AQ43" s="50"/>
      <c r="AR43" s="50"/>
      <c r="AS43" s="50"/>
      <c r="AT43" s="50"/>
      <c r="AU43" s="50"/>
      <c r="AV43" s="50"/>
      <c r="AW43" s="50"/>
      <c r="AX43" s="50"/>
      <c r="AY43" s="50"/>
      <c r="AZ43" s="50"/>
    </row>
    <row r="44" spans="1:52" ht="13" hidden="1" customHeight="1" outlineLevel="1" x14ac:dyDescent="0.3">
      <c r="A44" s="316"/>
      <c r="B44" s="317"/>
      <c r="C44" s="317" t="s">
        <v>2665</v>
      </c>
      <c r="D44" s="319"/>
      <c r="E44" s="317" t="s">
        <v>2655</v>
      </c>
      <c r="F44" s="319"/>
      <c r="G44" s="317" t="s">
        <v>3203</v>
      </c>
      <c r="H44" s="319">
        <v>44</v>
      </c>
      <c r="I44" s="319" t="s">
        <v>306</v>
      </c>
      <c r="J44" s="319" t="s">
        <v>2636</v>
      </c>
      <c r="K44" s="319" t="s">
        <v>2630</v>
      </c>
      <c r="L44" s="319" t="s">
        <v>2653</v>
      </c>
      <c r="M44" s="319" t="s">
        <v>2631</v>
      </c>
      <c r="N44" s="320">
        <v>1</v>
      </c>
      <c r="O44" s="321">
        <v>8.4600000000000009</v>
      </c>
      <c r="P44" s="320">
        <v>12.6</v>
      </c>
      <c r="Q44" s="320">
        <f t="shared" si="5"/>
        <v>126.596</v>
      </c>
      <c r="R44" s="320"/>
      <c r="S44" s="321">
        <f>126.6/88</f>
        <v>1.4386363636363635</v>
      </c>
      <c r="T44" s="392">
        <v>45323</v>
      </c>
      <c r="U44" s="392">
        <v>45347</v>
      </c>
      <c r="V44" s="319"/>
      <c r="W44" s="319"/>
      <c r="X44" s="319"/>
      <c r="Y44" s="319"/>
      <c r="Z44" s="319"/>
      <c r="AA44" s="412"/>
      <c r="AB44" s="50"/>
      <c r="AC44" s="50"/>
      <c r="AD44" s="50"/>
      <c r="AE44" s="50"/>
      <c r="AF44" s="50"/>
      <c r="AG44" s="50"/>
      <c r="AH44" s="50"/>
      <c r="AI44" s="50"/>
      <c r="AJ44" s="50"/>
      <c r="AK44" s="50"/>
      <c r="AL44" s="50"/>
      <c r="AM44" s="50"/>
      <c r="AN44" s="50"/>
      <c r="AO44" s="50"/>
      <c r="AP44" s="50"/>
      <c r="AQ44" s="50"/>
      <c r="AR44" s="50"/>
      <c r="AS44" s="50"/>
      <c r="AT44" s="50"/>
      <c r="AU44" s="50"/>
      <c r="AV44" s="50"/>
      <c r="AW44" s="50"/>
      <c r="AX44" s="50"/>
      <c r="AY44" s="50"/>
      <c r="AZ44" s="50"/>
    </row>
    <row r="45" spans="1:52" ht="13" hidden="1" customHeight="1" outlineLevel="1" x14ac:dyDescent="0.3">
      <c r="A45" s="316"/>
      <c r="B45" s="317"/>
      <c r="C45" s="317" t="s">
        <v>2665</v>
      </c>
      <c r="D45" s="319"/>
      <c r="E45" s="317" t="s">
        <v>2656</v>
      </c>
      <c r="F45" s="319"/>
      <c r="G45" s="317" t="s">
        <v>3203</v>
      </c>
      <c r="H45" s="319">
        <v>44</v>
      </c>
      <c r="I45" s="319" t="s">
        <v>306</v>
      </c>
      <c r="J45" s="319" t="s">
        <v>2636</v>
      </c>
      <c r="K45" s="319" t="s">
        <v>2630</v>
      </c>
      <c r="L45" s="319" t="s">
        <v>2653</v>
      </c>
      <c r="M45" s="319" t="s">
        <v>2631</v>
      </c>
      <c r="N45" s="320"/>
      <c r="O45" s="321"/>
      <c r="P45" s="320">
        <v>12.6</v>
      </c>
      <c r="Q45" s="320">
        <f t="shared" si="5"/>
        <v>0</v>
      </c>
      <c r="R45" s="320"/>
      <c r="S45" s="321">
        <f>126.6/88</f>
        <v>1.4386363636363635</v>
      </c>
      <c r="T45" s="392">
        <v>45323</v>
      </c>
      <c r="U45" s="392">
        <v>45347</v>
      </c>
      <c r="V45" s="319"/>
      <c r="W45" s="319"/>
      <c r="X45" s="319"/>
      <c r="Y45" s="319"/>
      <c r="Z45" s="319"/>
      <c r="AA45" s="412"/>
      <c r="AB45" s="50"/>
      <c r="AC45" s="50"/>
      <c r="AD45" s="50"/>
      <c r="AE45" s="50"/>
      <c r="AF45" s="50"/>
      <c r="AG45" s="50"/>
      <c r="AH45" s="50"/>
      <c r="AI45" s="50"/>
      <c r="AJ45" s="50"/>
      <c r="AK45" s="50"/>
      <c r="AL45" s="50"/>
      <c r="AM45" s="50"/>
      <c r="AN45" s="50"/>
      <c r="AO45" s="50"/>
      <c r="AP45" s="50"/>
      <c r="AQ45" s="50"/>
      <c r="AR45" s="50"/>
      <c r="AS45" s="50"/>
      <c r="AT45" s="50"/>
      <c r="AU45" s="50"/>
      <c r="AV45" s="50"/>
      <c r="AW45" s="50"/>
      <c r="AX45" s="50"/>
      <c r="AY45" s="50"/>
      <c r="AZ45" s="50"/>
    </row>
    <row r="46" spans="1:52" ht="13" hidden="1" customHeight="1" outlineLevel="1" x14ac:dyDescent="0.3">
      <c r="A46" s="316"/>
      <c r="B46" s="317"/>
      <c r="C46" s="317"/>
      <c r="D46" s="319"/>
      <c r="E46" s="317" t="s">
        <v>231</v>
      </c>
      <c r="F46" s="319"/>
      <c r="G46" s="317" t="s">
        <v>3207</v>
      </c>
      <c r="H46" s="319">
        <v>200</v>
      </c>
      <c r="I46" s="385" t="s">
        <v>2667</v>
      </c>
      <c r="J46" s="319" t="s">
        <v>2636</v>
      </c>
      <c r="K46" s="319" t="s">
        <v>2668</v>
      </c>
      <c r="L46" s="319" t="s">
        <v>2669</v>
      </c>
      <c r="M46" s="319" t="s">
        <v>89</v>
      </c>
      <c r="N46" s="320">
        <v>10</v>
      </c>
      <c r="O46" s="321">
        <v>147</v>
      </c>
      <c r="P46" s="320">
        <v>4.0999999999999996</v>
      </c>
      <c r="Q46" s="320">
        <f t="shared" ref="Q46:Q55" si="9">P46*O46</f>
        <v>602.69999999999993</v>
      </c>
      <c r="R46" s="320"/>
      <c r="S46" s="321">
        <f t="shared" ref="S46:S56" si="10">Q46/H46</f>
        <v>3.0134999999999996</v>
      </c>
      <c r="T46" s="539">
        <v>45710</v>
      </c>
      <c r="U46" s="539">
        <v>45729</v>
      </c>
      <c r="V46" s="319"/>
      <c r="W46" s="319"/>
      <c r="X46" s="319"/>
      <c r="Y46" s="319"/>
      <c r="Z46" s="319"/>
      <c r="AA46" s="412"/>
      <c r="AB46" s="50"/>
      <c r="AC46" s="50"/>
      <c r="AD46" s="50"/>
      <c r="AE46" s="50"/>
      <c r="AF46" s="50"/>
      <c r="AG46" s="50"/>
      <c r="AH46" s="50"/>
      <c r="AI46" s="50"/>
      <c r="AJ46" s="50"/>
      <c r="AK46" s="50"/>
      <c r="AL46" s="50"/>
      <c r="AM46" s="50"/>
      <c r="AN46" s="50"/>
      <c r="AO46" s="50"/>
      <c r="AP46" s="50"/>
      <c r="AQ46" s="50"/>
      <c r="AR46" s="50"/>
      <c r="AS46" s="50"/>
      <c r="AT46" s="50"/>
      <c r="AU46" s="50"/>
      <c r="AV46" s="50"/>
      <c r="AW46" s="50"/>
      <c r="AX46" s="50"/>
      <c r="AY46" s="50"/>
      <c r="AZ46" s="50"/>
    </row>
    <row r="47" spans="1:52" ht="13" hidden="1" customHeight="1" outlineLevel="1" x14ac:dyDescent="0.3">
      <c r="A47" s="316"/>
      <c r="B47" s="317"/>
      <c r="C47" s="317"/>
      <c r="D47" s="319"/>
      <c r="E47" s="317" t="s">
        <v>350</v>
      </c>
      <c r="F47" s="319"/>
      <c r="G47" s="317" t="s">
        <v>3208</v>
      </c>
      <c r="H47" s="319">
        <v>160</v>
      </c>
      <c r="I47" s="385" t="s">
        <v>2667</v>
      </c>
      <c r="J47" s="319" t="s">
        <v>2636</v>
      </c>
      <c r="K47" s="319" t="s">
        <v>2668</v>
      </c>
      <c r="L47" s="319" t="s">
        <v>2669</v>
      </c>
      <c r="M47" s="319" t="s">
        <v>89</v>
      </c>
      <c r="N47" s="320">
        <v>4</v>
      </c>
      <c r="O47" s="321">
        <v>58.8</v>
      </c>
      <c r="P47" s="320">
        <v>4.0999999999999996</v>
      </c>
      <c r="Q47" s="320">
        <f t="shared" si="9"/>
        <v>241.07999999999996</v>
      </c>
      <c r="R47" s="320"/>
      <c r="S47" s="321">
        <f t="shared" si="10"/>
        <v>1.5067499999999998</v>
      </c>
      <c r="T47" s="539">
        <v>45710</v>
      </c>
      <c r="U47" s="539">
        <v>45729</v>
      </c>
      <c r="V47" s="319"/>
      <c r="W47" s="319"/>
      <c r="X47" s="319"/>
      <c r="Y47" s="319"/>
      <c r="Z47" s="319"/>
      <c r="AA47" s="412"/>
      <c r="AB47" s="50"/>
      <c r="AC47" s="50"/>
      <c r="AD47" s="50"/>
      <c r="AE47" s="50"/>
      <c r="AF47" s="50"/>
      <c r="AG47" s="50"/>
      <c r="AH47" s="50"/>
      <c r="AI47" s="50"/>
      <c r="AJ47" s="50"/>
      <c r="AK47" s="50"/>
      <c r="AL47" s="50"/>
      <c r="AM47" s="50"/>
      <c r="AN47" s="50"/>
      <c r="AO47" s="50"/>
      <c r="AP47" s="50"/>
      <c r="AQ47" s="50"/>
      <c r="AR47" s="50"/>
      <c r="AS47" s="50"/>
      <c r="AT47" s="50"/>
      <c r="AU47" s="50"/>
      <c r="AV47" s="50"/>
      <c r="AW47" s="50"/>
      <c r="AX47" s="50"/>
      <c r="AY47" s="50"/>
      <c r="AZ47" s="50"/>
    </row>
    <row r="48" spans="1:52" ht="13" hidden="1" customHeight="1" outlineLevel="1" x14ac:dyDescent="0.3">
      <c r="A48" s="316"/>
      <c r="B48" s="317"/>
      <c r="C48" s="317"/>
      <c r="D48" s="319"/>
      <c r="E48" s="317" t="s">
        <v>165</v>
      </c>
      <c r="F48" s="319"/>
      <c r="G48" s="317" t="s">
        <v>3209</v>
      </c>
      <c r="H48" s="319">
        <v>800</v>
      </c>
      <c r="I48" s="385" t="s">
        <v>2667</v>
      </c>
      <c r="J48" s="319" t="s">
        <v>2636</v>
      </c>
      <c r="K48" s="319" t="s">
        <v>2668</v>
      </c>
      <c r="L48" s="319" t="s">
        <v>2669</v>
      </c>
      <c r="M48" s="319" t="s">
        <v>89</v>
      </c>
      <c r="N48" s="320">
        <v>20</v>
      </c>
      <c r="O48" s="321">
        <v>294</v>
      </c>
      <c r="P48" s="320">
        <v>4.0999999999999996</v>
      </c>
      <c r="Q48" s="320">
        <f t="shared" si="9"/>
        <v>1205.3999999999999</v>
      </c>
      <c r="R48" s="320"/>
      <c r="S48" s="321">
        <f t="shared" si="10"/>
        <v>1.5067499999999998</v>
      </c>
      <c r="T48" s="539">
        <v>45710</v>
      </c>
      <c r="U48" s="539">
        <v>45729</v>
      </c>
      <c r="V48" s="319"/>
      <c r="W48" s="319"/>
      <c r="X48" s="319"/>
      <c r="Y48" s="319"/>
      <c r="Z48" s="319"/>
      <c r="AA48" s="412"/>
      <c r="AB48" s="50"/>
      <c r="AC48" s="50"/>
      <c r="AD48" s="50"/>
      <c r="AE48" s="50"/>
      <c r="AF48" s="50"/>
      <c r="AG48" s="50"/>
      <c r="AH48" s="50"/>
      <c r="AI48" s="50"/>
      <c r="AJ48" s="50"/>
      <c r="AK48" s="50"/>
      <c r="AL48" s="50"/>
      <c r="AM48" s="50"/>
      <c r="AN48" s="50"/>
      <c r="AO48" s="50"/>
      <c r="AP48" s="50"/>
      <c r="AQ48" s="50"/>
      <c r="AR48" s="50"/>
      <c r="AS48" s="50"/>
      <c r="AT48" s="50"/>
      <c r="AU48" s="50"/>
      <c r="AV48" s="50"/>
      <c r="AW48" s="50"/>
      <c r="AX48" s="50"/>
      <c r="AY48" s="50"/>
      <c r="AZ48" s="50"/>
    </row>
    <row r="49" spans="1:52" ht="13" hidden="1" customHeight="1" outlineLevel="1" x14ac:dyDescent="0.3">
      <c r="A49" s="316"/>
      <c r="B49" s="317"/>
      <c r="C49" s="317"/>
      <c r="D49" s="319"/>
      <c r="E49" s="317" t="s">
        <v>167</v>
      </c>
      <c r="F49" s="319"/>
      <c r="G49" s="317" t="s">
        <v>3210</v>
      </c>
      <c r="H49" s="319">
        <v>600</v>
      </c>
      <c r="I49" s="385" t="s">
        <v>2667</v>
      </c>
      <c r="J49" s="319" t="s">
        <v>2636</v>
      </c>
      <c r="K49" s="319" t="s">
        <v>2668</v>
      </c>
      <c r="L49" s="319" t="s">
        <v>2669</v>
      </c>
      <c r="M49" s="319" t="s">
        <v>89</v>
      </c>
      <c r="N49" s="320">
        <v>20</v>
      </c>
      <c r="O49" s="321">
        <v>294</v>
      </c>
      <c r="P49" s="320">
        <v>4.0999999999999996</v>
      </c>
      <c r="Q49" s="320">
        <f t="shared" si="9"/>
        <v>1205.3999999999999</v>
      </c>
      <c r="R49" s="320"/>
      <c r="S49" s="321">
        <f t="shared" si="10"/>
        <v>2.0089999999999999</v>
      </c>
      <c r="T49" s="539">
        <v>45710</v>
      </c>
      <c r="U49" s="539">
        <v>45729</v>
      </c>
      <c r="V49" s="319"/>
      <c r="W49" s="319"/>
      <c r="X49" s="319"/>
      <c r="Y49" s="319"/>
      <c r="Z49" s="319"/>
      <c r="AA49" s="412"/>
      <c r="AB49" s="50"/>
      <c r="AC49" s="50"/>
      <c r="AD49" s="50"/>
      <c r="AE49" s="50"/>
      <c r="AF49" s="50"/>
      <c r="AG49" s="50"/>
      <c r="AH49" s="50"/>
      <c r="AI49" s="50"/>
      <c r="AJ49" s="50"/>
      <c r="AK49" s="50"/>
      <c r="AL49" s="50"/>
      <c r="AM49" s="50"/>
      <c r="AN49" s="50"/>
      <c r="AO49" s="50"/>
      <c r="AP49" s="50"/>
      <c r="AQ49" s="50"/>
      <c r="AR49" s="50"/>
      <c r="AS49" s="50"/>
      <c r="AT49" s="50"/>
      <c r="AU49" s="50"/>
      <c r="AV49" s="50"/>
      <c r="AW49" s="50"/>
      <c r="AX49" s="50"/>
      <c r="AY49" s="50"/>
      <c r="AZ49" s="50"/>
    </row>
    <row r="50" spans="1:52" ht="13" hidden="1" customHeight="1" outlineLevel="1" x14ac:dyDescent="0.3">
      <c r="A50" s="316"/>
      <c r="B50" s="317"/>
      <c r="C50" s="317"/>
      <c r="D50" s="319"/>
      <c r="E50" s="317" t="s">
        <v>169</v>
      </c>
      <c r="F50" s="319"/>
      <c r="G50" s="317" t="s">
        <v>3211</v>
      </c>
      <c r="H50" s="319">
        <v>270</v>
      </c>
      <c r="I50" s="385" t="s">
        <v>2667</v>
      </c>
      <c r="J50" s="319" t="s">
        <v>2636</v>
      </c>
      <c r="K50" s="319" t="s">
        <v>2668</v>
      </c>
      <c r="L50" s="319" t="s">
        <v>2669</v>
      </c>
      <c r="M50" s="319" t="s">
        <v>89</v>
      </c>
      <c r="N50" s="320">
        <v>9</v>
      </c>
      <c r="O50" s="321">
        <v>132.30000000000001</v>
      </c>
      <c r="P50" s="320">
        <v>4.0999999999999996</v>
      </c>
      <c r="Q50" s="320">
        <f t="shared" si="9"/>
        <v>542.42999999999995</v>
      </c>
      <c r="R50" s="320"/>
      <c r="S50" s="321">
        <f t="shared" si="10"/>
        <v>2.0089999999999999</v>
      </c>
      <c r="T50" s="539">
        <v>45710</v>
      </c>
      <c r="U50" s="539">
        <v>45729</v>
      </c>
      <c r="V50" s="319"/>
      <c r="W50" s="319"/>
      <c r="X50" s="319"/>
      <c r="Y50" s="319"/>
      <c r="Z50" s="319"/>
      <c r="AA50" s="412"/>
      <c r="AB50" s="50"/>
      <c r="AC50" s="50"/>
      <c r="AD50" s="50"/>
      <c r="AE50" s="50"/>
      <c r="AF50" s="50"/>
      <c r="AG50" s="50"/>
      <c r="AH50" s="50"/>
      <c r="AI50" s="50"/>
      <c r="AJ50" s="50"/>
      <c r="AK50" s="50"/>
      <c r="AL50" s="50"/>
      <c r="AM50" s="50"/>
      <c r="AN50" s="50"/>
      <c r="AO50" s="50"/>
      <c r="AP50" s="50"/>
      <c r="AQ50" s="50"/>
      <c r="AR50" s="50"/>
      <c r="AS50" s="50"/>
      <c r="AT50" s="50"/>
      <c r="AU50" s="50"/>
      <c r="AV50" s="50"/>
      <c r="AW50" s="50"/>
      <c r="AX50" s="50"/>
      <c r="AY50" s="50"/>
      <c r="AZ50" s="50"/>
    </row>
    <row r="51" spans="1:52" ht="13" hidden="1" customHeight="1" outlineLevel="1" x14ac:dyDescent="0.3">
      <c r="A51" s="316"/>
      <c r="B51" s="317"/>
      <c r="C51" s="317"/>
      <c r="D51" s="319"/>
      <c r="E51" s="317" t="s">
        <v>171</v>
      </c>
      <c r="F51" s="319"/>
      <c r="G51" s="317" t="s">
        <v>3212</v>
      </c>
      <c r="H51" s="319">
        <v>300</v>
      </c>
      <c r="I51" s="385" t="s">
        <v>2667</v>
      </c>
      <c r="J51" s="319" t="s">
        <v>2636</v>
      </c>
      <c r="K51" s="319" t="s">
        <v>2668</v>
      </c>
      <c r="L51" s="319" t="s">
        <v>2669</v>
      </c>
      <c r="M51" s="319" t="s">
        <v>89</v>
      </c>
      <c r="N51" s="320">
        <v>10</v>
      </c>
      <c r="O51" s="321">
        <v>147</v>
      </c>
      <c r="P51" s="320">
        <v>4.0999999999999996</v>
      </c>
      <c r="Q51" s="320">
        <f t="shared" si="9"/>
        <v>602.69999999999993</v>
      </c>
      <c r="R51" s="320"/>
      <c r="S51" s="321">
        <f t="shared" si="10"/>
        <v>2.0089999999999999</v>
      </c>
      <c r="T51" s="539">
        <v>45710</v>
      </c>
      <c r="U51" s="539">
        <v>45729</v>
      </c>
      <c r="V51" s="319"/>
      <c r="W51" s="319"/>
      <c r="X51" s="319"/>
      <c r="Y51" s="319"/>
      <c r="Z51" s="319"/>
      <c r="AA51" s="412"/>
      <c r="AB51" s="50"/>
      <c r="AC51" s="50"/>
      <c r="AD51" s="50"/>
      <c r="AE51" s="50"/>
      <c r="AF51" s="50"/>
      <c r="AG51" s="50"/>
      <c r="AH51" s="50"/>
      <c r="AI51" s="50"/>
      <c r="AJ51" s="50"/>
      <c r="AK51" s="50"/>
      <c r="AL51" s="50"/>
      <c r="AM51" s="50"/>
      <c r="AN51" s="50"/>
      <c r="AO51" s="50"/>
      <c r="AP51" s="50"/>
      <c r="AQ51" s="50"/>
      <c r="AR51" s="50"/>
      <c r="AS51" s="50"/>
      <c r="AT51" s="50"/>
      <c r="AU51" s="50"/>
      <c r="AV51" s="50"/>
      <c r="AW51" s="50"/>
      <c r="AX51" s="50"/>
      <c r="AY51" s="50"/>
      <c r="AZ51" s="50"/>
    </row>
    <row r="52" spans="1:52" ht="13" hidden="1" customHeight="1" outlineLevel="1" x14ac:dyDescent="0.3">
      <c r="A52" s="316"/>
      <c r="B52" s="317"/>
      <c r="C52" s="317"/>
      <c r="D52" s="319"/>
      <c r="E52" s="317" t="s">
        <v>180</v>
      </c>
      <c r="F52" s="319"/>
      <c r="G52" s="317" t="s">
        <v>3213</v>
      </c>
      <c r="H52" s="319">
        <v>210</v>
      </c>
      <c r="I52" s="385" t="s">
        <v>2667</v>
      </c>
      <c r="J52" s="319" t="s">
        <v>2636</v>
      </c>
      <c r="K52" s="319" t="s">
        <v>2668</v>
      </c>
      <c r="L52" s="319" t="s">
        <v>2669</v>
      </c>
      <c r="M52" s="319" t="s">
        <v>89</v>
      </c>
      <c r="N52" s="320">
        <v>7</v>
      </c>
      <c r="O52" s="321">
        <v>102.9</v>
      </c>
      <c r="P52" s="320">
        <v>4.0999999999999996</v>
      </c>
      <c r="Q52" s="320">
        <f t="shared" si="9"/>
        <v>421.89</v>
      </c>
      <c r="R52" s="320"/>
      <c r="S52" s="321">
        <f t="shared" si="10"/>
        <v>2.0089999999999999</v>
      </c>
      <c r="T52" s="539">
        <v>45710</v>
      </c>
      <c r="U52" s="539">
        <v>45729</v>
      </c>
      <c r="V52" s="319"/>
      <c r="W52" s="319"/>
      <c r="X52" s="319"/>
      <c r="Y52" s="319"/>
      <c r="Z52" s="319"/>
      <c r="AA52" s="412"/>
      <c r="AB52" s="50"/>
      <c r="AC52" s="50"/>
      <c r="AD52" s="50"/>
      <c r="AE52" s="50"/>
      <c r="AF52" s="50"/>
      <c r="AG52" s="50"/>
      <c r="AH52" s="50"/>
      <c r="AI52" s="50"/>
      <c r="AJ52" s="50"/>
      <c r="AK52" s="50"/>
      <c r="AL52" s="50"/>
      <c r="AM52" s="50"/>
      <c r="AN52" s="50"/>
      <c r="AO52" s="50"/>
      <c r="AP52" s="50"/>
      <c r="AQ52" s="50"/>
      <c r="AR52" s="50"/>
      <c r="AS52" s="50"/>
      <c r="AT52" s="50"/>
      <c r="AU52" s="50"/>
      <c r="AV52" s="50"/>
      <c r="AW52" s="50"/>
      <c r="AX52" s="50"/>
      <c r="AY52" s="50"/>
      <c r="AZ52" s="50"/>
    </row>
    <row r="53" spans="1:52" ht="13" hidden="1" customHeight="1" outlineLevel="1" x14ac:dyDescent="0.3">
      <c r="A53" s="316"/>
      <c r="B53" s="317"/>
      <c r="C53" s="317"/>
      <c r="D53" s="319"/>
      <c r="E53" s="317" t="s">
        <v>594</v>
      </c>
      <c r="F53" s="319"/>
      <c r="G53" s="317" t="s">
        <v>3214</v>
      </c>
      <c r="H53" s="319">
        <v>144</v>
      </c>
      <c r="I53" s="385" t="s">
        <v>2667</v>
      </c>
      <c r="J53" s="319" t="s">
        <v>2</v>
      </c>
      <c r="K53" s="531" t="s">
        <v>2670</v>
      </c>
      <c r="L53" s="319" t="s">
        <v>2653</v>
      </c>
      <c r="M53" s="319" t="s">
        <v>89</v>
      </c>
      <c r="N53" s="320">
        <v>4</v>
      </c>
      <c r="O53" s="321">
        <v>90.4</v>
      </c>
      <c r="P53" s="320">
        <v>7</v>
      </c>
      <c r="Q53" s="320">
        <f t="shared" si="9"/>
        <v>632.80000000000007</v>
      </c>
      <c r="R53" s="320"/>
      <c r="S53" s="321">
        <f t="shared" si="10"/>
        <v>4.3944444444444448</v>
      </c>
      <c r="T53" s="539">
        <v>45716</v>
      </c>
      <c r="U53" s="539">
        <v>45756</v>
      </c>
      <c r="V53" s="319"/>
      <c r="W53" s="319"/>
      <c r="X53" s="319"/>
      <c r="Y53" s="319"/>
      <c r="Z53" s="319"/>
      <c r="AA53" s="412"/>
      <c r="AB53" s="50"/>
      <c r="AC53" s="50"/>
      <c r="AD53" s="50"/>
      <c r="AE53" s="50"/>
      <c r="AF53" s="50"/>
      <c r="AG53" s="50"/>
      <c r="AH53" s="50"/>
      <c r="AI53" s="50"/>
      <c r="AJ53" s="50"/>
      <c r="AK53" s="50"/>
      <c r="AL53" s="50"/>
      <c r="AM53" s="50"/>
      <c r="AN53" s="50"/>
      <c r="AO53" s="50"/>
      <c r="AP53" s="50"/>
      <c r="AQ53" s="50"/>
      <c r="AR53" s="50"/>
      <c r="AS53" s="50"/>
      <c r="AT53" s="50"/>
      <c r="AU53" s="50"/>
      <c r="AV53" s="50"/>
      <c r="AW53" s="50"/>
      <c r="AX53" s="50"/>
      <c r="AY53" s="50"/>
      <c r="AZ53" s="50"/>
    </row>
    <row r="54" spans="1:52" ht="13" hidden="1" customHeight="1" outlineLevel="1" x14ac:dyDescent="0.3">
      <c r="A54" s="316"/>
      <c r="B54" s="317"/>
      <c r="C54" s="317"/>
      <c r="D54" s="319"/>
      <c r="E54" s="317" t="s">
        <v>614</v>
      </c>
      <c r="F54" s="319"/>
      <c r="G54" s="317" t="s">
        <v>3215</v>
      </c>
      <c r="H54" s="319">
        <v>20</v>
      </c>
      <c r="I54" s="385" t="s">
        <v>2667</v>
      </c>
      <c r="J54" s="319" t="s">
        <v>2</v>
      </c>
      <c r="K54" s="531" t="s">
        <v>2670</v>
      </c>
      <c r="L54" s="319" t="s">
        <v>2653</v>
      </c>
      <c r="M54" s="319" t="s">
        <v>89</v>
      </c>
      <c r="N54" s="320">
        <v>0.8</v>
      </c>
      <c r="O54" s="321">
        <v>18.079999999999998</v>
      </c>
      <c r="P54" s="320">
        <v>7</v>
      </c>
      <c r="Q54" s="320">
        <f t="shared" si="9"/>
        <v>126.55999999999999</v>
      </c>
      <c r="R54" s="320"/>
      <c r="S54" s="321">
        <f t="shared" si="10"/>
        <v>6.3279999999999994</v>
      </c>
      <c r="T54" s="539">
        <v>45716</v>
      </c>
      <c r="U54" s="539">
        <v>45756</v>
      </c>
      <c r="V54" s="319"/>
      <c r="W54" s="319"/>
      <c r="X54" s="319"/>
      <c r="Y54" s="319"/>
      <c r="Z54" s="319"/>
      <c r="AA54" s="412"/>
      <c r="AB54" s="50"/>
      <c r="AC54" s="50"/>
      <c r="AD54" s="50"/>
      <c r="AE54" s="50"/>
      <c r="AF54" s="50"/>
      <c r="AG54" s="50"/>
      <c r="AH54" s="50"/>
      <c r="AI54" s="50"/>
      <c r="AJ54" s="50"/>
      <c r="AK54" s="50"/>
      <c r="AL54" s="50"/>
      <c r="AM54" s="50"/>
      <c r="AN54" s="50"/>
      <c r="AO54" s="50"/>
      <c r="AP54" s="50"/>
      <c r="AQ54" s="50"/>
      <c r="AR54" s="50"/>
      <c r="AS54" s="50"/>
      <c r="AT54" s="50"/>
      <c r="AU54" s="50"/>
      <c r="AV54" s="50"/>
      <c r="AW54" s="50"/>
      <c r="AX54" s="50"/>
      <c r="AY54" s="50"/>
      <c r="AZ54" s="50"/>
    </row>
    <row r="55" spans="1:52" ht="13" hidden="1" customHeight="1" outlineLevel="1" x14ac:dyDescent="0.3">
      <c r="A55" s="316"/>
      <c r="B55" s="317"/>
      <c r="C55" s="317"/>
      <c r="D55" s="319"/>
      <c r="E55" s="317" t="s">
        <v>355</v>
      </c>
      <c r="F55" s="319"/>
      <c r="G55" s="317" t="s">
        <v>3216</v>
      </c>
      <c r="H55" s="319">
        <v>50</v>
      </c>
      <c r="I55" s="385" t="s">
        <v>2667</v>
      </c>
      <c r="J55" s="319" t="s">
        <v>2</v>
      </c>
      <c r="K55" s="531" t="s">
        <v>2670</v>
      </c>
      <c r="L55" s="319" t="s">
        <v>2653</v>
      </c>
      <c r="M55" s="319" t="s">
        <v>89</v>
      </c>
      <c r="N55" s="320">
        <v>0.2</v>
      </c>
      <c r="O55" s="321">
        <v>4.5199999999999996</v>
      </c>
      <c r="P55" s="320">
        <v>7</v>
      </c>
      <c r="Q55" s="320">
        <f t="shared" si="9"/>
        <v>31.639999999999997</v>
      </c>
      <c r="R55" s="320"/>
      <c r="S55" s="321">
        <f t="shared" si="10"/>
        <v>0.63279999999999992</v>
      </c>
      <c r="T55" s="539">
        <v>45716</v>
      </c>
      <c r="U55" s="539">
        <v>45756</v>
      </c>
      <c r="V55" s="319"/>
      <c r="W55" s="319"/>
      <c r="X55" s="319"/>
      <c r="Y55" s="319"/>
      <c r="Z55" s="319"/>
      <c r="AA55" s="412"/>
      <c r="AB55" s="50"/>
      <c r="AC55" s="50"/>
      <c r="AD55" s="50"/>
      <c r="AE55" s="50"/>
      <c r="AF55" s="50"/>
      <c r="AG55" s="50"/>
      <c r="AH55" s="50"/>
      <c r="AI55" s="50"/>
      <c r="AJ55" s="50"/>
      <c r="AK55" s="50"/>
      <c r="AL55" s="50"/>
      <c r="AM55" s="50"/>
      <c r="AN55" s="50"/>
      <c r="AO55" s="50"/>
      <c r="AP55" s="50"/>
      <c r="AQ55" s="50"/>
      <c r="AR55" s="50"/>
      <c r="AS55" s="50"/>
      <c r="AT55" s="50"/>
      <c r="AU55" s="50"/>
      <c r="AV55" s="50"/>
      <c r="AW55" s="50"/>
      <c r="AX55" s="50"/>
      <c r="AY55" s="50"/>
      <c r="AZ55" s="50"/>
    </row>
    <row r="56" spans="1:52" ht="13" hidden="1" customHeight="1" outlineLevel="1" x14ac:dyDescent="0.3">
      <c r="A56" s="316"/>
      <c r="B56" s="317"/>
      <c r="C56" s="317"/>
      <c r="D56" s="319"/>
      <c r="E56" s="317" t="s">
        <v>2661</v>
      </c>
      <c r="F56" s="319"/>
      <c r="G56" s="317" t="s">
        <v>2662</v>
      </c>
      <c r="H56" s="319">
        <v>72</v>
      </c>
      <c r="I56" s="319" t="s">
        <v>117</v>
      </c>
      <c r="J56" s="319" t="s">
        <v>2636</v>
      </c>
      <c r="K56" s="319" t="s">
        <v>2635</v>
      </c>
      <c r="L56" s="319" t="s">
        <v>2653</v>
      </c>
      <c r="M56" s="319" t="s">
        <v>2631</v>
      </c>
      <c r="N56" s="327">
        <v>18</v>
      </c>
      <c r="O56" s="321">
        <f>482/20*N56</f>
        <v>433.8</v>
      </c>
      <c r="P56" s="320">
        <v>8.1999999999999993</v>
      </c>
      <c r="Q56" s="320">
        <f>P56*O56+350/20*N56</f>
        <v>3872.16</v>
      </c>
      <c r="R56" s="320"/>
      <c r="S56" s="321">
        <f t="shared" si="10"/>
        <v>53.78</v>
      </c>
      <c r="T56" s="392">
        <v>45429</v>
      </c>
      <c r="U56" s="392">
        <v>45452</v>
      </c>
      <c r="V56" s="392">
        <v>45461</v>
      </c>
      <c r="W56" s="319"/>
      <c r="X56" s="319"/>
      <c r="Y56" s="319"/>
      <c r="Z56" s="319"/>
      <c r="AA56" s="412"/>
      <c r="AB56" s="50"/>
      <c r="AC56" s="50"/>
      <c r="AD56" s="50"/>
      <c r="AE56" s="50"/>
      <c r="AF56" s="50"/>
      <c r="AG56" s="50"/>
      <c r="AH56" s="50"/>
      <c r="AI56" s="50"/>
      <c r="AJ56" s="50"/>
      <c r="AK56" s="50"/>
      <c r="AL56" s="50"/>
      <c r="AM56" s="50"/>
      <c r="AN56" s="50"/>
      <c r="AO56" s="50"/>
      <c r="AP56" s="50"/>
      <c r="AQ56" s="50"/>
      <c r="AR56" s="50"/>
      <c r="AS56" s="50"/>
      <c r="AT56" s="50"/>
      <c r="AU56" s="50"/>
      <c r="AV56" s="50"/>
      <c r="AW56" s="50"/>
      <c r="AX56" s="50"/>
      <c r="AY56" s="50"/>
      <c r="AZ56" s="50"/>
    </row>
    <row r="57" spans="1:52" ht="13" hidden="1" customHeight="1" outlineLevel="1" x14ac:dyDescent="0.3">
      <c r="A57" s="316"/>
      <c r="B57" s="317"/>
      <c r="C57" s="317"/>
      <c r="D57" s="319"/>
      <c r="E57" s="317" t="s">
        <v>2645</v>
      </c>
      <c r="F57" s="319"/>
      <c r="G57" s="317" t="s">
        <v>3200</v>
      </c>
      <c r="H57" s="319">
        <v>10</v>
      </c>
      <c r="I57" s="319" t="s">
        <v>117</v>
      </c>
      <c r="J57" s="319" t="s">
        <v>2636</v>
      </c>
      <c r="K57" s="319" t="s">
        <v>2635</v>
      </c>
      <c r="L57" s="319" t="s">
        <v>2653</v>
      </c>
      <c r="M57" s="319" t="s">
        <v>2631</v>
      </c>
      <c r="N57" s="327">
        <v>0.27777777777777801</v>
      </c>
      <c r="O57" s="321">
        <f t="shared" ref="O57:O58" si="11">482/20*N57</f>
        <v>6.6944444444444509</v>
      </c>
      <c r="P57" s="320">
        <v>8.1999999999999993</v>
      </c>
      <c r="Q57" s="320">
        <f t="shared" ref="Q57:Q58" si="12">P57*O57+350/20*N57</f>
        <v>59.75555555555561</v>
      </c>
      <c r="R57" s="320"/>
      <c r="S57" s="321">
        <f t="shared" ref="S57:S89" si="13">Q57/H57</f>
        <v>5.9755555555555606</v>
      </c>
      <c r="T57" s="392">
        <v>45429</v>
      </c>
      <c r="U57" s="392">
        <v>45452</v>
      </c>
      <c r="V57" s="392">
        <v>45461</v>
      </c>
      <c r="W57" s="319"/>
      <c r="X57" s="319"/>
      <c r="Y57" s="319"/>
      <c r="Z57" s="319"/>
      <c r="AA57" s="412"/>
      <c r="AB57" s="50"/>
      <c r="AC57" s="50"/>
      <c r="AD57" s="50"/>
      <c r="AE57" s="50"/>
      <c r="AF57" s="50"/>
      <c r="AG57" s="50"/>
      <c r="AH57" s="50"/>
      <c r="AI57" s="50"/>
      <c r="AJ57" s="50"/>
      <c r="AK57" s="50"/>
      <c r="AL57" s="50"/>
      <c r="AM57" s="50"/>
      <c r="AN57" s="50"/>
      <c r="AO57" s="50"/>
      <c r="AP57" s="50"/>
      <c r="AQ57" s="50"/>
      <c r="AR57" s="50"/>
      <c r="AS57" s="50"/>
      <c r="AT57" s="50"/>
      <c r="AU57" s="50"/>
      <c r="AV57" s="50"/>
      <c r="AW57" s="50"/>
      <c r="AX57" s="50"/>
      <c r="AY57" s="50"/>
      <c r="AZ57" s="50"/>
    </row>
    <row r="58" spans="1:52" ht="13" hidden="1" customHeight="1" outlineLevel="1" x14ac:dyDescent="0.3">
      <c r="A58" s="316"/>
      <c r="B58" s="317"/>
      <c r="C58" s="317"/>
      <c r="D58" s="319"/>
      <c r="E58" s="317" t="s">
        <v>2644</v>
      </c>
      <c r="F58" s="319"/>
      <c r="G58" s="317" t="s">
        <v>3199</v>
      </c>
      <c r="H58" s="319">
        <v>62</v>
      </c>
      <c r="I58" s="319" t="s">
        <v>117</v>
      </c>
      <c r="J58" s="319" t="s">
        <v>2636</v>
      </c>
      <c r="K58" s="319" t="s">
        <v>2635</v>
      </c>
      <c r="L58" s="319" t="s">
        <v>2653</v>
      </c>
      <c r="M58" s="319" t="s">
        <v>2631</v>
      </c>
      <c r="N58" s="327">
        <v>1.7222222222222201</v>
      </c>
      <c r="O58" s="321">
        <f t="shared" si="11"/>
        <v>41.50555555555551</v>
      </c>
      <c r="P58" s="320">
        <v>8.1999999999999993</v>
      </c>
      <c r="Q58" s="320">
        <f t="shared" si="12"/>
        <v>370.48444444444402</v>
      </c>
      <c r="R58" s="320"/>
      <c r="S58" s="321">
        <f t="shared" si="13"/>
        <v>5.9755555555555491</v>
      </c>
      <c r="T58" s="392">
        <v>45429</v>
      </c>
      <c r="U58" s="392">
        <v>45452</v>
      </c>
      <c r="V58" s="392">
        <v>45461</v>
      </c>
      <c r="W58" s="319"/>
      <c r="X58" s="319"/>
      <c r="Y58" s="319"/>
      <c r="Z58" s="319"/>
      <c r="AA58" s="412"/>
      <c r="AB58" s="50"/>
      <c r="AC58" s="50"/>
      <c r="AD58" s="50"/>
      <c r="AE58" s="50"/>
      <c r="AF58" s="50"/>
      <c r="AG58" s="50"/>
      <c r="AH58" s="50"/>
      <c r="AI58" s="50"/>
      <c r="AJ58" s="50"/>
      <c r="AK58" s="50"/>
      <c r="AL58" s="50"/>
      <c r="AM58" s="50"/>
      <c r="AN58" s="50"/>
      <c r="AO58" s="50"/>
      <c r="AP58" s="50"/>
      <c r="AQ58" s="50"/>
      <c r="AR58" s="50"/>
      <c r="AS58" s="50"/>
      <c r="AT58" s="50"/>
      <c r="AU58" s="50"/>
      <c r="AV58" s="50"/>
      <c r="AW58" s="50"/>
      <c r="AX58" s="50"/>
      <c r="AY58" s="50"/>
      <c r="AZ58" s="50"/>
    </row>
    <row r="59" spans="1:52" s="47" customFormat="1" ht="13" hidden="1" customHeight="1" outlineLevel="1" x14ac:dyDescent="0.3">
      <c r="A59" s="328"/>
      <c r="B59" s="329"/>
      <c r="C59" s="329" t="s">
        <v>2671</v>
      </c>
      <c r="D59" s="330"/>
      <c r="E59" s="329" t="s">
        <v>2672</v>
      </c>
      <c r="F59" s="330"/>
      <c r="G59" s="329" t="s">
        <v>3217</v>
      </c>
      <c r="H59" s="330">
        <v>40</v>
      </c>
      <c r="I59" s="330" t="s">
        <v>2673</v>
      </c>
      <c r="J59" s="330" t="s">
        <v>2674</v>
      </c>
      <c r="K59" s="330" t="s">
        <v>2675</v>
      </c>
      <c r="L59" s="319" t="s">
        <v>2653</v>
      </c>
      <c r="M59" s="330" t="s">
        <v>2676</v>
      </c>
      <c r="N59" s="331">
        <f>H59/4</f>
        <v>10</v>
      </c>
      <c r="O59" s="332">
        <f>24*N59</f>
        <v>240</v>
      </c>
      <c r="P59" s="333">
        <v>12.5</v>
      </c>
      <c r="Q59" s="333">
        <f>P59*O59+350/12*N59</f>
        <v>3291.6666666666665</v>
      </c>
      <c r="R59" s="333"/>
      <c r="S59" s="332">
        <f t="shared" si="13"/>
        <v>82.291666666666657</v>
      </c>
      <c r="T59" s="394">
        <v>45448</v>
      </c>
      <c r="U59" s="394">
        <v>45477</v>
      </c>
      <c r="V59" s="394">
        <v>45484</v>
      </c>
      <c r="W59" s="330"/>
      <c r="X59" s="330"/>
      <c r="Y59" s="330"/>
      <c r="Z59" s="330"/>
      <c r="AA59" s="413"/>
      <c r="AB59" s="54"/>
      <c r="AC59" s="54"/>
      <c r="AD59" s="54"/>
      <c r="AE59" s="54"/>
      <c r="AF59" s="54"/>
      <c r="AG59" s="54"/>
      <c r="AH59" s="54"/>
      <c r="AI59" s="54"/>
      <c r="AJ59" s="54"/>
      <c r="AK59" s="54"/>
      <c r="AL59" s="54"/>
      <c r="AM59" s="54"/>
      <c r="AN59" s="54"/>
      <c r="AO59" s="54"/>
      <c r="AP59" s="54"/>
      <c r="AQ59" s="54"/>
      <c r="AR59" s="54"/>
      <c r="AS59" s="54"/>
      <c r="AT59" s="54"/>
      <c r="AU59" s="54"/>
      <c r="AV59" s="54"/>
      <c r="AW59" s="54"/>
      <c r="AX59" s="54"/>
      <c r="AY59" s="54"/>
      <c r="AZ59" s="54"/>
    </row>
    <row r="60" spans="1:52" s="47" customFormat="1" ht="13" hidden="1" customHeight="1" outlineLevel="1" x14ac:dyDescent="0.3">
      <c r="A60" s="328"/>
      <c r="B60" s="329"/>
      <c r="C60" s="329" t="s">
        <v>2671</v>
      </c>
      <c r="D60" s="330"/>
      <c r="E60" s="329" t="s">
        <v>2677</v>
      </c>
      <c r="F60" s="330"/>
      <c r="G60" s="329" t="s">
        <v>3218</v>
      </c>
      <c r="H60" s="330">
        <v>70</v>
      </c>
      <c r="I60" s="330" t="s">
        <v>2673</v>
      </c>
      <c r="J60" s="330" t="s">
        <v>2674</v>
      </c>
      <c r="K60" s="330" t="s">
        <v>2675</v>
      </c>
      <c r="L60" s="319" t="s">
        <v>2653</v>
      </c>
      <c r="M60" s="330" t="s">
        <v>2676</v>
      </c>
      <c r="N60" s="331">
        <v>2</v>
      </c>
      <c r="O60" s="332">
        <f>45</f>
        <v>45</v>
      </c>
      <c r="P60" s="333">
        <v>12.5</v>
      </c>
      <c r="Q60" s="333">
        <f>P60*O60+350/12*N60</f>
        <v>620.83333333333337</v>
      </c>
      <c r="R60" s="333"/>
      <c r="S60" s="332">
        <f t="shared" si="13"/>
        <v>8.8690476190476204</v>
      </c>
      <c r="T60" s="394">
        <v>45448</v>
      </c>
      <c r="U60" s="394">
        <v>45477</v>
      </c>
      <c r="V60" s="394">
        <v>45484</v>
      </c>
      <c r="W60" s="330"/>
      <c r="X60" s="330"/>
      <c r="Y60" s="330"/>
      <c r="Z60" s="330"/>
      <c r="AA60" s="413"/>
      <c r="AB60" s="54"/>
      <c r="AC60" s="54"/>
      <c r="AD60" s="54"/>
      <c r="AE60" s="54"/>
      <c r="AF60" s="54"/>
      <c r="AG60" s="54"/>
      <c r="AH60" s="54"/>
      <c r="AI60" s="54"/>
      <c r="AJ60" s="54"/>
      <c r="AK60" s="54"/>
      <c r="AL60" s="54"/>
      <c r="AM60" s="54"/>
      <c r="AN60" s="54"/>
      <c r="AO60" s="54"/>
      <c r="AP60" s="54"/>
      <c r="AQ60" s="54"/>
      <c r="AR60" s="54"/>
      <c r="AS60" s="54"/>
      <c r="AT60" s="54"/>
      <c r="AU60" s="54"/>
      <c r="AV60" s="54"/>
      <c r="AW60" s="54"/>
      <c r="AX60" s="54"/>
      <c r="AY60" s="54"/>
      <c r="AZ60" s="54"/>
    </row>
    <row r="61" spans="1:52" ht="13" hidden="1" customHeight="1" outlineLevel="1" x14ac:dyDescent="0.3">
      <c r="A61" s="316"/>
      <c r="B61" s="317" t="s">
        <v>2678</v>
      </c>
      <c r="C61" s="317"/>
      <c r="D61" s="319"/>
      <c r="E61" s="317" t="s">
        <v>2679</v>
      </c>
      <c r="F61" s="319"/>
      <c r="G61" s="317" t="s">
        <v>3219</v>
      </c>
      <c r="H61" s="319">
        <v>60</v>
      </c>
      <c r="I61" s="319" t="s">
        <v>89</v>
      </c>
      <c r="J61" s="319" t="s">
        <v>2636</v>
      </c>
      <c r="K61" s="319" t="s">
        <v>2680</v>
      </c>
      <c r="L61" s="319" t="s">
        <v>2653</v>
      </c>
      <c r="M61" s="319" t="s">
        <v>89</v>
      </c>
      <c r="N61" s="320">
        <v>5</v>
      </c>
      <c r="O61" s="321">
        <f>535/38*N61</f>
        <v>70.39473684210526</v>
      </c>
      <c r="P61" s="320">
        <v>7.5</v>
      </c>
      <c r="Q61" s="320">
        <f>P61*O61+350/38*N61</f>
        <v>574.01315789473688</v>
      </c>
      <c r="R61" s="320"/>
      <c r="S61" s="321">
        <f t="shared" si="13"/>
        <v>9.5668859649122808</v>
      </c>
      <c r="T61" s="392">
        <v>45506</v>
      </c>
      <c r="U61" s="392">
        <v>45551</v>
      </c>
      <c r="V61" s="319"/>
      <c r="W61" s="319"/>
      <c r="X61" s="319"/>
      <c r="Y61" s="319"/>
      <c r="Z61" s="319"/>
      <c r="AA61" s="412"/>
      <c r="AB61" s="50"/>
      <c r="AC61" s="50"/>
      <c r="AD61" s="50"/>
      <c r="AE61" s="50"/>
      <c r="AF61" s="50"/>
      <c r="AG61" s="50"/>
      <c r="AH61" s="50"/>
      <c r="AI61" s="50"/>
      <c r="AJ61" s="50"/>
      <c r="AK61" s="50"/>
      <c r="AL61" s="50"/>
      <c r="AM61" s="50"/>
      <c r="AN61" s="50"/>
      <c r="AO61" s="50"/>
      <c r="AP61" s="50"/>
      <c r="AQ61" s="50"/>
      <c r="AR61" s="50"/>
      <c r="AS61" s="50"/>
      <c r="AT61" s="50"/>
      <c r="AU61" s="50"/>
      <c r="AV61" s="50"/>
      <c r="AW61" s="50"/>
      <c r="AX61" s="50"/>
      <c r="AY61" s="50"/>
      <c r="AZ61" s="50"/>
    </row>
    <row r="62" spans="1:52" ht="13" hidden="1" customHeight="1" outlineLevel="1" x14ac:dyDescent="0.3">
      <c r="A62" s="316"/>
      <c r="B62" s="317" t="s">
        <v>2678</v>
      </c>
      <c r="C62" s="317"/>
      <c r="D62" s="319"/>
      <c r="E62" s="317" t="s">
        <v>2681</v>
      </c>
      <c r="F62" s="319"/>
      <c r="G62" s="317" t="s">
        <v>3220</v>
      </c>
      <c r="H62" s="319">
        <v>24</v>
      </c>
      <c r="I62" s="319" t="s">
        <v>89</v>
      </c>
      <c r="J62" s="319" t="s">
        <v>2636</v>
      </c>
      <c r="K62" s="319" t="s">
        <v>2680</v>
      </c>
      <c r="L62" s="319" t="s">
        <v>2653</v>
      </c>
      <c r="M62" s="319" t="s">
        <v>89</v>
      </c>
      <c r="N62" s="320">
        <v>2</v>
      </c>
      <c r="O62" s="321">
        <f t="shared" ref="O62:O76" si="14">535/38*N62</f>
        <v>28.157894736842106</v>
      </c>
      <c r="P62" s="320">
        <v>7.5</v>
      </c>
      <c r="Q62" s="320">
        <f t="shared" ref="Q62:Q75" si="15">P62*O62+350/38*N62</f>
        <v>229.60526315789477</v>
      </c>
      <c r="R62" s="320"/>
      <c r="S62" s="321">
        <f t="shared" si="13"/>
        <v>9.5668859649122826</v>
      </c>
      <c r="T62" s="392">
        <v>45506</v>
      </c>
      <c r="U62" s="392">
        <v>45551</v>
      </c>
      <c r="V62" s="319"/>
      <c r="W62" s="319"/>
      <c r="X62" s="319"/>
      <c r="Y62" s="319"/>
      <c r="Z62" s="319"/>
      <c r="AA62" s="412"/>
      <c r="AB62" s="50"/>
      <c r="AC62" s="50"/>
      <c r="AD62" s="50"/>
      <c r="AE62" s="50"/>
      <c r="AF62" s="50"/>
      <c r="AG62" s="50"/>
      <c r="AH62" s="50"/>
      <c r="AI62" s="50"/>
      <c r="AJ62" s="50"/>
      <c r="AK62" s="50"/>
      <c r="AL62" s="50"/>
      <c r="AM62" s="50"/>
      <c r="AN62" s="50"/>
      <c r="AO62" s="50"/>
      <c r="AP62" s="50"/>
      <c r="AQ62" s="50"/>
      <c r="AR62" s="50"/>
      <c r="AS62" s="50"/>
      <c r="AT62" s="50"/>
      <c r="AU62" s="50"/>
      <c r="AV62" s="50"/>
      <c r="AW62" s="50"/>
      <c r="AX62" s="50"/>
      <c r="AY62" s="50"/>
      <c r="AZ62" s="50"/>
    </row>
    <row r="63" spans="1:52" ht="13" hidden="1" customHeight="1" outlineLevel="1" x14ac:dyDescent="0.3">
      <c r="A63" s="316"/>
      <c r="B63" s="317" t="s">
        <v>2678</v>
      </c>
      <c r="C63" s="317"/>
      <c r="D63" s="319"/>
      <c r="E63" s="317" t="s">
        <v>2682</v>
      </c>
      <c r="F63" s="319"/>
      <c r="G63" s="317" t="s">
        <v>3221</v>
      </c>
      <c r="H63" s="319">
        <v>24</v>
      </c>
      <c r="I63" s="319" t="s">
        <v>89</v>
      </c>
      <c r="J63" s="319" t="s">
        <v>2636</v>
      </c>
      <c r="K63" s="319" t="s">
        <v>2680</v>
      </c>
      <c r="L63" s="319" t="s">
        <v>2653</v>
      </c>
      <c r="M63" s="319" t="s">
        <v>89</v>
      </c>
      <c r="N63" s="320">
        <v>2</v>
      </c>
      <c r="O63" s="321">
        <f t="shared" si="14"/>
        <v>28.157894736842106</v>
      </c>
      <c r="P63" s="320">
        <v>7.5</v>
      </c>
      <c r="Q63" s="320">
        <f t="shared" si="15"/>
        <v>229.60526315789477</v>
      </c>
      <c r="R63" s="320"/>
      <c r="S63" s="321">
        <f t="shared" si="13"/>
        <v>9.5668859649122826</v>
      </c>
      <c r="T63" s="392">
        <v>45506</v>
      </c>
      <c r="U63" s="392">
        <v>45551</v>
      </c>
      <c r="V63" s="319"/>
      <c r="W63" s="319"/>
      <c r="X63" s="319"/>
      <c r="Y63" s="319"/>
      <c r="Z63" s="319"/>
      <c r="AA63" s="412"/>
      <c r="AB63" s="50"/>
      <c r="AC63" s="50"/>
      <c r="AD63" s="50"/>
      <c r="AE63" s="50"/>
      <c r="AF63" s="50"/>
      <c r="AG63" s="50"/>
      <c r="AH63" s="50"/>
      <c r="AI63" s="50"/>
      <c r="AJ63" s="50"/>
      <c r="AK63" s="50"/>
      <c r="AL63" s="50"/>
      <c r="AM63" s="50"/>
      <c r="AN63" s="50"/>
      <c r="AO63" s="50"/>
      <c r="AP63" s="50"/>
      <c r="AQ63" s="50"/>
      <c r="AR63" s="50"/>
      <c r="AS63" s="50"/>
      <c r="AT63" s="50"/>
      <c r="AU63" s="50"/>
      <c r="AV63" s="50"/>
      <c r="AW63" s="50"/>
      <c r="AX63" s="50"/>
      <c r="AY63" s="50"/>
      <c r="AZ63" s="50"/>
    </row>
    <row r="64" spans="1:52" ht="13" hidden="1" customHeight="1" outlineLevel="1" x14ac:dyDescent="0.3">
      <c r="A64" s="316"/>
      <c r="B64" s="317" t="s">
        <v>2678</v>
      </c>
      <c r="C64" s="317"/>
      <c r="D64" s="319"/>
      <c r="E64" s="317" t="s">
        <v>2683</v>
      </c>
      <c r="F64" s="319"/>
      <c r="G64" s="317" t="s">
        <v>3222</v>
      </c>
      <c r="H64" s="319">
        <v>24</v>
      </c>
      <c r="I64" s="319" t="s">
        <v>89</v>
      </c>
      <c r="J64" s="319" t="s">
        <v>2636</v>
      </c>
      <c r="K64" s="319" t="s">
        <v>2680</v>
      </c>
      <c r="L64" s="319" t="s">
        <v>2653</v>
      </c>
      <c r="M64" s="319" t="s">
        <v>89</v>
      </c>
      <c r="N64" s="320">
        <v>2</v>
      </c>
      <c r="O64" s="321">
        <f t="shared" si="14"/>
        <v>28.157894736842106</v>
      </c>
      <c r="P64" s="320">
        <v>7.5</v>
      </c>
      <c r="Q64" s="320">
        <f t="shared" si="15"/>
        <v>229.60526315789477</v>
      </c>
      <c r="R64" s="320"/>
      <c r="S64" s="321">
        <f t="shared" si="13"/>
        <v>9.5668859649122826</v>
      </c>
      <c r="T64" s="392">
        <v>45506</v>
      </c>
      <c r="U64" s="392">
        <v>45551</v>
      </c>
      <c r="V64" s="319"/>
      <c r="W64" s="319"/>
      <c r="X64" s="319"/>
      <c r="Y64" s="319"/>
      <c r="Z64" s="319"/>
      <c r="AA64" s="412"/>
      <c r="AB64" s="50"/>
      <c r="AC64" s="50"/>
      <c r="AD64" s="50"/>
      <c r="AE64" s="50"/>
      <c r="AF64" s="50"/>
      <c r="AG64" s="50"/>
      <c r="AH64" s="50"/>
      <c r="AI64" s="50"/>
      <c r="AJ64" s="50"/>
      <c r="AK64" s="50"/>
      <c r="AL64" s="50"/>
      <c r="AM64" s="50"/>
      <c r="AN64" s="50"/>
      <c r="AO64" s="50"/>
      <c r="AP64" s="50"/>
      <c r="AQ64" s="50"/>
      <c r="AR64" s="50"/>
      <c r="AS64" s="50"/>
      <c r="AT64" s="50"/>
      <c r="AU64" s="50"/>
      <c r="AV64" s="50"/>
      <c r="AW64" s="50"/>
      <c r="AX64" s="50"/>
      <c r="AY64" s="50"/>
      <c r="AZ64" s="50"/>
    </row>
    <row r="65" spans="1:52" ht="13" hidden="1" customHeight="1" outlineLevel="1" x14ac:dyDescent="0.3">
      <c r="A65" s="316"/>
      <c r="B65" s="317" t="s">
        <v>2678</v>
      </c>
      <c r="C65" s="317"/>
      <c r="D65" s="319"/>
      <c r="E65" s="317" t="s">
        <v>2684</v>
      </c>
      <c r="F65" s="319"/>
      <c r="G65" s="317" t="s">
        <v>3223</v>
      </c>
      <c r="H65" s="319">
        <v>24</v>
      </c>
      <c r="I65" s="319" t="s">
        <v>89</v>
      </c>
      <c r="J65" s="319" t="s">
        <v>2636</v>
      </c>
      <c r="K65" s="319" t="s">
        <v>2680</v>
      </c>
      <c r="L65" s="319" t="s">
        <v>2653</v>
      </c>
      <c r="M65" s="319" t="s">
        <v>89</v>
      </c>
      <c r="N65" s="320">
        <v>2</v>
      </c>
      <c r="O65" s="321">
        <f t="shared" si="14"/>
        <v>28.157894736842106</v>
      </c>
      <c r="P65" s="320">
        <v>7.5</v>
      </c>
      <c r="Q65" s="320">
        <f t="shared" si="15"/>
        <v>229.60526315789477</v>
      </c>
      <c r="R65" s="320"/>
      <c r="S65" s="321">
        <f t="shared" si="13"/>
        <v>9.5668859649122826</v>
      </c>
      <c r="T65" s="392">
        <v>45506</v>
      </c>
      <c r="U65" s="392">
        <v>45551</v>
      </c>
      <c r="V65" s="319"/>
      <c r="W65" s="319"/>
      <c r="X65" s="319"/>
      <c r="Y65" s="319"/>
      <c r="Z65" s="319"/>
      <c r="AA65" s="412"/>
      <c r="AB65" s="50"/>
      <c r="AC65" s="50"/>
      <c r="AD65" s="50"/>
      <c r="AE65" s="50"/>
      <c r="AF65" s="50"/>
      <c r="AG65" s="50"/>
      <c r="AH65" s="50"/>
      <c r="AI65" s="50"/>
      <c r="AJ65" s="50"/>
      <c r="AK65" s="50"/>
      <c r="AL65" s="50"/>
      <c r="AM65" s="50"/>
      <c r="AN65" s="50"/>
      <c r="AO65" s="50"/>
      <c r="AP65" s="50"/>
      <c r="AQ65" s="50"/>
      <c r="AR65" s="50"/>
      <c r="AS65" s="50"/>
      <c r="AT65" s="50"/>
      <c r="AU65" s="50"/>
      <c r="AV65" s="50"/>
      <c r="AW65" s="50"/>
      <c r="AX65" s="50"/>
      <c r="AY65" s="50"/>
      <c r="AZ65" s="50"/>
    </row>
    <row r="66" spans="1:52" ht="13" hidden="1" customHeight="1" outlineLevel="1" x14ac:dyDescent="0.3">
      <c r="A66" s="316"/>
      <c r="B66" s="317" t="s">
        <v>2678</v>
      </c>
      <c r="C66" s="317"/>
      <c r="D66" s="319"/>
      <c r="E66" s="317" t="s">
        <v>2685</v>
      </c>
      <c r="F66" s="319"/>
      <c r="G66" s="317" t="s">
        <v>3219</v>
      </c>
      <c r="H66" s="319">
        <v>60</v>
      </c>
      <c r="I66" s="319" t="s">
        <v>89</v>
      </c>
      <c r="J66" s="319" t="s">
        <v>2636</v>
      </c>
      <c r="K66" s="319" t="s">
        <v>2680</v>
      </c>
      <c r="L66" s="319" t="s">
        <v>2653</v>
      </c>
      <c r="M66" s="319" t="s">
        <v>89</v>
      </c>
      <c r="N66" s="320">
        <v>5</v>
      </c>
      <c r="O66" s="321">
        <f t="shared" si="14"/>
        <v>70.39473684210526</v>
      </c>
      <c r="P66" s="320">
        <v>7.5</v>
      </c>
      <c r="Q66" s="320">
        <f t="shared" si="15"/>
        <v>574.01315789473688</v>
      </c>
      <c r="R66" s="320"/>
      <c r="S66" s="321">
        <f t="shared" si="13"/>
        <v>9.5668859649122808</v>
      </c>
      <c r="T66" s="392">
        <v>45506</v>
      </c>
      <c r="U66" s="392">
        <v>45551</v>
      </c>
      <c r="V66" s="319"/>
      <c r="W66" s="319"/>
      <c r="X66" s="319"/>
      <c r="Y66" s="319"/>
      <c r="Z66" s="319"/>
      <c r="AA66" s="412"/>
      <c r="AB66" s="50"/>
      <c r="AC66" s="50"/>
      <c r="AD66" s="50"/>
      <c r="AE66" s="50"/>
      <c r="AF66" s="50"/>
      <c r="AG66" s="50"/>
      <c r="AH66" s="50"/>
      <c r="AI66" s="50"/>
      <c r="AJ66" s="50"/>
      <c r="AK66" s="50"/>
      <c r="AL66" s="50"/>
      <c r="AM66" s="50"/>
      <c r="AN66" s="50"/>
      <c r="AO66" s="50"/>
      <c r="AP66" s="50"/>
      <c r="AQ66" s="50"/>
      <c r="AR66" s="50"/>
      <c r="AS66" s="50"/>
      <c r="AT66" s="50"/>
      <c r="AU66" s="50"/>
      <c r="AV66" s="50"/>
      <c r="AW66" s="50"/>
      <c r="AX66" s="50"/>
      <c r="AY66" s="50"/>
      <c r="AZ66" s="50"/>
    </row>
    <row r="67" spans="1:52" ht="13" hidden="1" customHeight="1" outlineLevel="1" x14ac:dyDescent="0.3">
      <c r="A67" s="316"/>
      <c r="B67" s="317" t="s">
        <v>2678</v>
      </c>
      <c r="C67" s="317"/>
      <c r="D67" s="319"/>
      <c r="E67" s="317" t="s">
        <v>2686</v>
      </c>
      <c r="F67" s="319"/>
      <c r="G67" s="317" t="s">
        <v>3221</v>
      </c>
      <c r="H67" s="319">
        <v>24</v>
      </c>
      <c r="I67" s="319" t="s">
        <v>89</v>
      </c>
      <c r="J67" s="319" t="s">
        <v>2636</v>
      </c>
      <c r="K67" s="319" t="s">
        <v>2680</v>
      </c>
      <c r="L67" s="319" t="s">
        <v>2653</v>
      </c>
      <c r="M67" s="319" t="s">
        <v>89</v>
      </c>
      <c r="N67" s="320">
        <v>2</v>
      </c>
      <c r="O67" s="321">
        <f t="shared" si="14"/>
        <v>28.157894736842106</v>
      </c>
      <c r="P67" s="320">
        <v>7.5</v>
      </c>
      <c r="Q67" s="320">
        <f t="shared" si="15"/>
        <v>229.60526315789477</v>
      </c>
      <c r="R67" s="320"/>
      <c r="S67" s="321">
        <f t="shared" si="13"/>
        <v>9.5668859649122826</v>
      </c>
      <c r="T67" s="392">
        <v>45506</v>
      </c>
      <c r="U67" s="392">
        <v>45551</v>
      </c>
      <c r="V67" s="319"/>
      <c r="W67" s="319"/>
      <c r="X67" s="319"/>
      <c r="Y67" s="319"/>
      <c r="Z67" s="319"/>
      <c r="AA67" s="412"/>
      <c r="AB67" s="50"/>
      <c r="AC67" s="50"/>
      <c r="AD67" s="50"/>
      <c r="AE67" s="50"/>
      <c r="AF67" s="50"/>
      <c r="AG67" s="50"/>
      <c r="AH67" s="50"/>
      <c r="AI67" s="50"/>
      <c r="AJ67" s="50"/>
      <c r="AK67" s="50"/>
      <c r="AL67" s="50"/>
      <c r="AM67" s="50"/>
      <c r="AN67" s="50"/>
      <c r="AO67" s="50"/>
      <c r="AP67" s="50"/>
      <c r="AQ67" s="50"/>
      <c r="AR67" s="50"/>
      <c r="AS67" s="50"/>
      <c r="AT67" s="50"/>
      <c r="AU67" s="50"/>
      <c r="AV67" s="50"/>
      <c r="AW67" s="50"/>
      <c r="AX67" s="50"/>
      <c r="AY67" s="50"/>
      <c r="AZ67" s="50"/>
    </row>
    <row r="68" spans="1:52" ht="13" hidden="1" customHeight="1" outlineLevel="1" x14ac:dyDescent="0.3">
      <c r="A68" s="316"/>
      <c r="B68" s="317" t="s">
        <v>2678</v>
      </c>
      <c r="C68" s="317"/>
      <c r="D68" s="319"/>
      <c r="E68" s="317" t="s">
        <v>2687</v>
      </c>
      <c r="F68" s="319"/>
      <c r="G68" s="317" t="s">
        <v>3222</v>
      </c>
      <c r="H68" s="319">
        <v>24</v>
      </c>
      <c r="I68" s="319" t="s">
        <v>89</v>
      </c>
      <c r="J68" s="319" t="s">
        <v>2636</v>
      </c>
      <c r="K68" s="319" t="s">
        <v>2680</v>
      </c>
      <c r="L68" s="319" t="s">
        <v>2653</v>
      </c>
      <c r="M68" s="319" t="s">
        <v>89</v>
      </c>
      <c r="N68" s="320">
        <v>2</v>
      </c>
      <c r="O68" s="321">
        <f t="shared" si="14"/>
        <v>28.157894736842106</v>
      </c>
      <c r="P68" s="320">
        <v>7.5</v>
      </c>
      <c r="Q68" s="320">
        <f t="shared" si="15"/>
        <v>229.60526315789477</v>
      </c>
      <c r="R68" s="320"/>
      <c r="S68" s="321">
        <f t="shared" si="13"/>
        <v>9.5668859649122826</v>
      </c>
      <c r="T68" s="392">
        <v>45506</v>
      </c>
      <c r="U68" s="392">
        <v>45551</v>
      </c>
      <c r="V68" s="319"/>
      <c r="W68" s="319"/>
      <c r="X68" s="319"/>
      <c r="Y68" s="319"/>
      <c r="Z68" s="319"/>
      <c r="AA68" s="412"/>
      <c r="AB68" s="50"/>
      <c r="AC68" s="50"/>
      <c r="AD68" s="50"/>
      <c r="AE68" s="50"/>
      <c r="AF68" s="50"/>
      <c r="AG68" s="50"/>
      <c r="AH68" s="50"/>
      <c r="AI68" s="50"/>
      <c r="AJ68" s="50"/>
      <c r="AK68" s="50"/>
      <c r="AL68" s="50"/>
      <c r="AM68" s="50"/>
      <c r="AN68" s="50"/>
      <c r="AO68" s="50"/>
      <c r="AP68" s="50"/>
      <c r="AQ68" s="50"/>
      <c r="AR68" s="50"/>
      <c r="AS68" s="50"/>
      <c r="AT68" s="50"/>
      <c r="AU68" s="50"/>
      <c r="AV68" s="50"/>
      <c r="AW68" s="50"/>
      <c r="AX68" s="50"/>
      <c r="AY68" s="50"/>
      <c r="AZ68" s="50"/>
    </row>
    <row r="69" spans="1:52" ht="13" hidden="1" customHeight="1" outlineLevel="1" x14ac:dyDescent="0.3">
      <c r="A69" s="316"/>
      <c r="B69" s="317" t="s">
        <v>2678</v>
      </c>
      <c r="C69" s="317"/>
      <c r="D69" s="319"/>
      <c r="E69" s="317" t="s">
        <v>2688</v>
      </c>
      <c r="F69" s="319"/>
      <c r="G69" s="317" t="s">
        <v>3224</v>
      </c>
      <c r="H69" s="319">
        <v>24</v>
      </c>
      <c r="I69" s="319" t="s">
        <v>89</v>
      </c>
      <c r="J69" s="319" t="s">
        <v>2636</v>
      </c>
      <c r="K69" s="319" t="s">
        <v>2680</v>
      </c>
      <c r="L69" s="319" t="s">
        <v>2653</v>
      </c>
      <c r="M69" s="319" t="s">
        <v>89</v>
      </c>
      <c r="N69" s="320">
        <v>2</v>
      </c>
      <c r="O69" s="321">
        <f t="shared" si="14"/>
        <v>28.157894736842106</v>
      </c>
      <c r="P69" s="320">
        <v>7.5</v>
      </c>
      <c r="Q69" s="320">
        <f t="shared" si="15"/>
        <v>229.60526315789477</v>
      </c>
      <c r="R69" s="320"/>
      <c r="S69" s="321">
        <f t="shared" si="13"/>
        <v>9.5668859649122826</v>
      </c>
      <c r="T69" s="392">
        <v>45506</v>
      </c>
      <c r="U69" s="392">
        <v>45551</v>
      </c>
      <c r="V69" s="319"/>
      <c r="W69" s="319"/>
      <c r="X69" s="319"/>
      <c r="Y69" s="319"/>
      <c r="Z69" s="319"/>
      <c r="AA69" s="412"/>
      <c r="AB69" s="50"/>
      <c r="AC69" s="50"/>
      <c r="AD69" s="50"/>
      <c r="AE69" s="50"/>
      <c r="AF69" s="50"/>
      <c r="AG69" s="50"/>
      <c r="AH69" s="50"/>
      <c r="AI69" s="50"/>
      <c r="AJ69" s="50"/>
      <c r="AK69" s="50"/>
      <c r="AL69" s="50"/>
      <c r="AM69" s="50"/>
      <c r="AN69" s="50"/>
      <c r="AO69" s="50"/>
      <c r="AP69" s="50"/>
      <c r="AQ69" s="50"/>
      <c r="AR69" s="50"/>
      <c r="AS69" s="50"/>
      <c r="AT69" s="50"/>
      <c r="AU69" s="50"/>
      <c r="AV69" s="50"/>
      <c r="AW69" s="50"/>
      <c r="AX69" s="50"/>
      <c r="AY69" s="50"/>
      <c r="AZ69" s="50"/>
    </row>
    <row r="70" spans="1:52" ht="13" hidden="1" customHeight="1" outlineLevel="1" x14ac:dyDescent="0.3">
      <c r="A70" s="316"/>
      <c r="B70" s="317" t="s">
        <v>2678</v>
      </c>
      <c r="C70" s="317"/>
      <c r="D70" s="319"/>
      <c r="E70" s="317" t="s">
        <v>2689</v>
      </c>
      <c r="F70" s="319"/>
      <c r="G70" s="317" t="s">
        <v>3225</v>
      </c>
      <c r="H70" s="319">
        <v>60</v>
      </c>
      <c r="I70" s="319" t="s">
        <v>89</v>
      </c>
      <c r="J70" s="319" t="s">
        <v>2636</v>
      </c>
      <c r="K70" s="319" t="s">
        <v>2680</v>
      </c>
      <c r="L70" s="319" t="s">
        <v>2653</v>
      </c>
      <c r="M70" s="319" t="s">
        <v>89</v>
      </c>
      <c r="N70" s="320">
        <v>5</v>
      </c>
      <c r="O70" s="321">
        <f t="shared" si="14"/>
        <v>70.39473684210526</v>
      </c>
      <c r="P70" s="320">
        <v>7.5</v>
      </c>
      <c r="Q70" s="320">
        <f t="shared" si="15"/>
        <v>574.01315789473688</v>
      </c>
      <c r="R70" s="320"/>
      <c r="S70" s="321">
        <f t="shared" si="13"/>
        <v>9.5668859649122808</v>
      </c>
      <c r="T70" s="392">
        <v>45506</v>
      </c>
      <c r="U70" s="392">
        <v>45551</v>
      </c>
      <c r="V70" s="319"/>
      <c r="W70" s="319"/>
      <c r="X70" s="319"/>
      <c r="Y70" s="319"/>
      <c r="Z70" s="319"/>
      <c r="AA70" s="412"/>
      <c r="AB70" s="50"/>
      <c r="AC70" s="50"/>
      <c r="AD70" s="50"/>
      <c r="AE70" s="50"/>
      <c r="AF70" s="50"/>
      <c r="AG70" s="50"/>
      <c r="AH70" s="50"/>
      <c r="AI70" s="50"/>
      <c r="AJ70" s="50"/>
      <c r="AK70" s="50"/>
      <c r="AL70" s="50"/>
      <c r="AM70" s="50"/>
      <c r="AN70" s="50"/>
      <c r="AO70" s="50"/>
      <c r="AP70" s="50"/>
      <c r="AQ70" s="50"/>
      <c r="AR70" s="50"/>
      <c r="AS70" s="50"/>
      <c r="AT70" s="50"/>
      <c r="AU70" s="50"/>
      <c r="AV70" s="50"/>
      <c r="AW70" s="50"/>
      <c r="AX70" s="50"/>
      <c r="AY70" s="50"/>
      <c r="AZ70" s="50"/>
    </row>
    <row r="71" spans="1:52" ht="13" hidden="1" customHeight="1" outlineLevel="1" x14ac:dyDescent="0.3">
      <c r="A71" s="316"/>
      <c r="B71" s="317" t="s">
        <v>2678</v>
      </c>
      <c r="C71" s="317"/>
      <c r="D71" s="319"/>
      <c r="E71" s="317" t="s">
        <v>2690</v>
      </c>
      <c r="F71" s="319"/>
      <c r="G71" s="317" t="s">
        <v>3226</v>
      </c>
      <c r="H71" s="319">
        <v>24</v>
      </c>
      <c r="I71" s="319" t="s">
        <v>89</v>
      </c>
      <c r="J71" s="319" t="s">
        <v>2636</v>
      </c>
      <c r="K71" s="319" t="s">
        <v>2680</v>
      </c>
      <c r="L71" s="319" t="s">
        <v>2653</v>
      </c>
      <c r="M71" s="319" t="s">
        <v>89</v>
      </c>
      <c r="N71" s="320">
        <v>2</v>
      </c>
      <c r="O71" s="321">
        <f t="shared" si="14"/>
        <v>28.157894736842106</v>
      </c>
      <c r="P71" s="320">
        <v>7.5</v>
      </c>
      <c r="Q71" s="320">
        <f t="shared" si="15"/>
        <v>229.60526315789477</v>
      </c>
      <c r="R71" s="320"/>
      <c r="S71" s="321">
        <f t="shared" si="13"/>
        <v>9.5668859649122826</v>
      </c>
      <c r="T71" s="392">
        <v>45506</v>
      </c>
      <c r="U71" s="392">
        <v>45551</v>
      </c>
      <c r="V71" s="319"/>
      <c r="W71" s="319"/>
      <c r="X71" s="319"/>
      <c r="Y71" s="319"/>
      <c r="Z71" s="319"/>
      <c r="AA71" s="412"/>
      <c r="AB71" s="50"/>
      <c r="AC71" s="50"/>
      <c r="AD71" s="50"/>
      <c r="AE71" s="50"/>
      <c r="AF71" s="50"/>
      <c r="AG71" s="50"/>
      <c r="AH71" s="50"/>
      <c r="AI71" s="50"/>
      <c r="AJ71" s="50"/>
      <c r="AK71" s="50"/>
      <c r="AL71" s="50"/>
      <c r="AM71" s="50"/>
      <c r="AN71" s="50"/>
      <c r="AO71" s="50"/>
      <c r="AP71" s="50"/>
      <c r="AQ71" s="50"/>
      <c r="AR71" s="50"/>
      <c r="AS71" s="50"/>
      <c r="AT71" s="50"/>
      <c r="AU71" s="50"/>
      <c r="AV71" s="50"/>
      <c r="AW71" s="50"/>
      <c r="AX71" s="50"/>
      <c r="AY71" s="50"/>
      <c r="AZ71" s="50"/>
    </row>
    <row r="72" spans="1:52" ht="13" hidden="1" customHeight="1" outlineLevel="1" x14ac:dyDescent="0.3">
      <c r="A72" s="316"/>
      <c r="B72" s="317" t="s">
        <v>2678</v>
      </c>
      <c r="C72" s="317"/>
      <c r="D72" s="319"/>
      <c r="E72" s="317" t="s">
        <v>2691</v>
      </c>
      <c r="F72" s="319"/>
      <c r="G72" s="317" t="s">
        <v>3227</v>
      </c>
      <c r="H72" s="319">
        <v>12</v>
      </c>
      <c r="I72" s="319" t="s">
        <v>89</v>
      </c>
      <c r="J72" s="319" t="s">
        <v>2636</v>
      </c>
      <c r="K72" s="319" t="s">
        <v>2680</v>
      </c>
      <c r="L72" s="319" t="s">
        <v>2653</v>
      </c>
      <c r="M72" s="319" t="s">
        <v>89</v>
      </c>
      <c r="N72" s="320">
        <v>1</v>
      </c>
      <c r="O72" s="321">
        <f t="shared" si="14"/>
        <v>14.078947368421053</v>
      </c>
      <c r="P72" s="320">
        <v>7.5</v>
      </c>
      <c r="Q72" s="320">
        <f t="shared" si="15"/>
        <v>114.80263157894738</v>
      </c>
      <c r="R72" s="320"/>
      <c r="S72" s="321">
        <f t="shared" si="13"/>
        <v>9.5668859649122826</v>
      </c>
      <c r="T72" s="392">
        <v>45506</v>
      </c>
      <c r="U72" s="392">
        <v>45551</v>
      </c>
      <c r="V72" s="319"/>
      <c r="W72" s="319"/>
      <c r="X72" s="319"/>
      <c r="Y72" s="319"/>
      <c r="Z72" s="319"/>
      <c r="AA72" s="412"/>
      <c r="AB72" s="50"/>
      <c r="AC72" s="50"/>
      <c r="AD72" s="50"/>
      <c r="AE72" s="50"/>
      <c r="AF72" s="50"/>
      <c r="AG72" s="50"/>
      <c r="AH72" s="50"/>
      <c r="AI72" s="50"/>
      <c r="AJ72" s="50"/>
      <c r="AK72" s="50"/>
      <c r="AL72" s="50"/>
      <c r="AM72" s="50"/>
      <c r="AN72" s="50"/>
      <c r="AO72" s="50"/>
      <c r="AP72" s="50"/>
      <c r="AQ72" s="50"/>
      <c r="AR72" s="50"/>
      <c r="AS72" s="50"/>
      <c r="AT72" s="50"/>
      <c r="AU72" s="50"/>
      <c r="AV72" s="50"/>
      <c r="AW72" s="50"/>
      <c r="AX72" s="50"/>
      <c r="AY72" s="50"/>
      <c r="AZ72" s="50"/>
    </row>
    <row r="73" spans="1:52" ht="13" hidden="1" customHeight="1" outlineLevel="1" x14ac:dyDescent="0.3">
      <c r="A73" s="316"/>
      <c r="B73" s="317" t="s">
        <v>2678</v>
      </c>
      <c r="C73" s="317"/>
      <c r="D73" s="319"/>
      <c r="E73" s="317" t="s">
        <v>2692</v>
      </c>
      <c r="F73" s="319"/>
      <c r="G73" s="317" t="s">
        <v>2693</v>
      </c>
      <c r="H73" s="319">
        <v>12</v>
      </c>
      <c r="I73" s="319" t="s">
        <v>89</v>
      </c>
      <c r="J73" s="319" t="s">
        <v>2636</v>
      </c>
      <c r="K73" s="319" t="s">
        <v>2680</v>
      </c>
      <c r="L73" s="319" t="s">
        <v>2653</v>
      </c>
      <c r="M73" s="319" t="s">
        <v>89</v>
      </c>
      <c r="N73" s="320">
        <v>1</v>
      </c>
      <c r="O73" s="321">
        <f t="shared" si="14"/>
        <v>14.078947368421053</v>
      </c>
      <c r="P73" s="320">
        <v>7.5</v>
      </c>
      <c r="Q73" s="320">
        <f t="shared" si="15"/>
        <v>114.80263157894738</v>
      </c>
      <c r="R73" s="320"/>
      <c r="S73" s="321">
        <f t="shared" si="13"/>
        <v>9.5668859649122826</v>
      </c>
      <c r="T73" s="392">
        <v>45506</v>
      </c>
      <c r="U73" s="392">
        <v>45551</v>
      </c>
      <c r="V73" s="319"/>
      <c r="W73" s="319"/>
      <c r="X73" s="319"/>
      <c r="Y73" s="319"/>
      <c r="Z73" s="319"/>
      <c r="AA73" s="412"/>
      <c r="AB73" s="50"/>
      <c r="AC73" s="50"/>
      <c r="AD73" s="50"/>
      <c r="AE73" s="50"/>
      <c r="AF73" s="50"/>
      <c r="AG73" s="50"/>
      <c r="AH73" s="50"/>
      <c r="AI73" s="50"/>
      <c r="AJ73" s="50"/>
      <c r="AK73" s="50"/>
      <c r="AL73" s="50"/>
      <c r="AM73" s="50"/>
      <c r="AN73" s="50"/>
      <c r="AO73" s="50"/>
      <c r="AP73" s="50"/>
      <c r="AQ73" s="50"/>
      <c r="AR73" s="50"/>
      <c r="AS73" s="50"/>
      <c r="AT73" s="50"/>
      <c r="AU73" s="50"/>
      <c r="AV73" s="50"/>
      <c r="AW73" s="50"/>
      <c r="AX73" s="50"/>
      <c r="AY73" s="50"/>
      <c r="AZ73" s="50"/>
    </row>
    <row r="74" spans="1:52" ht="13" hidden="1" customHeight="1" outlineLevel="1" x14ac:dyDescent="0.3">
      <c r="A74" s="316"/>
      <c r="B74" s="317" t="s">
        <v>2678</v>
      </c>
      <c r="C74" s="317"/>
      <c r="D74" s="319"/>
      <c r="E74" s="317" t="s">
        <v>2694</v>
      </c>
      <c r="F74" s="319"/>
      <c r="G74" s="317" t="s">
        <v>3228</v>
      </c>
      <c r="H74" s="319">
        <v>110</v>
      </c>
      <c r="I74" s="319" t="s">
        <v>89</v>
      </c>
      <c r="J74" s="319" t="s">
        <v>2636</v>
      </c>
      <c r="K74" s="319" t="s">
        <v>2680</v>
      </c>
      <c r="L74" s="319" t="s">
        <v>2653</v>
      </c>
      <c r="M74" s="319" t="s">
        <v>89</v>
      </c>
      <c r="N74" s="320">
        <v>3.0555555555555598</v>
      </c>
      <c r="O74" s="321">
        <f t="shared" si="14"/>
        <v>43.019005847953281</v>
      </c>
      <c r="P74" s="320">
        <v>7.5</v>
      </c>
      <c r="Q74" s="320">
        <f t="shared" si="15"/>
        <v>350.78581871345079</v>
      </c>
      <c r="R74" s="320"/>
      <c r="S74" s="321">
        <f t="shared" si="13"/>
        <v>3.188961988304098</v>
      </c>
      <c r="T74" s="392">
        <v>45506</v>
      </c>
      <c r="U74" s="392">
        <v>45551</v>
      </c>
      <c r="V74" s="319"/>
      <c r="W74" s="319"/>
      <c r="X74" s="319"/>
      <c r="Y74" s="319"/>
      <c r="Z74" s="319"/>
      <c r="AA74" s="412"/>
      <c r="AB74" s="50"/>
      <c r="AC74" s="50"/>
      <c r="AD74" s="50"/>
      <c r="AE74" s="50"/>
      <c r="AF74" s="50"/>
      <c r="AG74" s="50"/>
      <c r="AH74" s="50"/>
      <c r="AI74" s="50"/>
      <c r="AJ74" s="50"/>
      <c r="AK74" s="50"/>
      <c r="AL74" s="50"/>
      <c r="AM74" s="50"/>
      <c r="AN74" s="50"/>
      <c r="AO74" s="50"/>
      <c r="AP74" s="50"/>
      <c r="AQ74" s="50"/>
      <c r="AR74" s="50"/>
      <c r="AS74" s="50"/>
      <c r="AT74" s="50"/>
      <c r="AU74" s="50"/>
      <c r="AV74" s="50"/>
      <c r="AW74" s="50"/>
      <c r="AX74" s="50"/>
      <c r="AY74" s="50"/>
      <c r="AZ74" s="50"/>
    </row>
    <row r="75" spans="1:52" ht="13" hidden="1" customHeight="1" outlineLevel="1" x14ac:dyDescent="0.3">
      <c r="A75" s="316"/>
      <c r="B75" s="317" t="s">
        <v>2678</v>
      </c>
      <c r="C75" s="317"/>
      <c r="D75" s="319"/>
      <c r="E75" s="317" t="s">
        <v>2695</v>
      </c>
      <c r="F75" s="319"/>
      <c r="G75" s="317" t="s">
        <v>3229</v>
      </c>
      <c r="H75" s="319">
        <v>34</v>
      </c>
      <c r="I75" s="319" t="s">
        <v>89</v>
      </c>
      <c r="J75" s="319" t="s">
        <v>2636</v>
      </c>
      <c r="K75" s="319" t="s">
        <v>2680</v>
      </c>
      <c r="L75" s="319" t="s">
        <v>2653</v>
      </c>
      <c r="M75" s="319" t="s">
        <v>89</v>
      </c>
      <c r="N75" s="320">
        <v>0.94444444444444398</v>
      </c>
      <c r="O75" s="321">
        <f t="shared" si="14"/>
        <v>13.296783625730988</v>
      </c>
      <c r="P75" s="320">
        <v>7.5</v>
      </c>
      <c r="Q75" s="320">
        <f t="shared" si="15"/>
        <v>108.42470760233913</v>
      </c>
      <c r="R75" s="320"/>
      <c r="S75" s="321">
        <f t="shared" si="13"/>
        <v>3.1889619883040918</v>
      </c>
      <c r="T75" s="392">
        <v>45506</v>
      </c>
      <c r="U75" s="392">
        <v>45551</v>
      </c>
      <c r="V75" s="319"/>
      <c r="W75" s="319"/>
      <c r="X75" s="319"/>
      <c r="Y75" s="319"/>
      <c r="Z75" s="319"/>
      <c r="AA75" s="412"/>
      <c r="AB75" s="50"/>
      <c r="AC75" s="50"/>
      <c r="AD75" s="50"/>
      <c r="AE75" s="50"/>
      <c r="AF75" s="50"/>
      <c r="AG75" s="50"/>
      <c r="AH75" s="50"/>
      <c r="AI75" s="50"/>
      <c r="AJ75" s="50"/>
      <c r="AK75" s="50"/>
      <c r="AL75" s="50"/>
      <c r="AM75" s="50"/>
      <c r="AN75" s="50"/>
      <c r="AO75" s="50"/>
      <c r="AP75" s="50"/>
      <c r="AQ75" s="50"/>
      <c r="AR75" s="50"/>
      <c r="AS75" s="50"/>
      <c r="AT75" s="50"/>
      <c r="AU75" s="50"/>
      <c r="AV75" s="50"/>
      <c r="AW75" s="50"/>
      <c r="AX75" s="50"/>
      <c r="AY75" s="50"/>
      <c r="AZ75" s="50"/>
    </row>
    <row r="76" spans="1:52" ht="13" hidden="1" customHeight="1" outlineLevel="1" x14ac:dyDescent="0.3">
      <c r="A76" s="316"/>
      <c r="B76" s="317" t="s">
        <v>2678</v>
      </c>
      <c r="C76" s="317"/>
      <c r="D76" s="319"/>
      <c r="E76" s="317" t="s">
        <v>2696</v>
      </c>
      <c r="F76" s="319"/>
      <c r="G76" s="317" t="s">
        <v>2697</v>
      </c>
      <c r="H76" s="319">
        <v>60</v>
      </c>
      <c r="I76" s="319" t="s">
        <v>89</v>
      </c>
      <c r="J76" s="319" t="s">
        <v>2636</v>
      </c>
      <c r="K76" s="319" t="s">
        <v>2680</v>
      </c>
      <c r="L76" s="319" t="s">
        <v>2653</v>
      </c>
      <c r="M76" s="319" t="s">
        <v>89</v>
      </c>
      <c r="N76" s="320">
        <v>1</v>
      </c>
      <c r="O76" s="321">
        <f t="shared" si="14"/>
        <v>14.078947368421053</v>
      </c>
      <c r="P76" s="320">
        <v>7.5</v>
      </c>
      <c r="Q76" s="320">
        <f>P76*O76+350/79*N76</f>
        <v>110.02248500999335</v>
      </c>
      <c r="R76" s="320"/>
      <c r="S76" s="321">
        <f t="shared" si="13"/>
        <v>1.8337080834998891</v>
      </c>
      <c r="T76" s="392">
        <v>45506</v>
      </c>
      <c r="U76" s="392">
        <v>45551</v>
      </c>
      <c r="V76" s="319"/>
      <c r="W76" s="319"/>
      <c r="X76" s="319"/>
      <c r="Y76" s="319"/>
      <c r="Z76" s="319"/>
      <c r="AA76" s="412"/>
      <c r="AB76" s="50"/>
      <c r="AC76" s="50"/>
      <c r="AD76" s="50"/>
      <c r="AE76" s="50"/>
      <c r="AF76" s="50"/>
      <c r="AG76" s="50"/>
      <c r="AH76" s="50"/>
      <c r="AI76" s="50"/>
      <c r="AJ76" s="50"/>
      <c r="AK76" s="50"/>
      <c r="AL76" s="50"/>
      <c r="AM76" s="50"/>
      <c r="AN76" s="50"/>
      <c r="AO76" s="50"/>
      <c r="AP76" s="50"/>
      <c r="AQ76" s="50"/>
      <c r="AR76" s="50"/>
      <c r="AS76" s="50"/>
      <c r="AT76" s="50"/>
      <c r="AU76" s="50"/>
      <c r="AV76" s="50"/>
      <c r="AW76" s="50"/>
      <c r="AX76" s="50"/>
      <c r="AY76" s="50"/>
      <c r="AZ76" s="50"/>
    </row>
    <row r="77" spans="1:52" ht="13" hidden="1" customHeight="1" outlineLevel="1" x14ac:dyDescent="0.3">
      <c r="A77" s="316"/>
      <c r="B77" s="317" t="s">
        <v>2698</v>
      </c>
      <c r="C77" s="317"/>
      <c r="D77" s="319"/>
      <c r="E77" s="317" t="s">
        <v>2679</v>
      </c>
      <c r="F77" s="319"/>
      <c r="G77" s="317" t="s">
        <v>3219</v>
      </c>
      <c r="H77" s="319">
        <v>12</v>
      </c>
      <c r="I77" s="319" t="s">
        <v>89</v>
      </c>
      <c r="J77" s="319" t="s">
        <v>2636</v>
      </c>
      <c r="K77" s="319" t="s">
        <v>2668</v>
      </c>
      <c r="L77" s="319" t="s">
        <v>2653</v>
      </c>
      <c r="M77" s="319" t="s">
        <v>89</v>
      </c>
      <c r="N77" s="320">
        <v>1</v>
      </c>
      <c r="O77" s="321">
        <f>155/11*N77</f>
        <v>14.090909090909092</v>
      </c>
      <c r="P77" s="320">
        <v>6.2</v>
      </c>
      <c r="Q77" s="320">
        <f t="shared" ref="Q77:Q87" si="16">P77*O77+350/79*N77</f>
        <v>91.794016110471816</v>
      </c>
      <c r="R77" s="320"/>
      <c r="S77" s="321">
        <f t="shared" si="13"/>
        <v>7.6495013425393177</v>
      </c>
      <c r="T77" s="392">
        <v>45506</v>
      </c>
      <c r="U77" s="392">
        <v>45528</v>
      </c>
      <c r="V77" s="319"/>
      <c r="W77" s="319"/>
      <c r="X77" s="319"/>
      <c r="Y77" s="319"/>
      <c r="Z77" s="319"/>
      <c r="AA77" s="412"/>
      <c r="AB77" s="50"/>
      <c r="AC77" s="50"/>
      <c r="AD77" s="50"/>
      <c r="AE77" s="50"/>
      <c r="AF77" s="50"/>
      <c r="AG77" s="50"/>
      <c r="AH77" s="50"/>
      <c r="AI77" s="50"/>
      <c r="AJ77" s="50"/>
      <c r="AK77" s="50"/>
      <c r="AL77" s="50"/>
      <c r="AM77" s="50"/>
      <c r="AN77" s="50"/>
      <c r="AO77" s="50"/>
      <c r="AP77" s="50"/>
      <c r="AQ77" s="50"/>
      <c r="AR77" s="50"/>
      <c r="AS77" s="50"/>
      <c r="AT77" s="50"/>
      <c r="AU77" s="50"/>
      <c r="AV77" s="50"/>
      <c r="AW77" s="50"/>
      <c r="AX77" s="50"/>
      <c r="AY77" s="50"/>
      <c r="AZ77" s="50"/>
    </row>
    <row r="78" spans="1:52" ht="13" hidden="1" customHeight="1" outlineLevel="1" x14ac:dyDescent="0.3">
      <c r="A78" s="316"/>
      <c r="B78" s="317" t="s">
        <v>2698</v>
      </c>
      <c r="C78" s="317"/>
      <c r="D78" s="319"/>
      <c r="E78" s="317" t="s">
        <v>2681</v>
      </c>
      <c r="F78" s="319"/>
      <c r="G78" s="317" t="s">
        <v>3220</v>
      </c>
      <c r="H78" s="319">
        <v>12</v>
      </c>
      <c r="I78" s="319" t="s">
        <v>89</v>
      </c>
      <c r="J78" s="319" t="s">
        <v>2636</v>
      </c>
      <c r="K78" s="319" t="s">
        <v>2668</v>
      </c>
      <c r="L78" s="319" t="s">
        <v>2653</v>
      </c>
      <c r="M78" s="319" t="s">
        <v>89</v>
      </c>
      <c r="N78" s="320">
        <v>1</v>
      </c>
      <c r="O78" s="321">
        <f t="shared" ref="O78:O87" si="17">155/11*N78</f>
        <v>14.090909090909092</v>
      </c>
      <c r="P78" s="320">
        <v>6.2</v>
      </c>
      <c r="Q78" s="320">
        <f t="shared" si="16"/>
        <v>91.794016110471816</v>
      </c>
      <c r="R78" s="320"/>
      <c r="S78" s="321">
        <f t="shared" si="13"/>
        <v>7.6495013425393177</v>
      </c>
      <c r="T78" s="392">
        <v>45506</v>
      </c>
      <c r="U78" s="392">
        <v>45528</v>
      </c>
      <c r="V78" s="319"/>
      <c r="W78" s="319"/>
      <c r="X78" s="319"/>
      <c r="Y78" s="319"/>
      <c r="Z78" s="319"/>
      <c r="AA78" s="412"/>
      <c r="AB78" s="50"/>
      <c r="AC78" s="50"/>
      <c r="AD78" s="50"/>
      <c r="AE78" s="50"/>
      <c r="AF78" s="50"/>
      <c r="AG78" s="50"/>
      <c r="AH78" s="50"/>
      <c r="AI78" s="50"/>
      <c r="AJ78" s="50"/>
      <c r="AK78" s="50"/>
      <c r="AL78" s="50"/>
      <c r="AM78" s="50"/>
      <c r="AN78" s="50"/>
      <c r="AO78" s="50"/>
      <c r="AP78" s="50"/>
      <c r="AQ78" s="50"/>
      <c r="AR78" s="50"/>
      <c r="AS78" s="50"/>
      <c r="AT78" s="50"/>
      <c r="AU78" s="50"/>
      <c r="AV78" s="50"/>
      <c r="AW78" s="50"/>
      <c r="AX78" s="50"/>
      <c r="AY78" s="50"/>
      <c r="AZ78" s="50"/>
    </row>
    <row r="79" spans="1:52" ht="13" hidden="1" customHeight="1" outlineLevel="1" x14ac:dyDescent="0.3">
      <c r="A79" s="316"/>
      <c r="B79" s="317" t="s">
        <v>2698</v>
      </c>
      <c r="C79" s="317"/>
      <c r="D79" s="319"/>
      <c r="E79" s="317" t="s">
        <v>2682</v>
      </c>
      <c r="F79" s="319"/>
      <c r="G79" s="317" t="s">
        <v>3221</v>
      </c>
      <c r="H79" s="319">
        <v>12</v>
      </c>
      <c r="I79" s="319" t="s">
        <v>89</v>
      </c>
      <c r="J79" s="319" t="s">
        <v>2636</v>
      </c>
      <c r="K79" s="319" t="s">
        <v>2668</v>
      </c>
      <c r="L79" s="319" t="s">
        <v>2653</v>
      </c>
      <c r="M79" s="319" t="s">
        <v>89</v>
      </c>
      <c r="N79" s="320">
        <v>1</v>
      </c>
      <c r="O79" s="321">
        <f t="shared" si="17"/>
        <v>14.090909090909092</v>
      </c>
      <c r="P79" s="320">
        <v>6.2</v>
      </c>
      <c r="Q79" s="320">
        <f t="shared" si="16"/>
        <v>91.794016110471816</v>
      </c>
      <c r="R79" s="320"/>
      <c r="S79" s="321">
        <f t="shared" si="13"/>
        <v>7.6495013425393177</v>
      </c>
      <c r="T79" s="392">
        <v>45506</v>
      </c>
      <c r="U79" s="392">
        <v>45528</v>
      </c>
      <c r="V79" s="319"/>
      <c r="W79" s="319"/>
      <c r="X79" s="319"/>
      <c r="Y79" s="319"/>
      <c r="Z79" s="319"/>
      <c r="AA79" s="412"/>
      <c r="AB79" s="50"/>
      <c r="AC79" s="50"/>
      <c r="AD79" s="50"/>
      <c r="AE79" s="50"/>
      <c r="AF79" s="50"/>
      <c r="AG79" s="50"/>
      <c r="AH79" s="50"/>
      <c r="AI79" s="50"/>
      <c r="AJ79" s="50"/>
      <c r="AK79" s="50"/>
      <c r="AL79" s="50"/>
      <c r="AM79" s="50"/>
      <c r="AN79" s="50"/>
      <c r="AO79" s="50"/>
      <c r="AP79" s="50"/>
      <c r="AQ79" s="50"/>
      <c r="AR79" s="50"/>
      <c r="AS79" s="50"/>
      <c r="AT79" s="50"/>
      <c r="AU79" s="50"/>
      <c r="AV79" s="50"/>
      <c r="AW79" s="50"/>
      <c r="AX79" s="50"/>
      <c r="AY79" s="50"/>
      <c r="AZ79" s="50"/>
    </row>
    <row r="80" spans="1:52" ht="13" hidden="1" customHeight="1" outlineLevel="1" x14ac:dyDescent="0.3">
      <c r="A80" s="316"/>
      <c r="B80" s="317" t="s">
        <v>2698</v>
      </c>
      <c r="C80" s="317"/>
      <c r="D80" s="319"/>
      <c r="E80" s="317" t="s">
        <v>2683</v>
      </c>
      <c r="F80" s="319"/>
      <c r="G80" s="317" t="s">
        <v>3222</v>
      </c>
      <c r="H80" s="319">
        <v>12</v>
      </c>
      <c r="I80" s="319" t="s">
        <v>89</v>
      </c>
      <c r="J80" s="319" t="s">
        <v>2636</v>
      </c>
      <c r="K80" s="319" t="s">
        <v>2668</v>
      </c>
      <c r="L80" s="319" t="s">
        <v>2653</v>
      </c>
      <c r="M80" s="319" t="s">
        <v>89</v>
      </c>
      <c r="N80" s="320">
        <v>1</v>
      </c>
      <c r="O80" s="321">
        <f t="shared" si="17"/>
        <v>14.090909090909092</v>
      </c>
      <c r="P80" s="320">
        <v>6.2</v>
      </c>
      <c r="Q80" s="320">
        <f t="shared" si="16"/>
        <v>91.794016110471816</v>
      </c>
      <c r="R80" s="320"/>
      <c r="S80" s="321">
        <f t="shared" si="13"/>
        <v>7.6495013425393177</v>
      </c>
      <c r="T80" s="392">
        <v>45506</v>
      </c>
      <c r="U80" s="392">
        <v>45528</v>
      </c>
      <c r="V80" s="319"/>
      <c r="W80" s="319"/>
      <c r="X80" s="319"/>
      <c r="Y80" s="319"/>
      <c r="Z80" s="319"/>
      <c r="AA80" s="412"/>
      <c r="AB80" s="50"/>
      <c r="AC80" s="50"/>
      <c r="AD80" s="50"/>
      <c r="AE80" s="50"/>
      <c r="AF80" s="50"/>
      <c r="AG80" s="50"/>
      <c r="AH80" s="50"/>
      <c r="AI80" s="50"/>
      <c r="AJ80" s="50"/>
      <c r="AK80" s="50"/>
      <c r="AL80" s="50"/>
      <c r="AM80" s="50"/>
      <c r="AN80" s="50"/>
      <c r="AO80" s="50"/>
      <c r="AP80" s="50"/>
      <c r="AQ80" s="50"/>
      <c r="AR80" s="50"/>
      <c r="AS80" s="50"/>
      <c r="AT80" s="50"/>
      <c r="AU80" s="50"/>
      <c r="AV80" s="50"/>
      <c r="AW80" s="50"/>
      <c r="AX80" s="50"/>
      <c r="AY80" s="50"/>
      <c r="AZ80" s="50"/>
    </row>
    <row r="81" spans="1:52" ht="13" hidden="1" customHeight="1" outlineLevel="1" x14ac:dyDescent="0.3">
      <c r="A81" s="316"/>
      <c r="B81" s="317" t="s">
        <v>2698</v>
      </c>
      <c r="C81" s="317"/>
      <c r="D81" s="319"/>
      <c r="E81" s="317" t="s">
        <v>2684</v>
      </c>
      <c r="F81" s="319"/>
      <c r="G81" s="317" t="s">
        <v>3223</v>
      </c>
      <c r="H81" s="319">
        <v>12</v>
      </c>
      <c r="I81" s="319" t="s">
        <v>89</v>
      </c>
      <c r="J81" s="319" t="s">
        <v>2636</v>
      </c>
      <c r="K81" s="319" t="s">
        <v>2668</v>
      </c>
      <c r="L81" s="319" t="s">
        <v>2653</v>
      </c>
      <c r="M81" s="319" t="s">
        <v>89</v>
      </c>
      <c r="N81" s="320">
        <v>1</v>
      </c>
      <c r="O81" s="321">
        <f t="shared" si="17"/>
        <v>14.090909090909092</v>
      </c>
      <c r="P81" s="320">
        <v>6.2</v>
      </c>
      <c r="Q81" s="320">
        <f t="shared" si="16"/>
        <v>91.794016110471816</v>
      </c>
      <c r="R81" s="320"/>
      <c r="S81" s="321">
        <f t="shared" si="13"/>
        <v>7.6495013425393177</v>
      </c>
      <c r="T81" s="392">
        <v>45506</v>
      </c>
      <c r="U81" s="392">
        <v>45528</v>
      </c>
      <c r="V81" s="319"/>
      <c r="W81" s="319"/>
      <c r="X81" s="319"/>
      <c r="Y81" s="319"/>
      <c r="Z81" s="319"/>
      <c r="AA81" s="412"/>
      <c r="AB81" s="50"/>
      <c r="AC81" s="50"/>
      <c r="AD81" s="50"/>
      <c r="AE81" s="50"/>
      <c r="AF81" s="50"/>
      <c r="AG81" s="50"/>
      <c r="AH81" s="50"/>
      <c r="AI81" s="50"/>
      <c r="AJ81" s="50"/>
      <c r="AK81" s="50"/>
      <c r="AL81" s="50"/>
      <c r="AM81" s="50"/>
      <c r="AN81" s="50"/>
      <c r="AO81" s="50"/>
      <c r="AP81" s="50"/>
      <c r="AQ81" s="50"/>
      <c r="AR81" s="50"/>
      <c r="AS81" s="50"/>
      <c r="AT81" s="50"/>
      <c r="AU81" s="50"/>
      <c r="AV81" s="50"/>
      <c r="AW81" s="50"/>
      <c r="AX81" s="50"/>
      <c r="AY81" s="50"/>
      <c r="AZ81" s="50"/>
    </row>
    <row r="82" spans="1:52" ht="13" hidden="1" customHeight="1" outlineLevel="1" x14ac:dyDescent="0.3">
      <c r="A82" s="316"/>
      <c r="B82" s="317" t="s">
        <v>2698</v>
      </c>
      <c r="C82" s="317"/>
      <c r="D82" s="319"/>
      <c r="E82" s="317" t="s">
        <v>2685</v>
      </c>
      <c r="F82" s="319"/>
      <c r="G82" s="317" t="s">
        <v>3219</v>
      </c>
      <c r="H82" s="319">
        <v>12</v>
      </c>
      <c r="I82" s="319" t="s">
        <v>89</v>
      </c>
      <c r="J82" s="319" t="s">
        <v>2636</v>
      </c>
      <c r="K82" s="319" t="s">
        <v>2668</v>
      </c>
      <c r="L82" s="319" t="s">
        <v>2653</v>
      </c>
      <c r="M82" s="319" t="s">
        <v>89</v>
      </c>
      <c r="N82" s="320">
        <v>1</v>
      </c>
      <c r="O82" s="321">
        <f t="shared" si="17"/>
        <v>14.090909090909092</v>
      </c>
      <c r="P82" s="320">
        <v>6.2</v>
      </c>
      <c r="Q82" s="320">
        <f t="shared" si="16"/>
        <v>91.794016110471816</v>
      </c>
      <c r="R82" s="320"/>
      <c r="S82" s="321">
        <f t="shared" si="13"/>
        <v>7.6495013425393177</v>
      </c>
      <c r="T82" s="392">
        <v>45506</v>
      </c>
      <c r="U82" s="392">
        <v>45528</v>
      </c>
      <c r="V82" s="319"/>
      <c r="W82" s="319"/>
      <c r="X82" s="319"/>
      <c r="Y82" s="319"/>
      <c r="Z82" s="319"/>
      <c r="AA82" s="412"/>
      <c r="AB82" s="50"/>
      <c r="AC82" s="50"/>
      <c r="AD82" s="50"/>
      <c r="AE82" s="50"/>
      <c r="AF82" s="50"/>
      <c r="AG82" s="50"/>
      <c r="AH82" s="50"/>
      <c r="AI82" s="50"/>
      <c r="AJ82" s="50"/>
      <c r="AK82" s="50"/>
      <c r="AL82" s="50"/>
      <c r="AM82" s="50"/>
      <c r="AN82" s="50"/>
      <c r="AO82" s="50"/>
      <c r="AP82" s="50"/>
      <c r="AQ82" s="50"/>
      <c r="AR82" s="50"/>
      <c r="AS82" s="50"/>
      <c r="AT82" s="50"/>
      <c r="AU82" s="50"/>
      <c r="AV82" s="50"/>
      <c r="AW82" s="50"/>
      <c r="AX82" s="50"/>
      <c r="AY82" s="50"/>
      <c r="AZ82" s="50"/>
    </row>
    <row r="83" spans="1:52" ht="13" hidden="1" customHeight="1" outlineLevel="1" x14ac:dyDescent="0.3">
      <c r="A83" s="316"/>
      <c r="B83" s="317" t="s">
        <v>2698</v>
      </c>
      <c r="C83" s="317"/>
      <c r="D83" s="319"/>
      <c r="E83" s="317" t="s">
        <v>2686</v>
      </c>
      <c r="F83" s="319"/>
      <c r="G83" s="317" t="s">
        <v>3221</v>
      </c>
      <c r="H83" s="319">
        <v>12</v>
      </c>
      <c r="I83" s="319" t="s">
        <v>89</v>
      </c>
      <c r="J83" s="319" t="s">
        <v>2636</v>
      </c>
      <c r="K83" s="319" t="s">
        <v>2668</v>
      </c>
      <c r="L83" s="319" t="s">
        <v>2653</v>
      </c>
      <c r="M83" s="319" t="s">
        <v>89</v>
      </c>
      <c r="N83" s="320">
        <v>1</v>
      </c>
      <c r="O83" s="321">
        <f t="shared" si="17"/>
        <v>14.090909090909092</v>
      </c>
      <c r="P83" s="320">
        <v>6.2</v>
      </c>
      <c r="Q83" s="320">
        <f t="shared" si="16"/>
        <v>91.794016110471816</v>
      </c>
      <c r="R83" s="320"/>
      <c r="S83" s="321">
        <f t="shared" si="13"/>
        <v>7.6495013425393177</v>
      </c>
      <c r="T83" s="392">
        <v>45506</v>
      </c>
      <c r="U83" s="392">
        <v>45528</v>
      </c>
      <c r="V83" s="319"/>
      <c r="W83" s="319"/>
      <c r="X83" s="319"/>
      <c r="Y83" s="319"/>
      <c r="Z83" s="319"/>
      <c r="AA83" s="412"/>
      <c r="AB83" s="50"/>
      <c r="AC83" s="50"/>
      <c r="AD83" s="50"/>
      <c r="AE83" s="50"/>
      <c r="AF83" s="50"/>
      <c r="AG83" s="50"/>
      <c r="AH83" s="50"/>
      <c r="AI83" s="50"/>
      <c r="AJ83" s="50"/>
      <c r="AK83" s="50"/>
      <c r="AL83" s="50"/>
      <c r="AM83" s="50"/>
      <c r="AN83" s="50"/>
      <c r="AO83" s="50"/>
      <c r="AP83" s="50"/>
      <c r="AQ83" s="50"/>
      <c r="AR83" s="50"/>
      <c r="AS83" s="50"/>
      <c r="AT83" s="50"/>
      <c r="AU83" s="50"/>
      <c r="AV83" s="50"/>
      <c r="AW83" s="50"/>
      <c r="AX83" s="50"/>
      <c r="AY83" s="50"/>
      <c r="AZ83" s="50"/>
    </row>
    <row r="84" spans="1:52" ht="13" hidden="1" customHeight="1" outlineLevel="1" x14ac:dyDescent="0.3">
      <c r="A84" s="316"/>
      <c r="B84" s="317" t="s">
        <v>2698</v>
      </c>
      <c r="C84" s="317"/>
      <c r="D84" s="319"/>
      <c r="E84" s="317" t="s">
        <v>2687</v>
      </c>
      <c r="F84" s="319"/>
      <c r="G84" s="317" t="s">
        <v>3222</v>
      </c>
      <c r="H84" s="319">
        <v>12</v>
      </c>
      <c r="I84" s="319" t="s">
        <v>89</v>
      </c>
      <c r="J84" s="319" t="s">
        <v>2636</v>
      </c>
      <c r="K84" s="319" t="s">
        <v>2668</v>
      </c>
      <c r="L84" s="319" t="s">
        <v>2653</v>
      </c>
      <c r="M84" s="319" t="s">
        <v>89</v>
      </c>
      <c r="N84" s="320">
        <v>1</v>
      </c>
      <c r="O84" s="321">
        <f t="shared" si="17"/>
        <v>14.090909090909092</v>
      </c>
      <c r="P84" s="320">
        <v>6.2</v>
      </c>
      <c r="Q84" s="320">
        <f t="shared" si="16"/>
        <v>91.794016110471816</v>
      </c>
      <c r="R84" s="320"/>
      <c r="S84" s="321">
        <f t="shared" si="13"/>
        <v>7.6495013425393177</v>
      </c>
      <c r="T84" s="392">
        <v>45506</v>
      </c>
      <c r="U84" s="392">
        <v>45528</v>
      </c>
      <c r="V84" s="319"/>
      <c r="W84" s="319"/>
      <c r="X84" s="319"/>
      <c r="Y84" s="319"/>
      <c r="Z84" s="319"/>
      <c r="AA84" s="412"/>
      <c r="AB84" s="50"/>
      <c r="AC84" s="50"/>
      <c r="AD84" s="50"/>
      <c r="AE84" s="50"/>
      <c r="AF84" s="50"/>
      <c r="AG84" s="50"/>
      <c r="AH84" s="50"/>
      <c r="AI84" s="50"/>
      <c r="AJ84" s="50"/>
      <c r="AK84" s="50"/>
      <c r="AL84" s="50"/>
      <c r="AM84" s="50"/>
      <c r="AN84" s="50"/>
      <c r="AO84" s="50"/>
      <c r="AP84" s="50"/>
      <c r="AQ84" s="50"/>
      <c r="AR84" s="50"/>
      <c r="AS84" s="50"/>
      <c r="AT84" s="50"/>
      <c r="AU84" s="50"/>
      <c r="AV84" s="50"/>
      <c r="AW84" s="50"/>
      <c r="AX84" s="50"/>
      <c r="AY84" s="50"/>
      <c r="AZ84" s="50"/>
    </row>
    <row r="85" spans="1:52" ht="13" hidden="1" customHeight="1" outlineLevel="1" x14ac:dyDescent="0.3">
      <c r="A85" s="316"/>
      <c r="B85" s="317" t="s">
        <v>2698</v>
      </c>
      <c r="C85" s="317"/>
      <c r="D85" s="319"/>
      <c r="E85" s="317" t="s">
        <v>2688</v>
      </c>
      <c r="F85" s="319"/>
      <c r="G85" s="317" t="s">
        <v>3224</v>
      </c>
      <c r="H85" s="319">
        <v>12</v>
      </c>
      <c r="I85" s="319" t="s">
        <v>89</v>
      </c>
      <c r="J85" s="319" t="s">
        <v>2636</v>
      </c>
      <c r="K85" s="319" t="s">
        <v>2668</v>
      </c>
      <c r="L85" s="319" t="s">
        <v>2653</v>
      </c>
      <c r="M85" s="319" t="s">
        <v>89</v>
      </c>
      <c r="N85" s="320">
        <v>1</v>
      </c>
      <c r="O85" s="321">
        <f t="shared" si="17"/>
        <v>14.090909090909092</v>
      </c>
      <c r="P85" s="320">
        <v>6.2</v>
      </c>
      <c r="Q85" s="320">
        <f t="shared" si="16"/>
        <v>91.794016110471816</v>
      </c>
      <c r="R85" s="320"/>
      <c r="S85" s="321">
        <f t="shared" si="13"/>
        <v>7.6495013425393177</v>
      </c>
      <c r="T85" s="392">
        <v>45506</v>
      </c>
      <c r="U85" s="392">
        <v>45528</v>
      </c>
      <c r="V85" s="319"/>
      <c r="W85" s="319"/>
      <c r="X85" s="319"/>
      <c r="Y85" s="319"/>
      <c r="Z85" s="319"/>
      <c r="AA85" s="412"/>
      <c r="AB85" s="50"/>
      <c r="AC85" s="50"/>
      <c r="AD85" s="50"/>
      <c r="AE85" s="50"/>
      <c r="AF85" s="50"/>
      <c r="AG85" s="50"/>
      <c r="AH85" s="50"/>
      <c r="AI85" s="50"/>
      <c r="AJ85" s="50"/>
      <c r="AK85" s="50"/>
      <c r="AL85" s="50"/>
      <c r="AM85" s="50"/>
      <c r="AN85" s="50"/>
      <c r="AO85" s="50"/>
      <c r="AP85" s="50"/>
      <c r="AQ85" s="50"/>
      <c r="AR85" s="50"/>
      <c r="AS85" s="50"/>
      <c r="AT85" s="50"/>
      <c r="AU85" s="50"/>
      <c r="AV85" s="50"/>
      <c r="AW85" s="50"/>
      <c r="AX85" s="50"/>
      <c r="AY85" s="50"/>
      <c r="AZ85" s="50"/>
    </row>
    <row r="86" spans="1:52" ht="13" hidden="1" customHeight="1" outlineLevel="1" x14ac:dyDescent="0.3">
      <c r="A86" s="316"/>
      <c r="B86" s="317" t="s">
        <v>2698</v>
      </c>
      <c r="C86" s="317"/>
      <c r="D86" s="319"/>
      <c r="E86" s="317" t="s">
        <v>2689</v>
      </c>
      <c r="F86" s="319"/>
      <c r="G86" s="317" t="s">
        <v>3225</v>
      </c>
      <c r="H86" s="319">
        <v>12</v>
      </c>
      <c r="I86" s="319" t="s">
        <v>89</v>
      </c>
      <c r="J86" s="319" t="s">
        <v>2636</v>
      </c>
      <c r="K86" s="319" t="s">
        <v>2668</v>
      </c>
      <c r="L86" s="319" t="s">
        <v>2653</v>
      </c>
      <c r="M86" s="319" t="s">
        <v>89</v>
      </c>
      <c r="N86" s="320">
        <v>1</v>
      </c>
      <c r="O86" s="321">
        <f t="shared" si="17"/>
        <v>14.090909090909092</v>
      </c>
      <c r="P86" s="320">
        <v>6.2</v>
      </c>
      <c r="Q86" s="320">
        <f t="shared" si="16"/>
        <v>91.794016110471816</v>
      </c>
      <c r="R86" s="320"/>
      <c r="S86" s="321">
        <f t="shared" si="13"/>
        <v>7.6495013425393177</v>
      </c>
      <c r="T86" s="392">
        <v>45506</v>
      </c>
      <c r="U86" s="392">
        <v>45528</v>
      </c>
      <c r="V86" s="319"/>
      <c r="W86" s="319"/>
      <c r="X86" s="319"/>
      <c r="Y86" s="319"/>
      <c r="Z86" s="319"/>
      <c r="AA86" s="412"/>
      <c r="AB86" s="50"/>
      <c r="AC86" s="50"/>
      <c r="AD86" s="50"/>
      <c r="AE86" s="50"/>
      <c r="AF86" s="50"/>
      <c r="AG86" s="50"/>
      <c r="AH86" s="50"/>
      <c r="AI86" s="50"/>
      <c r="AJ86" s="50"/>
      <c r="AK86" s="50"/>
      <c r="AL86" s="50"/>
      <c r="AM86" s="50"/>
      <c r="AN86" s="50"/>
      <c r="AO86" s="50"/>
      <c r="AP86" s="50"/>
      <c r="AQ86" s="50"/>
      <c r="AR86" s="50"/>
      <c r="AS86" s="50"/>
      <c r="AT86" s="50"/>
      <c r="AU86" s="50"/>
      <c r="AV86" s="50"/>
      <c r="AW86" s="50"/>
      <c r="AX86" s="50"/>
      <c r="AY86" s="50"/>
      <c r="AZ86" s="50"/>
    </row>
    <row r="87" spans="1:52" ht="13" hidden="1" customHeight="1" outlineLevel="1" x14ac:dyDescent="0.3">
      <c r="A87" s="316"/>
      <c r="B87" s="317" t="s">
        <v>2698</v>
      </c>
      <c r="C87" s="317"/>
      <c r="D87" s="319"/>
      <c r="E87" s="317" t="s">
        <v>2690</v>
      </c>
      <c r="F87" s="319"/>
      <c r="G87" s="317" t="s">
        <v>3226</v>
      </c>
      <c r="H87" s="319">
        <v>12</v>
      </c>
      <c r="I87" s="319" t="s">
        <v>89</v>
      </c>
      <c r="J87" s="319" t="s">
        <v>2636</v>
      </c>
      <c r="K87" s="319" t="s">
        <v>2668</v>
      </c>
      <c r="L87" s="319" t="s">
        <v>2653</v>
      </c>
      <c r="M87" s="319" t="s">
        <v>89</v>
      </c>
      <c r="N87" s="320">
        <v>1</v>
      </c>
      <c r="O87" s="321">
        <f t="shared" si="17"/>
        <v>14.090909090909092</v>
      </c>
      <c r="P87" s="320">
        <v>6.2</v>
      </c>
      <c r="Q87" s="320">
        <f t="shared" si="16"/>
        <v>91.794016110471816</v>
      </c>
      <c r="R87" s="320"/>
      <c r="S87" s="321">
        <f t="shared" si="13"/>
        <v>7.6495013425393177</v>
      </c>
      <c r="T87" s="392">
        <v>45506</v>
      </c>
      <c r="U87" s="392">
        <v>45528</v>
      </c>
      <c r="V87" s="319"/>
      <c r="W87" s="319"/>
      <c r="X87" s="319"/>
      <c r="Y87" s="319"/>
      <c r="Z87" s="319"/>
      <c r="AA87" s="412"/>
      <c r="AB87" s="50"/>
      <c r="AC87" s="50"/>
      <c r="AD87" s="50"/>
      <c r="AE87" s="50"/>
      <c r="AF87" s="50"/>
      <c r="AG87" s="50"/>
      <c r="AH87" s="50"/>
      <c r="AI87" s="50"/>
      <c r="AJ87" s="50"/>
      <c r="AK87" s="50"/>
      <c r="AL87" s="50"/>
      <c r="AM87" s="50"/>
      <c r="AN87" s="50"/>
      <c r="AO87" s="50"/>
      <c r="AP87" s="50"/>
      <c r="AQ87" s="50"/>
      <c r="AR87" s="50"/>
      <c r="AS87" s="50"/>
      <c r="AT87" s="50"/>
      <c r="AU87" s="50"/>
      <c r="AV87" s="50"/>
      <c r="AW87" s="50"/>
      <c r="AX87" s="50"/>
      <c r="AY87" s="50"/>
      <c r="AZ87" s="50"/>
    </row>
    <row r="88" spans="1:52" ht="13" hidden="1" customHeight="1" outlineLevel="1" x14ac:dyDescent="0.3">
      <c r="A88" s="316"/>
      <c r="B88" s="317"/>
      <c r="C88" s="317" t="s">
        <v>2699</v>
      </c>
      <c r="D88" s="319"/>
      <c r="E88" s="317" t="s">
        <v>2700</v>
      </c>
      <c r="F88" s="319"/>
      <c r="G88" s="317" t="s">
        <v>3197</v>
      </c>
      <c r="H88" s="319">
        <v>90</v>
      </c>
      <c r="I88" s="319" t="s">
        <v>306</v>
      </c>
      <c r="J88" s="319" t="s">
        <v>2636</v>
      </c>
      <c r="K88" s="319" t="s">
        <v>2630</v>
      </c>
      <c r="L88" s="319" t="s">
        <v>2653</v>
      </c>
      <c r="M88" s="319" t="s">
        <v>2631</v>
      </c>
      <c r="N88" s="320">
        <v>1</v>
      </c>
      <c r="O88" s="321">
        <v>20</v>
      </c>
      <c r="P88" s="320">
        <v>16.2</v>
      </c>
      <c r="Q88" s="320">
        <f>P88*O88</f>
        <v>324</v>
      </c>
      <c r="R88" s="320"/>
      <c r="S88" s="321">
        <f t="shared" si="13"/>
        <v>3.6</v>
      </c>
      <c r="T88" s="392">
        <v>45505</v>
      </c>
      <c r="U88" s="392">
        <v>45525</v>
      </c>
      <c r="V88" s="392">
        <v>45533</v>
      </c>
      <c r="W88" s="319"/>
      <c r="X88" s="319"/>
      <c r="Y88" s="319"/>
      <c r="Z88" s="319"/>
      <c r="AA88" s="412"/>
      <c r="AB88" s="50"/>
      <c r="AC88" s="50"/>
      <c r="AD88" s="50"/>
      <c r="AE88" s="50"/>
      <c r="AF88" s="50"/>
      <c r="AG88" s="50"/>
      <c r="AH88" s="50"/>
      <c r="AI88" s="50"/>
      <c r="AJ88" s="50"/>
      <c r="AK88" s="50"/>
      <c r="AL88" s="50"/>
      <c r="AM88" s="50"/>
      <c r="AN88" s="50"/>
      <c r="AO88" s="50"/>
      <c r="AP88" s="50"/>
      <c r="AQ88" s="50"/>
      <c r="AR88" s="50"/>
      <c r="AS88" s="50"/>
      <c r="AT88" s="50"/>
      <c r="AU88" s="50"/>
      <c r="AV88" s="50"/>
      <c r="AW88" s="50"/>
      <c r="AX88" s="50"/>
      <c r="AY88" s="50"/>
      <c r="AZ88" s="50"/>
    </row>
    <row r="89" spans="1:52" ht="13" hidden="1" customHeight="1" outlineLevel="1" x14ac:dyDescent="0.3">
      <c r="A89" s="316"/>
      <c r="B89" s="317"/>
      <c r="C89" s="317" t="s">
        <v>2699</v>
      </c>
      <c r="D89" s="319"/>
      <c r="E89" s="317" t="s">
        <v>2701</v>
      </c>
      <c r="F89" s="319"/>
      <c r="G89" s="317" t="s">
        <v>3230</v>
      </c>
      <c r="H89" s="319">
        <v>78</v>
      </c>
      <c r="I89" s="319" t="s">
        <v>306</v>
      </c>
      <c r="J89" s="319" t="s">
        <v>2636</v>
      </c>
      <c r="K89" s="319" t="s">
        <v>2630</v>
      </c>
      <c r="L89" s="319" t="s">
        <v>2653</v>
      </c>
      <c r="M89" s="319" t="s">
        <v>2631</v>
      </c>
      <c r="N89" s="320">
        <v>1</v>
      </c>
      <c r="O89" s="321">
        <v>22</v>
      </c>
      <c r="P89" s="320">
        <v>16.2</v>
      </c>
      <c r="Q89" s="320">
        <f>P89*O89+350/79*N89</f>
        <v>360.83037974683543</v>
      </c>
      <c r="R89" s="320"/>
      <c r="S89" s="321">
        <f t="shared" si="13"/>
        <v>4.6260305095748135</v>
      </c>
      <c r="T89" s="392">
        <v>45505</v>
      </c>
      <c r="U89" s="392">
        <v>45525</v>
      </c>
      <c r="V89" s="392">
        <v>45533</v>
      </c>
      <c r="W89" s="319"/>
      <c r="X89" s="319"/>
      <c r="Y89" s="319"/>
      <c r="Z89" s="319"/>
      <c r="AA89" s="412"/>
      <c r="AB89" s="50"/>
      <c r="AC89" s="50"/>
      <c r="AD89" s="50"/>
      <c r="AE89" s="50"/>
      <c r="AF89" s="50"/>
      <c r="AG89" s="50"/>
      <c r="AH89" s="50"/>
      <c r="AI89" s="50"/>
      <c r="AJ89" s="50"/>
      <c r="AK89" s="50"/>
      <c r="AL89" s="50"/>
      <c r="AM89" s="50"/>
      <c r="AN89" s="50"/>
      <c r="AO89" s="50"/>
      <c r="AP89" s="50"/>
      <c r="AQ89" s="50"/>
      <c r="AR89" s="50"/>
      <c r="AS89" s="50"/>
      <c r="AT89" s="50"/>
      <c r="AU89" s="50"/>
      <c r="AV89" s="50"/>
      <c r="AW89" s="50"/>
      <c r="AX89" s="50"/>
      <c r="AY89" s="50"/>
      <c r="AZ89" s="50"/>
    </row>
    <row r="90" spans="1:52" ht="13" hidden="1" customHeight="1" outlineLevel="1" x14ac:dyDescent="0.3">
      <c r="A90" s="316"/>
      <c r="B90" s="317"/>
      <c r="C90" s="317" t="s">
        <v>2702</v>
      </c>
      <c r="D90" s="319"/>
      <c r="E90" s="317" t="s">
        <v>2638</v>
      </c>
      <c r="F90" s="319"/>
      <c r="G90" s="317" t="s">
        <v>3194</v>
      </c>
      <c r="H90" s="319">
        <v>150</v>
      </c>
      <c r="I90" s="319" t="s">
        <v>306</v>
      </c>
      <c r="J90" s="319" t="s">
        <v>2636</v>
      </c>
      <c r="K90" s="319" t="s">
        <v>2630</v>
      </c>
      <c r="L90" s="319" t="s">
        <v>2653</v>
      </c>
      <c r="M90" s="319" t="s">
        <v>2631</v>
      </c>
      <c r="N90" s="320">
        <v>1</v>
      </c>
      <c r="O90" s="321">
        <v>12</v>
      </c>
      <c r="P90" s="320">
        <v>16.2</v>
      </c>
      <c r="Q90" s="320">
        <f>P90*O90</f>
        <v>194.39999999999998</v>
      </c>
      <c r="R90" s="320"/>
      <c r="S90" s="321">
        <f t="shared" ref="S90:S93" si="18">Q90/H90</f>
        <v>1.2959999999999998</v>
      </c>
      <c r="T90" s="392">
        <v>45533</v>
      </c>
      <c r="U90" s="392">
        <v>45554</v>
      </c>
      <c r="V90" s="392">
        <v>45561</v>
      </c>
      <c r="W90" s="319"/>
      <c r="X90" s="319"/>
      <c r="Y90" s="319"/>
      <c r="Z90" s="319"/>
      <c r="AA90" s="412"/>
      <c r="AB90" s="50"/>
      <c r="AC90" s="50"/>
      <c r="AD90" s="50"/>
      <c r="AE90" s="50"/>
      <c r="AF90" s="50"/>
      <c r="AG90" s="50"/>
      <c r="AH90" s="50"/>
      <c r="AI90" s="50"/>
      <c r="AJ90" s="50"/>
      <c r="AK90" s="50"/>
      <c r="AL90" s="50"/>
      <c r="AM90" s="50"/>
      <c r="AN90" s="50"/>
      <c r="AO90" s="50"/>
      <c r="AP90" s="50"/>
      <c r="AQ90" s="50"/>
      <c r="AR90" s="50"/>
      <c r="AS90" s="50"/>
      <c r="AT90" s="50"/>
      <c r="AU90" s="50"/>
      <c r="AV90" s="50"/>
      <c r="AW90" s="50"/>
      <c r="AX90" s="50"/>
      <c r="AY90" s="50"/>
      <c r="AZ90" s="50"/>
    </row>
    <row r="91" spans="1:52" ht="13" hidden="1" customHeight="1" outlineLevel="1" x14ac:dyDescent="0.3">
      <c r="A91" s="316"/>
      <c r="B91" s="317"/>
      <c r="C91" s="317" t="s">
        <v>2702</v>
      </c>
      <c r="D91" s="319"/>
      <c r="E91" s="317" t="s">
        <v>2701</v>
      </c>
      <c r="F91" s="319"/>
      <c r="G91" s="317" t="s">
        <v>3230</v>
      </c>
      <c r="H91" s="319">
        <v>78</v>
      </c>
      <c r="I91" s="319" t="s">
        <v>306</v>
      </c>
      <c r="J91" s="319" t="s">
        <v>2636</v>
      </c>
      <c r="K91" s="319" t="s">
        <v>2630</v>
      </c>
      <c r="L91" s="319" t="s">
        <v>2653</v>
      </c>
      <c r="M91" s="319" t="s">
        <v>2631</v>
      </c>
      <c r="N91" s="320">
        <v>1</v>
      </c>
      <c r="O91" s="321">
        <v>22</v>
      </c>
      <c r="P91" s="320">
        <v>16.2</v>
      </c>
      <c r="Q91" s="320">
        <f>P91*O91+350/79*N91</f>
        <v>360.83037974683543</v>
      </c>
      <c r="R91" s="320"/>
      <c r="S91" s="321">
        <f t="shared" si="18"/>
        <v>4.6260305095748135</v>
      </c>
      <c r="T91" s="392">
        <v>45533</v>
      </c>
      <c r="U91" s="392">
        <v>45554</v>
      </c>
      <c r="V91" s="392">
        <v>45561</v>
      </c>
      <c r="W91" s="319"/>
      <c r="X91" s="319"/>
      <c r="Y91" s="319"/>
      <c r="Z91" s="319"/>
      <c r="AA91" s="412"/>
      <c r="AB91" s="50"/>
      <c r="AC91" s="50"/>
      <c r="AD91" s="50"/>
      <c r="AE91" s="50"/>
      <c r="AF91" s="50"/>
      <c r="AG91" s="50"/>
      <c r="AH91" s="50"/>
      <c r="AI91" s="50"/>
      <c r="AJ91" s="50"/>
      <c r="AK91" s="50"/>
      <c r="AL91" s="50"/>
      <c r="AM91" s="50"/>
      <c r="AN91" s="50"/>
      <c r="AO91" s="50"/>
      <c r="AP91" s="50"/>
      <c r="AQ91" s="50"/>
      <c r="AR91" s="50"/>
      <c r="AS91" s="50"/>
      <c r="AT91" s="50"/>
      <c r="AU91" s="50"/>
      <c r="AV91" s="50"/>
      <c r="AW91" s="50"/>
      <c r="AX91" s="50"/>
      <c r="AY91" s="50"/>
      <c r="AZ91" s="50"/>
    </row>
    <row r="92" spans="1:52" ht="13" hidden="1" customHeight="1" outlineLevel="1" x14ac:dyDescent="0.3">
      <c r="A92" s="316"/>
      <c r="B92" s="317"/>
      <c r="C92" s="317" t="s">
        <v>2703</v>
      </c>
      <c r="D92" s="319"/>
      <c r="E92" s="317" t="s">
        <v>2700</v>
      </c>
      <c r="F92" s="319"/>
      <c r="G92" s="317" t="s">
        <v>3197</v>
      </c>
      <c r="H92" s="319">
        <v>90</v>
      </c>
      <c r="I92" s="319" t="s">
        <v>306</v>
      </c>
      <c r="J92" s="319" t="s">
        <v>2636</v>
      </c>
      <c r="K92" s="319" t="s">
        <v>2630</v>
      </c>
      <c r="L92" s="319" t="s">
        <v>2653</v>
      </c>
      <c r="M92" s="319" t="s">
        <v>2631</v>
      </c>
      <c r="N92" s="320">
        <v>1</v>
      </c>
      <c r="O92" s="321">
        <v>20</v>
      </c>
      <c r="P92" s="320">
        <v>16.8</v>
      </c>
      <c r="Q92" s="320">
        <f>P92*O92</f>
        <v>336</v>
      </c>
      <c r="R92" s="320"/>
      <c r="S92" s="321">
        <f t="shared" si="18"/>
        <v>3.7333333333333334</v>
      </c>
      <c r="T92" s="392">
        <v>45597</v>
      </c>
      <c r="U92" s="392">
        <v>45629</v>
      </c>
      <c r="V92" s="392">
        <v>45645</v>
      </c>
      <c r="W92" s="319"/>
      <c r="X92" s="319"/>
      <c r="Y92" s="319"/>
      <c r="Z92" s="319"/>
      <c r="AA92" s="412"/>
      <c r="AB92" s="50"/>
      <c r="AC92" s="50"/>
      <c r="AD92" s="50"/>
      <c r="AE92" s="50"/>
      <c r="AF92" s="50"/>
      <c r="AG92" s="50"/>
      <c r="AH92" s="50"/>
      <c r="AI92" s="50"/>
      <c r="AJ92" s="50"/>
      <c r="AK92" s="50"/>
      <c r="AL92" s="50"/>
      <c r="AM92" s="50"/>
      <c r="AN92" s="50"/>
      <c r="AO92" s="50"/>
      <c r="AP92" s="50"/>
      <c r="AQ92" s="50"/>
      <c r="AR92" s="50"/>
      <c r="AS92" s="50"/>
      <c r="AT92" s="50"/>
      <c r="AU92" s="50"/>
      <c r="AV92" s="50"/>
      <c r="AW92" s="50"/>
      <c r="AX92" s="50"/>
      <c r="AY92" s="50"/>
      <c r="AZ92" s="50"/>
    </row>
    <row r="93" spans="1:52" ht="13" hidden="1" customHeight="1" outlineLevel="1" x14ac:dyDescent="0.3">
      <c r="A93" s="316"/>
      <c r="B93" s="317"/>
      <c r="C93" s="317" t="s">
        <v>2703</v>
      </c>
      <c r="D93" s="319"/>
      <c r="E93" s="317" t="s">
        <v>2701</v>
      </c>
      <c r="F93" s="319"/>
      <c r="G93" s="317" t="s">
        <v>3230</v>
      </c>
      <c r="H93" s="319">
        <v>156</v>
      </c>
      <c r="I93" s="319" t="s">
        <v>306</v>
      </c>
      <c r="J93" s="319" t="s">
        <v>2636</v>
      </c>
      <c r="K93" s="319" t="s">
        <v>2630</v>
      </c>
      <c r="L93" s="319" t="s">
        <v>2653</v>
      </c>
      <c r="M93" s="319" t="s">
        <v>2631</v>
      </c>
      <c r="N93" s="320">
        <v>2</v>
      </c>
      <c r="O93" s="321">
        <v>43</v>
      </c>
      <c r="P93" s="320">
        <v>16.8</v>
      </c>
      <c r="Q93" s="320">
        <f t="shared" ref="Q93:Q95" si="19">P93*O93</f>
        <v>722.4</v>
      </c>
      <c r="R93" s="320"/>
      <c r="S93" s="321">
        <f t="shared" si="18"/>
        <v>4.6307692307692303</v>
      </c>
      <c r="T93" s="392">
        <v>45597</v>
      </c>
      <c r="U93" s="392">
        <v>45629</v>
      </c>
      <c r="V93" s="392">
        <v>45645</v>
      </c>
      <c r="W93" s="319"/>
      <c r="X93" s="319"/>
      <c r="Y93" s="319"/>
      <c r="Z93" s="319"/>
      <c r="AA93" s="412"/>
      <c r="AB93" s="50"/>
      <c r="AC93" s="50"/>
      <c r="AD93" s="50"/>
      <c r="AE93" s="50"/>
      <c r="AF93" s="50"/>
      <c r="AG93" s="50"/>
      <c r="AH93" s="50"/>
      <c r="AI93" s="50"/>
      <c r="AJ93" s="50"/>
      <c r="AK93" s="50"/>
      <c r="AL93" s="50"/>
      <c r="AM93" s="50"/>
      <c r="AN93" s="50"/>
      <c r="AO93" s="50"/>
      <c r="AP93" s="50"/>
      <c r="AQ93" s="50"/>
      <c r="AR93" s="50"/>
      <c r="AS93" s="50"/>
      <c r="AT93" s="50"/>
      <c r="AU93" s="50"/>
      <c r="AV93" s="50"/>
      <c r="AW93" s="50"/>
      <c r="AX93" s="50"/>
      <c r="AY93" s="50"/>
      <c r="AZ93" s="50"/>
    </row>
    <row r="94" spans="1:52" ht="13" hidden="1" customHeight="1" outlineLevel="1" x14ac:dyDescent="0.3">
      <c r="A94" s="316"/>
      <c r="B94" s="317"/>
      <c r="C94" s="317" t="s">
        <v>2703</v>
      </c>
      <c r="D94" s="319"/>
      <c r="E94" s="317" t="s">
        <v>2638</v>
      </c>
      <c r="F94" s="319"/>
      <c r="G94" s="317" t="s">
        <v>3194</v>
      </c>
      <c r="H94" s="319">
        <v>150</v>
      </c>
      <c r="I94" s="319" t="s">
        <v>306</v>
      </c>
      <c r="J94" s="319" t="s">
        <v>2636</v>
      </c>
      <c r="K94" s="319" t="s">
        <v>2630</v>
      </c>
      <c r="L94" s="319" t="s">
        <v>2653</v>
      </c>
      <c r="M94" s="319" t="s">
        <v>2631</v>
      </c>
      <c r="N94" s="320">
        <v>1</v>
      </c>
      <c r="O94" s="321">
        <v>12</v>
      </c>
      <c r="P94" s="320">
        <v>16.8</v>
      </c>
      <c r="Q94" s="320">
        <f t="shared" si="19"/>
        <v>201.60000000000002</v>
      </c>
      <c r="R94" s="320"/>
      <c r="S94" s="321">
        <f t="shared" ref="S94:S97" si="20">Q94/H94</f>
        <v>1.3440000000000001</v>
      </c>
      <c r="T94" s="392">
        <v>45597</v>
      </c>
      <c r="U94" s="392">
        <v>45629</v>
      </c>
      <c r="V94" s="392">
        <v>45645</v>
      </c>
      <c r="W94" s="319"/>
      <c r="X94" s="319"/>
      <c r="Y94" s="319"/>
      <c r="Z94" s="319"/>
      <c r="AA94" s="412"/>
      <c r="AB94" s="50"/>
      <c r="AC94" s="50"/>
      <c r="AD94" s="50"/>
      <c r="AE94" s="50"/>
      <c r="AF94" s="50"/>
      <c r="AG94" s="50"/>
      <c r="AH94" s="50"/>
      <c r="AI94" s="50"/>
      <c r="AJ94" s="50"/>
      <c r="AK94" s="50"/>
      <c r="AL94" s="50"/>
      <c r="AM94" s="50"/>
      <c r="AN94" s="50"/>
      <c r="AO94" s="50"/>
      <c r="AP94" s="50"/>
      <c r="AQ94" s="50"/>
      <c r="AR94" s="50"/>
      <c r="AS94" s="50"/>
      <c r="AT94" s="50"/>
      <c r="AU94" s="50"/>
      <c r="AV94" s="50"/>
      <c r="AW94" s="50"/>
      <c r="AX94" s="50"/>
      <c r="AY94" s="50"/>
      <c r="AZ94" s="50"/>
    </row>
    <row r="95" spans="1:52" ht="13" hidden="1" customHeight="1" outlineLevel="1" x14ac:dyDescent="0.3">
      <c r="A95" s="316"/>
      <c r="B95" s="317"/>
      <c r="C95" s="317" t="s">
        <v>2704</v>
      </c>
      <c r="D95" s="319"/>
      <c r="E95" s="317" t="s">
        <v>2700</v>
      </c>
      <c r="F95" s="319"/>
      <c r="G95" s="317" t="s">
        <v>3197</v>
      </c>
      <c r="H95" s="319">
        <v>30</v>
      </c>
      <c r="I95" s="319" t="s">
        <v>306</v>
      </c>
      <c r="J95" s="319" t="s">
        <v>2636</v>
      </c>
      <c r="K95" s="319" t="s">
        <v>2630</v>
      </c>
      <c r="L95" s="319" t="s">
        <v>2653</v>
      </c>
      <c r="M95" s="319" t="s">
        <v>2631</v>
      </c>
      <c r="N95" s="320">
        <f>1/90*H95</f>
        <v>0.33333333333333337</v>
      </c>
      <c r="O95" s="321">
        <f>101/5*N95</f>
        <v>6.7333333333333343</v>
      </c>
      <c r="P95" s="320">
        <v>12.8</v>
      </c>
      <c r="Q95" s="320">
        <f t="shared" si="19"/>
        <v>86.186666666666682</v>
      </c>
      <c r="R95" s="320"/>
      <c r="S95" s="321">
        <f t="shared" si="20"/>
        <v>2.8728888888888893</v>
      </c>
      <c r="T95" s="392">
        <v>45625</v>
      </c>
      <c r="U95" s="392"/>
      <c r="V95" s="392"/>
      <c r="W95" s="319"/>
      <c r="X95" s="319"/>
      <c r="Y95" s="319"/>
      <c r="Z95" s="319"/>
      <c r="AA95" s="412"/>
      <c r="AB95" s="50"/>
      <c r="AC95" s="50"/>
      <c r="AD95" s="50"/>
      <c r="AE95" s="50"/>
      <c r="AF95" s="50"/>
      <c r="AG95" s="50"/>
      <c r="AH95" s="50"/>
      <c r="AI95" s="50"/>
      <c r="AJ95" s="50"/>
      <c r="AK95" s="50"/>
      <c r="AL95" s="50"/>
      <c r="AM95" s="50"/>
      <c r="AN95" s="50"/>
      <c r="AO95" s="50"/>
      <c r="AP95" s="50"/>
      <c r="AQ95" s="50"/>
      <c r="AR95" s="50"/>
      <c r="AS95" s="50"/>
      <c r="AT95" s="50"/>
      <c r="AU95" s="50"/>
      <c r="AV95" s="50"/>
      <c r="AW95" s="50"/>
      <c r="AX95" s="50"/>
      <c r="AY95" s="50"/>
      <c r="AZ95" s="50"/>
    </row>
    <row r="96" spans="1:52" ht="13" hidden="1" customHeight="1" outlineLevel="1" x14ac:dyDescent="0.3">
      <c r="A96" s="316"/>
      <c r="B96" s="317"/>
      <c r="C96" s="317" t="s">
        <v>2704</v>
      </c>
      <c r="D96" s="319"/>
      <c r="E96" s="317" t="s">
        <v>2705</v>
      </c>
      <c r="F96" s="319"/>
      <c r="G96" s="317" t="s">
        <v>3198</v>
      </c>
      <c r="H96" s="319">
        <v>60</v>
      </c>
      <c r="I96" s="319" t="s">
        <v>306</v>
      </c>
      <c r="J96" s="319" t="s">
        <v>2636</v>
      </c>
      <c r="K96" s="319" t="s">
        <v>2630</v>
      </c>
      <c r="L96" s="319" t="s">
        <v>2653</v>
      </c>
      <c r="M96" s="319" t="s">
        <v>2631</v>
      </c>
      <c r="N96" s="320">
        <f>1/90*H96</f>
        <v>0.66666666666666674</v>
      </c>
      <c r="O96" s="321">
        <f t="shared" ref="O96:O98" si="21">101/5*N96</f>
        <v>13.466666666666669</v>
      </c>
      <c r="P96" s="320">
        <v>12.8</v>
      </c>
      <c r="Q96" s="320">
        <f t="shared" ref="Q96:Q98" si="22">P96*O96</f>
        <v>172.37333333333336</v>
      </c>
      <c r="R96" s="320"/>
      <c r="S96" s="321">
        <f t="shared" ref="S96" si="23">Q96/H96</f>
        <v>2.8728888888888893</v>
      </c>
      <c r="T96" s="392">
        <v>45625</v>
      </c>
      <c r="U96" s="392"/>
      <c r="V96" s="392"/>
      <c r="W96" s="319"/>
      <c r="X96" s="319"/>
      <c r="Y96" s="319"/>
      <c r="Z96" s="319"/>
      <c r="AA96" s="412"/>
      <c r="AB96" s="50"/>
      <c r="AC96" s="50"/>
      <c r="AD96" s="50"/>
      <c r="AE96" s="50"/>
      <c r="AF96" s="50"/>
      <c r="AG96" s="50"/>
      <c r="AH96" s="50"/>
      <c r="AI96" s="50"/>
      <c r="AJ96" s="50"/>
      <c r="AK96" s="50"/>
      <c r="AL96" s="50"/>
      <c r="AM96" s="50"/>
      <c r="AN96" s="50"/>
      <c r="AO96" s="50"/>
      <c r="AP96" s="50"/>
      <c r="AQ96" s="50"/>
      <c r="AR96" s="50"/>
      <c r="AS96" s="50"/>
      <c r="AT96" s="50"/>
      <c r="AU96" s="50"/>
      <c r="AV96" s="50"/>
      <c r="AW96" s="50"/>
      <c r="AX96" s="50"/>
      <c r="AY96" s="50"/>
      <c r="AZ96" s="50"/>
    </row>
    <row r="97" spans="1:52" ht="13" hidden="1" customHeight="1" outlineLevel="1" x14ac:dyDescent="0.3">
      <c r="A97" s="316"/>
      <c r="B97" s="317"/>
      <c r="C97" s="317" t="s">
        <v>2704</v>
      </c>
      <c r="D97" s="319"/>
      <c r="E97" s="317" t="s">
        <v>2701</v>
      </c>
      <c r="F97" s="319"/>
      <c r="G97" s="317" t="s">
        <v>3230</v>
      </c>
      <c r="H97" s="319">
        <v>234</v>
      </c>
      <c r="I97" s="319" t="s">
        <v>306</v>
      </c>
      <c r="J97" s="319" t="s">
        <v>2636</v>
      </c>
      <c r="K97" s="319" t="s">
        <v>2630</v>
      </c>
      <c r="L97" s="319" t="s">
        <v>2653</v>
      </c>
      <c r="M97" s="319" t="s">
        <v>2631</v>
      </c>
      <c r="N97" s="320">
        <v>3</v>
      </c>
      <c r="O97" s="321">
        <f t="shared" si="21"/>
        <v>60.599999999999994</v>
      </c>
      <c r="P97" s="320">
        <v>12.8</v>
      </c>
      <c r="Q97" s="320">
        <f t="shared" si="22"/>
        <v>775.68</v>
      </c>
      <c r="R97" s="320"/>
      <c r="S97" s="321">
        <f t="shared" si="20"/>
        <v>3.3148717948717947</v>
      </c>
      <c r="T97" s="392">
        <v>45625</v>
      </c>
      <c r="U97" s="392"/>
      <c r="V97" s="392"/>
      <c r="W97" s="319"/>
      <c r="X97" s="319"/>
      <c r="Y97" s="319"/>
      <c r="Z97" s="319"/>
      <c r="AA97" s="412"/>
      <c r="AB97" s="50"/>
      <c r="AC97" s="50"/>
      <c r="AD97" s="50"/>
      <c r="AE97" s="50"/>
      <c r="AF97" s="50"/>
      <c r="AG97" s="50"/>
      <c r="AH97" s="50"/>
      <c r="AI97" s="50"/>
      <c r="AJ97" s="50"/>
      <c r="AK97" s="50"/>
      <c r="AL97" s="50"/>
      <c r="AM97" s="50"/>
      <c r="AN97" s="50"/>
      <c r="AO97" s="50"/>
      <c r="AP97" s="50"/>
      <c r="AQ97" s="50"/>
      <c r="AR97" s="50"/>
      <c r="AS97" s="50"/>
      <c r="AT97" s="50"/>
      <c r="AU97" s="50"/>
      <c r="AV97" s="50"/>
      <c r="AW97" s="50"/>
      <c r="AX97" s="50"/>
      <c r="AY97" s="50"/>
      <c r="AZ97" s="50"/>
    </row>
    <row r="98" spans="1:52" ht="13" hidden="1" customHeight="1" outlineLevel="1" x14ac:dyDescent="0.3">
      <c r="A98" s="316"/>
      <c r="B98" s="317"/>
      <c r="C98" s="317" t="s">
        <v>2704</v>
      </c>
      <c r="D98" s="319"/>
      <c r="E98" s="317" t="s">
        <v>2638</v>
      </c>
      <c r="F98" s="319"/>
      <c r="G98" s="317" t="s">
        <v>3194</v>
      </c>
      <c r="H98" s="319">
        <v>150</v>
      </c>
      <c r="I98" s="319" t="s">
        <v>306</v>
      </c>
      <c r="J98" s="319" t="s">
        <v>2636</v>
      </c>
      <c r="K98" s="319" t="s">
        <v>2630</v>
      </c>
      <c r="L98" s="319" t="s">
        <v>2653</v>
      </c>
      <c r="M98" s="319" t="s">
        <v>2631</v>
      </c>
      <c r="N98" s="320">
        <v>1</v>
      </c>
      <c r="O98" s="321">
        <f t="shared" si="21"/>
        <v>20.2</v>
      </c>
      <c r="P98" s="320">
        <v>12.8</v>
      </c>
      <c r="Q98" s="320">
        <f t="shared" si="22"/>
        <v>258.56</v>
      </c>
      <c r="R98" s="320"/>
      <c r="S98" s="321">
        <f t="shared" ref="S98" si="24">Q98/H98</f>
        <v>1.7237333333333333</v>
      </c>
      <c r="T98" s="392">
        <v>45625</v>
      </c>
      <c r="U98" s="392"/>
      <c r="V98" s="392"/>
      <c r="W98" s="319"/>
      <c r="X98" s="319"/>
      <c r="Y98" s="319"/>
      <c r="Z98" s="319"/>
      <c r="AA98" s="412"/>
      <c r="AB98" s="50"/>
      <c r="AC98" s="50"/>
      <c r="AD98" s="50"/>
      <c r="AE98" s="50"/>
      <c r="AF98" s="50"/>
      <c r="AG98" s="50"/>
      <c r="AH98" s="50"/>
      <c r="AI98" s="50"/>
      <c r="AJ98" s="50"/>
      <c r="AK98" s="50"/>
      <c r="AL98" s="50"/>
      <c r="AM98" s="50"/>
      <c r="AN98" s="50"/>
      <c r="AO98" s="50"/>
      <c r="AP98" s="50"/>
      <c r="AQ98" s="50"/>
      <c r="AR98" s="50"/>
      <c r="AS98" s="50"/>
      <c r="AT98" s="50"/>
      <c r="AU98" s="50"/>
      <c r="AV98" s="50"/>
      <c r="AW98" s="50"/>
      <c r="AX98" s="50"/>
      <c r="AY98" s="50"/>
      <c r="AZ98" s="50"/>
    </row>
    <row r="99" spans="1:52" ht="13" hidden="1" customHeight="1" outlineLevel="1" x14ac:dyDescent="0.3">
      <c r="A99" s="316"/>
      <c r="B99" s="317"/>
      <c r="C99" s="317" t="s">
        <v>2706</v>
      </c>
      <c r="D99" s="319"/>
      <c r="E99" s="498" t="s">
        <v>2701</v>
      </c>
      <c r="F99" s="319"/>
      <c r="G99" s="317" t="s">
        <v>3230</v>
      </c>
      <c r="H99" s="319">
        <v>156</v>
      </c>
      <c r="I99" s="319" t="s">
        <v>306</v>
      </c>
      <c r="J99" s="319" t="s">
        <v>2636</v>
      </c>
      <c r="K99" s="319" t="s">
        <v>2630</v>
      </c>
      <c r="L99" s="319" t="s">
        <v>2653</v>
      </c>
      <c r="M99" s="319" t="s">
        <v>2631</v>
      </c>
      <c r="N99" s="320">
        <v>2</v>
      </c>
      <c r="O99" s="321">
        <v>44</v>
      </c>
      <c r="P99" s="320">
        <v>13.3</v>
      </c>
      <c r="Q99" s="320">
        <f t="shared" ref="Q99:Q106" si="25">P99*O99</f>
        <v>585.20000000000005</v>
      </c>
      <c r="R99" s="320"/>
      <c r="S99" s="321">
        <f t="shared" ref="S99:S104" si="26">Q99/H99</f>
        <v>3.7512820512820517</v>
      </c>
      <c r="T99" s="392">
        <v>45647</v>
      </c>
      <c r="U99" s="319"/>
      <c r="V99" s="319"/>
      <c r="W99" s="319"/>
      <c r="X99" s="319"/>
      <c r="Y99" s="319"/>
      <c r="Z99" s="319"/>
      <c r="AA99" s="412"/>
      <c r="AB99" s="50"/>
      <c r="AC99" s="50"/>
      <c r="AD99" s="50"/>
      <c r="AE99" s="50"/>
      <c r="AF99" s="50"/>
      <c r="AG99" s="50"/>
      <c r="AH99" s="50"/>
      <c r="AI99" s="50"/>
      <c r="AJ99" s="50"/>
      <c r="AK99" s="50"/>
      <c r="AL99" s="50"/>
      <c r="AM99" s="50"/>
      <c r="AN99" s="50"/>
      <c r="AO99" s="50"/>
      <c r="AP99" s="50"/>
      <c r="AQ99" s="50"/>
      <c r="AR99" s="50"/>
      <c r="AS99" s="50"/>
      <c r="AT99" s="50"/>
      <c r="AU99" s="50"/>
      <c r="AV99" s="50"/>
      <c r="AW99" s="50"/>
      <c r="AX99" s="50"/>
      <c r="AY99" s="50"/>
      <c r="AZ99" s="50"/>
    </row>
    <row r="100" spans="1:52" ht="13" hidden="1" customHeight="1" outlineLevel="1" x14ac:dyDescent="0.3">
      <c r="A100" s="316"/>
      <c r="B100" s="317"/>
      <c r="C100" s="317" t="s">
        <v>2706</v>
      </c>
      <c r="D100" s="319"/>
      <c r="E100" s="498" t="s">
        <v>2707</v>
      </c>
      <c r="F100" s="319"/>
      <c r="G100" s="317" t="s">
        <v>3198</v>
      </c>
      <c r="H100" s="319">
        <v>90</v>
      </c>
      <c r="I100" s="319" t="s">
        <v>306</v>
      </c>
      <c r="J100" s="319" t="s">
        <v>2636</v>
      </c>
      <c r="K100" s="319" t="s">
        <v>2630</v>
      </c>
      <c r="L100" s="319" t="s">
        <v>2653</v>
      </c>
      <c r="M100" s="319" t="s">
        <v>2631</v>
      </c>
      <c r="N100" s="320">
        <v>1</v>
      </c>
      <c r="O100" s="321">
        <v>18.5</v>
      </c>
      <c r="P100" s="320">
        <v>13.3</v>
      </c>
      <c r="Q100" s="320">
        <f t="shared" si="25"/>
        <v>246.05</v>
      </c>
      <c r="R100" s="320"/>
      <c r="S100" s="321">
        <f t="shared" si="26"/>
        <v>2.733888888888889</v>
      </c>
      <c r="T100" s="392">
        <v>45647</v>
      </c>
      <c r="U100" s="319"/>
      <c r="V100" s="319"/>
      <c r="W100" s="319"/>
      <c r="X100" s="319"/>
      <c r="Y100" s="319"/>
      <c r="Z100" s="319"/>
      <c r="AA100" s="412"/>
      <c r="AB100" s="50"/>
      <c r="AC100" s="50"/>
      <c r="AD100" s="50"/>
      <c r="AE100" s="50"/>
      <c r="AF100" s="50"/>
      <c r="AG100" s="50"/>
      <c r="AH100" s="50"/>
      <c r="AI100" s="50"/>
      <c r="AJ100" s="50"/>
      <c r="AK100" s="50"/>
      <c r="AL100" s="50"/>
      <c r="AM100" s="50"/>
      <c r="AN100" s="50"/>
      <c r="AO100" s="50"/>
      <c r="AP100" s="50"/>
      <c r="AQ100" s="50"/>
      <c r="AR100" s="50"/>
      <c r="AS100" s="50"/>
      <c r="AT100" s="50"/>
      <c r="AU100" s="50"/>
      <c r="AV100" s="50"/>
      <c r="AW100" s="50"/>
      <c r="AX100" s="50"/>
      <c r="AY100" s="50"/>
      <c r="AZ100" s="50"/>
    </row>
    <row r="101" spans="1:52" ht="13" hidden="1" customHeight="1" outlineLevel="1" x14ac:dyDescent="0.3">
      <c r="A101" s="316"/>
      <c r="B101" s="317"/>
      <c r="C101" s="317" t="s">
        <v>2706</v>
      </c>
      <c r="D101" s="319"/>
      <c r="E101" s="498" t="s">
        <v>2700</v>
      </c>
      <c r="F101" s="319"/>
      <c r="G101" s="317" t="s">
        <v>3197</v>
      </c>
      <c r="H101" s="319">
        <v>90</v>
      </c>
      <c r="I101" s="319" t="s">
        <v>306</v>
      </c>
      <c r="J101" s="319" t="s">
        <v>2636</v>
      </c>
      <c r="K101" s="319" t="s">
        <v>2630</v>
      </c>
      <c r="L101" s="319" t="s">
        <v>2653</v>
      </c>
      <c r="M101" s="319" t="s">
        <v>2631</v>
      </c>
      <c r="N101" s="320">
        <v>1</v>
      </c>
      <c r="O101" s="321">
        <v>18.5</v>
      </c>
      <c r="P101" s="320">
        <v>13.3</v>
      </c>
      <c r="Q101" s="320">
        <f t="shared" si="25"/>
        <v>246.05</v>
      </c>
      <c r="R101" s="320"/>
      <c r="S101" s="321">
        <f t="shared" si="26"/>
        <v>2.733888888888889</v>
      </c>
      <c r="T101" s="392">
        <v>45647</v>
      </c>
      <c r="U101" s="319"/>
      <c r="V101" s="319"/>
      <c r="W101" s="319"/>
      <c r="X101" s="319"/>
      <c r="Y101" s="319"/>
      <c r="Z101" s="319"/>
      <c r="AA101" s="412"/>
      <c r="AB101" s="50"/>
      <c r="AC101" s="50"/>
      <c r="AD101" s="50"/>
      <c r="AE101" s="50"/>
      <c r="AF101" s="50"/>
      <c r="AG101" s="50"/>
      <c r="AH101" s="50"/>
      <c r="AI101" s="50"/>
      <c r="AJ101" s="50"/>
      <c r="AK101" s="50"/>
      <c r="AL101" s="50"/>
      <c r="AM101" s="50"/>
      <c r="AN101" s="50"/>
      <c r="AO101" s="50"/>
      <c r="AP101" s="50"/>
      <c r="AQ101" s="50"/>
      <c r="AR101" s="50"/>
      <c r="AS101" s="50"/>
      <c r="AT101" s="50"/>
      <c r="AU101" s="50"/>
      <c r="AV101" s="50"/>
      <c r="AW101" s="50"/>
      <c r="AX101" s="50"/>
      <c r="AY101" s="50"/>
      <c r="AZ101" s="50"/>
    </row>
    <row r="102" spans="1:52" ht="13" hidden="1" customHeight="1" outlineLevel="1" x14ac:dyDescent="0.3">
      <c r="A102" s="316"/>
      <c r="B102" s="317"/>
      <c r="C102" s="317" t="s">
        <v>2706</v>
      </c>
      <c r="D102" s="319"/>
      <c r="E102" s="317" t="s">
        <v>2638</v>
      </c>
      <c r="F102" s="319"/>
      <c r="G102" s="317" t="s">
        <v>3194</v>
      </c>
      <c r="H102" s="319">
        <v>300</v>
      </c>
      <c r="I102" s="319" t="s">
        <v>306</v>
      </c>
      <c r="J102" s="319" t="s">
        <v>2636</v>
      </c>
      <c r="K102" s="319" t="s">
        <v>2630</v>
      </c>
      <c r="L102" s="319" t="s">
        <v>2653</v>
      </c>
      <c r="M102" s="319" t="s">
        <v>2631</v>
      </c>
      <c r="N102" s="320">
        <v>2</v>
      </c>
      <c r="O102" s="321">
        <v>25</v>
      </c>
      <c r="P102" s="320">
        <v>13.3</v>
      </c>
      <c r="Q102" s="320">
        <f t="shared" si="25"/>
        <v>332.5</v>
      </c>
      <c r="R102" s="320"/>
      <c r="S102" s="321">
        <f t="shared" si="26"/>
        <v>1.1083333333333334</v>
      </c>
      <c r="T102" s="392">
        <v>45647</v>
      </c>
      <c r="U102" s="319"/>
      <c r="V102" s="319"/>
      <c r="W102" s="319"/>
      <c r="X102" s="319"/>
      <c r="Y102" s="319"/>
      <c r="Z102" s="319"/>
      <c r="AA102" s="412"/>
      <c r="AB102" s="50"/>
      <c r="AC102" s="50"/>
      <c r="AD102" s="50"/>
      <c r="AE102" s="50"/>
      <c r="AF102" s="50"/>
      <c r="AG102" s="50"/>
      <c r="AH102" s="50"/>
      <c r="AI102" s="50"/>
      <c r="AJ102" s="50"/>
      <c r="AK102" s="50"/>
      <c r="AL102" s="50"/>
      <c r="AM102" s="50"/>
      <c r="AN102" s="50"/>
      <c r="AO102" s="50"/>
      <c r="AP102" s="50"/>
      <c r="AQ102" s="50"/>
      <c r="AR102" s="50"/>
      <c r="AS102" s="50"/>
      <c r="AT102" s="50"/>
      <c r="AU102" s="50"/>
      <c r="AV102" s="50"/>
      <c r="AW102" s="50"/>
      <c r="AX102" s="50"/>
      <c r="AY102" s="50"/>
      <c r="AZ102" s="50"/>
    </row>
    <row r="103" spans="1:52" s="26" customFormat="1" ht="13" hidden="1" customHeight="1" outlineLevel="1" x14ac:dyDescent="0.25">
      <c r="A103" s="316"/>
      <c r="B103" s="317"/>
      <c r="C103" s="318" t="s">
        <v>2708</v>
      </c>
      <c r="D103" s="319"/>
      <c r="E103" s="498" t="s">
        <v>2709</v>
      </c>
      <c r="F103" s="319"/>
      <c r="G103" s="317" t="s">
        <v>3231</v>
      </c>
      <c r="H103" s="330">
        <v>300</v>
      </c>
      <c r="I103" s="319" t="s">
        <v>306</v>
      </c>
      <c r="J103" s="319" t="s">
        <v>2636</v>
      </c>
      <c r="K103" s="319" t="s">
        <v>2630</v>
      </c>
      <c r="L103" s="319" t="s">
        <v>2653</v>
      </c>
      <c r="M103" s="319" t="s">
        <v>2631</v>
      </c>
      <c r="N103" s="320">
        <v>1</v>
      </c>
      <c r="O103" s="321">
        <v>14</v>
      </c>
      <c r="P103" s="320">
        <v>17.600000000000001</v>
      </c>
      <c r="Q103" s="320">
        <f t="shared" si="25"/>
        <v>246.40000000000003</v>
      </c>
      <c r="R103" s="320"/>
      <c r="S103" s="321">
        <f t="shared" si="26"/>
        <v>0.82133333333333347</v>
      </c>
      <c r="T103" s="392">
        <v>45668</v>
      </c>
      <c r="U103" s="319"/>
      <c r="V103" s="319"/>
      <c r="W103" s="319"/>
      <c r="X103" s="319"/>
      <c r="Y103" s="319"/>
      <c r="Z103" s="319"/>
      <c r="AA103" s="412"/>
      <c r="AB103" s="50"/>
      <c r="AC103" s="50"/>
      <c r="AD103" s="50"/>
      <c r="AE103" s="50"/>
      <c r="AF103" s="50"/>
      <c r="AG103" s="50"/>
      <c r="AH103" s="50"/>
      <c r="AI103" s="50"/>
      <c r="AJ103" s="50"/>
      <c r="AK103" s="50"/>
      <c r="AL103" s="50"/>
      <c r="AM103" s="50"/>
      <c r="AN103" s="50"/>
      <c r="AO103" s="50"/>
      <c r="AP103" s="50"/>
      <c r="AQ103" s="50"/>
      <c r="AR103" s="50"/>
      <c r="AS103" s="50"/>
      <c r="AT103" s="50"/>
      <c r="AU103" s="50"/>
      <c r="AV103" s="50"/>
      <c r="AW103" s="50"/>
      <c r="AX103" s="50"/>
      <c r="AY103" s="50"/>
      <c r="AZ103" s="50"/>
    </row>
    <row r="104" spans="1:52" ht="13" hidden="1" customHeight="1" outlineLevel="1" x14ac:dyDescent="0.3">
      <c r="A104" s="316"/>
      <c r="B104" s="317"/>
      <c r="C104" s="317"/>
      <c r="D104" s="319"/>
      <c r="E104" s="317"/>
      <c r="F104" s="319"/>
      <c r="G104" s="317" t="s">
        <v>2710</v>
      </c>
      <c r="H104" s="319">
        <v>80</v>
      </c>
      <c r="I104" s="319" t="s">
        <v>207</v>
      </c>
      <c r="J104" s="319"/>
      <c r="K104" s="319" t="s">
        <v>2630</v>
      </c>
      <c r="L104" s="319" t="s">
        <v>2653</v>
      </c>
      <c r="M104" s="319" t="s">
        <v>2631</v>
      </c>
      <c r="N104" s="320">
        <v>1</v>
      </c>
      <c r="O104" s="321">
        <f>29/2*N104</f>
        <v>14.5</v>
      </c>
      <c r="P104" s="320">
        <v>18.2</v>
      </c>
      <c r="Q104" s="320">
        <f t="shared" si="25"/>
        <v>263.89999999999998</v>
      </c>
      <c r="R104" s="320"/>
      <c r="S104" s="321">
        <f t="shared" si="26"/>
        <v>3.2987499999999996</v>
      </c>
      <c r="T104" s="392">
        <v>45677</v>
      </c>
      <c r="U104" s="319"/>
      <c r="V104" s="319"/>
      <c r="W104" s="319"/>
      <c r="X104" s="319"/>
      <c r="Y104" s="319"/>
      <c r="Z104" s="319"/>
      <c r="AA104" s="412"/>
      <c r="AB104" s="50"/>
      <c r="AC104" s="50"/>
      <c r="AD104" s="50"/>
      <c r="AE104" s="50"/>
      <c r="AF104" s="50"/>
      <c r="AG104" s="50"/>
      <c r="AH104" s="50"/>
      <c r="AI104" s="50"/>
      <c r="AJ104" s="50"/>
      <c r="AK104" s="50"/>
      <c r="AL104" s="50"/>
      <c r="AM104" s="50"/>
      <c r="AN104" s="50"/>
      <c r="AO104" s="50"/>
      <c r="AP104" s="50"/>
      <c r="AQ104" s="50"/>
      <c r="AR104" s="50"/>
      <c r="AS104" s="50"/>
      <c r="AT104" s="50"/>
      <c r="AU104" s="50"/>
      <c r="AV104" s="50"/>
      <c r="AW104" s="50"/>
      <c r="AX104" s="50"/>
      <c r="AY104" s="50"/>
      <c r="AZ104" s="50"/>
    </row>
    <row r="105" spans="1:52" ht="13" hidden="1" customHeight="1" outlineLevel="1" x14ac:dyDescent="0.3">
      <c r="A105" s="316"/>
      <c r="B105" s="317"/>
      <c r="C105" s="317"/>
      <c r="D105" s="319"/>
      <c r="E105" s="317"/>
      <c r="F105" s="319"/>
      <c r="G105" s="317" t="s">
        <v>2711</v>
      </c>
      <c r="H105" s="319">
        <v>63</v>
      </c>
      <c r="I105" s="319" t="s">
        <v>207</v>
      </c>
      <c r="J105" s="319"/>
      <c r="K105" s="319" t="s">
        <v>2630</v>
      </c>
      <c r="L105" s="319" t="s">
        <v>2653</v>
      </c>
      <c r="M105" s="319" t="s">
        <v>2631</v>
      </c>
      <c r="N105" s="320">
        <v>1</v>
      </c>
      <c r="O105" s="321">
        <f>29/2*N105</f>
        <v>14.5</v>
      </c>
      <c r="P105" s="320">
        <v>18.2</v>
      </c>
      <c r="Q105" s="320">
        <f t="shared" si="25"/>
        <v>263.89999999999998</v>
      </c>
      <c r="R105" s="320"/>
      <c r="S105" s="321">
        <f t="shared" ref="S105:S108" si="27">Q105/H105</f>
        <v>4.1888888888888882</v>
      </c>
      <c r="T105" s="392">
        <v>45677</v>
      </c>
      <c r="U105" s="319"/>
      <c r="V105" s="319"/>
      <c r="W105" s="319"/>
      <c r="X105" s="319"/>
      <c r="Y105" s="319"/>
      <c r="Z105" s="319"/>
      <c r="AA105" s="412"/>
      <c r="AB105" s="50"/>
      <c r="AC105" s="50"/>
      <c r="AD105" s="50"/>
      <c r="AE105" s="50"/>
      <c r="AF105" s="50"/>
      <c r="AG105" s="50"/>
      <c r="AH105" s="50"/>
      <c r="AI105" s="50"/>
      <c r="AJ105" s="50"/>
      <c r="AK105" s="50"/>
      <c r="AL105" s="50"/>
      <c r="AM105" s="50"/>
      <c r="AN105" s="50"/>
      <c r="AO105" s="50"/>
      <c r="AP105" s="50"/>
      <c r="AQ105" s="50"/>
      <c r="AR105" s="50"/>
      <c r="AS105" s="50"/>
      <c r="AT105" s="50"/>
      <c r="AU105" s="50"/>
      <c r="AV105" s="50"/>
      <c r="AW105" s="50"/>
      <c r="AX105" s="50"/>
      <c r="AY105" s="50"/>
      <c r="AZ105" s="50"/>
    </row>
    <row r="106" spans="1:52" ht="13" hidden="1" customHeight="1" outlineLevel="1" x14ac:dyDescent="0.3">
      <c r="A106" s="316"/>
      <c r="B106" s="317"/>
      <c r="C106" s="317"/>
      <c r="D106" s="319"/>
      <c r="E106" s="317" t="s">
        <v>2694</v>
      </c>
      <c r="F106" s="319"/>
      <c r="G106" s="317" t="s">
        <v>3228</v>
      </c>
      <c r="H106" s="531">
        <v>144</v>
      </c>
      <c r="I106" s="319" t="s">
        <v>89</v>
      </c>
      <c r="J106" s="319" t="s">
        <v>2636</v>
      </c>
      <c r="K106" s="319" t="s">
        <v>2680</v>
      </c>
      <c r="L106" s="319" t="s">
        <v>2653</v>
      </c>
      <c r="M106" s="319" t="s">
        <v>89</v>
      </c>
      <c r="N106" s="320">
        <v>4</v>
      </c>
      <c r="O106" s="321">
        <f>113/5*N106</f>
        <v>90.4</v>
      </c>
      <c r="P106" s="320">
        <v>7</v>
      </c>
      <c r="Q106" s="320">
        <f t="shared" si="25"/>
        <v>632.80000000000007</v>
      </c>
      <c r="R106" s="320"/>
      <c r="S106" s="321">
        <f t="shared" si="27"/>
        <v>4.3944444444444448</v>
      </c>
      <c r="T106" s="392">
        <v>45716</v>
      </c>
      <c r="U106" s="319"/>
      <c r="V106" s="319"/>
      <c r="W106" s="319"/>
      <c r="X106" s="319"/>
      <c r="Y106" s="319"/>
      <c r="Z106" s="319"/>
      <c r="AA106" s="412"/>
      <c r="AB106" s="50"/>
      <c r="AC106" s="50"/>
      <c r="AD106" s="50"/>
      <c r="AE106" s="50"/>
      <c r="AF106" s="50"/>
      <c r="AG106" s="50"/>
      <c r="AH106" s="50"/>
      <c r="AI106" s="50"/>
      <c r="AJ106" s="50"/>
      <c r="AK106" s="50"/>
      <c r="AL106" s="50"/>
      <c r="AM106" s="50"/>
      <c r="AN106" s="50"/>
      <c r="AO106" s="50"/>
      <c r="AP106" s="50"/>
      <c r="AQ106" s="50"/>
      <c r="AR106" s="50"/>
      <c r="AS106" s="50"/>
      <c r="AT106" s="50"/>
      <c r="AU106" s="50"/>
      <c r="AV106" s="50"/>
      <c r="AW106" s="50"/>
      <c r="AX106" s="50"/>
      <c r="AY106" s="50"/>
      <c r="AZ106" s="50"/>
    </row>
    <row r="107" spans="1:52" ht="13" hidden="1" customHeight="1" outlineLevel="1" x14ac:dyDescent="0.3">
      <c r="A107" s="316"/>
      <c r="B107" s="317"/>
      <c r="C107" s="317"/>
      <c r="D107" s="319"/>
      <c r="E107" s="317" t="s">
        <v>2695</v>
      </c>
      <c r="F107" s="319"/>
      <c r="G107" s="317" t="s">
        <v>3229</v>
      </c>
      <c r="H107" s="531">
        <v>20</v>
      </c>
      <c r="I107" s="319" t="s">
        <v>89</v>
      </c>
      <c r="J107" s="319" t="s">
        <v>2636</v>
      </c>
      <c r="K107" s="319" t="s">
        <v>2680</v>
      </c>
      <c r="L107" s="319" t="s">
        <v>2653</v>
      </c>
      <c r="M107" s="319" t="s">
        <v>89</v>
      </c>
      <c r="N107" s="320">
        <v>0.6</v>
      </c>
      <c r="O107" s="321">
        <f t="shared" ref="O107:O108" si="28">113/5*N107</f>
        <v>13.56</v>
      </c>
      <c r="P107" s="320">
        <v>7</v>
      </c>
      <c r="Q107" s="320">
        <f t="shared" ref="Q107:Q108" si="29">P107*O107</f>
        <v>94.92</v>
      </c>
      <c r="R107" s="320"/>
      <c r="S107" s="321">
        <f t="shared" si="27"/>
        <v>4.7460000000000004</v>
      </c>
      <c r="T107" s="392">
        <v>45716</v>
      </c>
      <c r="U107" s="319"/>
      <c r="V107" s="319"/>
      <c r="W107" s="319"/>
      <c r="X107" s="319"/>
      <c r="Y107" s="319"/>
      <c r="Z107" s="319"/>
      <c r="AA107" s="412"/>
      <c r="AB107" s="50"/>
      <c r="AC107" s="50"/>
      <c r="AD107" s="50"/>
      <c r="AE107" s="50"/>
      <c r="AF107" s="50"/>
      <c r="AG107" s="50"/>
      <c r="AH107" s="50"/>
      <c r="AI107" s="50"/>
      <c r="AJ107" s="50"/>
      <c r="AK107" s="50"/>
      <c r="AL107" s="50"/>
      <c r="AM107" s="50"/>
      <c r="AN107" s="50"/>
      <c r="AO107" s="50"/>
      <c r="AP107" s="50"/>
      <c r="AQ107" s="50"/>
      <c r="AR107" s="50"/>
      <c r="AS107" s="50"/>
      <c r="AT107" s="50"/>
      <c r="AU107" s="50"/>
      <c r="AV107" s="50"/>
      <c r="AW107" s="50"/>
      <c r="AX107" s="50"/>
      <c r="AY107" s="50"/>
      <c r="AZ107" s="50"/>
    </row>
    <row r="108" spans="1:52" ht="13" hidden="1" customHeight="1" outlineLevel="1" x14ac:dyDescent="0.3">
      <c r="A108" s="316"/>
      <c r="B108" s="317"/>
      <c r="C108" s="317"/>
      <c r="D108" s="319"/>
      <c r="E108" s="317" t="s">
        <v>2712</v>
      </c>
      <c r="F108" s="319"/>
      <c r="G108" s="317" t="s">
        <v>2660</v>
      </c>
      <c r="H108" s="319">
        <v>50</v>
      </c>
      <c r="I108" s="319" t="s">
        <v>89</v>
      </c>
      <c r="J108" s="319" t="s">
        <v>2636</v>
      </c>
      <c r="K108" s="319" t="s">
        <v>2680</v>
      </c>
      <c r="L108" s="319" t="s">
        <v>2653</v>
      </c>
      <c r="M108" s="319" t="s">
        <v>89</v>
      </c>
      <c r="N108" s="320">
        <v>0.4</v>
      </c>
      <c r="O108" s="321">
        <f t="shared" si="28"/>
        <v>9.0400000000000009</v>
      </c>
      <c r="P108" s="320">
        <v>7</v>
      </c>
      <c r="Q108" s="320">
        <f t="shared" si="29"/>
        <v>63.280000000000008</v>
      </c>
      <c r="R108" s="320"/>
      <c r="S108" s="321">
        <f t="shared" si="27"/>
        <v>1.2656000000000001</v>
      </c>
      <c r="T108" s="392">
        <v>45716</v>
      </c>
      <c r="U108" s="319"/>
      <c r="V108" s="319"/>
      <c r="W108" s="319"/>
      <c r="X108" s="319"/>
      <c r="Y108" s="319"/>
      <c r="Z108" s="319"/>
      <c r="AA108" s="412"/>
      <c r="AB108" s="50"/>
      <c r="AC108" s="50"/>
      <c r="AD108" s="50"/>
      <c r="AE108" s="50"/>
      <c r="AF108" s="50"/>
      <c r="AG108" s="50"/>
      <c r="AH108" s="50"/>
      <c r="AI108" s="50"/>
      <c r="AJ108" s="50"/>
      <c r="AK108" s="50"/>
      <c r="AL108" s="50"/>
      <c r="AM108" s="50"/>
      <c r="AN108" s="50"/>
      <c r="AO108" s="50"/>
      <c r="AP108" s="50"/>
      <c r="AQ108" s="50"/>
      <c r="AR108" s="50"/>
      <c r="AS108" s="50"/>
      <c r="AT108" s="50"/>
      <c r="AU108" s="50"/>
      <c r="AV108" s="50"/>
      <c r="AW108" s="50"/>
      <c r="AX108" s="50"/>
      <c r="AY108" s="50"/>
      <c r="AZ108" s="50"/>
    </row>
    <row r="109" spans="1:52" ht="13" hidden="1" customHeight="1" outlineLevel="1" x14ac:dyDescent="0.3">
      <c r="A109" s="316"/>
      <c r="B109" s="317" t="s">
        <v>2713</v>
      </c>
      <c r="C109" s="498" t="s">
        <v>2714</v>
      </c>
      <c r="D109" s="319"/>
      <c r="E109" s="498" t="s">
        <v>2632</v>
      </c>
      <c r="F109" s="531"/>
      <c r="G109" s="498" t="s">
        <v>3232</v>
      </c>
      <c r="H109" s="531">
        <v>16</v>
      </c>
      <c r="I109" s="531" t="s">
        <v>418</v>
      </c>
      <c r="J109" s="319" t="s">
        <v>2715</v>
      </c>
      <c r="K109" s="531" t="s">
        <v>2670</v>
      </c>
      <c r="L109" s="319" t="s">
        <v>2653</v>
      </c>
      <c r="M109" s="319" t="s">
        <v>2631</v>
      </c>
      <c r="N109" s="320">
        <v>0.39024390243902402</v>
      </c>
      <c r="O109" s="321">
        <f>12/1*N109</f>
        <v>4.682926829268288</v>
      </c>
      <c r="P109" s="320">
        <v>28</v>
      </c>
      <c r="Q109" s="320">
        <f t="shared" ref="Q109:Q113" si="30">P109*O109</f>
        <v>131.12195121951206</v>
      </c>
      <c r="R109" s="320"/>
      <c r="S109" s="321">
        <f t="shared" ref="S109:S114" si="31">Q109/H109</f>
        <v>8.1951219512195035</v>
      </c>
      <c r="T109" s="392">
        <v>45766</v>
      </c>
      <c r="U109" s="540">
        <v>45784</v>
      </c>
      <c r="V109" s="395" t="s">
        <v>3233</v>
      </c>
      <c r="W109" s="541"/>
      <c r="X109" s="542"/>
      <c r="Y109" s="414"/>
      <c r="Z109" s="539"/>
      <c r="AA109" s="549"/>
      <c r="AB109" s="53"/>
      <c r="AC109" s="52"/>
      <c r="AD109" s="495"/>
      <c r="AE109" s="52"/>
      <c r="AF109" s="495"/>
      <c r="AG109" s="52"/>
      <c r="AH109" s="495"/>
      <c r="AI109" s="495"/>
      <c r="AJ109" s="50"/>
      <c r="AK109" s="50"/>
      <c r="AL109" s="50"/>
      <c r="AM109" s="50"/>
      <c r="AN109" s="50"/>
      <c r="AO109" s="50"/>
      <c r="AP109" s="50"/>
      <c r="AQ109" s="50"/>
      <c r="AR109" s="50"/>
      <c r="AS109" s="50"/>
      <c r="AT109" s="50"/>
      <c r="AU109" s="50"/>
      <c r="AV109" s="50"/>
      <c r="AW109" s="50"/>
      <c r="AX109" s="50"/>
      <c r="AY109" s="50"/>
      <c r="AZ109" s="50"/>
    </row>
    <row r="110" spans="1:52" ht="13" hidden="1" customHeight="1" outlineLevel="1" x14ac:dyDescent="0.3">
      <c r="A110" s="316"/>
      <c r="B110" s="317" t="s">
        <v>2713</v>
      </c>
      <c r="C110" s="498" t="s">
        <v>2714</v>
      </c>
      <c r="D110" s="319"/>
      <c r="E110" s="498" t="s">
        <v>2716</v>
      </c>
      <c r="F110" s="319"/>
      <c r="G110" s="498" t="s">
        <v>3234</v>
      </c>
      <c r="H110" s="531">
        <v>25</v>
      </c>
      <c r="I110" s="531" t="s">
        <v>418</v>
      </c>
      <c r="J110" s="319" t="s">
        <v>2715</v>
      </c>
      <c r="K110" s="531" t="s">
        <v>2670</v>
      </c>
      <c r="L110" s="319" t="s">
        <v>2653</v>
      </c>
      <c r="M110" s="319" t="s">
        <v>2631</v>
      </c>
      <c r="N110" s="320">
        <v>0.60975609756097604</v>
      </c>
      <c r="O110" s="321">
        <f>12/1*N110</f>
        <v>7.317073170731712</v>
      </c>
      <c r="P110" s="320">
        <v>28</v>
      </c>
      <c r="Q110" s="320">
        <f t="shared" si="30"/>
        <v>204.87804878048794</v>
      </c>
      <c r="R110" s="320"/>
      <c r="S110" s="321">
        <f t="shared" si="31"/>
        <v>8.1951219512195177</v>
      </c>
      <c r="T110" s="392">
        <v>45766</v>
      </c>
      <c r="U110" s="540">
        <v>45784</v>
      </c>
      <c r="V110" s="396"/>
      <c r="W110" s="541"/>
      <c r="X110" s="542"/>
      <c r="Y110" s="414"/>
      <c r="Z110" s="539"/>
      <c r="AA110" s="549"/>
      <c r="AB110" s="53"/>
      <c r="AC110" s="52"/>
      <c r="AD110" s="495"/>
      <c r="AE110" s="52"/>
      <c r="AF110" s="495"/>
      <c r="AG110" s="52"/>
      <c r="AH110" s="495"/>
      <c r="AI110" s="495"/>
      <c r="AJ110" s="50"/>
      <c r="AK110" s="50"/>
      <c r="AL110" s="50"/>
      <c r="AM110" s="50"/>
      <c r="AN110" s="50"/>
      <c r="AO110" s="50"/>
      <c r="AP110" s="50"/>
      <c r="AQ110" s="50"/>
      <c r="AR110" s="50"/>
      <c r="AS110" s="50"/>
      <c r="AT110" s="50"/>
      <c r="AU110" s="50"/>
      <c r="AV110" s="50"/>
      <c r="AW110" s="50"/>
      <c r="AX110" s="50"/>
      <c r="AY110" s="50"/>
      <c r="AZ110" s="50"/>
    </row>
    <row r="111" spans="1:52" ht="13" hidden="1" customHeight="1" outlineLevel="1" x14ac:dyDescent="0.3">
      <c r="A111" s="316"/>
      <c r="B111" s="317" t="s">
        <v>2713</v>
      </c>
      <c r="C111" s="498" t="s">
        <v>2714</v>
      </c>
      <c r="D111" s="319"/>
      <c r="E111" s="498" t="s">
        <v>2632</v>
      </c>
      <c r="F111" s="319"/>
      <c r="G111" s="498" t="s">
        <v>3232</v>
      </c>
      <c r="H111" s="531">
        <v>64</v>
      </c>
      <c r="I111" s="531" t="s">
        <v>418</v>
      </c>
      <c r="J111" s="319" t="s">
        <v>2715</v>
      </c>
      <c r="K111" s="531" t="s">
        <v>2670</v>
      </c>
      <c r="L111" s="319" t="s">
        <v>2653</v>
      </c>
      <c r="M111" s="319" t="s">
        <v>2631</v>
      </c>
      <c r="N111" s="320">
        <v>2</v>
      </c>
      <c r="O111" s="321">
        <v>18</v>
      </c>
      <c r="P111" s="320">
        <v>28</v>
      </c>
      <c r="Q111" s="320">
        <f t="shared" si="30"/>
        <v>504</v>
      </c>
      <c r="R111" s="320"/>
      <c r="S111" s="321">
        <f t="shared" si="31"/>
        <v>7.875</v>
      </c>
      <c r="T111" s="392">
        <v>45766</v>
      </c>
      <c r="U111" s="540">
        <v>45784</v>
      </c>
      <c r="V111" s="396"/>
      <c r="W111" s="541"/>
      <c r="X111" s="542"/>
      <c r="Y111" s="414"/>
      <c r="Z111" s="539"/>
      <c r="AA111" s="549"/>
      <c r="AB111" s="53"/>
      <c r="AC111" s="52"/>
      <c r="AD111" s="495"/>
      <c r="AE111" s="52"/>
      <c r="AF111" s="495"/>
      <c r="AG111" s="52"/>
      <c r="AH111" s="495"/>
      <c r="AI111" s="495"/>
      <c r="AJ111" s="50"/>
      <c r="AK111" s="50"/>
      <c r="AL111" s="50"/>
      <c r="AM111" s="50"/>
      <c r="AN111" s="50"/>
      <c r="AO111" s="50"/>
      <c r="AP111" s="50"/>
      <c r="AQ111" s="50"/>
      <c r="AR111" s="50"/>
      <c r="AS111" s="50"/>
      <c r="AT111" s="50"/>
      <c r="AU111" s="50"/>
      <c r="AV111" s="50"/>
      <c r="AW111" s="50"/>
      <c r="AX111" s="50"/>
      <c r="AY111" s="50"/>
      <c r="AZ111" s="50"/>
    </row>
    <row r="112" spans="1:52" ht="13" hidden="1" customHeight="1" outlineLevel="1" x14ac:dyDescent="0.3">
      <c r="A112" s="316"/>
      <c r="B112" s="317" t="s">
        <v>2713</v>
      </c>
      <c r="C112" s="498" t="s">
        <v>2714</v>
      </c>
      <c r="D112" s="319"/>
      <c r="E112" s="498" t="s">
        <v>2629</v>
      </c>
      <c r="F112" s="319"/>
      <c r="G112" s="498" t="s">
        <v>3235</v>
      </c>
      <c r="H112" s="531">
        <v>60</v>
      </c>
      <c r="I112" s="531" t="s">
        <v>418</v>
      </c>
      <c r="J112" s="319" t="s">
        <v>2715</v>
      </c>
      <c r="K112" s="531" t="s">
        <v>2670</v>
      </c>
      <c r="L112" s="319" t="s">
        <v>2653</v>
      </c>
      <c r="M112" s="319" t="s">
        <v>2631</v>
      </c>
      <c r="N112" s="320">
        <v>0.5</v>
      </c>
      <c r="O112" s="321">
        <v>15.5</v>
      </c>
      <c r="P112" s="320">
        <v>28</v>
      </c>
      <c r="Q112" s="320">
        <f t="shared" si="30"/>
        <v>434</v>
      </c>
      <c r="R112" s="320"/>
      <c r="S112" s="321">
        <f t="shared" si="31"/>
        <v>7.2333333333333334</v>
      </c>
      <c r="T112" s="392">
        <v>45766</v>
      </c>
      <c r="U112" s="540">
        <v>45784</v>
      </c>
      <c r="V112" s="396"/>
      <c r="W112" s="541"/>
      <c r="X112" s="542"/>
      <c r="Y112" s="414"/>
      <c r="Z112" s="539"/>
      <c r="AA112" s="549"/>
      <c r="AB112" s="53"/>
      <c r="AC112" s="52"/>
      <c r="AD112" s="495"/>
      <c r="AE112" s="52"/>
      <c r="AF112" s="495"/>
      <c r="AG112" s="52"/>
      <c r="AH112" s="495"/>
      <c r="AI112" s="495"/>
      <c r="AJ112" s="50"/>
      <c r="AK112" s="50"/>
      <c r="AL112" s="50"/>
      <c r="AM112" s="50"/>
      <c r="AN112" s="50"/>
      <c r="AO112" s="50"/>
      <c r="AP112" s="50"/>
      <c r="AQ112" s="50"/>
      <c r="AR112" s="50"/>
      <c r="AS112" s="50"/>
      <c r="AT112" s="50"/>
      <c r="AU112" s="50"/>
      <c r="AV112" s="50"/>
      <c r="AW112" s="50"/>
      <c r="AX112" s="50"/>
      <c r="AY112" s="50"/>
      <c r="AZ112" s="50"/>
    </row>
    <row r="113" spans="1:52" ht="13" hidden="1" customHeight="1" outlineLevel="1" x14ac:dyDescent="0.3">
      <c r="A113" s="316"/>
      <c r="B113" s="317" t="s">
        <v>2713</v>
      </c>
      <c r="C113" s="498" t="s">
        <v>2714</v>
      </c>
      <c r="D113" s="319"/>
      <c r="E113" s="498" t="s">
        <v>2717</v>
      </c>
      <c r="F113" s="319"/>
      <c r="G113" s="498" t="s">
        <v>3236</v>
      </c>
      <c r="H113" s="531">
        <v>60</v>
      </c>
      <c r="I113" s="531" t="s">
        <v>418</v>
      </c>
      <c r="J113" s="319" t="s">
        <v>2715</v>
      </c>
      <c r="K113" s="531" t="s">
        <v>2670</v>
      </c>
      <c r="L113" s="319" t="s">
        <v>2653</v>
      </c>
      <c r="M113" s="319" t="s">
        <v>2631</v>
      </c>
      <c r="N113" s="320">
        <v>0.5</v>
      </c>
      <c r="O113" s="321">
        <v>15.5</v>
      </c>
      <c r="P113" s="320">
        <v>28</v>
      </c>
      <c r="Q113" s="320">
        <f t="shared" si="30"/>
        <v>434</v>
      </c>
      <c r="R113" s="320"/>
      <c r="S113" s="321">
        <f t="shared" si="31"/>
        <v>7.2333333333333334</v>
      </c>
      <c r="T113" s="392">
        <v>45766</v>
      </c>
      <c r="U113" s="540">
        <v>45784</v>
      </c>
      <c r="V113" s="396"/>
      <c r="W113" s="541"/>
      <c r="X113" s="542"/>
      <c r="Y113" s="414"/>
      <c r="Z113" s="539"/>
      <c r="AA113" s="549"/>
      <c r="AB113" s="53"/>
      <c r="AC113" s="52"/>
      <c r="AD113" s="495"/>
      <c r="AE113" s="52"/>
      <c r="AF113" s="495"/>
      <c r="AG113" s="52"/>
      <c r="AH113" s="495"/>
      <c r="AI113" s="495"/>
      <c r="AJ113" s="50"/>
      <c r="AK113" s="50"/>
      <c r="AL113" s="50"/>
      <c r="AM113" s="50"/>
      <c r="AN113" s="50"/>
      <c r="AO113" s="50"/>
      <c r="AP113" s="50"/>
      <c r="AQ113" s="50"/>
      <c r="AR113" s="50"/>
      <c r="AS113" s="50"/>
      <c r="AT113" s="50"/>
      <c r="AU113" s="50"/>
      <c r="AV113" s="50"/>
      <c r="AW113" s="50"/>
      <c r="AX113" s="50"/>
      <c r="AY113" s="50"/>
      <c r="AZ113" s="50"/>
    </row>
    <row r="114" spans="1:52" s="29" customFormat="1" ht="13" hidden="1" customHeight="1" outlineLevel="1" x14ac:dyDescent="0.25">
      <c r="A114" s="499"/>
      <c r="B114" s="500"/>
      <c r="C114" s="334" t="s">
        <v>2718</v>
      </c>
      <c r="D114" s="501"/>
      <c r="E114" s="500" t="s">
        <v>2719</v>
      </c>
      <c r="F114" s="501"/>
      <c r="G114" s="335" t="s">
        <v>3237</v>
      </c>
      <c r="H114" s="501">
        <v>300</v>
      </c>
      <c r="I114" s="501" t="s">
        <v>306</v>
      </c>
      <c r="J114" s="501" t="s">
        <v>2715</v>
      </c>
      <c r="K114" s="501" t="s">
        <v>2670</v>
      </c>
      <c r="L114" s="501" t="s">
        <v>2653</v>
      </c>
      <c r="M114" s="336" t="s">
        <v>2631</v>
      </c>
      <c r="N114" s="502">
        <v>2</v>
      </c>
      <c r="O114" s="503">
        <v>24</v>
      </c>
      <c r="P114" s="502">
        <f>23.7-6</f>
        <v>17.7</v>
      </c>
      <c r="Q114" s="337">
        <f>P114*O114+24</f>
        <v>448.79999999999995</v>
      </c>
      <c r="R114" s="337"/>
      <c r="S114" s="386">
        <f t="shared" si="31"/>
        <v>1.4959999999999998</v>
      </c>
      <c r="T114" s="397">
        <v>45766</v>
      </c>
      <c r="U114" s="543">
        <v>45795</v>
      </c>
      <c r="V114" s="501"/>
      <c r="W114" s="396"/>
      <c r="X114" s="541"/>
      <c r="Y114" s="542"/>
      <c r="Z114" s="414"/>
      <c r="AA114" s="550" t="s">
        <v>3238</v>
      </c>
      <c r="AB114" s="53"/>
      <c r="AC114" s="53"/>
      <c r="AD114" s="53"/>
      <c r="AE114" s="52"/>
      <c r="AF114" s="495"/>
      <c r="AG114" s="52"/>
      <c r="AH114" s="495"/>
      <c r="AI114" s="52"/>
      <c r="AJ114" s="495"/>
      <c r="AK114" s="495"/>
      <c r="AL114" s="56"/>
      <c r="AM114" s="53"/>
      <c r="AN114" s="53"/>
      <c r="AO114" s="50"/>
      <c r="AP114" s="495"/>
      <c r="AQ114" s="496"/>
      <c r="AR114" s="496"/>
      <c r="AS114" s="496"/>
      <c r="AT114" s="496"/>
      <c r="AU114" s="53"/>
      <c r="AV114" s="53"/>
      <c r="AW114" s="53"/>
      <c r="AX114" s="53"/>
      <c r="AY114" s="53"/>
      <c r="AZ114" s="53"/>
    </row>
    <row r="115" spans="1:52" ht="13" hidden="1" customHeight="1" outlineLevel="1" x14ac:dyDescent="0.3">
      <c r="A115" s="338" t="s">
        <v>2991</v>
      </c>
      <c r="B115" s="339" t="s">
        <v>2720</v>
      </c>
      <c r="C115" s="339"/>
      <c r="D115" s="342"/>
      <c r="E115" s="340" t="s">
        <v>2644</v>
      </c>
      <c r="F115" s="342" t="s">
        <v>2721</v>
      </c>
      <c r="G115" s="341" t="s">
        <v>3239</v>
      </c>
      <c r="H115" s="384">
        <v>72</v>
      </c>
      <c r="I115" s="384" t="s">
        <v>2667</v>
      </c>
      <c r="J115" s="342" t="s">
        <v>2636</v>
      </c>
      <c r="K115" s="512" t="s">
        <v>2670</v>
      </c>
      <c r="L115" s="342" t="s">
        <v>2653</v>
      </c>
      <c r="M115" s="342" t="s">
        <v>2631</v>
      </c>
      <c r="N115" s="343">
        <v>2</v>
      </c>
      <c r="O115" s="344">
        <f>69/3*N115</f>
        <v>46</v>
      </c>
      <c r="P115" s="343">
        <v>7.5</v>
      </c>
      <c r="Q115" s="345">
        <f>P115*O115+350/3*N115</f>
        <v>578.33333333333337</v>
      </c>
      <c r="R115" s="345"/>
      <c r="S115" s="387">
        <f t="shared" ref="S115:S116" si="32">Q115/H115</f>
        <v>8.0324074074074083</v>
      </c>
      <c r="T115" s="398">
        <v>45849</v>
      </c>
      <c r="U115" s="544">
        <v>45894</v>
      </c>
      <c r="V115" s="399">
        <v>45910</v>
      </c>
      <c r="W115" s="319"/>
      <c r="X115" s="319"/>
      <c r="Y115" s="319"/>
      <c r="Z115" s="319"/>
      <c r="AA115" s="550"/>
      <c r="AB115" s="50"/>
      <c r="AC115" s="50"/>
      <c r="AD115" s="50"/>
      <c r="AE115" s="50"/>
      <c r="AF115" s="50"/>
      <c r="AG115" s="50"/>
      <c r="AH115" s="50"/>
      <c r="AI115" s="50"/>
      <c r="AJ115" s="50"/>
      <c r="AK115" s="50"/>
      <c r="AL115" s="50"/>
      <c r="AM115" s="50"/>
      <c r="AN115" s="50"/>
      <c r="AO115" s="50"/>
      <c r="AP115" s="50"/>
      <c r="AQ115" s="50"/>
      <c r="AR115" s="50"/>
      <c r="AS115" s="50"/>
      <c r="AT115" s="50"/>
      <c r="AU115" s="50"/>
      <c r="AV115" s="50"/>
      <c r="AW115" s="50"/>
      <c r="AX115" s="50"/>
      <c r="AY115" s="50"/>
      <c r="AZ115" s="50"/>
    </row>
    <row r="116" spans="1:52" ht="13" hidden="1" customHeight="1" outlineLevel="1" x14ac:dyDescent="0.3">
      <c r="A116" s="338" t="s">
        <v>2991</v>
      </c>
      <c r="B116" s="339" t="s">
        <v>2720</v>
      </c>
      <c r="C116" s="339"/>
      <c r="D116" s="342"/>
      <c r="E116" s="340" t="s">
        <v>2645</v>
      </c>
      <c r="F116" s="342" t="s">
        <v>2721</v>
      </c>
      <c r="G116" s="341" t="s">
        <v>3240</v>
      </c>
      <c r="H116" s="384">
        <v>36</v>
      </c>
      <c r="I116" s="384" t="s">
        <v>2667</v>
      </c>
      <c r="J116" s="342" t="s">
        <v>2636</v>
      </c>
      <c r="K116" s="512" t="s">
        <v>2670</v>
      </c>
      <c r="L116" s="342" t="s">
        <v>2653</v>
      </c>
      <c r="M116" s="342" t="s">
        <v>2631</v>
      </c>
      <c r="N116" s="343">
        <v>1</v>
      </c>
      <c r="O116" s="344">
        <f>69/3*N116</f>
        <v>23</v>
      </c>
      <c r="P116" s="343">
        <v>7.5</v>
      </c>
      <c r="Q116" s="345">
        <f>P116*O116+350/3*N116</f>
        <v>289.16666666666669</v>
      </c>
      <c r="R116" s="345"/>
      <c r="S116" s="387">
        <f t="shared" si="32"/>
        <v>8.0324074074074083</v>
      </c>
      <c r="T116" s="398">
        <v>45849</v>
      </c>
      <c r="U116" s="544">
        <v>45894</v>
      </c>
      <c r="V116" s="399">
        <v>45910</v>
      </c>
      <c r="W116" s="319"/>
      <c r="X116" s="319"/>
      <c r="Y116" s="319"/>
      <c r="Z116" s="319"/>
      <c r="AA116" s="550"/>
      <c r="AB116" s="50"/>
      <c r="AC116" s="50"/>
      <c r="AD116" s="50"/>
      <c r="AE116" s="50"/>
      <c r="AF116" s="50"/>
      <c r="AG116" s="50"/>
      <c r="AH116" s="50"/>
      <c r="AI116" s="50"/>
      <c r="AJ116" s="50"/>
      <c r="AK116" s="50"/>
      <c r="AL116" s="50"/>
      <c r="AM116" s="50"/>
      <c r="AN116" s="50"/>
      <c r="AO116" s="50"/>
      <c r="AP116" s="50"/>
      <c r="AQ116" s="50"/>
      <c r="AR116" s="50"/>
      <c r="AS116" s="50"/>
      <c r="AT116" s="50"/>
      <c r="AU116" s="50"/>
      <c r="AV116" s="50"/>
      <c r="AW116" s="50"/>
      <c r="AX116" s="50"/>
      <c r="AY116" s="50"/>
      <c r="AZ116" s="50"/>
    </row>
    <row r="117" spans="1:52" s="48" customFormat="1" ht="13" hidden="1" customHeight="1" outlineLevel="1" x14ac:dyDescent="0.3">
      <c r="A117" s="346" t="s">
        <v>2991</v>
      </c>
      <c r="B117" s="505"/>
      <c r="C117" s="317"/>
      <c r="D117" s="532"/>
      <c r="E117" s="347" t="s">
        <v>163</v>
      </c>
      <c r="F117" s="532" t="s">
        <v>2721</v>
      </c>
      <c r="G117" s="326" t="s">
        <v>2722</v>
      </c>
      <c r="H117" s="385">
        <v>40</v>
      </c>
      <c r="I117" s="385" t="s">
        <v>2667</v>
      </c>
      <c r="J117" s="319" t="s">
        <v>2636</v>
      </c>
      <c r="K117" s="531" t="s">
        <v>2670</v>
      </c>
      <c r="L117" s="319" t="s">
        <v>2653</v>
      </c>
      <c r="M117" s="319" t="s">
        <v>2631</v>
      </c>
      <c r="N117" s="348">
        <v>1</v>
      </c>
      <c r="O117" s="349">
        <f>38/3*N117</f>
        <v>12.666666666666666</v>
      </c>
      <c r="P117" s="348">
        <v>7.5</v>
      </c>
      <c r="Q117" s="320">
        <f>P117*O117</f>
        <v>95</v>
      </c>
      <c r="R117" s="320"/>
      <c r="S117" s="321">
        <f t="shared" ref="S117:S121" si="33">Q117/H117</f>
        <v>2.375</v>
      </c>
      <c r="T117" s="392">
        <v>45849</v>
      </c>
      <c r="U117" s="539">
        <v>45894</v>
      </c>
      <c r="V117" s="400">
        <v>45910</v>
      </c>
      <c r="W117" s="532"/>
      <c r="X117" s="532"/>
      <c r="Y117" s="532"/>
      <c r="Z117" s="532"/>
      <c r="AA117" s="550"/>
      <c r="AB117" s="494"/>
      <c r="AC117" s="494"/>
      <c r="AD117" s="497"/>
      <c r="AE117" s="494"/>
      <c r="AF117" s="494"/>
      <c r="AG117" s="494"/>
      <c r="AH117" s="494"/>
      <c r="AI117" s="494"/>
      <c r="AJ117" s="494"/>
      <c r="AK117" s="494"/>
      <c r="AL117" s="494"/>
      <c r="AM117" s="494"/>
      <c r="AN117" s="494"/>
      <c r="AO117" s="50"/>
      <c r="AP117" s="494"/>
      <c r="AQ117" s="494"/>
      <c r="AR117" s="494"/>
      <c r="AS117" s="494"/>
      <c r="AT117" s="494"/>
      <c r="AU117" s="494"/>
      <c r="AV117" s="494"/>
      <c r="AW117" s="494"/>
      <c r="AX117" s="494"/>
      <c r="AY117" s="494"/>
      <c r="AZ117" s="494"/>
    </row>
    <row r="118" spans="1:52" ht="13" hidden="1" customHeight="1" outlineLevel="1" x14ac:dyDescent="0.3">
      <c r="A118" s="346" t="s">
        <v>2991</v>
      </c>
      <c r="B118" s="505"/>
      <c r="C118" s="317"/>
      <c r="D118" s="319"/>
      <c r="E118" s="347" t="s">
        <v>165</v>
      </c>
      <c r="F118" s="532" t="s">
        <v>2721</v>
      </c>
      <c r="G118" s="326" t="s">
        <v>2722</v>
      </c>
      <c r="H118" s="385">
        <v>40</v>
      </c>
      <c r="I118" s="385" t="s">
        <v>2667</v>
      </c>
      <c r="J118" s="319" t="s">
        <v>2636</v>
      </c>
      <c r="K118" s="531" t="s">
        <v>2670</v>
      </c>
      <c r="L118" s="319" t="s">
        <v>2653</v>
      </c>
      <c r="M118" s="319" t="s">
        <v>2631</v>
      </c>
      <c r="N118" s="348">
        <v>1</v>
      </c>
      <c r="O118" s="349">
        <f t="shared" ref="O118:O122" si="34">38/3*N118</f>
        <v>12.666666666666666</v>
      </c>
      <c r="P118" s="348">
        <v>7.5</v>
      </c>
      <c r="Q118" s="320">
        <f t="shared" ref="Q118:Q128" si="35">P118*O118</f>
        <v>95</v>
      </c>
      <c r="R118" s="320"/>
      <c r="S118" s="321">
        <f t="shared" si="33"/>
        <v>2.375</v>
      </c>
      <c r="T118" s="392">
        <v>45849</v>
      </c>
      <c r="U118" s="539">
        <v>45894</v>
      </c>
      <c r="V118" s="400">
        <v>45910</v>
      </c>
      <c r="W118" s="319"/>
      <c r="X118" s="319"/>
      <c r="Y118" s="319"/>
      <c r="Z118" s="319"/>
      <c r="AA118" s="550"/>
      <c r="AB118" s="50"/>
      <c r="AC118" s="50"/>
      <c r="AD118" s="50"/>
      <c r="AE118" s="50"/>
      <c r="AF118" s="50"/>
      <c r="AG118" s="50"/>
      <c r="AH118" s="50"/>
      <c r="AI118" s="50"/>
      <c r="AJ118" s="50"/>
      <c r="AK118" s="50"/>
      <c r="AL118" s="50"/>
      <c r="AM118" s="50"/>
      <c r="AN118" s="50"/>
      <c r="AO118" s="50"/>
      <c r="AP118" s="50"/>
      <c r="AQ118" s="50"/>
      <c r="AR118" s="50"/>
      <c r="AS118" s="50"/>
      <c r="AT118" s="50"/>
      <c r="AU118" s="50"/>
      <c r="AV118" s="50"/>
      <c r="AW118" s="50"/>
      <c r="AX118" s="50"/>
      <c r="AY118" s="50"/>
      <c r="AZ118" s="50"/>
    </row>
    <row r="119" spans="1:52" s="47" customFormat="1" ht="13" hidden="1" customHeight="1" outlineLevel="1" x14ac:dyDescent="0.3">
      <c r="A119" s="350" t="s">
        <v>2991</v>
      </c>
      <c r="B119" s="506" t="s">
        <v>2723</v>
      </c>
      <c r="C119" s="351"/>
      <c r="D119" s="353"/>
      <c r="E119" s="352" t="s">
        <v>98</v>
      </c>
      <c r="F119" s="533" t="s">
        <v>2724</v>
      </c>
      <c r="G119" s="351" t="s">
        <v>3241</v>
      </c>
      <c r="H119" s="353">
        <v>3</v>
      </c>
      <c r="I119" s="353" t="s">
        <v>2725</v>
      </c>
      <c r="J119" s="353" t="s">
        <v>2674</v>
      </c>
      <c r="K119" s="537" t="s">
        <v>2726</v>
      </c>
      <c r="L119" s="353" t="s">
        <v>2727</v>
      </c>
      <c r="M119" s="353" t="s">
        <v>2676</v>
      </c>
      <c r="N119" s="354">
        <v>0.25</v>
      </c>
      <c r="O119" s="355">
        <f>38</f>
        <v>38</v>
      </c>
      <c r="P119" s="354">
        <v>7.5</v>
      </c>
      <c r="Q119" s="354">
        <f t="shared" si="35"/>
        <v>285</v>
      </c>
      <c r="R119" s="354"/>
      <c r="S119" s="355">
        <f t="shared" si="33"/>
        <v>95</v>
      </c>
      <c r="T119" s="401">
        <v>45849</v>
      </c>
      <c r="U119" s="545">
        <v>45894</v>
      </c>
      <c r="V119" s="402">
        <v>45910</v>
      </c>
      <c r="W119" s="330"/>
      <c r="X119" s="330"/>
      <c r="Y119" s="330"/>
      <c r="Z119" s="330"/>
      <c r="AA119" s="551"/>
      <c r="AB119" s="54"/>
      <c r="AC119" s="54"/>
      <c r="AD119" s="54"/>
      <c r="AE119" s="54"/>
      <c r="AF119" s="54"/>
      <c r="AG119" s="54"/>
      <c r="AH119" s="54"/>
      <c r="AI119" s="54"/>
      <c r="AJ119" s="54"/>
      <c r="AK119" s="54"/>
      <c r="AL119" s="54"/>
      <c r="AM119" s="54"/>
      <c r="AN119" s="54"/>
      <c r="AO119" s="54"/>
      <c r="AP119" s="54"/>
      <c r="AQ119" s="54"/>
      <c r="AR119" s="54"/>
      <c r="AS119" s="54"/>
      <c r="AT119" s="54"/>
      <c r="AU119" s="54"/>
      <c r="AV119" s="54"/>
      <c r="AW119" s="54"/>
      <c r="AX119" s="54"/>
      <c r="AY119" s="54"/>
      <c r="AZ119" s="54"/>
    </row>
    <row r="120" spans="1:52" s="47" customFormat="1" ht="13" hidden="1" customHeight="1" outlineLevel="1" x14ac:dyDescent="0.3">
      <c r="A120" s="328" t="s">
        <v>2991</v>
      </c>
      <c r="B120" s="507"/>
      <c r="C120" s="329"/>
      <c r="D120" s="330"/>
      <c r="E120" s="356" t="s">
        <v>100</v>
      </c>
      <c r="F120" s="534" t="s">
        <v>2724</v>
      </c>
      <c r="G120" s="329" t="s">
        <v>3241</v>
      </c>
      <c r="H120" s="330">
        <v>5</v>
      </c>
      <c r="I120" s="330" t="s">
        <v>2725</v>
      </c>
      <c r="J120" s="330" t="s">
        <v>2674</v>
      </c>
      <c r="K120" s="538" t="s">
        <v>2726</v>
      </c>
      <c r="L120" s="330" t="s">
        <v>2727</v>
      </c>
      <c r="M120" s="330" t="s">
        <v>2676</v>
      </c>
      <c r="N120" s="333">
        <v>0.25</v>
      </c>
      <c r="O120" s="332">
        <f t="shared" si="34"/>
        <v>3.1666666666666665</v>
      </c>
      <c r="P120" s="333">
        <v>7.5</v>
      </c>
      <c r="Q120" s="333">
        <f t="shared" si="35"/>
        <v>23.75</v>
      </c>
      <c r="R120" s="333"/>
      <c r="S120" s="332">
        <f t="shared" si="33"/>
        <v>4.75</v>
      </c>
      <c r="T120" s="394">
        <v>45849</v>
      </c>
      <c r="U120" s="546">
        <v>45894</v>
      </c>
      <c r="V120" s="403">
        <v>45910</v>
      </c>
      <c r="W120" s="330"/>
      <c r="X120" s="330"/>
      <c r="Y120" s="330"/>
      <c r="Z120" s="330"/>
      <c r="AA120" s="551"/>
      <c r="AB120" s="54"/>
      <c r="AC120" s="54"/>
      <c r="AD120" s="54"/>
      <c r="AE120" s="54"/>
      <c r="AF120" s="54"/>
      <c r="AG120" s="54"/>
      <c r="AH120" s="54"/>
      <c r="AI120" s="54"/>
      <c r="AJ120" s="54"/>
      <c r="AK120" s="54"/>
      <c r="AL120" s="54"/>
      <c r="AM120" s="54"/>
      <c r="AN120" s="54"/>
      <c r="AO120" s="54"/>
      <c r="AP120" s="54"/>
      <c r="AQ120" s="54"/>
      <c r="AR120" s="54"/>
      <c r="AS120" s="54"/>
      <c r="AT120" s="54"/>
      <c r="AU120" s="54"/>
      <c r="AV120" s="54"/>
      <c r="AW120" s="54"/>
      <c r="AX120" s="54"/>
      <c r="AY120" s="54"/>
      <c r="AZ120" s="54"/>
    </row>
    <row r="121" spans="1:52" s="47" customFormat="1" ht="13" hidden="1" customHeight="1" outlineLevel="1" x14ac:dyDescent="0.3">
      <c r="A121" s="328" t="s">
        <v>2991</v>
      </c>
      <c r="B121" s="507"/>
      <c r="C121" s="329"/>
      <c r="D121" s="330"/>
      <c r="E121" s="356" t="s">
        <v>2728</v>
      </c>
      <c r="F121" s="534" t="s">
        <v>2724</v>
      </c>
      <c r="G121" s="329" t="s">
        <v>2729</v>
      </c>
      <c r="H121" s="330">
        <v>50</v>
      </c>
      <c r="I121" s="330" t="s">
        <v>2725</v>
      </c>
      <c r="J121" s="330" t="s">
        <v>2674</v>
      </c>
      <c r="K121" s="538" t="s">
        <v>2726</v>
      </c>
      <c r="L121" s="330" t="s">
        <v>2727</v>
      </c>
      <c r="M121" s="330" t="s">
        <v>2676</v>
      </c>
      <c r="N121" s="333">
        <v>0.25</v>
      </c>
      <c r="O121" s="332">
        <f t="shared" si="34"/>
        <v>3.1666666666666665</v>
      </c>
      <c r="P121" s="333">
        <v>7.5</v>
      </c>
      <c r="Q121" s="333">
        <f t="shared" si="35"/>
        <v>23.75</v>
      </c>
      <c r="R121" s="333"/>
      <c r="S121" s="332">
        <f t="shared" si="33"/>
        <v>0.47499999999999998</v>
      </c>
      <c r="T121" s="394">
        <v>45849</v>
      </c>
      <c r="U121" s="546">
        <v>45894</v>
      </c>
      <c r="V121" s="403">
        <v>45910</v>
      </c>
      <c r="W121" s="330"/>
      <c r="X121" s="330"/>
      <c r="Y121" s="330"/>
      <c r="Z121" s="330"/>
      <c r="AA121" s="551"/>
      <c r="AB121" s="54"/>
      <c r="AC121" s="54"/>
      <c r="AD121" s="54"/>
      <c r="AE121" s="54"/>
      <c r="AF121" s="54"/>
      <c r="AG121" s="54"/>
      <c r="AH121" s="54"/>
      <c r="AI121" s="54"/>
      <c r="AJ121" s="54"/>
      <c r="AK121" s="54"/>
      <c r="AL121" s="54"/>
      <c r="AM121" s="54"/>
      <c r="AN121" s="54"/>
      <c r="AO121" s="54"/>
      <c r="AP121" s="54"/>
      <c r="AQ121" s="54"/>
      <c r="AR121" s="54"/>
      <c r="AS121" s="54"/>
      <c r="AT121" s="54"/>
      <c r="AU121" s="54"/>
      <c r="AV121" s="54"/>
      <c r="AW121" s="54"/>
      <c r="AX121" s="54"/>
      <c r="AY121" s="54"/>
      <c r="AZ121" s="54"/>
    </row>
    <row r="122" spans="1:52" ht="13" hidden="1" customHeight="1" outlineLevel="1" x14ac:dyDescent="0.3">
      <c r="A122" s="346" t="s">
        <v>2991</v>
      </c>
      <c r="B122" s="505"/>
      <c r="C122" s="317"/>
      <c r="D122" s="319"/>
      <c r="E122" s="347" t="s">
        <v>163</v>
      </c>
      <c r="F122" s="532" t="s">
        <v>2721</v>
      </c>
      <c r="G122" s="326" t="s">
        <v>2722</v>
      </c>
      <c r="H122" s="385">
        <v>20</v>
      </c>
      <c r="I122" s="385" t="s">
        <v>2667</v>
      </c>
      <c r="J122" s="319" t="s">
        <v>2636</v>
      </c>
      <c r="K122" s="531" t="s">
        <v>2670</v>
      </c>
      <c r="L122" s="319" t="s">
        <v>2653</v>
      </c>
      <c r="M122" s="319" t="s">
        <v>2631</v>
      </c>
      <c r="N122" s="348">
        <v>0.25</v>
      </c>
      <c r="O122" s="349">
        <f t="shared" si="34"/>
        <v>3.1666666666666665</v>
      </c>
      <c r="P122" s="348">
        <v>7.5</v>
      </c>
      <c r="Q122" s="320">
        <f t="shared" si="35"/>
        <v>23.75</v>
      </c>
      <c r="R122" s="320"/>
      <c r="S122" s="321">
        <f t="shared" ref="S122:S134" si="36">Q122/H122</f>
        <v>1.1875</v>
      </c>
      <c r="T122" s="392">
        <v>45849</v>
      </c>
      <c r="U122" s="539">
        <v>45894</v>
      </c>
      <c r="V122" s="400">
        <v>45910</v>
      </c>
      <c r="W122" s="319"/>
      <c r="X122" s="319"/>
      <c r="Y122" s="319"/>
      <c r="Z122" s="319"/>
      <c r="AA122" s="550"/>
      <c r="AB122" s="50"/>
      <c r="AC122" s="50"/>
      <c r="AD122" s="50"/>
      <c r="AE122" s="50"/>
      <c r="AF122" s="50"/>
      <c r="AG122" s="50"/>
      <c r="AH122" s="50"/>
      <c r="AI122" s="50"/>
      <c r="AJ122" s="50"/>
      <c r="AK122" s="50"/>
      <c r="AL122" s="50"/>
      <c r="AM122" s="50"/>
      <c r="AN122" s="50"/>
      <c r="AO122" s="50"/>
      <c r="AP122" s="50"/>
      <c r="AQ122" s="50"/>
      <c r="AR122" s="50"/>
      <c r="AS122" s="50"/>
      <c r="AT122" s="50"/>
      <c r="AU122" s="50"/>
      <c r="AV122" s="50"/>
      <c r="AW122" s="50"/>
      <c r="AX122" s="50"/>
      <c r="AY122" s="50"/>
      <c r="AZ122" s="50"/>
    </row>
    <row r="123" spans="1:52" ht="13" hidden="1" customHeight="1" outlineLevel="1" x14ac:dyDescent="0.3">
      <c r="A123" s="338"/>
      <c r="B123" s="508" t="s">
        <v>2730</v>
      </c>
      <c r="C123" s="339"/>
      <c r="D123" s="342"/>
      <c r="E123" s="339"/>
      <c r="F123" s="342" t="s">
        <v>2731</v>
      </c>
      <c r="G123" s="341" t="s">
        <v>2732</v>
      </c>
      <c r="H123" s="342">
        <v>100</v>
      </c>
      <c r="I123" s="384" t="s">
        <v>2667</v>
      </c>
      <c r="J123" s="342" t="s">
        <v>2636</v>
      </c>
      <c r="K123" s="512" t="s">
        <v>2731</v>
      </c>
      <c r="L123" s="342" t="s">
        <v>2669</v>
      </c>
      <c r="M123" s="342" t="s">
        <v>89</v>
      </c>
      <c r="N123" s="345">
        <v>10</v>
      </c>
      <c r="O123" s="344">
        <f>416/21*N123</f>
        <v>198.0952380952381</v>
      </c>
      <c r="P123" s="345">
        <v>10</v>
      </c>
      <c r="Q123" s="345">
        <f t="shared" si="35"/>
        <v>1980.952380952381</v>
      </c>
      <c r="R123" s="345"/>
      <c r="S123" s="387">
        <f t="shared" si="36"/>
        <v>19.80952380952381</v>
      </c>
      <c r="T123" s="398">
        <v>45862</v>
      </c>
      <c r="U123" s="544">
        <v>45879</v>
      </c>
      <c r="V123" s="342"/>
      <c r="W123" s="319"/>
      <c r="X123" s="319"/>
      <c r="Y123" s="319"/>
      <c r="Z123" s="319"/>
      <c r="AA123" s="412"/>
      <c r="AB123" s="50"/>
      <c r="AC123" s="50"/>
      <c r="AD123" s="50"/>
      <c r="AE123" s="50"/>
      <c r="AF123" s="50"/>
      <c r="AG123" s="50"/>
      <c r="AH123" s="50"/>
      <c r="AI123" s="50"/>
      <c r="AJ123" s="50"/>
      <c r="AK123" s="50"/>
      <c r="AL123" s="50"/>
      <c r="AM123" s="50"/>
      <c r="AN123" s="50"/>
      <c r="AO123" s="50"/>
      <c r="AP123" s="50"/>
      <c r="AQ123" s="50"/>
      <c r="AR123" s="50"/>
      <c r="AS123" s="50"/>
      <c r="AT123" s="50"/>
      <c r="AU123" s="50"/>
      <c r="AV123" s="50"/>
      <c r="AW123" s="50"/>
      <c r="AX123" s="50"/>
      <c r="AY123" s="50"/>
      <c r="AZ123" s="50"/>
    </row>
    <row r="124" spans="1:52" ht="12.5" hidden="1" customHeight="1" outlineLevel="1" x14ac:dyDescent="0.3">
      <c r="A124" s="338"/>
      <c r="B124" s="508" t="s">
        <v>2730</v>
      </c>
      <c r="C124" s="339"/>
      <c r="D124" s="342"/>
      <c r="E124" s="339"/>
      <c r="F124" s="342" t="s">
        <v>2731</v>
      </c>
      <c r="G124" s="341" t="s">
        <v>2733</v>
      </c>
      <c r="H124" s="342">
        <v>80</v>
      </c>
      <c r="I124" s="384" t="s">
        <v>2667</v>
      </c>
      <c r="J124" s="342" t="s">
        <v>2636</v>
      </c>
      <c r="K124" s="512" t="s">
        <v>2731</v>
      </c>
      <c r="L124" s="342" t="s">
        <v>2669</v>
      </c>
      <c r="M124" s="342" t="s">
        <v>89</v>
      </c>
      <c r="N124" s="345">
        <v>1</v>
      </c>
      <c r="O124" s="344">
        <f t="shared" ref="O124:O128" si="37">416/21*N124</f>
        <v>19.80952380952381</v>
      </c>
      <c r="P124" s="345">
        <v>10</v>
      </c>
      <c r="Q124" s="345">
        <f t="shared" si="35"/>
        <v>198.0952380952381</v>
      </c>
      <c r="R124" s="345"/>
      <c r="S124" s="387">
        <f t="shared" si="36"/>
        <v>2.4761904761904763</v>
      </c>
      <c r="T124" s="398">
        <v>45862</v>
      </c>
      <c r="U124" s="544">
        <v>45879</v>
      </c>
      <c r="V124" s="342"/>
      <c r="W124" s="319"/>
      <c r="X124" s="319"/>
      <c r="Y124" s="319"/>
      <c r="Z124" s="319"/>
      <c r="AA124" s="412"/>
      <c r="AB124" s="50"/>
      <c r="AC124" s="50"/>
      <c r="AD124" s="50"/>
      <c r="AE124" s="50"/>
      <c r="AF124" s="50"/>
      <c r="AG124" s="50"/>
      <c r="AH124" s="50"/>
      <c r="AI124" s="50"/>
      <c r="AJ124" s="50"/>
      <c r="AK124" s="50"/>
      <c r="AL124" s="50"/>
      <c r="AM124" s="50"/>
      <c r="AN124" s="50"/>
      <c r="AO124" s="50"/>
      <c r="AP124" s="50"/>
      <c r="AQ124" s="50"/>
      <c r="AR124" s="50"/>
      <c r="AS124" s="50"/>
      <c r="AT124" s="50"/>
      <c r="AU124" s="50"/>
      <c r="AV124" s="50"/>
      <c r="AW124" s="50"/>
      <c r="AX124" s="50"/>
      <c r="AY124" s="50"/>
      <c r="AZ124" s="50"/>
    </row>
    <row r="125" spans="1:52" ht="13" hidden="1" customHeight="1" outlineLevel="1" x14ac:dyDescent="0.3">
      <c r="A125" s="338"/>
      <c r="B125" s="508" t="s">
        <v>2730</v>
      </c>
      <c r="C125" s="339"/>
      <c r="D125" s="342"/>
      <c r="E125" s="339"/>
      <c r="F125" s="342" t="s">
        <v>2731</v>
      </c>
      <c r="G125" s="341" t="s">
        <v>2734</v>
      </c>
      <c r="H125" s="342">
        <v>10</v>
      </c>
      <c r="I125" s="384" t="s">
        <v>2667</v>
      </c>
      <c r="J125" s="342" t="s">
        <v>2636</v>
      </c>
      <c r="K125" s="512" t="s">
        <v>2731</v>
      </c>
      <c r="L125" s="342" t="s">
        <v>2669</v>
      </c>
      <c r="M125" s="342" t="s">
        <v>89</v>
      </c>
      <c r="N125" s="345">
        <v>8</v>
      </c>
      <c r="O125" s="344">
        <f t="shared" si="37"/>
        <v>158.47619047619048</v>
      </c>
      <c r="P125" s="345">
        <v>10</v>
      </c>
      <c r="Q125" s="345">
        <f t="shared" si="35"/>
        <v>1584.7619047619048</v>
      </c>
      <c r="R125" s="345"/>
      <c r="S125" s="387">
        <f t="shared" si="36"/>
        <v>158.47619047619048</v>
      </c>
      <c r="T125" s="398">
        <v>45862</v>
      </c>
      <c r="U125" s="544">
        <v>45879</v>
      </c>
      <c r="V125" s="342"/>
      <c r="W125" s="319"/>
      <c r="X125" s="319"/>
      <c r="Y125" s="319"/>
      <c r="Z125" s="319"/>
      <c r="AA125" s="412"/>
      <c r="AB125" s="50"/>
      <c r="AC125" s="50"/>
      <c r="AD125" s="50"/>
      <c r="AE125" s="50"/>
      <c r="AF125" s="50"/>
      <c r="AG125" s="50"/>
      <c r="AH125" s="50"/>
      <c r="AI125" s="50"/>
      <c r="AJ125" s="50"/>
      <c r="AK125" s="50"/>
      <c r="AL125" s="50"/>
      <c r="AM125" s="50"/>
      <c r="AN125" s="50"/>
      <c r="AO125" s="50"/>
      <c r="AP125" s="50"/>
      <c r="AQ125" s="50"/>
      <c r="AR125" s="50"/>
      <c r="AS125" s="50"/>
      <c r="AT125" s="50"/>
      <c r="AU125" s="50"/>
      <c r="AV125" s="50"/>
      <c r="AW125" s="50"/>
      <c r="AX125" s="50"/>
      <c r="AY125" s="50"/>
      <c r="AZ125" s="50"/>
    </row>
    <row r="126" spans="1:52" ht="13" hidden="1" customHeight="1" outlineLevel="1" x14ac:dyDescent="0.3">
      <c r="A126" s="338"/>
      <c r="B126" s="508" t="s">
        <v>2730</v>
      </c>
      <c r="C126" s="339"/>
      <c r="D126" s="342"/>
      <c r="E126" s="339"/>
      <c r="F126" s="342" t="s">
        <v>2731</v>
      </c>
      <c r="G126" s="341" t="s">
        <v>2734</v>
      </c>
      <c r="H126" s="342">
        <v>8</v>
      </c>
      <c r="I126" s="384" t="s">
        <v>2667</v>
      </c>
      <c r="J126" s="342" t="s">
        <v>2636</v>
      </c>
      <c r="K126" s="512" t="s">
        <v>2731</v>
      </c>
      <c r="L126" s="342" t="s">
        <v>2669</v>
      </c>
      <c r="M126" s="342" t="s">
        <v>89</v>
      </c>
      <c r="N126" s="345">
        <v>1</v>
      </c>
      <c r="O126" s="344">
        <f t="shared" si="37"/>
        <v>19.80952380952381</v>
      </c>
      <c r="P126" s="345">
        <v>10</v>
      </c>
      <c r="Q126" s="345">
        <f t="shared" si="35"/>
        <v>198.0952380952381</v>
      </c>
      <c r="R126" s="345"/>
      <c r="S126" s="387">
        <f t="shared" si="36"/>
        <v>24.761904761904763</v>
      </c>
      <c r="T126" s="398">
        <v>45862</v>
      </c>
      <c r="U126" s="544">
        <v>45879</v>
      </c>
      <c r="V126" s="342"/>
      <c r="W126" s="319"/>
      <c r="X126" s="319"/>
      <c r="Y126" s="319"/>
      <c r="Z126" s="319"/>
      <c r="AA126" s="412"/>
      <c r="AB126" s="50"/>
      <c r="AC126" s="50"/>
      <c r="AD126" s="50"/>
      <c r="AE126" s="50"/>
      <c r="AF126" s="50"/>
      <c r="AG126" s="50"/>
      <c r="AH126" s="50"/>
      <c r="AI126" s="50"/>
      <c r="AJ126" s="50"/>
      <c r="AK126" s="50"/>
      <c r="AL126" s="50"/>
      <c r="AM126" s="50"/>
      <c r="AN126" s="50"/>
      <c r="AO126" s="50"/>
      <c r="AP126" s="50"/>
      <c r="AQ126" s="50"/>
      <c r="AR126" s="50"/>
      <c r="AS126" s="50"/>
      <c r="AT126" s="50"/>
      <c r="AU126" s="50"/>
      <c r="AV126" s="50"/>
      <c r="AW126" s="50"/>
      <c r="AX126" s="50"/>
      <c r="AY126" s="50"/>
      <c r="AZ126" s="50"/>
    </row>
    <row r="127" spans="1:52" ht="13" hidden="1" customHeight="1" outlineLevel="1" x14ac:dyDescent="0.3">
      <c r="A127" s="338"/>
      <c r="B127" s="508" t="s">
        <v>2730</v>
      </c>
      <c r="C127" s="339"/>
      <c r="D127" s="342"/>
      <c r="E127" s="339"/>
      <c r="F127" s="342" t="s">
        <v>2731</v>
      </c>
      <c r="G127" s="341" t="s">
        <v>2735</v>
      </c>
      <c r="H127" s="342">
        <v>500</v>
      </c>
      <c r="I127" s="384" t="s">
        <v>2667</v>
      </c>
      <c r="J127" s="342" t="s">
        <v>2636</v>
      </c>
      <c r="K127" s="512" t="s">
        <v>2731</v>
      </c>
      <c r="L127" s="342" t="s">
        <v>2669</v>
      </c>
      <c r="M127" s="342" t="s">
        <v>89</v>
      </c>
      <c r="N127" s="345">
        <f>500/600</f>
        <v>0.83333333333333337</v>
      </c>
      <c r="O127" s="344">
        <f t="shared" si="37"/>
        <v>16.50793650793651</v>
      </c>
      <c r="P127" s="345">
        <v>10</v>
      </c>
      <c r="Q127" s="345">
        <f t="shared" si="35"/>
        <v>165.07936507936509</v>
      </c>
      <c r="R127" s="345"/>
      <c r="S127" s="387">
        <f t="shared" si="36"/>
        <v>0.33015873015873021</v>
      </c>
      <c r="T127" s="398">
        <v>45862</v>
      </c>
      <c r="U127" s="544">
        <v>45879</v>
      </c>
      <c r="V127" s="342"/>
      <c r="W127" s="319"/>
      <c r="X127" s="319"/>
      <c r="Y127" s="319"/>
      <c r="Z127" s="319"/>
      <c r="AA127" s="412"/>
      <c r="AB127" s="50"/>
      <c r="AC127" s="50"/>
      <c r="AD127" s="50"/>
      <c r="AE127" s="50"/>
      <c r="AF127" s="50"/>
      <c r="AG127" s="50"/>
      <c r="AH127" s="50"/>
      <c r="AI127" s="50"/>
      <c r="AJ127" s="50"/>
      <c r="AK127" s="50"/>
      <c r="AL127" s="50"/>
      <c r="AM127" s="50"/>
      <c r="AN127" s="50"/>
      <c r="AO127" s="50"/>
      <c r="AP127" s="50"/>
      <c r="AQ127" s="50"/>
      <c r="AR127" s="50"/>
      <c r="AS127" s="50"/>
      <c r="AT127" s="50"/>
      <c r="AU127" s="50"/>
      <c r="AV127" s="50"/>
      <c r="AW127" s="50"/>
      <c r="AX127" s="50"/>
      <c r="AY127" s="50"/>
      <c r="AZ127" s="50"/>
    </row>
    <row r="128" spans="1:52" ht="13" hidden="1" customHeight="1" outlineLevel="1" x14ac:dyDescent="0.3">
      <c r="A128" s="338"/>
      <c r="B128" s="508" t="s">
        <v>2730</v>
      </c>
      <c r="C128" s="339"/>
      <c r="D128" s="342"/>
      <c r="E128" s="339"/>
      <c r="F128" s="342" t="s">
        <v>2731</v>
      </c>
      <c r="G128" s="341" t="s">
        <v>2736</v>
      </c>
      <c r="H128" s="342">
        <v>100</v>
      </c>
      <c r="I128" s="384" t="s">
        <v>2667</v>
      </c>
      <c r="J128" s="342" t="s">
        <v>2636</v>
      </c>
      <c r="K128" s="512" t="s">
        <v>2731</v>
      </c>
      <c r="L128" s="342" t="s">
        <v>2669</v>
      </c>
      <c r="M128" s="342" t="s">
        <v>89</v>
      </c>
      <c r="N128" s="345">
        <f>100/600</f>
        <v>0.16666666666666666</v>
      </c>
      <c r="O128" s="344">
        <f t="shared" si="37"/>
        <v>3.3015873015873014</v>
      </c>
      <c r="P128" s="345">
        <v>10</v>
      </c>
      <c r="Q128" s="345">
        <f t="shared" si="35"/>
        <v>33.015873015873012</v>
      </c>
      <c r="R128" s="345"/>
      <c r="S128" s="387">
        <f t="shared" si="36"/>
        <v>0.3301587301587301</v>
      </c>
      <c r="T128" s="398">
        <v>45862</v>
      </c>
      <c r="U128" s="544">
        <v>45879</v>
      </c>
      <c r="V128" s="342"/>
      <c r="W128" s="319"/>
      <c r="X128" s="319"/>
      <c r="Y128" s="319"/>
      <c r="Z128" s="319"/>
      <c r="AA128" s="412"/>
      <c r="AB128" s="50"/>
      <c r="AC128" s="50"/>
      <c r="AD128" s="50"/>
      <c r="AE128" s="50"/>
      <c r="AF128" s="50"/>
      <c r="AG128" s="50"/>
      <c r="AH128" s="50"/>
      <c r="AI128" s="50"/>
      <c r="AJ128" s="50"/>
      <c r="AK128" s="50"/>
      <c r="AL128" s="50"/>
      <c r="AM128" s="50"/>
      <c r="AN128" s="50"/>
      <c r="AO128" s="50"/>
      <c r="AP128" s="50"/>
      <c r="AQ128" s="50"/>
      <c r="AR128" s="50"/>
      <c r="AS128" s="50"/>
      <c r="AT128" s="50"/>
      <c r="AU128" s="50"/>
      <c r="AV128" s="50"/>
      <c r="AW128" s="50"/>
      <c r="AX128" s="50"/>
      <c r="AY128" s="50"/>
      <c r="AZ128" s="50"/>
    </row>
    <row r="129" spans="1:52" s="29" customFormat="1" ht="12" hidden="1" customHeight="1" outlineLevel="1" x14ac:dyDescent="0.25">
      <c r="A129" s="338" t="s">
        <v>2992</v>
      </c>
      <c r="B129" s="341" t="s">
        <v>2737</v>
      </c>
      <c r="C129" s="504" t="s">
        <v>2738</v>
      </c>
      <c r="D129" s="512" t="s">
        <v>2739</v>
      </c>
      <c r="E129" s="341" t="s">
        <v>325</v>
      </c>
      <c r="F129" s="535" t="s">
        <v>2721</v>
      </c>
      <c r="G129" s="504" t="str">
        <f>VLOOKUP(E129,'SKU 对应关系'!A:B,2,0)</f>
        <v>AP2US-H13 内置H13滤网桌面式空气净化器2-美规</v>
      </c>
      <c r="H129" s="384">
        <v>32</v>
      </c>
      <c r="I129" s="384" t="s">
        <v>2740</v>
      </c>
      <c r="J129" s="342" t="s">
        <v>2636</v>
      </c>
      <c r="K129" s="342" t="s">
        <v>2630</v>
      </c>
      <c r="L129" s="342" t="s">
        <v>2653</v>
      </c>
      <c r="M129" s="342" t="s">
        <v>2631</v>
      </c>
      <c r="N129" s="343">
        <v>8</v>
      </c>
      <c r="O129" s="509">
        <f>315/13*N129</f>
        <v>193.84615384615384</v>
      </c>
      <c r="P129" s="357">
        <v>10.5</v>
      </c>
      <c r="Q129" s="510">
        <f>O129*P129+220/13*N129</f>
        <v>2170.7692307692305</v>
      </c>
      <c r="R129" s="510"/>
      <c r="S129" s="387">
        <f t="shared" si="36"/>
        <v>67.836538461538453</v>
      </c>
      <c r="T129" s="398">
        <v>45885</v>
      </c>
      <c r="U129" s="404">
        <v>45908</v>
      </c>
      <c r="V129" s="342"/>
      <c r="W129" s="319"/>
      <c r="X129" s="319"/>
      <c r="Y129" s="319"/>
      <c r="Z129" s="319"/>
      <c r="AA129" s="549"/>
      <c r="AB129" s="52"/>
      <c r="AC129" s="52"/>
      <c r="AD129" s="55"/>
      <c r="AE129" s="55"/>
      <c r="AF129" s="52"/>
      <c r="AG129" s="53"/>
      <c r="AH129" s="52"/>
      <c r="AI129" s="52"/>
      <c r="AJ129" s="495"/>
      <c r="AK129" s="495"/>
      <c r="AL129" s="495"/>
      <c r="AM129" s="56"/>
      <c r="AN129" s="53"/>
      <c r="AO129" s="53"/>
      <c r="AP129" s="495"/>
      <c r="AQ129" s="496"/>
      <c r="AR129" s="496"/>
      <c r="AS129" s="496"/>
      <c r="AT129" s="496"/>
      <c r="AU129" s="53"/>
      <c r="AV129" s="53"/>
      <c r="AW129" s="53"/>
      <c r="AX129" s="53"/>
      <c r="AY129" s="53"/>
      <c r="AZ129" s="53"/>
    </row>
    <row r="130" spans="1:52" s="29" customFormat="1" ht="12" hidden="1" customHeight="1" outlineLevel="1" x14ac:dyDescent="0.25">
      <c r="A130" s="338" t="s">
        <v>2992</v>
      </c>
      <c r="B130" s="341" t="s">
        <v>2737</v>
      </c>
      <c r="C130" s="504" t="s">
        <v>2738</v>
      </c>
      <c r="D130" s="512" t="s">
        <v>2739</v>
      </c>
      <c r="E130" s="341" t="s">
        <v>980</v>
      </c>
      <c r="F130" s="535" t="s">
        <v>2721</v>
      </c>
      <c r="G130" s="504" t="str">
        <f>VLOOKUP(E130,'SKU 对应关系'!A:B,2,0)</f>
        <v>AP2US-H14 内置H14滤网桌面式空气净化器2-美规</v>
      </c>
      <c r="H130" s="384">
        <v>20</v>
      </c>
      <c r="I130" s="384" t="s">
        <v>2740</v>
      </c>
      <c r="J130" s="342" t="s">
        <v>2636</v>
      </c>
      <c r="K130" s="342" t="s">
        <v>2630</v>
      </c>
      <c r="L130" s="342" t="s">
        <v>2653</v>
      </c>
      <c r="M130" s="342" t="s">
        <v>2631</v>
      </c>
      <c r="N130" s="343">
        <v>5</v>
      </c>
      <c r="O130" s="509">
        <f>315/13*N130</f>
        <v>121.15384615384615</v>
      </c>
      <c r="P130" s="357">
        <v>10.5</v>
      </c>
      <c r="Q130" s="510">
        <f>O130*P130+220/13*N130</f>
        <v>1356.7307692307691</v>
      </c>
      <c r="R130" s="510"/>
      <c r="S130" s="387">
        <f t="shared" si="36"/>
        <v>67.836538461538453</v>
      </c>
      <c r="T130" s="398">
        <v>45885</v>
      </c>
      <c r="U130" s="404">
        <v>45908</v>
      </c>
      <c r="V130" s="342"/>
      <c r="W130" s="319"/>
      <c r="X130" s="319"/>
      <c r="Y130" s="319"/>
      <c r="Z130" s="319"/>
      <c r="AA130" s="549"/>
      <c r="AB130" s="52"/>
      <c r="AC130" s="52"/>
      <c r="AD130" s="55"/>
      <c r="AE130" s="55"/>
      <c r="AF130" s="52"/>
      <c r="AG130" s="53"/>
      <c r="AH130" s="52"/>
      <c r="AI130" s="52"/>
      <c r="AJ130" s="495"/>
      <c r="AK130" s="495"/>
      <c r="AL130" s="495"/>
      <c r="AM130" s="56"/>
      <c r="AN130" s="53"/>
      <c r="AO130" s="53"/>
      <c r="AP130" s="495"/>
      <c r="AQ130" s="496"/>
      <c r="AR130" s="496"/>
      <c r="AS130" s="496"/>
      <c r="AT130" s="496"/>
      <c r="AU130" s="53"/>
      <c r="AV130" s="53"/>
      <c r="AW130" s="53"/>
      <c r="AX130" s="53"/>
      <c r="AY130" s="53"/>
      <c r="AZ130" s="53"/>
    </row>
    <row r="131" spans="1:52" s="29" customFormat="1" ht="12" hidden="1" customHeight="1" outlineLevel="1" x14ac:dyDescent="0.25">
      <c r="A131" s="338" t="s">
        <v>2993</v>
      </c>
      <c r="B131" s="341" t="s">
        <v>2741</v>
      </c>
      <c r="C131" s="511" t="s">
        <v>2742</v>
      </c>
      <c r="D131" s="512" t="s">
        <v>2743</v>
      </c>
      <c r="E131" s="504" t="s">
        <v>2719</v>
      </c>
      <c r="F131" s="535" t="s">
        <v>2721</v>
      </c>
      <c r="G131" s="504" t="s">
        <v>3237</v>
      </c>
      <c r="H131" s="512">
        <v>50</v>
      </c>
      <c r="I131" s="512" t="s">
        <v>1767</v>
      </c>
      <c r="J131" s="512" t="s">
        <v>2636</v>
      </c>
      <c r="K131" s="512" t="s">
        <v>2670</v>
      </c>
      <c r="L131" s="342" t="s">
        <v>2653</v>
      </c>
      <c r="M131" s="512" t="s">
        <v>2631</v>
      </c>
      <c r="N131" s="513">
        <v>0.33333333333333298</v>
      </c>
      <c r="O131" s="509">
        <f>26/2*N131</f>
        <v>4.3333333333333286</v>
      </c>
      <c r="P131" s="513">
        <v>14.4</v>
      </c>
      <c r="Q131" s="510">
        <f>O131*P131</f>
        <v>62.399999999999935</v>
      </c>
      <c r="R131" s="510"/>
      <c r="S131" s="387">
        <f t="shared" si="36"/>
        <v>1.2479999999999987</v>
      </c>
      <c r="T131" s="398">
        <v>45898</v>
      </c>
      <c r="U131" s="404">
        <v>45917</v>
      </c>
      <c r="V131" s="547"/>
      <c r="W131" s="531"/>
      <c r="X131" s="396"/>
      <c r="Y131" s="531"/>
      <c r="Z131" s="531"/>
      <c r="AA131" s="550"/>
      <c r="AB131" s="52"/>
      <c r="AC131" s="52"/>
      <c r="AD131" s="55"/>
      <c r="AE131" s="55"/>
      <c r="AF131" s="52"/>
      <c r="AG131" s="53"/>
      <c r="AH131" s="52"/>
      <c r="AI131" s="52"/>
      <c r="AJ131" s="495"/>
      <c r="AK131" s="495"/>
      <c r="AL131" s="495"/>
      <c r="AM131" s="56"/>
      <c r="AN131" s="53"/>
      <c r="AO131" s="53"/>
      <c r="AP131" s="495"/>
      <c r="AQ131" s="496"/>
      <c r="AR131" s="496"/>
      <c r="AS131" s="496"/>
      <c r="AT131" s="496"/>
      <c r="AU131" s="53"/>
      <c r="AV131" s="53"/>
      <c r="AW131" s="53"/>
      <c r="AX131" s="53"/>
      <c r="AY131" s="53"/>
      <c r="AZ131" s="53"/>
    </row>
    <row r="132" spans="1:52" ht="13" hidden="1" customHeight="1" outlineLevel="1" x14ac:dyDescent="0.3">
      <c r="A132" s="338" t="s">
        <v>2993</v>
      </c>
      <c r="B132" s="341" t="s">
        <v>2741</v>
      </c>
      <c r="C132" s="511" t="s">
        <v>2742</v>
      </c>
      <c r="D132" s="342" t="s">
        <v>2743</v>
      </c>
      <c r="E132" s="339" t="s">
        <v>2719</v>
      </c>
      <c r="F132" s="535" t="s">
        <v>2721</v>
      </c>
      <c r="G132" s="339" t="s">
        <v>3231</v>
      </c>
      <c r="H132" s="342">
        <v>100</v>
      </c>
      <c r="I132" s="342" t="s">
        <v>1767</v>
      </c>
      <c r="J132" s="342" t="s">
        <v>2636</v>
      </c>
      <c r="K132" s="342" t="s">
        <v>2670</v>
      </c>
      <c r="L132" s="342" t="s">
        <v>2653</v>
      </c>
      <c r="M132" s="342" t="s">
        <v>2631</v>
      </c>
      <c r="N132" s="345">
        <v>0.66666666666666696</v>
      </c>
      <c r="O132" s="509">
        <f>26/2*N132</f>
        <v>8.6666666666666714</v>
      </c>
      <c r="P132" s="345">
        <v>14.4</v>
      </c>
      <c r="Q132" s="510">
        <f t="shared" ref="Q132:Q145" si="38">O132*P132</f>
        <v>124.80000000000007</v>
      </c>
      <c r="R132" s="510"/>
      <c r="S132" s="387">
        <f t="shared" si="36"/>
        <v>1.2480000000000007</v>
      </c>
      <c r="T132" s="398">
        <v>45898</v>
      </c>
      <c r="U132" s="404">
        <v>45917</v>
      </c>
      <c r="V132" s="387"/>
      <c r="W132" s="319"/>
      <c r="X132" s="319"/>
      <c r="Y132" s="319"/>
      <c r="Z132" s="319"/>
      <c r="AA132" s="412"/>
      <c r="AB132" s="50"/>
      <c r="AC132" s="50"/>
      <c r="AD132" s="50"/>
      <c r="AE132" s="50"/>
      <c r="AF132" s="50"/>
      <c r="AG132" s="50"/>
      <c r="AH132" s="50"/>
      <c r="AI132" s="50"/>
      <c r="AJ132" s="50"/>
      <c r="AK132" s="50"/>
      <c r="AL132" s="50"/>
      <c r="AM132" s="50"/>
      <c r="AN132" s="50"/>
      <c r="AO132" s="50"/>
      <c r="AP132" s="50"/>
      <c r="AQ132" s="50"/>
      <c r="AR132" s="50"/>
      <c r="AS132" s="50"/>
      <c r="AT132" s="50"/>
      <c r="AU132" s="50"/>
      <c r="AV132" s="50"/>
      <c r="AW132" s="50"/>
      <c r="AX132" s="50"/>
      <c r="AY132" s="50"/>
      <c r="AZ132" s="50"/>
    </row>
    <row r="133" spans="1:52" ht="13" hidden="1" customHeight="1" outlineLevel="1" x14ac:dyDescent="0.3">
      <c r="A133" s="338" t="s">
        <v>2993</v>
      </c>
      <c r="B133" s="341" t="s">
        <v>2741</v>
      </c>
      <c r="C133" s="511" t="s">
        <v>2742</v>
      </c>
      <c r="D133" s="342" t="s">
        <v>2743</v>
      </c>
      <c r="E133" s="339" t="s">
        <v>2719</v>
      </c>
      <c r="F133" s="535" t="s">
        <v>2721</v>
      </c>
      <c r="G133" s="339" t="s">
        <v>3231</v>
      </c>
      <c r="H133" s="342">
        <v>100</v>
      </c>
      <c r="I133" s="342" t="s">
        <v>1767</v>
      </c>
      <c r="J133" s="342" t="s">
        <v>2636</v>
      </c>
      <c r="K133" s="342" t="s">
        <v>2670</v>
      </c>
      <c r="L133" s="342" t="s">
        <v>2653</v>
      </c>
      <c r="M133" s="342" t="s">
        <v>2631</v>
      </c>
      <c r="N133" s="345">
        <v>1</v>
      </c>
      <c r="O133" s="509">
        <f>26/2*N133</f>
        <v>13</v>
      </c>
      <c r="P133" s="345">
        <v>14.4</v>
      </c>
      <c r="Q133" s="510">
        <f t="shared" si="38"/>
        <v>187.20000000000002</v>
      </c>
      <c r="R133" s="510"/>
      <c r="S133" s="387">
        <f t="shared" si="36"/>
        <v>1.8720000000000001</v>
      </c>
      <c r="T133" s="398">
        <v>45898</v>
      </c>
      <c r="U133" s="404">
        <v>45917</v>
      </c>
      <c r="V133" s="387"/>
      <c r="W133" s="319"/>
      <c r="X133" s="319"/>
      <c r="Y133" s="319"/>
      <c r="Z133" s="319"/>
      <c r="AA133" s="412"/>
      <c r="AB133" s="50"/>
      <c r="AC133" s="50"/>
      <c r="AD133" s="50"/>
      <c r="AE133" s="50"/>
      <c r="AF133" s="50"/>
      <c r="AG133" s="50"/>
      <c r="AH133" s="50"/>
      <c r="AI133" s="50"/>
      <c r="AJ133" s="50"/>
      <c r="AK133" s="50"/>
      <c r="AL133" s="50"/>
      <c r="AM133" s="50"/>
      <c r="AN133" s="50"/>
      <c r="AO133" s="50"/>
      <c r="AP133" s="50"/>
      <c r="AQ133" s="50"/>
      <c r="AR133" s="50"/>
      <c r="AS133" s="50"/>
      <c r="AT133" s="50"/>
      <c r="AU133" s="50"/>
      <c r="AV133" s="50"/>
      <c r="AW133" s="50"/>
      <c r="AX133" s="50"/>
      <c r="AY133" s="50"/>
      <c r="AZ133" s="50"/>
    </row>
    <row r="134" spans="1:52" ht="13" hidden="1" customHeight="1" outlineLevel="1" x14ac:dyDescent="0.3">
      <c r="A134" s="338" t="s">
        <v>2993</v>
      </c>
      <c r="B134" s="341" t="s">
        <v>2744</v>
      </c>
      <c r="C134" s="504" t="s">
        <v>2745</v>
      </c>
      <c r="D134" s="342" t="s">
        <v>2746</v>
      </c>
      <c r="E134" s="339" t="s">
        <v>2629</v>
      </c>
      <c r="F134" s="535" t="s">
        <v>2721</v>
      </c>
      <c r="G134" s="339" t="s">
        <v>3242</v>
      </c>
      <c r="H134" s="342">
        <v>50</v>
      </c>
      <c r="I134" s="342" t="s">
        <v>418</v>
      </c>
      <c r="J134" s="342" t="s">
        <v>2636</v>
      </c>
      <c r="K134" s="342" t="s">
        <v>2670</v>
      </c>
      <c r="L134" s="342" t="s">
        <v>2653</v>
      </c>
      <c r="M134" s="342" t="s">
        <v>2631</v>
      </c>
      <c r="N134" s="345">
        <v>0.45454545454545497</v>
      </c>
      <c r="O134" s="509">
        <f>21/1*N134</f>
        <v>9.5454545454545539</v>
      </c>
      <c r="P134" s="345">
        <v>22</v>
      </c>
      <c r="Q134" s="510">
        <f t="shared" si="38"/>
        <v>210.00000000000017</v>
      </c>
      <c r="R134" s="510"/>
      <c r="S134" s="387">
        <f t="shared" si="36"/>
        <v>4.2000000000000037</v>
      </c>
      <c r="T134" s="398">
        <v>45898</v>
      </c>
      <c r="U134" s="404">
        <v>45919</v>
      </c>
      <c r="V134" s="387"/>
      <c r="W134" s="319"/>
      <c r="X134" s="319"/>
      <c r="Y134" s="319"/>
      <c r="Z134" s="319"/>
      <c r="AA134" s="412"/>
      <c r="AB134" s="50"/>
      <c r="AC134" s="50"/>
      <c r="AD134" s="50"/>
      <c r="AE134" s="50"/>
      <c r="AF134" s="50"/>
      <c r="AG134" s="50"/>
      <c r="AH134" s="50"/>
      <c r="AI134" s="50"/>
      <c r="AJ134" s="50"/>
      <c r="AK134" s="50"/>
      <c r="AL134" s="50"/>
      <c r="AM134" s="50"/>
      <c r="AN134" s="50"/>
      <c r="AO134" s="50"/>
      <c r="AP134" s="50"/>
      <c r="AQ134" s="50"/>
      <c r="AR134" s="50"/>
      <c r="AS134" s="50"/>
      <c r="AT134" s="50"/>
      <c r="AU134" s="50"/>
      <c r="AV134" s="50"/>
      <c r="AW134" s="50"/>
      <c r="AX134" s="50"/>
      <c r="AY134" s="50"/>
      <c r="AZ134" s="50"/>
    </row>
    <row r="135" spans="1:52" ht="13" hidden="1" customHeight="1" outlineLevel="1" x14ac:dyDescent="0.3">
      <c r="A135" s="338" t="s">
        <v>2993</v>
      </c>
      <c r="B135" s="341" t="s">
        <v>2744</v>
      </c>
      <c r="C135" s="504" t="s">
        <v>2745</v>
      </c>
      <c r="D135" s="342" t="s">
        <v>2746</v>
      </c>
      <c r="E135" s="339" t="s">
        <v>2717</v>
      </c>
      <c r="F135" s="535" t="s">
        <v>2721</v>
      </c>
      <c r="G135" s="339" t="s">
        <v>3243</v>
      </c>
      <c r="H135" s="342">
        <v>60</v>
      </c>
      <c r="I135" s="342" t="s">
        <v>418</v>
      </c>
      <c r="J135" s="342" t="s">
        <v>2636</v>
      </c>
      <c r="K135" s="342" t="s">
        <v>2670</v>
      </c>
      <c r="L135" s="342" t="s">
        <v>2653</v>
      </c>
      <c r="M135" s="342" t="s">
        <v>2631</v>
      </c>
      <c r="N135" s="345">
        <v>0.54545454545454497</v>
      </c>
      <c r="O135" s="509">
        <f>21/1*N135</f>
        <v>11.454545454545444</v>
      </c>
      <c r="P135" s="345">
        <v>22</v>
      </c>
      <c r="Q135" s="510">
        <f t="shared" si="38"/>
        <v>251.99999999999977</v>
      </c>
      <c r="R135" s="510"/>
      <c r="S135" s="387">
        <f t="shared" ref="S135:S145" si="39">Q135/H135</f>
        <v>4.1999999999999966</v>
      </c>
      <c r="T135" s="398">
        <v>45898</v>
      </c>
      <c r="U135" s="404">
        <v>45919</v>
      </c>
      <c r="V135" s="387"/>
      <c r="W135" s="319"/>
      <c r="X135" s="319"/>
      <c r="Y135" s="319"/>
      <c r="Z135" s="319"/>
      <c r="AA135" s="412"/>
      <c r="AB135" s="50"/>
      <c r="AC135" s="50"/>
      <c r="AD135" s="50"/>
      <c r="AE135" s="50"/>
      <c r="AF135" s="50"/>
      <c r="AG135" s="50"/>
      <c r="AH135" s="50"/>
      <c r="AI135" s="50"/>
      <c r="AJ135" s="50"/>
      <c r="AK135" s="50"/>
      <c r="AL135" s="50"/>
      <c r="AM135" s="50"/>
      <c r="AN135" s="50"/>
      <c r="AO135" s="50"/>
      <c r="AP135" s="50"/>
      <c r="AQ135" s="50"/>
      <c r="AR135" s="50"/>
      <c r="AS135" s="50"/>
      <c r="AT135" s="50"/>
      <c r="AU135" s="50"/>
      <c r="AV135" s="50"/>
      <c r="AW135" s="50"/>
      <c r="AX135" s="50"/>
      <c r="AY135" s="50"/>
      <c r="AZ135" s="50"/>
    </row>
    <row r="136" spans="1:52" s="49" customFormat="1" ht="13" hidden="1" customHeight="1" outlineLevel="1" x14ac:dyDescent="0.3">
      <c r="A136" s="358" t="s">
        <v>2994</v>
      </c>
      <c r="B136" s="359" t="s">
        <v>2747</v>
      </c>
      <c r="C136" s="514" t="s">
        <v>2748</v>
      </c>
      <c r="D136" s="560" t="s">
        <v>2749</v>
      </c>
      <c r="E136" s="359" t="s">
        <v>2750</v>
      </c>
      <c r="F136" s="361" t="s">
        <v>2751</v>
      </c>
      <c r="G136" s="360" t="s">
        <v>3189</v>
      </c>
      <c r="H136" s="361">
        <v>20</v>
      </c>
      <c r="I136" s="361" t="s">
        <v>1114</v>
      </c>
      <c r="J136" s="361" t="s">
        <v>2752</v>
      </c>
      <c r="K136" s="361" t="s">
        <v>2753</v>
      </c>
      <c r="L136" s="361" t="s">
        <v>2754</v>
      </c>
      <c r="M136" s="361" t="s">
        <v>2755</v>
      </c>
      <c r="N136" s="362">
        <f>H136/89</f>
        <v>0.2247191011235955</v>
      </c>
      <c r="O136" s="515">
        <f>3/1*N136</f>
        <v>0.6741573033707865</v>
      </c>
      <c r="P136" s="362">
        <v>143.33330000000001</v>
      </c>
      <c r="Q136" s="516">
        <f t="shared" ref="Q136" si="40">O136*P136</f>
        <v>96.62919101123596</v>
      </c>
      <c r="R136" s="516"/>
      <c r="S136" s="388">
        <f t="shared" ref="S136" si="41">Q136/H136</f>
        <v>4.8314595505617977</v>
      </c>
      <c r="T136" s="405">
        <v>45917</v>
      </c>
      <c r="U136" s="406">
        <v>45923</v>
      </c>
      <c r="V136" s="361"/>
      <c r="W136" s="375"/>
      <c r="X136" s="375"/>
      <c r="Y136" s="375"/>
      <c r="Z136" s="375"/>
      <c r="AA136" s="415"/>
      <c r="AB136" s="57"/>
      <c r="AC136" s="57"/>
      <c r="AD136" s="57"/>
      <c r="AE136" s="57"/>
      <c r="AF136" s="57"/>
      <c r="AG136" s="57"/>
      <c r="AH136" s="57"/>
      <c r="AI136" s="57"/>
      <c r="AJ136" s="57"/>
      <c r="AK136" s="57"/>
      <c r="AL136" s="57"/>
      <c r="AM136" s="57"/>
      <c r="AN136" s="57"/>
      <c r="AO136" s="57"/>
      <c r="AP136" s="57"/>
      <c r="AQ136" s="57"/>
      <c r="AR136" s="57"/>
      <c r="AS136" s="57"/>
      <c r="AT136" s="57"/>
      <c r="AU136" s="57"/>
      <c r="AV136" s="57"/>
      <c r="AW136" s="57"/>
      <c r="AX136" s="57"/>
      <c r="AY136" s="57"/>
      <c r="AZ136" s="57"/>
    </row>
    <row r="137" spans="1:52" s="49" customFormat="1" ht="13" hidden="1" customHeight="1" outlineLevel="1" x14ac:dyDescent="0.3">
      <c r="A137" s="358" t="s">
        <v>2994</v>
      </c>
      <c r="B137" s="359" t="s">
        <v>2747</v>
      </c>
      <c r="C137" s="514" t="s">
        <v>2748</v>
      </c>
      <c r="D137" s="560" t="s">
        <v>2749</v>
      </c>
      <c r="E137" s="359" t="s">
        <v>2756</v>
      </c>
      <c r="F137" s="361" t="s">
        <v>2751</v>
      </c>
      <c r="G137" s="360" t="s">
        <v>3190</v>
      </c>
      <c r="H137" s="361">
        <v>20</v>
      </c>
      <c r="I137" s="361" t="s">
        <v>1114</v>
      </c>
      <c r="J137" s="361" t="s">
        <v>2752</v>
      </c>
      <c r="K137" s="361" t="s">
        <v>2753</v>
      </c>
      <c r="L137" s="361" t="s">
        <v>2754</v>
      </c>
      <c r="M137" s="361" t="s">
        <v>2755</v>
      </c>
      <c r="N137" s="362">
        <f>H137/89</f>
        <v>0.2247191011235955</v>
      </c>
      <c r="O137" s="515">
        <f>3/1*N137</f>
        <v>0.6741573033707865</v>
      </c>
      <c r="P137" s="362">
        <v>143.33330000000001</v>
      </c>
      <c r="Q137" s="516">
        <f t="shared" si="38"/>
        <v>96.62919101123596</v>
      </c>
      <c r="R137" s="516"/>
      <c r="S137" s="388">
        <f t="shared" si="39"/>
        <v>4.8314595505617977</v>
      </c>
      <c r="T137" s="405">
        <v>45917</v>
      </c>
      <c r="U137" s="406">
        <v>45923</v>
      </c>
      <c r="V137" s="361"/>
      <c r="W137" s="375"/>
      <c r="X137" s="375"/>
      <c r="Y137" s="375"/>
      <c r="Z137" s="375"/>
      <c r="AA137" s="415"/>
      <c r="AB137" s="57"/>
      <c r="AC137" s="57"/>
      <c r="AD137" s="57"/>
      <c r="AE137" s="57"/>
      <c r="AF137" s="57"/>
      <c r="AG137" s="57"/>
      <c r="AH137" s="57"/>
      <c r="AI137" s="57"/>
      <c r="AJ137" s="57"/>
      <c r="AK137" s="57"/>
      <c r="AL137" s="57"/>
      <c r="AM137" s="57"/>
      <c r="AN137" s="57"/>
      <c r="AO137" s="57"/>
      <c r="AP137" s="57"/>
      <c r="AQ137" s="57"/>
      <c r="AR137" s="57"/>
      <c r="AS137" s="57"/>
      <c r="AT137" s="57"/>
      <c r="AU137" s="57"/>
      <c r="AV137" s="57"/>
      <c r="AW137" s="57"/>
      <c r="AX137" s="57"/>
      <c r="AY137" s="57"/>
      <c r="AZ137" s="57"/>
    </row>
    <row r="138" spans="1:52" s="49" customFormat="1" ht="13" hidden="1" customHeight="1" outlineLevel="1" x14ac:dyDescent="0.3">
      <c r="A138" s="358" t="s">
        <v>2994</v>
      </c>
      <c r="B138" s="359" t="s">
        <v>2747</v>
      </c>
      <c r="C138" s="359" t="s">
        <v>2748</v>
      </c>
      <c r="D138" s="560" t="s">
        <v>2749</v>
      </c>
      <c r="E138" s="359" t="s">
        <v>2757</v>
      </c>
      <c r="F138" s="361" t="s">
        <v>2751</v>
      </c>
      <c r="G138" s="360" t="s">
        <v>3244</v>
      </c>
      <c r="H138" s="361">
        <v>49</v>
      </c>
      <c r="I138" s="361" t="s">
        <v>1114</v>
      </c>
      <c r="J138" s="361" t="s">
        <v>2752</v>
      </c>
      <c r="K138" s="361" t="s">
        <v>2753</v>
      </c>
      <c r="L138" s="361" t="s">
        <v>2754</v>
      </c>
      <c r="M138" s="361" t="s">
        <v>2755</v>
      </c>
      <c r="N138" s="362">
        <f>H138/89</f>
        <v>0.550561797752809</v>
      </c>
      <c r="O138" s="515">
        <f>3/1*N138</f>
        <v>1.651685393258427</v>
      </c>
      <c r="P138" s="362">
        <v>143.33330000000001</v>
      </c>
      <c r="Q138" s="516">
        <f t="shared" si="38"/>
        <v>236.7415179775281</v>
      </c>
      <c r="R138" s="516"/>
      <c r="S138" s="388">
        <f t="shared" si="39"/>
        <v>4.8314595505617977</v>
      </c>
      <c r="T138" s="405">
        <v>45917</v>
      </c>
      <c r="U138" s="406">
        <v>45923</v>
      </c>
      <c r="V138" s="361"/>
      <c r="W138" s="375"/>
      <c r="X138" s="375"/>
      <c r="Y138" s="375"/>
      <c r="Z138" s="375"/>
      <c r="AA138" s="415"/>
      <c r="AB138" s="57"/>
      <c r="AC138" s="57"/>
      <c r="AD138" s="57"/>
      <c r="AE138" s="57"/>
      <c r="AF138" s="57"/>
      <c r="AG138" s="57"/>
      <c r="AH138" s="57"/>
      <c r="AI138" s="57"/>
      <c r="AJ138" s="57"/>
      <c r="AK138" s="57"/>
      <c r="AL138" s="57"/>
      <c r="AM138" s="57"/>
      <c r="AN138" s="57"/>
      <c r="AO138" s="57"/>
      <c r="AP138" s="57"/>
      <c r="AQ138" s="57"/>
      <c r="AR138" s="57"/>
      <c r="AS138" s="57"/>
      <c r="AT138" s="57"/>
      <c r="AU138" s="57"/>
      <c r="AV138" s="57"/>
      <c r="AW138" s="57"/>
      <c r="AX138" s="57"/>
      <c r="AY138" s="57"/>
      <c r="AZ138" s="57"/>
    </row>
    <row r="139" spans="1:52" s="49" customFormat="1" ht="13" hidden="1" customHeight="1" outlineLevel="1" x14ac:dyDescent="0.3">
      <c r="A139" s="364"/>
      <c r="B139" s="365" t="s">
        <v>2758</v>
      </c>
      <c r="C139" s="365" t="s">
        <v>2759</v>
      </c>
      <c r="D139" s="367" t="s">
        <v>2760</v>
      </c>
      <c r="E139" s="366" t="s">
        <v>2900</v>
      </c>
      <c r="F139" s="367" t="s">
        <v>2751</v>
      </c>
      <c r="G139" s="365" t="s">
        <v>3245</v>
      </c>
      <c r="H139" s="367">
        <v>25</v>
      </c>
      <c r="I139" s="367" t="s">
        <v>1114</v>
      </c>
      <c r="J139" s="367" t="s">
        <v>2752</v>
      </c>
      <c r="K139" s="367" t="s">
        <v>2753</v>
      </c>
      <c r="L139" s="367" t="s">
        <v>2754</v>
      </c>
      <c r="M139" s="367" t="s">
        <v>2755</v>
      </c>
      <c r="N139" s="368">
        <f>25/75</f>
        <v>0.33333333333333331</v>
      </c>
      <c r="O139" s="369">
        <f>5/75*H139</f>
        <v>1.6666666666666667</v>
      </c>
      <c r="P139" s="368">
        <f>Q139/O139</f>
        <v>120</v>
      </c>
      <c r="Q139" s="517">
        <f>600/5*O139</f>
        <v>200</v>
      </c>
      <c r="R139" s="517"/>
      <c r="S139" s="369">
        <f>Q139/H139</f>
        <v>8</v>
      </c>
      <c r="T139" s="407">
        <v>45946</v>
      </c>
      <c r="U139" s="407">
        <v>45946</v>
      </c>
      <c r="V139" s="367"/>
      <c r="W139" s="375"/>
      <c r="X139" s="375"/>
      <c r="Y139" s="375"/>
      <c r="Z139" s="375"/>
      <c r="AA139" s="415"/>
      <c r="AB139" s="57"/>
      <c r="AC139" s="57"/>
      <c r="AD139" s="57"/>
      <c r="AE139" s="57"/>
      <c r="AF139" s="57"/>
      <c r="AG139" s="57"/>
      <c r="AH139" s="57"/>
      <c r="AI139" s="57"/>
      <c r="AJ139" s="57"/>
      <c r="AK139" s="57"/>
      <c r="AL139" s="57"/>
      <c r="AM139" s="57"/>
      <c r="AN139" s="57"/>
      <c r="AO139" s="57"/>
      <c r="AP139" s="57"/>
      <c r="AQ139" s="57"/>
      <c r="AR139" s="57"/>
      <c r="AS139" s="57"/>
      <c r="AT139" s="57"/>
      <c r="AU139" s="57"/>
      <c r="AV139" s="57"/>
      <c r="AW139" s="57"/>
      <c r="AX139" s="57"/>
      <c r="AY139" s="57"/>
      <c r="AZ139" s="57"/>
    </row>
    <row r="140" spans="1:52" s="49" customFormat="1" ht="13" hidden="1" customHeight="1" outlineLevel="1" x14ac:dyDescent="0.3">
      <c r="A140" s="364"/>
      <c r="B140" s="365" t="s">
        <v>2758</v>
      </c>
      <c r="C140" s="365" t="s">
        <v>2759</v>
      </c>
      <c r="D140" s="367" t="s">
        <v>2760</v>
      </c>
      <c r="E140" s="366" t="s">
        <v>2897</v>
      </c>
      <c r="F140" s="367" t="s">
        <v>2751</v>
      </c>
      <c r="G140" s="365" t="s">
        <v>3246</v>
      </c>
      <c r="H140" s="367">
        <v>50</v>
      </c>
      <c r="I140" s="367" t="s">
        <v>1114</v>
      </c>
      <c r="J140" s="367" t="s">
        <v>2752</v>
      </c>
      <c r="K140" s="367" t="s">
        <v>2753</v>
      </c>
      <c r="L140" s="367" t="s">
        <v>2754</v>
      </c>
      <c r="M140" s="367" t="s">
        <v>2755</v>
      </c>
      <c r="N140" s="368">
        <f>50/75</f>
        <v>0.66666666666666663</v>
      </c>
      <c r="O140" s="369">
        <f>5/75*H140</f>
        <v>3.3333333333333335</v>
      </c>
      <c r="P140" s="368">
        <f>Q140/O140</f>
        <v>120</v>
      </c>
      <c r="Q140" s="517">
        <f>600/5*O140</f>
        <v>400</v>
      </c>
      <c r="R140" s="517"/>
      <c r="S140" s="369">
        <f t="shared" si="39"/>
        <v>8</v>
      </c>
      <c r="T140" s="407">
        <v>45946</v>
      </c>
      <c r="U140" s="407">
        <v>45946</v>
      </c>
      <c r="V140" s="367"/>
      <c r="W140" s="375"/>
      <c r="X140" s="375"/>
      <c r="Y140" s="375"/>
      <c r="Z140" s="375"/>
      <c r="AA140" s="415"/>
      <c r="AB140" s="57"/>
      <c r="AC140" s="57"/>
      <c r="AD140" s="57"/>
      <c r="AE140" s="57"/>
      <c r="AF140" s="57"/>
      <c r="AG140" s="57"/>
      <c r="AH140" s="57"/>
      <c r="AI140" s="57"/>
      <c r="AJ140" s="57"/>
      <c r="AK140" s="57"/>
      <c r="AL140" s="57"/>
      <c r="AM140" s="57"/>
      <c r="AN140" s="57"/>
      <c r="AO140" s="57"/>
      <c r="AP140" s="57"/>
      <c r="AQ140" s="57"/>
      <c r="AR140" s="57"/>
      <c r="AS140" s="57"/>
      <c r="AT140" s="57"/>
      <c r="AU140" s="57"/>
      <c r="AV140" s="57"/>
      <c r="AW140" s="57"/>
      <c r="AX140" s="57"/>
      <c r="AY140" s="57"/>
      <c r="AZ140" s="57"/>
    </row>
    <row r="141" spans="1:52" s="29" customFormat="1" ht="12" hidden="1" customHeight="1" outlineLevel="1" x14ac:dyDescent="0.25">
      <c r="A141" s="370" t="s">
        <v>2995</v>
      </c>
      <c r="B141" s="518" t="s">
        <v>2763</v>
      </c>
      <c r="C141" s="371" t="s">
        <v>2764</v>
      </c>
      <c r="D141" s="372" t="s">
        <v>2765</v>
      </c>
      <c r="E141" s="519" t="s">
        <v>2766</v>
      </c>
      <c r="F141" s="372" t="s">
        <v>2751</v>
      </c>
      <c r="G141" s="520" t="s">
        <v>3247</v>
      </c>
      <c r="H141" s="372">
        <v>460</v>
      </c>
      <c r="I141" s="536" t="s">
        <v>1767</v>
      </c>
      <c r="J141" s="372" t="s">
        <v>2752</v>
      </c>
      <c r="K141" s="372" t="s">
        <v>2753</v>
      </c>
      <c r="L141" s="372" t="s">
        <v>2754</v>
      </c>
      <c r="M141" s="372" t="s">
        <v>2755</v>
      </c>
      <c r="N141" s="521">
        <v>2</v>
      </c>
      <c r="O141" s="522">
        <f>171/12*N141</f>
        <v>28.5</v>
      </c>
      <c r="P141" s="521">
        <v>11.2</v>
      </c>
      <c r="Q141" s="373">
        <f t="shared" si="38"/>
        <v>319.2</v>
      </c>
      <c r="R141" s="373"/>
      <c r="S141" s="389">
        <f t="shared" si="39"/>
        <v>0.69391304347826088</v>
      </c>
      <c r="T141" s="548">
        <v>45947</v>
      </c>
      <c r="U141" s="548">
        <v>45966</v>
      </c>
      <c r="V141" s="536"/>
      <c r="W141" s="531"/>
      <c r="X141" s="531"/>
      <c r="Y141" s="531"/>
      <c r="Z141" s="531"/>
      <c r="AA141" s="549"/>
      <c r="AB141" s="53"/>
      <c r="AC141" s="52"/>
      <c r="AD141" s="59"/>
      <c r="AE141" s="59"/>
      <c r="AF141" s="52"/>
      <c r="AG141" s="53"/>
      <c r="AH141" s="52"/>
      <c r="AI141" s="52"/>
      <c r="AJ141" s="495"/>
      <c r="AK141" s="495"/>
      <c r="AL141" s="495"/>
      <c r="AM141" s="56"/>
      <c r="AN141" s="53"/>
      <c r="AO141" s="53"/>
      <c r="AP141" s="495"/>
      <c r="AQ141" s="496"/>
      <c r="AR141" s="496"/>
      <c r="AS141" s="496"/>
      <c r="AT141" s="496"/>
      <c r="AU141" s="53"/>
      <c r="AV141" s="53"/>
      <c r="AW141" s="53"/>
      <c r="AX141" s="53"/>
      <c r="AY141" s="53"/>
      <c r="AZ141" s="53"/>
    </row>
    <row r="142" spans="1:52" s="29" customFormat="1" ht="12" hidden="1" customHeight="1" outlineLevel="1" x14ac:dyDescent="0.25">
      <c r="A142" s="370" t="s">
        <v>2995</v>
      </c>
      <c r="B142" s="520" t="s">
        <v>2763</v>
      </c>
      <c r="C142" s="371" t="s">
        <v>2764</v>
      </c>
      <c r="D142" s="372" t="s">
        <v>2765</v>
      </c>
      <c r="E142" s="519" t="s">
        <v>2295</v>
      </c>
      <c r="F142" s="372" t="s">
        <v>2751</v>
      </c>
      <c r="G142" s="520" t="s">
        <v>3248</v>
      </c>
      <c r="H142" s="372">
        <v>640</v>
      </c>
      <c r="I142" s="536" t="s">
        <v>1767</v>
      </c>
      <c r="J142" s="372" t="s">
        <v>2752</v>
      </c>
      <c r="K142" s="372" t="s">
        <v>2753</v>
      </c>
      <c r="L142" s="372" t="s">
        <v>2754</v>
      </c>
      <c r="M142" s="372" t="s">
        <v>2755</v>
      </c>
      <c r="N142" s="521">
        <v>10</v>
      </c>
      <c r="O142" s="522">
        <f>171/12*N142</f>
        <v>142.5</v>
      </c>
      <c r="P142" s="521">
        <v>11.2</v>
      </c>
      <c r="Q142" s="373">
        <f t="shared" si="38"/>
        <v>1596</v>
      </c>
      <c r="R142" s="373"/>
      <c r="S142" s="389">
        <f t="shared" si="39"/>
        <v>2.4937499999999999</v>
      </c>
      <c r="T142" s="548">
        <v>45947</v>
      </c>
      <c r="U142" s="548">
        <v>45966</v>
      </c>
      <c r="V142" s="536"/>
      <c r="W142" s="531"/>
      <c r="X142" s="531"/>
      <c r="Y142" s="531"/>
      <c r="Z142" s="531"/>
      <c r="AA142" s="549"/>
      <c r="AB142" s="53"/>
      <c r="AC142" s="52"/>
      <c r="AD142" s="59"/>
      <c r="AE142" s="59"/>
      <c r="AF142" s="52"/>
      <c r="AG142" s="53"/>
      <c r="AH142" s="52"/>
      <c r="AI142" s="52"/>
      <c r="AJ142" s="495"/>
      <c r="AK142" s="495"/>
      <c r="AL142" s="495"/>
      <c r="AM142" s="56"/>
      <c r="AN142" s="53"/>
      <c r="AO142" s="53"/>
      <c r="AP142" s="495"/>
      <c r="AQ142" s="496"/>
      <c r="AR142" s="496"/>
      <c r="AS142" s="496"/>
      <c r="AT142" s="496"/>
      <c r="AU142" s="53"/>
      <c r="AV142" s="53"/>
      <c r="AW142" s="53"/>
      <c r="AX142" s="53"/>
      <c r="AY142" s="53"/>
      <c r="AZ142" s="53"/>
    </row>
    <row r="143" spans="1:52" ht="13" hidden="1" customHeight="1" outlineLevel="1" x14ac:dyDescent="0.3">
      <c r="A143" s="523" t="s">
        <v>2996</v>
      </c>
      <c r="B143" s="374" t="s">
        <v>2767</v>
      </c>
      <c r="C143" s="520" t="s">
        <v>2768</v>
      </c>
      <c r="D143" s="561" t="s">
        <v>2769</v>
      </c>
      <c r="E143" s="519" t="s">
        <v>2770</v>
      </c>
      <c r="F143" s="372" t="s">
        <v>2751</v>
      </c>
      <c r="G143" s="520" t="s">
        <v>3249</v>
      </c>
      <c r="H143" s="536">
        <v>65</v>
      </c>
      <c r="I143" s="372" t="s">
        <v>1114</v>
      </c>
      <c r="J143" s="372" t="s">
        <v>2752</v>
      </c>
      <c r="K143" s="372" t="s">
        <v>2753</v>
      </c>
      <c r="L143" s="372" t="s">
        <v>2754</v>
      </c>
      <c r="M143" s="372" t="s">
        <v>2771</v>
      </c>
      <c r="N143" s="524">
        <v>1</v>
      </c>
      <c r="O143" s="522">
        <f>34/2*N143</f>
        <v>17</v>
      </c>
      <c r="P143" s="521">
        <v>24</v>
      </c>
      <c r="Q143" s="373">
        <f t="shared" si="38"/>
        <v>408</v>
      </c>
      <c r="R143" s="373"/>
      <c r="S143" s="389">
        <f t="shared" si="39"/>
        <v>6.2769230769230768</v>
      </c>
      <c r="T143" s="548">
        <v>45989</v>
      </c>
      <c r="U143" s="408">
        <v>46036</v>
      </c>
      <c r="V143" s="409"/>
      <c r="W143" s="319"/>
      <c r="X143" s="319"/>
      <c r="Y143" s="319"/>
      <c r="Z143" s="319"/>
      <c r="AA143" s="412"/>
      <c r="AB143" s="50"/>
      <c r="AC143" s="50"/>
      <c r="AD143" s="50"/>
      <c r="AE143" s="50"/>
      <c r="AF143" s="50"/>
      <c r="AG143" s="50"/>
      <c r="AH143" s="50"/>
      <c r="AI143" s="50"/>
      <c r="AJ143" s="50"/>
      <c r="AK143" s="50"/>
      <c r="AL143" s="50"/>
      <c r="AM143" s="50"/>
      <c r="AN143" s="50"/>
      <c r="AO143" s="50"/>
      <c r="AP143" s="50"/>
      <c r="AQ143" s="50"/>
      <c r="AR143" s="50"/>
      <c r="AS143" s="50"/>
      <c r="AT143" s="50"/>
      <c r="AU143" s="50"/>
      <c r="AV143" s="50"/>
      <c r="AW143" s="50"/>
      <c r="AX143" s="50"/>
      <c r="AY143" s="50"/>
      <c r="AZ143" s="50"/>
    </row>
    <row r="144" spans="1:52" ht="13" hidden="1" customHeight="1" outlineLevel="1" x14ac:dyDescent="0.3">
      <c r="A144" s="523" t="s">
        <v>2996</v>
      </c>
      <c r="B144" s="374" t="s">
        <v>2767</v>
      </c>
      <c r="C144" s="520" t="s">
        <v>2768</v>
      </c>
      <c r="D144" s="561" t="s">
        <v>2769</v>
      </c>
      <c r="E144" s="519" t="s">
        <v>2770</v>
      </c>
      <c r="F144" s="372" t="s">
        <v>2751</v>
      </c>
      <c r="G144" s="520" t="s">
        <v>3249</v>
      </c>
      <c r="H144" s="536">
        <v>35</v>
      </c>
      <c r="I144" s="372" t="s">
        <v>1114</v>
      </c>
      <c r="J144" s="372" t="s">
        <v>2752</v>
      </c>
      <c r="K144" s="372" t="s">
        <v>2753</v>
      </c>
      <c r="L144" s="372" t="s">
        <v>2754</v>
      </c>
      <c r="M144" s="372" t="s">
        <v>2771</v>
      </c>
      <c r="N144" s="524">
        <v>0.14893617021276601</v>
      </c>
      <c r="O144" s="522">
        <f>34/2*N144</f>
        <v>2.5319148936170222</v>
      </c>
      <c r="P144" s="521">
        <v>24</v>
      </c>
      <c r="Q144" s="373">
        <f t="shared" si="38"/>
        <v>60.765957446808528</v>
      </c>
      <c r="R144" s="373"/>
      <c r="S144" s="389">
        <f t="shared" si="39"/>
        <v>1.736170212765958</v>
      </c>
      <c r="T144" s="548">
        <v>45989</v>
      </c>
      <c r="U144" s="408">
        <v>46036</v>
      </c>
      <c r="V144" s="409"/>
      <c r="W144" s="319"/>
      <c r="X144" s="319"/>
      <c r="Y144" s="319"/>
      <c r="Z144" s="319"/>
      <c r="AA144" s="412"/>
      <c r="AB144" s="50"/>
      <c r="AC144" s="50"/>
      <c r="AD144" s="50"/>
      <c r="AE144" s="50"/>
      <c r="AF144" s="50"/>
      <c r="AG144" s="50"/>
      <c r="AH144" s="50"/>
      <c r="AI144" s="50"/>
      <c r="AJ144" s="50"/>
      <c r="AK144" s="50"/>
      <c r="AL144" s="50"/>
      <c r="AM144" s="50"/>
      <c r="AN144" s="50"/>
      <c r="AO144" s="50"/>
      <c r="AP144" s="50"/>
      <c r="AQ144" s="50"/>
      <c r="AR144" s="50"/>
      <c r="AS144" s="50"/>
      <c r="AT144" s="50"/>
      <c r="AU144" s="50"/>
      <c r="AV144" s="50"/>
      <c r="AW144" s="50"/>
      <c r="AX144" s="50"/>
      <c r="AY144" s="50"/>
      <c r="AZ144" s="50"/>
    </row>
    <row r="145" spans="1:52" ht="13" hidden="1" customHeight="1" outlineLevel="1" x14ac:dyDescent="0.3">
      <c r="A145" s="523" t="s">
        <v>2996</v>
      </c>
      <c r="B145" s="374" t="s">
        <v>2767</v>
      </c>
      <c r="C145" s="520" t="s">
        <v>2768</v>
      </c>
      <c r="D145" s="561" t="s">
        <v>2769</v>
      </c>
      <c r="E145" s="519" t="s">
        <v>2772</v>
      </c>
      <c r="F145" s="372" t="s">
        <v>2751</v>
      </c>
      <c r="G145" s="520" t="s">
        <v>3250</v>
      </c>
      <c r="H145" s="536">
        <v>200</v>
      </c>
      <c r="I145" s="372" t="s">
        <v>1114</v>
      </c>
      <c r="J145" s="372" t="s">
        <v>2752</v>
      </c>
      <c r="K145" s="372" t="s">
        <v>2753</v>
      </c>
      <c r="L145" s="372" t="s">
        <v>2754</v>
      </c>
      <c r="M145" s="372" t="s">
        <v>2771</v>
      </c>
      <c r="N145" s="524">
        <v>0.85106382978723405</v>
      </c>
      <c r="O145" s="522">
        <f>34/2*N145</f>
        <v>14.468085106382979</v>
      </c>
      <c r="P145" s="521">
        <v>24</v>
      </c>
      <c r="Q145" s="373">
        <f t="shared" si="38"/>
        <v>347.2340425531915</v>
      </c>
      <c r="R145" s="373"/>
      <c r="S145" s="389">
        <f t="shared" si="39"/>
        <v>1.7361702127659575</v>
      </c>
      <c r="T145" s="548">
        <v>45989</v>
      </c>
      <c r="U145" s="408">
        <v>46036</v>
      </c>
      <c r="V145" s="409"/>
      <c r="W145" s="319"/>
      <c r="X145" s="319"/>
      <c r="Y145" s="319"/>
      <c r="Z145" s="319"/>
      <c r="AA145" s="412"/>
      <c r="AB145" s="50"/>
      <c r="AC145" s="50"/>
      <c r="AD145" s="50"/>
      <c r="AE145" s="50"/>
      <c r="AF145" s="50"/>
      <c r="AG145" s="50"/>
      <c r="AH145" s="50"/>
      <c r="AI145" s="50"/>
      <c r="AJ145" s="50"/>
      <c r="AK145" s="50"/>
      <c r="AL145" s="50"/>
      <c r="AM145" s="50"/>
      <c r="AN145" s="50"/>
      <c r="AO145" s="50"/>
      <c r="AP145" s="50"/>
      <c r="AQ145" s="50"/>
      <c r="AR145" s="50"/>
      <c r="AS145" s="50"/>
      <c r="AT145" s="50"/>
      <c r="AU145" s="50"/>
      <c r="AV145" s="50"/>
      <c r="AW145" s="50"/>
      <c r="AX145" s="50"/>
      <c r="AY145" s="50"/>
      <c r="AZ145" s="50"/>
    </row>
    <row r="146" spans="1:52" ht="13" customHeight="1" collapsed="1" x14ac:dyDescent="0.3">
      <c r="A146" s="525" t="s">
        <v>2997</v>
      </c>
      <c r="B146" s="319" t="s">
        <v>3000</v>
      </c>
      <c r="C146" s="498" t="s">
        <v>2998</v>
      </c>
      <c r="D146" s="562" t="s">
        <v>2999</v>
      </c>
      <c r="E146" s="526" t="s">
        <v>2936</v>
      </c>
      <c r="F146" s="375" t="s">
        <v>3251</v>
      </c>
      <c r="G146" s="498" t="s">
        <v>3252</v>
      </c>
      <c r="H146" s="531">
        <v>100</v>
      </c>
      <c r="I146" s="375" t="s">
        <v>3253</v>
      </c>
      <c r="J146" s="375" t="s">
        <v>3254</v>
      </c>
      <c r="K146" s="375" t="s">
        <v>2753</v>
      </c>
      <c r="L146" s="375" t="s">
        <v>2754</v>
      </c>
      <c r="M146" s="375" t="s">
        <v>3255</v>
      </c>
      <c r="N146" s="527">
        <v>0.5</v>
      </c>
      <c r="O146" s="528">
        <f>5/1*N146</f>
        <v>2.5</v>
      </c>
      <c r="P146" s="529">
        <f>Q146/O146</f>
        <v>157</v>
      </c>
      <c r="Q146" s="376">
        <f>785/5*O146</f>
        <v>392.5</v>
      </c>
      <c r="R146" s="376"/>
      <c r="S146" s="390">
        <f>Q146/H146</f>
        <v>3.9249999999999998</v>
      </c>
      <c r="T146" s="539">
        <v>46037</v>
      </c>
      <c r="U146" s="392">
        <v>46044</v>
      </c>
      <c r="V146" s="319"/>
      <c r="W146" s="319"/>
      <c r="X146" s="319"/>
      <c r="Y146" s="319"/>
      <c r="Z146" s="319"/>
      <c r="AA146" s="412"/>
      <c r="AB146" s="50"/>
      <c r="AC146" s="50"/>
      <c r="AD146" s="50"/>
      <c r="AE146" s="50"/>
      <c r="AF146" s="50"/>
      <c r="AG146" s="50"/>
      <c r="AH146" s="50"/>
      <c r="AI146" s="50"/>
      <c r="AJ146" s="50"/>
      <c r="AK146" s="50"/>
      <c r="AL146" s="50"/>
      <c r="AM146" s="50"/>
      <c r="AN146" s="50"/>
      <c r="AO146" s="50"/>
      <c r="AP146" s="50"/>
      <c r="AQ146" s="50"/>
      <c r="AR146" s="50"/>
      <c r="AS146" s="50"/>
      <c r="AT146" s="50"/>
      <c r="AU146" s="50"/>
      <c r="AV146" s="50"/>
      <c r="AW146" s="50"/>
      <c r="AX146" s="50"/>
      <c r="AY146" s="50"/>
      <c r="AZ146" s="50"/>
    </row>
    <row r="147" spans="1:52" ht="13" customHeight="1" x14ac:dyDescent="0.3">
      <c r="A147" s="525" t="s">
        <v>2997</v>
      </c>
      <c r="B147" s="319" t="s">
        <v>3000</v>
      </c>
      <c r="C147" s="498" t="s">
        <v>2998</v>
      </c>
      <c r="D147" s="562" t="s">
        <v>2999</v>
      </c>
      <c r="E147" s="526" t="s">
        <v>2897</v>
      </c>
      <c r="F147" s="375" t="s">
        <v>3251</v>
      </c>
      <c r="G147" s="498" t="s">
        <v>3256</v>
      </c>
      <c r="H147" s="531">
        <v>60</v>
      </c>
      <c r="I147" s="375" t="s">
        <v>3253</v>
      </c>
      <c r="J147" s="375" t="s">
        <v>3254</v>
      </c>
      <c r="K147" s="375" t="s">
        <v>2753</v>
      </c>
      <c r="L147" s="375" t="s">
        <v>2754</v>
      </c>
      <c r="M147" s="375" t="s">
        <v>3255</v>
      </c>
      <c r="N147" s="527">
        <v>0.3</v>
      </c>
      <c r="O147" s="528">
        <f t="shared" ref="O147:O148" si="42">5/1*N147</f>
        <v>1.5</v>
      </c>
      <c r="P147" s="529">
        <f t="shared" ref="P147:P148" si="43">Q147/O147</f>
        <v>157</v>
      </c>
      <c r="Q147" s="376">
        <f t="shared" ref="Q147" si="44">785/5*O147</f>
        <v>235.5</v>
      </c>
      <c r="R147" s="376"/>
      <c r="S147" s="390">
        <f t="shared" ref="S147:S161" si="45">Q147/H147</f>
        <v>3.9249999999999998</v>
      </c>
      <c r="T147" s="539">
        <v>46037</v>
      </c>
      <c r="U147" s="392">
        <v>46044</v>
      </c>
      <c r="V147" s="319"/>
      <c r="W147" s="319"/>
      <c r="X147" s="319"/>
      <c r="Y147" s="319"/>
      <c r="Z147" s="319"/>
      <c r="AA147" s="412"/>
      <c r="AB147" s="50"/>
      <c r="AC147" s="50"/>
      <c r="AD147" s="50"/>
      <c r="AE147" s="50"/>
      <c r="AF147" s="50"/>
      <c r="AG147" s="50"/>
      <c r="AH147" s="50"/>
      <c r="AI147" s="50"/>
      <c r="AJ147" s="50"/>
      <c r="AK147" s="50"/>
      <c r="AL147" s="50"/>
      <c r="AM147" s="50"/>
      <c r="AN147" s="50"/>
      <c r="AO147" s="50"/>
      <c r="AP147" s="50"/>
      <c r="AQ147" s="50"/>
      <c r="AR147" s="50"/>
      <c r="AS147" s="50"/>
      <c r="AT147" s="50"/>
      <c r="AU147" s="50"/>
      <c r="AV147" s="50"/>
      <c r="AW147" s="50"/>
      <c r="AX147" s="50"/>
      <c r="AY147" s="50"/>
      <c r="AZ147" s="50"/>
    </row>
    <row r="148" spans="1:52" ht="13" customHeight="1" x14ac:dyDescent="0.3">
      <c r="A148" s="552" t="s">
        <v>2997</v>
      </c>
      <c r="B148" s="417" t="s">
        <v>3000</v>
      </c>
      <c r="C148" s="553" t="s">
        <v>2998</v>
      </c>
      <c r="D148" s="563" t="s">
        <v>2999</v>
      </c>
      <c r="E148" s="554" t="s">
        <v>2900</v>
      </c>
      <c r="F148" s="418" t="s">
        <v>3251</v>
      </c>
      <c r="G148" s="553" t="s">
        <v>3257</v>
      </c>
      <c r="H148" s="555">
        <v>40</v>
      </c>
      <c r="I148" s="418" t="s">
        <v>3253</v>
      </c>
      <c r="J148" s="418" t="s">
        <v>3254</v>
      </c>
      <c r="K148" s="418" t="s">
        <v>2753</v>
      </c>
      <c r="L148" s="418" t="s">
        <v>2754</v>
      </c>
      <c r="M148" s="418" t="s">
        <v>3255</v>
      </c>
      <c r="N148" s="556">
        <v>0.2</v>
      </c>
      <c r="O148" s="557">
        <f t="shared" si="42"/>
        <v>1</v>
      </c>
      <c r="P148" s="558">
        <f t="shared" si="43"/>
        <v>157</v>
      </c>
      <c r="Q148" s="419">
        <f>785/5*O148</f>
        <v>157</v>
      </c>
      <c r="R148" s="419"/>
      <c r="S148" s="574">
        <f t="shared" si="45"/>
        <v>3.9249999999999998</v>
      </c>
      <c r="T148" s="559">
        <v>46037</v>
      </c>
      <c r="U148" s="420">
        <v>46044</v>
      </c>
      <c r="V148" s="417"/>
      <c r="W148" s="319"/>
      <c r="X148" s="319"/>
      <c r="Y148" s="319"/>
      <c r="Z148" s="319"/>
      <c r="AA148" s="412"/>
      <c r="AB148" s="50"/>
      <c r="AC148" s="50"/>
      <c r="AD148" s="50"/>
      <c r="AE148" s="50"/>
      <c r="AF148" s="50"/>
      <c r="AG148" s="50"/>
      <c r="AH148" s="50"/>
      <c r="AI148" s="50"/>
      <c r="AJ148" s="50"/>
      <c r="AK148" s="50"/>
      <c r="AL148" s="50"/>
      <c r="AM148" s="50"/>
      <c r="AN148" s="50"/>
      <c r="AO148" s="50"/>
      <c r="AP148" s="50"/>
      <c r="AQ148" s="50"/>
      <c r="AR148" s="50"/>
      <c r="AS148" s="50"/>
      <c r="AT148" s="50"/>
      <c r="AU148" s="50"/>
      <c r="AV148" s="50"/>
      <c r="AW148" s="50"/>
      <c r="AX148" s="50"/>
      <c r="AY148" s="50"/>
      <c r="AZ148" s="50"/>
    </row>
    <row r="149" spans="1:52" s="448" customFormat="1" ht="13" customHeight="1" x14ac:dyDescent="0.3">
      <c r="A149" s="438" t="s">
        <v>3184</v>
      </c>
      <c r="B149" s="439" t="s">
        <v>3683</v>
      </c>
      <c r="C149" s="440" t="s">
        <v>3684</v>
      </c>
      <c r="D149" s="441" t="s">
        <v>3185</v>
      </c>
      <c r="E149" s="440" t="s">
        <v>614</v>
      </c>
      <c r="F149" s="441" t="s">
        <v>4256</v>
      </c>
      <c r="G149" s="440" t="s">
        <v>3229</v>
      </c>
      <c r="H149" s="441">
        <v>144</v>
      </c>
      <c r="I149" s="441" t="s">
        <v>207</v>
      </c>
      <c r="J149" s="441" t="s">
        <v>2636</v>
      </c>
      <c r="K149" s="442" t="s">
        <v>2753</v>
      </c>
      <c r="L149" s="442" t="s">
        <v>2754</v>
      </c>
      <c r="M149" s="442" t="s">
        <v>3255</v>
      </c>
      <c r="N149" s="564">
        <v>4</v>
      </c>
      <c r="O149" s="565">
        <f>14.71*N149</f>
        <v>58.84</v>
      </c>
      <c r="P149" s="443">
        <v>13.5</v>
      </c>
      <c r="Q149" s="443">
        <v>1442</v>
      </c>
      <c r="R149" s="443"/>
      <c r="S149" s="575">
        <f t="shared" si="45"/>
        <v>10.013888888888889</v>
      </c>
      <c r="T149" s="444">
        <v>46051</v>
      </c>
      <c r="U149" s="444"/>
      <c r="V149" s="441"/>
      <c r="W149" s="445"/>
      <c r="X149" s="445"/>
      <c r="Y149" s="445"/>
      <c r="Z149" s="445"/>
      <c r="AA149" s="446"/>
      <c r="AB149" s="447"/>
      <c r="AC149" s="447"/>
      <c r="AD149" s="447"/>
      <c r="AE149" s="447"/>
      <c r="AF149" s="447"/>
      <c r="AG149" s="447"/>
      <c r="AH149" s="447"/>
      <c r="AI149" s="447"/>
      <c r="AJ149" s="447"/>
      <c r="AK149" s="447"/>
      <c r="AL149" s="447"/>
      <c r="AM149" s="447"/>
      <c r="AN149" s="447"/>
      <c r="AO149" s="447"/>
      <c r="AP149" s="447"/>
      <c r="AQ149" s="447"/>
      <c r="AR149" s="447"/>
      <c r="AS149" s="447"/>
      <c r="AT149" s="447"/>
      <c r="AU149" s="447"/>
      <c r="AV149" s="447"/>
      <c r="AW149" s="447"/>
      <c r="AX149" s="447"/>
      <c r="AY149" s="447"/>
      <c r="AZ149" s="447"/>
    </row>
    <row r="150" spans="1:52" s="448" customFormat="1" ht="13" customHeight="1" x14ac:dyDescent="0.3">
      <c r="A150" s="449" t="s">
        <v>3184</v>
      </c>
      <c r="B150" s="450" t="s">
        <v>3687</v>
      </c>
      <c r="C150" s="451" t="s">
        <v>3688</v>
      </c>
      <c r="D150" s="445" t="s">
        <v>3186</v>
      </c>
      <c r="E150" s="451" t="s">
        <v>305</v>
      </c>
      <c r="F150" s="445" t="s">
        <v>4256</v>
      </c>
      <c r="G150" s="451" t="s">
        <v>3258</v>
      </c>
      <c r="H150" s="445">
        <v>156</v>
      </c>
      <c r="I150" s="445" t="s">
        <v>306</v>
      </c>
      <c r="J150" s="445" t="s">
        <v>2636</v>
      </c>
      <c r="K150" s="452" t="s">
        <v>2753</v>
      </c>
      <c r="L150" s="452" t="s">
        <v>2754</v>
      </c>
      <c r="M150" s="452" t="s">
        <v>3255</v>
      </c>
      <c r="N150" s="566">
        <v>2</v>
      </c>
      <c r="O150" s="567">
        <f>22*N150</f>
        <v>44</v>
      </c>
      <c r="P150" s="453">
        <v>16.5</v>
      </c>
      <c r="Q150" s="453">
        <v>742.5</v>
      </c>
      <c r="R150" s="453"/>
      <c r="S150" s="453">
        <f t="shared" si="45"/>
        <v>4.759615384615385</v>
      </c>
      <c r="T150" s="454">
        <v>46052</v>
      </c>
      <c r="U150" s="454"/>
      <c r="V150" s="445"/>
      <c r="W150" s="445"/>
      <c r="X150" s="445"/>
      <c r="Y150" s="445"/>
      <c r="Z150" s="445"/>
      <c r="AA150" s="446"/>
      <c r="AB150" s="447"/>
      <c r="AC150" s="447"/>
      <c r="AD150" s="447"/>
      <c r="AE150" s="447"/>
      <c r="AF150" s="447"/>
      <c r="AG150" s="447"/>
      <c r="AH150" s="447"/>
      <c r="AI150" s="447"/>
      <c r="AJ150" s="447"/>
      <c r="AK150" s="447"/>
      <c r="AL150" s="447"/>
      <c r="AM150" s="447"/>
      <c r="AN150" s="447"/>
      <c r="AO150" s="447"/>
      <c r="AP150" s="447"/>
      <c r="AQ150" s="447"/>
      <c r="AR150" s="447"/>
      <c r="AS150" s="447"/>
      <c r="AT150" s="447"/>
      <c r="AU150" s="447"/>
      <c r="AV150" s="447"/>
      <c r="AW150" s="447"/>
      <c r="AX150" s="447"/>
      <c r="AY150" s="447"/>
      <c r="AZ150" s="447"/>
    </row>
    <row r="151" spans="1:52" s="448" customFormat="1" ht="13" customHeight="1" x14ac:dyDescent="0.3">
      <c r="A151" s="449" t="s">
        <v>3184</v>
      </c>
      <c r="B151" s="450" t="s">
        <v>3685</v>
      </c>
      <c r="C151" s="451" t="s">
        <v>3686</v>
      </c>
      <c r="D151" s="445" t="s">
        <v>3187</v>
      </c>
      <c r="E151" s="451" t="s">
        <v>2766</v>
      </c>
      <c r="F151" s="445" t="s">
        <v>4256</v>
      </c>
      <c r="G151" s="451" t="s">
        <v>3259</v>
      </c>
      <c r="H151" s="445">
        <v>200</v>
      </c>
      <c r="I151" s="445" t="s">
        <v>306</v>
      </c>
      <c r="J151" s="445" t="s">
        <v>2636</v>
      </c>
      <c r="K151" s="452" t="s">
        <v>2753</v>
      </c>
      <c r="L151" s="452" t="s">
        <v>2754</v>
      </c>
      <c r="M151" s="452" t="s">
        <v>3255</v>
      </c>
      <c r="N151" s="566">
        <v>1</v>
      </c>
      <c r="O151" s="567">
        <v>9.8000000000000007</v>
      </c>
      <c r="P151" s="453">
        <v>16.5</v>
      </c>
      <c r="Q151" s="453">
        <f>445.5/19.1*O151</f>
        <v>228.58115183246073</v>
      </c>
      <c r="R151" s="453"/>
      <c r="S151" s="453">
        <f t="shared" si="45"/>
        <v>1.1429057591623037</v>
      </c>
      <c r="T151" s="454">
        <v>46051</v>
      </c>
      <c r="U151" s="454"/>
      <c r="V151" s="445"/>
      <c r="W151" s="445"/>
      <c r="X151" s="445"/>
      <c r="Y151" s="445"/>
      <c r="Z151" s="445"/>
      <c r="AA151" s="446"/>
      <c r="AB151" s="447"/>
      <c r="AC151" s="447"/>
      <c r="AD151" s="447"/>
      <c r="AE151" s="447"/>
      <c r="AF151" s="447"/>
      <c r="AG151" s="447"/>
      <c r="AH151" s="447"/>
      <c r="AI151" s="447"/>
      <c r="AJ151" s="447"/>
      <c r="AK151" s="447"/>
      <c r="AL151" s="447"/>
      <c r="AM151" s="447"/>
      <c r="AN151" s="447"/>
      <c r="AO151" s="447"/>
      <c r="AP151" s="447"/>
      <c r="AQ151" s="447"/>
      <c r="AR151" s="447"/>
      <c r="AS151" s="447"/>
      <c r="AT151" s="447"/>
      <c r="AU151" s="447"/>
      <c r="AV151" s="447"/>
      <c r="AW151" s="447"/>
      <c r="AX151" s="447"/>
      <c r="AY151" s="447"/>
      <c r="AZ151" s="447"/>
    </row>
    <row r="152" spans="1:52" s="448" customFormat="1" ht="13" customHeight="1" x14ac:dyDescent="0.3">
      <c r="A152" s="449" t="s">
        <v>3184</v>
      </c>
      <c r="B152" s="450" t="s">
        <v>3685</v>
      </c>
      <c r="C152" s="451" t="s">
        <v>3686</v>
      </c>
      <c r="D152" s="445" t="s">
        <v>3187</v>
      </c>
      <c r="E152" s="451" t="s">
        <v>3188</v>
      </c>
      <c r="F152" s="445" t="s">
        <v>4256</v>
      </c>
      <c r="G152" s="451" t="s">
        <v>3260</v>
      </c>
      <c r="H152" s="445">
        <v>100</v>
      </c>
      <c r="I152" s="445" t="s">
        <v>306</v>
      </c>
      <c r="J152" s="445" t="s">
        <v>2636</v>
      </c>
      <c r="K152" s="452" t="s">
        <v>2753</v>
      </c>
      <c r="L152" s="452" t="s">
        <v>2754</v>
      </c>
      <c r="M152" s="452" t="s">
        <v>3255</v>
      </c>
      <c r="N152" s="566">
        <v>1</v>
      </c>
      <c r="O152" s="567">
        <v>9.3000000000000007</v>
      </c>
      <c r="P152" s="453">
        <v>16.5</v>
      </c>
      <c r="Q152" s="453">
        <f>445.5/19.1*O152</f>
        <v>216.91884816753927</v>
      </c>
      <c r="R152" s="453"/>
      <c r="S152" s="453">
        <f t="shared" si="45"/>
        <v>2.1691884816753926</v>
      </c>
      <c r="T152" s="454">
        <v>46051</v>
      </c>
      <c r="U152" s="454"/>
      <c r="V152" s="445"/>
      <c r="W152" s="445"/>
      <c r="X152" s="445"/>
      <c r="Y152" s="445"/>
      <c r="Z152" s="445"/>
      <c r="AA152" s="446"/>
      <c r="AB152" s="447"/>
      <c r="AC152" s="447"/>
      <c r="AD152" s="447"/>
      <c r="AE152" s="447"/>
      <c r="AF152" s="447"/>
      <c r="AG152" s="447"/>
      <c r="AH152" s="447"/>
      <c r="AI152" s="447"/>
      <c r="AJ152" s="447"/>
      <c r="AK152" s="447"/>
      <c r="AL152" s="447"/>
      <c r="AM152" s="447"/>
      <c r="AN152" s="447"/>
      <c r="AO152" s="447"/>
      <c r="AP152" s="447"/>
      <c r="AQ152" s="447"/>
      <c r="AR152" s="447"/>
      <c r="AS152" s="447"/>
      <c r="AT152" s="447"/>
      <c r="AU152" s="447"/>
      <c r="AV152" s="447"/>
      <c r="AW152" s="447"/>
      <c r="AX152" s="447"/>
      <c r="AY152" s="447"/>
      <c r="AZ152" s="447"/>
    </row>
    <row r="153" spans="1:52" ht="13" customHeight="1" x14ac:dyDescent="0.3">
      <c r="A153" s="377" t="s">
        <v>4579</v>
      </c>
      <c r="B153" s="363" t="s">
        <v>4586</v>
      </c>
      <c r="C153" s="317" t="s">
        <v>4585</v>
      </c>
      <c r="D153" s="319" t="s">
        <v>4578</v>
      </c>
      <c r="E153" s="317" t="s">
        <v>4577</v>
      </c>
      <c r="F153" s="319"/>
      <c r="G153" s="484" t="s">
        <v>4587</v>
      </c>
      <c r="H153" s="319">
        <v>50</v>
      </c>
      <c r="I153" s="319" t="s">
        <v>4580</v>
      </c>
      <c r="J153" s="319" t="s">
        <v>4581</v>
      </c>
      <c r="K153" s="319" t="s">
        <v>4582</v>
      </c>
      <c r="L153" s="319" t="s">
        <v>2653</v>
      </c>
      <c r="M153" s="319" t="s">
        <v>4583</v>
      </c>
      <c r="N153" s="320">
        <v>0.5</v>
      </c>
      <c r="O153" s="321">
        <v>6.5</v>
      </c>
      <c r="P153" s="568">
        <v>17</v>
      </c>
      <c r="Q153" s="320">
        <f>O153*P153</f>
        <v>110.5</v>
      </c>
      <c r="R153" s="320">
        <v>11.5</v>
      </c>
      <c r="S153" s="390">
        <f t="shared" si="45"/>
        <v>2.21</v>
      </c>
      <c r="T153" s="392">
        <v>46150</v>
      </c>
      <c r="U153" s="392">
        <v>46184</v>
      </c>
      <c r="V153" s="319"/>
      <c r="W153" s="319"/>
      <c r="X153" s="319"/>
      <c r="Y153" s="319"/>
      <c r="Z153" s="319"/>
      <c r="AA153" s="634" t="s">
        <v>4730</v>
      </c>
      <c r="AB153" s="50"/>
      <c r="AC153" s="50"/>
      <c r="AD153" s="50"/>
      <c r="AE153" s="50"/>
      <c r="AF153" s="50"/>
      <c r="AG153" s="50"/>
      <c r="AH153" s="50"/>
      <c r="AI153" s="50"/>
      <c r="AJ153" s="50"/>
      <c r="AK153" s="50"/>
      <c r="AL153" s="50"/>
      <c r="AM153" s="50"/>
      <c r="AN153" s="50"/>
      <c r="AO153" s="50"/>
      <c r="AP153" s="50"/>
      <c r="AQ153" s="50"/>
      <c r="AR153" s="50"/>
      <c r="AS153" s="50"/>
      <c r="AT153" s="50"/>
      <c r="AU153" s="50"/>
      <c r="AV153" s="50"/>
      <c r="AW153" s="50"/>
      <c r="AX153" s="50"/>
      <c r="AY153" s="50"/>
      <c r="AZ153" s="50"/>
    </row>
    <row r="154" spans="1:52" ht="13" customHeight="1" x14ac:dyDescent="0.3">
      <c r="A154" s="377" t="s">
        <v>4579</v>
      </c>
      <c r="B154" s="363" t="s">
        <v>4586</v>
      </c>
      <c r="C154" s="317" t="s">
        <v>4585</v>
      </c>
      <c r="D154" s="319" t="s">
        <v>4578</v>
      </c>
      <c r="E154" s="317" t="s">
        <v>2766</v>
      </c>
      <c r="F154" s="319"/>
      <c r="G154" s="484" t="s">
        <v>4588</v>
      </c>
      <c r="H154" s="319">
        <v>100</v>
      </c>
      <c r="I154" s="319" t="s">
        <v>4580</v>
      </c>
      <c r="J154" s="319" t="s">
        <v>4581</v>
      </c>
      <c r="K154" s="319" t="s">
        <v>4582</v>
      </c>
      <c r="L154" s="319" t="s">
        <v>2653</v>
      </c>
      <c r="M154" s="319" t="s">
        <v>4583</v>
      </c>
      <c r="N154" s="320">
        <v>0.5</v>
      </c>
      <c r="O154" s="321">
        <v>6.5</v>
      </c>
      <c r="P154" s="568">
        <v>17</v>
      </c>
      <c r="Q154" s="320">
        <f t="shared" ref="Q154:Q161" si="46">O154*P154</f>
        <v>110.5</v>
      </c>
      <c r="R154" s="320">
        <v>11.5</v>
      </c>
      <c r="S154" s="390">
        <f t="shared" si="45"/>
        <v>1.105</v>
      </c>
      <c r="T154" s="392">
        <v>46150</v>
      </c>
      <c r="U154" s="392">
        <v>46184</v>
      </c>
      <c r="V154" s="319"/>
      <c r="W154" s="319"/>
      <c r="X154" s="319"/>
      <c r="Y154" s="319"/>
      <c r="Z154" s="319"/>
      <c r="AA154" s="635"/>
      <c r="AB154" s="50"/>
      <c r="AC154" s="50"/>
      <c r="AD154" s="50"/>
      <c r="AE154" s="50"/>
      <c r="AF154" s="50"/>
      <c r="AG154" s="50"/>
      <c r="AH154" s="50"/>
      <c r="AI154" s="50"/>
      <c r="AJ154" s="50"/>
      <c r="AK154" s="50"/>
      <c r="AL154" s="50"/>
      <c r="AM154" s="50"/>
      <c r="AN154" s="50"/>
      <c r="AO154" s="50"/>
      <c r="AP154" s="50"/>
      <c r="AQ154" s="50"/>
      <c r="AR154" s="50"/>
      <c r="AS154" s="50"/>
      <c r="AT154" s="50"/>
      <c r="AU154" s="50"/>
      <c r="AV154" s="50"/>
      <c r="AW154" s="50"/>
      <c r="AX154" s="50"/>
      <c r="AY154" s="50"/>
      <c r="AZ154" s="50"/>
    </row>
    <row r="155" spans="1:52" ht="13" customHeight="1" x14ac:dyDescent="0.3">
      <c r="A155" s="377" t="s">
        <v>4579</v>
      </c>
      <c r="B155" s="363" t="s">
        <v>4586</v>
      </c>
      <c r="C155" s="317" t="s">
        <v>4585</v>
      </c>
      <c r="D155" s="319" t="s">
        <v>4578</v>
      </c>
      <c r="E155" s="317" t="s">
        <v>2766</v>
      </c>
      <c r="F155" s="319"/>
      <c r="G155" s="484" t="s">
        <v>4588</v>
      </c>
      <c r="H155" s="319">
        <v>200</v>
      </c>
      <c r="I155" s="319" t="s">
        <v>4580</v>
      </c>
      <c r="J155" s="319" t="s">
        <v>4581</v>
      </c>
      <c r="K155" s="319" t="s">
        <v>4582</v>
      </c>
      <c r="L155" s="319" t="s">
        <v>2653</v>
      </c>
      <c r="M155" s="319" t="s">
        <v>4583</v>
      </c>
      <c r="N155" s="320">
        <v>1</v>
      </c>
      <c r="O155" s="321">
        <v>13</v>
      </c>
      <c r="P155" s="568">
        <v>17</v>
      </c>
      <c r="Q155" s="320">
        <f t="shared" si="46"/>
        <v>221</v>
      </c>
      <c r="R155" s="320">
        <v>23</v>
      </c>
      <c r="S155" s="390">
        <f t="shared" si="45"/>
        <v>1.105</v>
      </c>
      <c r="T155" s="392">
        <v>46150</v>
      </c>
      <c r="U155" s="392">
        <v>46184</v>
      </c>
      <c r="V155" s="319"/>
      <c r="W155" s="319"/>
      <c r="X155" s="319"/>
      <c r="Y155" s="319"/>
      <c r="Z155" s="319"/>
      <c r="AA155" s="636"/>
      <c r="AB155" s="50"/>
      <c r="AC155" s="50"/>
      <c r="AD155" s="50"/>
      <c r="AE155" s="50"/>
      <c r="AF155" s="50"/>
      <c r="AG155" s="50"/>
      <c r="AH155" s="50"/>
      <c r="AI155" s="50"/>
      <c r="AJ155" s="50"/>
      <c r="AK155" s="50"/>
      <c r="AL155" s="50"/>
      <c r="AM155" s="50"/>
      <c r="AN155" s="50"/>
      <c r="AO155" s="50"/>
      <c r="AP155" s="50"/>
      <c r="AQ155" s="50"/>
      <c r="AR155" s="50"/>
      <c r="AS155" s="50"/>
      <c r="AT155" s="50"/>
      <c r="AU155" s="50"/>
      <c r="AV155" s="50"/>
      <c r="AW155" s="50"/>
      <c r="AX155" s="50"/>
      <c r="AY155" s="50"/>
      <c r="AZ155" s="50"/>
    </row>
    <row r="156" spans="1:52" ht="13" customHeight="1" x14ac:dyDescent="0.3">
      <c r="A156" s="377" t="s">
        <v>4579</v>
      </c>
      <c r="B156" s="319" t="s">
        <v>4574</v>
      </c>
      <c r="C156" s="317"/>
      <c r="D156" s="319" t="s">
        <v>4574</v>
      </c>
      <c r="E156" s="317" t="s">
        <v>980</v>
      </c>
      <c r="F156" s="319"/>
      <c r="G156" s="484" t="s">
        <v>4589</v>
      </c>
      <c r="H156" s="319">
        <v>36</v>
      </c>
      <c r="I156" s="319" t="s">
        <v>4583</v>
      </c>
      <c r="J156" s="319" t="s">
        <v>4581</v>
      </c>
      <c r="K156" s="319" t="s">
        <v>4582</v>
      </c>
      <c r="L156" s="319" t="s">
        <v>2653</v>
      </c>
      <c r="M156" s="319" t="s">
        <v>4583</v>
      </c>
      <c r="N156" s="320">
        <v>9</v>
      </c>
      <c r="O156" s="321">
        <v>220</v>
      </c>
      <c r="P156" s="568">
        <v>6.4</v>
      </c>
      <c r="Q156" s="320">
        <f t="shared" si="46"/>
        <v>1408</v>
      </c>
      <c r="R156" s="320">
        <v>350</v>
      </c>
      <c r="S156" s="390">
        <f t="shared" si="45"/>
        <v>39.111111111111114</v>
      </c>
      <c r="T156" s="392">
        <v>46151</v>
      </c>
      <c r="U156" s="392"/>
      <c r="V156" s="319"/>
      <c r="W156" s="319"/>
      <c r="X156" s="319"/>
      <c r="Y156" s="319"/>
      <c r="Z156" s="319"/>
      <c r="AA156" s="416" t="s">
        <v>4733</v>
      </c>
      <c r="AB156" s="50"/>
      <c r="AC156" s="50"/>
      <c r="AD156" s="50"/>
      <c r="AE156" s="50"/>
      <c r="AF156" s="50"/>
      <c r="AG156" s="50"/>
      <c r="AH156" s="50"/>
      <c r="AI156" s="50"/>
      <c r="AJ156" s="50"/>
      <c r="AK156" s="50"/>
      <c r="AL156" s="50"/>
      <c r="AM156" s="50"/>
      <c r="AN156" s="50"/>
      <c r="AO156" s="50"/>
      <c r="AP156" s="50"/>
      <c r="AQ156" s="50"/>
      <c r="AR156" s="50"/>
      <c r="AS156" s="50"/>
      <c r="AT156" s="50"/>
      <c r="AU156" s="50"/>
      <c r="AV156" s="50"/>
      <c r="AW156" s="50"/>
      <c r="AX156" s="50"/>
      <c r="AY156" s="50"/>
      <c r="AZ156" s="50"/>
    </row>
    <row r="157" spans="1:52" ht="13" customHeight="1" x14ac:dyDescent="0.3">
      <c r="A157" s="377" t="s">
        <v>4579</v>
      </c>
      <c r="B157" s="326" t="s">
        <v>4692</v>
      </c>
      <c r="C157" s="569">
        <v>871602015349</v>
      </c>
      <c r="D157" s="319" t="s">
        <v>4575</v>
      </c>
      <c r="E157" s="317" t="s">
        <v>614</v>
      </c>
      <c r="F157" s="319"/>
      <c r="G157" s="484" t="s">
        <v>4590</v>
      </c>
      <c r="H157" s="319">
        <v>72</v>
      </c>
      <c r="I157" s="319" t="s">
        <v>4584</v>
      </c>
      <c r="J157" s="319" t="s">
        <v>4581</v>
      </c>
      <c r="K157" s="319" t="s">
        <v>4582</v>
      </c>
      <c r="L157" s="319" t="s">
        <v>2653</v>
      </c>
      <c r="M157" s="319" t="s">
        <v>4583</v>
      </c>
      <c r="N157" s="320">
        <v>2</v>
      </c>
      <c r="O157" s="321">
        <v>46</v>
      </c>
      <c r="P157" s="568">
        <v>16.899999999999999</v>
      </c>
      <c r="Q157" s="320">
        <f t="shared" si="46"/>
        <v>777.4</v>
      </c>
      <c r="R157" s="320">
        <v>200</v>
      </c>
      <c r="S157" s="390">
        <f t="shared" si="45"/>
        <v>10.797222222222222</v>
      </c>
      <c r="T157" s="392">
        <v>46151</v>
      </c>
      <c r="U157" s="392">
        <v>46180</v>
      </c>
      <c r="V157" s="319"/>
      <c r="W157" s="319"/>
      <c r="X157" s="319"/>
      <c r="Y157" s="319"/>
      <c r="Z157" s="319"/>
      <c r="AA157" s="416" t="s">
        <v>4734</v>
      </c>
      <c r="AB157" s="50"/>
      <c r="AC157" s="50"/>
      <c r="AD157" s="50"/>
      <c r="AE157" s="50"/>
      <c r="AF157" s="50"/>
      <c r="AG157" s="50"/>
      <c r="AH157" s="50"/>
      <c r="AI157" s="50"/>
      <c r="AJ157" s="50"/>
      <c r="AK157" s="50"/>
      <c r="AL157" s="50"/>
      <c r="AM157" s="50"/>
      <c r="AN157" s="50"/>
      <c r="AO157" s="50"/>
      <c r="AP157" s="50"/>
      <c r="AQ157" s="50"/>
      <c r="AR157" s="50"/>
      <c r="AS157" s="50"/>
      <c r="AT157" s="50"/>
      <c r="AU157" s="50"/>
      <c r="AV157" s="50"/>
      <c r="AW157" s="50"/>
      <c r="AX157" s="50"/>
      <c r="AY157" s="50"/>
      <c r="AZ157" s="50"/>
    </row>
    <row r="158" spans="1:52" ht="13" customHeight="1" x14ac:dyDescent="0.3">
      <c r="A158" s="377" t="s">
        <v>4684</v>
      </c>
      <c r="B158" s="326" t="s">
        <v>4681</v>
      </c>
      <c r="C158" s="317"/>
      <c r="D158" s="319" t="s">
        <v>4681</v>
      </c>
      <c r="E158" s="317" t="s">
        <v>2897</v>
      </c>
      <c r="F158" s="319"/>
      <c r="G158" s="317" t="s">
        <v>3256</v>
      </c>
      <c r="H158" s="319">
        <v>150</v>
      </c>
      <c r="I158" s="319" t="s">
        <v>4687</v>
      </c>
      <c r="J158" s="319" t="s">
        <v>4581</v>
      </c>
      <c r="K158" s="319" t="s">
        <v>4688</v>
      </c>
      <c r="L158" s="319" t="s">
        <v>4689</v>
      </c>
      <c r="M158" s="319" t="s">
        <v>4687</v>
      </c>
      <c r="N158" s="320">
        <v>0.5</v>
      </c>
      <c r="O158" s="321">
        <v>8</v>
      </c>
      <c r="P158" s="320">
        <v>15.7</v>
      </c>
      <c r="Q158" s="320">
        <f t="shared" si="46"/>
        <v>125.6</v>
      </c>
      <c r="R158" s="320">
        <v>13</v>
      </c>
      <c r="S158" s="390">
        <f t="shared" si="45"/>
        <v>0.83733333333333326</v>
      </c>
      <c r="T158" s="392">
        <v>46170</v>
      </c>
      <c r="U158" s="392"/>
      <c r="V158" s="319"/>
      <c r="W158" s="319"/>
      <c r="X158" s="319"/>
      <c r="Y158" s="319"/>
      <c r="Z158" s="319"/>
      <c r="AA158" s="634" t="s">
        <v>4731</v>
      </c>
      <c r="AB158" s="50"/>
      <c r="AC158" s="50"/>
      <c r="AD158" s="50"/>
      <c r="AE158" s="50"/>
      <c r="AF158" s="50"/>
      <c r="AG158" s="50"/>
      <c r="AH158" s="50"/>
      <c r="AI158" s="50"/>
      <c r="AJ158" s="50"/>
      <c r="AK158" s="50"/>
      <c r="AL158" s="50"/>
      <c r="AM158" s="50"/>
      <c r="AN158" s="50"/>
      <c r="AO158" s="50"/>
      <c r="AP158" s="50"/>
      <c r="AQ158" s="50"/>
      <c r="AR158" s="50"/>
      <c r="AS158" s="50"/>
      <c r="AT158" s="50"/>
      <c r="AU158" s="50"/>
      <c r="AV158" s="50"/>
      <c r="AW158" s="50"/>
      <c r="AX158" s="50"/>
      <c r="AY158" s="50"/>
      <c r="AZ158" s="50"/>
    </row>
    <row r="159" spans="1:52" ht="13" customHeight="1" x14ac:dyDescent="0.3">
      <c r="A159" s="377" t="s">
        <v>4684</v>
      </c>
      <c r="B159" s="326" t="s">
        <v>4681</v>
      </c>
      <c r="C159" s="317"/>
      <c r="D159" s="319" t="s">
        <v>4681</v>
      </c>
      <c r="E159" s="317" t="s">
        <v>2900</v>
      </c>
      <c r="F159" s="319"/>
      <c r="G159" s="317" t="s">
        <v>3257</v>
      </c>
      <c r="H159" s="319">
        <v>50</v>
      </c>
      <c r="I159" s="319" t="s">
        <v>4687</v>
      </c>
      <c r="J159" s="319" t="s">
        <v>4581</v>
      </c>
      <c r="K159" s="319" t="s">
        <v>4688</v>
      </c>
      <c r="L159" s="319" t="s">
        <v>4689</v>
      </c>
      <c r="M159" s="319" t="s">
        <v>4687</v>
      </c>
      <c r="N159" s="320">
        <v>0.2</v>
      </c>
      <c r="O159" s="321">
        <v>3.2</v>
      </c>
      <c r="P159" s="320">
        <v>15.7</v>
      </c>
      <c r="Q159" s="320">
        <f t="shared" si="46"/>
        <v>50.24</v>
      </c>
      <c r="R159" s="320">
        <v>5.2</v>
      </c>
      <c r="S159" s="390">
        <f t="shared" si="45"/>
        <v>1.0048000000000001</v>
      </c>
      <c r="T159" s="392">
        <v>46170</v>
      </c>
      <c r="U159" s="392"/>
      <c r="V159" s="319"/>
      <c r="W159" s="319"/>
      <c r="X159" s="319"/>
      <c r="Y159" s="319"/>
      <c r="Z159" s="319"/>
      <c r="AA159" s="635"/>
      <c r="AB159" s="50"/>
      <c r="AC159" s="50"/>
      <c r="AD159" s="50"/>
      <c r="AE159" s="50"/>
      <c r="AF159" s="50"/>
      <c r="AG159" s="50"/>
      <c r="AH159" s="50"/>
      <c r="AI159" s="50"/>
      <c r="AJ159" s="50"/>
      <c r="AK159" s="50"/>
      <c r="AL159" s="50"/>
      <c r="AM159" s="50"/>
      <c r="AN159" s="50"/>
      <c r="AO159" s="50"/>
      <c r="AP159" s="50"/>
      <c r="AQ159" s="50"/>
      <c r="AR159" s="50"/>
      <c r="AS159" s="50"/>
      <c r="AT159" s="50"/>
      <c r="AU159" s="50"/>
      <c r="AV159" s="50"/>
      <c r="AW159" s="50"/>
      <c r="AX159" s="50"/>
      <c r="AY159" s="50"/>
      <c r="AZ159" s="50"/>
    </row>
    <row r="160" spans="1:52" ht="13" customHeight="1" x14ac:dyDescent="0.3">
      <c r="A160" s="377" t="s">
        <v>4684</v>
      </c>
      <c r="B160" s="326" t="s">
        <v>4681</v>
      </c>
      <c r="C160" s="317"/>
      <c r="D160" s="319" t="s">
        <v>4681</v>
      </c>
      <c r="E160" s="317" t="s">
        <v>4682</v>
      </c>
      <c r="F160" s="319"/>
      <c r="G160" s="317" t="s">
        <v>4690</v>
      </c>
      <c r="H160" s="319">
        <v>60</v>
      </c>
      <c r="I160" s="319" t="s">
        <v>4687</v>
      </c>
      <c r="J160" s="319" t="s">
        <v>4581</v>
      </c>
      <c r="K160" s="319" t="s">
        <v>4688</v>
      </c>
      <c r="L160" s="319" t="s">
        <v>4689</v>
      </c>
      <c r="M160" s="319" t="s">
        <v>4687</v>
      </c>
      <c r="N160" s="320">
        <v>0.2</v>
      </c>
      <c r="O160" s="321">
        <v>3.2</v>
      </c>
      <c r="P160" s="320">
        <v>15.7</v>
      </c>
      <c r="Q160" s="320">
        <f t="shared" si="46"/>
        <v>50.24</v>
      </c>
      <c r="R160" s="320">
        <v>5.2</v>
      </c>
      <c r="S160" s="390">
        <f t="shared" si="45"/>
        <v>0.83733333333333337</v>
      </c>
      <c r="T160" s="392">
        <v>46170</v>
      </c>
      <c r="U160" s="392"/>
      <c r="V160" s="319"/>
      <c r="W160" s="319"/>
      <c r="X160" s="319"/>
      <c r="Y160" s="319"/>
      <c r="Z160" s="319"/>
      <c r="AA160" s="635"/>
      <c r="AB160" s="50"/>
      <c r="AC160" s="50"/>
      <c r="AD160" s="50"/>
      <c r="AE160" s="50"/>
      <c r="AF160" s="50"/>
      <c r="AG160" s="50"/>
      <c r="AH160" s="50"/>
      <c r="AI160" s="50"/>
      <c r="AJ160" s="50"/>
      <c r="AK160" s="50"/>
      <c r="AL160" s="50"/>
      <c r="AM160" s="50"/>
      <c r="AN160" s="50"/>
      <c r="AO160" s="50"/>
      <c r="AP160" s="50"/>
      <c r="AQ160" s="50"/>
      <c r="AR160" s="50"/>
      <c r="AS160" s="50"/>
      <c r="AT160" s="50"/>
      <c r="AU160" s="50"/>
      <c r="AV160" s="50"/>
      <c r="AW160" s="50"/>
      <c r="AX160" s="50"/>
      <c r="AY160" s="50"/>
      <c r="AZ160" s="50"/>
    </row>
    <row r="161" spans="1:52" ht="13" customHeight="1" x14ac:dyDescent="0.3">
      <c r="A161" s="377" t="s">
        <v>4684</v>
      </c>
      <c r="B161" s="326" t="s">
        <v>4681</v>
      </c>
      <c r="C161" s="317"/>
      <c r="D161" s="319" t="s">
        <v>4681</v>
      </c>
      <c r="E161" s="317" t="s">
        <v>4683</v>
      </c>
      <c r="F161" s="319"/>
      <c r="G161" s="317" t="s">
        <v>4691</v>
      </c>
      <c r="H161" s="319">
        <v>20</v>
      </c>
      <c r="I161" s="319" t="s">
        <v>4687</v>
      </c>
      <c r="J161" s="319" t="s">
        <v>4581</v>
      </c>
      <c r="K161" s="319" t="s">
        <v>4688</v>
      </c>
      <c r="L161" s="319" t="s">
        <v>4689</v>
      </c>
      <c r="M161" s="319" t="s">
        <v>4687</v>
      </c>
      <c r="N161" s="320">
        <v>0.1</v>
      </c>
      <c r="O161" s="321">
        <v>1.6</v>
      </c>
      <c r="P161" s="320">
        <v>15.7</v>
      </c>
      <c r="Q161" s="320">
        <f t="shared" si="46"/>
        <v>25.12</v>
      </c>
      <c r="R161" s="320">
        <v>2.6</v>
      </c>
      <c r="S161" s="390">
        <f t="shared" si="45"/>
        <v>1.256</v>
      </c>
      <c r="T161" s="392">
        <v>46170</v>
      </c>
      <c r="U161" s="392"/>
      <c r="V161" s="319"/>
      <c r="W161" s="319"/>
      <c r="X161" s="319"/>
      <c r="Y161" s="319"/>
      <c r="Z161" s="319"/>
      <c r="AA161" s="636"/>
      <c r="AB161" s="50"/>
      <c r="AC161" s="50"/>
      <c r="AD161" s="50"/>
      <c r="AE161" s="50"/>
      <c r="AF161" s="50"/>
      <c r="AG161" s="50"/>
      <c r="AH161" s="50"/>
      <c r="AI161" s="50"/>
      <c r="AJ161" s="50"/>
      <c r="AK161" s="50"/>
      <c r="AL161" s="50"/>
      <c r="AM161" s="50"/>
      <c r="AN161" s="50"/>
      <c r="AO161" s="50"/>
      <c r="AP161" s="50"/>
      <c r="AQ161" s="50"/>
      <c r="AR161" s="50"/>
      <c r="AS161" s="50"/>
      <c r="AT161" s="50"/>
      <c r="AU161" s="50"/>
      <c r="AV161" s="50"/>
      <c r="AW161" s="50"/>
      <c r="AX161" s="50"/>
      <c r="AY161" s="50"/>
      <c r="AZ161" s="50"/>
    </row>
    <row r="162" spans="1:52" ht="13" customHeight="1" x14ac:dyDescent="0.3">
      <c r="A162" s="377"/>
      <c r="B162" s="326"/>
      <c r="C162" s="317"/>
      <c r="D162" s="319"/>
      <c r="E162" s="317"/>
      <c r="F162" s="319"/>
      <c r="G162" s="317"/>
      <c r="H162" s="319"/>
      <c r="I162" s="319"/>
      <c r="J162" s="319"/>
      <c r="K162" s="319"/>
      <c r="L162" s="319"/>
      <c r="M162" s="319"/>
      <c r="N162" s="320"/>
      <c r="O162" s="321"/>
      <c r="P162" s="320"/>
      <c r="Q162" s="320"/>
      <c r="R162" s="320"/>
      <c r="S162" s="321"/>
      <c r="T162" s="392"/>
      <c r="U162" s="392"/>
      <c r="V162" s="319"/>
      <c r="W162" s="319"/>
      <c r="X162" s="319"/>
      <c r="Y162" s="319"/>
      <c r="Z162" s="319"/>
      <c r="AA162" s="416"/>
      <c r="AB162" s="50"/>
      <c r="AC162" s="50"/>
      <c r="AD162" s="50"/>
      <c r="AE162" s="50"/>
      <c r="AF162" s="50"/>
      <c r="AG162" s="50"/>
      <c r="AH162" s="50"/>
      <c r="AI162" s="50"/>
      <c r="AJ162" s="50"/>
      <c r="AK162" s="50"/>
      <c r="AL162" s="50"/>
      <c r="AM162" s="50"/>
      <c r="AN162" s="50"/>
      <c r="AO162" s="50"/>
      <c r="AP162" s="50"/>
      <c r="AQ162" s="50"/>
      <c r="AR162" s="50"/>
      <c r="AS162" s="50"/>
      <c r="AT162" s="50"/>
      <c r="AU162" s="50"/>
      <c r="AV162" s="50"/>
      <c r="AW162" s="50"/>
      <c r="AX162" s="50"/>
      <c r="AY162" s="50"/>
      <c r="AZ162" s="50"/>
    </row>
    <row r="163" spans="1:52" ht="13" customHeight="1" x14ac:dyDescent="0.3">
      <c r="A163" s="377"/>
      <c r="B163" s="326"/>
      <c r="C163" s="317"/>
      <c r="D163" s="319"/>
      <c r="E163" s="317"/>
      <c r="F163" s="319"/>
      <c r="G163" s="317"/>
      <c r="H163" s="319"/>
      <c r="I163" s="319"/>
      <c r="J163" s="319"/>
      <c r="K163" s="319"/>
      <c r="L163" s="319"/>
      <c r="M163" s="319"/>
      <c r="N163" s="320"/>
      <c r="O163" s="321"/>
      <c r="P163" s="320"/>
      <c r="Q163" s="320"/>
      <c r="R163" s="320"/>
      <c r="S163" s="321"/>
      <c r="T163" s="392"/>
      <c r="U163" s="392"/>
      <c r="V163" s="319"/>
      <c r="W163" s="319"/>
      <c r="X163" s="319"/>
      <c r="Y163" s="319"/>
      <c r="Z163" s="319"/>
      <c r="AA163" s="416"/>
      <c r="AB163" s="50"/>
      <c r="AC163" s="50"/>
      <c r="AD163" s="50"/>
      <c r="AE163" s="50"/>
      <c r="AF163" s="50"/>
      <c r="AG163" s="50"/>
      <c r="AH163" s="50"/>
      <c r="AI163" s="50"/>
      <c r="AJ163" s="50"/>
      <c r="AK163" s="50"/>
      <c r="AL163" s="50"/>
      <c r="AM163" s="50"/>
      <c r="AN163" s="50"/>
      <c r="AO163" s="50"/>
      <c r="AP163" s="50"/>
      <c r="AQ163" s="50"/>
      <c r="AR163" s="50"/>
      <c r="AS163" s="50"/>
      <c r="AT163" s="50"/>
      <c r="AU163" s="50"/>
      <c r="AV163" s="50"/>
      <c r="AW163" s="50"/>
      <c r="AX163" s="50"/>
      <c r="AY163" s="50"/>
      <c r="AZ163" s="50"/>
    </row>
    <row r="164" spans="1:52" ht="13" customHeight="1" x14ac:dyDescent="0.3">
      <c r="A164" s="377"/>
      <c r="B164" s="326"/>
      <c r="C164" s="317"/>
      <c r="D164" s="319"/>
      <c r="E164" s="317"/>
      <c r="F164" s="319"/>
      <c r="G164" s="317"/>
      <c r="H164" s="319"/>
      <c r="I164" s="319"/>
      <c r="J164" s="319"/>
      <c r="K164" s="319"/>
      <c r="L164" s="319"/>
      <c r="M164" s="319"/>
      <c r="N164" s="320"/>
      <c r="O164" s="321"/>
      <c r="P164" s="320"/>
      <c r="Q164" s="320"/>
      <c r="R164" s="320"/>
      <c r="S164" s="321"/>
      <c r="T164" s="392"/>
      <c r="U164" s="392"/>
      <c r="V164" s="319"/>
      <c r="W164" s="319"/>
      <c r="X164" s="319"/>
      <c r="Y164" s="319"/>
      <c r="Z164" s="319"/>
      <c r="AA164" s="416"/>
      <c r="AB164" s="50"/>
      <c r="AC164" s="50"/>
      <c r="AD164" s="50"/>
      <c r="AE164" s="50"/>
      <c r="AF164" s="50"/>
      <c r="AG164" s="50"/>
      <c r="AH164" s="50"/>
      <c r="AI164" s="50"/>
      <c r="AJ164" s="50"/>
      <c r="AK164" s="50"/>
      <c r="AL164" s="50"/>
      <c r="AM164" s="50"/>
      <c r="AN164" s="50"/>
      <c r="AO164" s="50"/>
      <c r="AP164" s="50"/>
      <c r="AQ164" s="50"/>
      <c r="AR164" s="50"/>
      <c r="AS164" s="50"/>
      <c r="AT164" s="50"/>
      <c r="AU164" s="50"/>
      <c r="AV164" s="50"/>
      <c r="AW164" s="50"/>
      <c r="AX164" s="50"/>
      <c r="AY164" s="50"/>
      <c r="AZ164" s="50"/>
    </row>
    <row r="165" spans="1:52" ht="13" customHeight="1" x14ac:dyDescent="0.3">
      <c r="A165" s="377"/>
      <c r="B165" s="326"/>
      <c r="C165" s="317"/>
      <c r="D165" s="319"/>
      <c r="E165" s="317"/>
      <c r="F165" s="319"/>
      <c r="G165" s="317"/>
      <c r="H165" s="319"/>
      <c r="I165" s="319"/>
      <c r="J165" s="319"/>
      <c r="K165" s="319"/>
      <c r="L165" s="319"/>
      <c r="M165" s="319"/>
      <c r="N165" s="320"/>
      <c r="O165" s="321"/>
      <c r="P165" s="320"/>
      <c r="Q165" s="320"/>
      <c r="R165" s="320"/>
      <c r="S165" s="321"/>
      <c r="T165" s="392"/>
      <c r="U165" s="392"/>
      <c r="V165" s="319"/>
      <c r="W165" s="319"/>
      <c r="X165" s="319"/>
      <c r="Y165" s="319"/>
      <c r="Z165" s="319"/>
      <c r="AA165" s="416"/>
      <c r="AB165" s="50"/>
      <c r="AC165" s="50"/>
      <c r="AD165" s="50"/>
      <c r="AE165" s="50"/>
      <c r="AF165" s="50"/>
      <c r="AG165" s="50"/>
      <c r="AH165" s="50"/>
      <c r="AI165" s="50"/>
      <c r="AJ165" s="50"/>
      <c r="AK165" s="50"/>
      <c r="AL165" s="50"/>
      <c r="AM165" s="50"/>
      <c r="AN165" s="50"/>
      <c r="AO165" s="50"/>
      <c r="AP165" s="50"/>
      <c r="AQ165" s="50"/>
      <c r="AR165" s="50"/>
      <c r="AS165" s="50"/>
      <c r="AT165" s="50"/>
      <c r="AU165" s="50"/>
      <c r="AV165" s="50"/>
      <c r="AW165" s="50"/>
      <c r="AX165" s="50"/>
      <c r="AY165" s="50"/>
      <c r="AZ165" s="50"/>
    </row>
    <row r="166" spans="1:52" ht="13" customHeight="1" x14ac:dyDescent="0.3">
      <c r="A166" s="377"/>
      <c r="B166" s="326"/>
      <c r="C166" s="317"/>
      <c r="D166" s="319"/>
      <c r="E166" s="317"/>
      <c r="F166" s="319"/>
      <c r="G166" s="317"/>
      <c r="H166" s="319"/>
      <c r="I166" s="319"/>
      <c r="J166" s="319"/>
      <c r="K166" s="319"/>
      <c r="L166" s="319"/>
      <c r="M166" s="319"/>
      <c r="N166" s="320"/>
      <c r="O166" s="321"/>
      <c r="P166" s="320"/>
      <c r="Q166" s="320"/>
      <c r="R166" s="320"/>
      <c r="S166" s="321"/>
      <c r="T166" s="392"/>
      <c r="U166" s="392"/>
      <c r="V166" s="319"/>
      <c r="W166" s="319"/>
      <c r="X166" s="319"/>
      <c r="Y166" s="319"/>
      <c r="Z166" s="319"/>
      <c r="AA166" s="416"/>
      <c r="AB166" s="50"/>
      <c r="AC166" s="50"/>
      <c r="AD166" s="50"/>
      <c r="AE166" s="50"/>
      <c r="AF166" s="50"/>
      <c r="AG166" s="50"/>
      <c r="AH166" s="50"/>
      <c r="AI166" s="50"/>
      <c r="AJ166" s="50"/>
      <c r="AK166" s="50"/>
      <c r="AL166" s="50"/>
      <c r="AM166" s="50"/>
      <c r="AN166" s="50"/>
      <c r="AO166" s="50"/>
      <c r="AP166" s="50"/>
      <c r="AQ166" s="50"/>
      <c r="AR166" s="50"/>
      <c r="AS166" s="50"/>
      <c r="AT166" s="50"/>
      <c r="AU166" s="50"/>
      <c r="AV166" s="50"/>
      <c r="AW166" s="50"/>
      <c r="AX166" s="50"/>
      <c r="AY166" s="50"/>
      <c r="AZ166" s="50"/>
    </row>
    <row r="167" spans="1:52" ht="13" customHeight="1" x14ac:dyDescent="0.3">
      <c r="A167" s="377"/>
      <c r="B167" s="326"/>
      <c r="C167" s="317"/>
      <c r="D167" s="319"/>
      <c r="E167" s="317"/>
      <c r="F167" s="319"/>
      <c r="G167" s="317"/>
      <c r="H167" s="319"/>
      <c r="I167" s="319"/>
      <c r="J167" s="319"/>
      <c r="K167" s="319"/>
      <c r="L167" s="319"/>
      <c r="M167" s="319"/>
      <c r="N167" s="320"/>
      <c r="O167" s="321"/>
      <c r="P167" s="320"/>
      <c r="Q167" s="320"/>
      <c r="R167" s="320"/>
      <c r="S167" s="321"/>
      <c r="T167" s="392"/>
      <c r="U167" s="392"/>
      <c r="V167" s="319"/>
      <c r="W167" s="319"/>
      <c r="X167" s="319"/>
      <c r="Y167" s="319"/>
      <c r="Z167" s="319"/>
      <c r="AA167" s="416"/>
      <c r="AB167" s="50"/>
      <c r="AC167" s="50"/>
      <c r="AD167" s="50"/>
      <c r="AE167" s="50"/>
      <c r="AF167" s="50"/>
      <c r="AG167" s="50"/>
      <c r="AH167" s="50"/>
      <c r="AI167" s="50"/>
      <c r="AJ167" s="50"/>
      <c r="AK167" s="50"/>
      <c r="AL167" s="50"/>
      <c r="AM167" s="50"/>
      <c r="AN167" s="50"/>
      <c r="AO167" s="50"/>
      <c r="AP167" s="50"/>
      <c r="AQ167" s="50"/>
      <c r="AR167" s="50"/>
      <c r="AS167" s="50"/>
      <c r="AT167" s="50"/>
      <c r="AU167" s="50"/>
      <c r="AV167" s="50"/>
      <c r="AW167" s="50"/>
      <c r="AX167" s="50"/>
      <c r="AY167" s="50"/>
      <c r="AZ167" s="50"/>
    </row>
    <row r="168" spans="1:52" ht="13" customHeight="1" x14ac:dyDescent="0.3">
      <c r="A168" s="377"/>
      <c r="B168" s="326"/>
      <c r="C168" s="317"/>
      <c r="D168" s="319"/>
      <c r="E168" s="317"/>
      <c r="F168" s="319"/>
      <c r="G168" s="317"/>
      <c r="H168" s="319"/>
      <c r="I168" s="319"/>
      <c r="J168" s="319"/>
      <c r="K168" s="319"/>
      <c r="L168" s="319"/>
      <c r="M168" s="319"/>
      <c r="N168" s="320"/>
      <c r="O168" s="321"/>
      <c r="P168" s="320"/>
      <c r="Q168" s="320"/>
      <c r="R168" s="320"/>
      <c r="S168" s="321"/>
      <c r="T168" s="392"/>
      <c r="U168" s="392"/>
      <c r="V168" s="319"/>
      <c r="W168" s="319"/>
      <c r="X168" s="319"/>
      <c r="Y168" s="319"/>
      <c r="Z168" s="319"/>
      <c r="AA168" s="416"/>
      <c r="AB168" s="50"/>
      <c r="AC168" s="50"/>
      <c r="AD168" s="50"/>
      <c r="AE168" s="50"/>
      <c r="AF168" s="50"/>
      <c r="AG168" s="50"/>
      <c r="AH168" s="50"/>
      <c r="AI168" s="50"/>
      <c r="AJ168" s="50"/>
      <c r="AK168" s="50"/>
      <c r="AL168" s="50"/>
      <c r="AM168" s="50"/>
      <c r="AN168" s="50"/>
      <c r="AO168" s="50"/>
      <c r="AP168" s="50"/>
      <c r="AQ168" s="50"/>
      <c r="AR168" s="50"/>
      <c r="AS168" s="50"/>
      <c r="AT168" s="50"/>
      <c r="AU168" s="50"/>
      <c r="AV168" s="50"/>
      <c r="AW168" s="50"/>
      <c r="AX168" s="50"/>
      <c r="AY168" s="50"/>
      <c r="AZ168" s="50"/>
    </row>
    <row r="169" spans="1:52" ht="13" customHeight="1" x14ac:dyDescent="0.3">
      <c r="A169" s="377"/>
      <c r="B169" s="326"/>
      <c r="C169" s="317"/>
      <c r="D169" s="319"/>
      <c r="E169" s="317"/>
      <c r="F169" s="319"/>
      <c r="G169" s="317"/>
      <c r="H169" s="319"/>
      <c r="I169" s="319"/>
      <c r="J169" s="319"/>
      <c r="K169" s="319"/>
      <c r="L169" s="319"/>
      <c r="M169" s="319"/>
      <c r="N169" s="320"/>
      <c r="O169" s="321"/>
      <c r="P169" s="320"/>
      <c r="Q169" s="320"/>
      <c r="R169" s="320"/>
      <c r="S169" s="321"/>
      <c r="T169" s="392"/>
      <c r="U169" s="392"/>
      <c r="V169" s="319"/>
      <c r="W169" s="319"/>
      <c r="X169" s="319"/>
      <c r="Y169" s="319"/>
      <c r="Z169" s="319"/>
      <c r="AA169" s="416"/>
      <c r="AB169" s="50"/>
      <c r="AC169" s="50"/>
      <c r="AD169" s="50"/>
      <c r="AE169" s="50"/>
      <c r="AF169" s="50"/>
      <c r="AG169" s="50"/>
      <c r="AH169" s="50"/>
      <c r="AI169" s="50"/>
      <c r="AJ169" s="50"/>
      <c r="AK169" s="50"/>
      <c r="AL169" s="50"/>
      <c r="AM169" s="50"/>
      <c r="AN169" s="50"/>
      <c r="AO169" s="50"/>
      <c r="AP169" s="50"/>
      <c r="AQ169" s="50"/>
      <c r="AR169" s="50"/>
      <c r="AS169" s="50"/>
      <c r="AT169" s="50"/>
      <c r="AU169" s="50"/>
      <c r="AV169" s="50"/>
      <c r="AW169" s="50"/>
      <c r="AX169" s="50"/>
      <c r="AY169" s="50"/>
      <c r="AZ169" s="50"/>
    </row>
    <row r="170" spans="1:52" ht="13" customHeight="1" x14ac:dyDescent="0.3">
      <c r="A170" s="377"/>
      <c r="B170" s="363"/>
      <c r="C170" s="317"/>
      <c r="D170" s="319"/>
      <c r="E170" s="317"/>
      <c r="F170" s="319"/>
      <c r="G170" s="317"/>
      <c r="H170" s="319"/>
      <c r="I170" s="319"/>
      <c r="J170" s="319"/>
      <c r="K170" s="319"/>
      <c r="L170" s="319"/>
      <c r="M170" s="319"/>
      <c r="N170" s="320"/>
      <c r="O170" s="321"/>
      <c r="P170" s="320"/>
      <c r="Q170" s="320"/>
      <c r="R170" s="320"/>
      <c r="S170" s="321"/>
      <c r="T170" s="392"/>
      <c r="U170" s="392"/>
      <c r="V170" s="319"/>
      <c r="W170" s="319"/>
      <c r="X170" s="319"/>
      <c r="Y170" s="319"/>
      <c r="Z170" s="319"/>
      <c r="AA170" s="416"/>
      <c r="AB170" s="50"/>
      <c r="AC170" s="50"/>
      <c r="AD170" s="50"/>
      <c r="AE170" s="50"/>
      <c r="AF170" s="50"/>
      <c r="AG170" s="50"/>
      <c r="AH170" s="50"/>
      <c r="AI170" s="50"/>
      <c r="AJ170" s="50"/>
      <c r="AK170" s="50"/>
      <c r="AL170" s="50"/>
      <c r="AM170" s="50"/>
      <c r="AN170" s="50"/>
      <c r="AO170" s="50"/>
      <c r="AP170" s="50"/>
      <c r="AQ170" s="50"/>
      <c r="AR170" s="50"/>
      <c r="AS170" s="50"/>
      <c r="AT170" s="50"/>
      <c r="AU170" s="50"/>
      <c r="AV170" s="50"/>
      <c r="AW170" s="50"/>
      <c r="AX170" s="50"/>
      <c r="AY170" s="50"/>
      <c r="AZ170" s="50"/>
    </row>
    <row r="171" spans="1:52" ht="13" customHeight="1" x14ac:dyDescent="0.3">
      <c r="A171" s="377"/>
      <c r="B171" s="363"/>
      <c r="C171" s="317"/>
      <c r="D171" s="319"/>
      <c r="E171" s="317"/>
      <c r="F171" s="319"/>
      <c r="G171" s="317"/>
      <c r="H171" s="319"/>
      <c r="I171" s="319"/>
      <c r="J171" s="319"/>
      <c r="K171" s="319"/>
      <c r="L171" s="319"/>
      <c r="M171" s="319"/>
      <c r="N171" s="320"/>
      <c r="O171" s="321"/>
      <c r="P171" s="320"/>
      <c r="Q171" s="320"/>
      <c r="R171" s="320"/>
      <c r="S171" s="321"/>
      <c r="T171" s="392"/>
      <c r="U171" s="392"/>
      <c r="V171" s="319"/>
      <c r="W171" s="319"/>
      <c r="X171" s="319"/>
      <c r="Y171" s="319"/>
      <c r="Z171" s="319"/>
      <c r="AA171" s="416"/>
      <c r="AB171" s="50"/>
      <c r="AC171" s="50"/>
      <c r="AD171" s="50"/>
      <c r="AE171" s="50"/>
      <c r="AF171" s="50"/>
      <c r="AG171" s="50"/>
      <c r="AH171" s="50"/>
      <c r="AI171" s="50"/>
      <c r="AJ171" s="50"/>
      <c r="AK171" s="50"/>
      <c r="AL171" s="50"/>
      <c r="AM171" s="50"/>
      <c r="AN171" s="50"/>
      <c r="AO171" s="50"/>
      <c r="AP171" s="50"/>
      <c r="AQ171" s="50"/>
      <c r="AR171" s="50"/>
      <c r="AS171" s="50"/>
      <c r="AT171" s="50"/>
      <c r="AU171" s="50"/>
      <c r="AV171" s="50"/>
      <c r="AW171" s="50"/>
      <c r="AX171" s="50"/>
      <c r="AY171" s="50"/>
      <c r="AZ171" s="50"/>
    </row>
    <row r="172" spans="1:52" ht="13" customHeight="1" x14ac:dyDescent="0.3">
      <c r="A172" s="377"/>
      <c r="B172" s="363"/>
      <c r="C172" s="317"/>
      <c r="D172" s="319"/>
      <c r="E172" s="317"/>
      <c r="F172" s="319"/>
      <c r="G172" s="317"/>
      <c r="H172" s="319"/>
      <c r="I172" s="319"/>
      <c r="J172" s="319"/>
      <c r="K172" s="319"/>
      <c r="L172" s="319"/>
      <c r="M172" s="319"/>
      <c r="N172" s="320"/>
      <c r="O172" s="321"/>
      <c r="P172" s="320"/>
      <c r="Q172" s="320"/>
      <c r="R172" s="320"/>
      <c r="S172" s="321"/>
      <c r="T172" s="392"/>
      <c r="U172" s="392"/>
      <c r="V172" s="319"/>
      <c r="W172" s="319"/>
      <c r="X172" s="319"/>
      <c r="Y172" s="319"/>
      <c r="Z172" s="319"/>
      <c r="AA172" s="416"/>
      <c r="AB172" s="50"/>
      <c r="AC172" s="50"/>
      <c r="AD172" s="50"/>
      <c r="AE172" s="50"/>
      <c r="AF172" s="50"/>
      <c r="AG172" s="50"/>
      <c r="AH172" s="50"/>
      <c r="AI172" s="50"/>
      <c r="AJ172" s="50"/>
      <c r="AK172" s="50"/>
      <c r="AL172" s="50"/>
      <c r="AM172" s="50"/>
      <c r="AN172" s="50"/>
      <c r="AO172" s="50"/>
      <c r="AP172" s="50"/>
      <c r="AQ172" s="50"/>
      <c r="AR172" s="50"/>
      <c r="AS172" s="50"/>
      <c r="AT172" s="50"/>
      <c r="AU172" s="50"/>
      <c r="AV172" s="50"/>
      <c r="AW172" s="50"/>
      <c r="AX172" s="50"/>
      <c r="AY172" s="50"/>
      <c r="AZ172" s="50"/>
    </row>
    <row r="173" spans="1:52" ht="13" customHeight="1" x14ac:dyDescent="0.3">
      <c r="A173" s="377"/>
      <c r="B173" s="363"/>
      <c r="C173" s="317"/>
      <c r="D173" s="319"/>
      <c r="E173" s="317"/>
      <c r="F173" s="319"/>
      <c r="G173" s="317"/>
      <c r="H173" s="319"/>
      <c r="I173" s="319"/>
      <c r="J173" s="319"/>
      <c r="K173" s="319"/>
      <c r="L173" s="319"/>
      <c r="M173" s="319"/>
      <c r="N173" s="320"/>
      <c r="O173" s="321"/>
      <c r="P173" s="320"/>
      <c r="Q173" s="320"/>
      <c r="R173" s="320"/>
      <c r="S173" s="321"/>
      <c r="T173" s="392"/>
      <c r="U173" s="392"/>
      <c r="V173" s="319"/>
      <c r="W173" s="319"/>
      <c r="X173" s="319"/>
      <c r="Y173" s="319"/>
      <c r="Z173" s="319"/>
      <c r="AA173" s="416"/>
      <c r="AB173" s="50"/>
      <c r="AC173" s="50"/>
      <c r="AD173" s="50"/>
      <c r="AE173" s="50"/>
      <c r="AF173" s="50"/>
      <c r="AG173" s="50"/>
      <c r="AH173" s="50"/>
      <c r="AI173" s="50"/>
      <c r="AJ173" s="50"/>
      <c r="AK173" s="50"/>
      <c r="AL173" s="50"/>
      <c r="AM173" s="50"/>
      <c r="AN173" s="50"/>
      <c r="AO173" s="50"/>
      <c r="AP173" s="50"/>
      <c r="AQ173" s="50"/>
      <c r="AR173" s="50"/>
      <c r="AS173" s="50"/>
      <c r="AT173" s="50"/>
      <c r="AU173" s="50"/>
      <c r="AV173" s="50"/>
      <c r="AW173" s="50"/>
      <c r="AX173" s="50"/>
      <c r="AY173" s="50"/>
      <c r="AZ173" s="50"/>
    </row>
    <row r="174" spans="1:52" ht="13" customHeight="1" x14ac:dyDescent="0.3">
      <c r="A174" s="377"/>
      <c r="B174" s="363"/>
      <c r="C174" s="317"/>
      <c r="D174" s="319"/>
      <c r="E174" s="317"/>
      <c r="F174" s="319"/>
      <c r="G174" s="317"/>
      <c r="H174" s="319"/>
      <c r="I174" s="319"/>
      <c r="J174" s="319"/>
      <c r="K174" s="319"/>
      <c r="L174" s="319"/>
      <c r="M174" s="319"/>
      <c r="N174" s="320"/>
      <c r="O174" s="321"/>
      <c r="P174" s="320"/>
      <c r="Q174" s="320"/>
      <c r="R174" s="320"/>
      <c r="S174" s="321"/>
      <c r="T174" s="392"/>
      <c r="U174" s="392"/>
      <c r="V174" s="319"/>
      <c r="W174" s="319"/>
      <c r="X174" s="319"/>
      <c r="Y174" s="319"/>
      <c r="Z174" s="319"/>
      <c r="AA174" s="416"/>
      <c r="AB174" s="50"/>
      <c r="AC174" s="50"/>
      <c r="AD174" s="50"/>
      <c r="AE174" s="50"/>
      <c r="AF174" s="50"/>
      <c r="AG174" s="50"/>
      <c r="AH174" s="50"/>
      <c r="AI174" s="50"/>
      <c r="AJ174" s="50"/>
      <c r="AK174" s="50"/>
      <c r="AL174" s="50"/>
      <c r="AM174" s="50"/>
      <c r="AN174" s="50"/>
      <c r="AO174" s="50"/>
      <c r="AP174" s="50"/>
      <c r="AQ174" s="50"/>
      <c r="AR174" s="50"/>
      <c r="AS174" s="50"/>
      <c r="AT174" s="50"/>
      <c r="AU174" s="50"/>
      <c r="AV174" s="50"/>
      <c r="AW174" s="50"/>
      <c r="AX174" s="50"/>
      <c r="AY174" s="50"/>
      <c r="AZ174" s="50"/>
    </row>
    <row r="175" spans="1:52" ht="13" customHeight="1" x14ac:dyDescent="0.3">
      <c r="A175" s="377"/>
      <c r="B175" s="363"/>
      <c r="C175" s="317"/>
      <c r="D175" s="319"/>
      <c r="E175" s="317"/>
      <c r="F175" s="319"/>
      <c r="G175" s="317"/>
      <c r="H175" s="319"/>
      <c r="I175" s="319"/>
      <c r="J175" s="319"/>
      <c r="K175" s="319"/>
      <c r="L175" s="319"/>
      <c r="M175" s="319"/>
      <c r="N175" s="320"/>
      <c r="O175" s="321"/>
      <c r="P175" s="320"/>
      <c r="Q175" s="320"/>
      <c r="R175" s="320"/>
      <c r="S175" s="321"/>
      <c r="T175" s="392"/>
      <c r="U175" s="392"/>
      <c r="V175" s="319"/>
      <c r="W175" s="319"/>
      <c r="X175" s="319"/>
      <c r="Y175" s="319"/>
      <c r="Z175" s="319"/>
      <c r="AA175" s="416"/>
      <c r="AB175" s="50"/>
      <c r="AC175" s="50"/>
      <c r="AD175" s="50"/>
      <c r="AE175" s="50"/>
      <c r="AF175" s="50"/>
      <c r="AG175" s="50"/>
      <c r="AH175" s="50"/>
      <c r="AI175" s="50"/>
      <c r="AJ175" s="50"/>
      <c r="AK175" s="50"/>
      <c r="AL175" s="50"/>
      <c r="AM175" s="50"/>
      <c r="AN175" s="50"/>
      <c r="AO175" s="50"/>
      <c r="AP175" s="50"/>
      <c r="AQ175" s="50"/>
      <c r="AR175" s="50"/>
      <c r="AS175" s="50"/>
      <c r="AT175" s="50"/>
      <c r="AU175" s="50"/>
      <c r="AV175" s="50"/>
      <c r="AW175" s="50"/>
      <c r="AX175" s="50"/>
      <c r="AY175" s="50"/>
      <c r="AZ175" s="50"/>
    </row>
    <row r="176" spans="1:52" ht="13" customHeight="1" x14ac:dyDescent="0.3">
      <c r="A176" s="377"/>
      <c r="B176" s="363"/>
      <c r="C176" s="317"/>
      <c r="D176" s="319"/>
      <c r="E176" s="317"/>
      <c r="F176" s="319"/>
      <c r="G176" s="317"/>
      <c r="H176" s="319"/>
      <c r="I176" s="319"/>
      <c r="J176" s="319"/>
      <c r="K176" s="319"/>
      <c r="L176" s="319"/>
      <c r="M176" s="319"/>
      <c r="N176" s="320"/>
      <c r="O176" s="321"/>
      <c r="P176" s="320"/>
      <c r="Q176" s="320"/>
      <c r="R176" s="320"/>
      <c r="S176" s="321"/>
      <c r="T176" s="392"/>
      <c r="U176" s="392"/>
      <c r="V176" s="319"/>
      <c r="W176" s="319"/>
      <c r="X176" s="319"/>
      <c r="Y176" s="319"/>
      <c r="Z176" s="319"/>
      <c r="AA176" s="416"/>
      <c r="AB176" s="50"/>
      <c r="AC176" s="50"/>
      <c r="AD176" s="50"/>
      <c r="AE176" s="50"/>
      <c r="AF176" s="50"/>
      <c r="AG176" s="50"/>
      <c r="AH176" s="50"/>
      <c r="AI176" s="50"/>
      <c r="AJ176" s="50"/>
      <c r="AK176" s="50"/>
      <c r="AL176" s="50"/>
      <c r="AM176" s="50"/>
      <c r="AN176" s="50"/>
      <c r="AO176" s="50"/>
      <c r="AP176" s="50"/>
      <c r="AQ176" s="50"/>
      <c r="AR176" s="50"/>
      <c r="AS176" s="50"/>
      <c r="AT176" s="50"/>
      <c r="AU176" s="50"/>
      <c r="AV176" s="50"/>
      <c r="AW176" s="50"/>
      <c r="AX176" s="50"/>
      <c r="AY176" s="50"/>
      <c r="AZ176" s="50"/>
    </row>
    <row r="177" spans="1:52" ht="13" customHeight="1" x14ac:dyDescent="0.3">
      <c r="A177" s="377"/>
      <c r="B177" s="498"/>
      <c r="C177" s="317"/>
      <c r="D177" s="319"/>
      <c r="E177" s="317"/>
      <c r="F177" s="319"/>
      <c r="G177" s="317"/>
      <c r="H177" s="319"/>
      <c r="I177" s="319"/>
      <c r="J177" s="319"/>
      <c r="K177" s="319"/>
      <c r="L177" s="319"/>
      <c r="M177" s="319"/>
      <c r="N177" s="320"/>
      <c r="O177" s="321"/>
      <c r="P177" s="320"/>
      <c r="Q177" s="320"/>
      <c r="R177" s="320"/>
      <c r="S177" s="321"/>
      <c r="T177" s="392"/>
      <c r="U177" s="392"/>
      <c r="V177" s="319"/>
      <c r="W177" s="319"/>
      <c r="X177" s="319"/>
      <c r="Y177" s="319"/>
      <c r="Z177" s="319"/>
      <c r="AA177" s="416"/>
      <c r="AB177" s="50"/>
      <c r="AC177" s="50"/>
      <c r="AD177" s="50"/>
      <c r="AE177" s="50"/>
      <c r="AF177" s="50"/>
      <c r="AG177" s="50"/>
      <c r="AH177" s="50"/>
      <c r="AI177" s="50"/>
      <c r="AJ177" s="50"/>
      <c r="AK177" s="50"/>
      <c r="AL177" s="50"/>
      <c r="AM177" s="50"/>
      <c r="AN177" s="50"/>
      <c r="AO177" s="50"/>
      <c r="AP177" s="50"/>
      <c r="AQ177" s="50"/>
      <c r="AR177" s="50"/>
      <c r="AS177" s="50"/>
      <c r="AT177" s="50"/>
      <c r="AU177" s="50"/>
      <c r="AV177" s="50"/>
      <c r="AW177" s="50"/>
      <c r="AX177" s="50"/>
      <c r="AY177" s="50"/>
      <c r="AZ177" s="50"/>
    </row>
    <row r="178" spans="1:52" ht="13" customHeight="1" x14ac:dyDescent="0.3">
      <c r="A178" s="378"/>
      <c r="B178" s="530"/>
      <c r="C178" s="379"/>
      <c r="D178" s="380"/>
      <c r="E178" s="379"/>
      <c r="F178" s="380"/>
      <c r="G178" s="379"/>
      <c r="H178" s="380"/>
      <c r="I178" s="380"/>
      <c r="J178" s="380"/>
      <c r="K178" s="380"/>
      <c r="L178" s="380"/>
      <c r="M178" s="380"/>
      <c r="N178" s="381"/>
      <c r="O178" s="382"/>
      <c r="P178" s="381"/>
      <c r="Q178" s="381"/>
      <c r="R178" s="381"/>
      <c r="S178" s="382"/>
      <c r="T178" s="410"/>
      <c r="U178" s="410"/>
      <c r="V178" s="380"/>
      <c r="W178" s="380"/>
      <c r="X178" s="380"/>
      <c r="Y178" s="380"/>
      <c r="Z178" s="380"/>
      <c r="AA178" s="573"/>
      <c r="AB178" s="50"/>
      <c r="AC178" s="50"/>
      <c r="AD178" s="50"/>
      <c r="AE178" s="50"/>
      <c r="AF178" s="50"/>
      <c r="AG178" s="50"/>
      <c r="AH178" s="50"/>
      <c r="AI178" s="50"/>
      <c r="AJ178" s="50"/>
      <c r="AK178" s="50"/>
      <c r="AL178" s="50"/>
      <c r="AM178" s="50"/>
      <c r="AN178" s="50"/>
      <c r="AO178" s="50"/>
      <c r="AP178" s="50"/>
      <c r="AQ178" s="50"/>
      <c r="AR178" s="50"/>
      <c r="AS178" s="50"/>
      <c r="AT178" s="50"/>
      <c r="AU178" s="50"/>
      <c r="AV178" s="50"/>
      <c r="AW178" s="50"/>
      <c r="AX178" s="50"/>
      <c r="AY178" s="50"/>
      <c r="AZ178" s="50"/>
    </row>
    <row r="179" spans="1:52" ht="13" customHeight="1" x14ac:dyDescent="0.3">
      <c r="A179" s="50"/>
      <c r="B179" s="53"/>
      <c r="C179" s="50"/>
      <c r="D179" s="60"/>
      <c r="E179" s="50"/>
      <c r="F179" s="60"/>
      <c r="G179" s="50"/>
      <c r="H179" s="60"/>
      <c r="I179" s="60"/>
      <c r="J179" s="60"/>
      <c r="K179" s="60"/>
      <c r="L179" s="60"/>
      <c r="M179" s="60"/>
      <c r="N179" s="305"/>
      <c r="O179" s="308"/>
      <c r="P179" s="305"/>
      <c r="Q179" s="305"/>
      <c r="R179" s="305"/>
      <c r="S179" s="308"/>
      <c r="T179" s="60"/>
      <c r="U179" s="60"/>
      <c r="V179" s="60"/>
      <c r="W179" s="60"/>
      <c r="X179" s="60"/>
      <c r="Y179" s="60"/>
      <c r="Z179" s="60"/>
      <c r="AA179" s="60"/>
      <c r="AB179" s="50"/>
      <c r="AC179" s="50"/>
      <c r="AD179" s="50"/>
      <c r="AE179" s="50"/>
      <c r="AF179" s="50"/>
      <c r="AG179" s="50"/>
      <c r="AH179" s="50"/>
      <c r="AI179" s="50"/>
      <c r="AJ179" s="50"/>
      <c r="AK179" s="50"/>
      <c r="AL179" s="50"/>
      <c r="AM179" s="50"/>
      <c r="AN179" s="50"/>
      <c r="AO179" s="50"/>
      <c r="AP179" s="50"/>
      <c r="AQ179" s="50"/>
      <c r="AR179" s="50"/>
      <c r="AS179" s="50"/>
      <c r="AT179" s="50"/>
      <c r="AU179" s="50"/>
      <c r="AV179" s="50"/>
      <c r="AW179" s="50"/>
      <c r="AX179" s="50"/>
      <c r="AY179" s="50"/>
      <c r="AZ179" s="50"/>
    </row>
  </sheetData>
  <mergeCells count="2">
    <mergeCell ref="AA153:AA155"/>
    <mergeCell ref="AA158:AA161"/>
  </mergeCells>
  <phoneticPr fontId="25" type="noConversion"/>
  <hyperlinks>
    <hyperlink ref="C114" r:id="rId1" tooltip="https://wwwapps.ups.com/WebTracking/track?loc=zh_CN&amp;track.x=Track&amp;trackNums=1ZK6B4420302040938" xr:uid="{00000000-0004-0000-0500-000000000000}"/>
  </hyperlinks>
  <pageMargins left="0.7" right="0.7" top="0.75" bottom="0.75" header="0.3" footer="0.3"/>
  <pageSetup paperSize="9" orientation="portrait" r:id="rId2"/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2">
    <tabColor rgb="FF0070C0"/>
  </sheetPr>
  <dimension ref="A1:AB718"/>
  <sheetViews>
    <sheetView workbookViewId="0">
      <pane ySplit="1" topLeftCell="A2" activePane="bottomLeft" state="frozen"/>
      <selection pane="bottomLeft" activeCell="H13" sqref="H13"/>
    </sheetView>
  </sheetViews>
  <sheetFormatPr defaultColWidth="9" defaultRowHeight="15" customHeight="1" outlineLevelCol="1" x14ac:dyDescent="0.3"/>
  <cols>
    <col min="1" max="1" width="9" style="11"/>
    <col min="2" max="2" width="9.1796875" style="11" customWidth="1"/>
    <col min="3" max="3" width="12.08984375" style="11" customWidth="1"/>
    <col min="4" max="4" width="12.81640625" style="16" customWidth="1"/>
    <col min="5" max="5" width="26.1796875" style="11" customWidth="1"/>
    <col min="6" max="6" width="9.81640625" style="11" customWidth="1"/>
    <col min="7" max="7" width="8.453125" style="11" customWidth="1" outlineLevel="1"/>
    <col min="8" max="8" width="11.1796875" style="11" customWidth="1" outlineLevel="1"/>
    <col min="9" max="9" width="19.1796875" style="11" customWidth="1" outlineLevel="1"/>
    <col min="10" max="10" width="9" style="17" customWidth="1" outlineLevel="1"/>
    <col min="11" max="11" width="14.54296875" style="18" customWidth="1" outlineLevel="1"/>
    <col min="12" max="12" width="7.36328125" style="19" customWidth="1" outlineLevel="1"/>
    <col min="13" max="13" width="11.08984375" style="20" customWidth="1" outlineLevel="1"/>
    <col min="14" max="14" width="12.453125" style="11" customWidth="1" outlineLevel="1"/>
    <col min="15" max="15" width="8" style="11" customWidth="1" outlineLevel="1"/>
    <col min="16" max="16" width="10.453125" style="13" customWidth="1" outlineLevel="1"/>
    <col min="17" max="17" width="19.36328125" style="16" customWidth="1" outlineLevel="1"/>
    <col min="19" max="19" width="54.81640625" style="11" customWidth="1" outlineLevel="1"/>
    <col min="20" max="20" width="19.36328125" style="11" customWidth="1" outlineLevel="1"/>
    <col min="21" max="23" width="9" style="21"/>
    <col min="24" max="24" width="15" style="17" customWidth="1"/>
    <col min="25" max="25" width="17" style="18" customWidth="1"/>
    <col min="26" max="26" width="13.08984375" style="18" customWidth="1"/>
    <col min="27" max="27" width="14.81640625" style="18" customWidth="1"/>
    <col min="28" max="28" width="13.08984375" style="18" customWidth="1"/>
    <col min="29" max="16384" width="9" style="11"/>
  </cols>
  <sheetData>
    <row r="1" spans="1:28" s="14" customFormat="1" ht="15" customHeight="1" x14ac:dyDescent="0.25">
      <c r="A1" s="243" t="s">
        <v>2773</v>
      </c>
      <c r="B1" s="244" t="s">
        <v>57</v>
      </c>
      <c r="C1" s="244" t="s">
        <v>2774</v>
      </c>
      <c r="D1" s="245" t="s">
        <v>58</v>
      </c>
      <c r="E1" s="244" t="s">
        <v>2775</v>
      </c>
      <c r="F1" s="244" t="s">
        <v>2776</v>
      </c>
      <c r="G1" s="244" t="s">
        <v>2777</v>
      </c>
      <c r="H1" s="244" t="s">
        <v>60</v>
      </c>
      <c r="I1" s="244" t="s">
        <v>2778</v>
      </c>
      <c r="J1" s="246" t="s">
        <v>3523</v>
      </c>
      <c r="K1" s="247" t="s">
        <v>3524</v>
      </c>
      <c r="L1" s="248" t="s">
        <v>66</v>
      </c>
      <c r="M1" s="249" t="s">
        <v>68</v>
      </c>
      <c r="N1" s="250" t="s">
        <v>69</v>
      </c>
      <c r="O1" s="251" t="s">
        <v>70</v>
      </c>
      <c r="P1" s="252" t="s">
        <v>2779</v>
      </c>
      <c r="Q1" s="253" t="s">
        <v>80</v>
      </c>
      <c r="R1" s="253" t="s">
        <v>2780</v>
      </c>
      <c r="S1" s="254" t="s">
        <v>2781</v>
      </c>
      <c r="T1" s="254"/>
      <c r="U1" s="254"/>
      <c r="V1" s="254"/>
      <c r="W1" s="254"/>
      <c r="X1" s="255"/>
      <c r="Y1" s="256"/>
      <c r="Z1" s="256"/>
      <c r="AA1" s="256"/>
      <c r="AB1" s="256"/>
    </row>
    <row r="2" spans="1:28" s="15" customFormat="1" ht="15" customHeight="1" x14ac:dyDescent="0.25">
      <c r="A2" s="257" t="s">
        <v>2782</v>
      </c>
      <c r="B2" s="258" t="s">
        <v>1514</v>
      </c>
      <c r="C2" s="258" t="s">
        <v>2783</v>
      </c>
      <c r="D2" s="258" t="s">
        <v>282</v>
      </c>
      <c r="E2" s="259" t="s">
        <v>2784</v>
      </c>
      <c r="F2" s="257" t="s">
        <v>2785</v>
      </c>
      <c r="G2" s="258">
        <v>96</v>
      </c>
      <c r="H2" s="258" t="s">
        <v>2786</v>
      </c>
      <c r="I2" s="258" t="s">
        <v>2787</v>
      </c>
      <c r="J2" s="260">
        <v>6</v>
      </c>
      <c r="K2" s="261">
        <f>107/7*J2</f>
        <v>91.714285714285722</v>
      </c>
      <c r="L2" s="258">
        <v>48</v>
      </c>
      <c r="M2" s="262">
        <f>L2*K2+375.95/7*J2</f>
        <v>4724.5285714285719</v>
      </c>
      <c r="N2" s="262">
        <f>M2/G2</f>
        <v>49.213839285714293</v>
      </c>
      <c r="O2" s="260"/>
      <c r="P2" s="263"/>
      <c r="Q2" s="264" t="s">
        <v>2788</v>
      </c>
      <c r="R2" s="265">
        <v>45845</v>
      </c>
      <c r="S2" s="266" t="s">
        <v>3525</v>
      </c>
      <c r="T2" s="260"/>
      <c r="U2" s="260"/>
      <c r="V2" s="260"/>
      <c r="W2" s="260"/>
      <c r="X2" s="267"/>
      <c r="Y2" s="261"/>
      <c r="Z2" s="261"/>
      <c r="AA2" s="261"/>
      <c r="AB2" s="261"/>
    </row>
    <row r="3" spans="1:28" s="15" customFormat="1" ht="15" customHeight="1" x14ac:dyDescent="0.25">
      <c r="A3" s="257" t="s">
        <v>2782</v>
      </c>
      <c r="B3" s="258" t="s">
        <v>1514</v>
      </c>
      <c r="C3" s="258" t="s">
        <v>2783</v>
      </c>
      <c r="D3" s="258" t="s">
        <v>282</v>
      </c>
      <c r="E3" s="259" t="s">
        <v>3526</v>
      </c>
      <c r="F3" s="257" t="s">
        <v>2785</v>
      </c>
      <c r="G3" s="258">
        <v>16</v>
      </c>
      <c r="H3" s="258" t="s">
        <v>2786</v>
      </c>
      <c r="I3" s="258" t="s">
        <v>2787</v>
      </c>
      <c r="J3" s="260">
        <v>1</v>
      </c>
      <c r="K3" s="261">
        <f>107/7*J3</f>
        <v>15.285714285714286</v>
      </c>
      <c r="L3" s="258">
        <v>48</v>
      </c>
      <c r="M3" s="262">
        <f>L3*K3+375.95/7*J3</f>
        <v>787.42142857142858</v>
      </c>
      <c r="N3" s="262">
        <f t="shared" ref="N3:N5" si="0">M3/G3</f>
        <v>49.213839285714286</v>
      </c>
      <c r="O3" s="260"/>
      <c r="P3" s="263"/>
      <c r="Q3" s="264" t="s">
        <v>2788</v>
      </c>
      <c r="R3" s="265">
        <v>45845</v>
      </c>
      <c r="S3" s="260"/>
      <c r="T3" s="260"/>
      <c r="U3" s="260"/>
      <c r="V3" s="260"/>
      <c r="W3" s="260"/>
      <c r="X3" s="267"/>
      <c r="Y3" s="261"/>
      <c r="Z3" s="261"/>
      <c r="AA3" s="261"/>
      <c r="AB3" s="261"/>
    </row>
    <row r="4" spans="1:28" s="9" customFormat="1" ht="15" customHeight="1" x14ac:dyDescent="0.25">
      <c r="A4" s="91"/>
      <c r="B4" s="91" t="s">
        <v>2789</v>
      </c>
      <c r="C4" s="91" t="s">
        <v>51</v>
      </c>
      <c r="D4" s="92"/>
      <c r="E4" s="91"/>
      <c r="F4" s="91" t="s">
        <v>51</v>
      </c>
      <c r="G4" s="91">
        <v>2</v>
      </c>
      <c r="H4" s="133" t="s">
        <v>2790</v>
      </c>
      <c r="I4" s="91" t="s">
        <v>2791</v>
      </c>
      <c r="J4" s="107">
        <v>0.5</v>
      </c>
      <c r="K4" s="105">
        <v>3</v>
      </c>
      <c r="L4" s="91">
        <v>71</v>
      </c>
      <c r="M4" s="112">
        <f>L4*K4</f>
        <v>213</v>
      </c>
      <c r="N4" s="112">
        <f t="shared" si="0"/>
        <v>106.5</v>
      </c>
      <c r="O4" s="91"/>
      <c r="P4" s="268"/>
      <c r="Q4" s="92" t="s">
        <v>2792</v>
      </c>
      <c r="R4" s="198">
        <v>45861</v>
      </c>
      <c r="S4" s="51" t="s">
        <v>3527</v>
      </c>
      <c r="T4" s="91"/>
      <c r="U4" s="91"/>
      <c r="V4" s="91"/>
      <c r="W4" s="91"/>
      <c r="X4" s="96"/>
      <c r="Y4" s="105"/>
      <c r="Z4" s="105"/>
      <c r="AA4" s="105"/>
      <c r="AB4" s="105"/>
    </row>
    <row r="5" spans="1:28" s="9" customFormat="1" ht="15" customHeight="1" x14ac:dyDescent="0.25">
      <c r="A5" s="91"/>
      <c r="B5" s="91" t="s">
        <v>2789</v>
      </c>
      <c r="C5" s="91" t="s">
        <v>2793</v>
      </c>
      <c r="D5" s="92"/>
      <c r="E5" s="91"/>
      <c r="F5" s="91" t="s">
        <v>2793</v>
      </c>
      <c r="G5" s="91">
        <v>2</v>
      </c>
      <c r="H5" s="133" t="s">
        <v>2790</v>
      </c>
      <c r="I5" s="91" t="s">
        <v>2791</v>
      </c>
      <c r="J5" s="107">
        <v>0.5</v>
      </c>
      <c r="K5" s="105">
        <v>3</v>
      </c>
      <c r="L5" s="91">
        <v>71</v>
      </c>
      <c r="M5" s="112">
        <f>L5*K5</f>
        <v>213</v>
      </c>
      <c r="N5" s="112">
        <f t="shared" si="0"/>
        <v>106.5</v>
      </c>
      <c r="O5" s="91"/>
      <c r="P5" s="268"/>
      <c r="Q5" s="92" t="s">
        <v>2792</v>
      </c>
      <c r="R5" s="198">
        <v>45861</v>
      </c>
      <c r="S5" s="91"/>
      <c r="T5" s="91"/>
      <c r="U5" s="91"/>
      <c r="V5" s="91"/>
      <c r="W5" s="91"/>
      <c r="X5" s="96"/>
      <c r="Y5" s="105"/>
      <c r="Z5" s="105"/>
      <c r="AA5" s="105"/>
      <c r="AB5" s="105"/>
    </row>
    <row r="6" spans="1:28" ht="15" customHeight="1" x14ac:dyDescent="0.25">
      <c r="A6" s="269"/>
      <c r="B6" s="269"/>
      <c r="C6" s="269"/>
      <c r="D6" s="270"/>
      <c r="E6" s="269"/>
      <c r="F6" s="269"/>
      <c r="G6" s="269"/>
      <c r="H6" s="269"/>
      <c r="I6" s="269"/>
      <c r="J6" s="271"/>
      <c r="K6" s="272"/>
      <c r="L6" s="269"/>
      <c r="M6" s="273"/>
      <c r="N6" s="269"/>
      <c r="O6" s="269"/>
      <c r="P6" s="274"/>
      <c r="Q6" s="270"/>
      <c r="R6" s="61"/>
      <c r="S6" s="269"/>
      <c r="T6" s="269"/>
      <c r="U6" s="269"/>
      <c r="V6" s="269"/>
      <c r="W6" s="269"/>
      <c r="X6" s="271"/>
      <c r="Y6" s="272"/>
      <c r="Z6" s="272"/>
      <c r="AA6" s="272"/>
      <c r="AB6" s="272"/>
    </row>
    <row r="7" spans="1:28" ht="15" customHeight="1" x14ac:dyDescent="0.25">
      <c r="A7" s="269"/>
      <c r="B7" s="269"/>
      <c r="C7" s="269"/>
      <c r="D7" s="270"/>
      <c r="E7" s="269"/>
      <c r="F7" s="269"/>
      <c r="G7" s="269"/>
      <c r="H7" s="269"/>
      <c r="I7" s="269"/>
      <c r="J7" s="271"/>
      <c r="K7" s="272"/>
      <c r="L7" s="269"/>
      <c r="M7" s="273"/>
      <c r="N7" s="269"/>
      <c r="O7" s="269"/>
      <c r="P7" s="274"/>
      <c r="Q7" s="270"/>
      <c r="R7" s="61"/>
      <c r="S7" s="269"/>
      <c r="T7" s="269"/>
      <c r="U7" s="269"/>
      <c r="V7" s="269"/>
      <c r="W7" s="269"/>
      <c r="X7" s="271"/>
      <c r="Y7" s="272"/>
      <c r="Z7" s="272"/>
      <c r="AA7" s="272"/>
      <c r="AB7" s="272"/>
    </row>
    <row r="8" spans="1:28" ht="15" customHeight="1" x14ac:dyDescent="0.25">
      <c r="A8" s="269"/>
      <c r="B8" s="269"/>
      <c r="C8" s="269"/>
      <c r="D8" s="270"/>
      <c r="E8" s="269"/>
      <c r="F8" s="269"/>
      <c r="G8" s="269"/>
      <c r="H8" s="269"/>
      <c r="I8" s="269"/>
      <c r="J8" s="271"/>
      <c r="K8" s="272"/>
      <c r="L8" s="269"/>
      <c r="M8" s="273"/>
      <c r="N8" s="269"/>
      <c r="O8" s="269"/>
      <c r="P8" s="274"/>
      <c r="Q8" s="270"/>
      <c r="R8" s="61"/>
      <c r="S8" s="269"/>
      <c r="T8" s="269"/>
      <c r="U8" s="269"/>
      <c r="V8" s="269"/>
      <c r="W8" s="269"/>
      <c r="X8" s="271"/>
      <c r="Y8" s="272"/>
      <c r="Z8" s="272"/>
      <c r="AA8" s="272"/>
      <c r="AB8" s="272"/>
    </row>
    <row r="9" spans="1:28" ht="15" customHeight="1" x14ac:dyDescent="0.25">
      <c r="A9" s="269"/>
      <c r="B9" s="269"/>
      <c r="C9" s="269"/>
      <c r="D9" s="270"/>
      <c r="E9" s="269"/>
      <c r="F9" s="269"/>
      <c r="G9" s="269"/>
      <c r="H9" s="269"/>
      <c r="I9" s="269"/>
      <c r="J9" s="271"/>
      <c r="K9" s="272"/>
      <c r="L9" s="269"/>
      <c r="M9" s="273">
        <f>K2*L2</f>
        <v>4402.2857142857147</v>
      </c>
      <c r="N9" s="269"/>
      <c r="O9" s="269"/>
      <c r="P9" s="274"/>
      <c r="Q9" s="270"/>
      <c r="R9" s="61"/>
      <c r="S9" s="269"/>
      <c r="T9" s="269"/>
      <c r="U9" s="269"/>
      <c r="V9" s="269"/>
      <c r="W9" s="269"/>
      <c r="X9" s="271"/>
      <c r="Y9" s="272"/>
      <c r="Z9" s="272"/>
      <c r="AA9" s="272"/>
      <c r="AB9" s="272"/>
    </row>
    <row r="10" spans="1:28" ht="15" customHeight="1" x14ac:dyDescent="0.25">
      <c r="A10" s="269"/>
      <c r="B10" s="269"/>
      <c r="C10" s="269"/>
      <c r="D10" s="270"/>
      <c r="E10" s="269"/>
      <c r="F10" s="269"/>
      <c r="G10" s="269"/>
      <c r="H10" s="269"/>
      <c r="I10" s="269"/>
      <c r="J10" s="271"/>
      <c r="K10" s="272"/>
      <c r="L10" s="269"/>
      <c r="M10" s="273">
        <f>K3*L3</f>
        <v>733.71428571428578</v>
      </c>
      <c r="N10" s="269"/>
      <c r="O10" s="269"/>
      <c r="P10" s="274"/>
      <c r="Q10" s="270"/>
      <c r="R10" s="61"/>
      <c r="S10" s="269"/>
      <c r="T10" s="269"/>
      <c r="U10" s="269"/>
      <c r="V10" s="269"/>
      <c r="W10" s="269"/>
      <c r="X10" s="271"/>
      <c r="Y10" s="272"/>
      <c r="Z10" s="272"/>
      <c r="AA10" s="272"/>
      <c r="AB10" s="272"/>
    </row>
    <row r="11" spans="1:28" ht="15" customHeight="1" x14ac:dyDescent="0.25">
      <c r="A11" s="269"/>
      <c r="B11" s="269"/>
      <c r="C11" s="269"/>
      <c r="D11" s="270"/>
      <c r="E11" s="269"/>
      <c r="F11" s="269"/>
      <c r="G11" s="269"/>
      <c r="H11" s="269"/>
      <c r="I11" s="269"/>
      <c r="J11" s="271"/>
      <c r="K11" s="272"/>
      <c r="L11" s="269"/>
      <c r="M11" s="273">
        <v>350</v>
      </c>
      <c r="N11" s="269"/>
      <c r="O11" s="269"/>
      <c r="P11" s="274"/>
      <c r="Q11" s="270"/>
      <c r="R11" s="61"/>
      <c r="S11" s="269"/>
      <c r="T11" s="269"/>
      <c r="U11" s="269"/>
      <c r="V11" s="269"/>
      <c r="W11" s="269"/>
      <c r="X11" s="271"/>
      <c r="Y11" s="272"/>
      <c r="Z11" s="272"/>
      <c r="AA11" s="272"/>
      <c r="AB11" s="272"/>
    </row>
    <row r="12" spans="1:28" ht="15" customHeight="1" x14ac:dyDescent="0.25">
      <c r="A12" s="269"/>
      <c r="B12" s="269"/>
      <c r="C12" s="269"/>
      <c r="D12" s="270"/>
      <c r="E12" s="269"/>
      <c r="F12" s="269"/>
      <c r="G12" s="269"/>
      <c r="H12" s="269"/>
      <c r="I12" s="269"/>
      <c r="J12" s="271"/>
      <c r="K12" s="272"/>
      <c r="L12" s="269"/>
      <c r="M12" s="273"/>
      <c r="N12" s="269"/>
      <c r="O12" s="269"/>
      <c r="P12" s="274"/>
      <c r="Q12" s="270"/>
      <c r="R12" s="61"/>
      <c r="S12" s="269"/>
      <c r="T12" s="269"/>
      <c r="U12" s="269"/>
      <c r="V12" s="269"/>
      <c r="W12" s="269"/>
      <c r="X12" s="271"/>
      <c r="Y12" s="272"/>
      <c r="Z12" s="272"/>
      <c r="AA12" s="272"/>
      <c r="AB12" s="272"/>
    </row>
    <row r="13" spans="1:28" ht="15" customHeight="1" x14ac:dyDescent="0.25">
      <c r="A13" s="269"/>
      <c r="B13" s="269"/>
      <c r="C13" s="269"/>
      <c r="D13" s="270"/>
      <c r="E13" s="269"/>
      <c r="F13" s="269"/>
      <c r="G13" s="269"/>
      <c r="H13" s="269"/>
      <c r="I13" s="269"/>
      <c r="J13" s="271"/>
      <c r="K13" s="272"/>
      <c r="L13" s="269"/>
      <c r="M13" s="273"/>
      <c r="N13" s="269"/>
      <c r="O13" s="269"/>
      <c r="P13" s="274"/>
      <c r="Q13" s="270"/>
      <c r="R13" s="61"/>
      <c r="S13" s="269"/>
      <c r="T13" s="269"/>
      <c r="U13" s="269"/>
      <c r="V13" s="269"/>
      <c r="W13" s="269"/>
      <c r="X13" s="271"/>
      <c r="Y13" s="272"/>
      <c r="Z13" s="272"/>
      <c r="AA13" s="272"/>
      <c r="AB13" s="272"/>
    </row>
    <row r="14" spans="1:28" ht="15" customHeight="1" x14ac:dyDescent="0.25">
      <c r="A14" s="269"/>
      <c r="B14" s="269"/>
      <c r="C14" s="269"/>
      <c r="D14" s="270"/>
      <c r="E14" s="269"/>
      <c r="F14" s="269"/>
      <c r="G14" s="269"/>
      <c r="H14" s="269"/>
      <c r="I14" s="269"/>
      <c r="J14" s="271"/>
      <c r="K14" s="272"/>
      <c r="L14" s="269"/>
      <c r="M14" s="273"/>
      <c r="N14" s="269"/>
      <c r="O14" s="269"/>
      <c r="P14" s="274"/>
      <c r="Q14" s="270"/>
      <c r="R14" s="61"/>
      <c r="S14" s="269"/>
      <c r="T14" s="269"/>
      <c r="U14" s="269"/>
      <c r="V14" s="269"/>
      <c r="W14" s="269"/>
      <c r="X14" s="271"/>
      <c r="Y14" s="272"/>
      <c r="Z14" s="272"/>
      <c r="AA14" s="272"/>
      <c r="AB14" s="272"/>
    </row>
    <row r="15" spans="1:28" ht="15" customHeight="1" x14ac:dyDescent="0.25">
      <c r="A15" s="269"/>
      <c r="B15" s="269"/>
      <c r="C15" s="269"/>
      <c r="D15" s="270"/>
      <c r="E15" s="269"/>
      <c r="F15" s="269"/>
      <c r="G15" s="269"/>
      <c r="H15" s="269"/>
      <c r="I15" s="269"/>
      <c r="J15" s="271"/>
      <c r="K15" s="272"/>
      <c r="L15" s="269"/>
      <c r="M15" s="273"/>
      <c r="N15" s="269"/>
      <c r="O15" s="269"/>
      <c r="P15" s="274"/>
      <c r="Q15" s="270"/>
      <c r="R15" s="61"/>
      <c r="S15" s="269"/>
      <c r="T15" s="269"/>
      <c r="U15" s="269"/>
      <c r="V15" s="269"/>
      <c r="W15" s="269"/>
      <c r="X15" s="271"/>
      <c r="Y15" s="272"/>
      <c r="Z15" s="272"/>
      <c r="AA15" s="272"/>
      <c r="AB15" s="272"/>
    </row>
    <row r="16" spans="1:28" ht="15" customHeight="1" x14ac:dyDescent="0.25">
      <c r="A16" s="269"/>
      <c r="B16" s="269"/>
      <c r="C16" s="269"/>
      <c r="D16" s="270"/>
      <c r="E16" s="269"/>
      <c r="F16" s="269"/>
      <c r="G16" s="269"/>
      <c r="H16" s="269"/>
      <c r="I16" s="269"/>
      <c r="J16" s="271"/>
      <c r="K16" s="272"/>
      <c r="L16" s="269"/>
      <c r="M16" s="273"/>
      <c r="N16" s="269"/>
      <c r="O16" s="269"/>
      <c r="P16" s="274"/>
      <c r="Q16" s="270"/>
      <c r="R16" s="61"/>
      <c r="S16" s="269"/>
      <c r="T16" s="269"/>
      <c r="U16" s="269"/>
      <c r="V16" s="269"/>
      <c r="W16" s="269"/>
      <c r="X16" s="271"/>
      <c r="Y16" s="272"/>
      <c r="Z16" s="272"/>
      <c r="AA16" s="272"/>
      <c r="AB16" s="272"/>
    </row>
    <row r="17" spans="1:28" ht="15" customHeight="1" x14ac:dyDescent="0.25">
      <c r="A17" s="269"/>
      <c r="B17" s="269"/>
      <c r="C17" s="269"/>
      <c r="D17" s="270"/>
      <c r="E17" s="269"/>
      <c r="F17" s="269"/>
      <c r="G17" s="269"/>
      <c r="H17" s="269"/>
      <c r="I17" s="269"/>
      <c r="J17" s="271"/>
      <c r="K17" s="272"/>
      <c r="L17" s="269"/>
      <c r="M17" s="273"/>
      <c r="N17" s="269"/>
      <c r="O17" s="269"/>
      <c r="P17" s="274"/>
      <c r="Q17" s="270"/>
      <c r="R17" s="61"/>
      <c r="S17" s="269"/>
      <c r="T17" s="269"/>
      <c r="U17" s="269"/>
      <c r="V17" s="269"/>
      <c r="W17" s="269"/>
      <c r="X17" s="271"/>
      <c r="Y17" s="272"/>
      <c r="Z17" s="272"/>
      <c r="AA17" s="272"/>
      <c r="AB17" s="272"/>
    </row>
    <row r="18" spans="1:28" ht="15" customHeight="1" x14ac:dyDescent="0.25">
      <c r="A18" s="269"/>
      <c r="B18" s="269"/>
      <c r="C18" s="269"/>
      <c r="D18" s="270"/>
      <c r="E18" s="269"/>
      <c r="F18" s="269"/>
      <c r="G18" s="269"/>
      <c r="H18" s="269"/>
      <c r="I18" s="269"/>
      <c r="J18" s="271"/>
      <c r="K18" s="272"/>
      <c r="L18" s="269"/>
      <c r="M18" s="273"/>
      <c r="N18" s="269"/>
      <c r="O18" s="269"/>
      <c r="P18" s="274"/>
      <c r="Q18" s="270"/>
      <c r="R18" s="61"/>
      <c r="S18" s="269"/>
      <c r="T18" s="269"/>
      <c r="U18" s="269"/>
      <c r="V18" s="269"/>
      <c r="W18" s="269"/>
      <c r="X18" s="271"/>
      <c r="Y18" s="272"/>
      <c r="Z18" s="272"/>
      <c r="AA18" s="272"/>
      <c r="AB18" s="272"/>
    </row>
    <row r="19" spans="1:28" ht="15" customHeight="1" x14ac:dyDescent="0.25">
      <c r="A19" s="269"/>
      <c r="B19" s="269"/>
      <c r="C19" s="269"/>
      <c r="D19" s="270"/>
      <c r="E19" s="269"/>
      <c r="F19" s="269"/>
      <c r="G19" s="269"/>
      <c r="H19" s="269"/>
      <c r="I19" s="269"/>
      <c r="J19" s="271"/>
      <c r="K19" s="272"/>
      <c r="L19" s="269"/>
      <c r="M19" s="273"/>
      <c r="N19" s="269"/>
      <c r="O19" s="269"/>
      <c r="P19" s="274"/>
      <c r="Q19" s="270"/>
      <c r="R19" s="61"/>
      <c r="S19" s="269"/>
      <c r="T19" s="269"/>
      <c r="U19" s="269"/>
      <c r="V19" s="269"/>
      <c r="W19" s="269"/>
      <c r="X19" s="271"/>
      <c r="Y19" s="272"/>
      <c r="Z19" s="272"/>
      <c r="AA19" s="272"/>
      <c r="AB19" s="272"/>
    </row>
    <row r="20" spans="1:28" ht="15" customHeight="1" x14ac:dyDescent="0.25">
      <c r="A20" s="269"/>
      <c r="B20" s="269"/>
      <c r="C20" s="269"/>
      <c r="D20" s="270"/>
      <c r="E20" s="269"/>
      <c r="F20" s="269"/>
      <c r="G20" s="269"/>
      <c r="H20" s="269"/>
      <c r="I20" s="269"/>
      <c r="J20" s="271"/>
      <c r="K20" s="272"/>
      <c r="L20" s="269"/>
      <c r="M20" s="273"/>
      <c r="N20" s="269"/>
      <c r="O20" s="269"/>
      <c r="P20" s="274"/>
      <c r="Q20" s="270"/>
      <c r="R20" s="61"/>
      <c r="S20" s="269"/>
      <c r="T20" s="269"/>
      <c r="U20" s="269"/>
      <c r="V20" s="269"/>
      <c r="W20" s="269"/>
      <c r="X20" s="271"/>
      <c r="Y20" s="272"/>
      <c r="Z20" s="272"/>
      <c r="AA20" s="272"/>
      <c r="AB20" s="272"/>
    </row>
    <row r="21" spans="1:28" ht="15" customHeight="1" x14ac:dyDescent="0.25">
      <c r="A21" s="269"/>
      <c r="B21" s="269"/>
      <c r="C21" s="269"/>
      <c r="D21" s="270"/>
      <c r="E21" s="269"/>
      <c r="F21" s="269"/>
      <c r="G21" s="269"/>
      <c r="H21" s="269"/>
      <c r="I21" s="269"/>
      <c r="J21" s="271"/>
      <c r="K21" s="272"/>
      <c r="L21" s="269"/>
      <c r="M21" s="273"/>
      <c r="N21" s="269"/>
      <c r="O21" s="269"/>
      <c r="P21" s="274"/>
      <c r="Q21" s="270"/>
      <c r="R21" s="61"/>
      <c r="S21" s="269"/>
      <c r="T21" s="269"/>
      <c r="U21" s="269"/>
      <c r="V21" s="269"/>
      <c r="W21" s="269"/>
      <c r="X21" s="271"/>
      <c r="Y21" s="272"/>
      <c r="Z21" s="272"/>
      <c r="AA21" s="272"/>
      <c r="AB21" s="272"/>
    </row>
    <row r="22" spans="1:28" ht="15" customHeight="1" x14ac:dyDescent="0.25">
      <c r="A22" s="269"/>
      <c r="B22" s="269"/>
      <c r="C22" s="269"/>
      <c r="D22" s="270"/>
      <c r="E22" s="269"/>
      <c r="F22" s="269"/>
      <c r="G22" s="269"/>
      <c r="H22" s="269"/>
      <c r="I22" s="269"/>
      <c r="J22" s="271"/>
      <c r="K22" s="272"/>
      <c r="L22" s="269"/>
      <c r="M22" s="273"/>
      <c r="N22" s="269"/>
      <c r="O22" s="269"/>
      <c r="P22" s="274"/>
      <c r="Q22" s="270"/>
      <c r="R22" s="61"/>
      <c r="S22" s="269"/>
      <c r="T22" s="269"/>
      <c r="U22" s="269"/>
      <c r="V22" s="269"/>
      <c r="W22" s="269"/>
      <c r="X22" s="271"/>
      <c r="Y22" s="272"/>
      <c r="Z22" s="272"/>
      <c r="AA22" s="272"/>
      <c r="AB22" s="272"/>
    </row>
    <row r="23" spans="1:28" ht="15" customHeight="1" x14ac:dyDescent="0.25">
      <c r="A23" s="269"/>
      <c r="B23" s="269"/>
      <c r="C23" s="269"/>
      <c r="D23" s="270"/>
      <c r="E23" s="269"/>
      <c r="F23" s="269"/>
      <c r="G23" s="269"/>
      <c r="H23" s="269"/>
      <c r="I23" s="269"/>
      <c r="J23" s="271"/>
      <c r="K23" s="272"/>
      <c r="L23" s="269"/>
      <c r="M23" s="273"/>
      <c r="N23" s="269"/>
      <c r="O23" s="269"/>
      <c r="P23" s="274"/>
      <c r="Q23" s="270"/>
      <c r="R23" s="61"/>
      <c r="S23" s="269"/>
      <c r="T23" s="269"/>
      <c r="U23" s="269"/>
      <c r="V23" s="269"/>
      <c r="W23" s="269"/>
      <c r="X23" s="271"/>
      <c r="Y23" s="272"/>
      <c r="Z23" s="272"/>
      <c r="AA23" s="272"/>
      <c r="AB23" s="272"/>
    </row>
    <row r="24" spans="1:28" ht="15" customHeight="1" x14ac:dyDescent="0.25">
      <c r="A24" s="269"/>
      <c r="B24" s="269"/>
      <c r="C24" s="269"/>
      <c r="D24" s="270"/>
      <c r="E24" s="269"/>
      <c r="F24" s="269"/>
      <c r="G24" s="269"/>
      <c r="H24" s="269"/>
      <c r="I24" s="269"/>
      <c r="J24" s="271"/>
      <c r="K24" s="272"/>
      <c r="L24" s="269"/>
      <c r="M24" s="273"/>
      <c r="N24" s="269"/>
      <c r="O24" s="269"/>
      <c r="P24" s="274"/>
      <c r="Q24" s="270"/>
      <c r="R24" s="61"/>
      <c r="S24" s="269"/>
      <c r="T24" s="269"/>
      <c r="U24" s="269"/>
      <c r="V24" s="269"/>
      <c r="W24" s="269"/>
      <c r="X24" s="271"/>
      <c r="Y24" s="272"/>
      <c r="Z24" s="272"/>
      <c r="AA24" s="272"/>
      <c r="AB24" s="272"/>
    </row>
    <row r="25" spans="1:28" ht="15" customHeight="1" x14ac:dyDescent="0.25">
      <c r="A25" s="269"/>
      <c r="B25" s="269"/>
      <c r="C25" s="269"/>
      <c r="D25" s="270"/>
      <c r="E25" s="269"/>
      <c r="F25" s="269"/>
      <c r="G25" s="269"/>
      <c r="H25" s="269"/>
      <c r="I25" s="269"/>
      <c r="J25" s="271"/>
      <c r="K25" s="272"/>
      <c r="L25" s="269"/>
      <c r="M25" s="273"/>
      <c r="N25" s="269"/>
      <c r="O25" s="269"/>
      <c r="P25" s="274"/>
      <c r="Q25" s="270"/>
      <c r="R25" s="61"/>
      <c r="S25" s="269"/>
      <c r="T25" s="269"/>
      <c r="U25" s="269"/>
      <c r="V25" s="269"/>
      <c r="W25" s="269"/>
      <c r="X25" s="271"/>
      <c r="Y25" s="272"/>
      <c r="Z25" s="272"/>
      <c r="AA25" s="272"/>
      <c r="AB25" s="272"/>
    </row>
    <row r="26" spans="1:28" ht="15" customHeight="1" x14ac:dyDescent="0.25">
      <c r="A26" s="269"/>
      <c r="B26" s="269"/>
      <c r="C26" s="269"/>
      <c r="D26" s="270"/>
      <c r="E26" s="269"/>
      <c r="F26" s="269"/>
      <c r="G26" s="269"/>
      <c r="H26" s="269"/>
      <c r="I26" s="269"/>
      <c r="J26" s="271"/>
      <c r="K26" s="272"/>
      <c r="L26" s="269"/>
      <c r="M26" s="273"/>
      <c r="N26" s="269"/>
      <c r="O26" s="269"/>
      <c r="P26" s="274"/>
      <c r="Q26" s="270"/>
      <c r="R26" s="61"/>
      <c r="S26" s="269"/>
      <c r="T26" s="269"/>
      <c r="U26" s="269"/>
      <c r="V26" s="269"/>
      <c r="W26" s="269"/>
      <c r="X26" s="271"/>
      <c r="Y26" s="272"/>
      <c r="Z26" s="272"/>
      <c r="AA26" s="272"/>
      <c r="AB26" s="272"/>
    </row>
    <row r="27" spans="1:28" ht="15" customHeight="1" x14ac:dyDescent="0.25">
      <c r="A27" s="269"/>
      <c r="B27" s="269"/>
      <c r="C27" s="269"/>
      <c r="D27" s="270"/>
      <c r="E27" s="269"/>
      <c r="F27" s="269"/>
      <c r="G27" s="269"/>
      <c r="H27" s="269"/>
      <c r="I27" s="269"/>
      <c r="J27" s="271"/>
      <c r="K27" s="272"/>
      <c r="L27" s="269"/>
      <c r="M27" s="273"/>
      <c r="N27" s="269"/>
      <c r="O27" s="269"/>
      <c r="P27" s="274"/>
      <c r="Q27" s="270"/>
      <c r="R27" s="61"/>
      <c r="S27" s="269"/>
      <c r="T27" s="269"/>
      <c r="U27" s="269"/>
      <c r="V27" s="269"/>
      <c r="W27" s="269"/>
      <c r="X27" s="271"/>
      <c r="Y27" s="272"/>
      <c r="Z27" s="272"/>
      <c r="AA27" s="272"/>
      <c r="AB27" s="272"/>
    </row>
    <row r="28" spans="1:28" ht="15" customHeight="1" x14ac:dyDescent="0.25">
      <c r="A28" s="269"/>
      <c r="B28" s="269"/>
      <c r="C28" s="269"/>
      <c r="D28" s="270"/>
      <c r="E28" s="269"/>
      <c r="F28" s="269"/>
      <c r="G28" s="269"/>
      <c r="H28" s="269"/>
      <c r="I28" s="269"/>
      <c r="J28" s="271"/>
      <c r="K28" s="272"/>
      <c r="L28" s="269"/>
      <c r="M28" s="273"/>
      <c r="N28" s="269"/>
      <c r="O28" s="269"/>
      <c r="P28" s="274"/>
      <c r="Q28" s="270"/>
      <c r="R28" s="61"/>
      <c r="S28" s="269"/>
      <c r="T28" s="269"/>
      <c r="U28" s="269"/>
      <c r="V28" s="269"/>
      <c r="W28" s="269"/>
      <c r="X28" s="271"/>
      <c r="Y28" s="272"/>
      <c r="Z28" s="272"/>
      <c r="AA28" s="272"/>
      <c r="AB28" s="272"/>
    </row>
    <row r="29" spans="1:28" ht="15" customHeight="1" x14ac:dyDescent="0.25">
      <c r="A29" s="269"/>
      <c r="B29" s="269"/>
      <c r="C29" s="269"/>
      <c r="D29" s="270"/>
      <c r="E29" s="269"/>
      <c r="F29" s="269"/>
      <c r="G29" s="269"/>
      <c r="H29" s="269"/>
      <c r="I29" s="269"/>
      <c r="J29" s="271"/>
      <c r="K29" s="272"/>
      <c r="L29" s="269"/>
      <c r="M29" s="273"/>
      <c r="N29" s="269"/>
      <c r="O29" s="269"/>
      <c r="P29" s="274"/>
      <c r="Q29" s="270"/>
      <c r="R29" s="61"/>
      <c r="S29" s="269"/>
      <c r="T29" s="269"/>
      <c r="U29" s="269"/>
      <c r="V29" s="269"/>
      <c r="W29" s="269"/>
      <c r="X29" s="271"/>
      <c r="Y29" s="272"/>
      <c r="Z29" s="272"/>
      <c r="AA29" s="272"/>
      <c r="AB29" s="272"/>
    </row>
    <row r="30" spans="1:28" ht="15" customHeight="1" x14ac:dyDescent="0.25">
      <c r="A30" s="269"/>
      <c r="B30" s="269"/>
      <c r="C30" s="269"/>
      <c r="D30" s="270"/>
      <c r="E30" s="269"/>
      <c r="F30" s="269"/>
      <c r="G30" s="269"/>
      <c r="H30" s="269"/>
      <c r="I30" s="269"/>
      <c r="J30" s="271"/>
      <c r="K30" s="272"/>
      <c r="L30" s="269"/>
      <c r="M30" s="273"/>
      <c r="N30" s="269"/>
      <c r="O30" s="269"/>
      <c r="P30" s="274"/>
      <c r="Q30" s="270"/>
      <c r="R30" s="61"/>
      <c r="S30" s="269"/>
      <c r="T30" s="269"/>
      <c r="U30" s="269"/>
      <c r="V30" s="269"/>
      <c r="W30" s="269"/>
      <c r="X30" s="271"/>
      <c r="Y30" s="272"/>
      <c r="Z30" s="272"/>
      <c r="AA30" s="272"/>
      <c r="AB30" s="272"/>
    </row>
    <row r="31" spans="1:28" ht="15" customHeight="1" x14ac:dyDescent="0.25">
      <c r="A31" s="269"/>
      <c r="B31" s="269"/>
      <c r="C31" s="269"/>
      <c r="D31" s="270"/>
      <c r="E31" s="269"/>
      <c r="F31" s="269"/>
      <c r="G31" s="269"/>
      <c r="H31" s="269"/>
      <c r="I31" s="269"/>
      <c r="J31" s="271"/>
      <c r="K31" s="272"/>
      <c r="L31" s="269"/>
      <c r="M31" s="273"/>
      <c r="N31" s="269"/>
      <c r="O31" s="269"/>
      <c r="P31" s="274"/>
      <c r="Q31" s="270"/>
      <c r="R31" s="61"/>
      <c r="S31" s="269"/>
      <c r="T31" s="269"/>
      <c r="U31" s="269"/>
      <c r="V31" s="269"/>
      <c r="W31" s="269"/>
      <c r="X31" s="271"/>
      <c r="Y31" s="272"/>
      <c r="Z31" s="272"/>
      <c r="AA31" s="272"/>
      <c r="AB31" s="272"/>
    </row>
    <row r="32" spans="1:28" ht="15" customHeight="1" x14ac:dyDescent="0.25">
      <c r="A32" s="269"/>
      <c r="B32" s="269"/>
      <c r="C32" s="269"/>
      <c r="D32" s="270"/>
      <c r="E32" s="269"/>
      <c r="F32" s="269"/>
      <c r="G32" s="269"/>
      <c r="H32" s="269"/>
      <c r="I32" s="269"/>
      <c r="J32" s="271"/>
      <c r="K32" s="272"/>
      <c r="L32" s="269"/>
      <c r="M32" s="273"/>
      <c r="N32" s="269"/>
      <c r="O32" s="269"/>
      <c r="P32" s="274"/>
      <c r="Q32" s="270"/>
      <c r="R32" s="61"/>
      <c r="S32" s="269"/>
      <c r="T32" s="269"/>
      <c r="U32" s="269"/>
      <c r="V32" s="269"/>
      <c r="W32" s="269"/>
      <c r="X32" s="271"/>
      <c r="Y32" s="272"/>
      <c r="Z32" s="272"/>
      <c r="AA32" s="272"/>
      <c r="AB32" s="272"/>
    </row>
    <row r="33" spans="1:28" ht="15" customHeight="1" x14ac:dyDescent="0.25">
      <c r="A33" s="269"/>
      <c r="B33" s="269"/>
      <c r="C33" s="269"/>
      <c r="D33" s="270"/>
      <c r="E33" s="269"/>
      <c r="F33" s="269"/>
      <c r="G33" s="269"/>
      <c r="H33" s="269"/>
      <c r="I33" s="269"/>
      <c r="J33" s="271"/>
      <c r="K33" s="272"/>
      <c r="L33" s="269"/>
      <c r="M33" s="273"/>
      <c r="N33" s="269"/>
      <c r="O33" s="269"/>
      <c r="P33" s="274"/>
      <c r="Q33" s="270"/>
      <c r="R33" s="61"/>
      <c r="S33" s="269"/>
      <c r="T33" s="269"/>
      <c r="U33" s="269"/>
      <c r="V33" s="269"/>
      <c r="W33" s="269"/>
      <c r="X33" s="271"/>
      <c r="Y33" s="272"/>
      <c r="Z33" s="272"/>
      <c r="AA33" s="272"/>
      <c r="AB33" s="272"/>
    </row>
    <row r="34" spans="1:28" ht="15" customHeight="1" x14ac:dyDescent="0.25">
      <c r="A34" s="269"/>
      <c r="B34" s="269"/>
      <c r="C34" s="269"/>
      <c r="D34" s="270"/>
      <c r="E34" s="269"/>
      <c r="F34" s="269"/>
      <c r="G34" s="269"/>
      <c r="H34" s="269"/>
      <c r="I34" s="269"/>
      <c r="J34" s="271"/>
      <c r="K34" s="272"/>
      <c r="L34" s="269"/>
      <c r="M34" s="273"/>
      <c r="N34" s="269"/>
      <c r="O34" s="269"/>
      <c r="P34" s="274"/>
      <c r="Q34" s="270"/>
      <c r="R34" s="61"/>
      <c r="S34" s="269"/>
      <c r="T34" s="269"/>
      <c r="U34" s="269"/>
      <c r="V34" s="269"/>
      <c r="W34" s="269"/>
      <c r="X34" s="271"/>
      <c r="Y34" s="272"/>
      <c r="Z34" s="272"/>
      <c r="AA34" s="272"/>
      <c r="AB34" s="272"/>
    </row>
    <row r="35" spans="1:28" ht="15" customHeight="1" x14ac:dyDescent="0.25">
      <c r="A35" s="269"/>
      <c r="B35" s="269"/>
      <c r="C35" s="269"/>
      <c r="D35" s="270"/>
      <c r="E35" s="269"/>
      <c r="F35" s="269"/>
      <c r="G35" s="269"/>
      <c r="H35" s="269"/>
      <c r="I35" s="269"/>
      <c r="J35" s="271"/>
      <c r="K35" s="272"/>
      <c r="L35" s="269"/>
      <c r="M35" s="273"/>
      <c r="N35" s="269"/>
      <c r="O35" s="269"/>
      <c r="P35" s="274"/>
      <c r="Q35" s="270"/>
      <c r="R35" s="61"/>
      <c r="S35" s="269"/>
      <c r="T35" s="269"/>
      <c r="U35" s="269"/>
      <c r="V35" s="269"/>
      <c r="W35" s="269"/>
      <c r="X35" s="271"/>
      <c r="Y35" s="272"/>
      <c r="Z35" s="272"/>
      <c r="AA35" s="272"/>
      <c r="AB35" s="272"/>
    </row>
    <row r="36" spans="1:28" ht="15" customHeight="1" x14ac:dyDescent="0.25">
      <c r="A36" s="269"/>
      <c r="B36" s="269"/>
      <c r="C36" s="269"/>
      <c r="D36" s="270"/>
      <c r="E36" s="269"/>
      <c r="F36" s="269"/>
      <c r="G36" s="269"/>
      <c r="H36" s="269"/>
      <c r="I36" s="269"/>
      <c r="J36" s="271"/>
      <c r="K36" s="272"/>
      <c r="L36" s="269"/>
      <c r="M36" s="273"/>
      <c r="N36" s="269"/>
      <c r="O36" s="269"/>
      <c r="P36" s="274"/>
      <c r="Q36" s="270"/>
      <c r="R36" s="61"/>
      <c r="S36" s="269"/>
      <c r="T36" s="269"/>
      <c r="U36" s="269"/>
      <c r="V36" s="269"/>
      <c r="W36" s="269"/>
      <c r="X36" s="271"/>
      <c r="Y36" s="272"/>
      <c r="Z36" s="272"/>
      <c r="AA36" s="272"/>
      <c r="AB36" s="272"/>
    </row>
    <row r="37" spans="1:28" ht="15" customHeight="1" x14ac:dyDescent="0.25">
      <c r="A37" s="269"/>
      <c r="B37" s="269"/>
      <c r="C37" s="269"/>
      <c r="D37" s="270"/>
      <c r="E37" s="269"/>
      <c r="F37" s="269"/>
      <c r="G37" s="269"/>
      <c r="H37" s="269"/>
      <c r="I37" s="269"/>
      <c r="J37" s="271"/>
      <c r="K37" s="272"/>
      <c r="L37" s="269"/>
      <c r="M37" s="273"/>
      <c r="N37" s="269"/>
      <c r="O37" s="269"/>
      <c r="P37" s="274"/>
      <c r="Q37" s="270"/>
      <c r="R37" s="61"/>
      <c r="S37" s="269"/>
      <c r="T37" s="269"/>
      <c r="U37" s="269"/>
      <c r="V37" s="269"/>
      <c r="W37" s="269"/>
      <c r="X37" s="271"/>
      <c r="Y37" s="272"/>
      <c r="Z37" s="272"/>
      <c r="AA37" s="272"/>
      <c r="AB37" s="272"/>
    </row>
    <row r="38" spans="1:28" ht="15" customHeight="1" x14ac:dyDescent="0.25">
      <c r="A38" s="269"/>
      <c r="B38" s="269"/>
      <c r="C38" s="269"/>
      <c r="D38" s="270"/>
      <c r="E38" s="269"/>
      <c r="F38" s="269"/>
      <c r="G38" s="269"/>
      <c r="H38" s="269"/>
      <c r="I38" s="269"/>
      <c r="J38" s="271"/>
      <c r="K38" s="272"/>
      <c r="L38" s="269"/>
      <c r="M38" s="273"/>
      <c r="N38" s="269"/>
      <c r="O38" s="269"/>
      <c r="P38" s="274"/>
      <c r="Q38" s="270"/>
      <c r="R38" s="61"/>
      <c r="S38" s="269"/>
      <c r="T38" s="269"/>
      <c r="U38" s="269"/>
      <c r="V38" s="269"/>
      <c r="W38" s="269"/>
      <c r="X38" s="271"/>
      <c r="Y38" s="272"/>
      <c r="Z38" s="272"/>
      <c r="AA38" s="272"/>
      <c r="AB38" s="272"/>
    </row>
    <row r="39" spans="1:28" ht="15" customHeight="1" x14ac:dyDescent="0.25">
      <c r="A39" s="269"/>
      <c r="B39" s="269"/>
      <c r="C39" s="269"/>
      <c r="D39" s="270"/>
      <c r="E39" s="269"/>
      <c r="F39" s="269"/>
      <c r="G39" s="269"/>
      <c r="H39" s="269"/>
      <c r="I39" s="269"/>
      <c r="J39" s="271"/>
      <c r="K39" s="272"/>
      <c r="L39" s="269"/>
      <c r="M39" s="273"/>
      <c r="N39" s="269"/>
      <c r="O39" s="269"/>
      <c r="P39" s="274"/>
      <c r="Q39" s="270"/>
      <c r="R39" s="61"/>
      <c r="S39" s="269"/>
      <c r="T39" s="269"/>
      <c r="U39" s="269"/>
      <c r="V39" s="269"/>
      <c r="W39" s="269"/>
      <c r="X39" s="271"/>
      <c r="Y39" s="272"/>
      <c r="Z39" s="272"/>
      <c r="AA39" s="272"/>
      <c r="AB39" s="272"/>
    </row>
    <row r="40" spans="1:28" ht="15" customHeight="1" x14ac:dyDescent="0.25">
      <c r="A40" s="269"/>
      <c r="B40" s="269"/>
      <c r="C40" s="269"/>
      <c r="D40" s="270"/>
      <c r="E40" s="269"/>
      <c r="F40" s="269"/>
      <c r="G40" s="269"/>
      <c r="H40" s="269"/>
      <c r="I40" s="269"/>
      <c r="J40" s="271"/>
      <c r="K40" s="272"/>
      <c r="L40" s="269"/>
      <c r="M40" s="273"/>
      <c r="N40" s="269"/>
      <c r="O40" s="269"/>
      <c r="P40" s="274"/>
      <c r="Q40" s="270"/>
      <c r="R40" s="61"/>
      <c r="S40" s="269"/>
      <c r="T40" s="269"/>
      <c r="U40" s="269"/>
      <c r="V40" s="269"/>
      <c r="W40" s="269"/>
      <c r="X40" s="271"/>
      <c r="Y40" s="272"/>
      <c r="Z40" s="272"/>
      <c r="AA40" s="272"/>
      <c r="AB40" s="272"/>
    </row>
    <row r="41" spans="1:28" ht="15" customHeight="1" x14ac:dyDescent="0.25">
      <c r="A41" s="269"/>
      <c r="B41" s="269"/>
      <c r="C41" s="269"/>
      <c r="D41" s="270"/>
      <c r="E41" s="269"/>
      <c r="F41" s="269"/>
      <c r="G41" s="269"/>
      <c r="H41" s="269"/>
      <c r="I41" s="269"/>
      <c r="J41" s="271"/>
      <c r="K41" s="272"/>
      <c r="L41" s="269"/>
      <c r="M41" s="273"/>
      <c r="N41" s="269"/>
      <c r="O41" s="269"/>
      <c r="P41" s="274"/>
      <c r="Q41" s="270"/>
      <c r="R41" s="61"/>
      <c r="S41" s="269"/>
      <c r="T41" s="269"/>
      <c r="U41" s="269"/>
      <c r="V41" s="269"/>
      <c r="W41" s="269"/>
      <c r="X41" s="271"/>
      <c r="Y41" s="272"/>
      <c r="Z41" s="272"/>
      <c r="AA41" s="272"/>
      <c r="AB41" s="272"/>
    </row>
    <row r="42" spans="1:28" ht="15" customHeight="1" x14ac:dyDescent="0.25">
      <c r="A42" s="269"/>
      <c r="B42" s="269"/>
      <c r="C42" s="269"/>
      <c r="D42" s="270"/>
      <c r="E42" s="269"/>
      <c r="F42" s="269"/>
      <c r="G42" s="269"/>
      <c r="H42" s="269"/>
      <c r="I42" s="269"/>
      <c r="J42" s="271"/>
      <c r="K42" s="272"/>
      <c r="L42" s="269"/>
      <c r="M42" s="273"/>
      <c r="N42" s="269"/>
      <c r="O42" s="269"/>
      <c r="P42" s="274"/>
      <c r="Q42" s="270"/>
      <c r="R42" s="61"/>
      <c r="S42" s="269"/>
      <c r="T42" s="269"/>
      <c r="U42" s="269"/>
      <c r="V42" s="269"/>
      <c r="W42" s="269"/>
      <c r="X42" s="271"/>
      <c r="Y42" s="272"/>
      <c r="Z42" s="272"/>
      <c r="AA42" s="272"/>
      <c r="AB42" s="272"/>
    </row>
    <row r="43" spans="1:28" ht="15" customHeight="1" x14ac:dyDescent="0.25">
      <c r="A43" s="269"/>
      <c r="B43" s="269"/>
      <c r="C43" s="269"/>
      <c r="D43" s="270"/>
      <c r="E43" s="269"/>
      <c r="F43" s="269"/>
      <c r="G43" s="269"/>
      <c r="H43" s="269"/>
      <c r="I43" s="269"/>
      <c r="J43" s="271"/>
      <c r="K43" s="272"/>
      <c r="L43" s="269"/>
      <c r="M43" s="273"/>
      <c r="N43" s="269"/>
      <c r="O43" s="269"/>
      <c r="P43" s="274"/>
      <c r="Q43" s="270"/>
      <c r="R43" s="61"/>
      <c r="S43" s="269"/>
      <c r="T43" s="269"/>
      <c r="U43" s="269"/>
      <c r="V43" s="269"/>
      <c r="W43" s="269"/>
      <c r="X43" s="271"/>
      <c r="Y43" s="272"/>
      <c r="Z43" s="272"/>
      <c r="AA43" s="272"/>
      <c r="AB43" s="272"/>
    </row>
    <row r="44" spans="1:28" ht="15" customHeight="1" x14ac:dyDescent="0.25">
      <c r="A44" s="269"/>
      <c r="B44" s="269"/>
      <c r="C44" s="269"/>
      <c r="D44" s="270"/>
      <c r="E44" s="269"/>
      <c r="F44" s="269"/>
      <c r="G44" s="269"/>
      <c r="H44" s="269"/>
      <c r="I44" s="269"/>
      <c r="J44" s="271"/>
      <c r="K44" s="272"/>
      <c r="L44" s="269"/>
      <c r="M44" s="273"/>
      <c r="N44" s="269"/>
      <c r="O44" s="269"/>
      <c r="P44" s="274"/>
      <c r="Q44" s="270"/>
      <c r="R44" s="61"/>
      <c r="S44" s="269"/>
      <c r="T44" s="269"/>
      <c r="U44" s="269"/>
      <c r="V44" s="269"/>
      <c r="W44" s="269"/>
      <c r="X44" s="271"/>
      <c r="Y44" s="272"/>
      <c r="Z44" s="272"/>
      <c r="AA44" s="272"/>
      <c r="AB44" s="272"/>
    </row>
    <row r="45" spans="1:28" ht="15" customHeight="1" x14ac:dyDescent="0.25">
      <c r="A45" s="269"/>
      <c r="B45" s="269"/>
      <c r="C45" s="269"/>
      <c r="D45" s="270"/>
      <c r="E45" s="269"/>
      <c r="F45" s="269"/>
      <c r="G45" s="269"/>
      <c r="H45" s="269"/>
      <c r="I45" s="269"/>
      <c r="J45" s="271"/>
      <c r="K45" s="272"/>
      <c r="L45" s="269"/>
      <c r="M45" s="273"/>
      <c r="N45" s="269"/>
      <c r="O45" s="269"/>
      <c r="P45" s="274"/>
      <c r="Q45" s="270"/>
      <c r="R45" s="61"/>
      <c r="S45" s="269"/>
      <c r="T45" s="269"/>
      <c r="U45" s="269"/>
      <c r="V45" s="269"/>
      <c r="W45" s="269"/>
      <c r="X45" s="271"/>
      <c r="Y45" s="272"/>
      <c r="Z45" s="272"/>
      <c r="AA45" s="272"/>
      <c r="AB45" s="272"/>
    </row>
    <row r="46" spans="1:28" ht="15" customHeight="1" x14ac:dyDescent="0.25">
      <c r="A46" s="269"/>
      <c r="B46" s="269"/>
      <c r="C46" s="269"/>
      <c r="D46" s="270"/>
      <c r="E46" s="269"/>
      <c r="F46" s="269"/>
      <c r="G46" s="269"/>
      <c r="H46" s="269"/>
      <c r="I46" s="269"/>
      <c r="J46" s="271"/>
      <c r="K46" s="272"/>
      <c r="L46" s="269"/>
      <c r="M46" s="273"/>
      <c r="N46" s="269"/>
      <c r="O46" s="269"/>
      <c r="P46" s="274"/>
      <c r="Q46" s="270"/>
      <c r="R46" s="61"/>
      <c r="S46" s="269"/>
      <c r="T46" s="269"/>
      <c r="U46" s="269"/>
      <c r="V46" s="269"/>
      <c r="W46" s="269"/>
      <c r="X46" s="271"/>
      <c r="Y46" s="272"/>
      <c r="Z46" s="272"/>
      <c r="AA46" s="272"/>
      <c r="AB46" s="272"/>
    </row>
    <row r="47" spans="1:28" ht="15" customHeight="1" x14ac:dyDescent="0.25">
      <c r="A47" s="269"/>
      <c r="B47" s="269"/>
      <c r="C47" s="269"/>
      <c r="D47" s="270"/>
      <c r="E47" s="269"/>
      <c r="F47" s="269"/>
      <c r="G47" s="269"/>
      <c r="H47" s="269"/>
      <c r="I47" s="269"/>
      <c r="J47" s="271"/>
      <c r="K47" s="272"/>
      <c r="L47" s="269"/>
      <c r="M47" s="273"/>
      <c r="N47" s="269"/>
      <c r="O47" s="269"/>
      <c r="P47" s="274"/>
      <c r="Q47" s="270"/>
      <c r="R47" s="61"/>
      <c r="S47" s="269"/>
      <c r="T47" s="269"/>
      <c r="U47" s="269"/>
      <c r="V47" s="269"/>
      <c r="W47" s="269"/>
      <c r="X47" s="271"/>
      <c r="Y47" s="272"/>
      <c r="Z47" s="272"/>
      <c r="AA47" s="272"/>
      <c r="AB47" s="272"/>
    </row>
    <row r="48" spans="1:28" ht="15" customHeight="1" x14ac:dyDescent="0.25">
      <c r="A48" s="269"/>
      <c r="B48" s="269"/>
      <c r="C48" s="269"/>
      <c r="D48" s="270"/>
      <c r="E48" s="269"/>
      <c r="F48" s="269"/>
      <c r="G48" s="269"/>
      <c r="H48" s="269"/>
      <c r="I48" s="269"/>
      <c r="J48" s="271"/>
      <c r="K48" s="272"/>
      <c r="L48" s="269"/>
      <c r="M48" s="273"/>
      <c r="N48" s="269"/>
      <c r="O48" s="269"/>
      <c r="P48" s="274"/>
      <c r="Q48" s="270"/>
      <c r="R48" s="61"/>
      <c r="S48" s="269"/>
      <c r="T48" s="269"/>
      <c r="U48" s="269"/>
      <c r="V48" s="269"/>
      <c r="W48" s="269"/>
      <c r="X48" s="271"/>
      <c r="Y48" s="272"/>
      <c r="Z48" s="272"/>
      <c r="AA48" s="272"/>
      <c r="AB48" s="272"/>
    </row>
    <row r="49" spans="1:28" ht="15" customHeight="1" x14ac:dyDescent="0.25">
      <c r="A49" s="269"/>
      <c r="B49" s="269"/>
      <c r="C49" s="269"/>
      <c r="D49" s="270"/>
      <c r="E49" s="269"/>
      <c r="F49" s="269"/>
      <c r="G49" s="269"/>
      <c r="H49" s="269"/>
      <c r="I49" s="269"/>
      <c r="J49" s="271"/>
      <c r="K49" s="272"/>
      <c r="L49" s="269"/>
      <c r="M49" s="273"/>
      <c r="N49" s="269"/>
      <c r="O49" s="269"/>
      <c r="P49" s="274"/>
      <c r="Q49" s="270"/>
      <c r="R49" s="61"/>
      <c r="S49" s="269"/>
      <c r="T49" s="269"/>
      <c r="U49" s="269"/>
      <c r="V49" s="269"/>
      <c r="W49" s="269"/>
      <c r="X49" s="271"/>
      <c r="Y49" s="272"/>
      <c r="Z49" s="272"/>
      <c r="AA49" s="272"/>
      <c r="AB49" s="272"/>
    </row>
    <row r="50" spans="1:28" ht="15" customHeight="1" x14ac:dyDescent="0.25">
      <c r="A50" s="269"/>
      <c r="B50" s="269"/>
      <c r="C50" s="269"/>
      <c r="D50" s="270"/>
      <c r="E50" s="269"/>
      <c r="F50" s="269"/>
      <c r="G50" s="269"/>
      <c r="H50" s="269"/>
      <c r="I50" s="269"/>
      <c r="J50" s="271"/>
      <c r="K50" s="272"/>
      <c r="L50" s="269"/>
      <c r="M50" s="273"/>
      <c r="N50" s="269"/>
      <c r="O50" s="269"/>
      <c r="P50" s="274"/>
      <c r="Q50" s="270"/>
      <c r="R50" s="61"/>
      <c r="S50" s="269"/>
      <c r="T50" s="269"/>
      <c r="U50" s="269"/>
      <c r="V50" s="269"/>
      <c r="W50" s="269"/>
      <c r="X50" s="271"/>
      <c r="Y50" s="272"/>
      <c r="Z50" s="272"/>
      <c r="AA50" s="272"/>
      <c r="AB50" s="272"/>
    </row>
    <row r="51" spans="1:28" ht="15" customHeight="1" x14ac:dyDescent="0.25">
      <c r="A51" s="269"/>
      <c r="B51" s="269"/>
      <c r="C51" s="269"/>
      <c r="D51" s="270"/>
      <c r="E51" s="269"/>
      <c r="F51" s="269"/>
      <c r="G51" s="269"/>
      <c r="H51" s="269"/>
      <c r="I51" s="269"/>
      <c r="J51" s="271"/>
      <c r="K51" s="272"/>
      <c r="L51" s="269"/>
      <c r="M51" s="273"/>
      <c r="N51" s="269"/>
      <c r="O51" s="269"/>
      <c r="P51" s="274"/>
      <c r="Q51" s="270"/>
      <c r="R51" s="61"/>
      <c r="S51" s="269"/>
      <c r="T51" s="269"/>
      <c r="U51" s="269"/>
      <c r="V51" s="269"/>
      <c r="W51" s="269"/>
      <c r="X51" s="271"/>
      <c r="Y51" s="272"/>
      <c r="Z51" s="272"/>
      <c r="AA51" s="272"/>
      <c r="AB51" s="272"/>
    </row>
    <row r="52" spans="1:28" ht="15" customHeight="1" x14ac:dyDescent="0.25">
      <c r="A52" s="269"/>
      <c r="B52" s="269"/>
      <c r="C52" s="269"/>
      <c r="D52" s="270"/>
      <c r="E52" s="269"/>
      <c r="F52" s="269"/>
      <c r="G52" s="269"/>
      <c r="H52" s="269"/>
      <c r="I52" s="269"/>
      <c r="J52" s="271"/>
      <c r="K52" s="272"/>
      <c r="L52" s="269"/>
      <c r="M52" s="273"/>
      <c r="N52" s="269"/>
      <c r="O52" s="269"/>
      <c r="P52" s="274"/>
      <c r="Q52" s="270"/>
      <c r="R52" s="61"/>
      <c r="S52" s="269"/>
      <c r="T52" s="269"/>
      <c r="U52" s="269"/>
      <c r="V52" s="269"/>
      <c r="W52" s="269"/>
      <c r="X52" s="271"/>
      <c r="Y52" s="272"/>
      <c r="Z52" s="272"/>
      <c r="AA52" s="272"/>
      <c r="AB52" s="272"/>
    </row>
    <row r="53" spans="1:28" ht="15" customHeight="1" x14ac:dyDescent="0.25">
      <c r="A53" s="269"/>
      <c r="B53" s="269"/>
      <c r="C53" s="269"/>
      <c r="D53" s="270"/>
      <c r="E53" s="269"/>
      <c r="F53" s="269"/>
      <c r="G53" s="269"/>
      <c r="H53" s="269"/>
      <c r="I53" s="269"/>
      <c r="J53" s="271"/>
      <c r="K53" s="272"/>
      <c r="L53" s="269"/>
      <c r="M53" s="273"/>
      <c r="N53" s="269"/>
      <c r="O53" s="269"/>
      <c r="P53" s="274"/>
      <c r="Q53" s="270"/>
      <c r="R53" s="61"/>
      <c r="S53" s="269"/>
      <c r="T53" s="269"/>
      <c r="U53" s="269"/>
      <c r="V53" s="269"/>
      <c r="W53" s="269"/>
      <c r="X53" s="271"/>
      <c r="Y53" s="272"/>
      <c r="Z53" s="272"/>
      <c r="AA53" s="272"/>
      <c r="AB53" s="272"/>
    </row>
    <row r="54" spans="1:28" ht="15" customHeight="1" x14ac:dyDescent="0.25">
      <c r="A54" s="269"/>
      <c r="B54" s="269"/>
      <c r="C54" s="269"/>
      <c r="D54" s="270"/>
      <c r="E54" s="269"/>
      <c r="F54" s="269"/>
      <c r="G54" s="269"/>
      <c r="H54" s="269"/>
      <c r="I54" s="269"/>
      <c r="J54" s="271"/>
      <c r="K54" s="272"/>
      <c r="L54" s="269"/>
      <c r="M54" s="273"/>
      <c r="N54" s="269"/>
      <c r="O54" s="269"/>
      <c r="P54" s="274"/>
      <c r="Q54" s="270"/>
      <c r="R54" s="61"/>
      <c r="S54" s="269"/>
      <c r="T54" s="269"/>
      <c r="U54" s="269"/>
      <c r="V54" s="269"/>
      <c r="W54" s="269"/>
      <c r="X54" s="271"/>
      <c r="Y54" s="272"/>
      <c r="Z54" s="272"/>
      <c r="AA54" s="272"/>
      <c r="AB54" s="272"/>
    </row>
    <row r="55" spans="1:28" ht="15" customHeight="1" x14ac:dyDescent="0.25">
      <c r="A55" s="269"/>
      <c r="B55" s="269"/>
      <c r="C55" s="269"/>
      <c r="D55" s="270"/>
      <c r="E55" s="269"/>
      <c r="F55" s="269"/>
      <c r="G55" s="269"/>
      <c r="H55" s="269"/>
      <c r="I55" s="269"/>
      <c r="J55" s="271"/>
      <c r="K55" s="272"/>
      <c r="L55" s="269"/>
      <c r="M55" s="273"/>
      <c r="N55" s="269"/>
      <c r="O55" s="269"/>
      <c r="P55" s="274"/>
      <c r="Q55" s="270"/>
      <c r="R55" s="61"/>
      <c r="S55" s="269"/>
      <c r="T55" s="269"/>
      <c r="U55" s="269"/>
      <c r="V55" s="269"/>
      <c r="W55" s="269"/>
      <c r="X55" s="271"/>
      <c r="Y55" s="272"/>
      <c r="Z55" s="272"/>
      <c r="AA55" s="272"/>
      <c r="AB55" s="272"/>
    </row>
    <row r="56" spans="1:28" ht="15" customHeight="1" x14ac:dyDescent="0.25">
      <c r="A56" s="269"/>
      <c r="B56" s="269"/>
      <c r="C56" s="269"/>
      <c r="D56" s="270"/>
      <c r="E56" s="269"/>
      <c r="F56" s="269"/>
      <c r="G56" s="269"/>
      <c r="H56" s="269"/>
      <c r="I56" s="269"/>
      <c r="J56" s="271"/>
      <c r="K56" s="272"/>
      <c r="L56" s="269"/>
      <c r="M56" s="273"/>
      <c r="N56" s="269"/>
      <c r="O56" s="269"/>
      <c r="P56" s="274"/>
      <c r="Q56" s="270"/>
      <c r="R56" s="61"/>
      <c r="S56" s="269"/>
      <c r="T56" s="269"/>
      <c r="U56" s="269"/>
      <c r="V56" s="269"/>
      <c r="W56" s="269"/>
      <c r="X56" s="271"/>
      <c r="Y56" s="272"/>
      <c r="Z56" s="272"/>
      <c r="AA56" s="272"/>
      <c r="AB56" s="272"/>
    </row>
    <row r="57" spans="1:28" ht="15" customHeight="1" x14ac:dyDescent="0.25">
      <c r="A57" s="269"/>
      <c r="B57" s="269"/>
      <c r="C57" s="269"/>
      <c r="D57" s="270"/>
      <c r="E57" s="269"/>
      <c r="F57" s="269"/>
      <c r="G57" s="269"/>
      <c r="H57" s="269"/>
      <c r="I57" s="269"/>
      <c r="J57" s="271"/>
      <c r="K57" s="272"/>
      <c r="L57" s="269"/>
      <c r="M57" s="273"/>
      <c r="N57" s="269"/>
      <c r="O57" s="269"/>
      <c r="P57" s="274"/>
      <c r="Q57" s="270"/>
      <c r="R57" s="61"/>
      <c r="S57" s="269"/>
      <c r="T57" s="269"/>
      <c r="U57" s="269"/>
      <c r="V57" s="269"/>
      <c r="W57" s="269"/>
      <c r="X57" s="271"/>
      <c r="Y57" s="272"/>
      <c r="Z57" s="272"/>
      <c r="AA57" s="272"/>
      <c r="AB57" s="272"/>
    </row>
    <row r="58" spans="1:28" ht="15" customHeight="1" x14ac:dyDescent="0.25">
      <c r="A58" s="269"/>
      <c r="B58" s="269"/>
      <c r="C58" s="269"/>
      <c r="D58" s="270"/>
      <c r="E58" s="269"/>
      <c r="F58" s="269"/>
      <c r="G58" s="269"/>
      <c r="H58" s="269"/>
      <c r="I58" s="269"/>
      <c r="J58" s="271"/>
      <c r="K58" s="272"/>
      <c r="L58" s="269"/>
      <c r="M58" s="273"/>
      <c r="N58" s="269"/>
      <c r="O58" s="269"/>
      <c r="P58" s="274"/>
      <c r="Q58" s="270"/>
      <c r="R58" s="61"/>
      <c r="S58" s="269"/>
      <c r="T58" s="269"/>
      <c r="U58" s="269"/>
      <c r="V58" s="269"/>
      <c r="W58" s="269"/>
      <c r="X58" s="271"/>
      <c r="Y58" s="272"/>
      <c r="Z58" s="272"/>
      <c r="AA58" s="272"/>
      <c r="AB58" s="272"/>
    </row>
    <row r="59" spans="1:28" ht="15" customHeight="1" x14ac:dyDescent="0.25">
      <c r="A59" s="269"/>
      <c r="B59" s="269"/>
      <c r="C59" s="269"/>
      <c r="D59" s="270"/>
      <c r="E59" s="269"/>
      <c r="F59" s="269"/>
      <c r="G59" s="269"/>
      <c r="H59" s="269"/>
      <c r="I59" s="269"/>
      <c r="J59" s="271"/>
      <c r="K59" s="272"/>
      <c r="L59" s="269"/>
      <c r="M59" s="273"/>
      <c r="N59" s="269"/>
      <c r="O59" s="269"/>
      <c r="P59" s="274"/>
      <c r="Q59" s="270"/>
      <c r="R59" s="61"/>
      <c r="S59" s="269"/>
      <c r="T59" s="269"/>
      <c r="U59" s="269"/>
      <c r="V59" s="269"/>
      <c r="W59" s="269"/>
      <c r="X59" s="271"/>
      <c r="Y59" s="272"/>
      <c r="Z59" s="272"/>
      <c r="AA59" s="272"/>
      <c r="AB59" s="272"/>
    </row>
    <row r="60" spans="1:28" ht="15" customHeight="1" x14ac:dyDescent="0.25">
      <c r="A60" s="269"/>
      <c r="B60" s="269"/>
      <c r="C60" s="269"/>
      <c r="D60" s="270"/>
      <c r="E60" s="269"/>
      <c r="F60" s="269"/>
      <c r="G60" s="269"/>
      <c r="H60" s="269"/>
      <c r="I60" s="269"/>
      <c r="J60" s="271"/>
      <c r="K60" s="272"/>
      <c r="L60" s="269"/>
      <c r="M60" s="273"/>
      <c r="N60" s="269"/>
      <c r="O60" s="269"/>
      <c r="P60" s="274"/>
      <c r="Q60" s="270"/>
      <c r="R60" s="61"/>
      <c r="S60" s="269"/>
      <c r="T60" s="269"/>
      <c r="U60" s="269"/>
      <c r="V60" s="269"/>
      <c r="W60" s="269"/>
      <c r="X60" s="271"/>
      <c r="Y60" s="272"/>
      <c r="Z60" s="272"/>
      <c r="AA60" s="272"/>
      <c r="AB60" s="272"/>
    </row>
    <row r="61" spans="1:28" ht="15" customHeight="1" x14ac:dyDescent="0.25">
      <c r="A61" s="269"/>
      <c r="B61" s="269"/>
      <c r="C61" s="269"/>
      <c r="D61" s="270"/>
      <c r="E61" s="269"/>
      <c r="F61" s="269"/>
      <c r="G61" s="269"/>
      <c r="H61" s="269"/>
      <c r="I61" s="269"/>
      <c r="J61" s="271"/>
      <c r="K61" s="272"/>
      <c r="L61" s="269"/>
      <c r="M61" s="273"/>
      <c r="N61" s="269"/>
      <c r="O61" s="269"/>
      <c r="P61" s="274"/>
      <c r="Q61" s="270"/>
      <c r="R61" s="61"/>
      <c r="S61" s="269"/>
      <c r="T61" s="269"/>
      <c r="U61" s="269"/>
      <c r="V61" s="269"/>
      <c r="W61" s="269"/>
      <c r="X61" s="271"/>
      <c r="Y61" s="272"/>
      <c r="Z61" s="272"/>
      <c r="AA61" s="272"/>
      <c r="AB61" s="272"/>
    </row>
    <row r="62" spans="1:28" ht="15" customHeight="1" x14ac:dyDescent="0.25">
      <c r="A62" s="269"/>
      <c r="B62" s="269"/>
      <c r="C62" s="269"/>
      <c r="D62" s="270"/>
      <c r="E62" s="269"/>
      <c r="F62" s="269"/>
      <c r="G62" s="269"/>
      <c r="H62" s="269"/>
      <c r="I62" s="269"/>
      <c r="J62" s="271"/>
      <c r="K62" s="272"/>
      <c r="L62" s="269"/>
      <c r="M62" s="273"/>
      <c r="N62" s="269"/>
      <c r="O62" s="269"/>
      <c r="P62" s="274"/>
      <c r="Q62" s="270"/>
      <c r="R62" s="61"/>
      <c r="S62" s="269"/>
      <c r="T62" s="269"/>
      <c r="U62" s="269"/>
      <c r="V62" s="269"/>
      <c r="W62" s="269"/>
      <c r="X62" s="271"/>
      <c r="Y62" s="272"/>
      <c r="Z62" s="272"/>
      <c r="AA62" s="272"/>
      <c r="AB62" s="272"/>
    </row>
    <row r="63" spans="1:28" ht="15" customHeight="1" x14ac:dyDescent="0.25">
      <c r="A63" s="269"/>
      <c r="B63" s="269"/>
      <c r="C63" s="269"/>
      <c r="D63" s="270"/>
      <c r="E63" s="269"/>
      <c r="F63" s="269"/>
      <c r="G63" s="269"/>
      <c r="H63" s="269"/>
      <c r="I63" s="269"/>
      <c r="J63" s="271"/>
      <c r="K63" s="272"/>
      <c r="L63" s="269"/>
      <c r="M63" s="273"/>
      <c r="N63" s="269"/>
      <c r="O63" s="269"/>
      <c r="P63" s="274"/>
      <c r="Q63" s="270"/>
      <c r="R63" s="61"/>
      <c r="S63" s="269"/>
      <c r="T63" s="269"/>
      <c r="U63" s="269"/>
      <c r="V63" s="269"/>
      <c r="W63" s="269"/>
      <c r="X63" s="271"/>
      <c r="Y63" s="272"/>
      <c r="Z63" s="272"/>
      <c r="AA63" s="272"/>
      <c r="AB63" s="272"/>
    </row>
    <row r="64" spans="1:28" ht="15" customHeight="1" x14ac:dyDescent="0.25">
      <c r="A64" s="269"/>
      <c r="B64" s="269"/>
      <c r="C64" s="269"/>
      <c r="D64" s="270"/>
      <c r="E64" s="269"/>
      <c r="F64" s="269"/>
      <c r="G64" s="269"/>
      <c r="H64" s="269"/>
      <c r="I64" s="269"/>
      <c r="J64" s="271"/>
      <c r="K64" s="272"/>
      <c r="L64" s="269"/>
      <c r="M64" s="273"/>
      <c r="N64" s="269"/>
      <c r="O64" s="269"/>
      <c r="P64" s="274"/>
      <c r="Q64" s="270"/>
      <c r="R64" s="61"/>
      <c r="S64" s="269"/>
      <c r="T64" s="269"/>
      <c r="U64" s="269"/>
      <c r="V64" s="269"/>
      <c r="W64" s="269"/>
      <c r="X64" s="271"/>
      <c r="Y64" s="272"/>
      <c r="Z64" s="272"/>
      <c r="AA64" s="272"/>
      <c r="AB64" s="272"/>
    </row>
    <row r="65" spans="1:28" ht="15" customHeight="1" x14ac:dyDescent="0.25">
      <c r="A65" s="269"/>
      <c r="B65" s="269"/>
      <c r="C65" s="269"/>
      <c r="D65" s="270"/>
      <c r="E65" s="269"/>
      <c r="F65" s="269"/>
      <c r="G65" s="269"/>
      <c r="H65" s="269"/>
      <c r="I65" s="269"/>
      <c r="J65" s="271"/>
      <c r="K65" s="272"/>
      <c r="L65" s="269"/>
      <c r="M65" s="273"/>
      <c r="N65" s="269"/>
      <c r="O65" s="269"/>
      <c r="P65" s="274"/>
      <c r="Q65" s="270"/>
      <c r="R65" s="61"/>
      <c r="S65" s="269"/>
      <c r="T65" s="269"/>
      <c r="U65" s="269"/>
      <c r="V65" s="269"/>
      <c r="W65" s="269"/>
      <c r="X65" s="271"/>
      <c r="Y65" s="272"/>
      <c r="Z65" s="272"/>
      <c r="AA65" s="272"/>
      <c r="AB65" s="272"/>
    </row>
    <row r="66" spans="1:28" ht="15" customHeight="1" x14ac:dyDescent="0.25">
      <c r="A66" s="269"/>
      <c r="B66" s="269"/>
      <c r="C66" s="269"/>
      <c r="D66" s="270"/>
      <c r="E66" s="269"/>
      <c r="F66" s="269"/>
      <c r="G66" s="269"/>
      <c r="H66" s="269"/>
      <c r="I66" s="269"/>
      <c r="J66" s="271"/>
      <c r="K66" s="272"/>
      <c r="L66" s="269"/>
      <c r="M66" s="273"/>
      <c r="N66" s="269"/>
      <c r="O66" s="269"/>
      <c r="P66" s="274"/>
      <c r="Q66" s="270"/>
      <c r="R66" s="61"/>
      <c r="S66" s="269"/>
      <c r="T66" s="269"/>
      <c r="U66" s="269"/>
      <c r="V66" s="269"/>
      <c r="W66" s="269"/>
      <c r="X66" s="271"/>
      <c r="Y66" s="272"/>
      <c r="Z66" s="272"/>
      <c r="AA66" s="272"/>
      <c r="AB66" s="272"/>
    </row>
    <row r="67" spans="1:28" ht="15" customHeight="1" x14ac:dyDescent="0.25">
      <c r="A67" s="269"/>
      <c r="B67" s="269"/>
      <c r="C67" s="269"/>
      <c r="D67" s="270"/>
      <c r="E67" s="269"/>
      <c r="F67" s="269"/>
      <c r="G67" s="269"/>
      <c r="H67" s="269"/>
      <c r="I67" s="269"/>
      <c r="J67" s="271"/>
      <c r="K67" s="272"/>
      <c r="L67" s="269"/>
      <c r="M67" s="273"/>
      <c r="N67" s="269"/>
      <c r="O67" s="269"/>
      <c r="P67" s="274"/>
      <c r="Q67" s="270"/>
      <c r="R67" s="61"/>
      <c r="S67" s="269"/>
      <c r="T67" s="269"/>
      <c r="U67" s="269"/>
      <c r="V67" s="269"/>
      <c r="W67" s="269"/>
      <c r="X67" s="271"/>
      <c r="Y67" s="272"/>
      <c r="Z67" s="272"/>
      <c r="AA67" s="272"/>
      <c r="AB67" s="272"/>
    </row>
    <row r="68" spans="1:28" ht="15" customHeight="1" x14ac:dyDescent="0.25">
      <c r="A68" s="269"/>
      <c r="B68" s="269"/>
      <c r="C68" s="269"/>
      <c r="D68" s="270"/>
      <c r="E68" s="269"/>
      <c r="F68" s="269"/>
      <c r="G68" s="269"/>
      <c r="H68" s="269"/>
      <c r="I68" s="269"/>
      <c r="J68" s="271"/>
      <c r="K68" s="272"/>
      <c r="L68" s="269"/>
      <c r="M68" s="273"/>
      <c r="N68" s="269"/>
      <c r="O68" s="269"/>
      <c r="P68" s="274"/>
      <c r="Q68" s="270"/>
      <c r="R68" s="61"/>
      <c r="S68" s="269"/>
      <c r="T68" s="269"/>
      <c r="U68" s="269"/>
      <c r="V68" s="269"/>
      <c r="W68" s="269"/>
      <c r="X68" s="271"/>
      <c r="Y68" s="272"/>
      <c r="Z68" s="272"/>
      <c r="AA68" s="272"/>
      <c r="AB68" s="272"/>
    </row>
    <row r="69" spans="1:28" ht="15" customHeight="1" x14ac:dyDescent="0.25">
      <c r="A69" s="269"/>
      <c r="B69" s="269"/>
      <c r="C69" s="269"/>
      <c r="D69" s="270"/>
      <c r="E69" s="269"/>
      <c r="F69" s="269"/>
      <c r="G69" s="269"/>
      <c r="H69" s="269"/>
      <c r="I69" s="269"/>
      <c r="J69" s="271"/>
      <c r="K69" s="272"/>
      <c r="L69" s="269"/>
      <c r="M69" s="273"/>
      <c r="N69" s="269"/>
      <c r="O69" s="269"/>
      <c r="P69" s="274"/>
      <c r="Q69" s="270"/>
      <c r="R69" s="61"/>
      <c r="S69" s="269"/>
      <c r="T69" s="269"/>
      <c r="U69" s="269"/>
      <c r="V69" s="269"/>
      <c r="W69" s="269"/>
      <c r="X69" s="271"/>
      <c r="Y69" s="272"/>
      <c r="Z69" s="272"/>
      <c r="AA69" s="272"/>
      <c r="AB69" s="272"/>
    </row>
    <row r="70" spans="1:28" ht="15" customHeight="1" x14ac:dyDescent="0.25">
      <c r="A70" s="269"/>
      <c r="B70" s="269"/>
      <c r="C70" s="269"/>
      <c r="D70" s="270"/>
      <c r="E70" s="269"/>
      <c r="F70" s="269"/>
      <c r="G70" s="269"/>
      <c r="H70" s="269"/>
      <c r="I70" s="269"/>
      <c r="J70" s="271"/>
      <c r="K70" s="272"/>
      <c r="L70" s="269"/>
      <c r="M70" s="273"/>
      <c r="N70" s="269"/>
      <c r="O70" s="269"/>
      <c r="P70" s="274"/>
      <c r="Q70" s="270"/>
      <c r="R70" s="61"/>
      <c r="S70" s="269"/>
      <c r="T70" s="269"/>
      <c r="U70" s="269"/>
      <c r="V70" s="269"/>
      <c r="W70" s="269"/>
      <c r="X70" s="271"/>
      <c r="Y70" s="272"/>
      <c r="Z70" s="272"/>
      <c r="AA70" s="272"/>
      <c r="AB70" s="272"/>
    </row>
    <row r="71" spans="1:28" ht="15" customHeight="1" x14ac:dyDescent="0.25">
      <c r="A71" s="269"/>
      <c r="B71" s="269"/>
      <c r="C71" s="269"/>
      <c r="D71" s="270"/>
      <c r="E71" s="269"/>
      <c r="F71" s="269"/>
      <c r="G71" s="269"/>
      <c r="H71" s="269"/>
      <c r="I71" s="269"/>
      <c r="J71" s="271"/>
      <c r="K71" s="272"/>
      <c r="L71" s="269"/>
      <c r="M71" s="273"/>
      <c r="N71" s="269"/>
      <c r="O71" s="269"/>
      <c r="P71" s="274"/>
      <c r="Q71" s="270"/>
      <c r="R71" s="61"/>
      <c r="S71" s="269"/>
      <c r="T71" s="269"/>
      <c r="U71" s="269"/>
      <c r="V71" s="269"/>
      <c r="W71" s="269"/>
      <c r="X71" s="271"/>
      <c r="Y71" s="272"/>
      <c r="Z71" s="272"/>
      <c r="AA71" s="272"/>
      <c r="AB71" s="272"/>
    </row>
    <row r="72" spans="1:28" ht="15" customHeight="1" x14ac:dyDescent="0.25">
      <c r="A72" s="269"/>
      <c r="B72" s="269"/>
      <c r="C72" s="269"/>
      <c r="D72" s="270"/>
      <c r="E72" s="269"/>
      <c r="F72" s="269"/>
      <c r="G72" s="269"/>
      <c r="H72" s="269"/>
      <c r="I72" s="269"/>
      <c r="J72" s="271"/>
      <c r="K72" s="272"/>
      <c r="L72" s="269"/>
      <c r="M72" s="273"/>
      <c r="N72" s="269"/>
      <c r="O72" s="269"/>
      <c r="P72" s="274"/>
      <c r="Q72" s="270"/>
      <c r="R72" s="61"/>
      <c r="S72" s="269"/>
      <c r="T72" s="269"/>
      <c r="U72" s="269"/>
      <c r="V72" s="269"/>
      <c r="W72" s="269"/>
      <c r="X72" s="271"/>
      <c r="Y72" s="272"/>
      <c r="Z72" s="272"/>
      <c r="AA72" s="272"/>
      <c r="AB72" s="272"/>
    </row>
    <row r="73" spans="1:28" ht="15" customHeight="1" x14ac:dyDescent="0.25">
      <c r="A73" s="269"/>
      <c r="B73" s="269"/>
      <c r="C73" s="269"/>
      <c r="D73" s="270"/>
      <c r="E73" s="269"/>
      <c r="F73" s="269"/>
      <c r="G73" s="269"/>
      <c r="H73" s="269"/>
      <c r="I73" s="269"/>
      <c r="J73" s="271"/>
      <c r="K73" s="272"/>
      <c r="L73" s="269"/>
      <c r="M73" s="273"/>
      <c r="N73" s="269"/>
      <c r="O73" s="269"/>
      <c r="P73" s="274"/>
      <c r="Q73" s="270"/>
      <c r="R73" s="61"/>
      <c r="S73" s="269"/>
      <c r="T73" s="269"/>
      <c r="U73" s="269"/>
      <c r="V73" s="269"/>
      <c r="W73" s="269"/>
      <c r="X73" s="271"/>
      <c r="Y73" s="272"/>
      <c r="Z73" s="272"/>
      <c r="AA73" s="272"/>
      <c r="AB73" s="272"/>
    </row>
    <row r="74" spans="1:28" ht="15" customHeight="1" x14ac:dyDescent="0.25">
      <c r="A74" s="269"/>
      <c r="B74" s="269"/>
      <c r="C74" s="269"/>
      <c r="D74" s="270"/>
      <c r="E74" s="269"/>
      <c r="F74" s="269"/>
      <c r="G74" s="269"/>
      <c r="H74" s="269"/>
      <c r="I74" s="269"/>
      <c r="J74" s="271"/>
      <c r="K74" s="272"/>
      <c r="L74" s="269"/>
      <c r="M74" s="273"/>
      <c r="N74" s="269"/>
      <c r="O74" s="269"/>
      <c r="P74" s="274"/>
      <c r="Q74" s="270"/>
      <c r="R74" s="61"/>
      <c r="S74" s="269"/>
      <c r="T74" s="269"/>
      <c r="U74" s="269"/>
      <c r="V74" s="269"/>
      <c r="W74" s="269"/>
      <c r="X74" s="271"/>
      <c r="Y74" s="272"/>
      <c r="Z74" s="272"/>
      <c r="AA74" s="272"/>
      <c r="AB74" s="272"/>
    </row>
    <row r="75" spans="1:28" ht="15" customHeight="1" x14ac:dyDescent="0.25">
      <c r="A75" s="269"/>
      <c r="B75" s="269"/>
      <c r="C75" s="269"/>
      <c r="D75" s="270"/>
      <c r="E75" s="269"/>
      <c r="F75" s="269"/>
      <c r="G75" s="269"/>
      <c r="H75" s="269"/>
      <c r="I75" s="269"/>
      <c r="J75" s="271"/>
      <c r="K75" s="272"/>
      <c r="L75" s="269"/>
      <c r="M75" s="273"/>
      <c r="N75" s="269"/>
      <c r="O75" s="269"/>
      <c r="P75" s="274"/>
      <c r="Q75" s="270"/>
      <c r="R75" s="61"/>
      <c r="S75" s="269"/>
      <c r="T75" s="269"/>
      <c r="U75" s="269"/>
      <c r="V75" s="269"/>
      <c r="W75" s="269"/>
      <c r="X75" s="271"/>
      <c r="Y75" s="272"/>
      <c r="Z75" s="272"/>
      <c r="AA75" s="272"/>
      <c r="AB75" s="272"/>
    </row>
    <row r="76" spans="1:28" ht="15" customHeight="1" x14ac:dyDescent="0.25">
      <c r="A76" s="269"/>
      <c r="B76" s="269"/>
      <c r="C76" s="269"/>
      <c r="D76" s="270"/>
      <c r="E76" s="269"/>
      <c r="F76" s="269"/>
      <c r="G76" s="269"/>
      <c r="H76" s="269"/>
      <c r="I76" s="269"/>
      <c r="J76" s="271"/>
      <c r="K76" s="272"/>
      <c r="L76" s="269"/>
      <c r="M76" s="273"/>
      <c r="N76" s="269"/>
      <c r="O76" s="269"/>
      <c r="P76" s="274"/>
      <c r="Q76" s="270"/>
      <c r="R76" s="61"/>
      <c r="S76" s="269"/>
      <c r="T76" s="269"/>
      <c r="U76" s="269"/>
      <c r="V76" s="269"/>
      <c r="W76" s="269"/>
      <c r="X76" s="271"/>
      <c r="Y76" s="272"/>
      <c r="Z76" s="272"/>
      <c r="AA76" s="272"/>
      <c r="AB76" s="272"/>
    </row>
    <row r="77" spans="1:28" ht="15" customHeight="1" x14ac:dyDescent="0.25">
      <c r="A77" s="269"/>
      <c r="B77" s="269"/>
      <c r="C77" s="269"/>
      <c r="D77" s="270"/>
      <c r="E77" s="269"/>
      <c r="F77" s="269"/>
      <c r="G77" s="269"/>
      <c r="H77" s="269"/>
      <c r="I77" s="269"/>
      <c r="J77" s="271"/>
      <c r="K77" s="272"/>
      <c r="L77" s="269"/>
      <c r="M77" s="273"/>
      <c r="N77" s="269"/>
      <c r="O77" s="269"/>
      <c r="P77" s="274"/>
      <c r="Q77" s="270"/>
      <c r="R77" s="61"/>
      <c r="S77" s="269"/>
      <c r="T77" s="269"/>
      <c r="U77" s="269"/>
      <c r="V77" s="269"/>
      <c r="W77" s="269"/>
      <c r="X77" s="271"/>
      <c r="Y77" s="272"/>
      <c r="Z77" s="272"/>
      <c r="AA77" s="272"/>
      <c r="AB77" s="272"/>
    </row>
    <row r="78" spans="1:28" ht="15" customHeight="1" x14ac:dyDescent="0.25">
      <c r="A78" s="269"/>
      <c r="B78" s="269"/>
      <c r="C78" s="269"/>
      <c r="D78" s="270"/>
      <c r="E78" s="269"/>
      <c r="F78" s="269"/>
      <c r="G78" s="269"/>
      <c r="H78" s="269"/>
      <c r="I78" s="269"/>
      <c r="J78" s="271"/>
      <c r="K78" s="272"/>
      <c r="L78" s="269"/>
      <c r="M78" s="273"/>
      <c r="N78" s="269"/>
      <c r="O78" s="269"/>
      <c r="P78" s="274"/>
      <c r="Q78" s="270"/>
      <c r="R78" s="61"/>
      <c r="S78" s="269"/>
      <c r="T78" s="269"/>
      <c r="U78" s="269"/>
      <c r="V78" s="269"/>
      <c r="W78" s="269"/>
      <c r="X78" s="271"/>
      <c r="Y78" s="272"/>
      <c r="Z78" s="272"/>
      <c r="AA78" s="272"/>
      <c r="AB78" s="272"/>
    </row>
    <row r="79" spans="1:28" ht="15" customHeight="1" x14ac:dyDescent="0.25">
      <c r="A79" s="269"/>
      <c r="B79" s="269"/>
      <c r="C79" s="269"/>
      <c r="D79" s="270"/>
      <c r="E79" s="269"/>
      <c r="F79" s="269"/>
      <c r="G79" s="269"/>
      <c r="H79" s="269"/>
      <c r="I79" s="269"/>
      <c r="J79" s="271"/>
      <c r="K79" s="272"/>
      <c r="L79" s="269"/>
      <c r="M79" s="273"/>
      <c r="N79" s="269"/>
      <c r="O79" s="269"/>
      <c r="P79" s="274"/>
      <c r="Q79" s="270"/>
      <c r="R79" s="61"/>
      <c r="S79" s="269"/>
      <c r="T79" s="269"/>
      <c r="U79" s="269"/>
      <c r="V79" s="269"/>
      <c r="W79" s="269"/>
      <c r="X79" s="271"/>
      <c r="Y79" s="272"/>
      <c r="Z79" s="272"/>
      <c r="AA79" s="272"/>
      <c r="AB79" s="272"/>
    </row>
    <row r="80" spans="1:28" ht="15" customHeight="1" x14ac:dyDescent="0.25">
      <c r="A80" s="269"/>
      <c r="B80" s="269"/>
      <c r="C80" s="269"/>
      <c r="D80" s="270"/>
      <c r="E80" s="269"/>
      <c r="F80" s="269"/>
      <c r="G80" s="269"/>
      <c r="H80" s="269"/>
      <c r="I80" s="269"/>
      <c r="J80" s="271"/>
      <c r="K80" s="272"/>
      <c r="L80" s="269"/>
      <c r="M80" s="273"/>
      <c r="N80" s="269"/>
      <c r="O80" s="269"/>
      <c r="P80" s="274"/>
      <c r="Q80" s="270"/>
      <c r="R80" s="61"/>
      <c r="S80" s="269"/>
      <c r="T80" s="269"/>
      <c r="U80" s="269"/>
      <c r="V80" s="269"/>
      <c r="W80" s="269"/>
      <c r="X80" s="271"/>
      <c r="Y80" s="272"/>
      <c r="Z80" s="272"/>
      <c r="AA80" s="272"/>
      <c r="AB80" s="272"/>
    </row>
    <row r="81" spans="1:28" ht="15" customHeight="1" x14ac:dyDescent="0.25">
      <c r="A81" s="269"/>
      <c r="B81" s="269"/>
      <c r="C81" s="269"/>
      <c r="D81" s="270"/>
      <c r="E81" s="269"/>
      <c r="F81" s="269"/>
      <c r="G81" s="269"/>
      <c r="H81" s="269"/>
      <c r="I81" s="269"/>
      <c r="J81" s="271"/>
      <c r="K81" s="272"/>
      <c r="L81" s="269"/>
      <c r="M81" s="273"/>
      <c r="N81" s="269"/>
      <c r="O81" s="269"/>
      <c r="P81" s="274"/>
      <c r="Q81" s="270"/>
      <c r="R81" s="61"/>
      <c r="S81" s="269"/>
      <c r="T81" s="269"/>
      <c r="U81" s="269"/>
      <c r="V81" s="269"/>
      <c r="W81" s="269"/>
      <c r="X81" s="271"/>
      <c r="Y81" s="272"/>
      <c r="Z81" s="272"/>
      <c r="AA81" s="272"/>
      <c r="AB81" s="272"/>
    </row>
    <row r="82" spans="1:28" ht="15" customHeight="1" x14ac:dyDescent="0.25">
      <c r="A82" s="269"/>
      <c r="B82" s="269"/>
      <c r="C82" s="269"/>
      <c r="D82" s="270"/>
      <c r="E82" s="269"/>
      <c r="F82" s="269"/>
      <c r="G82" s="269"/>
      <c r="H82" s="269"/>
      <c r="I82" s="269"/>
      <c r="J82" s="271"/>
      <c r="K82" s="272"/>
      <c r="L82" s="269"/>
      <c r="M82" s="273"/>
      <c r="N82" s="269"/>
      <c r="O82" s="269"/>
      <c r="P82" s="274"/>
      <c r="Q82" s="270"/>
      <c r="R82" s="61"/>
      <c r="S82" s="269"/>
      <c r="T82" s="269"/>
      <c r="U82" s="269"/>
      <c r="V82" s="269"/>
      <c r="W82" s="269"/>
      <c r="X82" s="271"/>
      <c r="Y82" s="272"/>
      <c r="Z82" s="272"/>
      <c r="AA82" s="272"/>
      <c r="AB82" s="272"/>
    </row>
    <row r="83" spans="1:28" ht="15" customHeight="1" x14ac:dyDescent="0.25">
      <c r="A83" s="269"/>
      <c r="B83" s="269"/>
      <c r="C83" s="269"/>
      <c r="D83" s="270"/>
      <c r="E83" s="269"/>
      <c r="F83" s="269"/>
      <c r="G83" s="269"/>
      <c r="H83" s="269"/>
      <c r="I83" s="269"/>
      <c r="J83" s="271"/>
      <c r="K83" s="272"/>
      <c r="L83" s="269"/>
      <c r="M83" s="273"/>
      <c r="N83" s="269"/>
      <c r="O83" s="269"/>
      <c r="P83" s="274"/>
      <c r="Q83" s="270"/>
      <c r="R83" s="61"/>
      <c r="S83" s="269"/>
      <c r="T83" s="269"/>
      <c r="U83" s="269"/>
      <c r="V83" s="269"/>
      <c r="W83" s="269"/>
      <c r="X83" s="271"/>
      <c r="Y83" s="272"/>
      <c r="Z83" s="272"/>
      <c r="AA83" s="272"/>
      <c r="AB83" s="272"/>
    </row>
    <row r="84" spans="1:28" ht="15" customHeight="1" x14ac:dyDescent="0.25">
      <c r="A84" s="269"/>
      <c r="B84" s="269"/>
      <c r="C84" s="269"/>
      <c r="D84" s="270"/>
      <c r="E84" s="269"/>
      <c r="F84" s="269"/>
      <c r="G84" s="269"/>
      <c r="H84" s="269"/>
      <c r="I84" s="269"/>
      <c r="J84" s="271"/>
      <c r="K84" s="272"/>
      <c r="L84" s="269"/>
      <c r="M84" s="273"/>
      <c r="N84" s="269"/>
      <c r="O84" s="269"/>
      <c r="P84" s="274"/>
      <c r="Q84" s="270"/>
      <c r="R84" s="61"/>
      <c r="S84" s="269"/>
      <c r="T84" s="269"/>
      <c r="U84" s="269"/>
      <c r="V84" s="269"/>
      <c r="W84" s="269"/>
      <c r="X84" s="271"/>
      <c r="Y84" s="272"/>
      <c r="Z84" s="272"/>
      <c r="AA84" s="272"/>
      <c r="AB84" s="272"/>
    </row>
    <row r="85" spans="1:28" ht="15" customHeight="1" x14ac:dyDescent="0.25">
      <c r="A85" s="269"/>
      <c r="B85" s="269"/>
      <c r="C85" s="269"/>
      <c r="D85" s="270"/>
      <c r="E85" s="269"/>
      <c r="F85" s="269"/>
      <c r="G85" s="269"/>
      <c r="H85" s="269"/>
      <c r="I85" s="269"/>
      <c r="J85" s="271"/>
      <c r="K85" s="272"/>
      <c r="L85" s="269"/>
      <c r="M85" s="273"/>
      <c r="N85" s="269"/>
      <c r="O85" s="269"/>
      <c r="P85" s="274"/>
      <c r="Q85" s="270"/>
      <c r="R85" s="61"/>
      <c r="S85" s="269"/>
      <c r="T85" s="269"/>
      <c r="U85" s="269"/>
      <c r="V85" s="269"/>
      <c r="W85" s="269"/>
      <c r="X85" s="271"/>
      <c r="Y85" s="272"/>
      <c r="Z85" s="272"/>
      <c r="AA85" s="272"/>
      <c r="AB85" s="272"/>
    </row>
    <row r="86" spans="1:28" ht="15" customHeight="1" x14ac:dyDescent="0.25">
      <c r="A86" s="269"/>
      <c r="B86" s="269"/>
      <c r="C86" s="269"/>
      <c r="D86" s="270"/>
      <c r="E86" s="269"/>
      <c r="F86" s="269"/>
      <c r="G86" s="269"/>
      <c r="H86" s="269"/>
      <c r="I86" s="269"/>
      <c r="J86" s="271"/>
      <c r="K86" s="272"/>
      <c r="L86" s="269"/>
      <c r="M86" s="273"/>
      <c r="N86" s="269"/>
      <c r="O86" s="269"/>
      <c r="P86" s="274"/>
      <c r="Q86" s="270"/>
      <c r="R86" s="61"/>
      <c r="S86" s="269"/>
      <c r="T86" s="269"/>
      <c r="U86" s="269"/>
      <c r="V86" s="269"/>
      <c r="W86" s="269"/>
      <c r="X86" s="271"/>
      <c r="Y86" s="272"/>
      <c r="Z86" s="272"/>
      <c r="AA86" s="272"/>
      <c r="AB86" s="272"/>
    </row>
    <row r="87" spans="1:28" ht="15" customHeight="1" x14ac:dyDescent="0.25">
      <c r="A87" s="269"/>
      <c r="B87" s="269"/>
      <c r="C87" s="269"/>
      <c r="D87" s="270"/>
      <c r="E87" s="269"/>
      <c r="F87" s="269"/>
      <c r="G87" s="269"/>
      <c r="H87" s="269"/>
      <c r="I87" s="269"/>
      <c r="J87" s="271"/>
      <c r="K87" s="272"/>
      <c r="L87" s="269"/>
      <c r="M87" s="273"/>
      <c r="N87" s="269"/>
      <c r="O87" s="269"/>
      <c r="P87" s="274"/>
      <c r="Q87" s="270"/>
      <c r="R87" s="61"/>
      <c r="S87" s="269"/>
      <c r="T87" s="269"/>
      <c r="U87" s="269"/>
      <c r="V87" s="269"/>
      <c r="W87" s="269"/>
      <c r="X87" s="271"/>
      <c r="Y87" s="272"/>
      <c r="Z87" s="272"/>
      <c r="AA87" s="272"/>
      <c r="AB87" s="272"/>
    </row>
    <row r="88" spans="1:28" ht="15" customHeight="1" x14ac:dyDescent="0.25">
      <c r="A88" s="269"/>
      <c r="B88" s="269"/>
      <c r="C88" s="269"/>
      <c r="D88" s="270"/>
      <c r="E88" s="269"/>
      <c r="F88" s="269"/>
      <c r="G88" s="269"/>
      <c r="H88" s="269"/>
      <c r="I88" s="269"/>
      <c r="J88" s="271"/>
      <c r="K88" s="272"/>
      <c r="L88" s="269"/>
      <c r="M88" s="273"/>
      <c r="N88" s="269"/>
      <c r="O88" s="269"/>
      <c r="P88" s="274"/>
      <c r="Q88" s="270"/>
      <c r="R88" s="61"/>
      <c r="S88" s="269"/>
      <c r="T88" s="269"/>
      <c r="U88" s="269"/>
      <c r="V88" s="269"/>
      <c r="W88" s="269"/>
      <c r="X88" s="271"/>
      <c r="Y88" s="272"/>
      <c r="Z88" s="272"/>
      <c r="AA88" s="272"/>
      <c r="AB88" s="272"/>
    </row>
    <row r="89" spans="1:28" ht="15" customHeight="1" x14ac:dyDescent="0.25">
      <c r="A89" s="269"/>
      <c r="B89" s="269"/>
      <c r="C89" s="269"/>
      <c r="D89" s="270"/>
      <c r="E89" s="269"/>
      <c r="F89" s="269"/>
      <c r="G89" s="269"/>
      <c r="H89" s="269"/>
      <c r="I89" s="269"/>
      <c r="J89" s="271"/>
      <c r="K89" s="272"/>
      <c r="L89" s="269"/>
      <c r="M89" s="273"/>
      <c r="N89" s="269"/>
      <c r="O89" s="269"/>
      <c r="P89" s="274"/>
      <c r="Q89" s="270"/>
      <c r="R89" s="61"/>
      <c r="S89" s="269"/>
      <c r="T89" s="269"/>
      <c r="U89" s="269"/>
      <c r="V89" s="269"/>
      <c r="W89" s="269"/>
      <c r="X89" s="271"/>
      <c r="Y89" s="272"/>
      <c r="Z89" s="272"/>
      <c r="AA89" s="272"/>
      <c r="AB89" s="272"/>
    </row>
    <row r="90" spans="1:28" ht="15" customHeight="1" x14ac:dyDescent="0.25">
      <c r="A90" s="269"/>
      <c r="B90" s="269"/>
      <c r="C90" s="269"/>
      <c r="D90" s="270"/>
      <c r="E90" s="269"/>
      <c r="F90" s="269"/>
      <c r="G90" s="269"/>
      <c r="H90" s="269"/>
      <c r="I90" s="269"/>
      <c r="J90" s="271"/>
      <c r="K90" s="272"/>
      <c r="L90" s="269"/>
      <c r="M90" s="273"/>
      <c r="N90" s="269"/>
      <c r="O90" s="269"/>
      <c r="P90" s="274"/>
      <c r="Q90" s="270"/>
      <c r="R90" s="61"/>
      <c r="S90" s="269"/>
      <c r="T90" s="269"/>
      <c r="U90" s="269"/>
      <c r="V90" s="269"/>
      <c r="W90" s="269"/>
      <c r="X90" s="271"/>
      <c r="Y90" s="272"/>
      <c r="Z90" s="272"/>
      <c r="AA90" s="272"/>
      <c r="AB90" s="272"/>
    </row>
    <row r="91" spans="1:28" ht="15" customHeight="1" x14ac:dyDescent="0.25">
      <c r="A91" s="269"/>
      <c r="B91" s="269"/>
      <c r="C91" s="269"/>
      <c r="D91" s="270"/>
      <c r="E91" s="269"/>
      <c r="F91" s="269"/>
      <c r="G91" s="269"/>
      <c r="H91" s="269"/>
      <c r="I91" s="269"/>
      <c r="J91" s="271"/>
      <c r="K91" s="272"/>
      <c r="L91" s="269"/>
      <c r="M91" s="273"/>
      <c r="N91" s="269"/>
      <c r="O91" s="269"/>
      <c r="P91" s="274"/>
      <c r="Q91" s="270"/>
      <c r="R91" s="61"/>
      <c r="S91" s="269"/>
      <c r="T91" s="269"/>
      <c r="U91" s="269"/>
      <c r="V91" s="269"/>
      <c r="W91" s="269"/>
      <c r="X91" s="271"/>
      <c r="Y91" s="272"/>
      <c r="Z91" s="272"/>
      <c r="AA91" s="272"/>
      <c r="AB91" s="272"/>
    </row>
    <row r="92" spans="1:28" ht="15" customHeight="1" x14ac:dyDescent="0.25">
      <c r="A92" s="269"/>
      <c r="B92" s="269"/>
      <c r="C92" s="269"/>
      <c r="D92" s="270"/>
      <c r="E92" s="269"/>
      <c r="F92" s="269"/>
      <c r="G92" s="269"/>
      <c r="H92" s="269"/>
      <c r="I92" s="269"/>
      <c r="J92" s="271"/>
      <c r="K92" s="272"/>
      <c r="L92" s="269"/>
      <c r="M92" s="273"/>
      <c r="N92" s="269"/>
      <c r="O92" s="269"/>
      <c r="P92" s="274"/>
      <c r="Q92" s="270"/>
      <c r="R92" s="61"/>
      <c r="S92" s="269"/>
      <c r="T92" s="269"/>
      <c r="U92" s="269"/>
      <c r="V92" s="269"/>
      <c r="W92" s="269"/>
      <c r="X92" s="271"/>
      <c r="Y92" s="272"/>
      <c r="Z92" s="272"/>
      <c r="AA92" s="272"/>
      <c r="AB92" s="272"/>
    </row>
    <row r="93" spans="1:28" ht="15" customHeight="1" x14ac:dyDescent="0.25">
      <c r="A93" s="269"/>
      <c r="B93" s="269"/>
      <c r="C93" s="269"/>
      <c r="D93" s="270"/>
      <c r="E93" s="269"/>
      <c r="F93" s="269"/>
      <c r="G93" s="269"/>
      <c r="H93" s="269"/>
      <c r="I93" s="269"/>
      <c r="J93" s="271"/>
      <c r="K93" s="272"/>
      <c r="L93" s="269"/>
      <c r="M93" s="273"/>
      <c r="N93" s="269"/>
      <c r="O93" s="269"/>
      <c r="P93" s="274"/>
      <c r="Q93" s="270"/>
      <c r="R93" s="61"/>
      <c r="S93" s="269"/>
      <c r="T93" s="269"/>
      <c r="U93" s="269"/>
      <c r="V93" s="269"/>
      <c r="W93" s="269"/>
      <c r="X93" s="271"/>
      <c r="Y93" s="272"/>
      <c r="Z93" s="272"/>
      <c r="AA93" s="272"/>
      <c r="AB93" s="272"/>
    </row>
    <row r="94" spans="1:28" ht="15" customHeight="1" x14ac:dyDescent="0.25">
      <c r="A94" s="269"/>
      <c r="B94" s="269"/>
      <c r="C94" s="269"/>
      <c r="D94" s="270"/>
      <c r="E94" s="269"/>
      <c r="F94" s="269"/>
      <c r="G94" s="269"/>
      <c r="H94" s="269"/>
      <c r="I94" s="269"/>
      <c r="J94" s="271"/>
      <c r="K94" s="272"/>
      <c r="L94" s="269"/>
      <c r="M94" s="273"/>
      <c r="N94" s="269"/>
      <c r="O94" s="269"/>
      <c r="P94" s="274"/>
      <c r="Q94" s="270"/>
      <c r="R94" s="61"/>
      <c r="S94" s="269"/>
      <c r="T94" s="269"/>
      <c r="U94" s="269"/>
      <c r="V94" s="269"/>
      <c r="W94" s="269"/>
      <c r="X94" s="271"/>
      <c r="Y94" s="272"/>
      <c r="Z94" s="272"/>
      <c r="AA94" s="272"/>
      <c r="AB94" s="272"/>
    </row>
    <row r="95" spans="1:28" ht="15" customHeight="1" x14ac:dyDescent="0.25">
      <c r="A95" s="269"/>
      <c r="B95" s="269"/>
      <c r="C95" s="269"/>
      <c r="D95" s="270"/>
      <c r="E95" s="269"/>
      <c r="F95" s="269"/>
      <c r="G95" s="269"/>
      <c r="H95" s="269"/>
      <c r="I95" s="269"/>
      <c r="J95" s="271"/>
      <c r="K95" s="272"/>
      <c r="L95" s="269"/>
      <c r="M95" s="273"/>
      <c r="N95" s="269"/>
      <c r="O95" s="269"/>
      <c r="P95" s="274"/>
      <c r="Q95" s="270"/>
      <c r="R95" s="61"/>
      <c r="S95" s="269"/>
      <c r="T95" s="269"/>
      <c r="U95" s="269"/>
      <c r="V95" s="269"/>
      <c r="W95" s="269"/>
      <c r="X95" s="271"/>
      <c r="Y95" s="272"/>
      <c r="Z95" s="272"/>
      <c r="AA95" s="272"/>
      <c r="AB95" s="272"/>
    </row>
    <row r="96" spans="1:28" ht="15" customHeight="1" x14ac:dyDescent="0.25">
      <c r="A96" s="269"/>
      <c r="B96" s="269"/>
      <c r="C96" s="269"/>
      <c r="D96" s="270"/>
      <c r="E96" s="269"/>
      <c r="F96" s="269"/>
      <c r="G96" s="269"/>
      <c r="H96" s="269"/>
      <c r="I96" s="269"/>
      <c r="J96" s="271"/>
      <c r="K96" s="272"/>
      <c r="L96" s="269"/>
      <c r="M96" s="273"/>
      <c r="N96" s="269"/>
      <c r="O96" s="269"/>
      <c r="P96" s="274"/>
      <c r="Q96" s="270"/>
      <c r="R96" s="61"/>
      <c r="S96" s="269"/>
      <c r="T96" s="269"/>
      <c r="U96" s="269"/>
      <c r="V96" s="269"/>
      <c r="W96" s="269"/>
      <c r="X96" s="271"/>
      <c r="Y96" s="272"/>
      <c r="Z96" s="272"/>
      <c r="AA96" s="272"/>
      <c r="AB96" s="272"/>
    </row>
    <row r="97" spans="1:28" ht="15" customHeight="1" x14ac:dyDescent="0.25">
      <c r="A97" s="269"/>
      <c r="B97" s="269"/>
      <c r="C97" s="269"/>
      <c r="D97" s="270"/>
      <c r="E97" s="269"/>
      <c r="F97" s="269"/>
      <c r="G97" s="269"/>
      <c r="H97" s="269"/>
      <c r="I97" s="269"/>
      <c r="J97" s="271"/>
      <c r="K97" s="272"/>
      <c r="L97" s="269"/>
      <c r="M97" s="273"/>
      <c r="N97" s="269"/>
      <c r="O97" s="269"/>
      <c r="P97" s="274"/>
      <c r="Q97" s="270"/>
      <c r="R97" s="61"/>
      <c r="S97" s="269"/>
      <c r="T97" s="269"/>
      <c r="U97" s="269"/>
      <c r="V97" s="269"/>
      <c r="W97" s="269"/>
      <c r="X97" s="271"/>
      <c r="Y97" s="272"/>
      <c r="Z97" s="272"/>
      <c r="AA97" s="272"/>
      <c r="AB97" s="272"/>
    </row>
    <row r="98" spans="1:28" ht="15" customHeight="1" x14ac:dyDescent="0.25">
      <c r="A98" s="269"/>
      <c r="B98" s="269"/>
      <c r="C98" s="269"/>
      <c r="D98" s="270"/>
      <c r="E98" s="269"/>
      <c r="F98" s="269"/>
      <c r="G98" s="269"/>
      <c r="H98" s="269"/>
      <c r="I98" s="269"/>
      <c r="J98" s="271"/>
      <c r="K98" s="272"/>
      <c r="L98" s="269"/>
      <c r="M98" s="273"/>
      <c r="N98" s="269"/>
      <c r="O98" s="269"/>
      <c r="P98" s="274"/>
      <c r="Q98" s="270"/>
      <c r="R98" s="61"/>
      <c r="S98" s="269"/>
      <c r="T98" s="269"/>
      <c r="U98" s="269"/>
      <c r="V98" s="269"/>
      <c r="W98" s="269"/>
      <c r="X98" s="271"/>
      <c r="Y98" s="272"/>
      <c r="Z98" s="272"/>
      <c r="AA98" s="272"/>
      <c r="AB98" s="272"/>
    </row>
    <row r="99" spans="1:28" ht="15" customHeight="1" x14ac:dyDescent="0.25">
      <c r="A99" s="269"/>
      <c r="B99" s="269"/>
      <c r="C99" s="269"/>
      <c r="D99" s="270"/>
      <c r="E99" s="269"/>
      <c r="F99" s="269"/>
      <c r="G99" s="269"/>
      <c r="H99" s="269"/>
      <c r="I99" s="269"/>
      <c r="J99" s="271"/>
      <c r="K99" s="272"/>
      <c r="L99" s="269"/>
      <c r="M99" s="273"/>
      <c r="N99" s="269"/>
      <c r="O99" s="269"/>
      <c r="P99" s="274"/>
      <c r="Q99" s="270"/>
      <c r="R99" s="61"/>
      <c r="S99" s="269"/>
      <c r="T99" s="269"/>
      <c r="U99" s="269"/>
      <c r="V99" s="269"/>
      <c r="W99" s="269"/>
      <c r="X99" s="271"/>
      <c r="Y99" s="272"/>
      <c r="Z99" s="272"/>
      <c r="AA99" s="272"/>
      <c r="AB99" s="272"/>
    </row>
    <row r="100" spans="1:28" ht="15" customHeight="1" x14ac:dyDescent="0.25">
      <c r="A100" s="269"/>
      <c r="B100" s="269"/>
      <c r="C100" s="269"/>
      <c r="D100" s="270"/>
      <c r="E100" s="269"/>
      <c r="F100" s="269"/>
      <c r="G100" s="269"/>
      <c r="H100" s="269"/>
      <c r="I100" s="269"/>
      <c r="J100" s="271"/>
      <c r="K100" s="272"/>
      <c r="L100" s="269"/>
      <c r="M100" s="273"/>
      <c r="N100" s="269"/>
      <c r="O100" s="269"/>
      <c r="P100" s="274"/>
      <c r="Q100" s="270"/>
      <c r="R100" s="61"/>
      <c r="S100" s="269"/>
      <c r="T100" s="269"/>
      <c r="U100" s="269"/>
      <c r="V100" s="269"/>
      <c r="W100" s="269"/>
      <c r="X100" s="271"/>
      <c r="Y100" s="272"/>
      <c r="Z100" s="272"/>
      <c r="AA100" s="272"/>
      <c r="AB100" s="272"/>
    </row>
    <row r="101" spans="1:28" ht="15" customHeight="1" x14ac:dyDescent="0.25">
      <c r="A101" s="269"/>
      <c r="B101" s="269"/>
      <c r="C101" s="269"/>
      <c r="D101" s="270"/>
      <c r="E101" s="269"/>
      <c r="F101" s="269"/>
      <c r="G101" s="269"/>
      <c r="H101" s="269"/>
      <c r="I101" s="269"/>
      <c r="J101" s="271"/>
      <c r="K101" s="272"/>
      <c r="L101" s="269"/>
      <c r="M101" s="273"/>
      <c r="N101" s="269"/>
      <c r="O101" s="269"/>
      <c r="P101" s="274"/>
      <c r="Q101" s="270"/>
      <c r="R101" s="61"/>
      <c r="S101" s="269"/>
      <c r="T101" s="269"/>
      <c r="U101" s="269"/>
      <c r="V101" s="269"/>
      <c r="W101" s="269"/>
      <c r="X101" s="271"/>
      <c r="Y101" s="272"/>
      <c r="Z101" s="272"/>
      <c r="AA101" s="272"/>
      <c r="AB101" s="272"/>
    </row>
    <row r="102" spans="1:28" ht="15" customHeight="1" x14ac:dyDescent="0.25">
      <c r="A102" s="269"/>
      <c r="B102" s="269"/>
      <c r="C102" s="269"/>
      <c r="D102" s="270"/>
      <c r="E102" s="269"/>
      <c r="F102" s="269"/>
      <c r="G102" s="269"/>
      <c r="H102" s="269"/>
      <c r="I102" s="269"/>
      <c r="J102" s="271"/>
      <c r="K102" s="272"/>
      <c r="L102" s="269"/>
      <c r="M102" s="273"/>
      <c r="N102" s="269"/>
      <c r="O102" s="269"/>
      <c r="P102" s="274"/>
      <c r="Q102" s="270"/>
      <c r="R102" s="61"/>
      <c r="S102" s="269"/>
      <c r="T102" s="269"/>
      <c r="U102" s="269"/>
      <c r="V102" s="269"/>
      <c r="W102" s="269"/>
      <c r="X102" s="271"/>
      <c r="Y102" s="272"/>
      <c r="Z102" s="272"/>
      <c r="AA102" s="272"/>
      <c r="AB102" s="272"/>
    </row>
    <row r="103" spans="1:28" ht="15" customHeight="1" x14ac:dyDescent="0.25">
      <c r="A103" s="269"/>
      <c r="B103" s="269"/>
      <c r="C103" s="269"/>
      <c r="D103" s="270"/>
      <c r="E103" s="269"/>
      <c r="F103" s="269"/>
      <c r="G103" s="269"/>
      <c r="H103" s="269"/>
      <c r="I103" s="269"/>
      <c r="J103" s="271"/>
      <c r="K103" s="272"/>
      <c r="L103" s="269"/>
      <c r="M103" s="273"/>
      <c r="N103" s="269"/>
      <c r="O103" s="269"/>
      <c r="P103" s="274"/>
      <c r="Q103" s="270"/>
      <c r="R103" s="61"/>
      <c r="S103" s="269"/>
      <c r="T103" s="269"/>
      <c r="U103" s="269"/>
      <c r="V103" s="269"/>
      <c r="W103" s="269"/>
      <c r="X103" s="271"/>
      <c r="Y103" s="272"/>
      <c r="Z103" s="272"/>
      <c r="AA103" s="272"/>
      <c r="AB103" s="272"/>
    </row>
    <row r="104" spans="1:28" ht="15" customHeight="1" x14ac:dyDescent="0.25">
      <c r="A104" s="269"/>
      <c r="B104" s="269"/>
      <c r="C104" s="269"/>
      <c r="D104" s="270"/>
      <c r="E104" s="269"/>
      <c r="F104" s="269"/>
      <c r="G104" s="269"/>
      <c r="H104" s="269"/>
      <c r="I104" s="269"/>
      <c r="J104" s="271"/>
      <c r="K104" s="272"/>
      <c r="L104" s="269"/>
      <c r="M104" s="273"/>
      <c r="N104" s="269"/>
      <c r="O104" s="269"/>
      <c r="P104" s="274"/>
      <c r="Q104" s="270"/>
      <c r="R104" s="61"/>
      <c r="S104" s="269"/>
      <c r="T104" s="269"/>
      <c r="U104" s="269"/>
      <c r="V104" s="269"/>
      <c r="W104" s="269"/>
      <c r="X104" s="271"/>
      <c r="Y104" s="272"/>
      <c r="Z104" s="272"/>
      <c r="AA104" s="272"/>
      <c r="AB104" s="272"/>
    </row>
    <row r="105" spans="1:28" ht="15" customHeight="1" x14ac:dyDescent="0.25">
      <c r="A105" s="269"/>
      <c r="B105" s="269"/>
      <c r="C105" s="269"/>
      <c r="D105" s="270"/>
      <c r="E105" s="269"/>
      <c r="F105" s="269"/>
      <c r="G105" s="269"/>
      <c r="H105" s="269"/>
      <c r="I105" s="269"/>
      <c r="J105" s="271"/>
      <c r="K105" s="272"/>
      <c r="L105" s="269"/>
      <c r="M105" s="273"/>
      <c r="N105" s="269"/>
      <c r="O105" s="269"/>
      <c r="P105" s="274"/>
      <c r="Q105" s="270"/>
      <c r="R105" s="61"/>
      <c r="S105" s="269"/>
      <c r="T105" s="269"/>
      <c r="U105" s="269"/>
      <c r="V105" s="269"/>
      <c r="W105" s="269"/>
      <c r="X105" s="271"/>
      <c r="Y105" s="272"/>
      <c r="Z105" s="272"/>
      <c r="AA105" s="272"/>
      <c r="AB105" s="272"/>
    </row>
    <row r="106" spans="1:28" ht="15" customHeight="1" x14ac:dyDescent="0.25">
      <c r="A106" s="269"/>
      <c r="B106" s="269"/>
      <c r="C106" s="269"/>
      <c r="D106" s="270"/>
      <c r="E106" s="269"/>
      <c r="F106" s="269"/>
      <c r="G106" s="269"/>
      <c r="H106" s="269"/>
      <c r="I106" s="269"/>
      <c r="J106" s="271"/>
      <c r="K106" s="272"/>
      <c r="L106" s="269"/>
      <c r="M106" s="273"/>
      <c r="N106" s="269"/>
      <c r="O106" s="269"/>
      <c r="P106" s="274"/>
      <c r="Q106" s="270"/>
      <c r="R106" s="61"/>
      <c r="S106" s="269"/>
      <c r="T106" s="269"/>
      <c r="U106" s="269"/>
      <c r="V106" s="269"/>
      <c r="W106" s="269"/>
      <c r="X106" s="271"/>
      <c r="Y106" s="272"/>
      <c r="Z106" s="272"/>
      <c r="AA106" s="272"/>
      <c r="AB106" s="272"/>
    </row>
    <row r="107" spans="1:28" ht="15" customHeight="1" x14ac:dyDescent="0.25">
      <c r="A107" s="269"/>
      <c r="B107" s="269"/>
      <c r="C107" s="269"/>
      <c r="D107" s="270"/>
      <c r="E107" s="269"/>
      <c r="F107" s="269"/>
      <c r="G107" s="269"/>
      <c r="H107" s="269"/>
      <c r="I107" s="269"/>
      <c r="J107" s="271"/>
      <c r="K107" s="272"/>
      <c r="L107" s="269"/>
      <c r="M107" s="273"/>
      <c r="N107" s="269"/>
      <c r="O107" s="269"/>
      <c r="P107" s="274"/>
      <c r="Q107" s="270"/>
      <c r="R107" s="61"/>
      <c r="S107" s="269"/>
      <c r="T107" s="269"/>
      <c r="U107" s="269"/>
      <c r="V107" s="269"/>
      <c r="W107" s="269"/>
      <c r="X107" s="271"/>
      <c r="Y107" s="272"/>
      <c r="Z107" s="272"/>
      <c r="AA107" s="272"/>
      <c r="AB107" s="272"/>
    </row>
    <row r="108" spans="1:28" ht="15" customHeight="1" x14ac:dyDescent="0.25">
      <c r="A108" s="269"/>
      <c r="B108" s="269"/>
      <c r="C108" s="269"/>
      <c r="D108" s="270"/>
      <c r="E108" s="269"/>
      <c r="F108" s="269"/>
      <c r="G108" s="269"/>
      <c r="H108" s="269"/>
      <c r="I108" s="269"/>
      <c r="J108" s="271"/>
      <c r="K108" s="272"/>
      <c r="L108" s="269"/>
      <c r="M108" s="273"/>
      <c r="N108" s="269"/>
      <c r="O108" s="269"/>
      <c r="P108" s="274"/>
      <c r="Q108" s="270"/>
      <c r="R108" s="61"/>
      <c r="S108" s="269"/>
      <c r="T108" s="269"/>
      <c r="U108" s="269"/>
      <c r="V108" s="269"/>
      <c r="W108" s="269"/>
      <c r="X108" s="271"/>
      <c r="Y108" s="272"/>
      <c r="Z108" s="272"/>
      <c r="AA108" s="272"/>
      <c r="AB108" s="272"/>
    </row>
    <row r="109" spans="1:28" ht="15" customHeight="1" x14ac:dyDescent="0.25">
      <c r="A109" s="269"/>
      <c r="B109" s="269"/>
      <c r="C109" s="269"/>
      <c r="D109" s="270"/>
      <c r="E109" s="269"/>
      <c r="F109" s="269"/>
      <c r="G109" s="269"/>
      <c r="H109" s="269"/>
      <c r="I109" s="269"/>
      <c r="J109" s="271"/>
      <c r="K109" s="272"/>
      <c r="L109" s="269"/>
      <c r="M109" s="273"/>
      <c r="N109" s="269"/>
      <c r="O109" s="269"/>
      <c r="P109" s="274"/>
      <c r="Q109" s="270"/>
      <c r="R109" s="61"/>
      <c r="S109" s="269"/>
      <c r="T109" s="269"/>
      <c r="U109" s="269"/>
      <c r="V109" s="269"/>
      <c r="W109" s="269"/>
      <c r="X109" s="271"/>
      <c r="Y109" s="272"/>
      <c r="Z109" s="272"/>
      <c r="AA109" s="272"/>
      <c r="AB109" s="272"/>
    </row>
    <row r="110" spans="1:28" ht="15" customHeight="1" x14ac:dyDescent="0.25">
      <c r="A110" s="269"/>
      <c r="B110" s="269"/>
      <c r="C110" s="269"/>
      <c r="D110" s="270"/>
      <c r="E110" s="269"/>
      <c r="F110" s="269"/>
      <c r="G110" s="269"/>
      <c r="H110" s="269"/>
      <c r="I110" s="269"/>
      <c r="J110" s="271"/>
      <c r="K110" s="272"/>
      <c r="L110" s="269"/>
      <c r="M110" s="273"/>
      <c r="N110" s="269"/>
      <c r="O110" s="269"/>
      <c r="P110" s="274"/>
      <c r="Q110" s="270"/>
      <c r="R110" s="61"/>
      <c r="S110" s="269"/>
      <c r="T110" s="269"/>
      <c r="U110" s="269"/>
      <c r="V110" s="269"/>
      <c r="W110" s="269"/>
      <c r="X110" s="271"/>
      <c r="Y110" s="272"/>
      <c r="Z110" s="272"/>
      <c r="AA110" s="272"/>
      <c r="AB110" s="272"/>
    </row>
    <row r="111" spans="1:28" ht="15" customHeight="1" x14ac:dyDescent="0.25">
      <c r="A111" s="269"/>
      <c r="B111" s="269"/>
      <c r="C111" s="269"/>
      <c r="D111" s="270"/>
      <c r="E111" s="269"/>
      <c r="F111" s="269"/>
      <c r="G111" s="269"/>
      <c r="H111" s="269"/>
      <c r="I111" s="269"/>
      <c r="J111" s="271"/>
      <c r="K111" s="272"/>
      <c r="L111" s="269"/>
      <c r="M111" s="273"/>
      <c r="N111" s="269"/>
      <c r="O111" s="269"/>
      <c r="P111" s="274"/>
      <c r="Q111" s="270"/>
      <c r="R111" s="61"/>
      <c r="S111" s="269"/>
      <c r="T111" s="269"/>
      <c r="U111" s="269"/>
      <c r="V111" s="269"/>
      <c r="W111" s="269"/>
      <c r="X111" s="271"/>
      <c r="Y111" s="272"/>
      <c r="Z111" s="272"/>
      <c r="AA111" s="272"/>
      <c r="AB111" s="272"/>
    </row>
    <row r="112" spans="1:28" ht="15" customHeight="1" x14ac:dyDescent="0.25">
      <c r="A112" s="269"/>
      <c r="B112" s="269"/>
      <c r="C112" s="269"/>
      <c r="D112" s="270"/>
      <c r="E112" s="269"/>
      <c r="F112" s="269"/>
      <c r="G112" s="269"/>
      <c r="H112" s="269"/>
      <c r="I112" s="269"/>
      <c r="J112" s="271"/>
      <c r="K112" s="272"/>
      <c r="L112" s="269"/>
      <c r="M112" s="273"/>
      <c r="N112" s="269"/>
      <c r="O112" s="269"/>
      <c r="P112" s="274"/>
      <c r="Q112" s="270"/>
      <c r="R112" s="61"/>
      <c r="S112" s="269"/>
      <c r="T112" s="269"/>
      <c r="U112" s="269"/>
      <c r="V112" s="269"/>
      <c r="W112" s="269"/>
      <c r="X112" s="271"/>
      <c r="Y112" s="272"/>
      <c r="Z112" s="272"/>
      <c r="AA112" s="272"/>
      <c r="AB112" s="272"/>
    </row>
    <row r="113" spans="1:28" ht="15" customHeight="1" x14ac:dyDescent="0.25">
      <c r="A113" s="269"/>
      <c r="B113" s="269"/>
      <c r="C113" s="269"/>
      <c r="D113" s="270"/>
      <c r="E113" s="269"/>
      <c r="F113" s="269"/>
      <c r="G113" s="269"/>
      <c r="H113" s="269"/>
      <c r="I113" s="269"/>
      <c r="J113" s="271"/>
      <c r="K113" s="272"/>
      <c r="L113" s="269"/>
      <c r="M113" s="273"/>
      <c r="N113" s="269"/>
      <c r="O113" s="269"/>
      <c r="P113" s="274"/>
      <c r="Q113" s="270"/>
      <c r="R113" s="61"/>
      <c r="S113" s="269"/>
      <c r="T113" s="269"/>
      <c r="U113" s="269"/>
      <c r="V113" s="269"/>
      <c r="W113" s="269"/>
      <c r="X113" s="271"/>
      <c r="Y113" s="272"/>
      <c r="Z113" s="272"/>
      <c r="AA113" s="272"/>
      <c r="AB113" s="272"/>
    </row>
    <row r="114" spans="1:28" ht="15" customHeight="1" x14ac:dyDescent="0.25">
      <c r="A114" s="269"/>
      <c r="B114" s="269"/>
      <c r="C114" s="269"/>
      <c r="D114" s="270"/>
      <c r="E114" s="269"/>
      <c r="F114" s="269"/>
      <c r="G114" s="269"/>
      <c r="H114" s="269"/>
      <c r="I114" s="269"/>
      <c r="J114" s="271"/>
      <c r="K114" s="272"/>
      <c r="L114" s="269"/>
      <c r="M114" s="273"/>
      <c r="N114" s="269"/>
      <c r="O114" s="269"/>
      <c r="P114" s="274"/>
      <c r="Q114" s="270"/>
      <c r="R114" s="61"/>
      <c r="S114" s="269"/>
      <c r="T114" s="269"/>
      <c r="U114" s="269"/>
      <c r="V114" s="269"/>
      <c r="W114" s="269"/>
      <c r="X114" s="271"/>
      <c r="Y114" s="272"/>
      <c r="Z114" s="272"/>
      <c r="AA114" s="272"/>
      <c r="AB114" s="272"/>
    </row>
    <row r="115" spans="1:28" ht="15" customHeight="1" x14ac:dyDescent="0.25">
      <c r="A115" s="269"/>
      <c r="B115" s="269"/>
      <c r="C115" s="269"/>
      <c r="D115" s="270"/>
      <c r="E115" s="269"/>
      <c r="F115" s="269"/>
      <c r="G115" s="269"/>
      <c r="H115" s="269"/>
      <c r="I115" s="269"/>
      <c r="J115" s="271"/>
      <c r="K115" s="272"/>
      <c r="L115" s="269"/>
      <c r="M115" s="273"/>
      <c r="N115" s="269"/>
      <c r="O115" s="269"/>
      <c r="P115" s="274"/>
      <c r="Q115" s="270"/>
      <c r="R115" s="61"/>
      <c r="S115" s="269"/>
      <c r="T115" s="269"/>
      <c r="U115" s="269"/>
      <c r="V115" s="269"/>
      <c r="W115" s="269"/>
      <c r="X115" s="271"/>
      <c r="Y115" s="272"/>
      <c r="Z115" s="272"/>
      <c r="AA115" s="272"/>
      <c r="AB115" s="272"/>
    </row>
    <row r="116" spans="1:28" ht="15" customHeight="1" x14ac:dyDescent="0.25">
      <c r="A116" s="269"/>
      <c r="B116" s="269"/>
      <c r="C116" s="269"/>
      <c r="D116" s="270"/>
      <c r="E116" s="269"/>
      <c r="F116" s="269"/>
      <c r="G116" s="269"/>
      <c r="H116" s="269"/>
      <c r="I116" s="269"/>
      <c r="J116" s="271"/>
      <c r="K116" s="272"/>
      <c r="L116" s="269"/>
      <c r="M116" s="273"/>
      <c r="N116" s="269"/>
      <c r="O116" s="269"/>
      <c r="P116" s="274"/>
      <c r="Q116" s="270"/>
      <c r="R116" s="61"/>
      <c r="S116" s="269"/>
      <c r="T116" s="269"/>
      <c r="U116" s="269"/>
      <c r="V116" s="269"/>
      <c r="W116" s="269"/>
      <c r="X116" s="271"/>
      <c r="Y116" s="272"/>
      <c r="Z116" s="272"/>
      <c r="AA116" s="272"/>
      <c r="AB116" s="272"/>
    </row>
    <row r="117" spans="1:28" ht="15" customHeight="1" x14ac:dyDescent="0.25">
      <c r="A117" s="269"/>
      <c r="B117" s="269"/>
      <c r="C117" s="269"/>
      <c r="D117" s="270"/>
      <c r="E117" s="269"/>
      <c r="F117" s="269"/>
      <c r="G117" s="269"/>
      <c r="H117" s="269"/>
      <c r="I117" s="269"/>
      <c r="J117" s="271"/>
      <c r="K117" s="272"/>
      <c r="L117" s="269"/>
      <c r="M117" s="273"/>
      <c r="N117" s="269"/>
      <c r="O117" s="269"/>
      <c r="P117" s="274"/>
      <c r="Q117" s="270"/>
      <c r="R117" s="61"/>
      <c r="S117" s="269"/>
      <c r="T117" s="269"/>
      <c r="U117" s="269"/>
      <c r="V117" s="269"/>
      <c r="W117" s="269"/>
      <c r="X117" s="271"/>
      <c r="Y117" s="272"/>
      <c r="Z117" s="272"/>
      <c r="AA117" s="272"/>
      <c r="AB117" s="272"/>
    </row>
    <row r="118" spans="1:28" ht="15" customHeight="1" x14ac:dyDescent="0.25">
      <c r="A118" s="269"/>
      <c r="B118" s="269"/>
      <c r="C118" s="269"/>
      <c r="D118" s="270"/>
      <c r="E118" s="269"/>
      <c r="F118" s="269"/>
      <c r="G118" s="269"/>
      <c r="H118" s="269"/>
      <c r="I118" s="269"/>
      <c r="J118" s="271"/>
      <c r="K118" s="272"/>
      <c r="L118" s="269"/>
      <c r="M118" s="273"/>
      <c r="N118" s="269"/>
      <c r="O118" s="269"/>
      <c r="P118" s="274"/>
      <c r="Q118" s="270"/>
      <c r="R118" s="61"/>
      <c r="S118" s="269"/>
      <c r="T118" s="269"/>
      <c r="U118" s="269"/>
      <c r="V118" s="269"/>
      <c r="W118" s="269"/>
      <c r="X118" s="271"/>
      <c r="Y118" s="272"/>
      <c r="Z118" s="272"/>
      <c r="AA118" s="272"/>
      <c r="AB118" s="272"/>
    </row>
    <row r="119" spans="1:28" ht="15" customHeight="1" x14ac:dyDescent="0.25">
      <c r="A119" s="269"/>
      <c r="B119" s="269"/>
      <c r="C119" s="269"/>
      <c r="D119" s="270"/>
      <c r="E119" s="269"/>
      <c r="F119" s="269"/>
      <c r="G119" s="269"/>
      <c r="H119" s="269"/>
      <c r="I119" s="269"/>
      <c r="J119" s="271"/>
      <c r="K119" s="272"/>
      <c r="L119" s="269"/>
      <c r="M119" s="273"/>
      <c r="N119" s="269"/>
      <c r="O119" s="269"/>
      <c r="P119" s="274"/>
      <c r="Q119" s="270"/>
      <c r="R119" s="61"/>
      <c r="S119" s="269"/>
      <c r="T119" s="269"/>
      <c r="U119" s="269"/>
      <c r="V119" s="269"/>
      <c r="W119" s="269"/>
      <c r="X119" s="271"/>
      <c r="Y119" s="272"/>
      <c r="Z119" s="272"/>
      <c r="AA119" s="272"/>
      <c r="AB119" s="272"/>
    </row>
    <row r="120" spans="1:28" ht="15" customHeight="1" x14ac:dyDescent="0.25">
      <c r="A120" s="269"/>
      <c r="B120" s="269"/>
      <c r="C120" s="269"/>
      <c r="D120" s="270"/>
      <c r="E120" s="269"/>
      <c r="F120" s="269"/>
      <c r="G120" s="269"/>
      <c r="H120" s="269"/>
      <c r="I120" s="269"/>
      <c r="J120" s="271"/>
      <c r="K120" s="272"/>
      <c r="L120" s="269"/>
      <c r="M120" s="273"/>
      <c r="N120" s="269"/>
      <c r="O120" s="269"/>
      <c r="P120" s="274"/>
      <c r="Q120" s="270"/>
      <c r="R120" s="61"/>
      <c r="S120" s="269"/>
      <c r="T120" s="269"/>
      <c r="U120" s="269"/>
      <c r="V120" s="269"/>
      <c r="W120" s="269"/>
      <c r="X120" s="271"/>
      <c r="Y120" s="272"/>
      <c r="Z120" s="272"/>
      <c r="AA120" s="272"/>
      <c r="AB120" s="272"/>
    </row>
    <row r="121" spans="1:28" ht="15" customHeight="1" x14ac:dyDescent="0.25">
      <c r="A121" s="269"/>
      <c r="B121" s="269"/>
      <c r="C121" s="269"/>
      <c r="D121" s="270"/>
      <c r="E121" s="269"/>
      <c r="F121" s="269"/>
      <c r="G121" s="269"/>
      <c r="H121" s="269"/>
      <c r="I121" s="269"/>
      <c r="J121" s="271"/>
      <c r="K121" s="272"/>
      <c r="L121" s="269"/>
      <c r="M121" s="273"/>
      <c r="N121" s="269"/>
      <c r="O121" s="269"/>
      <c r="P121" s="274"/>
      <c r="Q121" s="270"/>
      <c r="R121" s="61"/>
      <c r="S121" s="269"/>
      <c r="T121" s="269"/>
      <c r="U121" s="269"/>
      <c r="V121" s="269"/>
      <c r="W121" s="269"/>
      <c r="X121" s="271"/>
      <c r="Y121" s="272"/>
      <c r="Z121" s="272"/>
      <c r="AA121" s="272"/>
      <c r="AB121" s="272"/>
    </row>
    <row r="122" spans="1:28" ht="15" customHeight="1" x14ac:dyDescent="0.25">
      <c r="A122" s="269"/>
      <c r="B122" s="269"/>
      <c r="C122" s="269"/>
      <c r="D122" s="270"/>
      <c r="E122" s="269"/>
      <c r="F122" s="269"/>
      <c r="G122" s="269"/>
      <c r="H122" s="269"/>
      <c r="I122" s="269"/>
      <c r="J122" s="271"/>
      <c r="K122" s="272"/>
      <c r="L122" s="269"/>
      <c r="M122" s="273"/>
      <c r="N122" s="269"/>
      <c r="O122" s="269"/>
      <c r="P122" s="274"/>
      <c r="Q122" s="270"/>
      <c r="R122" s="61"/>
      <c r="S122" s="269"/>
      <c r="T122" s="269"/>
      <c r="U122" s="269"/>
      <c r="V122" s="269"/>
      <c r="W122" s="269"/>
      <c r="X122" s="271"/>
      <c r="Y122" s="272"/>
      <c r="Z122" s="272"/>
      <c r="AA122" s="272"/>
      <c r="AB122" s="272"/>
    </row>
    <row r="123" spans="1:28" ht="15" customHeight="1" x14ac:dyDescent="0.25">
      <c r="A123" s="269"/>
      <c r="B123" s="269"/>
      <c r="C123" s="269"/>
      <c r="D123" s="270"/>
      <c r="E123" s="269"/>
      <c r="F123" s="269"/>
      <c r="G123" s="269"/>
      <c r="H123" s="269"/>
      <c r="I123" s="269"/>
      <c r="J123" s="271"/>
      <c r="K123" s="272"/>
      <c r="L123" s="269"/>
      <c r="M123" s="273"/>
      <c r="N123" s="269"/>
      <c r="O123" s="269"/>
      <c r="P123" s="274"/>
      <c r="Q123" s="270"/>
      <c r="R123" s="61"/>
      <c r="S123" s="269"/>
      <c r="T123" s="269"/>
      <c r="U123" s="269"/>
      <c r="V123" s="269"/>
      <c r="W123" s="269"/>
      <c r="X123" s="271"/>
      <c r="Y123" s="272"/>
      <c r="Z123" s="272"/>
      <c r="AA123" s="272"/>
      <c r="AB123" s="272"/>
    </row>
    <row r="124" spans="1:28" ht="15" customHeight="1" x14ac:dyDescent="0.25">
      <c r="A124" s="269"/>
      <c r="B124" s="269"/>
      <c r="C124" s="269"/>
      <c r="D124" s="270"/>
      <c r="E124" s="269"/>
      <c r="F124" s="269"/>
      <c r="G124" s="269"/>
      <c r="H124" s="269"/>
      <c r="I124" s="269"/>
      <c r="J124" s="271"/>
      <c r="K124" s="272"/>
      <c r="L124" s="269"/>
      <c r="M124" s="273"/>
      <c r="N124" s="269"/>
      <c r="O124" s="269"/>
      <c r="P124" s="274"/>
      <c r="Q124" s="270"/>
      <c r="R124" s="61"/>
      <c r="S124" s="269"/>
      <c r="T124" s="269"/>
      <c r="U124" s="269"/>
      <c r="V124" s="269"/>
      <c r="W124" s="269"/>
      <c r="X124" s="271"/>
      <c r="Y124" s="272"/>
      <c r="Z124" s="272"/>
      <c r="AA124" s="272"/>
      <c r="AB124" s="272"/>
    </row>
    <row r="125" spans="1:28" ht="15" customHeight="1" x14ac:dyDescent="0.25">
      <c r="A125" s="269"/>
      <c r="B125" s="269"/>
      <c r="C125" s="269"/>
      <c r="D125" s="270"/>
      <c r="E125" s="269"/>
      <c r="F125" s="269"/>
      <c r="G125" s="269"/>
      <c r="H125" s="269"/>
      <c r="I125" s="269"/>
      <c r="J125" s="271"/>
      <c r="K125" s="272"/>
      <c r="L125" s="269"/>
      <c r="M125" s="273"/>
      <c r="N125" s="269"/>
      <c r="O125" s="269"/>
      <c r="P125" s="274"/>
      <c r="Q125" s="270"/>
      <c r="R125" s="61"/>
      <c r="S125" s="269"/>
      <c r="T125" s="269"/>
      <c r="U125" s="269"/>
      <c r="V125" s="269"/>
      <c r="W125" s="269"/>
      <c r="X125" s="271"/>
      <c r="Y125" s="272"/>
      <c r="Z125" s="272"/>
      <c r="AA125" s="272"/>
      <c r="AB125" s="272"/>
    </row>
    <row r="126" spans="1:28" ht="15" customHeight="1" x14ac:dyDescent="0.25">
      <c r="A126" s="269"/>
      <c r="B126" s="269"/>
      <c r="C126" s="269"/>
      <c r="D126" s="270"/>
      <c r="E126" s="269"/>
      <c r="F126" s="269"/>
      <c r="G126" s="269"/>
      <c r="H126" s="269"/>
      <c r="I126" s="269"/>
      <c r="J126" s="271"/>
      <c r="K126" s="272"/>
      <c r="L126" s="269"/>
      <c r="M126" s="273"/>
      <c r="N126" s="269"/>
      <c r="O126" s="269"/>
      <c r="P126" s="274"/>
      <c r="Q126" s="270"/>
      <c r="R126" s="61"/>
      <c r="S126" s="269"/>
      <c r="T126" s="269"/>
      <c r="U126" s="269"/>
      <c r="V126" s="269"/>
      <c r="W126" s="269"/>
      <c r="X126" s="271"/>
      <c r="Y126" s="272"/>
      <c r="Z126" s="272"/>
      <c r="AA126" s="272"/>
      <c r="AB126" s="272"/>
    </row>
    <row r="127" spans="1:28" ht="15" customHeight="1" x14ac:dyDescent="0.25">
      <c r="A127" s="269"/>
      <c r="B127" s="269"/>
      <c r="C127" s="269"/>
      <c r="D127" s="270"/>
      <c r="E127" s="269"/>
      <c r="F127" s="269"/>
      <c r="G127" s="269"/>
      <c r="H127" s="269"/>
      <c r="I127" s="269"/>
      <c r="J127" s="271"/>
      <c r="K127" s="272"/>
      <c r="L127" s="269"/>
      <c r="M127" s="273"/>
      <c r="N127" s="269"/>
      <c r="O127" s="269"/>
      <c r="P127" s="274"/>
      <c r="Q127" s="270"/>
      <c r="R127" s="61"/>
      <c r="S127" s="269"/>
      <c r="T127" s="269"/>
      <c r="U127" s="269"/>
      <c r="V127" s="269"/>
      <c r="W127" s="269"/>
      <c r="X127" s="271"/>
      <c r="Y127" s="272"/>
      <c r="Z127" s="272"/>
      <c r="AA127" s="272"/>
      <c r="AB127" s="272"/>
    </row>
    <row r="128" spans="1:28" ht="15" customHeight="1" x14ac:dyDescent="0.25">
      <c r="A128" s="269"/>
      <c r="B128" s="269"/>
      <c r="C128" s="269"/>
      <c r="D128" s="270"/>
      <c r="E128" s="269"/>
      <c r="F128" s="269"/>
      <c r="G128" s="269"/>
      <c r="H128" s="269"/>
      <c r="I128" s="269"/>
      <c r="J128" s="271"/>
      <c r="K128" s="272"/>
      <c r="L128" s="269"/>
      <c r="M128" s="273"/>
      <c r="N128" s="269"/>
      <c r="O128" s="269"/>
      <c r="P128" s="274"/>
      <c r="Q128" s="270"/>
      <c r="R128" s="61"/>
      <c r="S128" s="269"/>
      <c r="T128" s="269"/>
      <c r="U128" s="269"/>
      <c r="V128" s="269"/>
      <c r="W128" s="269"/>
      <c r="X128" s="271"/>
      <c r="Y128" s="272"/>
      <c r="Z128" s="272"/>
      <c r="AA128" s="272"/>
      <c r="AB128" s="272"/>
    </row>
    <row r="129" spans="1:28" ht="15" customHeight="1" x14ac:dyDescent="0.25">
      <c r="A129" s="269"/>
      <c r="B129" s="269"/>
      <c r="C129" s="269"/>
      <c r="D129" s="270"/>
      <c r="E129" s="269"/>
      <c r="F129" s="269"/>
      <c r="G129" s="269"/>
      <c r="H129" s="269"/>
      <c r="I129" s="269"/>
      <c r="J129" s="271"/>
      <c r="K129" s="272"/>
      <c r="L129" s="269"/>
      <c r="M129" s="273"/>
      <c r="N129" s="269"/>
      <c r="O129" s="269"/>
      <c r="P129" s="274"/>
      <c r="Q129" s="270"/>
      <c r="R129" s="61"/>
      <c r="S129" s="269"/>
      <c r="T129" s="269"/>
      <c r="U129" s="269"/>
      <c r="V129" s="269"/>
      <c r="W129" s="269"/>
      <c r="X129" s="271"/>
      <c r="Y129" s="272"/>
      <c r="Z129" s="272"/>
      <c r="AA129" s="272"/>
      <c r="AB129" s="272"/>
    </row>
    <row r="130" spans="1:28" ht="15" customHeight="1" x14ac:dyDescent="0.25">
      <c r="A130" s="269"/>
      <c r="B130" s="269"/>
      <c r="C130" s="269"/>
      <c r="D130" s="270"/>
      <c r="E130" s="269"/>
      <c r="F130" s="269"/>
      <c r="G130" s="269"/>
      <c r="H130" s="269"/>
      <c r="I130" s="269"/>
      <c r="J130" s="271"/>
      <c r="K130" s="272"/>
      <c r="L130" s="269"/>
      <c r="M130" s="273"/>
      <c r="N130" s="269"/>
      <c r="O130" s="269"/>
      <c r="P130" s="274"/>
      <c r="Q130" s="270"/>
      <c r="R130" s="61"/>
      <c r="S130" s="269"/>
      <c r="T130" s="269"/>
      <c r="U130" s="269"/>
      <c r="V130" s="269"/>
      <c r="W130" s="269"/>
      <c r="X130" s="271"/>
      <c r="Y130" s="272"/>
      <c r="Z130" s="272"/>
      <c r="AA130" s="272"/>
      <c r="AB130" s="272"/>
    </row>
    <row r="131" spans="1:28" ht="15" customHeight="1" x14ac:dyDescent="0.25">
      <c r="A131" s="269"/>
      <c r="B131" s="269"/>
      <c r="C131" s="269"/>
      <c r="D131" s="270"/>
      <c r="E131" s="269"/>
      <c r="F131" s="269"/>
      <c r="G131" s="269"/>
      <c r="H131" s="269"/>
      <c r="I131" s="269"/>
      <c r="J131" s="271"/>
      <c r="K131" s="272"/>
      <c r="L131" s="269"/>
      <c r="M131" s="273"/>
      <c r="N131" s="269"/>
      <c r="O131" s="269"/>
      <c r="P131" s="274"/>
      <c r="Q131" s="270"/>
      <c r="R131" s="61"/>
      <c r="S131" s="269"/>
      <c r="T131" s="269"/>
      <c r="U131" s="269"/>
      <c r="V131" s="269"/>
      <c r="W131" s="269"/>
      <c r="X131" s="271"/>
      <c r="Y131" s="272"/>
      <c r="Z131" s="272"/>
      <c r="AA131" s="272"/>
      <c r="AB131" s="272"/>
    </row>
    <row r="132" spans="1:28" ht="15" customHeight="1" x14ac:dyDescent="0.25">
      <c r="A132" s="269"/>
      <c r="B132" s="269"/>
      <c r="C132" s="269"/>
      <c r="D132" s="270"/>
      <c r="E132" s="269"/>
      <c r="F132" s="269"/>
      <c r="G132" s="269"/>
      <c r="H132" s="269"/>
      <c r="I132" s="269"/>
      <c r="J132" s="271"/>
      <c r="K132" s="272"/>
      <c r="L132" s="269"/>
      <c r="M132" s="273"/>
      <c r="N132" s="269"/>
      <c r="O132" s="269"/>
      <c r="P132" s="274"/>
      <c r="Q132" s="270"/>
      <c r="R132" s="61"/>
      <c r="S132" s="269"/>
      <c r="T132" s="269"/>
      <c r="U132" s="269"/>
      <c r="V132" s="269"/>
      <c r="W132" s="269"/>
      <c r="X132" s="271"/>
      <c r="Y132" s="272"/>
      <c r="Z132" s="272"/>
      <c r="AA132" s="272"/>
      <c r="AB132" s="272"/>
    </row>
    <row r="133" spans="1:28" ht="15" customHeight="1" x14ac:dyDescent="0.25">
      <c r="A133" s="269"/>
      <c r="B133" s="269"/>
      <c r="C133" s="269"/>
      <c r="D133" s="270"/>
      <c r="E133" s="269"/>
      <c r="F133" s="269"/>
      <c r="G133" s="269"/>
      <c r="H133" s="269"/>
      <c r="I133" s="269"/>
      <c r="J133" s="271"/>
      <c r="K133" s="272"/>
      <c r="L133" s="269"/>
      <c r="M133" s="273"/>
      <c r="N133" s="269"/>
      <c r="O133" s="269"/>
      <c r="P133" s="274"/>
      <c r="Q133" s="270"/>
      <c r="R133" s="61"/>
      <c r="S133" s="269"/>
      <c r="T133" s="269"/>
      <c r="U133" s="269"/>
      <c r="V133" s="269"/>
      <c r="W133" s="269"/>
      <c r="X133" s="271"/>
      <c r="Y133" s="272"/>
      <c r="Z133" s="272"/>
      <c r="AA133" s="272"/>
      <c r="AB133" s="272"/>
    </row>
    <row r="134" spans="1:28" ht="15" customHeight="1" x14ac:dyDescent="0.25">
      <c r="A134" s="269"/>
      <c r="B134" s="269"/>
      <c r="C134" s="269"/>
      <c r="D134" s="270"/>
      <c r="E134" s="269"/>
      <c r="F134" s="269"/>
      <c r="G134" s="269"/>
      <c r="H134" s="269"/>
      <c r="I134" s="269"/>
      <c r="J134" s="271"/>
      <c r="K134" s="272"/>
      <c r="L134" s="269"/>
      <c r="M134" s="273"/>
      <c r="N134" s="269"/>
      <c r="O134" s="269"/>
      <c r="P134" s="274"/>
      <c r="Q134" s="270"/>
      <c r="R134" s="61"/>
      <c r="S134" s="269"/>
      <c r="T134" s="269"/>
      <c r="U134" s="269"/>
      <c r="V134" s="269"/>
      <c r="W134" s="269"/>
      <c r="X134" s="271"/>
      <c r="Y134" s="272"/>
      <c r="Z134" s="272"/>
      <c r="AA134" s="272"/>
      <c r="AB134" s="272"/>
    </row>
    <row r="135" spans="1:28" ht="15" customHeight="1" x14ac:dyDescent="0.25">
      <c r="A135" s="269"/>
      <c r="B135" s="269"/>
      <c r="C135" s="269"/>
      <c r="D135" s="270"/>
      <c r="E135" s="269"/>
      <c r="F135" s="269"/>
      <c r="G135" s="269"/>
      <c r="H135" s="269"/>
      <c r="I135" s="269"/>
      <c r="J135" s="271"/>
      <c r="K135" s="272"/>
      <c r="L135" s="269"/>
      <c r="M135" s="273"/>
      <c r="N135" s="269"/>
      <c r="O135" s="269"/>
      <c r="P135" s="274"/>
      <c r="Q135" s="270"/>
      <c r="R135" s="61"/>
      <c r="S135" s="269"/>
      <c r="T135" s="269"/>
      <c r="U135" s="269"/>
      <c r="V135" s="269"/>
      <c r="W135" s="269"/>
      <c r="X135" s="271"/>
      <c r="Y135" s="272"/>
      <c r="Z135" s="272"/>
      <c r="AA135" s="272"/>
      <c r="AB135" s="272"/>
    </row>
    <row r="136" spans="1:28" ht="15" customHeight="1" x14ac:dyDescent="0.25">
      <c r="A136" s="269"/>
      <c r="B136" s="269"/>
      <c r="C136" s="269"/>
      <c r="D136" s="270"/>
      <c r="E136" s="269"/>
      <c r="F136" s="269"/>
      <c r="G136" s="269"/>
      <c r="H136" s="269"/>
      <c r="I136" s="269"/>
      <c r="J136" s="271"/>
      <c r="K136" s="272"/>
      <c r="L136" s="269"/>
      <c r="M136" s="273"/>
      <c r="N136" s="269"/>
      <c r="O136" s="269"/>
      <c r="P136" s="274"/>
      <c r="Q136" s="270"/>
      <c r="R136" s="61"/>
      <c r="S136" s="269"/>
      <c r="T136" s="269"/>
      <c r="U136" s="269"/>
      <c r="V136" s="269"/>
      <c r="W136" s="269"/>
      <c r="X136" s="271"/>
      <c r="Y136" s="272"/>
      <c r="Z136" s="272"/>
      <c r="AA136" s="272"/>
      <c r="AB136" s="272"/>
    </row>
    <row r="137" spans="1:28" ht="15" customHeight="1" x14ac:dyDescent="0.25">
      <c r="A137" s="269"/>
      <c r="B137" s="269"/>
      <c r="C137" s="269"/>
      <c r="D137" s="270"/>
      <c r="E137" s="269"/>
      <c r="F137" s="269"/>
      <c r="G137" s="269"/>
      <c r="H137" s="269"/>
      <c r="I137" s="269"/>
      <c r="J137" s="271"/>
      <c r="K137" s="272"/>
      <c r="L137" s="269"/>
      <c r="M137" s="273"/>
      <c r="N137" s="269"/>
      <c r="O137" s="269"/>
      <c r="P137" s="274"/>
      <c r="Q137" s="270"/>
      <c r="R137" s="61"/>
      <c r="S137" s="269"/>
      <c r="T137" s="269"/>
      <c r="U137" s="269"/>
      <c r="V137" s="269"/>
      <c r="W137" s="269"/>
      <c r="X137" s="271"/>
      <c r="Y137" s="272"/>
      <c r="Z137" s="272"/>
      <c r="AA137" s="272"/>
      <c r="AB137" s="272"/>
    </row>
    <row r="138" spans="1:28" ht="15" customHeight="1" x14ac:dyDescent="0.25">
      <c r="A138" s="269"/>
      <c r="B138" s="269"/>
      <c r="C138" s="269"/>
      <c r="D138" s="270"/>
      <c r="E138" s="269"/>
      <c r="F138" s="269"/>
      <c r="G138" s="269"/>
      <c r="H138" s="269"/>
      <c r="I138" s="269"/>
      <c r="J138" s="271"/>
      <c r="K138" s="272"/>
      <c r="L138" s="269"/>
      <c r="M138" s="273"/>
      <c r="N138" s="269"/>
      <c r="O138" s="269"/>
      <c r="P138" s="274"/>
      <c r="Q138" s="270"/>
      <c r="R138" s="61"/>
      <c r="S138" s="269"/>
      <c r="T138" s="269"/>
      <c r="U138" s="269"/>
      <c r="V138" s="269"/>
      <c r="W138" s="269"/>
      <c r="X138" s="271"/>
      <c r="Y138" s="272"/>
      <c r="Z138" s="272"/>
      <c r="AA138" s="272"/>
      <c r="AB138" s="272"/>
    </row>
    <row r="139" spans="1:28" ht="15" customHeight="1" x14ac:dyDescent="0.25">
      <c r="A139" s="269"/>
      <c r="B139" s="269"/>
      <c r="C139" s="269"/>
      <c r="D139" s="270"/>
      <c r="E139" s="269"/>
      <c r="F139" s="269"/>
      <c r="G139" s="269"/>
      <c r="H139" s="269"/>
      <c r="I139" s="269"/>
      <c r="J139" s="271"/>
      <c r="K139" s="272"/>
      <c r="L139" s="269"/>
      <c r="M139" s="273"/>
      <c r="N139" s="269"/>
      <c r="O139" s="269"/>
      <c r="P139" s="274"/>
      <c r="Q139" s="270"/>
      <c r="R139" s="61"/>
      <c r="S139" s="269"/>
      <c r="T139" s="269"/>
      <c r="U139" s="269"/>
      <c r="V139" s="269"/>
      <c r="W139" s="269"/>
      <c r="X139" s="271"/>
      <c r="Y139" s="272"/>
      <c r="Z139" s="272"/>
      <c r="AA139" s="272"/>
      <c r="AB139" s="272"/>
    </row>
    <row r="140" spans="1:28" ht="15" customHeight="1" x14ac:dyDescent="0.25">
      <c r="A140" s="269"/>
      <c r="B140" s="269"/>
      <c r="C140" s="269"/>
      <c r="D140" s="270"/>
      <c r="E140" s="269"/>
      <c r="F140" s="269"/>
      <c r="G140" s="269"/>
      <c r="H140" s="269"/>
      <c r="I140" s="269"/>
      <c r="J140" s="271"/>
      <c r="K140" s="272"/>
      <c r="L140" s="269"/>
      <c r="M140" s="273"/>
      <c r="N140" s="269"/>
      <c r="O140" s="269"/>
      <c r="P140" s="274"/>
      <c r="Q140" s="270"/>
      <c r="R140" s="61"/>
      <c r="S140" s="269"/>
      <c r="T140" s="269"/>
      <c r="U140" s="269"/>
      <c r="V140" s="269"/>
      <c r="W140" s="269"/>
      <c r="X140" s="271"/>
      <c r="Y140" s="272"/>
      <c r="Z140" s="272"/>
      <c r="AA140" s="272"/>
      <c r="AB140" s="272"/>
    </row>
    <row r="141" spans="1:28" ht="15" customHeight="1" x14ac:dyDescent="0.25">
      <c r="A141" s="269"/>
      <c r="B141" s="269"/>
      <c r="C141" s="269"/>
      <c r="D141" s="270"/>
      <c r="E141" s="269"/>
      <c r="F141" s="269"/>
      <c r="G141" s="269"/>
      <c r="H141" s="269"/>
      <c r="I141" s="269"/>
      <c r="J141" s="271"/>
      <c r="K141" s="272"/>
      <c r="L141" s="269"/>
      <c r="M141" s="273"/>
      <c r="N141" s="269"/>
      <c r="O141" s="269"/>
      <c r="P141" s="274"/>
      <c r="Q141" s="270"/>
      <c r="R141" s="61"/>
      <c r="S141" s="269"/>
      <c r="T141" s="269"/>
      <c r="U141" s="269"/>
      <c r="V141" s="269"/>
      <c r="W141" s="269"/>
      <c r="X141" s="271"/>
      <c r="Y141" s="272"/>
      <c r="Z141" s="272"/>
      <c r="AA141" s="272"/>
      <c r="AB141" s="272"/>
    </row>
    <row r="142" spans="1:28" ht="15" customHeight="1" x14ac:dyDescent="0.25">
      <c r="A142" s="269"/>
      <c r="B142" s="269"/>
      <c r="C142" s="269"/>
      <c r="D142" s="270"/>
      <c r="E142" s="269"/>
      <c r="F142" s="269"/>
      <c r="G142" s="269"/>
      <c r="H142" s="269"/>
      <c r="I142" s="269"/>
      <c r="J142" s="271"/>
      <c r="K142" s="272"/>
      <c r="L142" s="269"/>
      <c r="M142" s="273"/>
      <c r="N142" s="269"/>
      <c r="O142" s="269"/>
      <c r="P142" s="274"/>
      <c r="Q142" s="270"/>
      <c r="R142" s="61"/>
      <c r="S142" s="269"/>
      <c r="T142" s="269"/>
      <c r="U142" s="269"/>
      <c r="V142" s="269"/>
      <c r="W142" s="269"/>
      <c r="X142" s="271"/>
      <c r="Y142" s="272"/>
      <c r="Z142" s="272"/>
      <c r="AA142" s="272"/>
      <c r="AB142" s="272"/>
    </row>
    <row r="143" spans="1:28" ht="15" customHeight="1" x14ac:dyDescent="0.25">
      <c r="A143" s="269"/>
      <c r="B143" s="269"/>
      <c r="C143" s="269"/>
      <c r="D143" s="270"/>
      <c r="E143" s="269"/>
      <c r="F143" s="269"/>
      <c r="G143" s="269"/>
      <c r="H143" s="269"/>
      <c r="I143" s="269"/>
      <c r="J143" s="271"/>
      <c r="K143" s="272"/>
      <c r="L143" s="269"/>
      <c r="M143" s="273"/>
      <c r="N143" s="269"/>
      <c r="O143" s="269"/>
      <c r="P143" s="274"/>
      <c r="Q143" s="270"/>
      <c r="R143" s="61"/>
      <c r="S143" s="269"/>
      <c r="T143" s="269"/>
      <c r="U143" s="269"/>
      <c r="V143" s="269"/>
      <c r="W143" s="269"/>
      <c r="X143" s="271"/>
      <c r="Y143" s="272"/>
      <c r="Z143" s="272"/>
      <c r="AA143" s="272"/>
      <c r="AB143" s="272"/>
    </row>
    <row r="144" spans="1:28" ht="15" customHeight="1" x14ac:dyDescent="0.25">
      <c r="A144" s="269"/>
      <c r="B144" s="269"/>
      <c r="C144" s="269"/>
      <c r="D144" s="270"/>
      <c r="E144" s="269"/>
      <c r="F144" s="269"/>
      <c r="G144" s="269"/>
      <c r="H144" s="269"/>
      <c r="I144" s="269"/>
      <c r="J144" s="271"/>
      <c r="K144" s="272"/>
      <c r="L144" s="269"/>
      <c r="M144" s="273"/>
      <c r="N144" s="269"/>
      <c r="O144" s="269"/>
      <c r="P144" s="274"/>
      <c r="Q144" s="270"/>
      <c r="R144" s="61"/>
      <c r="S144" s="269"/>
      <c r="T144" s="269"/>
      <c r="U144" s="269"/>
      <c r="V144" s="269"/>
      <c r="W144" s="269"/>
      <c r="X144" s="271"/>
      <c r="Y144" s="272"/>
      <c r="Z144" s="272"/>
      <c r="AA144" s="272"/>
      <c r="AB144" s="272"/>
    </row>
    <row r="145" spans="1:28" ht="15" customHeight="1" x14ac:dyDescent="0.25">
      <c r="A145" s="269"/>
      <c r="B145" s="269"/>
      <c r="C145" s="269"/>
      <c r="D145" s="270"/>
      <c r="E145" s="269"/>
      <c r="F145" s="269"/>
      <c r="G145" s="269"/>
      <c r="H145" s="269"/>
      <c r="I145" s="269"/>
      <c r="J145" s="271"/>
      <c r="K145" s="272"/>
      <c r="L145" s="269"/>
      <c r="M145" s="273"/>
      <c r="N145" s="269"/>
      <c r="O145" s="269"/>
      <c r="P145" s="274"/>
      <c r="Q145" s="270"/>
      <c r="R145" s="61"/>
      <c r="S145" s="269"/>
      <c r="T145" s="269"/>
      <c r="U145" s="269"/>
      <c r="V145" s="269"/>
      <c r="W145" s="269"/>
      <c r="X145" s="271"/>
      <c r="Y145" s="272"/>
      <c r="Z145" s="272"/>
      <c r="AA145" s="272"/>
      <c r="AB145" s="272"/>
    </row>
    <row r="146" spans="1:28" ht="15" customHeight="1" x14ac:dyDescent="0.25">
      <c r="A146" s="269"/>
      <c r="B146" s="269"/>
      <c r="C146" s="269"/>
      <c r="D146" s="270"/>
      <c r="E146" s="269"/>
      <c r="F146" s="269"/>
      <c r="G146" s="269"/>
      <c r="H146" s="269"/>
      <c r="I146" s="269"/>
      <c r="J146" s="271"/>
      <c r="K146" s="272"/>
      <c r="L146" s="269"/>
      <c r="M146" s="273"/>
      <c r="N146" s="269"/>
      <c r="O146" s="269"/>
      <c r="P146" s="274"/>
      <c r="Q146" s="270"/>
      <c r="R146" s="61"/>
      <c r="S146" s="269"/>
      <c r="T146" s="269"/>
      <c r="U146" s="269"/>
      <c r="V146" s="269"/>
      <c r="W146" s="269"/>
      <c r="X146" s="271"/>
      <c r="Y146" s="272"/>
      <c r="Z146" s="272"/>
      <c r="AA146" s="272"/>
      <c r="AB146" s="272"/>
    </row>
    <row r="147" spans="1:28" ht="15" customHeight="1" x14ac:dyDescent="0.25">
      <c r="A147" s="269"/>
      <c r="B147" s="269"/>
      <c r="C147" s="269"/>
      <c r="D147" s="270"/>
      <c r="E147" s="269"/>
      <c r="F147" s="269"/>
      <c r="G147" s="269"/>
      <c r="H147" s="269"/>
      <c r="I147" s="269"/>
      <c r="J147" s="271"/>
      <c r="K147" s="272"/>
      <c r="L147" s="269"/>
      <c r="M147" s="273"/>
      <c r="N147" s="269"/>
      <c r="O147" s="269"/>
      <c r="P147" s="274"/>
      <c r="Q147" s="270"/>
      <c r="R147" s="61"/>
      <c r="S147" s="269"/>
      <c r="T147" s="269"/>
      <c r="U147" s="269"/>
      <c r="V147" s="269"/>
      <c r="W147" s="269"/>
      <c r="X147" s="271"/>
      <c r="Y147" s="272"/>
      <c r="Z147" s="272"/>
      <c r="AA147" s="272"/>
      <c r="AB147" s="272"/>
    </row>
    <row r="148" spans="1:28" ht="15" customHeight="1" x14ac:dyDescent="0.25">
      <c r="A148" s="269"/>
      <c r="B148" s="269"/>
      <c r="C148" s="269"/>
      <c r="D148" s="270"/>
      <c r="E148" s="269"/>
      <c r="F148" s="269"/>
      <c r="G148" s="269"/>
      <c r="H148" s="269"/>
      <c r="I148" s="269"/>
      <c r="J148" s="271"/>
      <c r="K148" s="272"/>
      <c r="L148" s="269"/>
      <c r="M148" s="273"/>
      <c r="N148" s="269"/>
      <c r="O148" s="269"/>
      <c r="P148" s="274"/>
      <c r="Q148" s="270"/>
      <c r="R148" s="61"/>
      <c r="S148" s="269"/>
      <c r="T148" s="269"/>
      <c r="U148" s="269"/>
      <c r="V148" s="269"/>
      <c r="W148" s="269"/>
      <c r="X148" s="271"/>
      <c r="Y148" s="272"/>
      <c r="Z148" s="272"/>
      <c r="AA148" s="272"/>
      <c r="AB148" s="272"/>
    </row>
    <row r="149" spans="1:28" ht="15" customHeight="1" x14ac:dyDescent="0.25">
      <c r="A149" s="269"/>
      <c r="B149" s="269"/>
      <c r="C149" s="269"/>
      <c r="D149" s="270"/>
      <c r="E149" s="269"/>
      <c r="F149" s="269"/>
      <c r="G149" s="269"/>
      <c r="H149" s="269"/>
      <c r="I149" s="269"/>
      <c r="J149" s="271"/>
      <c r="K149" s="272"/>
      <c r="L149" s="269"/>
      <c r="M149" s="273"/>
      <c r="N149" s="269"/>
      <c r="O149" s="269"/>
      <c r="P149" s="274"/>
      <c r="Q149" s="270"/>
      <c r="R149" s="61"/>
      <c r="S149" s="269"/>
      <c r="T149" s="269"/>
      <c r="U149" s="269"/>
      <c r="V149" s="269"/>
      <c r="W149" s="269"/>
      <c r="X149" s="271"/>
      <c r="Y149" s="272"/>
      <c r="Z149" s="272"/>
      <c r="AA149" s="272"/>
      <c r="AB149" s="272"/>
    </row>
    <row r="150" spans="1:28" ht="15" customHeight="1" x14ac:dyDescent="0.25">
      <c r="A150" s="269"/>
      <c r="B150" s="269"/>
      <c r="C150" s="269"/>
      <c r="D150" s="270"/>
      <c r="E150" s="269"/>
      <c r="F150" s="269"/>
      <c r="G150" s="269"/>
      <c r="H150" s="269"/>
      <c r="I150" s="269"/>
      <c r="J150" s="271"/>
      <c r="K150" s="272"/>
      <c r="L150" s="269"/>
      <c r="M150" s="273"/>
      <c r="N150" s="269"/>
      <c r="O150" s="269"/>
      <c r="P150" s="274"/>
      <c r="Q150" s="270"/>
      <c r="R150" s="61"/>
      <c r="S150" s="269"/>
      <c r="T150" s="269"/>
      <c r="U150" s="269"/>
      <c r="V150" s="269"/>
      <c r="W150" s="269"/>
      <c r="X150" s="271"/>
      <c r="Y150" s="272"/>
      <c r="Z150" s="272"/>
      <c r="AA150" s="272"/>
      <c r="AB150" s="272"/>
    </row>
    <row r="151" spans="1:28" ht="15" customHeight="1" x14ac:dyDescent="0.25">
      <c r="A151" s="269"/>
      <c r="B151" s="269"/>
      <c r="C151" s="269"/>
      <c r="D151" s="270"/>
      <c r="E151" s="269"/>
      <c r="F151" s="269"/>
      <c r="G151" s="269"/>
      <c r="H151" s="269"/>
      <c r="I151" s="269"/>
      <c r="J151" s="271"/>
      <c r="K151" s="272"/>
      <c r="L151" s="269"/>
      <c r="M151" s="273"/>
      <c r="N151" s="269"/>
      <c r="O151" s="269"/>
      <c r="P151" s="274"/>
      <c r="Q151" s="270"/>
      <c r="R151" s="61"/>
      <c r="S151" s="269"/>
      <c r="T151" s="269"/>
      <c r="U151" s="269"/>
      <c r="V151" s="269"/>
      <c r="W151" s="269"/>
      <c r="X151" s="271"/>
      <c r="Y151" s="272"/>
      <c r="Z151" s="272"/>
      <c r="AA151" s="272"/>
      <c r="AB151" s="272"/>
    </row>
    <row r="152" spans="1:28" ht="15" customHeight="1" x14ac:dyDescent="0.25">
      <c r="A152" s="269"/>
      <c r="B152" s="269"/>
      <c r="C152" s="269"/>
      <c r="D152" s="270"/>
      <c r="E152" s="269"/>
      <c r="F152" s="269"/>
      <c r="G152" s="269"/>
      <c r="H152" s="269"/>
      <c r="I152" s="269"/>
      <c r="J152" s="271"/>
      <c r="K152" s="272"/>
      <c r="L152" s="269"/>
      <c r="M152" s="273"/>
      <c r="N152" s="269"/>
      <c r="O152" s="269"/>
      <c r="P152" s="274"/>
      <c r="Q152" s="270"/>
      <c r="R152" s="61"/>
      <c r="S152" s="269"/>
      <c r="T152" s="269"/>
      <c r="U152" s="269"/>
      <c r="V152" s="269"/>
      <c r="W152" s="269"/>
      <c r="X152" s="271"/>
      <c r="Y152" s="272"/>
      <c r="Z152" s="272"/>
      <c r="AA152" s="272"/>
      <c r="AB152" s="272"/>
    </row>
    <row r="153" spans="1:28" ht="15" customHeight="1" x14ac:dyDescent="0.25">
      <c r="A153" s="269"/>
      <c r="B153" s="269"/>
      <c r="C153" s="269"/>
      <c r="D153" s="270"/>
      <c r="E153" s="269"/>
      <c r="F153" s="269"/>
      <c r="G153" s="269"/>
      <c r="H153" s="269"/>
      <c r="I153" s="269"/>
      <c r="J153" s="271"/>
      <c r="K153" s="272"/>
      <c r="L153" s="269"/>
      <c r="M153" s="273"/>
      <c r="N153" s="269"/>
      <c r="O153" s="269"/>
      <c r="P153" s="274"/>
      <c r="Q153" s="270"/>
      <c r="R153" s="61"/>
      <c r="S153" s="269"/>
      <c r="T153" s="269"/>
      <c r="U153" s="269"/>
      <c r="V153" s="269"/>
      <c r="W153" s="269"/>
      <c r="X153" s="271"/>
      <c r="Y153" s="272"/>
      <c r="Z153" s="272"/>
      <c r="AA153" s="272"/>
      <c r="AB153" s="272"/>
    </row>
    <row r="154" spans="1:28" ht="15" customHeight="1" x14ac:dyDescent="0.25">
      <c r="A154" s="269"/>
      <c r="B154" s="269"/>
      <c r="C154" s="269"/>
      <c r="D154" s="270"/>
      <c r="E154" s="269"/>
      <c r="F154" s="269"/>
      <c r="G154" s="269"/>
      <c r="H154" s="269"/>
      <c r="I154" s="269"/>
      <c r="J154" s="271"/>
      <c r="K154" s="272"/>
      <c r="L154" s="269"/>
      <c r="M154" s="273"/>
      <c r="N154" s="269"/>
      <c r="O154" s="269"/>
      <c r="P154" s="274"/>
      <c r="Q154" s="270"/>
      <c r="R154" s="61"/>
      <c r="S154" s="269"/>
      <c r="T154" s="269"/>
      <c r="U154" s="269"/>
      <c r="V154" s="269"/>
      <c r="W154" s="269"/>
      <c r="X154" s="271"/>
      <c r="Y154" s="272"/>
      <c r="Z154" s="272"/>
      <c r="AA154" s="272"/>
      <c r="AB154" s="272"/>
    </row>
    <row r="155" spans="1:28" ht="15" customHeight="1" x14ac:dyDescent="0.25">
      <c r="A155" s="269"/>
      <c r="B155" s="269"/>
      <c r="C155" s="269"/>
      <c r="D155" s="270"/>
      <c r="E155" s="269"/>
      <c r="F155" s="269"/>
      <c r="G155" s="269"/>
      <c r="H155" s="269"/>
      <c r="I155" s="269"/>
      <c r="J155" s="271"/>
      <c r="K155" s="272"/>
      <c r="L155" s="269"/>
      <c r="M155" s="273"/>
      <c r="N155" s="269"/>
      <c r="O155" s="269"/>
      <c r="P155" s="274"/>
      <c r="Q155" s="270"/>
      <c r="R155" s="61"/>
      <c r="S155" s="269"/>
      <c r="T155" s="269"/>
      <c r="U155" s="269"/>
      <c r="V155" s="269"/>
      <c r="W155" s="269"/>
      <c r="X155" s="271"/>
      <c r="Y155" s="272"/>
      <c r="Z155" s="272"/>
      <c r="AA155" s="272"/>
      <c r="AB155" s="272"/>
    </row>
    <row r="156" spans="1:28" ht="15" customHeight="1" x14ac:dyDescent="0.25">
      <c r="A156" s="269"/>
      <c r="B156" s="269"/>
      <c r="C156" s="269"/>
      <c r="D156" s="270"/>
      <c r="E156" s="269"/>
      <c r="F156" s="269"/>
      <c r="G156" s="269"/>
      <c r="H156" s="269"/>
      <c r="I156" s="269"/>
      <c r="J156" s="271"/>
      <c r="K156" s="272"/>
      <c r="L156" s="269"/>
      <c r="M156" s="273"/>
      <c r="N156" s="269"/>
      <c r="O156" s="269"/>
      <c r="P156" s="274"/>
      <c r="Q156" s="270"/>
      <c r="R156" s="61"/>
      <c r="S156" s="269"/>
      <c r="T156" s="269"/>
      <c r="U156" s="269"/>
      <c r="V156" s="269"/>
      <c r="W156" s="269"/>
      <c r="X156" s="271"/>
      <c r="Y156" s="272"/>
      <c r="Z156" s="272"/>
      <c r="AA156" s="272"/>
      <c r="AB156" s="272"/>
    </row>
    <row r="157" spans="1:28" ht="15" customHeight="1" x14ac:dyDescent="0.25">
      <c r="A157" s="269"/>
      <c r="B157" s="269"/>
      <c r="C157" s="269"/>
      <c r="D157" s="270"/>
      <c r="E157" s="269"/>
      <c r="F157" s="269"/>
      <c r="G157" s="269"/>
      <c r="H157" s="269"/>
      <c r="I157" s="269"/>
      <c r="J157" s="271"/>
      <c r="K157" s="272"/>
      <c r="L157" s="269"/>
      <c r="M157" s="273"/>
      <c r="N157" s="269"/>
      <c r="O157" s="269"/>
      <c r="P157" s="274"/>
      <c r="Q157" s="270"/>
      <c r="R157" s="61"/>
      <c r="S157" s="269"/>
      <c r="T157" s="269"/>
      <c r="U157" s="269"/>
      <c r="V157" s="269"/>
      <c r="W157" s="269"/>
      <c r="X157" s="271"/>
      <c r="Y157" s="272"/>
      <c r="Z157" s="272"/>
      <c r="AA157" s="272"/>
      <c r="AB157" s="272"/>
    </row>
    <row r="158" spans="1:28" ht="15" customHeight="1" x14ac:dyDescent="0.25">
      <c r="A158" s="269"/>
      <c r="B158" s="269"/>
      <c r="C158" s="269"/>
      <c r="D158" s="270"/>
      <c r="E158" s="269"/>
      <c r="F158" s="269"/>
      <c r="G158" s="269"/>
      <c r="H158" s="269"/>
      <c r="I158" s="269"/>
      <c r="J158" s="271"/>
      <c r="K158" s="272"/>
      <c r="L158" s="269"/>
      <c r="M158" s="273"/>
      <c r="N158" s="269"/>
      <c r="O158" s="269"/>
      <c r="P158" s="274"/>
      <c r="Q158" s="270"/>
      <c r="R158" s="61"/>
      <c r="S158" s="269"/>
      <c r="T158" s="269"/>
      <c r="U158" s="269"/>
      <c r="V158" s="269"/>
      <c r="W158" s="269"/>
      <c r="X158" s="271"/>
      <c r="Y158" s="272"/>
      <c r="Z158" s="272"/>
      <c r="AA158" s="272"/>
      <c r="AB158" s="272"/>
    </row>
    <row r="159" spans="1:28" ht="15" customHeight="1" x14ac:dyDescent="0.25">
      <c r="A159" s="269"/>
      <c r="B159" s="269"/>
      <c r="C159" s="269"/>
      <c r="D159" s="270"/>
      <c r="E159" s="269"/>
      <c r="F159" s="269"/>
      <c r="G159" s="269"/>
      <c r="H159" s="269"/>
      <c r="I159" s="269"/>
      <c r="J159" s="271"/>
      <c r="K159" s="272"/>
      <c r="L159" s="269"/>
      <c r="M159" s="273"/>
      <c r="N159" s="269"/>
      <c r="O159" s="269"/>
      <c r="P159" s="274"/>
      <c r="Q159" s="270"/>
      <c r="R159" s="61"/>
      <c r="S159" s="269"/>
      <c r="T159" s="269"/>
      <c r="U159" s="269"/>
      <c r="V159" s="269"/>
      <c r="W159" s="269"/>
      <c r="X159" s="271"/>
      <c r="Y159" s="272"/>
      <c r="Z159" s="272"/>
      <c r="AA159" s="272"/>
      <c r="AB159" s="272"/>
    </row>
    <row r="160" spans="1:28" ht="15" customHeight="1" x14ac:dyDescent="0.25">
      <c r="A160" s="269"/>
      <c r="B160" s="269"/>
      <c r="C160" s="269"/>
      <c r="D160" s="270"/>
      <c r="E160" s="269"/>
      <c r="F160" s="269"/>
      <c r="G160" s="269"/>
      <c r="H160" s="269"/>
      <c r="I160" s="269"/>
      <c r="J160" s="271"/>
      <c r="K160" s="272"/>
      <c r="L160" s="269"/>
      <c r="M160" s="273"/>
      <c r="N160" s="269"/>
      <c r="O160" s="269"/>
      <c r="P160" s="274"/>
      <c r="Q160" s="270"/>
      <c r="R160" s="61"/>
      <c r="S160" s="269"/>
      <c r="T160" s="269"/>
      <c r="U160" s="269"/>
      <c r="V160" s="269"/>
      <c r="W160" s="269"/>
      <c r="X160" s="271"/>
      <c r="Y160" s="272"/>
      <c r="Z160" s="272"/>
      <c r="AA160" s="272"/>
      <c r="AB160" s="272"/>
    </row>
    <row r="161" spans="1:28" ht="15" customHeight="1" x14ac:dyDescent="0.25">
      <c r="A161" s="269"/>
      <c r="B161" s="269"/>
      <c r="C161" s="269"/>
      <c r="D161" s="270"/>
      <c r="E161" s="269"/>
      <c r="F161" s="269"/>
      <c r="G161" s="269"/>
      <c r="H161" s="269"/>
      <c r="I161" s="269"/>
      <c r="J161" s="271"/>
      <c r="K161" s="272"/>
      <c r="L161" s="269"/>
      <c r="M161" s="273"/>
      <c r="N161" s="269"/>
      <c r="O161" s="269"/>
      <c r="P161" s="274"/>
      <c r="Q161" s="270"/>
      <c r="R161" s="61"/>
      <c r="S161" s="269"/>
      <c r="T161" s="269"/>
      <c r="U161" s="269"/>
      <c r="V161" s="269"/>
      <c r="W161" s="269"/>
      <c r="X161" s="271"/>
      <c r="Y161" s="272"/>
      <c r="Z161" s="272"/>
      <c r="AA161" s="272"/>
      <c r="AB161" s="272"/>
    </row>
    <row r="162" spans="1:28" ht="15" customHeight="1" x14ac:dyDescent="0.25">
      <c r="A162" s="269"/>
      <c r="B162" s="269"/>
      <c r="C162" s="269"/>
      <c r="D162" s="270"/>
      <c r="E162" s="269"/>
      <c r="F162" s="269"/>
      <c r="G162" s="269"/>
      <c r="H162" s="269"/>
      <c r="I162" s="269"/>
      <c r="J162" s="271"/>
      <c r="K162" s="272"/>
      <c r="L162" s="269"/>
      <c r="M162" s="273"/>
      <c r="N162" s="269"/>
      <c r="O162" s="269"/>
      <c r="P162" s="274"/>
      <c r="Q162" s="270"/>
      <c r="R162" s="61"/>
      <c r="S162" s="269"/>
      <c r="T162" s="269"/>
      <c r="U162" s="269"/>
      <c r="V162" s="269"/>
      <c r="W162" s="269"/>
      <c r="X162" s="271"/>
      <c r="Y162" s="272"/>
      <c r="Z162" s="272"/>
      <c r="AA162" s="272"/>
      <c r="AB162" s="272"/>
    </row>
    <row r="163" spans="1:28" ht="15" customHeight="1" x14ac:dyDescent="0.25">
      <c r="A163" s="269"/>
      <c r="B163" s="269"/>
      <c r="C163" s="269"/>
      <c r="D163" s="270"/>
      <c r="E163" s="269"/>
      <c r="F163" s="269"/>
      <c r="G163" s="269"/>
      <c r="H163" s="269"/>
      <c r="I163" s="269"/>
      <c r="J163" s="271"/>
      <c r="K163" s="272"/>
      <c r="L163" s="269"/>
      <c r="M163" s="273"/>
      <c r="N163" s="269"/>
      <c r="O163" s="269"/>
      <c r="P163" s="274"/>
      <c r="Q163" s="270"/>
      <c r="R163" s="61"/>
      <c r="S163" s="269"/>
      <c r="T163" s="269"/>
      <c r="U163" s="269"/>
      <c r="V163" s="269"/>
      <c r="W163" s="269"/>
      <c r="X163" s="271"/>
      <c r="Y163" s="272"/>
      <c r="Z163" s="272"/>
      <c r="AA163" s="272"/>
      <c r="AB163" s="272"/>
    </row>
    <row r="164" spans="1:28" ht="15" customHeight="1" x14ac:dyDescent="0.25">
      <c r="A164" s="269"/>
      <c r="B164" s="269"/>
      <c r="C164" s="269"/>
      <c r="D164" s="270"/>
      <c r="E164" s="269"/>
      <c r="F164" s="269"/>
      <c r="G164" s="269"/>
      <c r="H164" s="269"/>
      <c r="I164" s="269"/>
      <c r="J164" s="271"/>
      <c r="K164" s="272"/>
      <c r="L164" s="269"/>
      <c r="M164" s="273"/>
      <c r="N164" s="269"/>
      <c r="O164" s="269"/>
      <c r="P164" s="274"/>
      <c r="Q164" s="270"/>
      <c r="R164" s="61"/>
      <c r="S164" s="269"/>
      <c r="T164" s="269"/>
      <c r="U164" s="269"/>
      <c r="V164" s="269"/>
      <c r="W164" s="269"/>
      <c r="X164" s="271"/>
      <c r="Y164" s="272"/>
      <c r="Z164" s="272"/>
      <c r="AA164" s="272"/>
      <c r="AB164" s="272"/>
    </row>
    <row r="165" spans="1:28" ht="15" customHeight="1" x14ac:dyDescent="0.25">
      <c r="A165" s="269"/>
      <c r="B165" s="269"/>
      <c r="C165" s="269"/>
      <c r="D165" s="270"/>
      <c r="E165" s="269"/>
      <c r="F165" s="269"/>
      <c r="G165" s="269"/>
      <c r="H165" s="269"/>
      <c r="I165" s="269"/>
      <c r="J165" s="271"/>
      <c r="K165" s="272"/>
      <c r="L165" s="269"/>
      <c r="M165" s="273"/>
      <c r="N165" s="269"/>
      <c r="O165" s="269"/>
      <c r="P165" s="274"/>
      <c r="Q165" s="270"/>
      <c r="R165" s="61"/>
      <c r="S165" s="269"/>
      <c r="T165" s="269"/>
      <c r="U165" s="269"/>
      <c r="V165" s="269"/>
      <c r="W165" s="269"/>
      <c r="X165" s="271"/>
      <c r="Y165" s="272"/>
      <c r="Z165" s="272"/>
      <c r="AA165" s="272"/>
      <c r="AB165" s="272"/>
    </row>
    <row r="166" spans="1:28" ht="15" customHeight="1" x14ac:dyDescent="0.25">
      <c r="A166" s="269"/>
      <c r="B166" s="269"/>
      <c r="C166" s="269"/>
      <c r="D166" s="270"/>
      <c r="E166" s="269"/>
      <c r="F166" s="269"/>
      <c r="G166" s="269"/>
      <c r="H166" s="269"/>
      <c r="I166" s="269"/>
      <c r="J166" s="271"/>
      <c r="K166" s="272"/>
      <c r="L166" s="269"/>
      <c r="M166" s="273"/>
      <c r="N166" s="269"/>
      <c r="O166" s="269"/>
      <c r="P166" s="274"/>
      <c r="Q166" s="270"/>
      <c r="R166" s="61"/>
      <c r="S166" s="269"/>
      <c r="T166" s="269"/>
      <c r="U166" s="269"/>
      <c r="V166" s="269"/>
      <c r="W166" s="269"/>
      <c r="X166" s="271"/>
      <c r="Y166" s="272"/>
      <c r="Z166" s="272"/>
      <c r="AA166" s="272"/>
      <c r="AB166" s="272"/>
    </row>
    <row r="167" spans="1:28" ht="15" customHeight="1" x14ac:dyDescent="0.25">
      <c r="A167" s="269"/>
      <c r="B167" s="269"/>
      <c r="C167" s="269"/>
      <c r="D167" s="270"/>
      <c r="E167" s="269"/>
      <c r="F167" s="269"/>
      <c r="G167" s="269"/>
      <c r="H167" s="269"/>
      <c r="I167" s="269"/>
      <c r="J167" s="271"/>
      <c r="K167" s="272"/>
      <c r="L167" s="269"/>
      <c r="M167" s="273"/>
      <c r="N167" s="269"/>
      <c r="O167" s="269"/>
      <c r="P167" s="274"/>
      <c r="Q167" s="270"/>
      <c r="R167" s="61"/>
      <c r="S167" s="269"/>
      <c r="T167" s="269"/>
      <c r="U167" s="269"/>
      <c r="V167" s="269"/>
      <c r="W167" s="269"/>
      <c r="X167" s="271"/>
      <c r="Y167" s="272"/>
      <c r="Z167" s="272"/>
      <c r="AA167" s="272"/>
      <c r="AB167" s="272"/>
    </row>
    <row r="168" spans="1:28" ht="15" customHeight="1" x14ac:dyDescent="0.25">
      <c r="A168" s="269"/>
      <c r="B168" s="269"/>
      <c r="C168" s="269"/>
      <c r="D168" s="270"/>
      <c r="E168" s="269"/>
      <c r="F168" s="269"/>
      <c r="G168" s="269"/>
      <c r="H168" s="269"/>
      <c r="I168" s="269"/>
      <c r="J168" s="271"/>
      <c r="K168" s="272"/>
      <c r="L168" s="269"/>
      <c r="M168" s="273"/>
      <c r="N168" s="269"/>
      <c r="O168" s="269"/>
      <c r="P168" s="274"/>
      <c r="Q168" s="270"/>
      <c r="R168" s="61"/>
      <c r="S168" s="269"/>
      <c r="T168" s="269"/>
      <c r="U168" s="269"/>
      <c r="V168" s="269"/>
      <c r="W168" s="269"/>
      <c r="X168" s="271"/>
      <c r="Y168" s="272"/>
      <c r="Z168" s="272"/>
      <c r="AA168" s="272"/>
      <c r="AB168" s="272"/>
    </row>
    <row r="169" spans="1:28" ht="15" customHeight="1" x14ac:dyDescent="0.25">
      <c r="A169" s="269"/>
      <c r="B169" s="269"/>
      <c r="C169" s="269"/>
      <c r="D169" s="270"/>
      <c r="E169" s="269"/>
      <c r="F169" s="269"/>
      <c r="G169" s="269"/>
      <c r="H169" s="269"/>
      <c r="I169" s="269"/>
      <c r="J169" s="271"/>
      <c r="K169" s="272"/>
      <c r="L169" s="269"/>
      <c r="M169" s="273"/>
      <c r="N169" s="269"/>
      <c r="O169" s="269"/>
      <c r="P169" s="274"/>
      <c r="Q169" s="270"/>
      <c r="R169" s="61"/>
      <c r="S169" s="269"/>
      <c r="T169" s="269"/>
      <c r="U169" s="269"/>
      <c r="V169" s="269"/>
      <c r="W169" s="269"/>
      <c r="X169" s="271"/>
      <c r="Y169" s="272"/>
      <c r="Z169" s="272"/>
      <c r="AA169" s="272"/>
      <c r="AB169" s="272"/>
    </row>
    <row r="170" spans="1:28" ht="15" customHeight="1" x14ac:dyDescent="0.25">
      <c r="A170" s="269"/>
      <c r="B170" s="269"/>
      <c r="C170" s="269"/>
      <c r="D170" s="270"/>
      <c r="E170" s="269"/>
      <c r="F170" s="269"/>
      <c r="G170" s="269"/>
      <c r="H170" s="269"/>
      <c r="I170" s="269"/>
      <c r="J170" s="271"/>
      <c r="K170" s="272"/>
      <c r="L170" s="269"/>
      <c r="M170" s="273"/>
      <c r="N170" s="269"/>
      <c r="O170" s="269"/>
      <c r="P170" s="274"/>
      <c r="Q170" s="270"/>
      <c r="R170" s="61"/>
      <c r="S170" s="269"/>
      <c r="T170" s="269"/>
      <c r="U170" s="269"/>
      <c r="V170" s="269"/>
      <c r="W170" s="269"/>
      <c r="X170" s="271"/>
      <c r="Y170" s="272"/>
      <c r="Z170" s="272"/>
      <c r="AA170" s="272"/>
      <c r="AB170" s="272"/>
    </row>
    <row r="171" spans="1:28" ht="15" customHeight="1" x14ac:dyDescent="0.25">
      <c r="A171" s="269"/>
      <c r="B171" s="269"/>
      <c r="C171" s="269"/>
      <c r="D171" s="270"/>
      <c r="E171" s="269"/>
      <c r="F171" s="269"/>
      <c r="G171" s="269"/>
      <c r="H171" s="269"/>
      <c r="I171" s="269"/>
      <c r="J171" s="271"/>
      <c r="K171" s="272"/>
      <c r="L171" s="269"/>
      <c r="M171" s="273"/>
      <c r="N171" s="269"/>
      <c r="O171" s="269"/>
      <c r="P171" s="274"/>
      <c r="Q171" s="270"/>
      <c r="R171" s="61"/>
      <c r="S171" s="269"/>
      <c r="T171" s="269"/>
      <c r="U171" s="269"/>
      <c r="V171" s="269"/>
      <c r="W171" s="269"/>
      <c r="X171" s="271"/>
      <c r="Y171" s="272"/>
      <c r="Z171" s="272"/>
      <c r="AA171" s="272"/>
      <c r="AB171" s="272"/>
    </row>
    <row r="172" spans="1:28" ht="15" customHeight="1" x14ac:dyDescent="0.25">
      <c r="A172" s="269"/>
      <c r="B172" s="269"/>
      <c r="C172" s="269"/>
      <c r="D172" s="270"/>
      <c r="E172" s="269"/>
      <c r="F172" s="269"/>
      <c r="G172" s="269"/>
      <c r="H172" s="269"/>
      <c r="I172" s="269"/>
      <c r="J172" s="271"/>
      <c r="K172" s="272"/>
      <c r="L172" s="269"/>
      <c r="M172" s="273"/>
      <c r="N172" s="269"/>
      <c r="O172" s="269"/>
      <c r="P172" s="274"/>
      <c r="Q172" s="270"/>
      <c r="R172" s="61"/>
      <c r="S172" s="269"/>
      <c r="T172" s="269"/>
      <c r="U172" s="269"/>
      <c r="V172" s="269"/>
      <c r="W172" s="269"/>
      <c r="X172" s="271"/>
      <c r="Y172" s="272"/>
      <c r="Z172" s="272"/>
      <c r="AA172" s="272"/>
      <c r="AB172" s="272"/>
    </row>
    <row r="173" spans="1:28" ht="15" customHeight="1" x14ac:dyDescent="0.25">
      <c r="A173" s="269"/>
      <c r="B173" s="269"/>
      <c r="C173" s="269"/>
      <c r="D173" s="270"/>
      <c r="E173" s="269"/>
      <c r="F173" s="269"/>
      <c r="G173" s="269"/>
      <c r="H173" s="269"/>
      <c r="I173" s="269"/>
      <c r="J173" s="271"/>
      <c r="K173" s="272"/>
      <c r="L173" s="269"/>
      <c r="M173" s="273"/>
      <c r="N173" s="269"/>
      <c r="O173" s="269"/>
      <c r="P173" s="274"/>
      <c r="Q173" s="270"/>
      <c r="R173" s="61"/>
      <c r="S173" s="269"/>
      <c r="T173" s="269"/>
      <c r="U173" s="269"/>
      <c r="V173" s="269"/>
      <c r="W173" s="269"/>
      <c r="X173" s="271"/>
      <c r="Y173" s="272"/>
      <c r="Z173" s="272"/>
      <c r="AA173" s="272"/>
      <c r="AB173" s="272"/>
    </row>
    <row r="174" spans="1:28" ht="15" customHeight="1" x14ac:dyDescent="0.25">
      <c r="A174" s="269"/>
      <c r="B174" s="269"/>
      <c r="C174" s="269"/>
      <c r="D174" s="270"/>
      <c r="E174" s="269"/>
      <c r="F174" s="269"/>
      <c r="G174" s="269"/>
      <c r="H174" s="269"/>
      <c r="I174" s="269"/>
      <c r="J174" s="271"/>
      <c r="K174" s="272"/>
      <c r="L174" s="269"/>
      <c r="M174" s="273"/>
      <c r="N174" s="269"/>
      <c r="O174" s="269"/>
      <c r="P174" s="274"/>
      <c r="Q174" s="270"/>
      <c r="R174" s="61"/>
      <c r="S174" s="269"/>
      <c r="T174" s="269"/>
      <c r="U174" s="269"/>
      <c r="V174" s="269"/>
      <c r="W174" s="269"/>
      <c r="X174" s="271"/>
      <c r="Y174" s="272"/>
      <c r="Z174" s="272"/>
      <c r="AA174" s="272"/>
      <c r="AB174" s="272"/>
    </row>
    <row r="175" spans="1:28" ht="15" customHeight="1" x14ac:dyDescent="0.25">
      <c r="A175" s="269"/>
      <c r="B175" s="269"/>
      <c r="C175" s="269"/>
      <c r="D175" s="270"/>
      <c r="E175" s="269"/>
      <c r="F175" s="269"/>
      <c r="G175" s="269"/>
      <c r="H175" s="269"/>
      <c r="I175" s="269"/>
      <c r="J175" s="271"/>
      <c r="K175" s="272"/>
      <c r="L175" s="269"/>
      <c r="M175" s="273"/>
      <c r="N175" s="269"/>
      <c r="O175" s="269"/>
      <c r="P175" s="274"/>
      <c r="Q175" s="270"/>
      <c r="R175" s="61"/>
      <c r="S175" s="269"/>
      <c r="T175" s="269"/>
      <c r="U175" s="269"/>
      <c r="V175" s="269"/>
      <c r="W175" s="269"/>
      <c r="X175" s="271"/>
      <c r="Y175" s="272"/>
      <c r="Z175" s="272"/>
      <c r="AA175" s="272"/>
      <c r="AB175" s="272"/>
    </row>
    <row r="176" spans="1:28" ht="15" customHeight="1" x14ac:dyDescent="0.25">
      <c r="A176" s="269"/>
      <c r="B176" s="269"/>
      <c r="C176" s="269"/>
      <c r="D176" s="270"/>
      <c r="E176" s="269"/>
      <c r="F176" s="269"/>
      <c r="G176" s="269"/>
      <c r="H176" s="269"/>
      <c r="I176" s="269"/>
      <c r="J176" s="271"/>
      <c r="K176" s="272"/>
      <c r="L176" s="269"/>
      <c r="M176" s="273"/>
      <c r="N176" s="269"/>
      <c r="O176" s="269"/>
      <c r="P176" s="274"/>
      <c r="Q176" s="270"/>
      <c r="R176" s="61"/>
      <c r="S176" s="269"/>
      <c r="T176" s="269"/>
      <c r="U176" s="269"/>
      <c r="V176" s="269"/>
      <c r="W176" s="269"/>
      <c r="X176" s="271"/>
      <c r="Y176" s="272"/>
      <c r="Z176" s="272"/>
      <c r="AA176" s="272"/>
      <c r="AB176" s="272"/>
    </row>
    <row r="177" spans="1:28" ht="15" customHeight="1" x14ac:dyDescent="0.25">
      <c r="A177" s="269"/>
      <c r="B177" s="269"/>
      <c r="C177" s="269"/>
      <c r="D177" s="270"/>
      <c r="E177" s="269"/>
      <c r="F177" s="269"/>
      <c r="G177" s="269"/>
      <c r="H177" s="269"/>
      <c r="I177" s="269"/>
      <c r="J177" s="271"/>
      <c r="K177" s="272"/>
      <c r="L177" s="269"/>
      <c r="M177" s="273"/>
      <c r="N177" s="269"/>
      <c r="O177" s="269"/>
      <c r="P177" s="274"/>
      <c r="Q177" s="270"/>
      <c r="R177" s="61"/>
      <c r="S177" s="269"/>
      <c r="T177" s="269"/>
      <c r="U177" s="269"/>
      <c r="V177" s="269"/>
      <c r="W177" s="269"/>
      <c r="X177" s="271"/>
      <c r="Y177" s="272"/>
      <c r="Z177" s="272"/>
      <c r="AA177" s="272"/>
      <c r="AB177" s="272"/>
    </row>
    <row r="178" spans="1:28" ht="15" customHeight="1" x14ac:dyDescent="0.25">
      <c r="A178" s="269"/>
      <c r="B178" s="269"/>
      <c r="C178" s="269"/>
      <c r="D178" s="270"/>
      <c r="E178" s="269"/>
      <c r="F178" s="269"/>
      <c r="G178" s="269"/>
      <c r="H178" s="269"/>
      <c r="I178" s="269"/>
      <c r="J178" s="271"/>
      <c r="K178" s="272"/>
      <c r="L178" s="269"/>
      <c r="M178" s="273"/>
      <c r="N178" s="269"/>
      <c r="O178" s="269"/>
      <c r="P178" s="274"/>
      <c r="Q178" s="270"/>
      <c r="R178" s="61"/>
      <c r="S178" s="269"/>
      <c r="T178" s="269"/>
      <c r="U178" s="269"/>
      <c r="V178" s="269"/>
      <c r="W178" s="269"/>
      <c r="X178" s="271"/>
      <c r="Y178" s="272"/>
      <c r="Z178" s="272"/>
      <c r="AA178" s="272"/>
      <c r="AB178" s="272"/>
    </row>
    <row r="179" spans="1:28" ht="15" customHeight="1" x14ac:dyDescent="0.25">
      <c r="A179" s="269"/>
      <c r="B179" s="269"/>
      <c r="C179" s="269"/>
      <c r="D179" s="270"/>
      <c r="E179" s="269"/>
      <c r="F179" s="269"/>
      <c r="G179" s="269"/>
      <c r="H179" s="269"/>
      <c r="I179" s="269"/>
      <c r="J179" s="271"/>
      <c r="K179" s="272"/>
      <c r="L179" s="269"/>
      <c r="M179" s="273"/>
      <c r="N179" s="269"/>
      <c r="O179" s="269"/>
      <c r="P179" s="274"/>
      <c r="Q179" s="270"/>
      <c r="R179" s="61"/>
      <c r="S179" s="269"/>
      <c r="T179" s="269"/>
      <c r="U179" s="269"/>
      <c r="V179" s="269"/>
      <c r="W179" s="269"/>
      <c r="X179" s="271"/>
      <c r="Y179" s="272"/>
      <c r="Z179" s="272"/>
      <c r="AA179" s="272"/>
      <c r="AB179" s="272"/>
    </row>
    <row r="180" spans="1:28" ht="15" customHeight="1" x14ac:dyDescent="0.25">
      <c r="A180" s="269"/>
      <c r="B180" s="269"/>
      <c r="C180" s="269"/>
      <c r="D180" s="270"/>
      <c r="E180" s="269"/>
      <c r="F180" s="269"/>
      <c r="G180" s="269"/>
      <c r="H180" s="269"/>
      <c r="I180" s="269"/>
      <c r="J180" s="271"/>
      <c r="K180" s="272"/>
      <c r="L180" s="269"/>
      <c r="M180" s="273"/>
      <c r="N180" s="269"/>
      <c r="O180" s="269"/>
      <c r="P180" s="274"/>
      <c r="Q180" s="270"/>
      <c r="R180" s="61"/>
      <c r="S180" s="269"/>
      <c r="T180" s="269"/>
      <c r="U180" s="269"/>
      <c r="V180" s="269"/>
      <c r="W180" s="269"/>
      <c r="X180" s="271"/>
      <c r="Y180" s="272"/>
      <c r="Z180" s="272"/>
      <c r="AA180" s="272"/>
      <c r="AB180" s="272"/>
    </row>
    <row r="181" spans="1:28" ht="15" customHeight="1" x14ac:dyDescent="0.25">
      <c r="A181" s="269"/>
      <c r="B181" s="269"/>
      <c r="C181" s="269"/>
      <c r="D181" s="270"/>
      <c r="E181" s="269"/>
      <c r="F181" s="269"/>
      <c r="G181" s="269"/>
      <c r="H181" s="269"/>
      <c r="I181" s="269"/>
      <c r="J181" s="271"/>
      <c r="K181" s="272"/>
      <c r="L181" s="269"/>
      <c r="M181" s="273"/>
      <c r="N181" s="269"/>
      <c r="O181" s="269"/>
      <c r="P181" s="274"/>
      <c r="Q181" s="270"/>
      <c r="R181" s="61"/>
      <c r="S181" s="269"/>
      <c r="T181" s="269"/>
      <c r="U181" s="269"/>
      <c r="V181" s="269"/>
      <c r="W181" s="269"/>
      <c r="X181" s="271"/>
      <c r="Y181" s="272"/>
      <c r="Z181" s="272"/>
      <c r="AA181" s="272"/>
      <c r="AB181" s="272"/>
    </row>
    <row r="182" spans="1:28" ht="15" customHeight="1" x14ac:dyDescent="0.25">
      <c r="A182" s="269"/>
      <c r="B182" s="269"/>
      <c r="C182" s="269"/>
      <c r="D182" s="270"/>
      <c r="E182" s="269"/>
      <c r="F182" s="269"/>
      <c r="G182" s="269"/>
      <c r="H182" s="269"/>
      <c r="I182" s="269"/>
      <c r="J182" s="271"/>
      <c r="K182" s="272"/>
      <c r="L182" s="269"/>
      <c r="M182" s="273"/>
      <c r="N182" s="269"/>
      <c r="O182" s="269"/>
      <c r="P182" s="274"/>
      <c r="Q182" s="270"/>
      <c r="R182" s="61"/>
      <c r="S182" s="269"/>
      <c r="T182" s="269"/>
      <c r="U182" s="269"/>
      <c r="V182" s="269"/>
      <c r="W182" s="269"/>
      <c r="X182" s="271"/>
      <c r="Y182" s="272"/>
      <c r="Z182" s="272"/>
      <c r="AA182" s="272"/>
      <c r="AB182" s="272"/>
    </row>
    <row r="183" spans="1:28" ht="15" customHeight="1" x14ac:dyDescent="0.25">
      <c r="A183" s="269"/>
      <c r="B183" s="269"/>
      <c r="C183" s="269"/>
      <c r="D183" s="270"/>
      <c r="E183" s="269"/>
      <c r="F183" s="269"/>
      <c r="G183" s="269"/>
      <c r="H183" s="269"/>
      <c r="I183" s="269"/>
      <c r="J183" s="271"/>
      <c r="K183" s="272"/>
      <c r="L183" s="269"/>
      <c r="M183" s="273"/>
      <c r="N183" s="269"/>
      <c r="O183" s="269"/>
      <c r="P183" s="274"/>
      <c r="Q183" s="270"/>
      <c r="R183" s="61"/>
      <c r="S183" s="269"/>
      <c r="T183" s="269"/>
      <c r="U183" s="269"/>
      <c r="V183" s="269"/>
      <c r="W183" s="269"/>
      <c r="X183" s="271"/>
      <c r="Y183" s="272"/>
      <c r="Z183" s="272"/>
      <c r="AA183" s="272"/>
      <c r="AB183" s="272"/>
    </row>
    <row r="184" spans="1:28" ht="15" customHeight="1" x14ac:dyDescent="0.25">
      <c r="A184" s="269"/>
      <c r="B184" s="269"/>
      <c r="C184" s="269"/>
      <c r="D184" s="270"/>
      <c r="E184" s="269"/>
      <c r="F184" s="269"/>
      <c r="G184" s="269"/>
      <c r="H184" s="269"/>
      <c r="I184" s="269"/>
      <c r="J184" s="271"/>
      <c r="K184" s="272"/>
      <c r="L184" s="269"/>
      <c r="M184" s="273"/>
      <c r="N184" s="269"/>
      <c r="O184" s="269"/>
      <c r="P184" s="274"/>
      <c r="Q184" s="270"/>
      <c r="R184" s="61"/>
      <c r="S184" s="269"/>
      <c r="T184" s="269"/>
      <c r="U184" s="269"/>
      <c r="V184" s="269"/>
      <c r="W184" s="269"/>
      <c r="X184" s="271"/>
      <c r="Y184" s="272"/>
      <c r="Z184" s="272"/>
      <c r="AA184" s="272"/>
      <c r="AB184" s="272"/>
    </row>
    <row r="185" spans="1:28" ht="15" customHeight="1" x14ac:dyDescent="0.25">
      <c r="A185" s="269"/>
      <c r="B185" s="269"/>
      <c r="C185" s="269"/>
      <c r="D185" s="270"/>
      <c r="E185" s="269"/>
      <c r="F185" s="269"/>
      <c r="G185" s="269"/>
      <c r="H185" s="269"/>
      <c r="I185" s="269"/>
      <c r="J185" s="271"/>
      <c r="K185" s="272"/>
      <c r="L185" s="269"/>
      <c r="M185" s="273"/>
      <c r="N185" s="269"/>
      <c r="O185" s="269"/>
      <c r="P185" s="274"/>
      <c r="Q185" s="270"/>
      <c r="R185" s="61"/>
      <c r="S185" s="269"/>
      <c r="T185" s="269"/>
      <c r="U185" s="269"/>
      <c r="V185" s="269"/>
      <c r="W185" s="269"/>
      <c r="X185" s="271"/>
      <c r="Y185" s="272"/>
      <c r="Z185" s="272"/>
      <c r="AA185" s="272"/>
      <c r="AB185" s="272"/>
    </row>
    <row r="186" spans="1:28" ht="15" customHeight="1" x14ac:dyDescent="0.25">
      <c r="A186" s="269"/>
      <c r="B186" s="269"/>
      <c r="C186" s="269"/>
      <c r="D186" s="270"/>
      <c r="E186" s="269"/>
      <c r="F186" s="269"/>
      <c r="G186" s="269"/>
      <c r="H186" s="269"/>
      <c r="I186" s="269"/>
      <c r="J186" s="271"/>
      <c r="K186" s="272"/>
      <c r="L186" s="269"/>
      <c r="M186" s="273"/>
      <c r="N186" s="269"/>
      <c r="O186" s="269"/>
      <c r="P186" s="274"/>
      <c r="Q186" s="270"/>
      <c r="R186" s="61"/>
      <c r="S186" s="269"/>
      <c r="T186" s="269"/>
      <c r="U186" s="269"/>
      <c r="V186" s="269"/>
      <c r="W186" s="269"/>
      <c r="X186" s="271"/>
      <c r="Y186" s="272"/>
      <c r="Z186" s="272"/>
      <c r="AA186" s="272"/>
      <c r="AB186" s="272"/>
    </row>
    <row r="187" spans="1:28" ht="15" customHeight="1" x14ac:dyDescent="0.25">
      <c r="A187" s="269"/>
      <c r="B187" s="269"/>
      <c r="C187" s="269"/>
      <c r="D187" s="270"/>
      <c r="E187" s="269"/>
      <c r="F187" s="269"/>
      <c r="G187" s="269"/>
      <c r="H187" s="269"/>
      <c r="I187" s="269"/>
      <c r="J187" s="271"/>
      <c r="K187" s="272"/>
      <c r="L187" s="269"/>
      <c r="M187" s="273"/>
      <c r="N187" s="269"/>
      <c r="O187" s="269"/>
      <c r="P187" s="274"/>
      <c r="Q187" s="270"/>
      <c r="R187" s="61"/>
      <c r="S187" s="269"/>
      <c r="T187" s="269"/>
      <c r="U187" s="269"/>
      <c r="V187" s="269"/>
      <c r="W187" s="269"/>
      <c r="X187" s="271"/>
      <c r="Y187" s="272"/>
      <c r="Z187" s="272"/>
      <c r="AA187" s="272"/>
      <c r="AB187" s="272"/>
    </row>
    <row r="188" spans="1:28" ht="15" customHeight="1" x14ac:dyDescent="0.25">
      <c r="A188" s="269"/>
      <c r="B188" s="269"/>
      <c r="C188" s="269"/>
      <c r="D188" s="270"/>
      <c r="E188" s="269"/>
      <c r="F188" s="269"/>
      <c r="G188" s="269"/>
      <c r="H188" s="269"/>
      <c r="I188" s="269"/>
      <c r="J188" s="271"/>
      <c r="K188" s="272"/>
      <c r="L188" s="269"/>
      <c r="M188" s="273"/>
      <c r="N188" s="269"/>
      <c r="O188" s="269"/>
      <c r="P188" s="274"/>
      <c r="Q188" s="270"/>
      <c r="R188" s="61"/>
      <c r="S188" s="269"/>
      <c r="T188" s="269"/>
      <c r="U188" s="269"/>
      <c r="V188" s="269"/>
      <c r="W188" s="269"/>
      <c r="X188" s="271"/>
      <c r="Y188" s="272"/>
      <c r="Z188" s="272"/>
      <c r="AA188" s="272"/>
      <c r="AB188" s="272"/>
    </row>
    <row r="189" spans="1:28" ht="15" customHeight="1" x14ac:dyDescent="0.25">
      <c r="A189" s="269"/>
      <c r="B189" s="269"/>
      <c r="C189" s="269"/>
      <c r="D189" s="270"/>
      <c r="E189" s="269"/>
      <c r="F189" s="269"/>
      <c r="G189" s="269"/>
      <c r="H189" s="269"/>
      <c r="I189" s="269"/>
      <c r="J189" s="271"/>
      <c r="K189" s="272"/>
      <c r="L189" s="269"/>
      <c r="M189" s="273"/>
      <c r="N189" s="269"/>
      <c r="O189" s="269"/>
      <c r="P189" s="274"/>
      <c r="Q189" s="270"/>
      <c r="R189" s="61"/>
      <c r="S189" s="269"/>
      <c r="T189" s="269"/>
      <c r="U189" s="269"/>
      <c r="V189" s="269"/>
      <c r="W189" s="269"/>
      <c r="X189" s="271"/>
      <c r="Y189" s="272"/>
      <c r="Z189" s="272"/>
      <c r="AA189" s="272"/>
      <c r="AB189" s="272"/>
    </row>
    <row r="190" spans="1:28" ht="15" customHeight="1" x14ac:dyDescent="0.25">
      <c r="A190" s="269"/>
      <c r="B190" s="269"/>
      <c r="C190" s="269"/>
      <c r="D190" s="270"/>
      <c r="E190" s="269"/>
      <c r="F190" s="269"/>
      <c r="G190" s="269"/>
      <c r="H190" s="269"/>
      <c r="I190" s="269"/>
      <c r="J190" s="271"/>
      <c r="K190" s="272"/>
      <c r="L190" s="269"/>
      <c r="M190" s="273"/>
      <c r="N190" s="269"/>
      <c r="O190" s="269"/>
      <c r="P190" s="274"/>
      <c r="Q190" s="270"/>
      <c r="R190" s="61"/>
      <c r="S190" s="269"/>
      <c r="T190" s="269"/>
      <c r="U190" s="269"/>
      <c r="V190" s="269"/>
      <c r="W190" s="269"/>
      <c r="X190" s="271"/>
      <c r="Y190" s="272"/>
      <c r="Z190" s="272"/>
      <c r="AA190" s="272"/>
      <c r="AB190" s="272"/>
    </row>
    <row r="191" spans="1:28" ht="15" customHeight="1" x14ac:dyDescent="0.25">
      <c r="A191" s="269"/>
      <c r="B191" s="269"/>
      <c r="C191" s="269"/>
      <c r="D191" s="270"/>
      <c r="E191" s="269"/>
      <c r="F191" s="269"/>
      <c r="G191" s="269"/>
      <c r="H191" s="269"/>
      <c r="I191" s="269"/>
      <c r="J191" s="271"/>
      <c r="K191" s="272"/>
      <c r="L191" s="269"/>
      <c r="M191" s="273"/>
      <c r="N191" s="269"/>
      <c r="O191" s="269"/>
      <c r="P191" s="274"/>
      <c r="Q191" s="270"/>
      <c r="R191" s="61"/>
      <c r="S191" s="269"/>
      <c r="T191" s="269"/>
      <c r="U191" s="269"/>
      <c r="V191" s="269"/>
      <c r="W191" s="269"/>
      <c r="X191" s="271"/>
      <c r="Y191" s="272"/>
      <c r="Z191" s="272"/>
      <c r="AA191" s="272"/>
      <c r="AB191" s="272"/>
    </row>
    <row r="192" spans="1:28" ht="15" customHeight="1" x14ac:dyDescent="0.25">
      <c r="A192" s="269"/>
      <c r="B192" s="269"/>
      <c r="C192" s="269"/>
      <c r="D192" s="270"/>
      <c r="E192" s="269"/>
      <c r="F192" s="269"/>
      <c r="G192" s="269"/>
      <c r="H192" s="269"/>
      <c r="I192" s="269"/>
      <c r="J192" s="271"/>
      <c r="K192" s="272"/>
      <c r="L192" s="269"/>
      <c r="M192" s="273"/>
      <c r="N192" s="269"/>
      <c r="O192" s="269"/>
      <c r="P192" s="274"/>
      <c r="Q192" s="270"/>
      <c r="R192" s="61"/>
      <c r="S192" s="269"/>
      <c r="T192" s="269"/>
      <c r="U192" s="269"/>
      <c r="V192" s="269"/>
      <c r="W192" s="269"/>
      <c r="X192" s="271"/>
      <c r="Y192" s="272"/>
      <c r="Z192" s="272"/>
      <c r="AA192" s="272"/>
      <c r="AB192" s="272"/>
    </row>
    <row r="193" spans="1:28" ht="15" customHeight="1" x14ac:dyDescent="0.25">
      <c r="A193" s="269"/>
      <c r="B193" s="269"/>
      <c r="C193" s="269"/>
      <c r="D193" s="270"/>
      <c r="E193" s="269"/>
      <c r="F193" s="269"/>
      <c r="G193" s="269"/>
      <c r="H193" s="269"/>
      <c r="I193" s="269"/>
      <c r="J193" s="271"/>
      <c r="K193" s="272"/>
      <c r="L193" s="269"/>
      <c r="M193" s="273"/>
      <c r="N193" s="269"/>
      <c r="O193" s="269"/>
      <c r="P193" s="274"/>
      <c r="Q193" s="270"/>
      <c r="R193" s="61"/>
      <c r="S193" s="269"/>
      <c r="T193" s="269"/>
      <c r="U193" s="269"/>
      <c r="V193" s="269"/>
      <c r="W193" s="269"/>
      <c r="X193" s="271"/>
      <c r="Y193" s="272"/>
      <c r="Z193" s="272"/>
      <c r="AA193" s="272"/>
      <c r="AB193" s="272"/>
    </row>
    <row r="194" spans="1:28" ht="15" customHeight="1" x14ac:dyDescent="0.25">
      <c r="A194" s="269"/>
      <c r="B194" s="269"/>
      <c r="C194" s="269"/>
      <c r="D194" s="270"/>
      <c r="E194" s="269"/>
      <c r="F194" s="269"/>
      <c r="G194" s="269"/>
      <c r="H194" s="269"/>
      <c r="I194" s="269"/>
      <c r="J194" s="271"/>
      <c r="K194" s="272"/>
      <c r="L194" s="269"/>
      <c r="M194" s="273"/>
      <c r="N194" s="269"/>
      <c r="O194" s="269"/>
      <c r="P194" s="274"/>
      <c r="Q194" s="270"/>
      <c r="R194" s="61"/>
      <c r="S194" s="269"/>
      <c r="T194" s="269"/>
      <c r="U194" s="269"/>
      <c r="V194" s="269"/>
      <c r="W194" s="269"/>
      <c r="X194" s="271"/>
      <c r="Y194" s="272"/>
      <c r="Z194" s="272"/>
      <c r="AA194" s="272"/>
      <c r="AB194" s="272"/>
    </row>
    <row r="195" spans="1:28" ht="15" customHeight="1" x14ac:dyDescent="0.25">
      <c r="A195" s="269"/>
      <c r="B195" s="269"/>
      <c r="C195" s="269"/>
      <c r="D195" s="270"/>
      <c r="E195" s="269"/>
      <c r="F195" s="269"/>
      <c r="G195" s="269"/>
      <c r="H195" s="269"/>
      <c r="I195" s="269"/>
      <c r="J195" s="271"/>
      <c r="K195" s="272"/>
      <c r="L195" s="269"/>
      <c r="M195" s="273"/>
      <c r="N195" s="269"/>
      <c r="O195" s="269"/>
      <c r="P195" s="274"/>
      <c r="Q195" s="270"/>
      <c r="R195" s="61"/>
      <c r="S195" s="269"/>
      <c r="T195" s="269"/>
      <c r="U195" s="269"/>
      <c r="V195" s="269"/>
      <c r="W195" s="269"/>
      <c r="X195" s="271"/>
      <c r="Y195" s="272"/>
      <c r="Z195" s="272"/>
      <c r="AA195" s="272"/>
      <c r="AB195" s="272"/>
    </row>
    <row r="196" spans="1:28" ht="15" customHeight="1" x14ac:dyDescent="0.25">
      <c r="A196" s="269"/>
      <c r="B196" s="269"/>
      <c r="C196" s="269"/>
      <c r="D196" s="270"/>
      <c r="E196" s="269"/>
      <c r="F196" s="269"/>
      <c r="G196" s="269"/>
      <c r="H196" s="269"/>
      <c r="I196" s="269"/>
      <c r="J196" s="271"/>
      <c r="K196" s="272"/>
      <c r="L196" s="269"/>
      <c r="M196" s="273"/>
      <c r="N196" s="269"/>
      <c r="O196" s="269"/>
      <c r="P196" s="274"/>
      <c r="Q196" s="270"/>
      <c r="R196" s="61"/>
      <c r="S196" s="269"/>
      <c r="T196" s="269"/>
      <c r="U196" s="269"/>
      <c r="V196" s="269"/>
      <c r="W196" s="269"/>
      <c r="X196" s="271"/>
      <c r="Y196" s="272"/>
      <c r="Z196" s="272"/>
      <c r="AA196" s="272"/>
      <c r="AB196" s="272"/>
    </row>
    <row r="197" spans="1:28" ht="15" customHeight="1" x14ac:dyDescent="0.25">
      <c r="A197" s="269"/>
      <c r="B197" s="269"/>
      <c r="C197" s="269"/>
      <c r="D197" s="270"/>
      <c r="E197" s="269"/>
      <c r="F197" s="269"/>
      <c r="G197" s="269"/>
      <c r="H197" s="269"/>
      <c r="I197" s="269"/>
      <c r="J197" s="271"/>
      <c r="K197" s="272"/>
      <c r="L197" s="269"/>
      <c r="M197" s="273"/>
      <c r="N197" s="269"/>
      <c r="O197" s="269"/>
      <c r="P197" s="274"/>
      <c r="Q197" s="270"/>
      <c r="R197" s="61"/>
      <c r="S197" s="269"/>
      <c r="T197" s="269"/>
      <c r="U197" s="269"/>
      <c r="V197" s="269"/>
      <c r="W197" s="269"/>
      <c r="X197" s="271"/>
      <c r="Y197" s="272"/>
      <c r="Z197" s="272"/>
      <c r="AA197" s="272"/>
      <c r="AB197" s="272"/>
    </row>
    <row r="198" spans="1:28" ht="15" customHeight="1" x14ac:dyDescent="0.25">
      <c r="A198" s="269"/>
      <c r="B198" s="269"/>
      <c r="C198" s="269"/>
      <c r="D198" s="270"/>
      <c r="E198" s="269"/>
      <c r="F198" s="269"/>
      <c r="G198" s="269"/>
      <c r="H198" s="269"/>
      <c r="I198" s="269"/>
      <c r="J198" s="271"/>
      <c r="K198" s="272"/>
      <c r="L198" s="269"/>
      <c r="M198" s="273"/>
      <c r="N198" s="269"/>
      <c r="O198" s="269"/>
      <c r="P198" s="274"/>
      <c r="Q198" s="270"/>
      <c r="R198" s="61"/>
      <c r="S198" s="269"/>
      <c r="T198" s="269"/>
      <c r="U198" s="269"/>
      <c r="V198" s="269"/>
      <c r="W198" s="269"/>
      <c r="X198" s="271"/>
      <c r="Y198" s="272"/>
      <c r="Z198" s="272"/>
      <c r="AA198" s="272"/>
      <c r="AB198" s="272"/>
    </row>
    <row r="199" spans="1:28" ht="15" customHeight="1" x14ac:dyDescent="0.25">
      <c r="A199" s="269"/>
      <c r="B199" s="269"/>
      <c r="C199" s="269"/>
      <c r="D199" s="270"/>
      <c r="E199" s="269"/>
      <c r="F199" s="269"/>
      <c r="G199" s="269"/>
      <c r="H199" s="269"/>
      <c r="I199" s="269"/>
      <c r="J199" s="271"/>
      <c r="K199" s="272"/>
      <c r="L199" s="269"/>
      <c r="M199" s="273"/>
      <c r="N199" s="269"/>
      <c r="O199" s="269"/>
      <c r="P199" s="274"/>
      <c r="Q199" s="270"/>
      <c r="R199" s="61"/>
      <c r="S199" s="269"/>
      <c r="T199" s="269"/>
      <c r="U199" s="269"/>
      <c r="V199" s="269"/>
      <c r="W199" s="269"/>
      <c r="X199" s="271"/>
      <c r="Y199" s="272"/>
      <c r="Z199" s="272"/>
      <c r="AA199" s="272"/>
      <c r="AB199" s="272"/>
    </row>
    <row r="200" spans="1:28" ht="15" customHeight="1" x14ac:dyDescent="0.25">
      <c r="A200" s="269"/>
      <c r="B200" s="269"/>
      <c r="C200" s="269"/>
      <c r="D200" s="270"/>
      <c r="E200" s="269"/>
      <c r="F200" s="269"/>
      <c r="G200" s="269"/>
      <c r="H200" s="269"/>
      <c r="I200" s="269"/>
      <c r="J200" s="271"/>
      <c r="K200" s="272"/>
      <c r="L200" s="269"/>
      <c r="M200" s="273"/>
      <c r="N200" s="269"/>
      <c r="O200" s="269"/>
      <c r="P200" s="274"/>
      <c r="Q200" s="270"/>
      <c r="R200" s="61"/>
      <c r="S200" s="269"/>
      <c r="T200" s="269"/>
      <c r="U200" s="269"/>
      <c r="V200" s="269"/>
      <c r="W200" s="269"/>
      <c r="X200" s="271"/>
      <c r="Y200" s="272"/>
      <c r="Z200" s="272"/>
      <c r="AA200" s="272"/>
      <c r="AB200" s="272"/>
    </row>
    <row r="201" spans="1:28" ht="15" customHeight="1" x14ac:dyDescent="0.25">
      <c r="A201" s="269"/>
      <c r="B201" s="269"/>
      <c r="C201" s="269"/>
      <c r="D201" s="270"/>
      <c r="E201" s="269"/>
      <c r="F201" s="269"/>
      <c r="G201" s="269"/>
      <c r="H201" s="269"/>
      <c r="I201" s="269"/>
      <c r="J201" s="271"/>
      <c r="K201" s="272"/>
      <c r="L201" s="269"/>
      <c r="M201" s="273"/>
      <c r="N201" s="269"/>
      <c r="O201" s="269"/>
      <c r="P201" s="274"/>
      <c r="Q201" s="270"/>
      <c r="R201" s="61"/>
      <c r="S201" s="269"/>
      <c r="T201" s="269"/>
      <c r="U201" s="269"/>
      <c r="V201" s="269"/>
      <c r="W201" s="269"/>
      <c r="X201" s="271"/>
      <c r="Y201" s="272"/>
      <c r="Z201" s="272"/>
      <c r="AA201" s="272"/>
      <c r="AB201" s="272"/>
    </row>
    <row r="202" spans="1:28" ht="15" customHeight="1" x14ac:dyDescent="0.25">
      <c r="A202" s="269"/>
      <c r="B202" s="269"/>
      <c r="C202" s="269"/>
      <c r="D202" s="270"/>
      <c r="E202" s="269"/>
      <c r="F202" s="269"/>
      <c r="G202" s="269"/>
      <c r="H202" s="269"/>
      <c r="I202" s="269"/>
      <c r="J202" s="271"/>
      <c r="K202" s="272"/>
      <c r="L202" s="269"/>
      <c r="M202" s="273"/>
      <c r="N202" s="269"/>
      <c r="O202" s="269"/>
      <c r="P202" s="274"/>
      <c r="Q202" s="270"/>
      <c r="R202" s="61"/>
      <c r="S202" s="269"/>
      <c r="T202" s="269"/>
      <c r="U202" s="269"/>
      <c r="V202" s="269"/>
      <c r="W202" s="269"/>
      <c r="X202" s="271"/>
      <c r="Y202" s="272"/>
      <c r="Z202" s="272"/>
      <c r="AA202" s="272"/>
      <c r="AB202" s="272"/>
    </row>
    <row r="203" spans="1:28" ht="15" customHeight="1" x14ac:dyDescent="0.25">
      <c r="A203" s="269"/>
      <c r="B203" s="269"/>
      <c r="C203" s="269"/>
      <c r="D203" s="270"/>
      <c r="E203" s="269"/>
      <c r="F203" s="269"/>
      <c r="G203" s="269"/>
      <c r="H203" s="269"/>
      <c r="I203" s="269"/>
      <c r="J203" s="271"/>
      <c r="K203" s="272"/>
      <c r="L203" s="269"/>
      <c r="M203" s="273"/>
      <c r="N203" s="269"/>
      <c r="O203" s="269"/>
      <c r="P203" s="274"/>
      <c r="Q203" s="270"/>
      <c r="R203" s="61"/>
      <c r="S203" s="269"/>
      <c r="T203" s="269"/>
      <c r="U203" s="269"/>
      <c r="V203" s="269"/>
      <c r="W203" s="269"/>
      <c r="X203" s="271"/>
      <c r="Y203" s="272"/>
      <c r="Z203" s="272"/>
      <c r="AA203" s="272"/>
      <c r="AB203" s="272"/>
    </row>
    <row r="204" spans="1:28" ht="15" customHeight="1" x14ac:dyDescent="0.25">
      <c r="A204" s="269"/>
      <c r="B204" s="269"/>
      <c r="C204" s="269"/>
      <c r="D204" s="270"/>
      <c r="E204" s="269"/>
      <c r="F204" s="269"/>
      <c r="G204" s="269"/>
      <c r="H204" s="269"/>
      <c r="I204" s="269"/>
      <c r="J204" s="271"/>
      <c r="K204" s="272"/>
      <c r="L204" s="269"/>
      <c r="M204" s="273"/>
      <c r="N204" s="269"/>
      <c r="O204" s="269"/>
      <c r="P204" s="274"/>
      <c r="Q204" s="270"/>
      <c r="R204" s="61"/>
      <c r="S204" s="269"/>
      <c r="T204" s="269"/>
      <c r="U204" s="269"/>
      <c r="V204" s="269"/>
      <c r="W204" s="269"/>
      <c r="X204" s="271"/>
      <c r="Y204" s="272"/>
      <c r="Z204" s="272"/>
      <c r="AA204" s="272"/>
      <c r="AB204" s="272"/>
    </row>
    <row r="205" spans="1:28" ht="15" customHeight="1" x14ac:dyDescent="0.25">
      <c r="A205" s="269"/>
      <c r="B205" s="269"/>
      <c r="C205" s="269"/>
      <c r="D205" s="270"/>
      <c r="E205" s="269"/>
      <c r="F205" s="269"/>
      <c r="G205" s="269"/>
      <c r="H205" s="269"/>
      <c r="I205" s="269"/>
      <c r="J205" s="271"/>
      <c r="K205" s="272"/>
      <c r="L205" s="269"/>
      <c r="M205" s="273"/>
      <c r="N205" s="269"/>
      <c r="O205" s="269"/>
      <c r="P205" s="274"/>
      <c r="Q205" s="270"/>
      <c r="R205" s="61"/>
      <c r="S205" s="269"/>
      <c r="T205" s="269"/>
      <c r="U205" s="269"/>
      <c r="V205" s="269"/>
      <c r="W205" s="269"/>
      <c r="X205" s="271"/>
      <c r="Y205" s="272"/>
      <c r="Z205" s="272"/>
      <c r="AA205" s="272"/>
      <c r="AB205" s="272"/>
    </row>
    <row r="206" spans="1:28" ht="15" customHeight="1" x14ac:dyDescent="0.25">
      <c r="A206" s="269"/>
      <c r="B206" s="269"/>
      <c r="C206" s="269"/>
      <c r="D206" s="270"/>
      <c r="E206" s="269"/>
      <c r="F206" s="269"/>
      <c r="G206" s="269"/>
      <c r="H206" s="269"/>
      <c r="I206" s="269"/>
      <c r="J206" s="271"/>
      <c r="K206" s="272"/>
      <c r="L206" s="269"/>
      <c r="M206" s="273"/>
      <c r="N206" s="269"/>
      <c r="O206" s="269"/>
      <c r="P206" s="274"/>
      <c r="Q206" s="270"/>
      <c r="R206" s="61"/>
      <c r="S206" s="269"/>
      <c r="T206" s="269"/>
      <c r="U206" s="269"/>
      <c r="V206" s="269"/>
      <c r="W206" s="269"/>
      <c r="X206" s="271"/>
      <c r="Y206" s="272"/>
      <c r="Z206" s="272"/>
      <c r="AA206" s="272"/>
      <c r="AB206" s="272"/>
    </row>
    <row r="207" spans="1:28" ht="15" customHeight="1" x14ac:dyDescent="0.25">
      <c r="A207" s="269"/>
      <c r="B207" s="269"/>
      <c r="C207" s="269"/>
      <c r="D207" s="270"/>
      <c r="E207" s="269"/>
      <c r="F207" s="269"/>
      <c r="G207" s="269"/>
      <c r="H207" s="269"/>
      <c r="I207" s="269"/>
      <c r="J207" s="271"/>
      <c r="K207" s="272"/>
      <c r="L207" s="269"/>
      <c r="M207" s="273"/>
      <c r="N207" s="269"/>
      <c r="O207" s="269"/>
      <c r="P207" s="274"/>
      <c r="Q207" s="270"/>
      <c r="R207" s="61"/>
      <c r="S207" s="269"/>
      <c r="T207" s="269"/>
      <c r="U207" s="269"/>
      <c r="V207" s="269"/>
      <c r="W207" s="269"/>
      <c r="X207" s="271"/>
      <c r="Y207" s="272"/>
      <c r="Z207" s="272"/>
      <c r="AA207" s="272"/>
      <c r="AB207" s="272"/>
    </row>
    <row r="208" spans="1:28" ht="15" customHeight="1" x14ac:dyDescent="0.25">
      <c r="A208" s="269"/>
      <c r="B208" s="269"/>
      <c r="C208" s="269"/>
      <c r="D208" s="270"/>
      <c r="E208" s="269"/>
      <c r="F208" s="269"/>
      <c r="G208" s="269"/>
      <c r="H208" s="269"/>
      <c r="I208" s="269"/>
      <c r="J208" s="271"/>
      <c r="K208" s="272"/>
      <c r="L208" s="269"/>
      <c r="M208" s="273"/>
      <c r="N208" s="269"/>
      <c r="O208" s="269"/>
      <c r="P208" s="274"/>
      <c r="Q208" s="270"/>
      <c r="R208" s="61"/>
      <c r="S208" s="269"/>
      <c r="T208" s="269"/>
      <c r="U208" s="269"/>
      <c r="V208" s="269"/>
      <c r="W208" s="269"/>
      <c r="X208" s="271"/>
      <c r="Y208" s="272"/>
      <c r="Z208" s="272"/>
      <c r="AA208" s="272"/>
      <c r="AB208" s="272"/>
    </row>
    <row r="209" spans="1:28" ht="15" customHeight="1" x14ac:dyDescent="0.25">
      <c r="A209" s="269"/>
      <c r="B209" s="269"/>
      <c r="C209" s="269"/>
      <c r="D209" s="270"/>
      <c r="E209" s="269"/>
      <c r="F209" s="269"/>
      <c r="G209" s="269"/>
      <c r="H209" s="269"/>
      <c r="I209" s="269"/>
      <c r="J209" s="271"/>
      <c r="K209" s="272"/>
      <c r="L209" s="269"/>
      <c r="M209" s="273"/>
      <c r="N209" s="269"/>
      <c r="O209" s="269"/>
      <c r="P209" s="274"/>
      <c r="Q209" s="270"/>
      <c r="R209" s="61"/>
      <c r="S209" s="269"/>
      <c r="T209" s="269"/>
      <c r="U209" s="269"/>
      <c r="V209" s="269"/>
      <c r="W209" s="269"/>
      <c r="X209" s="271"/>
      <c r="Y209" s="272"/>
      <c r="Z209" s="272"/>
      <c r="AA209" s="272"/>
      <c r="AB209" s="272"/>
    </row>
    <row r="210" spans="1:28" ht="15" customHeight="1" x14ac:dyDescent="0.25">
      <c r="A210" s="269"/>
      <c r="B210" s="269"/>
      <c r="C210" s="269"/>
      <c r="D210" s="270"/>
      <c r="E210" s="269"/>
      <c r="F210" s="269"/>
      <c r="G210" s="269"/>
      <c r="H210" s="269"/>
      <c r="I210" s="269"/>
      <c r="J210" s="271"/>
      <c r="K210" s="272"/>
      <c r="L210" s="269"/>
      <c r="M210" s="273"/>
      <c r="N210" s="269"/>
      <c r="O210" s="269"/>
      <c r="P210" s="274"/>
      <c r="Q210" s="270"/>
      <c r="R210" s="61"/>
      <c r="S210" s="269"/>
      <c r="T210" s="269"/>
      <c r="U210" s="269"/>
      <c r="V210" s="269"/>
      <c r="W210" s="269"/>
      <c r="X210" s="271"/>
      <c r="Y210" s="272"/>
      <c r="Z210" s="272"/>
      <c r="AA210" s="272"/>
      <c r="AB210" s="272"/>
    </row>
    <row r="211" spans="1:28" ht="15" customHeight="1" x14ac:dyDescent="0.25">
      <c r="A211" s="269"/>
      <c r="B211" s="269"/>
      <c r="C211" s="269"/>
      <c r="D211" s="270"/>
      <c r="E211" s="269"/>
      <c r="F211" s="269"/>
      <c r="G211" s="269"/>
      <c r="H211" s="269"/>
      <c r="I211" s="269"/>
      <c r="J211" s="271"/>
      <c r="K211" s="272"/>
      <c r="L211" s="269"/>
      <c r="M211" s="273"/>
      <c r="N211" s="269"/>
      <c r="O211" s="269"/>
      <c r="P211" s="274"/>
      <c r="Q211" s="270"/>
      <c r="R211" s="61"/>
      <c r="S211" s="269"/>
      <c r="T211" s="269"/>
      <c r="U211" s="269"/>
      <c r="V211" s="269"/>
      <c r="W211" s="269"/>
      <c r="X211" s="271"/>
      <c r="Y211" s="272"/>
      <c r="Z211" s="272"/>
      <c r="AA211" s="272"/>
      <c r="AB211" s="272"/>
    </row>
    <row r="212" spans="1:28" ht="15" customHeight="1" x14ac:dyDescent="0.25">
      <c r="A212" s="269"/>
      <c r="B212" s="269"/>
      <c r="C212" s="269"/>
      <c r="D212" s="270"/>
      <c r="E212" s="269"/>
      <c r="F212" s="269"/>
      <c r="G212" s="269"/>
      <c r="H212" s="269"/>
      <c r="I212" s="269"/>
      <c r="J212" s="271"/>
      <c r="K212" s="272"/>
      <c r="L212" s="269"/>
      <c r="M212" s="273"/>
      <c r="N212" s="269"/>
      <c r="O212" s="269"/>
      <c r="P212" s="274"/>
      <c r="Q212" s="270"/>
      <c r="R212" s="61"/>
      <c r="S212" s="269"/>
      <c r="T212" s="269"/>
      <c r="U212" s="269"/>
      <c r="V212" s="269"/>
      <c r="W212" s="269"/>
      <c r="X212" s="271"/>
      <c r="Y212" s="272"/>
      <c r="Z212" s="272"/>
      <c r="AA212" s="272"/>
      <c r="AB212" s="272"/>
    </row>
    <row r="213" spans="1:28" ht="15" customHeight="1" x14ac:dyDescent="0.25">
      <c r="A213" s="269"/>
      <c r="B213" s="269"/>
      <c r="C213" s="269"/>
      <c r="D213" s="270"/>
      <c r="E213" s="269"/>
      <c r="F213" s="269"/>
      <c r="G213" s="269"/>
      <c r="H213" s="269"/>
      <c r="I213" s="269"/>
      <c r="J213" s="271"/>
      <c r="K213" s="272"/>
      <c r="L213" s="269"/>
      <c r="M213" s="273"/>
      <c r="N213" s="269"/>
      <c r="O213" s="269"/>
      <c r="P213" s="274"/>
      <c r="Q213" s="270"/>
      <c r="R213" s="61"/>
      <c r="S213" s="269"/>
      <c r="T213" s="269"/>
      <c r="U213" s="269"/>
      <c r="V213" s="269"/>
      <c r="W213" s="269"/>
      <c r="X213" s="271"/>
      <c r="Y213" s="272"/>
      <c r="Z213" s="272"/>
      <c r="AA213" s="272"/>
      <c r="AB213" s="272"/>
    </row>
    <row r="214" spans="1:28" ht="15" customHeight="1" x14ac:dyDescent="0.25">
      <c r="A214" s="269"/>
      <c r="B214" s="269"/>
      <c r="C214" s="269"/>
      <c r="D214" s="270"/>
      <c r="E214" s="269"/>
      <c r="F214" s="269"/>
      <c r="G214" s="269"/>
      <c r="H214" s="269"/>
      <c r="I214" s="269"/>
      <c r="J214" s="271"/>
      <c r="K214" s="272"/>
      <c r="L214" s="269"/>
      <c r="M214" s="273"/>
      <c r="N214" s="269"/>
      <c r="O214" s="269"/>
      <c r="P214" s="274"/>
      <c r="Q214" s="270"/>
      <c r="R214" s="61"/>
      <c r="S214" s="269"/>
      <c r="T214" s="269"/>
      <c r="U214" s="269"/>
      <c r="V214" s="269"/>
      <c r="W214" s="269"/>
      <c r="X214" s="271"/>
      <c r="Y214" s="272"/>
      <c r="Z214" s="272"/>
      <c r="AA214" s="272"/>
      <c r="AB214" s="272"/>
    </row>
    <row r="215" spans="1:28" ht="15" customHeight="1" x14ac:dyDescent="0.25">
      <c r="A215" s="269"/>
      <c r="B215" s="269"/>
      <c r="C215" s="269"/>
      <c r="D215" s="270"/>
      <c r="E215" s="269"/>
      <c r="F215" s="269"/>
      <c r="G215" s="269"/>
      <c r="H215" s="269"/>
      <c r="I215" s="269"/>
      <c r="J215" s="271"/>
      <c r="K215" s="272"/>
      <c r="L215" s="269"/>
      <c r="M215" s="273"/>
      <c r="N215" s="269"/>
      <c r="O215" s="269"/>
      <c r="P215" s="274"/>
      <c r="Q215" s="270"/>
      <c r="R215" s="61"/>
      <c r="S215" s="269"/>
      <c r="T215" s="269"/>
      <c r="U215" s="269"/>
      <c r="V215" s="269"/>
      <c r="W215" s="269"/>
      <c r="X215" s="271"/>
      <c r="Y215" s="272"/>
      <c r="Z215" s="272"/>
      <c r="AA215" s="272"/>
      <c r="AB215" s="272"/>
    </row>
    <row r="216" spans="1:28" ht="15" customHeight="1" x14ac:dyDescent="0.25">
      <c r="A216" s="269"/>
      <c r="B216" s="269"/>
      <c r="C216" s="269"/>
      <c r="D216" s="270"/>
      <c r="E216" s="269"/>
      <c r="F216" s="269"/>
      <c r="G216" s="269"/>
      <c r="H216" s="269"/>
      <c r="I216" s="269"/>
      <c r="J216" s="271"/>
      <c r="K216" s="272"/>
      <c r="L216" s="269"/>
      <c r="M216" s="273"/>
      <c r="N216" s="269"/>
      <c r="O216" s="269"/>
      <c r="P216" s="274"/>
      <c r="Q216" s="270"/>
      <c r="R216" s="61"/>
      <c r="S216" s="269"/>
      <c r="T216" s="269"/>
      <c r="U216" s="269"/>
      <c r="V216" s="269"/>
      <c r="W216" s="269"/>
      <c r="X216" s="271"/>
      <c r="Y216" s="272"/>
      <c r="Z216" s="272"/>
      <c r="AA216" s="272"/>
      <c r="AB216" s="272"/>
    </row>
    <row r="217" spans="1:28" ht="15" customHeight="1" x14ac:dyDescent="0.25">
      <c r="A217" s="269"/>
      <c r="B217" s="269"/>
      <c r="C217" s="269"/>
      <c r="D217" s="270"/>
      <c r="E217" s="269"/>
      <c r="F217" s="269"/>
      <c r="G217" s="269"/>
      <c r="H217" s="269"/>
      <c r="I217" s="269"/>
      <c r="J217" s="271"/>
      <c r="K217" s="272"/>
      <c r="L217" s="269"/>
      <c r="M217" s="273"/>
      <c r="N217" s="269"/>
      <c r="O217" s="269"/>
      <c r="P217" s="274"/>
      <c r="Q217" s="270"/>
      <c r="R217" s="61"/>
      <c r="S217" s="269"/>
      <c r="T217" s="269"/>
      <c r="U217" s="269"/>
      <c r="V217" s="269"/>
      <c r="W217" s="269"/>
      <c r="X217" s="271"/>
      <c r="Y217" s="272"/>
      <c r="Z217" s="272"/>
      <c r="AA217" s="272"/>
      <c r="AB217" s="272"/>
    </row>
    <row r="218" spans="1:28" ht="15" customHeight="1" x14ac:dyDescent="0.25">
      <c r="A218" s="269"/>
      <c r="B218" s="269"/>
      <c r="C218" s="269"/>
      <c r="D218" s="270"/>
      <c r="E218" s="269"/>
      <c r="F218" s="269"/>
      <c r="G218" s="269"/>
      <c r="H218" s="269"/>
      <c r="I218" s="269"/>
      <c r="J218" s="271"/>
      <c r="K218" s="272"/>
      <c r="L218" s="269"/>
      <c r="M218" s="273"/>
      <c r="N218" s="269"/>
      <c r="O218" s="269"/>
      <c r="P218" s="274"/>
      <c r="Q218" s="270"/>
      <c r="R218" s="61"/>
      <c r="S218" s="269"/>
      <c r="T218" s="269"/>
      <c r="U218" s="269"/>
      <c r="V218" s="269"/>
      <c r="W218" s="269"/>
      <c r="X218" s="271"/>
      <c r="Y218" s="272"/>
      <c r="Z218" s="272"/>
      <c r="AA218" s="272"/>
      <c r="AB218" s="272"/>
    </row>
    <row r="219" spans="1:28" ht="15" customHeight="1" x14ac:dyDescent="0.25">
      <c r="A219" s="269"/>
      <c r="B219" s="269"/>
      <c r="C219" s="269"/>
      <c r="D219" s="270"/>
      <c r="E219" s="269"/>
      <c r="F219" s="269"/>
      <c r="G219" s="269"/>
      <c r="H219" s="269"/>
      <c r="I219" s="269"/>
      <c r="J219" s="271"/>
      <c r="K219" s="272"/>
      <c r="L219" s="269"/>
      <c r="M219" s="273"/>
      <c r="N219" s="269"/>
      <c r="O219" s="269"/>
      <c r="P219" s="274"/>
      <c r="Q219" s="270"/>
      <c r="R219" s="61"/>
      <c r="S219" s="269"/>
      <c r="T219" s="269"/>
      <c r="U219" s="269"/>
      <c r="V219" s="269"/>
      <c r="W219" s="269"/>
      <c r="X219" s="271"/>
      <c r="Y219" s="272"/>
      <c r="Z219" s="272"/>
      <c r="AA219" s="272"/>
      <c r="AB219" s="272"/>
    </row>
    <row r="220" spans="1:28" ht="15" customHeight="1" x14ac:dyDescent="0.25">
      <c r="A220" s="269"/>
      <c r="B220" s="269"/>
      <c r="C220" s="269"/>
      <c r="D220" s="270"/>
      <c r="E220" s="269"/>
      <c r="F220" s="269"/>
      <c r="G220" s="269"/>
      <c r="H220" s="269"/>
      <c r="I220" s="269"/>
      <c r="J220" s="271"/>
      <c r="K220" s="272"/>
      <c r="L220" s="269"/>
      <c r="M220" s="273"/>
      <c r="N220" s="269"/>
      <c r="O220" s="269"/>
      <c r="P220" s="274"/>
      <c r="Q220" s="270"/>
      <c r="R220" s="61"/>
      <c r="S220" s="269"/>
      <c r="T220" s="269"/>
      <c r="U220" s="269"/>
      <c r="V220" s="269"/>
      <c r="W220" s="269"/>
      <c r="X220" s="271"/>
      <c r="Y220" s="272"/>
      <c r="Z220" s="272"/>
      <c r="AA220" s="272"/>
      <c r="AB220" s="272"/>
    </row>
    <row r="221" spans="1:28" ht="15" customHeight="1" x14ac:dyDescent="0.25">
      <c r="A221" s="269"/>
      <c r="B221" s="269"/>
      <c r="C221" s="269"/>
      <c r="D221" s="270"/>
      <c r="E221" s="269"/>
      <c r="F221" s="269"/>
      <c r="G221" s="269"/>
      <c r="H221" s="269"/>
      <c r="I221" s="269"/>
      <c r="J221" s="271"/>
      <c r="K221" s="272"/>
      <c r="L221" s="269"/>
      <c r="M221" s="273"/>
      <c r="N221" s="269"/>
      <c r="O221" s="269"/>
      <c r="P221" s="274"/>
      <c r="Q221" s="270"/>
      <c r="R221" s="61"/>
      <c r="S221" s="269"/>
      <c r="T221" s="269"/>
      <c r="U221" s="269"/>
      <c r="V221" s="269"/>
      <c r="W221" s="269"/>
      <c r="X221" s="271"/>
      <c r="Y221" s="272"/>
      <c r="Z221" s="272"/>
      <c r="AA221" s="272"/>
      <c r="AB221" s="272"/>
    </row>
    <row r="222" spans="1:28" ht="15" customHeight="1" x14ac:dyDescent="0.25">
      <c r="A222" s="269"/>
      <c r="B222" s="269"/>
      <c r="C222" s="269"/>
      <c r="D222" s="270"/>
      <c r="E222" s="269"/>
      <c r="F222" s="269"/>
      <c r="G222" s="269"/>
      <c r="H222" s="269"/>
      <c r="I222" s="269"/>
      <c r="J222" s="271"/>
      <c r="K222" s="272"/>
      <c r="L222" s="269"/>
      <c r="M222" s="273"/>
      <c r="N222" s="269"/>
      <c r="O222" s="269"/>
      <c r="P222" s="274"/>
      <c r="Q222" s="270"/>
      <c r="R222" s="61"/>
      <c r="S222" s="269"/>
      <c r="T222" s="269"/>
      <c r="U222" s="269"/>
      <c r="V222" s="269"/>
      <c r="W222" s="269"/>
      <c r="X222" s="271"/>
      <c r="Y222" s="272"/>
      <c r="Z222" s="272"/>
      <c r="AA222" s="272"/>
      <c r="AB222" s="272"/>
    </row>
    <row r="223" spans="1:28" ht="15" customHeight="1" x14ac:dyDescent="0.25">
      <c r="A223" s="269"/>
      <c r="B223" s="269"/>
      <c r="C223" s="269"/>
      <c r="D223" s="270"/>
      <c r="E223" s="269"/>
      <c r="F223" s="269"/>
      <c r="G223" s="269"/>
      <c r="H223" s="269"/>
      <c r="I223" s="269"/>
      <c r="J223" s="271"/>
      <c r="K223" s="272"/>
      <c r="L223" s="269"/>
      <c r="M223" s="273"/>
      <c r="N223" s="269"/>
      <c r="O223" s="269"/>
      <c r="P223" s="274"/>
      <c r="Q223" s="270"/>
      <c r="R223" s="61"/>
      <c r="S223" s="269"/>
      <c r="T223" s="269"/>
      <c r="U223" s="269"/>
      <c r="V223" s="269"/>
      <c r="W223" s="269"/>
      <c r="X223" s="271"/>
      <c r="Y223" s="272"/>
      <c r="Z223" s="272"/>
      <c r="AA223" s="272"/>
      <c r="AB223" s="272"/>
    </row>
    <row r="224" spans="1:28" ht="15" customHeight="1" x14ac:dyDescent="0.25">
      <c r="A224" s="269"/>
      <c r="B224" s="269"/>
      <c r="C224" s="269"/>
      <c r="D224" s="270"/>
      <c r="E224" s="269"/>
      <c r="F224" s="269"/>
      <c r="G224" s="269"/>
      <c r="H224" s="269"/>
      <c r="I224" s="269"/>
      <c r="J224" s="271"/>
      <c r="K224" s="272"/>
      <c r="L224" s="269"/>
      <c r="M224" s="273"/>
      <c r="N224" s="269"/>
      <c r="O224" s="269"/>
      <c r="P224" s="274"/>
      <c r="Q224" s="270"/>
      <c r="R224" s="61"/>
      <c r="S224" s="269"/>
      <c r="T224" s="269"/>
      <c r="U224" s="269"/>
      <c r="V224" s="269"/>
      <c r="W224" s="269"/>
      <c r="X224" s="271"/>
      <c r="Y224" s="272"/>
      <c r="Z224" s="272"/>
      <c r="AA224" s="272"/>
      <c r="AB224" s="272"/>
    </row>
    <row r="225" spans="1:28" ht="15" customHeight="1" x14ac:dyDescent="0.25">
      <c r="A225" s="269"/>
      <c r="B225" s="269"/>
      <c r="C225" s="269"/>
      <c r="D225" s="270"/>
      <c r="E225" s="269"/>
      <c r="F225" s="269"/>
      <c r="G225" s="269"/>
      <c r="H225" s="269"/>
      <c r="I225" s="269"/>
      <c r="J225" s="271"/>
      <c r="K225" s="272"/>
      <c r="L225" s="269"/>
      <c r="M225" s="273"/>
      <c r="N225" s="269"/>
      <c r="O225" s="269"/>
      <c r="P225" s="274"/>
      <c r="Q225" s="270"/>
      <c r="R225" s="61"/>
      <c r="S225" s="269"/>
      <c r="T225" s="269"/>
      <c r="U225" s="269"/>
      <c r="V225" s="269"/>
      <c r="W225" s="269"/>
      <c r="X225" s="271"/>
      <c r="Y225" s="272"/>
      <c r="Z225" s="272"/>
      <c r="AA225" s="272"/>
      <c r="AB225" s="272"/>
    </row>
    <row r="226" spans="1:28" ht="15" customHeight="1" x14ac:dyDescent="0.25">
      <c r="A226" s="269"/>
      <c r="B226" s="269"/>
      <c r="C226" s="269"/>
      <c r="D226" s="270"/>
      <c r="E226" s="269"/>
      <c r="F226" s="269"/>
      <c r="G226" s="269"/>
      <c r="H226" s="269"/>
      <c r="I226" s="269"/>
      <c r="J226" s="271"/>
      <c r="K226" s="272"/>
      <c r="L226" s="269"/>
      <c r="M226" s="273"/>
      <c r="N226" s="269"/>
      <c r="O226" s="269"/>
      <c r="P226" s="274"/>
      <c r="Q226" s="270"/>
      <c r="R226" s="61"/>
      <c r="S226" s="269"/>
      <c r="T226" s="269"/>
      <c r="U226" s="269"/>
      <c r="V226" s="269"/>
      <c r="W226" s="269"/>
      <c r="X226" s="271"/>
      <c r="Y226" s="272"/>
      <c r="Z226" s="272"/>
      <c r="AA226" s="272"/>
      <c r="AB226" s="272"/>
    </row>
    <row r="227" spans="1:28" ht="15" customHeight="1" x14ac:dyDescent="0.25">
      <c r="A227" s="269"/>
      <c r="B227" s="269"/>
      <c r="C227" s="269"/>
      <c r="D227" s="270"/>
      <c r="E227" s="269"/>
      <c r="F227" s="269"/>
      <c r="G227" s="269"/>
      <c r="H227" s="269"/>
      <c r="I227" s="269"/>
      <c r="J227" s="271"/>
      <c r="K227" s="272"/>
      <c r="L227" s="269"/>
      <c r="M227" s="273"/>
      <c r="N227" s="269"/>
      <c r="O227" s="269"/>
      <c r="P227" s="274"/>
      <c r="Q227" s="270"/>
      <c r="R227" s="61"/>
      <c r="S227" s="269"/>
      <c r="T227" s="269"/>
      <c r="U227" s="269"/>
      <c r="V227" s="269"/>
      <c r="W227" s="269"/>
      <c r="X227" s="271"/>
      <c r="Y227" s="272"/>
      <c r="Z227" s="272"/>
      <c r="AA227" s="272"/>
      <c r="AB227" s="272"/>
    </row>
    <row r="228" spans="1:28" ht="15" customHeight="1" x14ac:dyDescent="0.25">
      <c r="A228" s="269"/>
      <c r="B228" s="269"/>
      <c r="C228" s="269"/>
      <c r="D228" s="270"/>
      <c r="E228" s="269"/>
      <c r="F228" s="269"/>
      <c r="G228" s="269"/>
      <c r="H228" s="269"/>
      <c r="I228" s="269"/>
      <c r="J228" s="271"/>
      <c r="K228" s="272"/>
      <c r="L228" s="269"/>
      <c r="M228" s="273"/>
      <c r="N228" s="269"/>
      <c r="O228" s="269"/>
      <c r="P228" s="274"/>
      <c r="Q228" s="270"/>
      <c r="R228" s="61"/>
      <c r="S228" s="269"/>
      <c r="T228" s="269"/>
      <c r="U228" s="269"/>
      <c r="V228" s="269"/>
      <c r="W228" s="269"/>
      <c r="X228" s="271"/>
      <c r="Y228" s="272"/>
      <c r="Z228" s="272"/>
      <c r="AA228" s="272"/>
      <c r="AB228" s="272"/>
    </row>
    <row r="229" spans="1:28" ht="15" customHeight="1" x14ac:dyDescent="0.25">
      <c r="A229" s="269"/>
      <c r="B229" s="269"/>
      <c r="C229" s="269"/>
      <c r="D229" s="270"/>
      <c r="E229" s="269"/>
      <c r="F229" s="269"/>
      <c r="G229" s="269"/>
      <c r="H229" s="269"/>
      <c r="I229" s="269"/>
      <c r="J229" s="271"/>
      <c r="K229" s="272"/>
      <c r="L229" s="269"/>
      <c r="M229" s="273"/>
      <c r="N229" s="269"/>
      <c r="O229" s="269"/>
      <c r="P229" s="274"/>
      <c r="Q229" s="270"/>
      <c r="R229" s="61"/>
      <c r="S229" s="269"/>
      <c r="T229" s="269"/>
      <c r="U229" s="269"/>
      <c r="V229" s="269"/>
      <c r="W229" s="269"/>
      <c r="X229" s="271"/>
      <c r="Y229" s="272"/>
      <c r="Z229" s="272"/>
      <c r="AA229" s="272"/>
      <c r="AB229" s="272"/>
    </row>
    <row r="230" spans="1:28" ht="15" customHeight="1" x14ac:dyDescent="0.25">
      <c r="A230" s="269"/>
      <c r="B230" s="269"/>
      <c r="C230" s="269"/>
      <c r="D230" s="270"/>
      <c r="E230" s="269"/>
      <c r="F230" s="269"/>
      <c r="G230" s="269"/>
      <c r="H230" s="269"/>
      <c r="I230" s="269"/>
      <c r="J230" s="271"/>
      <c r="K230" s="272"/>
      <c r="L230" s="269"/>
      <c r="M230" s="273"/>
      <c r="N230" s="269"/>
      <c r="O230" s="269"/>
      <c r="P230" s="274"/>
      <c r="Q230" s="270"/>
      <c r="R230" s="61"/>
      <c r="S230" s="269"/>
      <c r="T230" s="269"/>
      <c r="U230" s="269"/>
      <c r="V230" s="269"/>
      <c r="W230" s="269"/>
      <c r="X230" s="271"/>
      <c r="Y230" s="272"/>
      <c r="Z230" s="272"/>
      <c r="AA230" s="272"/>
      <c r="AB230" s="272"/>
    </row>
    <row r="231" spans="1:28" ht="15" customHeight="1" x14ac:dyDescent="0.25">
      <c r="A231" s="269"/>
      <c r="B231" s="269"/>
      <c r="C231" s="269"/>
      <c r="D231" s="270"/>
      <c r="E231" s="269"/>
      <c r="F231" s="269"/>
      <c r="G231" s="269"/>
      <c r="H231" s="269"/>
      <c r="I231" s="269"/>
      <c r="J231" s="271"/>
      <c r="K231" s="272"/>
      <c r="L231" s="269"/>
      <c r="M231" s="273"/>
      <c r="N231" s="269"/>
      <c r="O231" s="269"/>
      <c r="P231" s="274"/>
      <c r="Q231" s="270"/>
      <c r="R231" s="61"/>
      <c r="S231" s="269"/>
      <c r="T231" s="269"/>
      <c r="U231" s="269"/>
      <c r="V231" s="269"/>
      <c r="W231" s="269"/>
      <c r="X231" s="271"/>
      <c r="Y231" s="272"/>
      <c r="Z231" s="272"/>
      <c r="AA231" s="272"/>
      <c r="AB231" s="272"/>
    </row>
    <row r="232" spans="1:28" ht="15" customHeight="1" x14ac:dyDescent="0.25">
      <c r="A232" s="269"/>
      <c r="B232" s="269"/>
      <c r="C232" s="269"/>
      <c r="D232" s="270"/>
      <c r="E232" s="269"/>
      <c r="F232" s="269"/>
      <c r="G232" s="269"/>
      <c r="H232" s="269"/>
      <c r="I232" s="269"/>
      <c r="J232" s="271"/>
      <c r="K232" s="272"/>
      <c r="L232" s="269"/>
      <c r="M232" s="273"/>
      <c r="N232" s="269"/>
      <c r="O232" s="269"/>
      <c r="P232" s="274"/>
      <c r="Q232" s="270"/>
      <c r="R232" s="61"/>
      <c r="S232" s="269"/>
      <c r="T232" s="269"/>
      <c r="U232" s="269"/>
      <c r="V232" s="269"/>
      <c r="W232" s="269"/>
      <c r="X232" s="271"/>
      <c r="Y232" s="272"/>
      <c r="Z232" s="272"/>
      <c r="AA232" s="272"/>
      <c r="AB232" s="272"/>
    </row>
    <row r="233" spans="1:28" ht="15" customHeight="1" x14ac:dyDescent="0.25">
      <c r="A233" s="269"/>
      <c r="B233" s="269"/>
      <c r="C233" s="269"/>
      <c r="D233" s="270"/>
      <c r="E233" s="269"/>
      <c r="F233" s="269"/>
      <c r="G233" s="269"/>
      <c r="H233" s="269"/>
      <c r="I233" s="269"/>
      <c r="J233" s="271"/>
      <c r="K233" s="272"/>
      <c r="L233" s="269"/>
      <c r="M233" s="273"/>
      <c r="N233" s="269"/>
      <c r="O233" s="269"/>
      <c r="P233" s="274"/>
      <c r="Q233" s="270"/>
      <c r="R233" s="61"/>
      <c r="S233" s="269"/>
      <c r="T233" s="269"/>
      <c r="U233" s="269"/>
      <c r="V233" s="269"/>
      <c r="W233" s="269"/>
      <c r="X233" s="271"/>
      <c r="Y233" s="272"/>
      <c r="Z233" s="272"/>
      <c r="AA233" s="272"/>
      <c r="AB233" s="272"/>
    </row>
    <row r="234" spans="1:28" ht="15" customHeight="1" x14ac:dyDescent="0.25">
      <c r="A234" s="269"/>
      <c r="B234" s="269"/>
      <c r="C234" s="269"/>
      <c r="D234" s="270"/>
      <c r="E234" s="269"/>
      <c r="F234" s="269"/>
      <c r="G234" s="269"/>
      <c r="H234" s="269"/>
      <c r="I234" s="269"/>
      <c r="J234" s="271"/>
      <c r="K234" s="272"/>
      <c r="L234" s="269"/>
      <c r="M234" s="273"/>
      <c r="N234" s="269"/>
      <c r="O234" s="269"/>
      <c r="P234" s="274"/>
      <c r="Q234" s="270"/>
      <c r="R234" s="61"/>
      <c r="S234" s="269"/>
      <c r="T234" s="269"/>
      <c r="U234" s="269"/>
      <c r="V234" s="269"/>
      <c r="W234" s="269"/>
      <c r="X234" s="271"/>
      <c r="Y234" s="272"/>
      <c r="Z234" s="272"/>
      <c r="AA234" s="272"/>
      <c r="AB234" s="272"/>
    </row>
    <row r="235" spans="1:28" ht="15" customHeight="1" x14ac:dyDescent="0.25">
      <c r="A235" s="269"/>
      <c r="B235" s="269"/>
      <c r="C235" s="269"/>
      <c r="D235" s="270"/>
      <c r="E235" s="269"/>
      <c r="F235" s="269"/>
      <c r="G235" s="269"/>
      <c r="H235" s="269"/>
      <c r="I235" s="269"/>
      <c r="J235" s="271"/>
      <c r="K235" s="272"/>
      <c r="L235" s="269"/>
      <c r="M235" s="273"/>
      <c r="N235" s="269"/>
      <c r="O235" s="269"/>
      <c r="P235" s="274"/>
      <c r="Q235" s="270"/>
      <c r="R235" s="61"/>
      <c r="S235" s="269"/>
      <c r="T235" s="269"/>
      <c r="U235" s="269"/>
      <c r="V235" s="269"/>
      <c r="W235" s="269"/>
      <c r="X235" s="271"/>
      <c r="Y235" s="272"/>
      <c r="Z235" s="272"/>
      <c r="AA235" s="272"/>
      <c r="AB235" s="272"/>
    </row>
    <row r="236" spans="1:28" ht="15" customHeight="1" x14ac:dyDescent="0.25">
      <c r="A236" s="269"/>
      <c r="B236" s="269"/>
      <c r="C236" s="269"/>
      <c r="D236" s="270"/>
      <c r="E236" s="269"/>
      <c r="F236" s="269"/>
      <c r="G236" s="269"/>
      <c r="H236" s="269"/>
      <c r="I236" s="269"/>
      <c r="J236" s="271"/>
      <c r="K236" s="272"/>
      <c r="L236" s="269"/>
      <c r="M236" s="273"/>
      <c r="N236" s="269"/>
      <c r="O236" s="269"/>
      <c r="P236" s="274"/>
      <c r="Q236" s="270"/>
      <c r="R236" s="61"/>
      <c r="S236" s="269"/>
      <c r="T236" s="269"/>
      <c r="U236" s="269"/>
      <c r="V236" s="269"/>
      <c r="W236" s="269"/>
      <c r="X236" s="271"/>
      <c r="Y236" s="272"/>
      <c r="Z236" s="272"/>
      <c r="AA236" s="272"/>
      <c r="AB236" s="272"/>
    </row>
    <row r="237" spans="1:28" ht="15" customHeight="1" x14ac:dyDescent="0.25">
      <c r="A237" s="269"/>
      <c r="B237" s="269"/>
      <c r="C237" s="269"/>
      <c r="D237" s="270"/>
      <c r="E237" s="269"/>
      <c r="F237" s="269"/>
      <c r="G237" s="269"/>
      <c r="H237" s="269"/>
      <c r="I237" s="269"/>
      <c r="J237" s="271"/>
      <c r="K237" s="272"/>
      <c r="L237" s="269"/>
      <c r="M237" s="273"/>
      <c r="N237" s="269"/>
      <c r="O237" s="269"/>
      <c r="P237" s="274"/>
      <c r="Q237" s="270"/>
      <c r="R237" s="61"/>
      <c r="S237" s="269"/>
      <c r="T237" s="269"/>
      <c r="U237" s="269"/>
      <c r="V237" s="269"/>
      <c r="W237" s="269"/>
      <c r="X237" s="271"/>
      <c r="Y237" s="272"/>
      <c r="Z237" s="272"/>
      <c r="AA237" s="272"/>
      <c r="AB237" s="272"/>
    </row>
    <row r="238" spans="1:28" ht="15" customHeight="1" x14ac:dyDescent="0.25">
      <c r="A238" s="269"/>
      <c r="B238" s="269"/>
      <c r="C238" s="269"/>
      <c r="D238" s="270"/>
      <c r="E238" s="269"/>
      <c r="F238" s="269"/>
      <c r="G238" s="269"/>
      <c r="H238" s="269"/>
      <c r="I238" s="269"/>
      <c r="J238" s="271"/>
      <c r="K238" s="272"/>
      <c r="L238" s="269"/>
      <c r="M238" s="273"/>
      <c r="N238" s="269"/>
      <c r="O238" s="269"/>
      <c r="P238" s="274"/>
      <c r="Q238" s="270"/>
      <c r="R238" s="61"/>
      <c r="S238" s="269"/>
      <c r="T238" s="269"/>
      <c r="U238" s="269"/>
      <c r="V238" s="269"/>
      <c r="W238" s="269"/>
      <c r="X238" s="271"/>
      <c r="Y238" s="272"/>
      <c r="Z238" s="272"/>
      <c r="AA238" s="272"/>
      <c r="AB238" s="272"/>
    </row>
    <row r="239" spans="1:28" ht="15" customHeight="1" x14ac:dyDescent="0.25">
      <c r="A239" s="269"/>
      <c r="B239" s="269"/>
      <c r="C239" s="269"/>
      <c r="D239" s="270"/>
      <c r="E239" s="269"/>
      <c r="F239" s="269"/>
      <c r="G239" s="269"/>
      <c r="H239" s="269"/>
      <c r="I239" s="269"/>
      <c r="J239" s="271"/>
      <c r="K239" s="272"/>
      <c r="L239" s="269"/>
      <c r="M239" s="273"/>
      <c r="N239" s="269"/>
      <c r="O239" s="269"/>
      <c r="P239" s="274"/>
      <c r="Q239" s="270"/>
      <c r="R239" s="61"/>
      <c r="S239" s="269"/>
      <c r="T239" s="269"/>
      <c r="U239" s="269"/>
      <c r="V239" s="269"/>
      <c r="W239" s="269"/>
      <c r="X239" s="271"/>
      <c r="Y239" s="272"/>
      <c r="Z239" s="272"/>
      <c r="AA239" s="272"/>
      <c r="AB239" s="272"/>
    </row>
    <row r="240" spans="1:28" ht="15" customHeight="1" x14ac:dyDescent="0.25">
      <c r="A240" s="269"/>
      <c r="B240" s="269"/>
      <c r="C240" s="269"/>
      <c r="D240" s="270"/>
      <c r="E240" s="269"/>
      <c r="F240" s="269"/>
      <c r="G240" s="269"/>
      <c r="H240" s="269"/>
      <c r="I240" s="269"/>
      <c r="J240" s="271"/>
      <c r="K240" s="272"/>
      <c r="L240" s="269"/>
      <c r="M240" s="273"/>
      <c r="N240" s="269"/>
      <c r="O240" s="269"/>
      <c r="P240" s="274"/>
      <c r="Q240" s="270"/>
      <c r="R240" s="61"/>
      <c r="S240" s="269"/>
      <c r="T240" s="269"/>
      <c r="U240" s="269"/>
      <c r="V240" s="269"/>
      <c r="W240" s="269"/>
      <c r="X240" s="271"/>
      <c r="Y240" s="272"/>
      <c r="Z240" s="272"/>
      <c r="AA240" s="272"/>
      <c r="AB240" s="272"/>
    </row>
    <row r="241" spans="1:28" ht="15" customHeight="1" x14ac:dyDescent="0.25">
      <c r="A241" s="269"/>
      <c r="B241" s="269"/>
      <c r="C241" s="269"/>
      <c r="D241" s="270"/>
      <c r="E241" s="269"/>
      <c r="F241" s="269"/>
      <c r="G241" s="269"/>
      <c r="H241" s="269"/>
      <c r="I241" s="269"/>
      <c r="J241" s="271"/>
      <c r="K241" s="272"/>
      <c r="L241" s="269"/>
      <c r="M241" s="273"/>
      <c r="N241" s="269"/>
      <c r="O241" s="269"/>
      <c r="P241" s="274"/>
      <c r="Q241" s="270"/>
      <c r="R241" s="61"/>
      <c r="S241" s="269"/>
      <c r="T241" s="269"/>
      <c r="U241" s="269"/>
      <c r="V241" s="269"/>
      <c r="W241" s="269"/>
      <c r="X241" s="271"/>
      <c r="Y241" s="272"/>
      <c r="Z241" s="272"/>
      <c r="AA241" s="272"/>
      <c r="AB241" s="272"/>
    </row>
    <row r="242" spans="1:28" ht="15" customHeight="1" x14ac:dyDescent="0.25">
      <c r="A242" s="269"/>
      <c r="B242" s="269"/>
      <c r="C242" s="269"/>
      <c r="D242" s="270"/>
      <c r="E242" s="269"/>
      <c r="F242" s="269"/>
      <c r="G242" s="269"/>
      <c r="H242" s="269"/>
      <c r="I242" s="269"/>
      <c r="J242" s="271"/>
      <c r="K242" s="272"/>
      <c r="L242" s="269"/>
      <c r="M242" s="273"/>
      <c r="N242" s="269"/>
      <c r="O242" s="269"/>
      <c r="P242" s="274"/>
      <c r="Q242" s="270"/>
      <c r="R242" s="61"/>
      <c r="S242" s="269"/>
      <c r="T242" s="269"/>
      <c r="U242" s="269"/>
      <c r="V242" s="269"/>
      <c r="W242" s="269"/>
      <c r="X242" s="271"/>
      <c r="Y242" s="272"/>
      <c r="Z242" s="272"/>
      <c r="AA242" s="272"/>
      <c r="AB242" s="272"/>
    </row>
    <row r="243" spans="1:28" ht="15" customHeight="1" x14ac:dyDescent="0.25">
      <c r="A243" s="269"/>
      <c r="B243" s="269"/>
      <c r="C243" s="269"/>
      <c r="D243" s="270"/>
      <c r="E243" s="269"/>
      <c r="F243" s="269"/>
      <c r="G243" s="269"/>
      <c r="H243" s="269"/>
      <c r="I243" s="269"/>
      <c r="J243" s="271"/>
      <c r="K243" s="272"/>
      <c r="L243" s="269"/>
      <c r="M243" s="273"/>
      <c r="N243" s="269"/>
      <c r="O243" s="269"/>
      <c r="P243" s="274"/>
      <c r="Q243" s="270"/>
      <c r="R243" s="61"/>
      <c r="S243" s="269"/>
      <c r="T243" s="269"/>
      <c r="U243" s="269"/>
      <c r="V243" s="269"/>
      <c r="W243" s="269"/>
      <c r="X243" s="271"/>
      <c r="Y243" s="272"/>
      <c r="Z243" s="272"/>
      <c r="AA243" s="272"/>
      <c r="AB243" s="272"/>
    </row>
    <row r="244" spans="1:28" ht="15" customHeight="1" x14ac:dyDescent="0.25">
      <c r="A244" s="269"/>
      <c r="B244" s="269"/>
      <c r="C244" s="269"/>
      <c r="D244" s="270"/>
      <c r="E244" s="269"/>
      <c r="F244" s="269"/>
      <c r="G244" s="269"/>
      <c r="H244" s="269"/>
      <c r="I244" s="269"/>
      <c r="J244" s="271"/>
      <c r="K244" s="272"/>
      <c r="L244" s="269"/>
      <c r="M244" s="273"/>
      <c r="N244" s="269"/>
      <c r="O244" s="269"/>
      <c r="P244" s="274"/>
      <c r="Q244" s="270"/>
      <c r="R244" s="61"/>
      <c r="S244" s="269"/>
      <c r="T244" s="269"/>
      <c r="U244" s="269"/>
      <c r="V244" s="269"/>
      <c r="W244" s="269"/>
      <c r="X244" s="271"/>
      <c r="Y244" s="272"/>
      <c r="Z244" s="272"/>
      <c r="AA244" s="272"/>
      <c r="AB244" s="272"/>
    </row>
    <row r="245" spans="1:28" ht="15" customHeight="1" x14ac:dyDescent="0.25">
      <c r="A245" s="269"/>
      <c r="B245" s="269"/>
      <c r="C245" s="269"/>
      <c r="D245" s="270"/>
      <c r="E245" s="269"/>
      <c r="F245" s="269"/>
      <c r="G245" s="269"/>
      <c r="H245" s="269"/>
      <c r="I245" s="269"/>
      <c r="J245" s="271"/>
      <c r="K245" s="272"/>
      <c r="L245" s="269"/>
      <c r="M245" s="273"/>
      <c r="N245" s="269"/>
      <c r="O245" s="269"/>
      <c r="P245" s="274"/>
      <c r="Q245" s="270"/>
      <c r="R245" s="61"/>
      <c r="S245" s="269"/>
      <c r="T245" s="269"/>
      <c r="U245" s="269"/>
      <c r="V245" s="269"/>
      <c r="W245" s="269"/>
      <c r="X245" s="271"/>
      <c r="Y245" s="272"/>
      <c r="Z245" s="272"/>
      <c r="AA245" s="272"/>
      <c r="AB245" s="272"/>
    </row>
    <row r="246" spans="1:28" ht="15" customHeight="1" x14ac:dyDescent="0.25">
      <c r="A246" s="269"/>
      <c r="B246" s="269"/>
      <c r="C246" s="269"/>
      <c r="D246" s="270"/>
      <c r="E246" s="269"/>
      <c r="F246" s="269"/>
      <c r="G246" s="269"/>
      <c r="H246" s="269"/>
      <c r="I246" s="269"/>
      <c r="J246" s="271"/>
      <c r="K246" s="272"/>
      <c r="L246" s="269"/>
      <c r="M246" s="273"/>
      <c r="N246" s="269"/>
      <c r="O246" s="269"/>
      <c r="P246" s="274"/>
      <c r="Q246" s="270"/>
      <c r="R246" s="61"/>
      <c r="S246" s="269"/>
      <c r="T246" s="269"/>
      <c r="U246" s="269"/>
      <c r="V246" s="269"/>
      <c r="W246" s="269"/>
      <c r="X246" s="271"/>
      <c r="Y246" s="272"/>
      <c r="Z246" s="272"/>
      <c r="AA246" s="272"/>
      <c r="AB246" s="272"/>
    </row>
    <row r="247" spans="1:28" ht="15" customHeight="1" x14ac:dyDescent="0.25">
      <c r="A247" s="269"/>
      <c r="B247" s="269"/>
      <c r="C247" s="269"/>
      <c r="D247" s="270"/>
      <c r="E247" s="269"/>
      <c r="F247" s="269"/>
      <c r="G247" s="269"/>
      <c r="H247" s="269"/>
      <c r="I247" s="269"/>
      <c r="J247" s="271"/>
      <c r="K247" s="272"/>
      <c r="L247" s="269"/>
      <c r="M247" s="273"/>
      <c r="N247" s="269"/>
      <c r="O247" s="269"/>
      <c r="P247" s="274"/>
      <c r="Q247" s="270"/>
      <c r="R247" s="61"/>
      <c r="S247" s="269"/>
      <c r="T247" s="269"/>
      <c r="U247" s="269"/>
      <c r="V247" s="269"/>
      <c r="W247" s="269"/>
      <c r="X247" s="271"/>
      <c r="Y247" s="272"/>
      <c r="Z247" s="272"/>
      <c r="AA247" s="272"/>
      <c r="AB247" s="272"/>
    </row>
    <row r="248" spans="1:28" ht="15" customHeight="1" x14ac:dyDescent="0.25">
      <c r="A248" s="269"/>
      <c r="B248" s="269"/>
      <c r="C248" s="269"/>
      <c r="D248" s="270"/>
      <c r="E248" s="269"/>
      <c r="F248" s="269"/>
      <c r="G248" s="269"/>
      <c r="H248" s="269"/>
      <c r="I248" s="269"/>
      <c r="J248" s="271"/>
      <c r="K248" s="272"/>
      <c r="L248" s="269"/>
      <c r="M248" s="273"/>
      <c r="N248" s="269"/>
      <c r="O248" s="269"/>
      <c r="P248" s="274"/>
      <c r="Q248" s="270"/>
      <c r="R248" s="61"/>
      <c r="S248" s="269"/>
      <c r="T248" s="269"/>
      <c r="U248" s="269"/>
      <c r="V248" s="269"/>
      <c r="W248" s="269"/>
      <c r="X248" s="271"/>
      <c r="Y248" s="272"/>
      <c r="Z248" s="272"/>
      <c r="AA248" s="272"/>
      <c r="AB248" s="272"/>
    </row>
    <row r="249" spans="1:28" ht="15" customHeight="1" x14ac:dyDescent="0.25">
      <c r="A249" s="269"/>
      <c r="B249" s="269"/>
      <c r="C249" s="269"/>
      <c r="D249" s="270"/>
      <c r="E249" s="269"/>
      <c r="F249" s="269"/>
      <c r="G249" s="269"/>
      <c r="H249" s="269"/>
      <c r="I249" s="269"/>
      <c r="J249" s="271"/>
      <c r="K249" s="272"/>
      <c r="L249" s="269"/>
      <c r="M249" s="273"/>
      <c r="N249" s="269"/>
      <c r="O249" s="269"/>
      <c r="P249" s="274"/>
      <c r="Q249" s="270"/>
      <c r="R249" s="61"/>
      <c r="S249" s="269"/>
      <c r="T249" s="269"/>
      <c r="U249" s="269"/>
      <c r="V249" s="269"/>
      <c r="W249" s="269"/>
      <c r="X249" s="271"/>
      <c r="Y249" s="272"/>
      <c r="Z249" s="272"/>
      <c r="AA249" s="272"/>
      <c r="AB249" s="272"/>
    </row>
    <row r="250" spans="1:28" ht="15" customHeight="1" x14ac:dyDescent="0.25">
      <c r="A250" s="269"/>
      <c r="B250" s="269"/>
      <c r="C250" s="269"/>
      <c r="D250" s="270"/>
      <c r="E250" s="269"/>
      <c r="F250" s="269"/>
      <c r="G250" s="269"/>
      <c r="H250" s="269"/>
      <c r="I250" s="269"/>
      <c r="J250" s="271"/>
      <c r="K250" s="272"/>
      <c r="L250" s="269"/>
      <c r="M250" s="273"/>
      <c r="N250" s="269"/>
      <c r="O250" s="269"/>
      <c r="P250" s="274"/>
      <c r="Q250" s="270"/>
      <c r="R250" s="61"/>
      <c r="S250" s="269"/>
      <c r="T250" s="269"/>
      <c r="U250" s="269"/>
      <c r="V250" s="269"/>
      <c r="W250" s="269"/>
      <c r="X250" s="271"/>
      <c r="Y250" s="272"/>
      <c r="Z250" s="272"/>
      <c r="AA250" s="272"/>
      <c r="AB250" s="272"/>
    </row>
    <row r="251" spans="1:28" ht="15" customHeight="1" x14ac:dyDescent="0.25">
      <c r="A251" s="269"/>
      <c r="B251" s="269"/>
      <c r="C251" s="269"/>
      <c r="D251" s="270"/>
      <c r="E251" s="269"/>
      <c r="F251" s="269"/>
      <c r="G251" s="269"/>
      <c r="H251" s="269"/>
      <c r="I251" s="269"/>
      <c r="J251" s="271"/>
      <c r="K251" s="272"/>
      <c r="L251" s="269"/>
      <c r="M251" s="273"/>
      <c r="N251" s="269"/>
      <c r="O251" s="269"/>
      <c r="P251" s="274"/>
      <c r="Q251" s="270"/>
      <c r="R251" s="61"/>
      <c r="S251" s="269"/>
      <c r="T251" s="269"/>
      <c r="U251" s="269"/>
      <c r="V251" s="269"/>
      <c r="W251" s="269"/>
      <c r="X251" s="271"/>
      <c r="Y251" s="272"/>
      <c r="Z251" s="272"/>
      <c r="AA251" s="272"/>
      <c r="AB251" s="272"/>
    </row>
    <row r="252" spans="1:28" ht="15" customHeight="1" x14ac:dyDescent="0.25">
      <c r="A252" s="269"/>
      <c r="B252" s="269"/>
      <c r="C252" s="269"/>
      <c r="D252" s="270"/>
      <c r="E252" s="269"/>
      <c r="F252" s="269"/>
      <c r="G252" s="269"/>
      <c r="H252" s="269"/>
      <c r="I252" s="269"/>
      <c r="J252" s="271"/>
      <c r="K252" s="272"/>
      <c r="L252" s="269"/>
      <c r="M252" s="273"/>
      <c r="N252" s="269"/>
      <c r="O252" s="269"/>
      <c r="P252" s="274"/>
      <c r="Q252" s="270"/>
      <c r="R252" s="61"/>
      <c r="S252" s="269"/>
      <c r="T252" s="269"/>
      <c r="U252" s="269"/>
      <c r="V252" s="269"/>
      <c r="W252" s="269"/>
      <c r="X252" s="271"/>
      <c r="Y252" s="272"/>
      <c r="Z252" s="272"/>
      <c r="AA252" s="272"/>
      <c r="AB252" s="272"/>
    </row>
    <row r="253" spans="1:28" ht="15" customHeight="1" x14ac:dyDescent="0.25">
      <c r="A253" s="269"/>
      <c r="B253" s="269"/>
      <c r="C253" s="269"/>
      <c r="D253" s="270"/>
      <c r="E253" s="269"/>
      <c r="F253" s="269"/>
      <c r="G253" s="269"/>
      <c r="H253" s="269"/>
      <c r="I253" s="269"/>
      <c r="J253" s="271"/>
      <c r="K253" s="272"/>
      <c r="L253" s="269"/>
      <c r="M253" s="273"/>
      <c r="N253" s="269"/>
      <c r="O253" s="269"/>
      <c r="P253" s="274"/>
      <c r="Q253" s="270"/>
      <c r="R253" s="61"/>
      <c r="S253" s="269"/>
      <c r="T253" s="269"/>
      <c r="U253" s="269"/>
      <c r="V253" s="269"/>
      <c r="W253" s="269"/>
      <c r="X253" s="271"/>
      <c r="Y253" s="272"/>
      <c r="Z253" s="272"/>
      <c r="AA253" s="272"/>
      <c r="AB253" s="272"/>
    </row>
    <row r="254" spans="1:28" ht="15" customHeight="1" x14ac:dyDescent="0.25">
      <c r="A254" s="269"/>
      <c r="B254" s="269"/>
      <c r="C254" s="269"/>
      <c r="D254" s="270"/>
      <c r="E254" s="269"/>
      <c r="F254" s="269"/>
      <c r="G254" s="269"/>
      <c r="H254" s="269"/>
      <c r="I254" s="269"/>
      <c r="J254" s="271"/>
      <c r="K254" s="272"/>
      <c r="L254" s="269"/>
      <c r="M254" s="273"/>
      <c r="N254" s="269"/>
      <c r="O254" s="269"/>
      <c r="P254" s="274"/>
      <c r="Q254" s="270"/>
      <c r="R254" s="61"/>
      <c r="S254" s="269"/>
      <c r="T254" s="269"/>
      <c r="U254" s="269"/>
      <c r="V254" s="269"/>
      <c r="W254" s="269"/>
      <c r="X254" s="271"/>
      <c r="Y254" s="272"/>
      <c r="Z254" s="272"/>
      <c r="AA254" s="272"/>
      <c r="AB254" s="272"/>
    </row>
    <row r="255" spans="1:28" ht="15" customHeight="1" x14ac:dyDescent="0.25">
      <c r="A255" s="269"/>
      <c r="B255" s="269"/>
      <c r="C255" s="269"/>
      <c r="D255" s="270"/>
      <c r="E255" s="269"/>
      <c r="F255" s="269"/>
      <c r="G255" s="269"/>
      <c r="H255" s="269"/>
      <c r="I255" s="269"/>
      <c r="J255" s="271"/>
      <c r="K255" s="272"/>
      <c r="L255" s="269"/>
      <c r="M255" s="273"/>
      <c r="N255" s="269"/>
      <c r="O255" s="269"/>
      <c r="P255" s="274"/>
      <c r="Q255" s="270"/>
      <c r="R255" s="61"/>
      <c r="S255" s="269"/>
      <c r="T255" s="269"/>
      <c r="U255" s="269"/>
      <c r="V255" s="269"/>
      <c r="W255" s="269"/>
      <c r="X255" s="271"/>
      <c r="Y255" s="272"/>
      <c r="Z255" s="272"/>
      <c r="AA255" s="272"/>
      <c r="AB255" s="272"/>
    </row>
    <row r="256" spans="1:28" ht="15" customHeight="1" x14ac:dyDescent="0.25">
      <c r="A256" s="269"/>
      <c r="B256" s="269"/>
      <c r="C256" s="269"/>
      <c r="D256" s="270"/>
      <c r="E256" s="269"/>
      <c r="F256" s="269"/>
      <c r="G256" s="269"/>
      <c r="H256" s="269"/>
      <c r="I256" s="269"/>
      <c r="J256" s="271"/>
      <c r="K256" s="272"/>
      <c r="L256" s="269"/>
      <c r="M256" s="273"/>
      <c r="N256" s="269"/>
      <c r="O256" s="269"/>
      <c r="P256" s="274"/>
      <c r="Q256" s="270"/>
      <c r="R256" s="61"/>
      <c r="S256" s="269"/>
      <c r="T256" s="269"/>
      <c r="U256" s="269"/>
      <c r="V256" s="269"/>
      <c r="W256" s="269"/>
      <c r="X256" s="271"/>
      <c r="Y256" s="272"/>
      <c r="Z256" s="272"/>
      <c r="AA256" s="272"/>
      <c r="AB256" s="272"/>
    </row>
    <row r="257" spans="1:28" ht="15" customHeight="1" x14ac:dyDescent="0.25">
      <c r="A257" s="269"/>
      <c r="B257" s="269"/>
      <c r="C257" s="269"/>
      <c r="D257" s="270"/>
      <c r="E257" s="269"/>
      <c r="F257" s="269"/>
      <c r="G257" s="269"/>
      <c r="H257" s="269"/>
      <c r="I257" s="269"/>
      <c r="J257" s="271"/>
      <c r="K257" s="272"/>
      <c r="L257" s="269"/>
      <c r="M257" s="273"/>
      <c r="N257" s="269"/>
      <c r="O257" s="269"/>
      <c r="P257" s="274"/>
      <c r="Q257" s="270"/>
      <c r="R257" s="61"/>
      <c r="S257" s="269"/>
      <c r="T257" s="269"/>
      <c r="U257" s="269"/>
      <c r="V257" s="269"/>
      <c r="W257" s="269"/>
      <c r="X257" s="271"/>
      <c r="Y257" s="272"/>
      <c r="Z257" s="272"/>
      <c r="AA257" s="272"/>
      <c r="AB257" s="272"/>
    </row>
    <row r="258" spans="1:28" ht="15" customHeight="1" x14ac:dyDescent="0.25">
      <c r="A258" s="269"/>
      <c r="B258" s="269"/>
      <c r="C258" s="269"/>
      <c r="D258" s="270"/>
      <c r="E258" s="269"/>
      <c r="F258" s="269"/>
      <c r="G258" s="269"/>
      <c r="H258" s="269"/>
      <c r="I258" s="269"/>
      <c r="J258" s="271"/>
      <c r="K258" s="272"/>
      <c r="L258" s="269"/>
      <c r="M258" s="273"/>
      <c r="N258" s="269"/>
      <c r="O258" s="269"/>
      <c r="P258" s="274"/>
      <c r="Q258" s="270"/>
      <c r="R258" s="61"/>
      <c r="S258" s="269"/>
      <c r="T258" s="269"/>
      <c r="U258" s="269"/>
      <c r="V258" s="269"/>
      <c r="W258" s="269"/>
      <c r="X258" s="271"/>
      <c r="Y258" s="272"/>
      <c r="Z258" s="272"/>
      <c r="AA258" s="272"/>
      <c r="AB258" s="272"/>
    </row>
    <row r="259" spans="1:28" ht="15" customHeight="1" x14ac:dyDescent="0.25">
      <c r="A259" s="269"/>
      <c r="B259" s="269"/>
      <c r="C259" s="269"/>
      <c r="D259" s="270"/>
      <c r="E259" s="269"/>
      <c r="F259" s="269"/>
      <c r="G259" s="269"/>
      <c r="H259" s="269"/>
      <c r="I259" s="269"/>
      <c r="J259" s="271"/>
      <c r="K259" s="272"/>
      <c r="L259" s="269"/>
      <c r="M259" s="273"/>
      <c r="N259" s="269"/>
      <c r="O259" s="269"/>
      <c r="P259" s="274"/>
      <c r="Q259" s="270"/>
      <c r="R259" s="61"/>
      <c r="S259" s="269"/>
      <c r="T259" s="269"/>
      <c r="U259" s="269"/>
      <c r="V259" s="269"/>
      <c r="W259" s="269"/>
      <c r="X259" s="271"/>
      <c r="Y259" s="272"/>
      <c r="Z259" s="272"/>
      <c r="AA259" s="272"/>
      <c r="AB259" s="272"/>
    </row>
    <row r="260" spans="1:28" ht="15" customHeight="1" x14ac:dyDescent="0.25">
      <c r="A260" s="269"/>
      <c r="B260" s="269"/>
      <c r="C260" s="269"/>
      <c r="D260" s="270"/>
      <c r="E260" s="269"/>
      <c r="F260" s="269"/>
      <c r="G260" s="269"/>
      <c r="H260" s="269"/>
      <c r="I260" s="269"/>
      <c r="J260" s="271"/>
      <c r="K260" s="272"/>
      <c r="L260" s="269"/>
      <c r="M260" s="273"/>
      <c r="N260" s="269"/>
      <c r="O260" s="269"/>
      <c r="P260" s="274"/>
      <c r="Q260" s="270"/>
      <c r="R260" s="61"/>
      <c r="S260" s="269"/>
      <c r="T260" s="269"/>
      <c r="U260" s="269"/>
      <c r="V260" s="269"/>
      <c r="W260" s="269"/>
      <c r="X260" s="271"/>
      <c r="Y260" s="272"/>
      <c r="Z260" s="272"/>
      <c r="AA260" s="272"/>
      <c r="AB260" s="272"/>
    </row>
    <row r="261" spans="1:28" ht="15" customHeight="1" x14ac:dyDescent="0.25">
      <c r="A261" s="269"/>
      <c r="B261" s="269"/>
      <c r="C261" s="269"/>
      <c r="D261" s="270"/>
      <c r="E261" s="269"/>
      <c r="F261" s="269"/>
      <c r="G261" s="269"/>
      <c r="H261" s="269"/>
      <c r="I261" s="269"/>
      <c r="J261" s="271"/>
      <c r="K261" s="272"/>
      <c r="L261" s="269"/>
      <c r="M261" s="273"/>
      <c r="N261" s="269"/>
      <c r="O261" s="269"/>
      <c r="P261" s="274"/>
      <c r="Q261" s="270"/>
      <c r="R261" s="61"/>
      <c r="S261" s="269"/>
      <c r="T261" s="269"/>
      <c r="U261" s="269"/>
      <c r="V261" s="269"/>
      <c r="W261" s="269"/>
      <c r="X261" s="271"/>
      <c r="Y261" s="272"/>
      <c r="Z261" s="272"/>
      <c r="AA261" s="272"/>
      <c r="AB261" s="272"/>
    </row>
    <row r="262" spans="1:28" ht="15" customHeight="1" x14ac:dyDescent="0.25">
      <c r="A262" s="269"/>
      <c r="B262" s="269"/>
      <c r="C262" s="269"/>
      <c r="D262" s="270"/>
      <c r="E262" s="269"/>
      <c r="F262" s="269"/>
      <c r="G262" s="269"/>
      <c r="H262" s="269"/>
      <c r="I262" s="269"/>
      <c r="J262" s="271"/>
      <c r="K262" s="272"/>
      <c r="L262" s="269"/>
      <c r="M262" s="273"/>
      <c r="N262" s="269"/>
      <c r="O262" s="269"/>
      <c r="P262" s="274"/>
      <c r="Q262" s="270"/>
      <c r="R262" s="61"/>
      <c r="S262" s="269"/>
      <c r="T262" s="269"/>
      <c r="U262" s="269"/>
      <c r="V262" s="269"/>
      <c r="W262" s="269"/>
      <c r="X262" s="271"/>
      <c r="Y262" s="272"/>
      <c r="Z262" s="272"/>
      <c r="AA262" s="272"/>
      <c r="AB262" s="272"/>
    </row>
    <row r="263" spans="1:28" ht="15" customHeight="1" x14ac:dyDescent="0.25">
      <c r="A263" s="269"/>
      <c r="B263" s="269"/>
      <c r="C263" s="269"/>
      <c r="D263" s="270"/>
      <c r="E263" s="269"/>
      <c r="F263" s="269"/>
      <c r="G263" s="269"/>
      <c r="H263" s="269"/>
      <c r="I263" s="269"/>
      <c r="J263" s="271"/>
      <c r="K263" s="272"/>
      <c r="L263" s="269"/>
      <c r="M263" s="273"/>
      <c r="N263" s="269"/>
      <c r="O263" s="269"/>
      <c r="P263" s="274"/>
      <c r="Q263" s="270"/>
      <c r="R263" s="61"/>
      <c r="S263" s="269"/>
      <c r="T263" s="269"/>
      <c r="U263" s="269"/>
      <c r="V263" s="269"/>
      <c r="W263" s="269"/>
      <c r="X263" s="271"/>
      <c r="Y263" s="272"/>
      <c r="Z263" s="272"/>
      <c r="AA263" s="272"/>
      <c r="AB263" s="272"/>
    </row>
    <row r="264" spans="1:28" ht="15" customHeight="1" x14ac:dyDescent="0.25">
      <c r="A264" s="269"/>
      <c r="B264" s="269"/>
      <c r="C264" s="269"/>
      <c r="D264" s="270"/>
      <c r="E264" s="269"/>
      <c r="F264" s="269"/>
      <c r="G264" s="269"/>
      <c r="H264" s="269"/>
      <c r="I264" s="269"/>
      <c r="J264" s="271"/>
      <c r="K264" s="272"/>
      <c r="L264" s="269"/>
      <c r="M264" s="273"/>
      <c r="N264" s="269"/>
      <c r="O264" s="269"/>
      <c r="P264" s="274"/>
      <c r="Q264" s="270"/>
      <c r="R264" s="61"/>
      <c r="S264" s="269"/>
      <c r="T264" s="269"/>
      <c r="U264" s="269"/>
      <c r="V264" s="269"/>
      <c r="W264" s="269"/>
      <c r="X264" s="271"/>
      <c r="Y264" s="272"/>
      <c r="Z264" s="272"/>
      <c r="AA264" s="272"/>
      <c r="AB264" s="272"/>
    </row>
    <row r="265" spans="1:28" ht="15" customHeight="1" x14ac:dyDescent="0.25">
      <c r="A265" s="269"/>
      <c r="B265" s="269"/>
      <c r="C265" s="269"/>
      <c r="D265" s="270"/>
      <c r="E265" s="269"/>
      <c r="F265" s="269"/>
      <c r="G265" s="269"/>
      <c r="H265" s="269"/>
      <c r="I265" s="269"/>
      <c r="J265" s="271"/>
      <c r="K265" s="272"/>
      <c r="L265" s="269"/>
      <c r="M265" s="273"/>
      <c r="N265" s="269"/>
      <c r="O265" s="269"/>
      <c r="P265" s="274"/>
      <c r="Q265" s="270"/>
      <c r="R265" s="61"/>
      <c r="S265" s="269"/>
      <c r="T265" s="269"/>
      <c r="U265" s="269"/>
      <c r="V265" s="269"/>
      <c r="W265" s="269"/>
      <c r="X265" s="271"/>
      <c r="Y265" s="272"/>
      <c r="Z265" s="272"/>
      <c r="AA265" s="272"/>
      <c r="AB265" s="272"/>
    </row>
    <row r="266" spans="1:28" ht="15" customHeight="1" x14ac:dyDescent="0.25">
      <c r="A266" s="269"/>
      <c r="B266" s="269"/>
      <c r="C266" s="269"/>
      <c r="D266" s="270"/>
      <c r="E266" s="269"/>
      <c r="F266" s="269"/>
      <c r="G266" s="269"/>
      <c r="H266" s="269"/>
      <c r="I266" s="269"/>
      <c r="J266" s="271"/>
      <c r="K266" s="272"/>
      <c r="L266" s="269"/>
      <c r="M266" s="273"/>
      <c r="N266" s="269"/>
      <c r="O266" s="269"/>
      <c r="P266" s="274"/>
      <c r="Q266" s="270"/>
      <c r="R266" s="61"/>
      <c r="S266" s="269"/>
      <c r="T266" s="269"/>
      <c r="U266" s="269"/>
      <c r="V266" s="269"/>
      <c r="W266" s="269"/>
      <c r="X266" s="271"/>
      <c r="Y266" s="272"/>
      <c r="Z266" s="272"/>
      <c r="AA266" s="272"/>
      <c r="AB266" s="272"/>
    </row>
    <row r="267" spans="1:28" ht="15" customHeight="1" x14ac:dyDescent="0.25">
      <c r="A267" s="269"/>
      <c r="B267" s="269"/>
      <c r="C267" s="269"/>
      <c r="D267" s="270"/>
      <c r="E267" s="269"/>
      <c r="F267" s="269"/>
      <c r="G267" s="269"/>
      <c r="H267" s="269"/>
      <c r="I267" s="269"/>
      <c r="J267" s="271"/>
      <c r="K267" s="272"/>
      <c r="L267" s="269"/>
      <c r="M267" s="273"/>
      <c r="N267" s="269"/>
      <c r="O267" s="269"/>
      <c r="P267" s="274"/>
      <c r="Q267" s="270"/>
      <c r="R267" s="61"/>
      <c r="S267" s="269"/>
      <c r="T267" s="269"/>
      <c r="U267" s="269"/>
      <c r="V267" s="269"/>
      <c r="W267" s="269"/>
      <c r="X267" s="271"/>
      <c r="Y267" s="272"/>
      <c r="Z267" s="272"/>
      <c r="AA267" s="272"/>
      <c r="AB267" s="272"/>
    </row>
    <row r="268" spans="1:28" ht="15" customHeight="1" x14ac:dyDescent="0.25">
      <c r="A268" s="269"/>
      <c r="B268" s="269"/>
      <c r="C268" s="269"/>
      <c r="D268" s="270"/>
      <c r="E268" s="269"/>
      <c r="F268" s="269"/>
      <c r="G268" s="269"/>
      <c r="H268" s="269"/>
      <c r="I268" s="269"/>
      <c r="J268" s="271"/>
      <c r="K268" s="272"/>
      <c r="L268" s="269"/>
      <c r="M268" s="273"/>
      <c r="N268" s="269"/>
      <c r="O268" s="269"/>
      <c r="P268" s="274"/>
      <c r="Q268" s="270"/>
      <c r="R268" s="61"/>
      <c r="S268" s="269"/>
      <c r="T268" s="269"/>
      <c r="U268" s="269"/>
      <c r="V268" s="269"/>
      <c r="W268" s="269"/>
      <c r="X268" s="271"/>
      <c r="Y268" s="272"/>
      <c r="Z268" s="272"/>
      <c r="AA268" s="272"/>
      <c r="AB268" s="272"/>
    </row>
    <row r="269" spans="1:28" ht="15" customHeight="1" x14ac:dyDescent="0.25">
      <c r="A269" s="269"/>
      <c r="B269" s="269"/>
      <c r="C269" s="269"/>
      <c r="D269" s="270"/>
      <c r="E269" s="269"/>
      <c r="F269" s="269"/>
      <c r="G269" s="269"/>
      <c r="H269" s="269"/>
      <c r="I269" s="269"/>
      <c r="J269" s="271"/>
      <c r="K269" s="272"/>
      <c r="L269" s="269"/>
      <c r="M269" s="273"/>
      <c r="N269" s="269"/>
      <c r="O269" s="269"/>
      <c r="P269" s="274"/>
      <c r="Q269" s="270"/>
      <c r="R269" s="61"/>
      <c r="S269" s="269"/>
      <c r="T269" s="269"/>
      <c r="U269" s="269"/>
      <c r="V269" s="269"/>
      <c r="W269" s="269"/>
      <c r="X269" s="271"/>
      <c r="Y269" s="272"/>
      <c r="Z269" s="272"/>
      <c r="AA269" s="272"/>
      <c r="AB269" s="272"/>
    </row>
    <row r="270" spans="1:28" ht="15" customHeight="1" x14ac:dyDescent="0.25">
      <c r="A270" s="269"/>
      <c r="B270" s="269"/>
      <c r="C270" s="269"/>
      <c r="D270" s="270"/>
      <c r="E270" s="269"/>
      <c r="F270" s="269"/>
      <c r="G270" s="269"/>
      <c r="H270" s="269"/>
      <c r="I270" s="269"/>
      <c r="J270" s="271"/>
      <c r="K270" s="272"/>
      <c r="L270" s="269"/>
      <c r="M270" s="273"/>
      <c r="N270" s="269"/>
      <c r="O270" s="269"/>
      <c r="P270" s="274"/>
      <c r="Q270" s="270"/>
      <c r="R270" s="61"/>
      <c r="S270" s="269"/>
      <c r="T270" s="269"/>
      <c r="U270" s="269"/>
      <c r="V270" s="269"/>
      <c r="W270" s="269"/>
      <c r="X270" s="271"/>
      <c r="Y270" s="272"/>
      <c r="Z270" s="272"/>
      <c r="AA270" s="272"/>
      <c r="AB270" s="272"/>
    </row>
    <row r="271" spans="1:28" ht="15" customHeight="1" x14ac:dyDescent="0.25">
      <c r="A271" s="269"/>
      <c r="B271" s="269"/>
      <c r="C271" s="269"/>
      <c r="D271" s="270"/>
      <c r="E271" s="269"/>
      <c r="F271" s="269"/>
      <c r="G271" s="269"/>
      <c r="H271" s="269"/>
      <c r="I271" s="269"/>
      <c r="J271" s="271"/>
      <c r="K271" s="272"/>
      <c r="L271" s="269"/>
      <c r="M271" s="273"/>
      <c r="N271" s="269"/>
      <c r="O271" s="269"/>
      <c r="P271" s="274"/>
      <c r="Q271" s="270"/>
      <c r="R271" s="61"/>
      <c r="S271" s="269"/>
      <c r="T271" s="269"/>
      <c r="U271" s="269"/>
      <c r="V271" s="269"/>
      <c r="W271" s="269"/>
      <c r="X271" s="271"/>
      <c r="Y271" s="272"/>
      <c r="Z271" s="272"/>
      <c r="AA271" s="272"/>
      <c r="AB271" s="272"/>
    </row>
    <row r="272" spans="1:28" ht="15" customHeight="1" x14ac:dyDescent="0.25">
      <c r="A272" s="269"/>
      <c r="B272" s="269"/>
      <c r="C272" s="269"/>
      <c r="D272" s="270"/>
      <c r="E272" s="269"/>
      <c r="F272" s="269"/>
      <c r="G272" s="269"/>
      <c r="H272" s="269"/>
      <c r="I272" s="269"/>
      <c r="J272" s="271"/>
      <c r="K272" s="272"/>
      <c r="L272" s="269"/>
      <c r="M272" s="273"/>
      <c r="N272" s="269"/>
      <c r="O272" s="269"/>
      <c r="P272" s="274"/>
      <c r="Q272" s="270"/>
      <c r="R272" s="61"/>
      <c r="S272" s="269"/>
      <c r="T272" s="269"/>
      <c r="U272" s="269"/>
      <c r="V272" s="269"/>
      <c r="W272" s="269"/>
      <c r="X272" s="271"/>
      <c r="Y272" s="272"/>
      <c r="Z272" s="272"/>
      <c r="AA272" s="272"/>
      <c r="AB272" s="272"/>
    </row>
    <row r="273" spans="1:28" ht="15" customHeight="1" x14ac:dyDescent="0.25">
      <c r="A273" s="269"/>
      <c r="B273" s="269"/>
      <c r="C273" s="269"/>
      <c r="D273" s="270"/>
      <c r="E273" s="269"/>
      <c r="F273" s="269"/>
      <c r="G273" s="269"/>
      <c r="H273" s="269"/>
      <c r="I273" s="269"/>
      <c r="J273" s="271"/>
      <c r="K273" s="272"/>
      <c r="L273" s="269"/>
      <c r="M273" s="273"/>
      <c r="N273" s="269"/>
      <c r="O273" s="269"/>
      <c r="P273" s="274"/>
      <c r="Q273" s="270"/>
      <c r="R273" s="61"/>
      <c r="S273" s="269"/>
      <c r="T273" s="269"/>
      <c r="U273" s="269"/>
      <c r="V273" s="269"/>
      <c r="W273" s="269"/>
      <c r="X273" s="271"/>
      <c r="Y273" s="272"/>
      <c r="Z273" s="272"/>
      <c r="AA273" s="272"/>
      <c r="AB273" s="272"/>
    </row>
    <row r="274" spans="1:28" ht="15" customHeight="1" x14ac:dyDescent="0.25">
      <c r="A274" s="269"/>
      <c r="B274" s="269"/>
      <c r="C274" s="269"/>
      <c r="D274" s="270"/>
      <c r="E274" s="269"/>
      <c r="F274" s="269"/>
      <c r="G274" s="269"/>
      <c r="H274" s="269"/>
      <c r="I274" s="269"/>
      <c r="J274" s="271"/>
      <c r="K274" s="272"/>
      <c r="L274" s="269"/>
      <c r="M274" s="273"/>
      <c r="N274" s="269"/>
      <c r="O274" s="269"/>
      <c r="P274" s="274"/>
      <c r="Q274" s="270"/>
      <c r="R274" s="61"/>
      <c r="S274" s="269"/>
      <c r="T274" s="269"/>
      <c r="U274" s="269"/>
      <c r="V274" s="269"/>
      <c r="W274" s="269"/>
      <c r="X274" s="271"/>
      <c r="Y274" s="272"/>
      <c r="Z274" s="272"/>
      <c r="AA274" s="272"/>
      <c r="AB274" s="272"/>
    </row>
    <row r="275" spans="1:28" ht="15" customHeight="1" x14ac:dyDescent="0.25">
      <c r="A275" s="269"/>
      <c r="B275" s="269"/>
      <c r="C275" s="269"/>
      <c r="D275" s="270"/>
      <c r="E275" s="269"/>
      <c r="F275" s="269"/>
      <c r="G275" s="269"/>
      <c r="H275" s="269"/>
      <c r="I275" s="269"/>
      <c r="J275" s="271"/>
      <c r="K275" s="272"/>
      <c r="L275" s="269"/>
      <c r="M275" s="273"/>
      <c r="N275" s="269"/>
      <c r="O275" s="269"/>
      <c r="P275" s="274"/>
      <c r="Q275" s="270"/>
      <c r="R275" s="61"/>
      <c r="S275" s="269"/>
      <c r="T275" s="269"/>
      <c r="U275" s="269"/>
      <c r="V275" s="269"/>
      <c r="W275" s="269"/>
      <c r="X275" s="271"/>
      <c r="Y275" s="272"/>
      <c r="Z275" s="272"/>
      <c r="AA275" s="272"/>
      <c r="AB275" s="272"/>
    </row>
    <row r="276" spans="1:28" ht="15" customHeight="1" x14ac:dyDescent="0.25">
      <c r="A276" s="269"/>
      <c r="B276" s="269"/>
      <c r="C276" s="269"/>
      <c r="D276" s="270"/>
      <c r="E276" s="269"/>
      <c r="F276" s="269"/>
      <c r="G276" s="269"/>
      <c r="H276" s="269"/>
      <c r="I276" s="269"/>
      <c r="J276" s="271"/>
      <c r="K276" s="272"/>
      <c r="L276" s="269"/>
      <c r="M276" s="273"/>
      <c r="N276" s="269"/>
      <c r="O276" s="269"/>
      <c r="P276" s="274"/>
      <c r="Q276" s="270"/>
      <c r="R276" s="61"/>
      <c r="S276" s="269"/>
      <c r="T276" s="269"/>
      <c r="U276" s="269"/>
      <c r="V276" s="269"/>
      <c r="W276" s="269"/>
      <c r="X276" s="271"/>
      <c r="Y276" s="272"/>
      <c r="Z276" s="272"/>
      <c r="AA276" s="272"/>
      <c r="AB276" s="272"/>
    </row>
    <row r="277" spans="1:28" ht="15" customHeight="1" x14ac:dyDescent="0.25">
      <c r="A277" s="269"/>
      <c r="B277" s="269"/>
      <c r="C277" s="269"/>
      <c r="D277" s="270"/>
      <c r="E277" s="269"/>
      <c r="F277" s="269"/>
      <c r="G277" s="269"/>
      <c r="H277" s="269"/>
      <c r="I277" s="269"/>
      <c r="J277" s="271"/>
      <c r="K277" s="272"/>
      <c r="L277" s="269"/>
      <c r="M277" s="273"/>
      <c r="N277" s="269"/>
      <c r="O277" s="269"/>
      <c r="P277" s="274"/>
      <c r="Q277" s="270"/>
      <c r="R277" s="61"/>
      <c r="S277" s="269"/>
      <c r="T277" s="269"/>
      <c r="U277" s="269"/>
      <c r="V277" s="269"/>
      <c r="W277" s="269"/>
      <c r="X277" s="271"/>
      <c r="Y277" s="272"/>
      <c r="Z277" s="272"/>
      <c r="AA277" s="272"/>
      <c r="AB277" s="272"/>
    </row>
    <row r="278" spans="1:28" ht="15" customHeight="1" x14ac:dyDescent="0.25">
      <c r="A278" s="269"/>
      <c r="B278" s="269"/>
      <c r="C278" s="269"/>
      <c r="D278" s="270"/>
      <c r="E278" s="269"/>
      <c r="F278" s="269"/>
      <c r="G278" s="269"/>
      <c r="H278" s="269"/>
      <c r="I278" s="269"/>
      <c r="J278" s="271"/>
      <c r="K278" s="272"/>
      <c r="L278" s="269"/>
      <c r="M278" s="273"/>
      <c r="N278" s="269"/>
      <c r="O278" s="269"/>
      <c r="P278" s="274"/>
      <c r="Q278" s="270"/>
      <c r="R278" s="61"/>
      <c r="S278" s="269"/>
      <c r="T278" s="269"/>
      <c r="U278" s="269"/>
      <c r="V278" s="269"/>
      <c r="W278" s="269"/>
      <c r="X278" s="271"/>
      <c r="Y278" s="272"/>
      <c r="Z278" s="272"/>
      <c r="AA278" s="272"/>
      <c r="AB278" s="272"/>
    </row>
    <row r="279" spans="1:28" ht="15" customHeight="1" x14ac:dyDescent="0.25">
      <c r="A279" s="269"/>
      <c r="B279" s="269"/>
      <c r="C279" s="269"/>
      <c r="D279" s="270"/>
      <c r="E279" s="269"/>
      <c r="F279" s="269"/>
      <c r="G279" s="269"/>
      <c r="H279" s="269"/>
      <c r="I279" s="269"/>
      <c r="J279" s="271"/>
      <c r="K279" s="272"/>
      <c r="L279" s="269"/>
      <c r="M279" s="273"/>
      <c r="N279" s="269"/>
      <c r="O279" s="269"/>
      <c r="P279" s="274"/>
      <c r="Q279" s="270"/>
      <c r="R279" s="61"/>
      <c r="S279" s="269"/>
      <c r="T279" s="269"/>
      <c r="U279" s="269"/>
      <c r="V279" s="269"/>
      <c r="W279" s="269"/>
      <c r="X279" s="271"/>
      <c r="Y279" s="272"/>
      <c r="Z279" s="272"/>
      <c r="AA279" s="272"/>
      <c r="AB279" s="272"/>
    </row>
    <row r="280" spans="1:28" ht="15" customHeight="1" x14ac:dyDescent="0.25">
      <c r="A280" s="269"/>
      <c r="B280" s="269"/>
      <c r="C280" s="269"/>
      <c r="D280" s="270"/>
      <c r="E280" s="269"/>
      <c r="F280" s="269"/>
      <c r="G280" s="269"/>
      <c r="H280" s="269"/>
      <c r="I280" s="269"/>
      <c r="J280" s="271"/>
      <c r="K280" s="272"/>
      <c r="L280" s="269"/>
      <c r="M280" s="273"/>
      <c r="N280" s="269"/>
      <c r="O280" s="269"/>
      <c r="P280" s="274"/>
      <c r="Q280" s="270"/>
      <c r="R280" s="61"/>
      <c r="S280" s="269"/>
      <c r="T280" s="269"/>
      <c r="U280" s="269"/>
      <c r="V280" s="269"/>
      <c r="W280" s="269"/>
      <c r="X280" s="271"/>
      <c r="Y280" s="272"/>
      <c r="Z280" s="272"/>
      <c r="AA280" s="272"/>
      <c r="AB280" s="272"/>
    </row>
    <row r="281" spans="1:28" ht="15" customHeight="1" x14ac:dyDescent="0.25">
      <c r="A281" s="269"/>
      <c r="B281" s="269"/>
      <c r="C281" s="269"/>
      <c r="D281" s="270"/>
      <c r="E281" s="269"/>
      <c r="F281" s="269"/>
      <c r="G281" s="269"/>
      <c r="H281" s="269"/>
      <c r="I281" s="269"/>
      <c r="J281" s="271"/>
      <c r="K281" s="272"/>
      <c r="L281" s="269"/>
      <c r="M281" s="273"/>
      <c r="N281" s="269"/>
      <c r="O281" s="269"/>
      <c r="P281" s="274"/>
      <c r="Q281" s="270"/>
      <c r="R281" s="61"/>
      <c r="S281" s="269"/>
      <c r="T281" s="269"/>
      <c r="U281" s="269"/>
      <c r="V281" s="269"/>
      <c r="W281" s="269"/>
      <c r="X281" s="271"/>
      <c r="Y281" s="272"/>
      <c r="Z281" s="272"/>
      <c r="AA281" s="272"/>
      <c r="AB281" s="272"/>
    </row>
    <row r="282" spans="1:28" ht="15" customHeight="1" x14ac:dyDescent="0.25">
      <c r="A282" s="269"/>
      <c r="B282" s="269"/>
      <c r="C282" s="269"/>
      <c r="D282" s="270"/>
      <c r="E282" s="269"/>
      <c r="F282" s="269"/>
      <c r="G282" s="269"/>
      <c r="H282" s="269"/>
      <c r="I282" s="269"/>
      <c r="J282" s="271"/>
      <c r="K282" s="272"/>
      <c r="L282" s="269"/>
      <c r="M282" s="273"/>
      <c r="N282" s="269"/>
      <c r="O282" s="269"/>
      <c r="P282" s="274"/>
      <c r="Q282" s="270"/>
      <c r="R282" s="61"/>
      <c r="S282" s="269"/>
      <c r="T282" s="269"/>
      <c r="U282" s="269"/>
      <c r="V282" s="269"/>
      <c r="W282" s="269"/>
      <c r="X282" s="271"/>
      <c r="Y282" s="272"/>
      <c r="Z282" s="272"/>
      <c r="AA282" s="272"/>
      <c r="AB282" s="272"/>
    </row>
    <row r="283" spans="1:28" ht="15" customHeight="1" x14ac:dyDescent="0.25">
      <c r="A283" s="269"/>
      <c r="B283" s="269"/>
      <c r="C283" s="269"/>
      <c r="D283" s="270"/>
      <c r="E283" s="269"/>
      <c r="F283" s="269"/>
      <c r="G283" s="269"/>
      <c r="H283" s="269"/>
      <c r="I283" s="269"/>
      <c r="J283" s="271"/>
      <c r="K283" s="272"/>
      <c r="L283" s="269"/>
      <c r="M283" s="273"/>
      <c r="N283" s="269"/>
      <c r="O283" s="269"/>
      <c r="P283" s="274"/>
      <c r="Q283" s="270"/>
      <c r="R283" s="61"/>
      <c r="S283" s="269"/>
      <c r="T283" s="269"/>
      <c r="U283" s="269"/>
      <c r="V283" s="269"/>
      <c r="W283" s="269"/>
      <c r="X283" s="271"/>
      <c r="Y283" s="272"/>
      <c r="Z283" s="272"/>
      <c r="AA283" s="272"/>
      <c r="AB283" s="272"/>
    </row>
    <row r="284" spans="1:28" ht="15" customHeight="1" x14ac:dyDescent="0.25">
      <c r="A284" s="269"/>
      <c r="B284" s="269"/>
      <c r="C284" s="269"/>
      <c r="D284" s="270"/>
      <c r="E284" s="269"/>
      <c r="F284" s="269"/>
      <c r="G284" s="269"/>
      <c r="H284" s="269"/>
      <c r="I284" s="269"/>
      <c r="J284" s="271"/>
      <c r="K284" s="272"/>
      <c r="L284" s="269"/>
      <c r="M284" s="273"/>
      <c r="N284" s="269"/>
      <c r="O284" s="269"/>
      <c r="P284" s="274"/>
      <c r="Q284" s="270"/>
      <c r="R284" s="61"/>
      <c r="S284" s="269"/>
      <c r="T284" s="269"/>
      <c r="U284" s="269"/>
      <c r="V284" s="269"/>
      <c r="W284" s="269"/>
      <c r="X284" s="271"/>
      <c r="Y284" s="272"/>
      <c r="Z284" s="272"/>
      <c r="AA284" s="272"/>
      <c r="AB284" s="272"/>
    </row>
    <row r="285" spans="1:28" ht="15" customHeight="1" x14ac:dyDescent="0.25">
      <c r="A285" s="269"/>
      <c r="B285" s="269"/>
      <c r="C285" s="269"/>
      <c r="D285" s="270"/>
      <c r="E285" s="269"/>
      <c r="F285" s="269"/>
      <c r="G285" s="269"/>
      <c r="H285" s="269"/>
      <c r="I285" s="269"/>
      <c r="J285" s="271"/>
      <c r="K285" s="272"/>
      <c r="L285" s="269"/>
      <c r="M285" s="273"/>
      <c r="N285" s="269"/>
      <c r="O285" s="269"/>
      <c r="P285" s="274"/>
      <c r="Q285" s="270"/>
      <c r="R285" s="61"/>
      <c r="S285" s="269"/>
      <c r="T285" s="269"/>
      <c r="U285" s="269"/>
      <c r="V285" s="269"/>
      <c r="W285" s="269"/>
      <c r="X285" s="271"/>
      <c r="Y285" s="272"/>
      <c r="Z285" s="272"/>
      <c r="AA285" s="272"/>
      <c r="AB285" s="272"/>
    </row>
    <row r="286" spans="1:28" ht="15" customHeight="1" x14ac:dyDescent="0.25">
      <c r="A286" s="269"/>
      <c r="B286" s="269"/>
      <c r="C286" s="269"/>
      <c r="D286" s="270"/>
      <c r="E286" s="269"/>
      <c r="F286" s="269"/>
      <c r="G286" s="269"/>
      <c r="H286" s="269"/>
      <c r="I286" s="269"/>
      <c r="J286" s="271"/>
      <c r="K286" s="272"/>
      <c r="L286" s="269"/>
      <c r="M286" s="273"/>
      <c r="N286" s="269"/>
      <c r="O286" s="269"/>
      <c r="P286" s="274"/>
      <c r="Q286" s="270"/>
      <c r="R286" s="61"/>
      <c r="S286" s="269"/>
      <c r="T286" s="269"/>
      <c r="U286" s="269"/>
      <c r="V286" s="269"/>
      <c r="W286" s="269"/>
      <c r="X286" s="271"/>
      <c r="Y286" s="272"/>
      <c r="Z286" s="272"/>
      <c r="AA286" s="272"/>
      <c r="AB286" s="272"/>
    </row>
    <row r="287" spans="1:28" ht="15" customHeight="1" x14ac:dyDescent="0.25">
      <c r="A287" s="269"/>
      <c r="B287" s="269"/>
      <c r="C287" s="269"/>
      <c r="D287" s="270"/>
      <c r="E287" s="269"/>
      <c r="F287" s="269"/>
      <c r="G287" s="269"/>
      <c r="H287" s="269"/>
      <c r="I287" s="269"/>
      <c r="J287" s="271"/>
      <c r="K287" s="272"/>
      <c r="L287" s="269"/>
      <c r="M287" s="273"/>
      <c r="N287" s="269"/>
      <c r="O287" s="269"/>
      <c r="P287" s="274"/>
      <c r="Q287" s="270"/>
      <c r="R287" s="61"/>
      <c r="S287" s="269"/>
      <c r="T287" s="269"/>
      <c r="U287" s="269"/>
      <c r="V287" s="269"/>
      <c r="W287" s="269"/>
      <c r="X287" s="271"/>
      <c r="Y287" s="272"/>
      <c r="Z287" s="272"/>
      <c r="AA287" s="272"/>
      <c r="AB287" s="272"/>
    </row>
    <row r="288" spans="1:28" ht="15" customHeight="1" x14ac:dyDescent="0.25">
      <c r="A288" s="269"/>
      <c r="B288" s="269"/>
      <c r="C288" s="269"/>
      <c r="D288" s="270"/>
      <c r="E288" s="269"/>
      <c r="F288" s="269"/>
      <c r="G288" s="269"/>
      <c r="H288" s="269"/>
      <c r="I288" s="269"/>
      <c r="J288" s="271"/>
      <c r="K288" s="272"/>
      <c r="L288" s="269"/>
      <c r="M288" s="273"/>
      <c r="N288" s="269"/>
      <c r="O288" s="269"/>
      <c r="P288" s="274"/>
      <c r="Q288" s="270"/>
      <c r="R288" s="61"/>
      <c r="S288" s="269"/>
      <c r="T288" s="269"/>
      <c r="U288" s="269"/>
      <c r="V288" s="269"/>
      <c r="W288" s="269"/>
      <c r="X288" s="271"/>
      <c r="Y288" s="272"/>
      <c r="Z288" s="272"/>
      <c r="AA288" s="272"/>
      <c r="AB288" s="272"/>
    </row>
    <row r="289" spans="1:28" ht="15" customHeight="1" x14ac:dyDescent="0.25">
      <c r="A289" s="269"/>
      <c r="B289" s="269"/>
      <c r="C289" s="269"/>
      <c r="D289" s="270"/>
      <c r="E289" s="269"/>
      <c r="F289" s="269"/>
      <c r="G289" s="269"/>
      <c r="H289" s="269"/>
      <c r="I289" s="269"/>
      <c r="J289" s="271"/>
      <c r="K289" s="272"/>
      <c r="L289" s="269"/>
      <c r="M289" s="273"/>
      <c r="N289" s="269"/>
      <c r="O289" s="269"/>
      <c r="P289" s="274"/>
      <c r="Q289" s="270"/>
      <c r="R289" s="61"/>
      <c r="S289" s="269"/>
      <c r="T289" s="269"/>
      <c r="U289" s="269"/>
      <c r="V289" s="269"/>
      <c r="W289" s="269"/>
      <c r="X289" s="271"/>
      <c r="Y289" s="272"/>
      <c r="Z289" s="272"/>
      <c r="AA289" s="272"/>
      <c r="AB289" s="272"/>
    </row>
    <row r="290" spans="1:28" ht="15" customHeight="1" x14ac:dyDescent="0.25">
      <c r="A290" s="269"/>
      <c r="B290" s="269"/>
      <c r="C290" s="269"/>
      <c r="D290" s="270"/>
      <c r="E290" s="269"/>
      <c r="F290" s="269"/>
      <c r="G290" s="269"/>
      <c r="H290" s="269"/>
      <c r="I290" s="269"/>
      <c r="J290" s="271"/>
      <c r="K290" s="272"/>
      <c r="L290" s="269"/>
      <c r="M290" s="273"/>
      <c r="N290" s="269"/>
      <c r="O290" s="269"/>
      <c r="P290" s="274"/>
      <c r="Q290" s="270"/>
      <c r="R290" s="61"/>
      <c r="S290" s="269"/>
      <c r="T290" s="269"/>
      <c r="U290" s="269"/>
      <c r="V290" s="269"/>
      <c r="W290" s="269"/>
      <c r="X290" s="271"/>
      <c r="Y290" s="272"/>
      <c r="Z290" s="272"/>
      <c r="AA290" s="272"/>
      <c r="AB290" s="272"/>
    </row>
    <row r="291" spans="1:28" ht="15" customHeight="1" x14ac:dyDescent="0.25">
      <c r="A291" s="269"/>
      <c r="B291" s="269"/>
      <c r="C291" s="269"/>
      <c r="D291" s="270"/>
      <c r="E291" s="269"/>
      <c r="F291" s="269"/>
      <c r="G291" s="269"/>
      <c r="H291" s="269"/>
      <c r="I291" s="269"/>
      <c r="J291" s="271"/>
      <c r="K291" s="272"/>
      <c r="L291" s="269"/>
      <c r="M291" s="273"/>
      <c r="N291" s="269"/>
      <c r="O291" s="269"/>
      <c r="P291" s="274"/>
      <c r="Q291" s="270"/>
      <c r="R291" s="61"/>
      <c r="S291" s="269"/>
      <c r="T291" s="269"/>
      <c r="U291" s="269"/>
      <c r="V291" s="269"/>
      <c r="W291" s="269"/>
      <c r="X291" s="271"/>
      <c r="Y291" s="272"/>
      <c r="Z291" s="272"/>
      <c r="AA291" s="272"/>
      <c r="AB291" s="272"/>
    </row>
    <row r="292" spans="1:28" ht="15" customHeight="1" x14ac:dyDescent="0.25">
      <c r="A292" s="269"/>
      <c r="B292" s="269"/>
      <c r="C292" s="269"/>
      <c r="D292" s="270"/>
      <c r="E292" s="269"/>
      <c r="F292" s="269"/>
      <c r="G292" s="269"/>
      <c r="H292" s="269"/>
      <c r="I292" s="269"/>
      <c r="J292" s="271"/>
      <c r="K292" s="272"/>
      <c r="L292" s="269"/>
      <c r="M292" s="273"/>
      <c r="N292" s="269"/>
      <c r="O292" s="269"/>
      <c r="P292" s="274"/>
      <c r="Q292" s="270"/>
      <c r="R292" s="61"/>
      <c r="S292" s="269"/>
      <c r="T292" s="269"/>
      <c r="U292" s="269"/>
      <c r="V292" s="269"/>
      <c r="W292" s="269"/>
      <c r="X292" s="271"/>
      <c r="Y292" s="272"/>
      <c r="Z292" s="272"/>
      <c r="AA292" s="272"/>
      <c r="AB292" s="272"/>
    </row>
    <row r="293" spans="1:28" ht="15" customHeight="1" x14ac:dyDescent="0.25">
      <c r="A293" s="269"/>
      <c r="B293" s="269"/>
      <c r="C293" s="269"/>
      <c r="D293" s="270"/>
      <c r="E293" s="269"/>
      <c r="F293" s="269"/>
      <c r="G293" s="269"/>
      <c r="H293" s="269"/>
      <c r="I293" s="269"/>
      <c r="J293" s="271"/>
      <c r="K293" s="272"/>
      <c r="L293" s="269"/>
      <c r="M293" s="273"/>
      <c r="N293" s="269"/>
      <c r="O293" s="269"/>
      <c r="P293" s="274"/>
      <c r="Q293" s="270"/>
      <c r="R293" s="61"/>
      <c r="S293" s="269"/>
      <c r="T293" s="269"/>
      <c r="U293" s="269"/>
      <c r="V293" s="269"/>
      <c r="W293" s="269"/>
      <c r="X293" s="271"/>
      <c r="Y293" s="272"/>
      <c r="Z293" s="272"/>
      <c r="AA293" s="272"/>
      <c r="AB293" s="272"/>
    </row>
    <row r="294" spans="1:28" ht="15" customHeight="1" x14ac:dyDescent="0.25">
      <c r="A294" s="269"/>
      <c r="B294" s="269"/>
      <c r="C294" s="269"/>
      <c r="D294" s="270"/>
      <c r="E294" s="269"/>
      <c r="F294" s="269"/>
      <c r="G294" s="269"/>
      <c r="H294" s="269"/>
      <c r="I294" s="269"/>
      <c r="J294" s="271"/>
      <c r="K294" s="272"/>
      <c r="L294" s="269"/>
      <c r="M294" s="273"/>
      <c r="N294" s="269"/>
      <c r="O294" s="269"/>
      <c r="P294" s="274"/>
      <c r="Q294" s="270"/>
      <c r="R294" s="61"/>
      <c r="S294" s="269"/>
      <c r="T294" s="269"/>
      <c r="U294" s="269"/>
      <c r="V294" s="269"/>
      <c r="W294" s="269"/>
      <c r="X294" s="271"/>
      <c r="Y294" s="272"/>
      <c r="Z294" s="272"/>
      <c r="AA294" s="272"/>
      <c r="AB294" s="272"/>
    </row>
    <row r="295" spans="1:28" ht="15" customHeight="1" x14ac:dyDescent="0.25">
      <c r="A295" s="269"/>
      <c r="B295" s="269"/>
      <c r="C295" s="269"/>
      <c r="D295" s="270"/>
      <c r="E295" s="269"/>
      <c r="F295" s="269"/>
      <c r="G295" s="269"/>
      <c r="H295" s="269"/>
      <c r="I295" s="269"/>
      <c r="J295" s="271"/>
      <c r="K295" s="272"/>
      <c r="L295" s="269"/>
      <c r="M295" s="273"/>
      <c r="N295" s="269"/>
      <c r="O295" s="269"/>
      <c r="P295" s="274"/>
      <c r="Q295" s="270"/>
      <c r="R295" s="61"/>
      <c r="S295" s="269"/>
      <c r="T295" s="269"/>
      <c r="U295" s="269"/>
      <c r="V295" s="269"/>
      <c r="W295" s="269"/>
      <c r="X295" s="271"/>
      <c r="Y295" s="272"/>
      <c r="Z295" s="272"/>
      <c r="AA295" s="272"/>
      <c r="AB295" s="272"/>
    </row>
    <row r="296" spans="1:28" ht="15" customHeight="1" x14ac:dyDescent="0.25">
      <c r="A296" s="269"/>
      <c r="B296" s="269"/>
      <c r="C296" s="269"/>
      <c r="D296" s="270"/>
      <c r="E296" s="269"/>
      <c r="F296" s="269"/>
      <c r="G296" s="269"/>
      <c r="H296" s="269"/>
      <c r="I296" s="269"/>
      <c r="J296" s="271"/>
      <c r="K296" s="272"/>
      <c r="L296" s="269"/>
      <c r="M296" s="273"/>
      <c r="N296" s="269"/>
      <c r="O296" s="269"/>
      <c r="P296" s="274"/>
      <c r="Q296" s="270"/>
      <c r="R296" s="61"/>
      <c r="S296" s="269"/>
      <c r="T296" s="269"/>
      <c r="U296" s="269"/>
      <c r="V296" s="269"/>
      <c r="W296" s="269"/>
      <c r="X296" s="271"/>
      <c r="Y296" s="272"/>
      <c r="Z296" s="272"/>
      <c r="AA296" s="272"/>
      <c r="AB296" s="272"/>
    </row>
    <row r="297" spans="1:28" ht="15" customHeight="1" x14ac:dyDescent="0.25">
      <c r="A297" s="269"/>
      <c r="B297" s="269"/>
      <c r="C297" s="269"/>
      <c r="D297" s="270"/>
      <c r="E297" s="269"/>
      <c r="F297" s="269"/>
      <c r="G297" s="269"/>
      <c r="H297" s="269"/>
      <c r="I297" s="269"/>
      <c r="J297" s="271"/>
      <c r="K297" s="272"/>
      <c r="L297" s="269"/>
      <c r="M297" s="273"/>
      <c r="N297" s="269"/>
      <c r="O297" s="269"/>
      <c r="P297" s="274"/>
      <c r="Q297" s="270"/>
      <c r="R297" s="61"/>
      <c r="S297" s="269"/>
      <c r="T297" s="269"/>
      <c r="U297" s="269"/>
      <c r="V297" s="269"/>
      <c r="W297" s="269"/>
      <c r="X297" s="271"/>
      <c r="Y297" s="272"/>
      <c r="Z297" s="272"/>
      <c r="AA297" s="272"/>
      <c r="AB297" s="272"/>
    </row>
    <row r="298" spans="1:28" ht="15" customHeight="1" x14ac:dyDescent="0.25">
      <c r="A298" s="269"/>
      <c r="B298" s="269"/>
      <c r="C298" s="269"/>
      <c r="D298" s="270"/>
      <c r="E298" s="269"/>
      <c r="F298" s="269"/>
      <c r="G298" s="269"/>
      <c r="H298" s="269"/>
      <c r="I298" s="269"/>
      <c r="J298" s="271"/>
      <c r="K298" s="272"/>
      <c r="L298" s="269"/>
      <c r="M298" s="273"/>
      <c r="N298" s="269"/>
      <c r="O298" s="269"/>
      <c r="P298" s="274"/>
      <c r="Q298" s="270"/>
      <c r="R298" s="61"/>
      <c r="S298" s="269"/>
      <c r="T298" s="269"/>
      <c r="U298" s="269"/>
      <c r="V298" s="269"/>
      <c r="W298" s="269"/>
      <c r="X298" s="271"/>
      <c r="Y298" s="272"/>
      <c r="Z298" s="272"/>
      <c r="AA298" s="272"/>
      <c r="AB298" s="272"/>
    </row>
    <row r="299" spans="1:28" ht="15" customHeight="1" x14ac:dyDescent="0.25">
      <c r="A299" s="269"/>
      <c r="B299" s="269"/>
      <c r="C299" s="269"/>
      <c r="D299" s="270"/>
      <c r="E299" s="269"/>
      <c r="F299" s="269"/>
      <c r="G299" s="269"/>
      <c r="H299" s="269"/>
      <c r="I299" s="269"/>
      <c r="J299" s="271"/>
      <c r="K299" s="272"/>
      <c r="L299" s="269"/>
      <c r="M299" s="273"/>
      <c r="N299" s="269"/>
      <c r="O299" s="269"/>
      <c r="P299" s="274"/>
      <c r="Q299" s="270"/>
      <c r="R299" s="61"/>
      <c r="S299" s="269"/>
      <c r="T299" s="269"/>
      <c r="U299" s="269"/>
      <c r="V299" s="269"/>
      <c r="W299" s="269"/>
      <c r="X299" s="271"/>
      <c r="Y299" s="272"/>
      <c r="Z299" s="272"/>
      <c r="AA299" s="272"/>
      <c r="AB299" s="272"/>
    </row>
    <row r="300" spans="1:28" ht="15" customHeight="1" x14ac:dyDescent="0.25">
      <c r="A300" s="269"/>
      <c r="B300" s="269"/>
      <c r="C300" s="269"/>
      <c r="D300" s="270"/>
      <c r="E300" s="269"/>
      <c r="F300" s="269"/>
      <c r="G300" s="269"/>
      <c r="H300" s="269"/>
      <c r="I300" s="269"/>
      <c r="J300" s="271"/>
      <c r="K300" s="272"/>
      <c r="L300" s="269"/>
      <c r="M300" s="273"/>
      <c r="N300" s="269"/>
      <c r="O300" s="269"/>
      <c r="P300" s="274"/>
      <c r="Q300" s="270"/>
      <c r="R300" s="61"/>
      <c r="S300" s="269"/>
      <c r="T300" s="269"/>
      <c r="U300" s="269"/>
      <c r="V300" s="269"/>
      <c r="W300" s="269"/>
      <c r="X300" s="271"/>
      <c r="Y300" s="272"/>
      <c r="Z300" s="272"/>
      <c r="AA300" s="272"/>
      <c r="AB300" s="272"/>
    </row>
    <row r="301" spans="1:28" ht="15" customHeight="1" x14ac:dyDescent="0.25">
      <c r="A301" s="269"/>
      <c r="B301" s="269"/>
      <c r="C301" s="269"/>
      <c r="D301" s="270"/>
      <c r="E301" s="269"/>
      <c r="F301" s="269"/>
      <c r="G301" s="269"/>
      <c r="H301" s="269"/>
      <c r="I301" s="269"/>
      <c r="J301" s="271"/>
      <c r="K301" s="272"/>
      <c r="L301" s="269"/>
      <c r="M301" s="273"/>
      <c r="N301" s="269"/>
      <c r="O301" s="269"/>
      <c r="P301" s="274"/>
      <c r="Q301" s="270"/>
      <c r="R301" s="61"/>
      <c r="S301" s="269"/>
      <c r="T301" s="269"/>
      <c r="U301" s="269"/>
      <c r="V301" s="269"/>
      <c r="W301" s="269"/>
      <c r="X301" s="271"/>
      <c r="Y301" s="272"/>
      <c r="Z301" s="272"/>
      <c r="AA301" s="272"/>
      <c r="AB301" s="272"/>
    </row>
    <row r="302" spans="1:28" ht="15" customHeight="1" x14ac:dyDescent="0.25">
      <c r="A302" s="269"/>
      <c r="B302" s="269"/>
      <c r="C302" s="269"/>
      <c r="D302" s="270"/>
      <c r="E302" s="269"/>
      <c r="F302" s="269"/>
      <c r="G302" s="269"/>
      <c r="H302" s="269"/>
      <c r="I302" s="269"/>
      <c r="J302" s="271"/>
      <c r="K302" s="272"/>
      <c r="L302" s="269"/>
      <c r="M302" s="273"/>
      <c r="N302" s="269"/>
      <c r="O302" s="269"/>
      <c r="P302" s="274"/>
      <c r="Q302" s="270"/>
      <c r="R302" s="61"/>
      <c r="S302" s="269"/>
      <c r="T302" s="269"/>
      <c r="U302" s="269"/>
      <c r="V302" s="269"/>
      <c r="W302" s="269"/>
      <c r="X302" s="271"/>
      <c r="Y302" s="272"/>
      <c r="Z302" s="272"/>
      <c r="AA302" s="272"/>
      <c r="AB302" s="272"/>
    </row>
    <row r="303" spans="1:28" ht="15" customHeight="1" x14ac:dyDescent="0.25">
      <c r="A303" s="269"/>
      <c r="B303" s="269"/>
      <c r="C303" s="269"/>
      <c r="D303" s="270"/>
      <c r="E303" s="269"/>
      <c r="F303" s="269"/>
      <c r="G303" s="269"/>
      <c r="H303" s="269"/>
      <c r="I303" s="269"/>
      <c r="J303" s="271"/>
      <c r="K303" s="272"/>
      <c r="L303" s="269"/>
      <c r="M303" s="273"/>
      <c r="N303" s="269"/>
      <c r="O303" s="269"/>
      <c r="P303" s="274"/>
      <c r="Q303" s="270"/>
      <c r="R303" s="61"/>
      <c r="S303" s="269"/>
      <c r="T303" s="269"/>
      <c r="U303" s="269"/>
      <c r="V303" s="269"/>
      <c r="W303" s="269"/>
      <c r="X303" s="271"/>
      <c r="Y303" s="272"/>
      <c r="Z303" s="272"/>
      <c r="AA303" s="272"/>
      <c r="AB303" s="272"/>
    </row>
    <row r="304" spans="1:28" ht="15" customHeight="1" x14ac:dyDescent="0.25">
      <c r="A304" s="269"/>
      <c r="B304" s="269"/>
      <c r="C304" s="269"/>
      <c r="D304" s="270"/>
      <c r="E304" s="269"/>
      <c r="F304" s="269"/>
      <c r="G304" s="269"/>
      <c r="H304" s="269"/>
      <c r="I304" s="269"/>
      <c r="J304" s="271"/>
      <c r="K304" s="272"/>
      <c r="L304" s="269"/>
      <c r="M304" s="273"/>
      <c r="N304" s="269"/>
      <c r="O304" s="269"/>
      <c r="P304" s="274"/>
      <c r="Q304" s="270"/>
      <c r="R304" s="61"/>
      <c r="S304" s="269"/>
      <c r="T304" s="269"/>
      <c r="U304" s="269"/>
      <c r="V304" s="269"/>
      <c r="W304" s="269"/>
      <c r="X304" s="271"/>
      <c r="Y304" s="272"/>
      <c r="Z304" s="272"/>
      <c r="AA304" s="272"/>
      <c r="AB304" s="272"/>
    </row>
    <row r="305" spans="1:28" ht="15" customHeight="1" x14ac:dyDescent="0.25">
      <c r="A305" s="269"/>
      <c r="B305" s="269"/>
      <c r="C305" s="269"/>
      <c r="D305" s="270"/>
      <c r="E305" s="269"/>
      <c r="F305" s="269"/>
      <c r="G305" s="269"/>
      <c r="H305" s="269"/>
      <c r="I305" s="269"/>
      <c r="J305" s="271"/>
      <c r="K305" s="272"/>
      <c r="L305" s="269"/>
      <c r="M305" s="273"/>
      <c r="N305" s="269"/>
      <c r="O305" s="269"/>
      <c r="P305" s="274"/>
      <c r="Q305" s="270"/>
      <c r="R305" s="61"/>
      <c r="S305" s="269"/>
      <c r="T305" s="269"/>
      <c r="U305" s="269"/>
      <c r="V305" s="269"/>
      <c r="W305" s="269"/>
      <c r="X305" s="271"/>
      <c r="Y305" s="272"/>
      <c r="Z305" s="272"/>
      <c r="AA305" s="272"/>
      <c r="AB305" s="272"/>
    </row>
    <row r="306" spans="1:28" ht="15" customHeight="1" x14ac:dyDescent="0.25">
      <c r="A306" s="269"/>
      <c r="B306" s="269"/>
      <c r="C306" s="269"/>
      <c r="D306" s="270"/>
      <c r="E306" s="269"/>
      <c r="F306" s="269"/>
      <c r="G306" s="269"/>
      <c r="H306" s="269"/>
      <c r="I306" s="269"/>
      <c r="J306" s="271"/>
      <c r="K306" s="272"/>
      <c r="L306" s="269"/>
      <c r="M306" s="273"/>
      <c r="N306" s="269"/>
      <c r="O306" s="269"/>
      <c r="P306" s="274"/>
      <c r="Q306" s="270"/>
      <c r="R306" s="61"/>
      <c r="S306" s="269"/>
      <c r="T306" s="269"/>
      <c r="U306" s="269"/>
      <c r="V306" s="269"/>
      <c r="W306" s="269"/>
      <c r="X306" s="271"/>
      <c r="Y306" s="272"/>
      <c r="Z306" s="272"/>
      <c r="AA306" s="272"/>
      <c r="AB306" s="272"/>
    </row>
    <row r="307" spans="1:28" ht="15" customHeight="1" x14ac:dyDescent="0.25">
      <c r="A307" s="269"/>
      <c r="B307" s="269"/>
      <c r="C307" s="269"/>
      <c r="D307" s="270"/>
      <c r="E307" s="269"/>
      <c r="F307" s="269"/>
      <c r="G307" s="269"/>
      <c r="H307" s="269"/>
      <c r="I307" s="269"/>
      <c r="J307" s="271"/>
      <c r="K307" s="272"/>
      <c r="L307" s="269"/>
      <c r="M307" s="273"/>
      <c r="N307" s="269"/>
      <c r="O307" s="269"/>
      <c r="P307" s="274"/>
      <c r="Q307" s="270"/>
      <c r="R307" s="61"/>
      <c r="S307" s="269"/>
      <c r="T307" s="269"/>
      <c r="U307" s="269"/>
      <c r="V307" s="269"/>
      <c r="W307" s="269"/>
      <c r="X307" s="271"/>
      <c r="Y307" s="272"/>
      <c r="Z307" s="272"/>
      <c r="AA307" s="272"/>
      <c r="AB307" s="272"/>
    </row>
    <row r="308" spans="1:28" ht="15" customHeight="1" x14ac:dyDescent="0.25">
      <c r="A308" s="269"/>
      <c r="B308" s="269"/>
      <c r="C308" s="269"/>
      <c r="D308" s="270"/>
      <c r="E308" s="269"/>
      <c r="F308" s="269"/>
      <c r="G308" s="269"/>
      <c r="H308" s="269"/>
      <c r="I308" s="269"/>
      <c r="J308" s="271"/>
      <c r="K308" s="272"/>
      <c r="L308" s="269"/>
      <c r="M308" s="273"/>
      <c r="N308" s="269"/>
      <c r="O308" s="269"/>
      <c r="P308" s="274"/>
      <c r="Q308" s="270"/>
      <c r="R308" s="61"/>
      <c r="S308" s="269"/>
      <c r="T308" s="269"/>
      <c r="U308" s="269"/>
      <c r="V308" s="269"/>
      <c r="W308" s="269"/>
      <c r="X308" s="271"/>
      <c r="Y308" s="272"/>
      <c r="Z308" s="272"/>
      <c r="AA308" s="272"/>
      <c r="AB308" s="272"/>
    </row>
    <row r="309" spans="1:28" ht="15" customHeight="1" x14ac:dyDescent="0.25">
      <c r="A309" s="269"/>
      <c r="B309" s="269"/>
      <c r="C309" s="269"/>
      <c r="D309" s="270"/>
      <c r="E309" s="269"/>
      <c r="F309" s="269"/>
      <c r="G309" s="269"/>
      <c r="H309" s="269"/>
      <c r="I309" s="269"/>
      <c r="J309" s="271"/>
      <c r="K309" s="272"/>
      <c r="L309" s="269"/>
      <c r="M309" s="273"/>
      <c r="N309" s="269"/>
      <c r="O309" s="269"/>
      <c r="P309" s="274"/>
      <c r="Q309" s="270"/>
      <c r="R309" s="61"/>
      <c r="S309" s="269"/>
      <c r="T309" s="269"/>
      <c r="U309" s="269"/>
      <c r="V309" s="269"/>
      <c r="W309" s="269"/>
      <c r="X309" s="271"/>
      <c r="Y309" s="272"/>
      <c r="Z309" s="272"/>
      <c r="AA309" s="272"/>
      <c r="AB309" s="272"/>
    </row>
    <row r="310" spans="1:28" ht="15" customHeight="1" x14ac:dyDescent="0.25">
      <c r="A310" s="269"/>
      <c r="B310" s="269"/>
      <c r="C310" s="269"/>
      <c r="D310" s="270"/>
      <c r="E310" s="269"/>
      <c r="F310" s="269"/>
      <c r="G310" s="269"/>
      <c r="H310" s="269"/>
      <c r="I310" s="269"/>
      <c r="J310" s="271"/>
      <c r="K310" s="272"/>
      <c r="L310" s="269"/>
      <c r="M310" s="273"/>
      <c r="N310" s="269"/>
      <c r="O310" s="269"/>
      <c r="P310" s="274"/>
      <c r="Q310" s="270"/>
      <c r="R310" s="61"/>
      <c r="S310" s="269"/>
      <c r="T310" s="269"/>
      <c r="U310" s="269"/>
      <c r="V310" s="269"/>
      <c r="W310" s="269"/>
      <c r="X310" s="271"/>
      <c r="Y310" s="272"/>
      <c r="Z310" s="272"/>
      <c r="AA310" s="272"/>
      <c r="AB310" s="272"/>
    </row>
    <row r="311" spans="1:28" ht="15" customHeight="1" x14ac:dyDescent="0.25">
      <c r="A311" s="269"/>
      <c r="B311" s="269"/>
      <c r="C311" s="269"/>
      <c r="D311" s="270"/>
      <c r="E311" s="269"/>
      <c r="F311" s="269"/>
      <c r="G311" s="269"/>
      <c r="H311" s="269"/>
      <c r="I311" s="269"/>
      <c r="J311" s="271"/>
      <c r="K311" s="272"/>
      <c r="L311" s="269"/>
      <c r="M311" s="273"/>
      <c r="N311" s="269"/>
      <c r="O311" s="269"/>
      <c r="P311" s="274"/>
      <c r="Q311" s="270"/>
      <c r="R311" s="61"/>
      <c r="S311" s="269"/>
      <c r="T311" s="269"/>
      <c r="U311" s="269"/>
      <c r="V311" s="269"/>
      <c r="W311" s="269"/>
      <c r="X311" s="271"/>
      <c r="Y311" s="272"/>
      <c r="Z311" s="272"/>
      <c r="AA311" s="272"/>
      <c r="AB311" s="272"/>
    </row>
    <row r="312" spans="1:28" ht="15" customHeight="1" x14ac:dyDescent="0.25">
      <c r="A312" s="269"/>
      <c r="B312" s="269"/>
      <c r="C312" s="269"/>
      <c r="D312" s="270"/>
      <c r="E312" s="269"/>
      <c r="F312" s="269"/>
      <c r="G312" s="269"/>
      <c r="H312" s="269"/>
      <c r="I312" s="269"/>
      <c r="J312" s="271"/>
      <c r="K312" s="272"/>
      <c r="L312" s="269"/>
      <c r="M312" s="273"/>
      <c r="N312" s="269"/>
      <c r="O312" s="269"/>
      <c r="P312" s="274"/>
      <c r="Q312" s="270"/>
      <c r="R312" s="61"/>
      <c r="S312" s="269"/>
      <c r="T312" s="269"/>
      <c r="U312" s="269"/>
      <c r="V312" s="269"/>
      <c r="W312" s="269"/>
      <c r="X312" s="271"/>
      <c r="Y312" s="272"/>
      <c r="Z312" s="272"/>
      <c r="AA312" s="272"/>
      <c r="AB312" s="272"/>
    </row>
    <row r="313" spans="1:28" ht="15" customHeight="1" x14ac:dyDescent="0.25">
      <c r="A313" s="269"/>
      <c r="B313" s="269"/>
      <c r="C313" s="269"/>
      <c r="D313" s="270"/>
      <c r="E313" s="269"/>
      <c r="F313" s="269"/>
      <c r="G313" s="269"/>
      <c r="H313" s="269"/>
      <c r="I313" s="269"/>
      <c r="J313" s="271"/>
      <c r="K313" s="272"/>
      <c r="L313" s="269"/>
      <c r="M313" s="273"/>
      <c r="N313" s="269"/>
      <c r="O313" s="269"/>
      <c r="P313" s="274"/>
      <c r="Q313" s="270"/>
      <c r="R313" s="61"/>
      <c r="S313" s="269"/>
      <c r="T313" s="269"/>
      <c r="U313" s="269"/>
      <c r="V313" s="269"/>
      <c r="W313" s="269"/>
      <c r="X313" s="271"/>
      <c r="Y313" s="272"/>
      <c r="Z313" s="272"/>
      <c r="AA313" s="272"/>
      <c r="AB313" s="272"/>
    </row>
    <row r="314" spans="1:28" ht="15" customHeight="1" x14ac:dyDescent="0.25">
      <c r="A314" s="269"/>
      <c r="B314" s="269"/>
      <c r="C314" s="269"/>
      <c r="D314" s="270"/>
      <c r="E314" s="269"/>
      <c r="F314" s="269"/>
      <c r="G314" s="269"/>
      <c r="H314" s="269"/>
      <c r="I314" s="269"/>
      <c r="J314" s="271"/>
      <c r="K314" s="272"/>
      <c r="L314" s="269"/>
      <c r="M314" s="273"/>
      <c r="N314" s="269"/>
      <c r="O314" s="269"/>
      <c r="P314" s="274"/>
      <c r="Q314" s="270"/>
      <c r="R314" s="61"/>
      <c r="S314" s="269"/>
      <c r="T314" s="269"/>
      <c r="U314" s="269"/>
      <c r="V314" s="269"/>
      <c r="W314" s="269"/>
      <c r="X314" s="271"/>
      <c r="Y314" s="272"/>
      <c r="Z314" s="272"/>
      <c r="AA314" s="272"/>
      <c r="AB314" s="272"/>
    </row>
    <row r="315" spans="1:28" ht="15" customHeight="1" x14ac:dyDescent="0.25">
      <c r="A315" s="269"/>
      <c r="B315" s="269"/>
      <c r="C315" s="269"/>
      <c r="D315" s="270"/>
      <c r="E315" s="269"/>
      <c r="F315" s="269"/>
      <c r="G315" s="269"/>
      <c r="H315" s="269"/>
      <c r="I315" s="269"/>
      <c r="J315" s="271"/>
      <c r="K315" s="272"/>
      <c r="L315" s="269"/>
      <c r="M315" s="273"/>
      <c r="N315" s="269"/>
      <c r="O315" s="269"/>
      <c r="P315" s="274"/>
      <c r="Q315" s="270"/>
      <c r="R315" s="61"/>
      <c r="S315" s="269"/>
      <c r="T315" s="269"/>
      <c r="U315" s="269"/>
      <c r="V315" s="269"/>
      <c r="W315" s="269"/>
      <c r="X315" s="271"/>
      <c r="Y315" s="272"/>
      <c r="Z315" s="272"/>
      <c r="AA315" s="272"/>
      <c r="AB315" s="272"/>
    </row>
    <row r="316" spans="1:28" ht="15" customHeight="1" x14ac:dyDescent="0.25">
      <c r="A316" s="269"/>
      <c r="B316" s="269"/>
      <c r="C316" s="269"/>
      <c r="D316" s="270"/>
      <c r="E316" s="269"/>
      <c r="F316" s="269"/>
      <c r="G316" s="269"/>
      <c r="H316" s="269"/>
      <c r="I316" s="269"/>
      <c r="J316" s="271"/>
      <c r="K316" s="272"/>
      <c r="L316" s="269"/>
      <c r="M316" s="273"/>
      <c r="N316" s="269"/>
      <c r="O316" s="269"/>
      <c r="P316" s="274"/>
      <c r="Q316" s="270"/>
      <c r="R316" s="61"/>
      <c r="S316" s="269"/>
      <c r="T316" s="269"/>
      <c r="U316" s="269"/>
      <c r="V316" s="269"/>
      <c r="W316" s="269"/>
      <c r="X316" s="271"/>
      <c r="Y316" s="272"/>
      <c r="Z316" s="272"/>
      <c r="AA316" s="272"/>
      <c r="AB316" s="272"/>
    </row>
    <row r="317" spans="1:28" ht="15" customHeight="1" x14ac:dyDescent="0.25">
      <c r="A317" s="269"/>
      <c r="B317" s="269"/>
      <c r="C317" s="269"/>
      <c r="D317" s="270"/>
      <c r="E317" s="269"/>
      <c r="F317" s="269"/>
      <c r="G317" s="269"/>
      <c r="H317" s="269"/>
      <c r="I317" s="269"/>
      <c r="J317" s="271"/>
      <c r="K317" s="272"/>
      <c r="L317" s="269"/>
      <c r="M317" s="273"/>
      <c r="N317" s="269"/>
      <c r="O317" s="269"/>
      <c r="P317" s="274"/>
      <c r="Q317" s="270"/>
      <c r="R317" s="61"/>
      <c r="S317" s="269"/>
      <c r="T317" s="269"/>
      <c r="U317" s="269"/>
      <c r="V317" s="269"/>
      <c r="W317" s="269"/>
      <c r="X317" s="271"/>
      <c r="Y317" s="272"/>
      <c r="Z317" s="272"/>
      <c r="AA317" s="272"/>
      <c r="AB317" s="272"/>
    </row>
    <row r="318" spans="1:28" ht="15" customHeight="1" x14ac:dyDescent="0.25">
      <c r="A318" s="269"/>
      <c r="B318" s="269"/>
      <c r="C318" s="269"/>
      <c r="D318" s="270"/>
      <c r="E318" s="269"/>
      <c r="F318" s="269"/>
      <c r="G318" s="269"/>
      <c r="H318" s="269"/>
      <c r="I318" s="269"/>
      <c r="J318" s="271"/>
      <c r="K318" s="272"/>
      <c r="L318" s="269"/>
      <c r="M318" s="273"/>
      <c r="N318" s="269"/>
      <c r="O318" s="269"/>
      <c r="P318" s="274"/>
      <c r="Q318" s="270"/>
      <c r="R318" s="61"/>
      <c r="S318" s="269"/>
      <c r="T318" s="269"/>
      <c r="U318" s="269"/>
      <c r="V318" s="269"/>
      <c r="W318" s="269"/>
      <c r="X318" s="271"/>
      <c r="Y318" s="272"/>
      <c r="Z318" s="272"/>
      <c r="AA318" s="272"/>
      <c r="AB318" s="272"/>
    </row>
    <row r="319" spans="1:28" ht="15" customHeight="1" x14ac:dyDescent="0.25">
      <c r="A319" s="269"/>
      <c r="B319" s="269"/>
      <c r="C319" s="269"/>
      <c r="D319" s="270"/>
      <c r="E319" s="269"/>
      <c r="F319" s="269"/>
      <c r="G319" s="269"/>
      <c r="H319" s="269"/>
      <c r="I319" s="269"/>
      <c r="J319" s="271"/>
      <c r="K319" s="272"/>
      <c r="L319" s="269"/>
      <c r="M319" s="273"/>
      <c r="N319" s="269"/>
      <c r="O319" s="269"/>
      <c r="P319" s="274"/>
      <c r="Q319" s="270"/>
      <c r="R319" s="61"/>
      <c r="S319" s="269"/>
      <c r="T319" s="269"/>
      <c r="U319" s="269"/>
      <c r="V319" s="269"/>
      <c r="W319" s="269"/>
      <c r="X319" s="271"/>
      <c r="Y319" s="272"/>
      <c r="Z319" s="272"/>
      <c r="AA319" s="272"/>
      <c r="AB319" s="272"/>
    </row>
    <row r="320" spans="1:28" ht="15" customHeight="1" x14ac:dyDescent="0.25">
      <c r="A320" s="269"/>
      <c r="B320" s="269"/>
      <c r="C320" s="269"/>
      <c r="D320" s="270"/>
      <c r="E320" s="269"/>
      <c r="F320" s="269"/>
      <c r="G320" s="269"/>
      <c r="H320" s="269"/>
      <c r="I320" s="269"/>
      <c r="J320" s="271"/>
      <c r="K320" s="272"/>
      <c r="L320" s="269"/>
      <c r="M320" s="273"/>
      <c r="N320" s="269"/>
      <c r="O320" s="269"/>
      <c r="P320" s="274"/>
      <c r="Q320" s="270"/>
      <c r="R320" s="61"/>
      <c r="S320" s="269"/>
      <c r="T320" s="269"/>
      <c r="U320" s="269"/>
      <c r="V320" s="269"/>
      <c r="W320" s="269"/>
      <c r="X320" s="271"/>
      <c r="Y320" s="272"/>
      <c r="Z320" s="272"/>
      <c r="AA320" s="272"/>
      <c r="AB320" s="272"/>
    </row>
    <row r="321" spans="1:28" ht="15" customHeight="1" x14ac:dyDescent="0.25">
      <c r="A321" s="269"/>
      <c r="B321" s="269"/>
      <c r="C321" s="269"/>
      <c r="D321" s="270"/>
      <c r="E321" s="269"/>
      <c r="F321" s="269"/>
      <c r="G321" s="269"/>
      <c r="H321" s="269"/>
      <c r="I321" s="269"/>
      <c r="J321" s="271"/>
      <c r="K321" s="272"/>
      <c r="L321" s="269"/>
      <c r="M321" s="273"/>
      <c r="N321" s="269"/>
      <c r="O321" s="269"/>
      <c r="P321" s="274"/>
      <c r="Q321" s="270"/>
      <c r="R321" s="61"/>
      <c r="S321" s="269"/>
      <c r="T321" s="269"/>
      <c r="U321" s="269"/>
      <c r="V321" s="269"/>
      <c r="W321" s="269"/>
      <c r="X321" s="271"/>
      <c r="Y321" s="272"/>
      <c r="Z321" s="272"/>
      <c r="AA321" s="272"/>
      <c r="AB321" s="272"/>
    </row>
    <row r="322" spans="1:28" ht="15" customHeight="1" x14ac:dyDescent="0.25">
      <c r="A322" s="269"/>
      <c r="B322" s="269"/>
      <c r="C322" s="269"/>
      <c r="D322" s="270"/>
      <c r="E322" s="269"/>
      <c r="F322" s="269"/>
      <c r="G322" s="269"/>
      <c r="H322" s="269"/>
      <c r="I322" s="269"/>
      <c r="J322" s="271"/>
      <c r="K322" s="272"/>
      <c r="L322" s="269"/>
      <c r="M322" s="273"/>
      <c r="N322" s="269"/>
      <c r="O322" s="269"/>
      <c r="P322" s="274"/>
      <c r="Q322" s="270"/>
      <c r="R322" s="61"/>
      <c r="S322" s="269"/>
      <c r="T322" s="269"/>
      <c r="U322" s="269"/>
      <c r="V322" s="269"/>
      <c r="W322" s="269"/>
      <c r="X322" s="271"/>
      <c r="Y322" s="272"/>
      <c r="Z322" s="272"/>
      <c r="AA322" s="272"/>
      <c r="AB322" s="272"/>
    </row>
    <row r="323" spans="1:28" ht="15" customHeight="1" x14ac:dyDescent="0.25">
      <c r="A323" s="269"/>
      <c r="B323" s="269"/>
      <c r="C323" s="269"/>
      <c r="D323" s="270"/>
      <c r="E323" s="269"/>
      <c r="F323" s="269"/>
      <c r="G323" s="269"/>
      <c r="H323" s="269"/>
      <c r="I323" s="269"/>
      <c r="J323" s="271"/>
      <c r="K323" s="272"/>
      <c r="L323" s="269"/>
      <c r="M323" s="273"/>
      <c r="N323" s="269"/>
      <c r="O323" s="269"/>
      <c r="P323" s="274"/>
      <c r="Q323" s="270"/>
      <c r="R323" s="61"/>
      <c r="S323" s="269"/>
      <c r="T323" s="269"/>
      <c r="U323" s="269"/>
      <c r="V323" s="269"/>
      <c r="W323" s="269"/>
      <c r="X323" s="271"/>
      <c r="Y323" s="272"/>
      <c r="Z323" s="272"/>
      <c r="AA323" s="272"/>
      <c r="AB323" s="272"/>
    </row>
    <row r="324" spans="1:28" ht="15" customHeight="1" x14ac:dyDescent="0.25">
      <c r="A324" s="269"/>
      <c r="B324" s="269"/>
      <c r="C324" s="269"/>
      <c r="D324" s="270"/>
      <c r="E324" s="269"/>
      <c r="F324" s="269"/>
      <c r="G324" s="269"/>
      <c r="H324" s="269"/>
      <c r="I324" s="269"/>
      <c r="J324" s="271"/>
      <c r="K324" s="272"/>
      <c r="L324" s="269"/>
      <c r="M324" s="273"/>
      <c r="N324" s="269"/>
      <c r="O324" s="269"/>
      <c r="P324" s="274"/>
      <c r="Q324" s="270"/>
      <c r="R324" s="61"/>
      <c r="S324" s="269"/>
      <c r="T324" s="269"/>
      <c r="U324" s="269"/>
      <c r="V324" s="269"/>
      <c r="W324" s="269"/>
      <c r="X324" s="271"/>
      <c r="Y324" s="272"/>
      <c r="Z324" s="272"/>
      <c r="AA324" s="272"/>
      <c r="AB324" s="272"/>
    </row>
    <row r="325" spans="1:28" ht="15" customHeight="1" x14ac:dyDescent="0.25">
      <c r="A325" s="269"/>
      <c r="B325" s="269"/>
      <c r="C325" s="269"/>
      <c r="D325" s="270"/>
      <c r="E325" s="269"/>
      <c r="F325" s="269"/>
      <c r="G325" s="269"/>
      <c r="H325" s="269"/>
      <c r="I325" s="269"/>
      <c r="J325" s="271"/>
      <c r="K325" s="272"/>
      <c r="L325" s="269"/>
      <c r="M325" s="273"/>
      <c r="N325" s="269"/>
      <c r="O325" s="269"/>
      <c r="P325" s="274"/>
      <c r="Q325" s="270"/>
      <c r="R325" s="61"/>
      <c r="S325" s="269"/>
      <c r="T325" s="269"/>
      <c r="U325" s="269"/>
      <c r="V325" s="269"/>
      <c r="W325" s="269"/>
      <c r="X325" s="271"/>
      <c r="Y325" s="272"/>
      <c r="Z325" s="272"/>
      <c r="AA325" s="272"/>
      <c r="AB325" s="272"/>
    </row>
    <row r="326" spans="1:28" ht="15" customHeight="1" x14ac:dyDescent="0.25">
      <c r="A326" s="269"/>
      <c r="B326" s="269"/>
      <c r="C326" s="269"/>
      <c r="D326" s="270"/>
      <c r="E326" s="269"/>
      <c r="F326" s="269"/>
      <c r="G326" s="269"/>
      <c r="H326" s="269"/>
      <c r="I326" s="269"/>
      <c r="J326" s="271"/>
      <c r="K326" s="272"/>
      <c r="L326" s="269"/>
      <c r="M326" s="273"/>
      <c r="N326" s="269"/>
      <c r="O326" s="269"/>
      <c r="P326" s="274"/>
      <c r="Q326" s="270"/>
      <c r="R326" s="61"/>
      <c r="S326" s="269"/>
      <c r="T326" s="269"/>
      <c r="U326" s="269"/>
      <c r="V326" s="269"/>
      <c r="W326" s="269"/>
      <c r="X326" s="271"/>
      <c r="Y326" s="272"/>
      <c r="Z326" s="272"/>
      <c r="AA326" s="272"/>
      <c r="AB326" s="272"/>
    </row>
    <row r="327" spans="1:28" ht="15" customHeight="1" x14ac:dyDescent="0.25">
      <c r="A327" s="269"/>
      <c r="B327" s="269"/>
      <c r="C327" s="269"/>
      <c r="D327" s="270"/>
      <c r="E327" s="269"/>
      <c r="F327" s="269"/>
      <c r="G327" s="269"/>
      <c r="H327" s="269"/>
      <c r="I327" s="269"/>
      <c r="J327" s="271"/>
      <c r="K327" s="272"/>
      <c r="L327" s="269"/>
      <c r="M327" s="273"/>
      <c r="N327" s="269"/>
      <c r="O327" s="269"/>
      <c r="P327" s="274"/>
      <c r="Q327" s="270"/>
      <c r="R327" s="61"/>
      <c r="S327" s="269"/>
      <c r="T327" s="269"/>
      <c r="U327" s="269"/>
      <c r="V327" s="269"/>
      <c r="W327" s="269"/>
      <c r="X327" s="271"/>
      <c r="Y327" s="272"/>
      <c r="Z327" s="272"/>
      <c r="AA327" s="272"/>
      <c r="AB327" s="272"/>
    </row>
    <row r="328" spans="1:28" ht="15" customHeight="1" x14ac:dyDescent="0.25">
      <c r="A328" s="269"/>
      <c r="B328" s="269"/>
      <c r="C328" s="269"/>
      <c r="D328" s="270"/>
      <c r="E328" s="269"/>
      <c r="F328" s="269"/>
      <c r="G328" s="269"/>
      <c r="H328" s="269"/>
      <c r="I328" s="269"/>
      <c r="J328" s="271"/>
      <c r="K328" s="272"/>
      <c r="L328" s="269"/>
      <c r="M328" s="273"/>
      <c r="N328" s="269"/>
      <c r="O328" s="269"/>
      <c r="P328" s="274"/>
      <c r="Q328" s="270"/>
      <c r="R328" s="61"/>
      <c r="S328" s="269"/>
      <c r="T328" s="269"/>
      <c r="U328" s="269"/>
      <c r="V328" s="269"/>
      <c r="W328" s="269"/>
      <c r="X328" s="271"/>
      <c r="Y328" s="272"/>
      <c r="Z328" s="272"/>
      <c r="AA328" s="272"/>
      <c r="AB328" s="272"/>
    </row>
    <row r="329" spans="1:28" ht="15" customHeight="1" x14ac:dyDescent="0.25">
      <c r="A329" s="269"/>
      <c r="B329" s="269"/>
      <c r="C329" s="269"/>
      <c r="D329" s="270"/>
      <c r="E329" s="269"/>
      <c r="F329" s="269"/>
      <c r="G329" s="269"/>
      <c r="H329" s="269"/>
      <c r="I329" s="269"/>
      <c r="J329" s="271"/>
      <c r="K329" s="272"/>
      <c r="L329" s="269"/>
      <c r="M329" s="273"/>
      <c r="N329" s="269"/>
      <c r="O329" s="269"/>
      <c r="P329" s="274"/>
      <c r="Q329" s="270"/>
      <c r="R329" s="61"/>
      <c r="S329" s="269"/>
      <c r="T329" s="269"/>
      <c r="U329" s="269"/>
      <c r="V329" s="269"/>
      <c r="W329" s="269"/>
      <c r="X329" s="271"/>
      <c r="Y329" s="272"/>
      <c r="Z329" s="272"/>
      <c r="AA329" s="272"/>
      <c r="AB329" s="272"/>
    </row>
    <row r="330" spans="1:28" ht="15" customHeight="1" x14ac:dyDescent="0.25">
      <c r="A330" s="269"/>
      <c r="B330" s="269"/>
      <c r="C330" s="269"/>
      <c r="D330" s="270"/>
      <c r="E330" s="269"/>
      <c r="F330" s="269"/>
      <c r="G330" s="269"/>
      <c r="H330" s="269"/>
      <c r="I330" s="269"/>
      <c r="J330" s="271"/>
      <c r="K330" s="272"/>
      <c r="L330" s="269"/>
      <c r="M330" s="273"/>
      <c r="N330" s="269"/>
      <c r="O330" s="269"/>
      <c r="P330" s="274"/>
      <c r="Q330" s="270"/>
      <c r="R330" s="61"/>
      <c r="S330" s="269"/>
      <c r="T330" s="269"/>
      <c r="U330" s="269"/>
      <c r="V330" s="269"/>
      <c r="W330" s="269"/>
      <c r="X330" s="271"/>
      <c r="Y330" s="272"/>
      <c r="Z330" s="272"/>
      <c r="AA330" s="272"/>
      <c r="AB330" s="272"/>
    </row>
    <row r="331" spans="1:28" ht="15" customHeight="1" x14ac:dyDescent="0.25">
      <c r="A331" s="269"/>
      <c r="B331" s="269"/>
      <c r="C331" s="269"/>
      <c r="D331" s="270"/>
      <c r="E331" s="269"/>
      <c r="F331" s="269"/>
      <c r="G331" s="269"/>
      <c r="H331" s="269"/>
      <c r="I331" s="269"/>
      <c r="J331" s="271"/>
      <c r="K331" s="272"/>
      <c r="L331" s="269"/>
      <c r="M331" s="273"/>
      <c r="N331" s="269"/>
      <c r="O331" s="269"/>
      <c r="P331" s="274"/>
      <c r="Q331" s="270"/>
      <c r="R331" s="61"/>
      <c r="S331" s="269"/>
      <c r="T331" s="269"/>
      <c r="U331" s="269"/>
      <c r="V331" s="269"/>
      <c r="W331" s="269"/>
      <c r="X331" s="271"/>
      <c r="Y331" s="272"/>
      <c r="Z331" s="272"/>
      <c r="AA331" s="272"/>
      <c r="AB331" s="272"/>
    </row>
    <row r="332" spans="1:28" ht="15" customHeight="1" x14ac:dyDescent="0.25">
      <c r="A332" s="269"/>
      <c r="B332" s="269"/>
      <c r="C332" s="269"/>
      <c r="D332" s="270"/>
      <c r="E332" s="269"/>
      <c r="F332" s="269"/>
      <c r="G332" s="269"/>
      <c r="H332" s="269"/>
      <c r="I332" s="269"/>
      <c r="J332" s="271"/>
      <c r="K332" s="272"/>
      <c r="L332" s="269"/>
      <c r="M332" s="273"/>
      <c r="N332" s="269"/>
      <c r="O332" s="269"/>
      <c r="P332" s="274"/>
      <c r="Q332" s="270"/>
      <c r="R332" s="61"/>
      <c r="S332" s="269"/>
      <c r="T332" s="269"/>
      <c r="U332" s="269"/>
      <c r="V332" s="269"/>
      <c r="W332" s="269"/>
      <c r="X332" s="271"/>
      <c r="Y332" s="272"/>
      <c r="Z332" s="272"/>
      <c r="AA332" s="272"/>
      <c r="AB332" s="272"/>
    </row>
    <row r="333" spans="1:28" ht="15" customHeight="1" x14ac:dyDescent="0.25">
      <c r="A333" s="269"/>
      <c r="B333" s="269"/>
      <c r="C333" s="269"/>
      <c r="D333" s="270"/>
      <c r="E333" s="269"/>
      <c r="F333" s="269"/>
      <c r="G333" s="269"/>
      <c r="H333" s="269"/>
      <c r="I333" s="269"/>
      <c r="J333" s="271"/>
      <c r="K333" s="272"/>
      <c r="L333" s="269"/>
      <c r="M333" s="273"/>
      <c r="N333" s="269"/>
      <c r="O333" s="269"/>
      <c r="P333" s="274"/>
      <c r="Q333" s="270"/>
      <c r="R333" s="61"/>
      <c r="S333" s="269"/>
      <c r="T333" s="269"/>
      <c r="U333" s="269"/>
      <c r="V333" s="269"/>
      <c r="W333" s="269"/>
      <c r="X333" s="271"/>
      <c r="Y333" s="272"/>
      <c r="Z333" s="272"/>
      <c r="AA333" s="272"/>
      <c r="AB333" s="272"/>
    </row>
    <row r="334" spans="1:28" ht="15" customHeight="1" x14ac:dyDescent="0.25">
      <c r="A334" s="269"/>
      <c r="B334" s="269"/>
      <c r="C334" s="269"/>
      <c r="D334" s="270"/>
      <c r="E334" s="269"/>
      <c r="F334" s="269"/>
      <c r="G334" s="269"/>
      <c r="H334" s="269"/>
      <c r="I334" s="269"/>
      <c r="J334" s="271"/>
      <c r="K334" s="272"/>
      <c r="L334" s="269"/>
      <c r="M334" s="273"/>
      <c r="N334" s="269"/>
      <c r="O334" s="269"/>
      <c r="P334" s="274"/>
      <c r="Q334" s="270"/>
      <c r="R334" s="61"/>
      <c r="S334" s="269"/>
      <c r="T334" s="269"/>
      <c r="U334" s="269"/>
      <c r="V334" s="269"/>
      <c r="W334" s="269"/>
      <c r="X334" s="271"/>
      <c r="Y334" s="272"/>
      <c r="Z334" s="272"/>
      <c r="AA334" s="272"/>
      <c r="AB334" s="272"/>
    </row>
    <row r="335" spans="1:28" ht="15" customHeight="1" x14ac:dyDescent="0.25">
      <c r="A335" s="269"/>
      <c r="B335" s="269"/>
      <c r="C335" s="269"/>
      <c r="D335" s="270"/>
      <c r="E335" s="269"/>
      <c r="F335" s="269"/>
      <c r="G335" s="269"/>
      <c r="H335" s="269"/>
      <c r="I335" s="269"/>
      <c r="J335" s="271"/>
      <c r="K335" s="272"/>
      <c r="L335" s="269"/>
      <c r="M335" s="273"/>
      <c r="N335" s="269"/>
      <c r="O335" s="269"/>
      <c r="P335" s="274"/>
      <c r="Q335" s="270"/>
      <c r="R335" s="61"/>
      <c r="S335" s="269"/>
      <c r="T335" s="269"/>
      <c r="U335" s="269"/>
      <c r="V335" s="269"/>
      <c r="W335" s="269"/>
      <c r="X335" s="271"/>
      <c r="Y335" s="272"/>
      <c r="Z335" s="272"/>
      <c r="AA335" s="272"/>
      <c r="AB335" s="272"/>
    </row>
    <row r="336" spans="1:28" ht="15" customHeight="1" x14ac:dyDescent="0.25">
      <c r="A336" s="269"/>
      <c r="B336" s="269"/>
      <c r="C336" s="269"/>
      <c r="D336" s="270"/>
      <c r="E336" s="269"/>
      <c r="F336" s="269"/>
      <c r="G336" s="269"/>
      <c r="H336" s="269"/>
      <c r="I336" s="269"/>
      <c r="J336" s="271"/>
      <c r="K336" s="272"/>
      <c r="L336" s="269"/>
      <c r="M336" s="273"/>
      <c r="N336" s="269"/>
      <c r="O336" s="269"/>
      <c r="P336" s="274"/>
      <c r="Q336" s="270"/>
      <c r="R336" s="61"/>
      <c r="S336" s="269"/>
      <c r="T336" s="269"/>
      <c r="U336" s="269"/>
      <c r="V336" s="269"/>
      <c r="W336" s="269"/>
      <c r="X336" s="271"/>
      <c r="Y336" s="272"/>
      <c r="Z336" s="272"/>
      <c r="AA336" s="272"/>
      <c r="AB336" s="272"/>
    </row>
    <row r="337" spans="1:28" ht="15" customHeight="1" x14ac:dyDescent="0.25">
      <c r="A337" s="269"/>
      <c r="B337" s="269"/>
      <c r="C337" s="269"/>
      <c r="D337" s="270"/>
      <c r="E337" s="269"/>
      <c r="F337" s="269"/>
      <c r="G337" s="269"/>
      <c r="H337" s="269"/>
      <c r="I337" s="269"/>
      <c r="J337" s="271"/>
      <c r="K337" s="272"/>
      <c r="L337" s="269"/>
      <c r="M337" s="273"/>
      <c r="N337" s="269"/>
      <c r="O337" s="269"/>
      <c r="P337" s="274"/>
      <c r="Q337" s="270"/>
      <c r="R337" s="61"/>
      <c r="S337" s="269"/>
      <c r="T337" s="269"/>
      <c r="U337" s="269"/>
      <c r="V337" s="269"/>
      <c r="W337" s="269"/>
      <c r="X337" s="271"/>
      <c r="Y337" s="272"/>
      <c r="Z337" s="272"/>
      <c r="AA337" s="272"/>
      <c r="AB337" s="272"/>
    </row>
    <row r="338" spans="1:28" ht="15" customHeight="1" x14ac:dyDescent="0.25">
      <c r="A338" s="269"/>
      <c r="B338" s="269"/>
      <c r="C338" s="269"/>
      <c r="D338" s="270"/>
      <c r="E338" s="269"/>
      <c r="F338" s="269"/>
      <c r="G338" s="269"/>
      <c r="H338" s="269"/>
      <c r="I338" s="269"/>
      <c r="J338" s="271"/>
      <c r="K338" s="272"/>
      <c r="L338" s="269"/>
      <c r="M338" s="273"/>
      <c r="N338" s="269"/>
      <c r="O338" s="269"/>
      <c r="P338" s="274"/>
      <c r="Q338" s="270"/>
      <c r="R338" s="61"/>
      <c r="S338" s="269"/>
      <c r="T338" s="269"/>
      <c r="U338" s="269"/>
      <c r="V338" s="269"/>
      <c r="W338" s="269"/>
      <c r="X338" s="271"/>
      <c r="Y338" s="272"/>
      <c r="Z338" s="272"/>
      <c r="AA338" s="272"/>
      <c r="AB338" s="272"/>
    </row>
    <row r="339" spans="1:28" ht="15" customHeight="1" x14ac:dyDescent="0.25">
      <c r="A339" s="269"/>
      <c r="B339" s="269"/>
      <c r="C339" s="269"/>
      <c r="D339" s="270"/>
      <c r="E339" s="269"/>
      <c r="F339" s="269"/>
      <c r="G339" s="269"/>
      <c r="H339" s="269"/>
      <c r="I339" s="269"/>
      <c r="J339" s="271"/>
      <c r="K339" s="272"/>
      <c r="L339" s="269"/>
      <c r="M339" s="273"/>
      <c r="N339" s="269"/>
      <c r="O339" s="269"/>
      <c r="P339" s="274"/>
      <c r="Q339" s="270"/>
      <c r="R339" s="61"/>
      <c r="S339" s="269"/>
      <c r="T339" s="269"/>
      <c r="U339" s="269"/>
      <c r="V339" s="269"/>
      <c r="W339" s="269"/>
      <c r="X339" s="271"/>
      <c r="Y339" s="272"/>
      <c r="Z339" s="272"/>
      <c r="AA339" s="272"/>
      <c r="AB339" s="272"/>
    </row>
    <row r="340" spans="1:28" ht="15" customHeight="1" x14ac:dyDescent="0.25">
      <c r="A340" s="269"/>
      <c r="B340" s="269"/>
      <c r="C340" s="269"/>
      <c r="D340" s="270"/>
      <c r="E340" s="269"/>
      <c r="F340" s="269"/>
      <c r="G340" s="269"/>
      <c r="H340" s="269"/>
      <c r="I340" s="269"/>
      <c r="J340" s="271"/>
      <c r="K340" s="272"/>
      <c r="L340" s="269"/>
      <c r="M340" s="273"/>
      <c r="N340" s="269"/>
      <c r="O340" s="269"/>
      <c r="P340" s="274"/>
      <c r="Q340" s="270"/>
      <c r="R340" s="61"/>
      <c r="S340" s="269"/>
      <c r="T340" s="269"/>
      <c r="U340" s="269"/>
      <c r="V340" s="269"/>
      <c r="W340" s="269"/>
      <c r="X340" s="271"/>
      <c r="Y340" s="272"/>
      <c r="Z340" s="272"/>
      <c r="AA340" s="272"/>
      <c r="AB340" s="272"/>
    </row>
    <row r="341" spans="1:28" ht="15" customHeight="1" x14ac:dyDescent="0.25">
      <c r="A341" s="269"/>
      <c r="B341" s="269"/>
      <c r="C341" s="269"/>
      <c r="D341" s="270"/>
      <c r="E341" s="269"/>
      <c r="F341" s="269"/>
      <c r="G341" s="269"/>
      <c r="H341" s="269"/>
      <c r="I341" s="269"/>
      <c r="J341" s="271"/>
      <c r="K341" s="272"/>
      <c r="L341" s="269"/>
      <c r="M341" s="273"/>
      <c r="N341" s="269"/>
      <c r="O341" s="269"/>
      <c r="P341" s="274"/>
      <c r="Q341" s="270"/>
      <c r="R341" s="61"/>
      <c r="S341" s="269"/>
      <c r="T341" s="269"/>
      <c r="U341" s="269"/>
      <c r="V341" s="269"/>
      <c r="W341" s="269"/>
      <c r="X341" s="271"/>
      <c r="Y341" s="272"/>
      <c r="Z341" s="272"/>
      <c r="AA341" s="272"/>
      <c r="AB341" s="272"/>
    </row>
    <row r="342" spans="1:28" ht="15" customHeight="1" x14ac:dyDescent="0.25">
      <c r="A342" s="269"/>
      <c r="B342" s="269"/>
      <c r="C342" s="269"/>
      <c r="D342" s="270"/>
      <c r="E342" s="269"/>
      <c r="F342" s="269"/>
      <c r="G342" s="269"/>
      <c r="H342" s="269"/>
      <c r="I342" s="269"/>
      <c r="J342" s="271"/>
      <c r="K342" s="272"/>
      <c r="L342" s="269"/>
      <c r="M342" s="273"/>
      <c r="N342" s="269"/>
      <c r="O342" s="269"/>
      <c r="P342" s="274"/>
      <c r="Q342" s="270"/>
      <c r="R342" s="61"/>
      <c r="S342" s="269"/>
      <c r="T342" s="269"/>
      <c r="U342" s="269"/>
      <c r="V342" s="269"/>
      <c r="W342" s="269"/>
      <c r="X342" s="271"/>
      <c r="Y342" s="272"/>
      <c r="Z342" s="272"/>
      <c r="AA342" s="272"/>
      <c r="AB342" s="272"/>
    </row>
    <row r="343" spans="1:28" ht="15" customHeight="1" x14ac:dyDescent="0.25">
      <c r="A343" s="269"/>
      <c r="B343" s="269"/>
      <c r="C343" s="269"/>
      <c r="D343" s="270"/>
      <c r="E343" s="269"/>
      <c r="F343" s="269"/>
      <c r="G343" s="269"/>
      <c r="H343" s="269"/>
      <c r="I343" s="269"/>
      <c r="J343" s="271"/>
      <c r="K343" s="272"/>
      <c r="L343" s="269"/>
      <c r="M343" s="273"/>
      <c r="N343" s="269"/>
      <c r="O343" s="269"/>
      <c r="P343" s="274"/>
      <c r="Q343" s="270"/>
      <c r="R343" s="61"/>
      <c r="S343" s="269"/>
      <c r="T343" s="269"/>
      <c r="U343" s="269"/>
      <c r="V343" s="269"/>
      <c r="W343" s="269"/>
      <c r="X343" s="271"/>
      <c r="Y343" s="272"/>
      <c r="Z343" s="272"/>
      <c r="AA343" s="272"/>
      <c r="AB343" s="272"/>
    </row>
    <row r="344" spans="1:28" ht="15" customHeight="1" x14ac:dyDescent="0.25">
      <c r="A344" s="269"/>
      <c r="B344" s="269"/>
      <c r="C344" s="269"/>
      <c r="D344" s="270"/>
      <c r="E344" s="269"/>
      <c r="F344" s="269"/>
      <c r="G344" s="269"/>
      <c r="H344" s="269"/>
      <c r="I344" s="269"/>
      <c r="J344" s="271"/>
      <c r="K344" s="272"/>
      <c r="L344" s="269"/>
      <c r="M344" s="273"/>
      <c r="N344" s="269"/>
      <c r="O344" s="269"/>
      <c r="P344" s="274"/>
      <c r="Q344" s="270"/>
      <c r="R344" s="61"/>
      <c r="S344" s="269"/>
      <c r="T344" s="269"/>
      <c r="U344" s="269"/>
      <c r="V344" s="269"/>
      <c r="W344" s="269"/>
      <c r="X344" s="271"/>
      <c r="Y344" s="272"/>
      <c r="Z344" s="272"/>
      <c r="AA344" s="272"/>
      <c r="AB344" s="272"/>
    </row>
    <row r="345" spans="1:28" ht="15" customHeight="1" x14ac:dyDescent="0.25">
      <c r="A345" s="269"/>
      <c r="B345" s="269"/>
      <c r="C345" s="269"/>
      <c r="D345" s="270"/>
      <c r="E345" s="269"/>
      <c r="F345" s="269"/>
      <c r="G345" s="269"/>
      <c r="H345" s="269"/>
      <c r="I345" s="269"/>
      <c r="J345" s="271"/>
      <c r="K345" s="272"/>
      <c r="L345" s="269"/>
      <c r="M345" s="273"/>
      <c r="N345" s="269"/>
      <c r="O345" s="269"/>
      <c r="P345" s="274"/>
      <c r="Q345" s="270"/>
      <c r="R345" s="61"/>
      <c r="S345" s="269"/>
      <c r="T345" s="269"/>
      <c r="U345" s="269"/>
      <c r="V345" s="269"/>
      <c r="W345" s="269"/>
      <c r="X345" s="271"/>
      <c r="Y345" s="272"/>
      <c r="Z345" s="272"/>
      <c r="AA345" s="272"/>
      <c r="AB345" s="272"/>
    </row>
    <row r="346" spans="1:28" ht="15" customHeight="1" x14ac:dyDescent="0.25">
      <c r="A346" s="269"/>
      <c r="B346" s="269"/>
      <c r="C346" s="269"/>
      <c r="D346" s="270"/>
      <c r="E346" s="269"/>
      <c r="F346" s="269"/>
      <c r="G346" s="269"/>
      <c r="H346" s="269"/>
      <c r="I346" s="269"/>
      <c r="J346" s="271"/>
      <c r="K346" s="272"/>
      <c r="L346" s="269"/>
      <c r="M346" s="273"/>
      <c r="N346" s="269"/>
      <c r="O346" s="269"/>
      <c r="P346" s="274"/>
      <c r="Q346" s="270"/>
      <c r="R346" s="61"/>
      <c r="S346" s="269"/>
      <c r="T346" s="269"/>
      <c r="U346" s="269"/>
      <c r="V346" s="269"/>
      <c r="W346" s="269"/>
      <c r="X346" s="271"/>
      <c r="Y346" s="272"/>
      <c r="Z346" s="272"/>
      <c r="AA346" s="272"/>
      <c r="AB346" s="272"/>
    </row>
    <row r="347" spans="1:28" ht="15" customHeight="1" x14ac:dyDescent="0.25">
      <c r="A347" s="269"/>
      <c r="B347" s="269"/>
      <c r="C347" s="269"/>
      <c r="D347" s="270"/>
      <c r="E347" s="269"/>
      <c r="F347" s="269"/>
      <c r="G347" s="269"/>
      <c r="H347" s="269"/>
      <c r="I347" s="269"/>
      <c r="J347" s="271"/>
      <c r="K347" s="272"/>
      <c r="L347" s="269"/>
      <c r="M347" s="273"/>
      <c r="N347" s="269"/>
      <c r="O347" s="269"/>
      <c r="P347" s="274"/>
      <c r="Q347" s="270"/>
      <c r="R347" s="61"/>
      <c r="S347" s="269"/>
      <c r="T347" s="269"/>
      <c r="U347" s="269"/>
      <c r="V347" s="269"/>
      <c r="W347" s="269"/>
      <c r="X347" s="271"/>
      <c r="Y347" s="272"/>
      <c r="Z347" s="272"/>
      <c r="AA347" s="272"/>
      <c r="AB347" s="272"/>
    </row>
    <row r="348" spans="1:28" ht="15" customHeight="1" x14ac:dyDescent="0.25">
      <c r="A348" s="269"/>
      <c r="B348" s="269"/>
      <c r="C348" s="269"/>
      <c r="D348" s="270"/>
      <c r="E348" s="269"/>
      <c r="F348" s="269"/>
      <c r="G348" s="269"/>
      <c r="H348" s="269"/>
      <c r="I348" s="269"/>
      <c r="J348" s="271"/>
      <c r="K348" s="272"/>
      <c r="L348" s="269"/>
      <c r="M348" s="273"/>
      <c r="N348" s="269"/>
      <c r="O348" s="269"/>
      <c r="P348" s="274"/>
      <c r="Q348" s="270"/>
      <c r="R348" s="61"/>
      <c r="S348" s="269"/>
      <c r="T348" s="269"/>
      <c r="U348" s="269"/>
      <c r="V348" s="269"/>
      <c r="W348" s="269"/>
      <c r="X348" s="271"/>
      <c r="Y348" s="272"/>
      <c r="Z348" s="272"/>
      <c r="AA348" s="272"/>
      <c r="AB348" s="272"/>
    </row>
    <row r="349" spans="1:28" ht="15" customHeight="1" x14ac:dyDescent="0.25">
      <c r="A349" s="269"/>
      <c r="B349" s="269"/>
      <c r="C349" s="269"/>
      <c r="D349" s="270"/>
      <c r="E349" s="269"/>
      <c r="F349" s="269"/>
      <c r="G349" s="269"/>
      <c r="H349" s="269"/>
      <c r="I349" s="269"/>
      <c r="J349" s="271"/>
      <c r="K349" s="272"/>
      <c r="L349" s="269"/>
      <c r="M349" s="273"/>
      <c r="N349" s="269"/>
      <c r="O349" s="269"/>
      <c r="P349" s="274"/>
      <c r="Q349" s="270"/>
      <c r="R349" s="61"/>
      <c r="S349" s="269"/>
      <c r="T349" s="269"/>
      <c r="U349" s="269"/>
      <c r="V349" s="269"/>
      <c r="W349" s="269"/>
      <c r="X349" s="271"/>
      <c r="Y349" s="272"/>
      <c r="Z349" s="272"/>
      <c r="AA349" s="272"/>
      <c r="AB349" s="272"/>
    </row>
    <row r="350" spans="1:28" ht="15" customHeight="1" x14ac:dyDescent="0.25">
      <c r="A350" s="269"/>
      <c r="B350" s="269"/>
      <c r="C350" s="269"/>
      <c r="D350" s="270"/>
      <c r="E350" s="269"/>
      <c r="F350" s="269"/>
      <c r="G350" s="269"/>
      <c r="H350" s="269"/>
      <c r="I350" s="269"/>
      <c r="J350" s="271"/>
      <c r="K350" s="272"/>
      <c r="L350" s="269"/>
      <c r="M350" s="273"/>
      <c r="N350" s="269"/>
      <c r="O350" s="269"/>
      <c r="P350" s="274"/>
      <c r="Q350" s="270"/>
      <c r="R350" s="61"/>
      <c r="S350" s="269"/>
      <c r="T350" s="269"/>
      <c r="U350" s="269"/>
      <c r="V350" s="269"/>
      <c r="W350" s="269"/>
      <c r="X350" s="271"/>
      <c r="Y350" s="272"/>
      <c r="Z350" s="272"/>
      <c r="AA350" s="272"/>
      <c r="AB350" s="272"/>
    </row>
    <row r="351" spans="1:28" ht="15" customHeight="1" x14ac:dyDescent="0.25">
      <c r="A351" s="269"/>
      <c r="B351" s="269"/>
      <c r="C351" s="269"/>
      <c r="D351" s="270"/>
      <c r="E351" s="269"/>
      <c r="F351" s="269"/>
      <c r="G351" s="269"/>
      <c r="H351" s="269"/>
      <c r="I351" s="269"/>
      <c r="J351" s="271"/>
      <c r="K351" s="272"/>
      <c r="L351" s="269"/>
      <c r="M351" s="273"/>
      <c r="N351" s="269"/>
      <c r="O351" s="269"/>
      <c r="P351" s="274"/>
      <c r="Q351" s="270"/>
      <c r="R351" s="61"/>
      <c r="S351" s="269"/>
      <c r="T351" s="269"/>
      <c r="U351" s="269"/>
      <c r="V351" s="269"/>
      <c r="W351" s="269"/>
      <c r="X351" s="271"/>
      <c r="Y351" s="272"/>
      <c r="Z351" s="272"/>
      <c r="AA351" s="272"/>
      <c r="AB351" s="272"/>
    </row>
    <row r="352" spans="1:28" ht="15" customHeight="1" x14ac:dyDescent="0.25">
      <c r="A352" s="269"/>
      <c r="B352" s="269"/>
      <c r="C352" s="269"/>
      <c r="D352" s="270"/>
      <c r="E352" s="269"/>
      <c r="F352" s="269"/>
      <c r="G352" s="269"/>
      <c r="H352" s="269"/>
      <c r="I352" s="269"/>
      <c r="J352" s="271"/>
      <c r="K352" s="272"/>
      <c r="L352" s="269"/>
      <c r="M352" s="273"/>
      <c r="N352" s="269"/>
      <c r="O352" s="269"/>
      <c r="P352" s="274"/>
      <c r="Q352" s="270"/>
      <c r="R352" s="61"/>
      <c r="S352" s="269"/>
      <c r="T352" s="269"/>
      <c r="U352" s="269"/>
      <c r="V352" s="269"/>
      <c r="W352" s="269"/>
      <c r="X352" s="271"/>
      <c r="Y352" s="272"/>
      <c r="Z352" s="272"/>
      <c r="AA352" s="272"/>
      <c r="AB352" s="272"/>
    </row>
    <row r="353" spans="1:28" ht="15" customHeight="1" x14ac:dyDescent="0.25">
      <c r="A353" s="269"/>
      <c r="B353" s="269"/>
      <c r="C353" s="269"/>
      <c r="D353" s="270"/>
      <c r="E353" s="269"/>
      <c r="F353" s="269"/>
      <c r="G353" s="269"/>
      <c r="H353" s="269"/>
      <c r="I353" s="269"/>
      <c r="J353" s="271"/>
      <c r="K353" s="272"/>
      <c r="L353" s="269"/>
      <c r="M353" s="273"/>
      <c r="N353" s="269"/>
      <c r="O353" s="269"/>
      <c r="P353" s="274"/>
      <c r="Q353" s="270"/>
      <c r="R353" s="61"/>
      <c r="S353" s="269"/>
      <c r="T353" s="269"/>
      <c r="U353" s="269"/>
      <c r="V353" s="269"/>
      <c r="W353" s="269"/>
      <c r="X353" s="271"/>
      <c r="Y353" s="272"/>
      <c r="Z353" s="272"/>
      <c r="AA353" s="272"/>
      <c r="AB353" s="272"/>
    </row>
    <row r="354" spans="1:28" ht="15" customHeight="1" x14ac:dyDescent="0.25">
      <c r="A354" s="269"/>
      <c r="B354" s="269"/>
      <c r="C354" s="269"/>
      <c r="D354" s="270"/>
      <c r="E354" s="269"/>
      <c r="F354" s="269"/>
      <c r="G354" s="269"/>
      <c r="H354" s="269"/>
      <c r="I354" s="269"/>
      <c r="J354" s="271"/>
      <c r="K354" s="272"/>
      <c r="L354" s="269"/>
      <c r="M354" s="273"/>
      <c r="N354" s="269"/>
      <c r="O354" s="269"/>
      <c r="P354" s="274"/>
      <c r="Q354" s="270"/>
      <c r="R354" s="61"/>
      <c r="S354" s="269"/>
      <c r="T354" s="269"/>
      <c r="U354" s="269"/>
      <c r="V354" s="269"/>
      <c r="W354" s="269"/>
      <c r="X354" s="271"/>
      <c r="Y354" s="272"/>
      <c r="Z354" s="272"/>
      <c r="AA354" s="272"/>
      <c r="AB354" s="272"/>
    </row>
    <row r="355" spans="1:28" ht="15" customHeight="1" x14ac:dyDescent="0.25">
      <c r="A355" s="269"/>
      <c r="B355" s="269"/>
      <c r="C355" s="269"/>
      <c r="D355" s="270"/>
      <c r="E355" s="269"/>
      <c r="F355" s="269"/>
      <c r="G355" s="269"/>
      <c r="H355" s="269"/>
      <c r="I355" s="269"/>
      <c r="J355" s="271"/>
      <c r="K355" s="272"/>
      <c r="L355" s="269"/>
      <c r="M355" s="273"/>
      <c r="N355" s="269"/>
      <c r="O355" s="269"/>
      <c r="P355" s="274"/>
      <c r="Q355" s="270"/>
      <c r="R355" s="61"/>
      <c r="S355" s="269"/>
      <c r="T355" s="269"/>
      <c r="U355" s="269"/>
      <c r="V355" s="269"/>
      <c r="W355" s="269"/>
      <c r="X355" s="271"/>
      <c r="Y355" s="272"/>
      <c r="Z355" s="272"/>
      <c r="AA355" s="272"/>
      <c r="AB355" s="272"/>
    </row>
    <row r="356" spans="1:28" ht="15" customHeight="1" x14ac:dyDescent="0.25">
      <c r="A356" s="269"/>
      <c r="B356" s="269"/>
      <c r="C356" s="269"/>
      <c r="D356" s="270"/>
      <c r="E356" s="269"/>
      <c r="F356" s="269"/>
      <c r="G356" s="269"/>
      <c r="H356" s="269"/>
      <c r="I356" s="269"/>
      <c r="J356" s="271"/>
      <c r="K356" s="272"/>
      <c r="L356" s="269"/>
      <c r="M356" s="273"/>
      <c r="N356" s="269"/>
      <c r="O356" s="269"/>
      <c r="P356" s="274"/>
      <c r="Q356" s="270"/>
      <c r="R356" s="61"/>
      <c r="S356" s="269"/>
      <c r="T356" s="269"/>
      <c r="U356" s="269"/>
      <c r="V356" s="269"/>
      <c r="W356" s="269"/>
      <c r="X356" s="271"/>
      <c r="Y356" s="272"/>
      <c r="Z356" s="272"/>
      <c r="AA356" s="272"/>
      <c r="AB356" s="272"/>
    </row>
    <row r="357" spans="1:28" ht="15" customHeight="1" x14ac:dyDescent="0.25">
      <c r="A357" s="269"/>
      <c r="B357" s="269"/>
      <c r="C357" s="269"/>
      <c r="D357" s="270"/>
      <c r="E357" s="269"/>
      <c r="F357" s="269"/>
      <c r="G357" s="269"/>
      <c r="H357" s="269"/>
      <c r="I357" s="269"/>
      <c r="J357" s="271"/>
      <c r="K357" s="272"/>
      <c r="L357" s="269"/>
      <c r="M357" s="273"/>
      <c r="N357" s="269"/>
      <c r="O357" s="269"/>
      <c r="P357" s="274"/>
      <c r="Q357" s="270"/>
      <c r="R357" s="61"/>
      <c r="S357" s="269"/>
      <c r="T357" s="269"/>
      <c r="U357" s="269"/>
      <c r="V357" s="269"/>
      <c r="W357" s="269"/>
      <c r="X357" s="271"/>
      <c r="Y357" s="272"/>
      <c r="Z357" s="272"/>
      <c r="AA357" s="272"/>
      <c r="AB357" s="272"/>
    </row>
    <row r="358" spans="1:28" ht="15" customHeight="1" x14ac:dyDescent="0.25">
      <c r="A358" s="269"/>
      <c r="B358" s="269"/>
      <c r="C358" s="269"/>
      <c r="D358" s="270"/>
      <c r="E358" s="269"/>
      <c r="F358" s="269"/>
      <c r="G358" s="269"/>
      <c r="H358" s="269"/>
      <c r="I358" s="269"/>
      <c r="J358" s="271"/>
      <c r="K358" s="272"/>
      <c r="L358" s="269"/>
      <c r="M358" s="273"/>
      <c r="N358" s="269"/>
      <c r="O358" s="269"/>
      <c r="P358" s="274"/>
      <c r="Q358" s="270"/>
      <c r="R358" s="61"/>
      <c r="S358" s="269"/>
      <c r="T358" s="269"/>
      <c r="U358" s="269"/>
      <c r="V358" s="269"/>
      <c r="W358" s="269"/>
      <c r="X358" s="271"/>
      <c r="Y358" s="272"/>
      <c r="Z358" s="272"/>
      <c r="AA358" s="272"/>
      <c r="AB358" s="272"/>
    </row>
    <row r="359" spans="1:28" ht="15" customHeight="1" x14ac:dyDescent="0.25">
      <c r="A359" s="269"/>
      <c r="B359" s="269"/>
      <c r="C359" s="269"/>
      <c r="D359" s="270"/>
      <c r="E359" s="269"/>
      <c r="F359" s="269"/>
      <c r="G359" s="269"/>
      <c r="H359" s="269"/>
      <c r="I359" s="269"/>
      <c r="J359" s="271"/>
      <c r="K359" s="272"/>
      <c r="L359" s="269"/>
      <c r="M359" s="273"/>
      <c r="N359" s="269"/>
      <c r="O359" s="269"/>
      <c r="P359" s="274"/>
      <c r="Q359" s="270"/>
      <c r="R359" s="61"/>
      <c r="S359" s="269"/>
      <c r="T359" s="269"/>
      <c r="U359" s="269"/>
      <c r="V359" s="269"/>
      <c r="W359" s="269"/>
      <c r="X359" s="271"/>
      <c r="Y359" s="272"/>
      <c r="Z359" s="272"/>
      <c r="AA359" s="272"/>
      <c r="AB359" s="272"/>
    </row>
    <row r="360" spans="1:28" ht="15" customHeight="1" x14ac:dyDescent="0.25">
      <c r="A360" s="269"/>
      <c r="B360" s="269"/>
      <c r="C360" s="269"/>
      <c r="D360" s="270"/>
      <c r="E360" s="269"/>
      <c r="F360" s="269"/>
      <c r="G360" s="269"/>
      <c r="H360" s="269"/>
      <c r="I360" s="269"/>
      <c r="J360" s="271"/>
      <c r="K360" s="272"/>
      <c r="L360" s="269"/>
      <c r="M360" s="273"/>
      <c r="N360" s="269"/>
      <c r="O360" s="269"/>
      <c r="P360" s="274"/>
      <c r="Q360" s="270"/>
      <c r="R360" s="61"/>
      <c r="S360" s="269"/>
      <c r="T360" s="269"/>
      <c r="U360" s="269"/>
      <c r="V360" s="269"/>
      <c r="W360" s="269"/>
      <c r="X360" s="271"/>
      <c r="Y360" s="272"/>
      <c r="Z360" s="272"/>
      <c r="AA360" s="272"/>
      <c r="AB360" s="272"/>
    </row>
    <row r="361" spans="1:28" ht="15" customHeight="1" x14ac:dyDescent="0.25">
      <c r="A361" s="269"/>
      <c r="B361" s="269"/>
      <c r="C361" s="269"/>
      <c r="D361" s="270"/>
      <c r="E361" s="269"/>
      <c r="F361" s="269"/>
      <c r="G361" s="269"/>
      <c r="H361" s="269"/>
      <c r="I361" s="269"/>
      <c r="J361" s="271"/>
      <c r="K361" s="272"/>
      <c r="L361" s="269"/>
      <c r="M361" s="273"/>
      <c r="N361" s="269"/>
      <c r="O361" s="269"/>
      <c r="P361" s="274"/>
      <c r="Q361" s="270"/>
      <c r="R361" s="61"/>
      <c r="S361" s="269"/>
      <c r="T361" s="269"/>
      <c r="U361" s="269"/>
      <c r="V361" s="269"/>
      <c r="W361" s="269"/>
      <c r="X361" s="271"/>
      <c r="Y361" s="272"/>
      <c r="Z361" s="272"/>
      <c r="AA361" s="272"/>
      <c r="AB361" s="272"/>
    </row>
    <row r="362" spans="1:28" ht="15" customHeight="1" x14ac:dyDescent="0.25">
      <c r="A362" s="269"/>
      <c r="B362" s="269"/>
      <c r="C362" s="269"/>
      <c r="D362" s="270"/>
      <c r="E362" s="269"/>
      <c r="F362" s="269"/>
      <c r="G362" s="269"/>
      <c r="H362" s="269"/>
      <c r="I362" s="269"/>
      <c r="J362" s="271"/>
      <c r="K362" s="272"/>
      <c r="L362" s="269"/>
      <c r="M362" s="273"/>
      <c r="N362" s="269"/>
      <c r="O362" s="269"/>
      <c r="P362" s="274"/>
      <c r="Q362" s="270"/>
      <c r="R362" s="61"/>
      <c r="S362" s="269"/>
      <c r="T362" s="269"/>
      <c r="U362" s="269"/>
      <c r="V362" s="269"/>
      <c r="W362" s="269"/>
      <c r="X362" s="271"/>
      <c r="Y362" s="272"/>
      <c r="Z362" s="272"/>
      <c r="AA362" s="272"/>
      <c r="AB362" s="272"/>
    </row>
    <row r="363" spans="1:28" ht="15" customHeight="1" x14ac:dyDescent="0.25">
      <c r="A363" s="269"/>
      <c r="B363" s="269"/>
      <c r="C363" s="269"/>
      <c r="D363" s="270"/>
      <c r="E363" s="269"/>
      <c r="F363" s="269"/>
      <c r="G363" s="269"/>
      <c r="H363" s="269"/>
      <c r="I363" s="269"/>
      <c r="J363" s="271"/>
      <c r="K363" s="272"/>
      <c r="L363" s="269"/>
      <c r="M363" s="273"/>
      <c r="N363" s="269"/>
      <c r="O363" s="269"/>
      <c r="P363" s="274"/>
      <c r="Q363" s="270"/>
      <c r="R363" s="61"/>
      <c r="S363" s="269"/>
      <c r="T363" s="269"/>
      <c r="U363" s="269"/>
      <c r="V363" s="269"/>
      <c r="W363" s="269"/>
      <c r="X363" s="271"/>
      <c r="Y363" s="272"/>
      <c r="Z363" s="272"/>
      <c r="AA363" s="272"/>
      <c r="AB363" s="272"/>
    </row>
    <row r="364" spans="1:28" ht="15" customHeight="1" x14ac:dyDescent="0.25">
      <c r="A364" s="269"/>
      <c r="B364" s="269"/>
      <c r="C364" s="269"/>
      <c r="D364" s="270"/>
      <c r="E364" s="269"/>
      <c r="F364" s="269"/>
      <c r="G364" s="269"/>
      <c r="H364" s="269"/>
      <c r="I364" s="269"/>
      <c r="J364" s="271"/>
      <c r="K364" s="272"/>
      <c r="L364" s="269"/>
      <c r="M364" s="273"/>
      <c r="N364" s="269"/>
      <c r="O364" s="269"/>
      <c r="P364" s="274"/>
      <c r="Q364" s="270"/>
      <c r="R364" s="61"/>
      <c r="S364" s="269"/>
      <c r="T364" s="269"/>
      <c r="U364" s="269"/>
      <c r="V364" s="269"/>
      <c r="W364" s="269"/>
      <c r="X364" s="271"/>
      <c r="Y364" s="272"/>
      <c r="Z364" s="272"/>
      <c r="AA364" s="272"/>
      <c r="AB364" s="272"/>
    </row>
    <row r="365" spans="1:28" ht="15" customHeight="1" x14ac:dyDescent="0.25">
      <c r="A365" s="269"/>
      <c r="B365" s="269"/>
      <c r="C365" s="269"/>
      <c r="D365" s="270"/>
      <c r="E365" s="269"/>
      <c r="F365" s="269"/>
      <c r="G365" s="269"/>
      <c r="H365" s="269"/>
      <c r="I365" s="269"/>
      <c r="J365" s="271"/>
      <c r="K365" s="272"/>
      <c r="L365" s="269"/>
      <c r="M365" s="273"/>
      <c r="N365" s="269"/>
      <c r="O365" s="269"/>
      <c r="P365" s="274"/>
      <c r="Q365" s="270"/>
      <c r="R365" s="61"/>
      <c r="S365" s="269"/>
      <c r="T365" s="269"/>
      <c r="U365" s="269"/>
      <c r="V365" s="269"/>
      <c r="W365" s="269"/>
      <c r="X365" s="271"/>
      <c r="Y365" s="272"/>
      <c r="Z365" s="272"/>
      <c r="AA365" s="272"/>
      <c r="AB365" s="272"/>
    </row>
    <row r="366" spans="1:28" ht="15" customHeight="1" x14ac:dyDescent="0.25">
      <c r="A366" s="269"/>
      <c r="B366" s="269"/>
      <c r="C366" s="269"/>
      <c r="D366" s="270"/>
      <c r="E366" s="269"/>
      <c r="F366" s="269"/>
      <c r="G366" s="269"/>
      <c r="H366" s="269"/>
      <c r="I366" s="269"/>
      <c r="J366" s="271"/>
      <c r="K366" s="272"/>
      <c r="L366" s="269"/>
      <c r="M366" s="273"/>
      <c r="N366" s="269"/>
      <c r="O366" s="269"/>
      <c r="P366" s="274"/>
      <c r="Q366" s="270"/>
      <c r="R366" s="61"/>
      <c r="S366" s="269"/>
      <c r="T366" s="269"/>
      <c r="U366" s="269"/>
      <c r="V366" s="269"/>
      <c r="W366" s="269"/>
      <c r="X366" s="271"/>
      <c r="Y366" s="272"/>
      <c r="Z366" s="272"/>
      <c r="AA366" s="272"/>
      <c r="AB366" s="272"/>
    </row>
    <row r="367" spans="1:28" ht="15" customHeight="1" x14ac:dyDescent="0.25">
      <c r="A367" s="269"/>
      <c r="B367" s="269"/>
      <c r="C367" s="269"/>
      <c r="D367" s="270"/>
      <c r="E367" s="269"/>
      <c r="F367" s="269"/>
      <c r="G367" s="269"/>
      <c r="H367" s="269"/>
      <c r="I367" s="269"/>
      <c r="J367" s="271"/>
      <c r="K367" s="272"/>
      <c r="L367" s="269"/>
      <c r="M367" s="273"/>
      <c r="N367" s="269"/>
      <c r="O367" s="269"/>
      <c r="P367" s="274"/>
      <c r="Q367" s="270"/>
      <c r="R367" s="61"/>
      <c r="S367" s="269"/>
      <c r="T367" s="269"/>
      <c r="U367" s="269"/>
      <c r="V367" s="269"/>
      <c r="W367" s="269"/>
      <c r="X367" s="271"/>
      <c r="Y367" s="272"/>
      <c r="Z367" s="272"/>
      <c r="AA367" s="272"/>
      <c r="AB367" s="272"/>
    </row>
    <row r="368" spans="1:28" ht="15" customHeight="1" x14ac:dyDescent="0.25">
      <c r="A368" s="269"/>
      <c r="B368" s="269"/>
      <c r="C368" s="269"/>
      <c r="D368" s="270"/>
      <c r="E368" s="269"/>
      <c r="F368" s="269"/>
      <c r="G368" s="269"/>
      <c r="H368" s="269"/>
      <c r="I368" s="269"/>
      <c r="J368" s="271"/>
      <c r="K368" s="272"/>
      <c r="L368" s="269"/>
      <c r="M368" s="273"/>
      <c r="N368" s="269"/>
      <c r="O368" s="269"/>
      <c r="P368" s="274"/>
      <c r="Q368" s="270"/>
      <c r="R368" s="61"/>
      <c r="S368" s="269"/>
      <c r="T368" s="269"/>
      <c r="U368" s="269"/>
      <c r="V368" s="269"/>
      <c r="W368" s="269"/>
      <c r="X368" s="271"/>
      <c r="Y368" s="272"/>
      <c r="Z368" s="272"/>
      <c r="AA368" s="272"/>
      <c r="AB368" s="272"/>
    </row>
    <row r="369" spans="1:28" ht="15" customHeight="1" x14ac:dyDescent="0.25">
      <c r="A369" s="269"/>
      <c r="B369" s="269"/>
      <c r="C369" s="269"/>
      <c r="D369" s="270"/>
      <c r="E369" s="269"/>
      <c r="F369" s="269"/>
      <c r="G369" s="269"/>
      <c r="H369" s="269"/>
      <c r="I369" s="269"/>
      <c r="J369" s="271"/>
      <c r="K369" s="272"/>
      <c r="L369" s="269"/>
      <c r="M369" s="273"/>
      <c r="N369" s="269"/>
      <c r="O369" s="269"/>
      <c r="P369" s="274"/>
      <c r="Q369" s="270"/>
      <c r="R369" s="61"/>
      <c r="S369" s="269"/>
      <c r="T369" s="269"/>
      <c r="U369" s="269"/>
      <c r="V369" s="269"/>
      <c r="W369" s="269"/>
      <c r="X369" s="271"/>
      <c r="Y369" s="272"/>
      <c r="Z369" s="272"/>
      <c r="AA369" s="272"/>
      <c r="AB369" s="272"/>
    </row>
    <row r="370" spans="1:28" ht="15" customHeight="1" x14ac:dyDescent="0.25">
      <c r="A370" s="269"/>
      <c r="B370" s="269"/>
      <c r="C370" s="269"/>
      <c r="D370" s="270"/>
      <c r="E370" s="269"/>
      <c r="F370" s="269"/>
      <c r="G370" s="269"/>
      <c r="H370" s="269"/>
      <c r="I370" s="269"/>
      <c r="J370" s="271"/>
      <c r="K370" s="272"/>
      <c r="L370" s="269"/>
      <c r="M370" s="273"/>
      <c r="N370" s="269"/>
      <c r="O370" s="269"/>
      <c r="P370" s="274"/>
      <c r="Q370" s="270"/>
      <c r="R370" s="61"/>
      <c r="S370" s="269"/>
      <c r="T370" s="269"/>
      <c r="U370" s="269"/>
      <c r="V370" s="269"/>
      <c r="W370" s="269"/>
      <c r="X370" s="271"/>
      <c r="Y370" s="272"/>
      <c r="Z370" s="272"/>
      <c r="AA370" s="272"/>
      <c r="AB370" s="272"/>
    </row>
    <row r="371" spans="1:28" ht="15" customHeight="1" x14ac:dyDescent="0.25">
      <c r="A371" s="269"/>
      <c r="B371" s="269"/>
      <c r="C371" s="269"/>
      <c r="D371" s="270"/>
      <c r="E371" s="269"/>
      <c r="F371" s="269"/>
      <c r="G371" s="269"/>
      <c r="H371" s="269"/>
      <c r="I371" s="269"/>
      <c r="J371" s="271"/>
      <c r="K371" s="272"/>
      <c r="L371" s="269"/>
      <c r="M371" s="273"/>
      <c r="N371" s="269"/>
      <c r="O371" s="269"/>
      <c r="P371" s="274"/>
      <c r="Q371" s="270"/>
      <c r="R371" s="61"/>
      <c r="S371" s="269"/>
      <c r="T371" s="269"/>
      <c r="U371" s="269"/>
      <c r="V371" s="269"/>
      <c r="W371" s="269"/>
      <c r="X371" s="271"/>
      <c r="Y371" s="272"/>
      <c r="Z371" s="272"/>
      <c r="AA371" s="272"/>
      <c r="AB371" s="272"/>
    </row>
    <row r="372" spans="1:28" ht="15" customHeight="1" x14ac:dyDescent="0.25">
      <c r="A372" s="269"/>
      <c r="B372" s="269"/>
      <c r="C372" s="269"/>
      <c r="D372" s="270"/>
      <c r="E372" s="269"/>
      <c r="F372" s="269"/>
      <c r="G372" s="269"/>
      <c r="H372" s="269"/>
      <c r="I372" s="269"/>
      <c r="J372" s="271"/>
      <c r="K372" s="272"/>
      <c r="L372" s="269"/>
      <c r="M372" s="273"/>
      <c r="N372" s="269"/>
      <c r="O372" s="269"/>
      <c r="P372" s="274"/>
      <c r="Q372" s="270"/>
      <c r="R372" s="61"/>
      <c r="S372" s="269"/>
      <c r="T372" s="269"/>
      <c r="U372" s="269"/>
      <c r="V372" s="269"/>
      <c r="W372" s="269"/>
      <c r="X372" s="271"/>
      <c r="Y372" s="272"/>
      <c r="Z372" s="272"/>
      <c r="AA372" s="272"/>
      <c r="AB372" s="272"/>
    </row>
    <row r="373" spans="1:28" ht="15" customHeight="1" x14ac:dyDescent="0.25">
      <c r="A373" s="269"/>
      <c r="B373" s="269"/>
      <c r="C373" s="269"/>
      <c r="D373" s="270"/>
      <c r="E373" s="269"/>
      <c r="F373" s="269"/>
      <c r="G373" s="269"/>
      <c r="H373" s="269"/>
      <c r="I373" s="269"/>
      <c r="J373" s="271"/>
      <c r="K373" s="272"/>
      <c r="L373" s="269"/>
      <c r="M373" s="273"/>
      <c r="N373" s="269"/>
      <c r="O373" s="269"/>
      <c r="P373" s="274"/>
      <c r="Q373" s="270"/>
      <c r="R373" s="61"/>
      <c r="S373" s="269"/>
      <c r="T373" s="269"/>
      <c r="U373" s="269"/>
      <c r="V373" s="269"/>
      <c r="W373" s="269"/>
      <c r="X373" s="271"/>
      <c r="Y373" s="272"/>
      <c r="Z373" s="272"/>
      <c r="AA373" s="272"/>
      <c r="AB373" s="272"/>
    </row>
    <row r="374" spans="1:28" ht="15" customHeight="1" x14ac:dyDescent="0.25">
      <c r="A374" s="269"/>
      <c r="B374" s="269"/>
      <c r="C374" s="269"/>
      <c r="D374" s="270"/>
      <c r="E374" s="269"/>
      <c r="F374" s="269"/>
      <c r="G374" s="269"/>
      <c r="H374" s="269"/>
      <c r="I374" s="269"/>
      <c r="J374" s="271"/>
      <c r="K374" s="272"/>
      <c r="L374" s="269"/>
      <c r="M374" s="273"/>
      <c r="N374" s="269"/>
      <c r="O374" s="269"/>
      <c r="P374" s="274"/>
      <c r="Q374" s="270"/>
      <c r="R374" s="61"/>
      <c r="S374" s="269"/>
      <c r="T374" s="269"/>
      <c r="U374" s="269"/>
      <c r="V374" s="269"/>
      <c r="W374" s="269"/>
      <c r="X374" s="271"/>
      <c r="Y374" s="272"/>
      <c r="Z374" s="272"/>
      <c r="AA374" s="272"/>
      <c r="AB374" s="272"/>
    </row>
    <row r="375" spans="1:28" ht="15" customHeight="1" x14ac:dyDescent="0.25">
      <c r="A375" s="269"/>
      <c r="B375" s="269"/>
      <c r="C375" s="269"/>
      <c r="D375" s="270"/>
      <c r="E375" s="269"/>
      <c r="F375" s="269"/>
      <c r="G375" s="269"/>
      <c r="H375" s="269"/>
      <c r="I375" s="269"/>
      <c r="J375" s="271"/>
      <c r="K375" s="272"/>
      <c r="L375" s="269"/>
      <c r="M375" s="273"/>
      <c r="N375" s="269"/>
      <c r="O375" s="269"/>
      <c r="P375" s="274"/>
      <c r="Q375" s="270"/>
      <c r="R375" s="61"/>
      <c r="S375" s="269"/>
      <c r="T375" s="269"/>
      <c r="U375" s="269"/>
      <c r="V375" s="269"/>
      <c r="W375" s="269"/>
      <c r="X375" s="271"/>
      <c r="Y375" s="272"/>
      <c r="Z375" s="272"/>
      <c r="AA375" s="272"/>
      <c r="AB375" s="272"/>
    </row>
    <row r="376" spans="1:28" ht="15" customHeight="1" x14ac:dyDescent="0.25">
      <c r="A376" s="269"/>
      <c r="B376" s="269"/>
      <c r="C376" s="269"/>
      <c r="D376" s="270"/>
      <c r="E376" s="269"/>
      <c r="F376" s="269"/>
      <c r="G376" s="269"/>
      <c r="H376" s="269"/>
      <c r="I376" s="269"/>
      <c r="J376" s="271"/>
      <c r="K376" s="272"/>
      <c r="L376" s="269"/>
      <c r="M376" s="273"/>
      <c r="N376" s="269"/>
      <c r="O376" s="269"/>
      <c r="P376" s="274"/>
      <c r="Q376" s="270"/>
      <c r="R376" s="61"/>
      <c r="S376" s="269"/>
      <c r="T376" s="269"/>
      <c r="U376" s="269"/>
      <c r="V376" s="269"/>
      <c r="W376" s="269"/>
      <c r="X376" s="271"/>
      <c r="Y376" s="272"/>
      <c r="Z376" s="272"/>
      <c r="AA376" s="272"/>
      <c r="AB376" s="272"/>
    </row>
    <row r="377" spans="1:28" ht="15" customHeight="1" x14ac:dyDescent="0.25">
      <c r="A377" s="269"/>
      <c r="B377" s="269"/>
      <c r="C377" s="269"/>
      <c r="D377" s="270"/>
      <c r="E377" s="269"/>
      <c r="F377" s="269"/>
      <c r="G377" s="269"/>
      <c r="H377" s="269"/>
      <c r="I377" s="269"/>
      <c r="J377" s="271"/>
      <c r="K377" s="272"/>
      <c r="L377" s="269"/>
      <c r="M377" s="273"/>
      <c r="N377" s="269"/>
      <c r="O377" s="269"/>
      <c r="P377" s="274"/>
      <c r="Q377" s="270"/>
      <c r="R377" s="61"/>
      <c r="S377" s="269"/>
      <c r="T377" s="269"/>
      <c r="U377" s="269"/>
      <c r="V377" s="269"/>
      <c r="W377" s="269"/>
      <c r="X377" s="271"/>
      <c r="Y377" s="272"/>
      <c r="Z377" s="272"/>
      <c r="AA377" s="272"/>
      <c r="AB377" s="272"/>
    </row>
    <row r="378" spans="1:28" ht="15" customHeight="1" x14ac:dyDescent="0.25">
      <c r="A378" s="269"/>
      <c r="B378" s="269"/>
      <c r="C378" s="269"/>
      <c r="D378" s="270"/>
      <c r="E378" s="269"/>
      <c r="F378" s="269"/>
      <c r="G378" s="269"/>
      <c r="H378" s="269"/>
      <c r="I378" s="269"/>
      <c r="J378" s="271"/>
      <c r="K378" s="272"/>
      <c r="L378" s="269"/>
      <c r="M378" s="273"/>
      <c r="N378" s="269"/>
      <c r="O378" s="269"/>
      <c r="P378" s="274"/>
      <c r="Q378" s="270"/>
      <c r="R378" s="61"/>
      <c r="S378" s="269"/>
      <c r="T378" s="269"/>
      <c r="U378" s="269"/>
      <c r="V378" s="269"/>
      <c r="W378" s="269"/>
      <c r="X378" s="271"/>
      <c r="Y378" s="272"/>
      <c r="Z378" s="272"/>
      <c r="AA378" s="272"/>
      <c r="AB378" s="272"/>
    </row>
    <row r="379" spans="1:28" ht="15" customHeight="1" x14ac:dyDescent="0.25">
      <c r="A379" s="269"/>
      <c r="B379" s="269"/>
      <c r="C379" s="269"/>
      <c r="D379" s="270"/>
      <c r="E379" s="269"/>
      <c r="F379" s="269"/>
      <c r="G379" s="269"/>
      <c r="H379" s="269"/>
      <c r="I379" s="269"/>
      <c r="J379" s="271"/>
      <c r="K379" s="272"/>
      <c r="L379" s="269"/>
      <c r="M379" s="273"/>
      <c r="N379" s="269"/>
      <c r="O379" s="269"/>
      <c r="P379" s="274"/>
      <c r="Q379" s="270"/>
      <c r="R379" s="61"/>
      <c r="S379" s="269"/>
      <c r="T379" s="269"/>
      <c r="U379" s="269"/>
      <c r="V379" s="269"/>
      <c r="W379" s="269"/>
      <c r="X379" s="271"/>
      <c r="Y379" s="272"/>
      <c r="Z379" s="272"/>
      <c r="AA379" s="272"/>
      <c r="AB379" s="272"/>
    </row>
    <row r="380" spans="1:28" ht="15" customHeight="1" x14ac:dyDescent="0.25">
      <c r="A380" s="269"/>
      <c r="B380" s="269"/>
      <c r="C380" s="269"/>
      <c r="D380" s="270"/>
      <c r="E380" s="269"/>
      <c r="F380" s="269"/>
      <c r="G380" s="269"/>
      <c r="H380" s="269"/>
      <c r="I380" s="269"/>
      <c r="J380" s="271"/>
      <c r="K380" s="272"/>
      <c r="L380" s="269"/>
      <c r="M380" s="273"/>
      <c r="N380" s="269"/>
      <c r="O380" s="269"/>
      <c r="P380" s="274"/>
      <c r="Q380" s="270"/>
      <c r="R380" s="61"/>
      <c r="S380" s="269"/>
      <c r="T380" s="269"/>
      <c r="U380" s="269"/>
      <c r="V380" s="269"/>
      <c r="W380" s="269"/>
      <c r="X380" s="271"/>
      <c r="Y380" s="272"/>
      <c r="Z380" s="272"/>
      <c r="AA380" s="272"/>
      <c r="AB380" s="272"/>
    </row>
    <row r="381" spans="1:28" ht="15" customHeight="1" x14ac:dyDescent="0.25">
      <c r="A381" s="269"/>
      <c r="B381" s="269"/>
      <c r="C381" s="269"/>
      <c r="D381" s="270"/>
      <c r="E381" s="269"/>
      <c r="F381" s="269"/>
      <c r="G381" s="269"/>
      <c r="H381" s="269"/>
      <c r="I381" s="269"/>
      <c r="J381" s="271"/>
      <c r="K381" s="272"/>
      <c r="L381" s="269"/>
      <c r="M381" s="273"/>
      <c r="N381" s="269"/>
      <c r="O381" s="269"/>
      <c r="P381" s="274"/>
      <c r="Q381" s="270"/>
      <c r="R381" s="61"/>
      <c r="S381" s="269"/>
      <c r="T381" s="269"/>
      <c r="U381" s="269"/>
      <c r="V381" s="269"/>
      <c r="W381" s="269"/>
      <c r="X381" s="271"/>
      <c r="Y381" s="272"/>
      <c r="Z381" s="272"/>
      <c r="AA381" s="272"/>
      <c r="AB381" s="272"/>
    </row>
    <row r="382" spans="1:28" ht="15" customHeight="1" x14ac:dyDescent="0.25">
      <c r="A382" s="269"/>
      <c r="B382" s="269"/>
      <c r="C382" s="269"/>
      <c r="D382" s="270"/>
      <c r="E382" s="269"/>
      <c r="F382" s="269"/>
      <c r="G382" s="269"/>
      <c r="H382" s="269"/>
      <c r="I382" s="269"/>
      <c r="J382" s="271"/>
      <c r="K382" s="272"/>
      <c r="L382" s="269"/>
      <c r="M382" s="273"/>
      <c r="N382" s="269"/>
      <c r="O382" s="269"/>
      <c r="P382" s="274"/>
      <c r="Q382" s="270"/>
      <c r="R382" s="61"/>
      <c r="S382" s="269"/>
      <c r="T382" s="269"/>
      <c r="U382" s="269"/>
      <c r="V382" s="269"/>
      <c r="W382" s="269"/>
      <c r="X382" s="271"/>
      <c r="Y382" s="272"/>
      <c r="Z382" s="272"/>
      <c r="AA382" s="272"/>
      <c r="AB382" s="272"/>
    </row>
    <row r="383" spans="1:28" ht="15" customHeight="1" x14ac:dyDescent="0.25">
      <c r="A383" s="269"/>
      <c r="B383" s="269"/>
      <c r="C383" s="269"/>
      <c r="D383" s="270"/>
      <c r="E383" s="269"/>
      <c r="F383" s="269"/>
      <c r="G383" s="269"/>
      <c r="H383" s="269"/>
      <c r="I383" s="269"/>
      <c r="J383" s="271"/>
      <c r="K383" s="272"/>
      <c r="L383" s="269"/>
      <c r="M383" s="273"/>
      <c r="N383" s="269"/>
      <c r="O383" s="269"/>
      <c r="P383" s="274"/>
      <c r="Q383" s="270"/>
      <c r="R383" s="61"/>
      <c r="S383" s="269"/>
      <c r="T383" s="269"/>
      <c r="U383" s="269"/>
      <c r="V383" s="269"/>
      <c r="W383" s="269"/>
      <c r="X383" s="271"/>
      <c r="Y383" s="272"/>
      <c r="Z383" s="272"/>
      <c r="AA383" s="272"/>
      <c r="AB383" s="272"/>
    </row>
    <row r="384" spans="1:28" ht="15" customHeight="1" x14ac:dyDescent="0.25">
      <c r="A384" s="269"/>
      <c r="B384" s="269"/>
      <c r="C384" s="269"/>
      <c r="D384" s="270"/>
      <c r="E384" s="269"/>
      <c r="F384" s="269"/>
      <c r="G384" s="269"/>
      <c r="H384" s="269"/>
      <c r="I384" s="269"/>
      <c r="J384" s="271"/>
      <c r="K384" s="272"/>
      <c r="L384" s="269"/>
      <c r="M384" s="273"/>
      <c r="N384" s="269"/>
      <c r="O384" s="269"/>
      <c r="P384" s="274"/>
      <c r="Q384" s="270"/>
      <c r="R384" s="61"/>
      <c r="S384" s="269"/>
      <c r="T384" s="269"/>
      <c r="U384" s="269"/>
      <c r="V384" s="269"/>
      <c r="W384" s="269"/>
      <c r="X384" s="271"/>
      <c r="Y384" s="272"/>
      <c r="Z384" s="272"/>
      <c r="AA384" s="272"/>
      <c r="AB384" s="272"/>
    </row>
    <row r="385" spans="1:28" ht="15" customHeight="1" x14ac:dyDescent="0.25">
      <c r="A385" s="269"/>
      <c r="B385" s="269"/>
      <c r="C385" s="269"/>
      <c r="D385" s="270"/>
      <c r="E385" s="269"/>
      <c r="F385" s="269"/>
      <c r="G385" s="269"/>
      <c r="H385" s="269"/>
      <c r="I385" s="269"/>
      <c r="J385" s="271"/>
      <c r="K385" s="272"/>
      <c r="L385" s="269"/>
      <c r="M385" s="273"/>
      <c r="N385" s="269"/>
      <c r="O385" s="269"/>
      <c r="P385" s="274"/>
      <c r="Q385" s="270"/>
      <c r="R385" s="61"/>
      <c r="S385" s="269"/>
      <c r="T385" s="269"/>
      <c r="U385" s="269"/>
      <c r="V385" s="269"/>
      <c r="W385" s="269"/>
      <c r="X385" s="271"/>
      <c r="Y385" s="272"/>
      <c r="Z385" s="272"/>
      <c r="AA385" s="272"/>
      <c r="AB385" s="272"/>
    </row>
    <row r="386" spans="1:28" ht="15" customHeight="1" x14ac:dyDescent="0.25">
      <c r="A386" s="269"/>
      <c r="B386" s="269"/>
      <c r="C386" s="269"/>
      <c r="D386" s="270"/>
      <c r="E386" s="269"/>
      <c r="F386" s="269"/>
      <c r="G386" s="269"/>
      <c r="H386" s="269"/>
      <c r="I386" s="269"/>
      <c r="J386" s="271"/>
      <c r="K386" s="272"/>
      <c r="L386" s="269"/>
      <c r="M386" s="273"/>
      <c r="N386" s="269"/>
      <c r="O386" s="269"/>
      <c r="P386" s="274"/>
      <c r="Q386" s="270"/>
      <c r="R386" s="61"/>
      <c r="S386" s="269"/>
      <c r="T386" s="269"/>
      <c r="U386" s="269"/>
      <c r="V386" s="269"/>
      <c r="W386" s="269"/>
      <c r="X386" s="271"/>
      <c r="Y386" s="272"/>
      <c r="Z386" s="272"/>
      <c r="AA386" s="272"/>
      <c r="AB386" s="272"/>
    </row>
    <row r="387" spans="1:28" ht="15" customHeight="1" x14ac:dyDescent="0.25">
      <c r="A387" s="269"/>
      <c r="B387" s="269"/>
      <c r="C387" s="269"/>
      <c r="D387" s="270"/>
      <c r="E387" s="269"/>
      <c r="F387" s="269"/>
      <c r="G387" s="269"/>
      <c r="H387" s="269"/>
      <c r="I387" s="269"/>
      <c r="J387" s="271"/>
      <c r="K387" s="272"/>
      <c r="L387" s="269"/>
      <c r="M387" s="273"/>
      <c r="N387" s="269"/>
      <c r="O387" s="269"/>
      <c r="P387" s="274"/>
      <c r="Q387" s="270"/>
      <c r="R387" s="61"/>
      <c r="S387" s="269"/>
      <c r="T387" s="269"/>
      <c r="U387" s="269"/>
      <c r="V387" s="269"/>
      <c r="W387" s="269"/>
      <c r="X387" s="271"/>
      <c r="Y387" s="272"/>
      <c r="Z387" s="272"/>
      <c r="AA387" s="272"/>
      <c r="AB387" s="272"/>
    </row>
    <row r="388" spans="1:28" ht="15" customHeight="1" x14ac:dyDescent="0.25">
      <c r="A388" s="269"/>
      <c r="B388" s="269"/>
      <c r="C388" s="269"/>
      <c r="D388" s="270"/>
      <c r="E388" s="269"/>
      <c r="F388" s="269"/>
      <c r="G388" s="269"/>
      <c r="H388" s="269"/>
      <c r="I388" s="269"/>
      <c r="J388" s="271"/>
      <c r="K388" s="272"/>
      <c r="L388" s="269"/>
      <c r="M388" s="273"/>
      <c r="N388" s="269"/>
      <c r="O388" s="269"/>
      <c r="P388" s="274"/>
      <c r="Q388" s="270"/>
      <c r="R388" s="61"/>
      <c r="S388" s="269"/>
      <c r="T388" s="269"/>
      <c r="U388" s="269"/>
      <c r="V388" s="269"/>
      <c r="W388" s="269"/>
      <c r="X388" s="271"/>
      <c r="Y388" s="272"/>
      <c r="Z388" s="272"/>
      <c r="AA388" s="272"/>
      <c r="AB388" s="272"/>
    </row>
    <row r="389" spans="1:28" ht="15" customHeight="1" x14ac:dyDescent="0.25">
      <c r="A389" s="269"/>
      <c r="B389" s="269"/>
      <c r="C389" s="269"/>
      <c r="D389" s="270"/>
      <c r="E389" s="269"/>
      <c r="F389" s="269"/>
      <c r="G389" s="269"/>
      <c r="H389" s="269"/>
      <c r="I389" s="269"/>
      <c r="J389" s="271"/>
      <c r="K389" s="272"/>
      <c r="L389" s="269"/>
      <c r="M389" s="273"/>
      <c r="N389" s="269"/>
      <c r="O389" s="269"/>
      <c r="P389" s="274"/>
      <c r="Q389" s="270"/>
      <c r="R389" s="61"/>
      <c r="S389" s="269"/>
      <c r="T389" s="269"/>
      <c r="U389" s="269"/>
      <c r="V389" s="269"/>
      <c r="W389" s="269"/>
      <c r="X389" s="271"/>
      <c r="Y389" s="272"/>
      <c r="Z389" s="272"/>
      <c r="AA389" s="272"/>
      <c r="AB389" s="272"/>
    </row>
    <row r="390" spans="1:28" ht="15" customHeight="1" x14ac:dyDescent="0.25">
      <c r="A390" s="269"/>
      <c r="B390" s="269"/>
      <c r="C390" s="269"/>
      <c r="D390" s="270"/>
      <c r="E390" s="269"/>
      <c r="F390" s="269"/>
      <c r="G390" s="269"/>
      <c r="H390" s="269"/>
      <c r="I390" s="269"/>
      <c r="J390" s="271"/>
      <c r="K390" s="272"/>
      <c r="L390" s="269"/>
      <c r="M390" s="273"/>
      <c r="N390" s="269"/>
      <c r="O390" s="269"/>
      <c r="P390" s="274"/>
      <c r="Q390" s="270"/>
      <c r="R390" s="61"/>
      <c r="S390" s="269"/>
      <c r="T390" s="269"/>
      <c r="U390" s="269"/>
      <c r="V390" s="269"/>
      <c r="W390" s="269"/>
      <c r="X390" s="271"/>
      <c r="Y390" s="272"/>
      <c r="Z390" s="272"/>
      <c r="AA390" s="272"/>
      <c r="AB390" s="272"/>
    </row>
    <row r="391" spans="1:28" ht="15" customHeight="1" x14ac:dyDescent="0.25">
      <c r="A391" s="269"/>
      <c r="B391" s="269"/>
      <c r="C391" s="269"/>
      <c r="D391" s="270"/>
      <c r="E391" s="269"/>
      <c r="F391" s="269"/>
      <c r="G391" s="269"/>
      <c r="H391" s="269"/>
      <c r="I391" s="269"/>
      <c r="J391" s="271"/>
      <c r="K391" s="272"/>
      <c r="L391" s="269"/>
      <c r="M391" s="273"/>
      <c r="N391" s="269"/>
      <c r="O391" s="269"/>
      <c r="P391" s="274"/>
      <c r="Q391" s="270"/>
      <c r="R391" s="61"/>
      <c r="S391" s="269"/>
      <c r="T391" s="269"/>
      <c r="U391" s="269"/>
      <c r="V391" s="269"/>
      <c r="W391" s="269"/>
      <c r="X391" s="271"/>
      <c r="Y391" s="272"/>
      <c r="Z391" s="272"/>
      <c r="AA391" s="272"/>
      <c r="AB391" s="272"/>
    </row>
    <row r="392" spans="1:28" ht="15" customHeight="1" x14ac:dyDescent="0.25">
      <c r="A392" s="269"/>
      <c r="B392" s="269"/>
      <c r="C392" s="269"/>
      <c r="D392" s="270"/>
      <c r="E392" s="269"/>
      <c r="F392" s="269"/>
      <c r="G392" s="269"/>
      <c r="H392" s="269"/>
      <c r="I392" s="269"/>
      <c r="J392" s="271"/>
      <c r="K392" s="272"/>
      <c r="L392" s="269"/>
      <c r="M392" s="273"/>
      <c r="N392" s="269"/>
      <c r="O392" s="269"/>
      <c r="P392" s="274"/>
      <c r="Q392" s="270"/>
      <c r="R392" s="61"/>
      <c r="S392" s="269"/>
      <c r="T392" s="269"/>
      <c r="U392" s="269"/>
      <c r="V392" s="269"/>
      <c r="W392" s="269"/>
      <c r="X392" s="271"/>
      <c r="Y392" s="272"/>
      <c r="Z392" s="272"/>
      <c r="AA392" s="272"/>
      <c r="AB392" s="272"/>
    </row>
    <row r="393" spans="1:28" ht="15" customHeight="1" x14ac:dyDescent="0.25">
      <c r="A393" s="269"/>
      <c r="B393" s="269"/>
      <c r="C393" s="269"/>
      <c r="D393" s="270"/>
      <c r="E393" s="269"/>
      <c r="F393" s="269"/>
      <c r="G393" s="269"/>
      <c r="H393" s="269"/>
      <c r="I393" s="269"/>
      <c r="J393" s="271"/>
      <c r="K393" s="272"/>
      <c r="L393" s="269"/>
      <c r="M393" s="273"/>
      <c r="N393" s="269"/>
      <c r="O393" s="269"/>
      <c r="P393" s="274"/>
      <c r="Q393" s="270"/>
      <c r="R393" s="61"/>
      <c r="S393" s="269"/>
      <c r="T393" s="269"/>
      <c r="U393" s="269"/>
      <c r="V393" s="269"/>
      <c r="W393" s="269"/>
      <c r="X393" s="271"/>
      <c r="Y393" s="272"/>
      <c r="Z393" s="272"/>
      <c r="AA393" s="272"/>
      <c r="AB393" s="272"/>
    </row>
    <row r="394" spans="1:28" ht="15" customHeight="1" x14ac:dyDescent="0.25">
      <c r="A394" s="269"/>
      <c r="B394" s="269"/>
      <c r="C394" s="269"/>
      <c r="D394" s="270"/>
      <c r="E394" s="269"/>
      <c r="F394" s="269"/>
      <c r="G394" s="269"/>
      <c r="H394" s="269"/>
      <c r="I394" s="269"/>
      <c r="J394" s="271"/>
      <c r="K394" s="272"/>
      <c r="L394" s="269"/>
      <c r="M394" s="273"/>
      <c r="N394" s="269"/>
      <c r="O394" s="269"/>
      <c r="P394" s="274"/>
      <c r="Q394" s="270"/>
      <c r="R394" s="61"/>
      <c r="S394" s="269"/>
      <c r="T394" s="269"/>
      <c r="U394" s="269"/>
      <c r="V394" s="269"/>
      <c r="W394" s="269"/>
      <c r="X394" s="271"/>
      <c r="Y394" s="272"/>
      <c r="Z394" s="272"/>
      <c r="AA394" s="272"/>
      <c r="AB394" s="272"/>
    </row>
    <row r="395" spans="1:28" ht="15" customHeight="1" x14ac:dyDescent="0.25">
      <c r="A395" s="269"/>
      <c r="B395" s="269"/>
      <c r="C395" s="269"/>
      <c r="D395" s="270"/>
      <c r="E395" s="269"/>
      <c r="F395" s="269"/>
      <c r="G395" s="269"/>
      <c r="H395" s="269"/>
      <c r="I395" s="269"/>
      <c r="J395" s="271"/>
      <c r="K395" s="272"/>
      <c r="L395" s="269"/>
      <c r="M395" s="273"/>
      <c r="N395" s="269"/>
      <c r="O395" s="269"/>
      <c r="P395" s="274"/>
      <c r="Q395" s="270"/>
      <c r="R395" s="61"/>
      <c r="S395" s="269"/>
      <c r="T395" s="269"/>
      <c r="U395" s="269"/>
      <c r="V395" s="269"/>
      <c r="W395" s="269"/>
      <c r="X395" s="271"/>
      <c r="Y395" s="272"/>
      <c r="Z395" s="272"/>
      <c r="AA395" s="272"/>
      <c r="AB395" s="272"/>
    </row>
    <row r="396" spans="1:28" ht="15" customHeight="1" x14ac:dyDescent="0.25">
      <c r="A396" s="269"/>
      <c r="B396" s="269"/>
      <c r="C396" s="269"/>
      <c r="D396" s="270"/>
      <c r="E396" s="269"/>
      <c r="F396" s="269"/>
      <c r="G396" s="269"/>
      <c r="H396" s="269"/>
      <c r="I396" s="269"/>
      <c r="J396" s="271"/>
      <c r="K396" s="272"/>
      <c r="L396" s="269"/>
      <c r="M396" s="273"/>
      <c r="N396" s="269"/>
      <c r="O396" s="269"/>
      <c r="P396" s="274"/>
      <c r="Q396" s="270"/>
      <c r="R396" s="61"/>
      <c r="S396" s="269"/>
      <c r="T396" s="269"/>
      <c r="U396" s="269"/>
      <c r="V396" s="269"/>
      <c r="W396" s="269"/>
      <c r="X396" s="271"/>
      <c r="Y396" s="272"/>
      <c r="Z396" s="272"/>
      <c r="AA396" s="272"/>
      <c r="AB396" s="272"/>
    </row>
    <row r="397" spans="1:28" ht="15" customHeight="1" x14ac:dyDescent="0.25">
      <c r="A397" s="269"/>
      <c r="B397" s="269"/>
      <c r="C397" s="269"/>
      <c r="D397" s="270"/>
      <c r="E397" s="269"/>
      <c r="F397" s="269"/>
      <c r="G397" s="269"/>
      <c r="H397" s="269"/>
      <c r="I397" s="269"/>
      <c r="J397" s="271"/>
      <c r="K397" s="272"/>
      <c r="L397" s="269"/>
      <c r="M397" s="273"/>
      <c r="N397" s="269"/>
      <c r="O397" s="269"/>
      <c r="P397" s="274"/>
      <c r="Q397" s="270"/>
      <c r="R397" s="61"/>
      <c r="S397" s="269"/>
      <c r="T397" s="269"/>
      <c r="U397" s="269"/>
      <c r="V397" s="269"/>
      <c r="W397" s="269"/>
      <c r="X397" s="271"/>
      <c r="Y397" s="272"/>
      <c r="Z397" s="272"/>
      <c r="AA397" s="272"/>
      <c r="AB397" s="272"/>
    </row>
    <row r="398" spans="1:28" ht="15" customHeight="1" x14ac:dyDescent="0.25">
      <c r="A398" s="269"/>
      <c r="B398" s="269"/>
      <c r="C398" s="269"/>
      <c r="D398" s="270"/>
      <c r="E398" s="269"/>
      <c r="F398" s="269"/>
      <c r="G398" s="269"/>
      <c r="H398" s="269"/>
      <c r="I398" s="269"/>
      <c r="J398" s="271"/>
      <c r="K398" s="272"/>
      <c r="L398" s="269"/>
      <c r="M398" s="273"/>
      <c r="N398" s="269"/>
      <c r="O398" s="269"/>
      <c r="P398" s="274"/>
      <c r="Q398" s="270"/>
      <c r="R398" s="61"/>
      <c r="S398" s="269"/>
      <c r="T398" s="269"/>
      <c r="U398" s="269"/>
      <c r="V398" s="269"/>
      <c r="W398" s="269"/>
      <c r="X398" s="271"/>
      <c r="Y398" s="272"/>
      <c r="Z398" s="272"/>
      <c r="AA398" s="272"/>
      <c r="AB398" s="272"/>
    </row>
    <row r="399" spans="1:28" ht="15" customHeight="1" x14ac:dyDescent="0.25">
      <c r="A399" s="269"/>
      <c r="B399" s="269"/>
      <c r="C399" s="269"/>
      <c r="D399" s="270"/>
      <c r="E399" s="269"/>
      <c r="F399" s="269"/>
      <c r="G399" s="269"/>
      <c r="H399" s="269"/>
      <c r="I399" s="269"/>
      <c r="J399" s="271"/>
      <c r="K399" s="272"/>
      <c r="L399" s="269"/>
      <c r="M399" s="273"/>
      <c r="N399" s="269"/>
      <c r="O399" s="269"/>
      <c r="P399" s="274"/>
      <c r="Q399" s="270"/>
      <c r="R399" s="61"/>
      <c r="S399" s="269"/>
      <c r="T399" s="269"/>
      <c r="U399" s="269"/>
      <c r="V399" s="269"/>
      <c r="W399" s="269"/>
      <c r="X399" s="271"/>
      <c r="Y399" s="272"/>
      <c r="Z399" s="272"/>
      <c r="AA399" s="272"/>
      <c r="AB399" s="272"/>
    </row>
    <row r="400" spans="1:28" ht="15" customHeight="1" x14ac:dyDescent="0.25">
      <c r="A400" s="269"/>
      <c r="B400" s="269"/>
      <c r="C400" s="269"/>
      <c r="D400" s="270"/>
      <c r="E400" s="269"/>
      <c r="F400" s="269"/>
      <c r="G400" s="269"/>
      <c r="H400" s="269"/>
      <c r="I400" s="269"/>
      <c r="J400" s="271"/>
      <c r="K400" s="272"/>
      <c r="L400" s="269"/>
      <c r="M400" s="273"/>
      <c r="N400" s="269"/>
      <c r="O400" s="269"/>
      <c r="P400" s="274"/>
      <c r="Q400" s="270"/>
      <c r="R400" s="61"/>
      <c r="S400" s="269"/>
      <c r="T400" s="269"/>
      <c r="U400" s="269"/>
      <c r="V400" s="269"/>
      <c r="W400" s="269"/>
      <c r="X400" s="271"/>
      <c r="Y400" s="272"/>
      <c r="Z400" s="272"/>
      <c r="AA400" s="272"/>
      <c r="AB400" s="272"/>
    </row>
    <row r="401" spans="1:28" ht="15" customHeight="1" x14ac:dyDescent="0.25">
      <c r="A401" s="269"/>
      <c r="B401" s="269"/>
      <c r="C401" s="269"/>
      <c r="D401" s="270"/>
      <c r="E401" s="269"/>
      <c r="F401" s="269"/>
      <c r="G401" s="269"/>
      <c r="H401" s="269"/>
      <c r="I401" s="269"/>
      <c r="J401" s="271"/>
      <c r="K401" s="272"/>
      <c r="L401" s="269"/>
      <c r="M401" s="273"/>
      <c r="N401" s="269"/>
      <c r="O401" s="269"/>
      <c r="P401" s="274"/>
      <c r="Q401" s="270"/>
      <c r="R401" s="61"/>
      <c r="S401" s="269"/>
      <c r="T401" s="269"/>
      <c r="U401" s="269"/>
      <c r="V401" s="269"/>
      <c r="W401" s="269"/>
      <c r="X401" s="271"/>
      <c r="Y401" s="272"/>
      <c r="Z401" s="272"/>
      <c r="AA401" s="272"/>
      <c r="AB401" s="272"/>
    </row>
    <row r="402" spans="1:28" ht="15" customHeight="1" x14ac:dyDescent="0.25">
      <c r="A402" s="269"/>
      <c r="B402" s="269"/>
      <c r="C402" s="269"/>
      <c r="D402" s="270"/>
      <c r="E402" s="269"/>
      <c r="F402" s="269"/>
      <c r="G402" s="269"/>
      <c r="H402" s="269"/>
      <c r="I402" s="269"/>
      <c r="J402" s="271"/>
      <c r="K402" s="272"/>
      <c r="L402" s="269"/>
      <c r="M402" s="273"/>
      <c r="N402" s="269"/>
      <c r="O402" s="269"/>
      <c r="P402" s="274"/>
      <c r="Q402" s="270"/>
      <c r="R402" s="61"/>
      <c r="S402" s="269"/>
      <c r="T402" s="269"/>
      <c r="U402" s="269"/>
      <c r="V402" s="269"/>
      <c r="W402" s="269"/>
      <c r="X402" s="271"/>
      <c r="Y402" s="272"/>
      <c r="Z402" s="272"/>
      <c r="AA402" s="272"/>
      <c r="AB402" s="272"/>
    </row>
    <row r="403" spans="1:28" ht="15" customHeight="1" x14ac:dyDescent="0.25">
      <c r="A403" s="269"/>
      <c r="B403" s="269"/>
      <c r="C403" s="269"/>
      <c r="D403" s="270"/>
      <c r="E403" s="269"/>
      <c r="F403" s="269"/>
      <c r="G403" s="269"/>
      <c r="H403" s="269"/>
      <c r="I403" s="269"/>
      <c r="J403" s="271"/>
      <c r="K403" s="272"/>
      <c r="L403" s="269"/>
      <c r="M403" s="273"/>
      <c r="N403" s="269"/>
      <c r="O403" s="269"/>
      <c r="P403" s="274"/>
      <c r="Q403" s="270"/>
      <c r="R403" s="61"/>
      <c r="S403" s="269"/>
      <c r="T403" s="269"/>
      <c r="U403" s="269"/>
      <c r="V403" s="269"/>
      <c r="W403" s="269"/>
      <c r="X403" s="271"/>
      <c r="Y403" s="272"/>
      <c r="Z403" s="272"/>
      <c r="AA403" s="272"/>
      <c r="AB403" s="272"/>
    </row>
    <row r="404" spans="1:28" ht="15" customHeight="1" x14ac:dyDescent="0.25">
      <c r="A404" s="269"/>
      <c r="B404" s="269"/>
      <c r="C404" s="269"/>
      <c r="D404" s="270"/>
      <c r="E404" s="269"/>
      <c r="F404" s="269"/>
      <c r="G404" s="269"/>
      <c r="H404" s="269"/>
      <c r="I404" s="269"/>
      <c r="J404" s="271"/>
      <c r="K404" s="272"/>
      <c r="L404" s="269"/>
      <c r="M404" s="273"/>
      <c r="N404" s="269"/>
      <c r="O404" s="269"/>
      <c r="P404" s="274"/>
      <c r="Q404" s="270"/>
      <c r="R404" s="61"/>
      <c r="S404" s="269"/>
      <c r="T404" s="269"/>
      <c r="U404" s="269"/>
      <c r="V404" s="269"/>
      <c r="W404" s="269"/>
      <c r="X404" s="271"/>
      <c r="Y404" s="272"/>
      <c r="Z404" s="272"/>
      <c r="AA404" s="272"/>
      <c r="AB404" s="272"/>
    </row>
    <row r="405" spans="1:28" ht="15" customHeight="1" x14ac:dyDescent="0.25">
      <c r="A405" s="269"/>
      <c r="B405" s="269"/>
      <c r="C405" s="269"/>
      <c r="D405" s="270"/>
      <c r="E405" s="269"/>
      <c r="F405" s="269"/>
      <c r="G405" s="269"/>
      <c r="H405" s="269"/>
      <c r="I405" s="269"/>
      <c r="J405" s="271"/>
      <c r="K405" s="272"/>
      <c r="L405" s="269"/>
      <c r="M405" s="273"/>
      <c r="N405" s="269"/>
      <c r="O405" s="269"/>
      <c r="P405" s="274"/>
      <c r="Q405" s="270"/>
      <c r="R405" s="61"/>
      <c r="S405" s="269"/>
      <c r="T405" s="269"/>
      <c r="U405" s="269"/>
      <c r="V405" s="269"/>
      <c r="W405" s="269"/>
      <c r="X405" s="271"/>
      <c r="Y405" s="272"/>
      <c r="Z405" s="272"/>
      <c r="AA405" s="272"/>
      <c r="AB405" s="272"/>
    </row>
    <row r="406" spans="1:28" ht="15" customHeight="1" x14ac:dyDescent="0.25">
      <c r="A406" s="269"/>
      <c r="B406" s="269"/>
      <c r="C406" s="269"/>
      <c r="D406" s="270"/>
      <c r="E406" s="269"/>
      <c r="F406" s="269"/>
      <c r="G406" s="269"/>
      <c r="H406" s="269"/>
      <c r="I406" s="269"/>
      <c r="J406" s="271"/>
      <c r="K406" s="272"/>
      <c r="L406" s="269"/>
      <c r="M406" s="273"/>
      <c r="N406" s="269"/>
      <c r="O406" s="269"/>
      <c r="P406" s="274"/>
      <c r="Q406" s="270"/>
      <c r="R406" s="61"/>
      <c r="S406" s="269"/>
      <c r="T406" s="269"/>
      <c r="U406" s="269"/>
      <c r="V406" s="269"/>
      <c r="W406" s="269"/>
      <c r="X406" s="271"/>
      <c r="Y406" s="272"/>
      <c r="Z406" s="272"/>
      <c r="AA406" s="272"/>
      <c r="AB406" s="272"/>
    </row>
    <row r="407" spans="1:28" ht="15" customHeight="1" x14ac:dyDescent="0.25">
      <c r="A407" s="269"/>
      <c r="B407" s="269"/>
      <c r="C407" s="269"/>
      <c r="D407" s="270"/>
      <c r="E407" s="269"/>
      <c r="F407" s="269"/>
      <c r="G407" s="269"/>
      <c r="H407" s="269"/>
      <c r="I407" s="269"/>
      <c r="J407" s="271"/>
      <c r="K407" s="272"/>
      <c r="L407" s="269"/>
      <c r="M407" s="273"/>
      <c r="N407" s="269"/>
      <c r="O407" s="269"/>
      <c r="P407" s="274"/>
      <c r="Q407" s="270"/>
      <c r="R407" s="61"/>
      <c r="S407" s="269"/>
      <c r="T407" s="269"/>
      <c r="U407" s="269"/>
      <c r="V407" s="269"/>
      <c r="W407" s="269"/>
      <c r="X407" s="271"/>
      <c r="Y407" s="272"/>
      <c r="Z407" s="272"/>
      <c r="AA407" s="272"/>
      <c r="AB407" s="272"/>
    </row>
    <row r="408" spans="1:28" ht="15" customHeight="1" x14ac:dyDescent="0.25">
      <c r="A408" s="269"/>
      <c r="B408" s="269"/>
      <c r="C408" s="269"/>
      <c r="D408" s="270"/>
      <c r="E408" s="269"/>
      <c r="F408" s="269"/>
      <c r="G408" s="269"/>
      <c r="H408" s="269"/>
      <c r="I408" s="269"/>
      <c r="J408" s="271"/>
      <c r="K408" s="272"/>
      <c r="L408" s="269"/>
      <c r="M408" s="273"/>
      <c r="N408" s="269"/>
      <c r="O408" s="269"/>
      <c r="P408" s="274"/>
      <c r="Q408" s="270"/>
      <c r="R408" s="61"/>
      <c r="S408" s="269"/>
      <c r="T408" s="269"/>
      <c r="U408" s="269"/>
      <c r="V408" s="269"/>
      <c r="W408" s="269"/>
      <c r="X408" s="271"/>
      <c r="Y408" s="272"/>
      <c r="Z408" s="272"/>
      <c r="AA408" s="272"/>
      <c r="AB408" s="272"/>
    </row>
    <row r="409" spans="1:28" ht="15" customHeight="1" x14ac:dyDescent="0.25">
      <c r="A409" s="269"/>
      <c r="B409" s="269"/>
      <c r="C409" s="269"/>
      <c r="D409" s="270"/>
      <c r="E409" s="269"/>
      <c r="F409" s="269"/>
      <c r="G409" s="269"/>
      <c r="H409" s="269"/>
      <c r="I409" s="269"/>
      <c r="J409" s="271"/>
      <c r="K409" s="272"/>
      <c r="L409" s="269"/>
      <c r="M409" s="273"/>
      <c r="N409" s="269"/>
      <c r="O409" s="269"/>
      <c r="P409" s="274"/>
      <c r="Q409" s="270"/>
      <c r="R409" s="61"/>
      <c r="S409" s="269"/>
      <c r="T409" s="269"/>
      <c r="U409" s="269"/>
      <c r="V409" s="269"/>
      <c r="W409" s="269"/>
      <c r="X409" s="271"/>
      <c r="Y409" s="272"/>
      <c r="Z409" s="272"/>
      <c r="AA409" s="272"/>
      <c r="AB409" s="272"/>
    </row>
    <row r="410" spans="1:28" ht="15" customHeight="1" x14ac:dyDescent="0.25">
      <c r="A410" s="269"/>
      <c r="B410" s="269"/>
      <c r="C410" s="269"/>
      <c r="D410" s="270"/>
      <c r="E410" s="269"/>
      <c r="F410" s="269"/>
      <c r="G410" s="269"/>
      <c r="H410" s="269"/>
      <c r="I410" s="269"/>
      <c r="J410" s="271"/>
      <c r="K410" s="272"/>
      <c r="L410" s="269"/>
      <c r="M410" s="273"/>
      <c r="N410" s="269"/>
      <c r="O410" s="269"/>
      <c r="P410" s="274"/>
      <c r="Q410" s="270"/>
      <c r="R410" s="61"/>
      <c r="S410" s="269"/>
      <c r="T410" s="269"/>
      <c r="U410" s="269"/>
      <c r="V410" s="269"/>
      <c r="W410" s="269"/>
      <c r="X410" s="271"/>
      <c r="Y410" s="272"/>
      <c r="Z410" s="272"/>
      <c r="AA410" s="272"/>
      <c r="AB410" s="272"/>
    </row>
    <row r="411" spans="1:28" ht="15" customHeight="1" x14ac:dyDescent="0.25">
      <c r="A411" s="269"/>
      <c r="B411" s="269"/>
      <c r="C411" s="269"/>
      <c r="D411" s="270"/>
      <c r="E411" s="269"/>
      <c r="F411" s="269"/>
      <c r="G411" s="269"/>
      <c r="H411" s="269"/>
      <c r="I411" s="269"/>
      <c r="J411" s="271"/>
      <c r="K411" s="272"/>
      <c r="L411" s="269"/>
      <c r="M411" s="273"/>
      <c r="N411" s="269"/>
      <c r="O411" s="269"/>
      <c r="P411" s="274"/>
      <c r="Q411" s="270"/>
      <c r="R411" s="61"/>
      <c r="S411" s="269"/>
      <c r="T411" s="269"/>
      <c r="U411" s="269"/>
      <c r="V411" s="269"/>
      <c r="W411" s="269"/>
      <c r="X411" s="271"/>
      <c r="Y411" s="272"/>
      <c r="Z411" s="272"/>
      <c r="AA411" s="272"/>
      <c r="AB411" s="272"/>
    </row>
    <row r="412" spans="1:28" ht="15" customHeight="1" x14ac:dyDescent="0.25">
      <c r="A412" s="269"/>
      <c r="B412" s="269"/>
      <c r="C412" s="269"/>
      <c r="D412" s="270"/>
      <c r="E412" s="269"/>
      <c r="F412" s="269"/>
      <c r="G412" s="269"/>
      <c r="H412" s="269"/>
      <c r="I412" s="269"/>
      <c r="J412" s="271"/>
      <c r="K412" s="272"/>
      <c r="L412" s="269"/>
      <c r="M412" s="273"/>
      <c r="N412" s="269"/>
      <c r="O412" s="269"/>
      <c r="P412" s="274"/>
      <c r="Q412" s="270"/>
      <c r="R412" s="61"/>
      <c r="S412" s="269"/>
      <c r="T412" s="269"/>
      <c r="U412" s="269"/>
      <c r="V412" s="269"/>
      <c r="W412" s="269"/>
      <c r="X412" s="271"/>
      <c r="Y412" s="272"/>
      <c r="Z412" s="272"/>
      <c r="AA412" s="272"/>
      <c r="AB412" s="272"/>
    </row>
    <row r="413" spans="1:28" ht="15" customHeight="1" x14ac:dyDescent="0.25">
      <c r="A413" s="269"/>
      <c r="B413" s="269"/>
      <c r="C413" s="269"/>
      <c r="D413" s="270"/>
      <c r="E413" s="269"/>
      <c r="F413" s="269"/>
      <c r="G413" s="269"/>
      <c r="H413" s="269"/>
      <c r="I413" s="269"/>
      <c r="J413" s="271"/>
      <c r="K413" s="272"/>
      <c r="L413" s="269"/>
      <c r="M413" s="273"/>
      <c r="N413" s="269"/>
      <c r="O413" s="269"/>
      <c r="P413" s="274"/>
      <c r="Q413" s="270"/>
      <c r="R413" s="61"/>
      <c r="S413" s="269"/>
      <c r="T413" s="269"/>
      <c r="U413" s="269"/>
      <c r="V413" s="269"/>
      <c r="W413" s="269"/>
      <c r="X413" s="271"/>
      <c r="Y413" s="272"/>
      <c r="Z413" s="272"/>
      <c r="AA413" s="272"/>
      <c r="AB413" s="272"/>
    </row>
    <row r="414" spans="1:28" ht="15" customHeight="1" x14ac:dyDescent="0.25">
      <c r="A414" s="269"/>
      <c r="B414" s="269"/>
      <c r="C414" s="269"/>
      <c r="D414" s="270"/>
      <c r="E414" s="269"/>
      <c r="F414" s="269"/>
      <c r="G414" s="269"/>
      <c r="H414" s="269"/>
      <c r="I414" s="269"/>
      <c r="J414" s="271"/>
      <c r="K414" s="272"/>
      <c r="L414" s="269"/>
      <c r="M414" s="273"/>
      <c r="N414" s="269"/>
      <c r="O414" s="269"/>
      <c r="P414" s="274"/>
      <c r="Q414" s="270"/>
      <c r="R414" s="61"/>
      <c r="S414" s="269"/>
      <c r="T414" s="269"/>
      <c r="U414" s="269"/>
      <c r="V414" s="269"/>
      <c r="W414" s="269"/>
      <c r="X414" s="271"/>
      <c r="Y414" s="272"/>
      <c r="Z414" s="272"/>
      <c r="AA414" s="272"/>
      <c r="AB414" s="272"/>
    </row>
    <row r="415" spans="1:28" ht="15" customHeight="1" x14ac:dyDescent="0.25">
      <c r="A415" s="269"/>
      <c r="B415" s="269"/>
      <c r="C415" s="269"/>
      <c r="D415" s="270"/>
      <c r="E415" s="269"/>
      <c r="F415" s="269"/>
      <c r="G415" s="269"/>
      <c r="H415" s="269"/>
      <c r="I415" s="269"/>
      <c r="J415" s="271"/>
      <c r="K415" s="272"/>
      <c r="L415" s="269"/>
      <c r="M415" s="273"/>
      <c r="N415" s="269"/>
      <c r="O415" s="269"/>
      <c r="P415" s="274"/>
      <c r="Q415" s="270"/>
      <c r="R415" s="61"/>
      <c r="S415" s="269"/>
      <c r="T415" s="269"/>
      <c r="U415" s="269"/>
      <c r="V415" s="269"/>
      <c r="W415" s="269"/>
      <c r="X415" s="271"/>
      <c r="Y415" s="272"/>
      <c r="Z415" s="272"/>
      <c r="AA415" s="272"/>
      <c r="AB415" s="272"/>
    </row>
    <row r="416" spans="1:28" ht="15" customHeight="1" x14ac:dyDescent="0.25">
      <c r="A416" s="269"/>
      <c r="B416" s="269"/>
      <c r="C416" s="269"/>
      <c r="D416" s="270"/>
      <c r="E416" s="269"/>
      <c r="F416" s="269"/>
      <c r="G416" s="269"/>
      <c r="H416" s="269"/>
      <c r="I416" s="269"/>
      <c r="J416" s="271"/>
      <c r="K416" s="272"/>
      <c r="L416" s="269"/>
      <c r="M416" s="273"/>
      <c r="N416" s="269"/>
      <c r="O416" s="269"/>
      <c r="P416" s="274"/>
      <c r="Q416" s="270"/>
      <c r="R416" s="61"/>
      <c r="S416" s="269"/>
      <c r="T416" s="269"/>
      <c r="U416" s="269"/>
      <c r="V416" s="269"/>
      <c r="W416" s="269"/>
      <c r="X416" s="271"/>
      <c r="Y416" s="272"/>
      <c r="Z416" s="272"/>
      <c r="AA416" s="272"/>
      <c r="AB416" s="272"/>
    </row>
    <row r="417" spans="1:28" ht="15" customHeight="1" x14ac:dyDescent="0.25">
      <c r="A417" s="269"/>
      <c r="B417" s="269"/>
      <c r="C417" s="269"/>
      <c r="D417" s="270"/>
      <c r="E417" s="269"/>
      <c r="F417" s="269"/>
      <c r="G417" s="269"/>
      <c r="H417" s="269"/>
      <c r="I417" s="269"/>
      <c r="J417" s="271"/>
      <c r="K417" s="272"/>
      <c r="L417" s="269"/>
      <c r="M417" s="273"/>
      <c r="N417" s="269"/>
      <c r="O417" s="269"/>
      <c r="P417" s="274"/>
      <c r="Q417" s="270"/>
      <c r="R417" s="61"/>
      <c r="S417" s="269"/>
      <c r="T417" s="269"/>
      <c r="U417" s="269"/>
      <c r="V417" s="269"/>
      <c r="W417" s="269"/>
      <c r="X417" s="271"/>
      <c r="Y417" s="272"/>
      <c r="Z417" s="272"/>
      <c r="AA417" s="272"/>
      <c r="AB417" s="272"/>
    </row>
    <row r="418" spans="1:28" ht="15" customHeight="1" x14ac:dyDescent="0.25">
      <c r="A418" s="269"/>
      <c r="B418" s="269"/>
      <c r="C418" s="269"/>
      <c r="D418" s="270"/>
      <c r="E418" s="269"/>
      <c r="F418" s="269"/>
      <c r="G418" s="269"/>
      <c r="H418" s="269"/>
      <c r="I418" s="269"/>
      <c r="J418" s="271"/>
      <c r="K418" s="272"/>
      <c r="L418" s="269"/>
      <c r="M418" s="273"/>
      <c r="N418" s="269"/>
      <c r="O418" s="269"/>
      <c r="P418" s="274"/>
      <c r="Q418" s="270"/>
      <c r="R418" s="61"/>
      <c r="S418" s="269"/>
      <c r="T418" s="269"/>
      <c r="U418" s="269"/>
      <c r="V418" s="269"/>
      <c r="W418" s="269"/>
      <c r="X418" s="271"/>
      <c r="Y418" s="272"/>
      <c r="Z418" s="272"/>
      <c r="AA418" s="272"/>
      <c r="AB418" s="272"/>
    </row>
    <row r="419" spans="1:28" ht="15" customHeight="1" x14ac:dyDescent="0.25">
      <c r="A419" s="269"/>
      <c r="B419" s="269"/>
      <c r="C419" s="269"/>
      <c r="D419" s="270"/>
      <c r="E419" s="269"/>
      <c r="F419" s="269"/>
      <c r="G419" s="269"/>
      <c r="H419" s="269"/>
      <c r="I419" s="269"/>
      <c r="J419" s="271"/>
      <c r="K419" s="272"/>
      <c r="L419" s="269"/>
      <c r="M419" s="273"/>
      <c r="N419" s="269"/>
      <c r="O419" s="269"/>
      <c r="P419" s="274"/>
      <c r="Q419" s="270"/>
      <c r="R419" s="61"/>
      <c r="S419" s="269"/>
      <c r="T419" s="269"/>
      <c r="U419" s="269"/>
      <c r="V419" s="269"/>
      <c r="W419" s="269"/>
      <c r="X419" s="271"/>
      <c r="Y419" s="272"/>
      <c r="Z419" s="272"/>
      <c r="AA419" s="272"/>
      <c r="AB419" s="272"/>
    </row>
    <row r="420" spans="1:28" ht="15" customHeight="1" x14ac:dyDescent="0.25">
      <c r="A420" s="269"/>
      <c r="B420" s="269"/>
      <c r="C420" s="269"/>
      <c r="D420" s="270"/>
      <c r="E420" s="269"/>
      <c r="F420" s="269"/>
      <c r="G420" s="269"/>
      <c r="H420" s="269"/>
      <c r="I420" s="269"/>
      <c r="J420" s="271"/>
      <c r="K420" s="272"/>
      <c r="L420" s="269"/>
      <c r="M420" s="273"/>
      <c r="N420" s="269"/>
      <c r="O420" s="269"/>
      <c r="P420" s="274"/>
      <c r="Q420" s="270"/>
      <c r="R420" s="61"/>
      <c r="S420" s="269"/>
      <c r="T420" s="269"/>
      <c r="U420" s="269"/>
      <c r="V420" s="269"/>
      <c r="W420" s="269"/>
      <c r="X420" s="271"/>
      <c r="Y420" s="272"/>
      <c r="Z420" s="272"/>
      <c r="AA420" s="272"/>
      <c r="AB420" s="272"/>
    </row>
    <row r="421" spans="1:28" ht="15" customHeight="1" x14ac:dyDescent="0.25">
      <c r="A421" s="269"/>
      <c r="B421" s="269"/>
      <c r="C421" s="269"/>
      <c r="D421" s="270"/>
      <c r="E421" s="269"/>
      <c r="F421" s="269"/>
      <c r="G421" s="269"/>
      <c r="H421" s="269"/>
      <c r="I421" s="269"/>
      <c r="J421" s="271"/>
      <c r="K421" s="272"/>
      <c r="L421" s="269"/>
      <c r="M421" s="273"/>
      <c r="N421" s="269"/>
      <c r="O421" s="269"/>
      <c r="P421" s="274"/>
      <c r="Q421" s="270"/>
      <c r="R421" s="61"/>
      <c r="S421" s="269"/>
      <c r="T421" s="269"/>
      <c r="U421" s="269"/>
      <c r="V421" s="269"/>
      <c r="W421" s="269"/>
      <c r="X421" s="271"/>
      <c r="Y421" s="272"/>
      <c r="Z421" s="272"/>
      <c r="AA421" s="272"/>
      <c r="AB421" s="272"/>
    </row>
    <row r="422" spans="1:28" ht="15" customHeight="1" x14ac:dyDescent="0.25">
      <c r="A422" s="269"/>
      <c r="B422" s="269"/>
      <c r="C422" s="269"/>
      <c r="D422" s="270"/>
      <c r="E422" s="269"/>
      <c r="F422" s="269"/>
      <c r="G422" s="269"/>
      <c r="H422" s="269"/>
      <c r="I422" s="269"/>
      <c r="J422" s="271"/>
      <c r="K422" s="272"/>
      <c r="L422" s="269"/>
      <c r="M422" s="273"/>
      <c r="N422" s="269"/>
      <c r="O422" s="269"/>
      <c r="P422" s="274"/>
      <c r="Q422" s="270"/>
      <c r="R422" s="61"/>
      <c r="S422" s="269"/>
      <c r="T422" s="269"/>
      <c r="U422" s="269"/>
      <c r="V422" s="269"/>
      <c r="W422" s="269"/>
      <c r="X422" s="271"/>
      <c r="Y422" s="272"/>
      <c r="Z422" s="272"/>
      <c r="AA422" s="272"/>
      <c r="AB422" s="272"/>
    </row>
    <row r="423" spans="1:28" ht="15" customHeight="1" x14ac:dyDescent="0.25">
      <c r="A423" s="269"/>
      <c r="B423" s="269"/>
      <c r="C423" s="269"/>
      <c r="D423" s="270"/>
      <c r="E423" s="269"/>
      <c r="F423" s="269"/>
      <c r="G423" s="269"/>
      <c r="H423" s="269"/>
      <c r="I423" s="269"/>
      <c r="J423" s="271"/>
      <c r="K423" s="272"/>
      <c r="L423" s="269"/>
      <c r="M423" s="273"/>
      <c r="N423" s="269"/>
      <c r="O423" s="269"/>
      <c r="P423" s="274"/>
      <c r="Q423" s="270"/>
      <c r="R423" s="61"/>
      <c r="S423" s="269"/>
      <c r="T423" s="269"/>
      <c r="U423" s="269"/>
      <c r="V423" s="269"/>
      <c r="W423" s="269"/>
      <c r="X423" s="271"/>
      <c r="Y423" s="272"/>
      <c r="Z423" s="272"/>
      <c r="AA423" s="272"/>
      <c r="AB423" s="272"/>
    </row>
    <row r="424" spans="1:28" ht="15" customHeight="1" x14ac:dyDescent="0.25">
      <c r="A424" s="269"/>
      <c r="B424" s="269"/>
      <c r="C424" s="269"/>
      <c r="D424" s="270"/>
      <c r="E424" s="269"/>
      <c r="F424" s="269"/>
      <c r="G424" s="269"/>
      <c r="H424" s="269"/>
      <c r="I424" s="269"/>
      <c r="J424" s="271"/>
      <c r="K424" s="272"/>
      <c r="L424" s="269"/>
      <c r="M424" s="273"/>
      <c r="N424" s="269"/>
      <c r="O424" s="269"/>
      <c r="P424" s="274"/>
      <c r="Q424" s="270"/>
      <c r="R424" s="61"/>
      <c r="S424" s="269"/>
      <c r="T424" s="269"/>
      <c r="U424" s="269"/>
      <c r="V424" s="269"/>
      <c r="W424" s="269"/>
      <c r="X424" s="271"/>
      <c r="Y424" s="272"/>
      <c r="Z424" s="272"/>
      <c r="AA424" s="272"/>
      <c r="AB424" s="272"/>
    </row>
    <row r="425" spans="1:28" ht="15" customHeight="1" x14ac:dyDescent="0.25">
      <c r="A425" s="269"/>
      <c r="B425" s="269"/>
      <c r="C425" s="269"/>
      <c r="D425" s="270"/>
      <c r="E425" s="269"/>
      <c r="F425" s="269"/>
      <c r="G425" s="269"/>
      <c r="H425" s="269"/>
      <c r="I425" s="269"/>
      <c r="J425" s="271"/>
      <c r="K425" s="272"/>
      <c r="L425" s="269"/>
      <c r="M425" s="273"/>
      <c r="N425" s="269"/>
      <c r="O425" s="269"/>
      <c r="P425" s="274"/>
      <c r="Q425" s="270"/>
      <c r="R425" s="61"/>
      <c r="S425" s="269"/>
      <c r="T425" s="269"/>
      <c r="U425" s="269"/>
      <c r="V425" s="269"/>
      <c r="W425" s="269"/>
      <c r="X425" s="271"/>
      <c r="Y425" s="272"/>
      <c r="Z425" s="272"/>
      <c r="AA425" s="272"/>
      <c r="AB425" s="272"/>
    </row>
    <row r="426" spans="1:28" ht="15" customHeight="1" x14ac:dyDescent="0.25">
      <c r="A426" s="269"/>
      <c r="B426" s="269"/>
      <c r="C426" s="269"/>
      <c r="D426" s="270"/>
      <c r="E426" s="269"/>
      <c r="F426" s="269"/>
      <c r="G426" s="269"/>
      <c r="H426" s="269"/>
      <c r="I426" s="269"/>
      <c r="J426" s="271"/>
      <c r="K426" s="272"/>
      <c r="L426" s="269"/>
      <c r="M426" s="273"/>
      <c r="N426" s="269"/>
      <c r="O426" s="269"/>
      <c r="P426" s="274"/>
      <c r="Q426" s="270"/>
      <c r="R426" s="61"/>
      <c r="S426" s="269"/>
      <c r="T426" s="269"/>
      <c r="U426" s="269"/>
      <c r="V426" s="269"/>
      <c r="W426" s="269"/>
      <c r="X426" s="271"/>
      <c r="Y426" s="272"/>
      <c r="Z426" s="272"/>
      <c r="AA426" s="272"/>
      <c r="AB426" s="272"/>
    </row>
    <row r="427" spans="1:28" ht="15" customHeight="1" x14ac:dyDescent="0.25">
      <c r="A427" s="269"/>
      <c r="B427" s="269"/>
      <c r="C427" s="269"/>
      <c r="D427" s="270"/>
      <c r="E427" s="269"/>
      <c r="F427" s="269"/>
      <c r="G427" s="269"/>
      <c r="H427" s="269"/>
      <c r="I427" s="269"/>
      <c r="J427" s="271"/>
      <c r="K427" s="272"/>
      <c r="L427" s="269"/>
      <c r="M427" s="273"/>
      <c r="N427" s="269"/>
      <c r="O427" s="269"/>
      <c r="P427" s="274"/>
      <c r="Q427" s="270"/>
      <c r="R427" s="61"/>
      <c r="S427" s="269"/>
      <c r="T427" s="269"/>
      <c r="U427" s="269"/>
      <c r="V427" s="269"/>
      <c r="W427" s="269"/>
      <c r="X427" s="271"/>
      <c r="Y427" s="272"/>
      <c r="Z427" s="272"/>
      <c r="AA427" s="272"/>
      <c r="AB427" s="272"/>
    </row>
    <row r="428" spans="1:28" ht="15" customHeight="1" x14ac:dyDescent="0.25">
      <c r="A428" s="269"/>
      <c r="B428" s="269"/>
      <c r="C428" s="269"/>
      <c r="D428" s="270"/>
      <c r="E428" s="269"/>
      <c r="F428" s="269"/>
      <c r="G428" s="269"/>
      <c r="H428" s="269"/>
      <c r="I428" s="269"/>
      <c r="J428" s="271"/>
      <c r="K428" s="272"/>
      <c r="L428" s="269"/>
      <c r="M428" s="273"/>
      <c r="N428" s="269"/>
      <c r="O428" s="269"/>
      <c r="P428" s="274"/>
      <c r="Q428" s="270"/>
      <c r="R428" s="61"/>
      <c r="S428" s="269"/>
      <c r="T428" s="269"/>
      <c r="U428" s="269"/>
      <c r="V428" s="269"/>
      <c r="W428" s="269"/>
      <c r="X428" s="271"/>
      <c r="Y428" s="272"/>
      <c r="Z428" s="272"/>
      <c r="AA428" s="272"/>
      <c r="AB428" s="272"/>
    </row>
    <row r="429" spans="1:28" ht="15" customHeight="1" x14ac:dyDescent="0.25">
      <c r="A429" s="269"/>
      <c r="B429" s="269"/>
      <c r="C429" s="269"/>
      <c r="D429" s="270"/>
      <c r="E429" s="269"/>
      <c r="F429" s="269"/>
      <c r="G429" s="269"/>
      <c r="H429" s="269"/>
      <c r="I429" s="269"/>
      <c r="J429" s="271"/>
      <c r="K429" s="272"/>
      <c r="L429" s="269"/>
      <c r="M429" s="273"/>
      <c r="N429" s="269"/>
      <c r="O429" s="269"/>
      <c r="P429" s="274"/>
      <c r="Q429" s="270"/>
      <c r="R429" s="61"/>
      <c r="S429" s="269"/>
      <c r="T429" s="269"/>
      <c r="U429" s="269"/>
      <c r="V429" s="269"/>
      <c r="W429" s="269"/>
      <c r="X429" s="271"/>
      <c r="Y429" s="272"/>
      <c r="Z429" s="272"/>
      <c r="AA429" s="272"/>
      <c r="AB429" s="272"/>
    </row>
    <row r="430" spans="1:28" ht="15" customHeight="1" x14ac:dyDescent="0.25">
      <c r="A430" s="269"/>
      <c r="B430" s="269"/>
      <c r="C430" s="269"/>
      <c r="D430" s="270"/>
      <c r="E430" s="269"/>
      <c r="F430" s="269"/>
      <c r="G430" s="269"/>
      <c r="H430" s="269"/>
      <c r="I430" s="269"/>
      <c r="J430" s="271"/>
      <c r="K430" s="272"/>
      <c r="L430" s="269"/>
      <c r="M430" s="273"/>
      <c r="N430" s="269"/>
      <c r="O430" s="269"/>
      <c r="P430" s="274"/>
      <c r="Q430" s="270"/>
      <c r="R430" s="61"/>
      <c r="S430" s="269"/>
      <c r="T430" s="269"/>
      <c r="U430" s="269"/>
      <c r="V430" s="269"/>
      <c r="W430" s="269"/>
      <c r="X430" s="271"/>
      <c r="Y430" s="272"/>
      <c r="Z430" s="272"/>
      <c r="AA430" s="272"/>
      <c r="AB430" s="272"/>
    </row>
    <row r="431" spans="1:28" ht="15" customHeight="1" x14ac:dyDescent="0.25">
      <c r="A431" s="269"/>
      <c r="B431" s="269"/>
      <c r="C431" s="269"/>
      <c r="D431" s="270"/>
      <c r="E431" s="269"/>
      <c r="F431" s="269"/>
      <c r="G431" s="269"/>
      <c r="H431" s="269"/>
      <c r="I431" s="269"/>
      <c r="J431" s="271"/>
      <c r="K431" s="272"/>
      <c r="L431" s="269"/>
      <c r="M431" s="273"/>
      <c r="N431" s="269"/>
      <c r="O431" s="269"/>
      <c r="P431" s="274"/>
      <c r="Q431" s="270"/>
      <c r="R431" s="61"/>
      <c r="S431" s="269"/>
      <c r="T431" s="269"/>
      <c r="U431" s="269"/>
      <c r="V431" s="269"/>
      <c r="W431" s="269"/>
      <c r="X431" s="271"/>
      <c r="Y431" s="272"/>
      <c r="Z431" s="272"/>
      <c r="AA431" s="272"/>
      <c r="AB431" s="272"/>
    </row>
    <row r="432" spans="1:28" ht="15" customHeight="1" x14ac:dyDescent="0.25">
      <c r="A432" s="269"/>
      <c r="B432" s="269"/>
      <c r="C432" s="269"/>
      <c r="D432" s="270"/>
      <c r="E432" s="269"/>
      <c r="F432" s="269"/>
      <c r="G432" s="269"/>
      <c r="H432" s="269"/>
      <c r="I432" s="269"/>
      <c r="J432" s="271"/>
      <c r="K432" s="272"/>
      <c r="L432" s="269"/>
      <c r="M432" s="273"/>
      <c r="N432" s="269"/>
      <c r="O432" s="269"/>
      <c r="P432" s="274"/>
      <c r="Q432" s="270"/>
      <c r="R432" s="61"/>
      <c r="S432" s="269"/>
      <c r="T432" s="269"/>
      <c r="U432" s="269"/>
      <c r="V432" s="269"/>
      <c r="W432" s="269"/>
      <c r="X432" s="271"/>
      <c r="Y432" s="272"/>
      <c r="Z432" s="272"/>
      <c r="AA432" s="272"/>
      <c r="AB432" s="272"/>
    </row>
    <row r="433" spans="1:28" ht="15" customHeight="1" x14ac:dyDescent="0.25">
      <c r="A433" s="269"/>
      <c r="B433" s="269"/>
      <c r="C433" s="269"/>
      <c r="D433" s="270"/>
      <c r="E433" s="269"/>
      <c r="F433" s="269"/>
      <c r="G433" s="269"/>
      <c r="H433" s="269"/>
      <c r="I433" s="269"/>
      <c r="J433" s="271"/>
      <c r="K433" s="272"/>
      <c r="L433" s="269"/>
      <c r="M433" s="273"/>
      <c r="N433" s="269"/>
      <c r="O433" s="269"/>
      <c r="P433" s="274"/>
      <c r="Q433" s="270"/>
      <c r="R433" s="61"/>
      <c r="S433" s="269"/>
      <c r="T433" s="269"/>
      <c r="U433" s="269"/>
      <c r="V433" s="269"/>
      <c r="W433" s="269"/>
      <c r="X433" s="271"/>
      <c r="Y433" s="272"/>
      <c r="Z433" s="272"/>
      <c r="AA433" s="272"/>
      <c r="AB433" s="272"/>
    </row>
    <row r="434" spans="1:28" ht="15" customHeight="1" x14ac:dyDescent="0.25">
      <c r="A434" s="269"/>
      <c r="B434" s="269"/>
      <c r="C434" s="269"/>
      <c r="D434" s="270"/>
      <c r="E434" s="269"/>
      <c r="F434" s="269"/>
      <c r="G434" s="269"/>
      <c r="H434" s="269"/>
      <c r="I434" s="269"/>
      <c r="J434" s="271"/>
      <c r="K434" s="272"/>
      <c r="L434" s="269"/>
      <c r="M434" s="273"/>
      <c r="N434" s="269"/>
      <c r="O434" s="269"/>
      <c r="P434" s="274"/>
      <c r="Q434" s="270"/>
      <c r="R434" s="61"/>
      <c r="S434" s="269"/>
      <c r="T434" s="269"/>
      <c r="U434" s="269"/>
      <c r="V434" s="269"/>
      <c r="W434" s="269"/>
      <c r="X434" s="271"/>
      <c r="Y434" s="272"/>
      <c r="Z434" s="272"/>
      <c r="AA434" s="272"/>
      <c r="AB434" s="272"/>
    </row>
    <row r="435" spans="1:28" ht="15" customHeight="1" x14ac:dyDescent="0.25">
      <c r="A435" s="269"/>
      <c r="B435" s="269"/>
      <c r="C435" s="269"/>
      <c r="D435" s="270"/>
      <c r="E435" s="269"/>
      <c r="F435" s="269"/>
      <c r="G435" s="269"/>
      <c r="H435" s="269"/>
      <c r="I435" s="269"/>
      <c r="J435" s="271"/>
      <c r="K435" s="272"/>
      <c r="L435" s="269"/>
      <c r="M435" s="273"/>
      <c r="N435" s="269"/>
      <c r="O435" s="269"/>
      <c r="P435" s="274"/>
      <c r="Q435" s="270"/>
      <c r="R435" s="61"/>
      <c r="S435" s="269"/>
      <c r="T435" s="269"/>
      <c r="U435" s="269"/>
      <c r="V435" s="269"/>
      <c r="W435" s="269"/>
      <c r="X435" s="271"/>
      <c r="Y435" s="272"/>
      <c r="Z435" s="272"/>
      <c r="AA435" s="272"/>
      <c r="AB435" s="272"/>
    </row>
    <row r="436" spans="1:28" ht="15" customHeight="1" x14ac:dyDescent="0.25">
      <c r="A436" s="269"/>
      <c r="B436" s="269"/>
      <c r="C436" s="269"/>
      <c r="D436" s="270"/>
      <c r="E436" s="269"/>
      <c r="F436" s="269"/>
      <c r="G436" s="269"/>
      <c r="H436" s="269"/>
      <c r="I436" s="269"/>
      <c r="J436" s="271"/>
      <c r="K436" s="272"/>
      <c r="L436" s="269"/>
      <c r="M436" s="273"/>
      <c r="N436" s="269"/>
      <c r="O436" s="269"/>
      <c r="P436" s="274"/>
      <c r="Q436" s="270"/>
      <c r="R436" s="61"/>
      <c r="S436" s="269"/>
      <c r="T436" s="269"/>
      <c r="U436" s="269"/>
      <c r="V436" s="269"/>
      <c r="W436" s="269"/>
      <c r="X436" s="271"/>
      <c r="Y436" s="272"/>
      <c r="Z436" s="272"/>
      <c r="AA436" s="272"/>
      <c r="AB436" s="272"/>
    </row>
    <row r="437" spans="1:28" ht="15" customHeight="1" x14ac:dyDescent="0.25">
      <c r="A437" s="269"/>
      <c r="B437" s="269"/>
      <c r="C437" s="269"/>
      <c r="D437" s="270"/>
      <c r="E437" s="269"/>
      <c r="F437" s="269"/>
      <c r="G437" s="269"/>
      <c r="H437" s="269"/>
      <c r="I437" s="269"/>
      <c r="J437" s="271"/>
      <c r="K437" s="272"/>
      <c r="L437" s="269"/>
      <c r="M437" s="273"/>
      <c r="N437" s="269"/>
      <c r="O437" s="269"/>
      <c r="P437" s="274"/>
      <c r="Q437" s="270"/>
      <c r="R437" s="61"/>
      <c r="S437" s="269"/>
      <c r="T437" s="269"/>
      <c r="U437" s="269"/>
      <c r="V437" s="269"/>
      <c r="W437" s="269"/>
      <c r="X437" s="271"/>
      <c r="Y437" s="272"/>
      <c r="Z437" s="272"/>
      <c r="AA437" s="272"/>
      <c r="AB437" s="272"/>
    </row>
    <row r="438" spans="1:28" ht="15" customHeight="1" x14ac:dyDescent="0.25">
      <c r="A438" s="269"/>
      <c r="B438" s="269"/>
      <c r="C438" s="269"/>
      <c r="D438" s="270"/>
      <c r="E438" s="269"/>
      <c r="F438" s="269"/>
      <c r="G438" s="269"/>
      <c r="H438" s="269"/>
      <c r="I438" s="269"/>
      <c r="J438" s="271"/>
      <c r="K438" s="272"/>
      <c r="L438" s="269"/>
      <c r="M438" s="273"/>
      <c r="N438" s="269"/>
      <c r="O438" s="269"/>
      <c r="P438" s="274"/>
      <c r="Q438" s="270"/>
      <c r="R438" s="61"/>
      <c r="S438" s="269"/>
      <c r="T438" s="269"/>
      <c r="U438" s="269"/>
      <c r="V438" s="269"/>
      <c r="W438" s="269"/>
      <c r="X438" s="271"/>
      <c r="Y438" s="272"/>
      <c r="Z438" s="272"/>
      <c r="AA438" s="272"/>
      <c r="AB438" s="272"/>
    </row>
    <row r="439" spans="1:28" ht="15" customHeight="1" x14ac:dyDescent="0.25">
      <c r="A439" s="269"/>
      <c r="B439" s="269"/>
      <c r="C439" s="269"/>
      <c r="D439" s="270"/>
      <c r="E439" s="269"/>
      <c r="F439" s="269"/>
      <c r="G439" s="269"/>
      <c r="H439" s="269"/>
      <c r="I439" s="269"/>
      <c r="J439" s="271"/>
      <c r="K439" s="272"/>
      <c r="L439" s="269"/>
      <c r="M439" s="273"/>
      <c r="N439" s="269"/>
      <c r="O439" s="269"/>
      <c r="P439" s="274"/>
      <c r="Q439" s="270"/>
      <c r="R439" s="61"/>
      <c r="S439" s="269"/>
      <c r="T439" s="269"/>
      <c r="U439" s="269"/>
      <c r="V439" s="269"/>
      <c r="W439" s="269"/>
      <c r="X439" s="271"/>
      <c r="Y439" s="272"/>
      <c r="Z439" s="272"/>
      <c r="AA439" s="272"/>
      <c r="AB439" s="272"/>
    </row>
    <row r="440" spans="1:28" ht="15" customHeight="1" x14ac:dyDescent="0.25">
      <c r="A440" s="269"/>
      <c r="B440" s="269"/>
      <c r="C440" s="269"/>
      <c r="D440" s="270"/>
      <c r="E440" s="269"/>
      <c r="F440" s="269"/>
      <c r="G440" s="269"/>
      <c r="H440" s="269"/>
      <c r="I440" s="269"/>
      <c r="J440" s="271"/>
      <c r="K440" s="272"/>
      <c r="L440" s="269"/>
      <c r="M440" s="273"/>
      <c r="N440" s="269"/>
      <c r="O440" s="269"/>
      <c r="P440" s="274"/>
      <c r="Q440" s="270"/>
      <c r="R440" s="61"/>
      <c r="S440" s="269"/>
      <c r="T440" s="269"/>
      <c r="U440" s="269"/>
      <c r="V440" s="269"/>
      <c r="W440" s="269"/>
      <c r="X440" s="271"/>
      <c r="Y440" s="272"/>
      <c r="Z440" s="272"/>
      <c r="AA440" s="272"/>
      <c r="AB440" s="272"/>
    </row>
    <row r="441" spans="1:28" ht="15" customHeight="1" x14ac:dyDescent="0.25">
      <c r="A441" s="269"/>
      <c r="B441" s="269"/>
      <c r="C441" s="269"/>
      <c r="D441" s="270"/>
      <c r="E441" s="269"/>
      <c r="F441" s="269"/>
      <c r="G441" s="269"/>
      <c r="H441" s="269"/>
      <c r="I441" s="269"/>
      <c r="J441" s="271"/>
      <c r="K441" s="272"/>
      <c r="L441" s="269"/>
      <c r="M441" s="273"/>
      <c r="N441" s="269"/>
      <c r="O441" s="269"/>
      <c r="P441" s="274"/>
      <c r="Q441" s="270"/>
      <c r="R441" s="61"/>
      <c r="S441" s="269"/>
      <c r="T441" s="269"/>
      <c r="U441" s="269"/>
      <c r="V441" s="269"/>
      <c r="W441" s="269"/>
      <c r="X441" s="271"/>
      <c r="Y441" s="272"/>
      <c r="Z441" s="272"/>
      <c r="AA441" s="272"/>
      <c r="AB441" s="272"/>
    </row>
    <row r="442" spans="1:28" ht="15" customHeight="1" x14ac:dyDescent="0.25">
      <c r="A442" s="269"/>
      <c r="B442" s="269"/>
      <c r="C442" s="269"/>
      <c r="D442" s="270"/>
      <c r="E442" s="269"/>
      <c r="F442" s="269"/>
      <c r="G442" s="269"/>
      <c r="H442" s="269"/>
      <c r="I442" s="269"/>
      <c r="J442" s="271"/>
      <c r="K442" s="272"/>
      <c r="L442" s="269"/>
      <c r="M442" s="273"/>
      <c r="N442" s="269"/>
      <c r="O442" s="269"/>
      <c r="P442" s="274"/>
      <c r="Q442" s="270"/>
      <c r="R442" s="61"/>
      <c r="S442" s="269"/>
      <c r="T442" s="269"/>
      <c r="U442" s="269"/>
      <c r="V442" s="269"/>
      <c r="W442" s="269"/>
      <c r="X442" s="271"/>
      <c r="Y442" s="272"/>
      <c r="Z442" s="272"/>
      <c r="AA442" s="272"/>
      <c r="AB442" s="272"/>
    </row>
    <row r="443" spans="1:28" ht="15" customHeight="1" x14ac:dyDescent="0.25">
      <c r="A443" s="269"/>
      <c r="B443" s="269"/>
      <c r="C443" s="269"/>
      <c r="D443" s="270"/>
      <c r="E443" s="269"/>
      <c r="F443" s="269"/>
      <c r="G443" s="269"/>
      <c r="H443" s="269"/>
      <c r="I443" s="269"/>
      <c r="J443" s="271"/>
      <c r="K443" s="272"/>
      <c r="L443" s="269"/>
      <c r="M443" s="273"/>
      <c r="N443" s="269"/>
      <c r="O443" s="269"/>
      <c r="P443" s="274"/>
      <c r="Q443" s="270"/>
      <c r="R443" s="61"/>
      <c r="S443" s="269"/>
      <c r="T443" s="269"/>
      <c r="U443" s="269"/>
      <c r="V443" s="269"/>
      <c r="W443" s="269"/>
      <c r="X443" s="271"/>
      <c r="Y443" s="272"/>
      <c r="Z443" s="272"/>
      <c r="AA443" s="272"/>
      <c r="AB443" s="272"/>
    </row>
    <row r="444" spans="1:28" ht="15" customHeight="1" x14ac:dyDescent="0.25">
      <c r="A444" s="269"/>
      <c r="B444" s="269"/>
      <c r="C444" s="269"/>
      <c r="D444" s="270"/>
      <c r="E444" s="269"/>
      <c r="F444" s="269"/>
      <c r="G444" s="269"/>
      <c r="H444" s="269"/>
      <c r="I444" s="269"/>
      <c r="J444" s="271"/>
      <c r="K444" s="272"/>
      <c r="L444" s="269"/>
      <c r="M444" s="273"/>
      <c r="N444" s="269"/>
      <c r="O444" s="269"/>
      <c r="P444" s="274"/>
      <c r="Q444" s="270"/>
      <c r="R444" s="61"/>
      <c r="S444" s="269"/>
      <c r="T444" s="269"/>
      <c r="U444" s="269"/>
      <c r="V444" s="269"/>
      <c r="W444" s="269"/>
      <c r="X444" s="271"/>
      <c r="Y444" s="272"/>
      <c r="Z444" s="272"/>
      <c r="AA444" s="272"/>
      <c r="AB444" s="272"/>
    </row>
    <row r="445" spans="1:28" ht="15" customHeight="1" x14ac:dyDescent="0.25">
      <c r="A445" s="269"/>
      <c r="B445" s="269"/>
      <c r="C445" s="269"/>
      <c r="D445" s="270"/>
      <c r="E445" s="269"/>
      <c r="F445" s="269"/>
      <c r="G445" s="269"/>
      <c r="H445" s="269"/>
      <c r="I445" s="269"/>
      <c r="J445" s="271"/>
      <c r="K445" s="272"/>
      <c r="L445" s="269"/>
      <c r="M445" s="273"/>
      <c r="N445" s="269"/>
      <c r="O445" s="269"/>
      <c r="P445" s="274"/>
      <c r="Q445" s="270"/>
      <c r="R445" s="61"/>
      <c r="S445" s="269"/>
      <c r="T445" s="269"/>
      <c r="U445" s="269"/>
      <c r="V445" s="269"/>
      <c r="W445" s="269"/>
      <c r="X445" s="271"/>
      <c r="Y445" s="272"/>
      <c r="Z445" s="272"/>
      <c r="AA445" s="272"/>
      <c r="AB445" s="272"/>
    </row>
    <row r="446" spans="1:28" ht="15" customHeight="1" x14ac:dyDescent="0.25">
      <c r="A446" s="269"/>
      <c r="B446" s="269"/>
      <c r="C446" s="269"/>
      <c r="D446" s="270"/>
      <c r="E446" s="269"/>
      <c r="F446" s="269"/>
      <c r="G446" s="269"/>
      <c r="H446" s="269"/>
      <c r="I446" s="269"/>
      <c r="J446" s="271"/>
      <c r="K446" s="272"/>
      <c r="L446" s="269"/>
      <c r="M446" s="273"/>
      <c r="N446" s="269"/>
      <c r="O446" s="269"/>
      <c r="P446" s="274"/>
      <c r="Q446" s="270"/>
      <c r="R446" s="61"/>
      <c r="S446" s="269"/>
      <c r="T446" s="269"/>
      <c r="U446" s="269"/>
      <c r="V446" s="269"/>
      <c r="W446" s="269"/>
      <c r="X446" s="271"/>
      <c r="Y446" s="272"/>
      <c r="Z446" s="272"/>
      <c r="AA446" s="272"/>
      <c r="AB446" s="272"/>
    </row>
    <row r="447" spans="1:28" ht="15" customHeight="1" x14ac:dyDescent="0.25">
      <c r="A447" s="269"/>
      <c r="B447" s="269"/>
      <c r="C447" s="269"/>
      <c r="D447" s="270"/>
      <c r="E447" s="269"/>
      <c r="F447" s="269"/>
      <c r="G447" s="269"/>
      <c r="H447" s="269"/>
      <c r="I447" s="269"/>
      <c r="J447" s="271"/>
      <c r="K447" s="272"/>
      <c r="L447" s="269"/>
      <c r="M447" s="273"/>
      <c r="N447" s="269"/>
      <c r="O447" s="269"/>
      <c r="P447" s="274"/>
      <c r="Q447" s="270"/>
      <c r="R447" s="61"/>
      <c r="S447" s="269"/>
      <c r="T447" s="269"/>
      <c r="U447" s="269"/>
      <c r="V447" s="269"/>
      <c r="W447" s="269"/>
      <c r="X447" s="271"/>
      <c r="Y447" s="272"/>
      <c r="Z447" s="272"/>
      <c r="AA447" s="272"/>
      <c r="AB447" s="272"/>
    </row>
    <row r="448" spans="1:28" ht="15" customHeight="1" x14ac:dyDescent="0.25">
      <c r="A448" s="269"/>
      <c r="B448" s="269"/>
      <c r="C448" s="269"/>
      <c r="D448" s="270"/>
      <c r="E448" s="269"/>
      <c r="F448" s="269"/>
      <c r="G448" s="269"/>
      <c r="H448" s="269"/>
      <c r="I448" s="269"/>
      <c r="J448" s="271"/>
      <c r="K448" s="272"/>
      <c r="L448" s="269"/>
      <c r="M448" s="273"/>
      <c r="N448" s="269"/>
      <c r="O448" s="269"/>
      <c r="P448" s="274"/>
      <c r="Q448" s="270"/>
      <c r="R448" s="61"/>
      <c r="S448" s="269"/>
      <c r="T448" s="269"/>
      <c r="U448" s="269"/>
      <c r="V448" s="269"/>
      <c r="W448" s="269"/>
      <c r="X448" s="271"/>
      <c r="Y448" s="272"/>
      <c r="Z448" s="272"/>
      <c r="AA448" s="272"/>
      <c r="AB448" s="272"/>
    </row>
    <row r="449" spans="1:28" ht="15" customHeight="1" x14ac:dyDescent="0.25">
      <c r="A449" s="269"/>
      <c r="B449" s="269"/>
      <c r="C449" s="269"/>
      <c r="D449" s="270"/>
      <c r="E449" s="269"/>
      <c r="F449" s="269"/>
      <c r="G449" s="269"/>
      <c r="H449" s="269"/>
      <c r="I449" s="269"/>
      <c r="J449" s="271"/>
      <c r="K449" s="272"/>
      <c r="L449" s="269"/>
      <c r="M449" s="273"/>
      <c r="N449" s="269"/>
      <c r="O449" s="269"/>
      <c r="P449" s="274"/>
      <c r="Q449" s="270"/>
      <c r="R449" s="61"/>
      <c r="S449" s="269"/>
      <c r="T449" s="269"/>
      <c r="U449" s="269"/>
      <c r="V449" s="269"/>
      <c r="W449" s="269"/>
      <c r="X449" s="271"/>
      <c r="Y449" s="272"/>
      <c r="Z449" s="272"/>
      <c r="AA449" s="272"/>
      <c r="AB449" s="272"/>
    </row>
    <row r="450" spans="1:28" ht="15" customHeight="1" x14ac:dyDescent="0.25">
      <c r="A450" s="269"/>
      <c r="B450" s="269"/>
      <c r="C450" s="269"/>
      <c r="D450" s="270"/>
      <c r="E450" s="269"/>
      <c r="F450" s="269"/>
      <c r="G450" s="269"/>
      <c r="H450" s="269"/>
      <c r="I450" s="269"/>
      <c r="J450" s="271"/>
      <c r="K450" s="272"/>
      <c r="L450" s="269"/>
      <c r="M450" s="273"/>
      <c r="N450" s="269"/>
      <c r="O450" s="269"/>
      <c r="P450" s="274"/>
      <c r="Q450" s="270"/>
      <c r="R450" s="61"/>
      <c r="S450" s="269"/>
      <c r="T450" s="269"/>
      <c r="U450" s="269"/>
      <c r="V450" s="269"/>
      <c r="W450" s="269"/>
      <c r="X450" s="271"/>
      <c r="Y450" s="272"/>
      <c r="Z450" s="272"/>
      <c r="AA450" s="272"/>
      <c r="AB450" s="272"/>
    </row>
    <row r="451" spans="1:28" ht="15" customHeight="1" x14ac:dyDescent="0.25">
      <c r="A451" s="269"/>
      <c r="B451" s="269"/>
      <c r="C451" s="269"/>
      <c r="D451" s="270"/>
      <c r="E451" s="269"/>
      <c r="F451" s="269"/>
      <c r="G451" s="269"/>
      <c r="H451" s="269"/>
      <c r="I451" s="269"/>
      <c r="J451" s="271"/>
      <c r="K451" s="272"/>
      <c r="L451" s="269"/>
      <c r="M451" s="273"/>
      <c r="N451" s="269"/>
      <c r="O451" s="269"/>
      <c r="P451" s="274"/>
      <c r="Q451" s="270"/>
      <c r="R451" s="61"/>
      <c r="S451" s="269"/>
      <c r="T451" s="269"/>
      <c r="U451" s="269"/>
      <c r="V451" s="269"/>
      <c r="W451" s="269"/>
      <c r="X451" s="271"/>
      <c r="Y451" s="272"/>
      <c r="Z451" s="272"/>
      <c r="AA451" s="272"/>
      <c r="AB451" s="272"/>
    </row>
    <row r="452" spans="1:28" ht="15" customHeight="1" x14ac:dyDescent="0.25">
      <c r="A452" s="269"/>
      <c r="B452" s="269"/>
      <c r="C452" s="269"/>
      <c r="D452" s="270"/>
      <c r="E452" s="269"/>
      <c r="F452" s="269"/>
      <c r="G452" s="269"/>
      <c r="H452" s="269"/>
      <c r="I452" s="269"/>
      <c r="J452" s="271"/>
      <c r="K452" s="272"/>
      <c r="L452" s="269"/>
      <c r="M452" s="273"/>
      <c r="N452" s="269"/>
      <c r="O452" s="269"/>
      <c r="P452" s="274"/>
      <c r="Q452" s="270"/>
      <c r="R452" s="61"/>
      <c r="S452" s="269"/>
      <c r="T452" s="269"/>
      <c r="U452" s="269"/>
      <c r="V452" s="269"/>
      <c r="W452" s="269"/>
      <c r="X452" s="271"/>
      <c r="Y452" s="272"/>
      <c r="Z452" s="272"/>
      <c r="AA452" s="272"/>
      <c r="AB452" s="272"/>
    </row>
    <row r="453" spans="1:28" ht="15" customHeight="1" x14ac:dyDescent="0.25">
      <c r="A453" s="269"/>
      <c r="B453" s="269"/>
      <c r="C453" s="269"/>
      <c r="D453" s="270"/>
      <c r="E453" s="269"/>
      <c r="F453" s="269"/>
      <c r="G453" s="269"/>
      <c r="H453" s="269"/>
      <c r="I453" s="269"/>
      <c r="J453" s="271"/>
      <c r="K453" s="272"/>
      <c r="L453" s="269"/>
      <c r="M453" s="273"/>
      <c r="N453" s="269"/>
      <c r="O453" s="269"/>
      <c r="P453" s="274"/>
      <c r="Q453" s="270"/>
      <c r="R453" s="61"/>
      <c r="S453" s="269"/>
      <c r="T453" s="269"/>
      <c r="U453" s="269"/>
      <c r="V453" s="269"/>
      <c r="W453" s="269"/>
      <c r="X453" s="271"/>
      <c r="Y453" s="272"/>
      <c r="Z453" s="272"/>
      <c r="AA453" s="272"/>
      <c r="AB453" s="272"/>
    </row>
    <row r="454" spans="1:28" ht="15" customHeight="1" x14ac:dyDescent="0.25">
      <c r="A454" s="269"/>
      <c r="B454" s="269"/>
      <c r="C454" s="269"/>
      <c r="D454" s="270"/>
      <c r="E454" s="269"/>
      <c r="F454" s="269"/>
      <c r="G454" s="269"/>
      <c r="H454" s="269"/>
      <c r="I454" s="269"/>
      <c r="J454" s="271"/>
      <c r="K454" s="272"/>
      <c r="L454" s="269"/>
      <c r="M454" s="273"/>
      <c r="N454" s="269"/>
      <c r="O454" s="269"/>
      <c r="P454" s="274"/>
      <c r="Q454" s="270"/>
      <c r="R454" s="61"/>
      <c r="S454" s="269"/>
      <c r="T454" s="269"/>
      <c r="U454" s="269"/>
      <c r="V454" s="269"/>
      <c r="W454" s="269"/>
      <c r="X454" s="271"/>
      <c r="Y454" s="272"/>
      <c r="Z454" s="272"/>
      <c r="AA454" s="272"/>
      <c r="AB454" s="272"/>
    </row>
    <row r="455" spans="1:28" ht="15" customHeight="1" x14ac:dyDescent="0.25">
      <c r="A455" s="269"/>
      <c r="B455" s="269"/>
      <c r="C455" s="269"/>
      <c r="D455" s="270"/>
      <c r="E455" s="269"/>
      <c r="F455" s="269"/>
      <c r="G455" s="269"/>
      <c r="H455" s="269"/>
      <c r="I455" s="269"/>
      <c r="J455" s="271"/>
      <c r="K455" s="272"/>
      <c r="L455" s="269"/>
      <c r="M455" s="273"/>
      <c r="N455" s="269"/>
      <c r="O455" s="269"/>
      <c r="P455" s="274"/>
      <c r="Q455" s="270"/>
      <c r="R455" s="61"/>
      <c r="S455" s="269"/>
      <c r="T455" s="269"/>
      <c r="U455" s="269"/>
      <c r="V455" s="269"/>
      <c r="W455" s="269"/>
      <c r="X455" s="271"/>
      <c r="Y455" s="272"/>
      <c r="Z455" s="272"/>
      <c r="AA455" s="272"/>
      <c r="AB455" s="272"/>
    </row>
    <row r="456" spans="1:28" ht="15" customHeight="1" x14ac:dyDescent="0.25">
      <c r="A456" s="269"/>
      <c r="B456" s="269"/>
      <c r="C456" s="269"/>
      <c r="D456" s="270"/>
      <c r="E456" s="269"/>
      <c r="F456" s="269"/>
      <c r="G456" s="269"/>
      <c r="H456" s="269"/>
      <c r="I456" s="269"/>
      <c r="J456" s="271"/>
      <c r="K456" s="272"/>
      <c r="L456" s="269"/>
      <c r="M456" s="273"/>
      <c r="N456" s="269"/>
      <c r="O456" s="269"/>
      <c r="P456" s="274"/>
      <c r="Q456" s="270"/>
      <c r="R456" s="61"/>
      <c r="S456" s="269"/>
      <c r="T456" s="269"/>
      <c r="U456" s="269"/>
      <c r="V456" s="269"/>
      <c r="W456" s="269"/>
      <c r="X456" s="271"/>
      <c r="Y456" s="272"/>
      <c r="Z456" s="272"/>
      <c r="AA456" s="272"/>
      <c r="AB456" s="272"/>
    </row>
    <row r="457" spans="1:28" ht="15" customHeight="1" x14ac:dyDescent="0.25">
      <c r="A457" s="269"/>
      <c r="B457" s="269"/>
      <c r="C457" s="269"/>
      <c r="D457" s="270"/>
      <c r="E457" s="269"/>
      <c r="F457" s="269"/>
      <c r="G457" s="269"/>
      <c r="H457" s="269"/>
      <c r="I457" s="269"/>
      <c r="J457" s="271"/>
      <c r="K457" s="272"/>
      <c r="L457" s="269"/>
      <c r="M457" s="273"/>
      <c r="N457" s="269"/>
      <c r="O457" s="269"/>
      <c r="P457" s="274"/>
      <c r="Q457" s="270"/>
      <c r="R457" s="61"/>
      <c r="S457" s="269"/>
      <c r="T457" s="269"/>
      <c r="U457" s="269"/>
      <c r="V457" s="269"/>
      <c r="W457" s="269"/>
      <c r="X457" s="271"/>
      <c r="Y457" s="272"/>
      <c r="Z457" s="272"/>
      <c r="AA457" s="272"/>
      <c r="AB457" s="272"/>
    </row>
    <row r="458" spans="1:28" ht="15" customHeight="1" x14ac:dyDescent="0.25">
      <c r="A458" s="269"/>
      <c r="B458" s="269"/>
      <c r="C458" s="269"/>
      <c r="D458" s="270"/>
      <c r="E458" s="269"/>
      <c r="F458" s="269"/>
      <c r="G458" s="269"/>
      <c r="H458" s="269"/>
      <c r="I458" s="269"/>
      <c r="J458" s="271"/>
      <c r="K458" s="272"/>
      <c r="L458" s="269"/>
      <c r="M458" s="273"/>
      <c r="N458" s="269"/>
      <c r="O458" s="269"/>
      <c r="P458" s="274"/>
      <c r="Q458" s="270"/>
      <c r="R458" s="61"/>
      <c r="S458" s="269"/>
      <c r="T458" s="269"/>
      <c r="U458" s="269"/>
      <c r="V458" s="269"/>
      <c r="W458" s="269"/>
      <c r="X458" s="271"/>
      <c r="Y458" s="272"/>
      <c r="Z458" s="272"/>
      <c r="AA458" s="272"/>
      <c r="AB458" s="272"/>
    </row>
    <row r="459" spans="1:28" ht="15" customHeight="1" x14ac:dyDescent="0.25">
      <c r="A459" s="269"/>
      <c r="B459" s="269"/>
      <c r="C459" s="269"/>
      <c r="D459" s="270"/>
      <c r="E459" s="269"/>
      <c r="F459" s="269"/>
      <c r="G459" s="269"/>
      <c r="H459" s="269"/>
      <c r="I459" s="269"/>
      <c r="J459" s="271"/>
      <c r="K459" s="272"/>
      <c r="L459" s="269"/>
      <c r="M459" s="273"/>
      <c r="N459" s="269"/>
      <c r="O459" s="269"/>
      <c r="P459" s="274"/>
      <c r="Q459" s="270"/>
      <c r="R459" s="61"/>
      <c r="S459" s="269"/>
      <c r="T459" s="269"/>
      <c r="U459" s="269"/>
      <c r="V459" s="269"/>
      <c r="W459" s="269"/>
      <c r="X459" s="271"/>
      <c r="Y459" s="272"/>
      <c r="Z459" s="272"/>
      <c r="AA459" s="272"/>
      <c r="AB459" s="272"/>
    </row>
    <row r="460" spans="1:28" ht="15" customHeight="1" x14ac:dyDescent="0.25">
      <c r="A460" s="269"/>
      <c r="B460" s="269"/>
      <c r="C460" s="269"/>
      <c r="D460" s="270"/>
      <c r="E460" s="269"/>
      <c r="F460" s="269"/>
      <c r="G460" s="269"/>
      <c r="H460" s="269"/>
      <c r="I460" s="269"/>
      <c r="J460" s="271"/>
      <c r="K460" s="272"/>
      <c r="L460" s="269"/>
      <c r="M460" s="273"/>
      <c r="N460" s="269"/>
      <c r="O460" s="269"/>
      <c r="P460" s="274"/>
      <c r="Q460" s="270"/>
      <c r="R460" s="61"/>
      <c r="S460" s="269"/>
      <c r="T460" s="269"/>
      <c r="U460" s="269"/>
      <c r="V460" s="269"/>
      <c r="W460" s="269"/>
      <c r="X460" s="271"/>
      <c r="Y460" s="272"/>
      <c r="Z460" s="272"/>
      <c r="AA460" s="272"/>
      <c r="AB460" s="272"/>
    </row>
    <row r="461" spans="1:28" ht="15" customHeight="1" x14ac:dyDescent="0.25">
      <c r="A461" s="269"/>
      <c r="B461" s="269"/>
      <c r="C461" s="269"/>
      <c r="D461" s="270"/>
      <c r="E461" s="269"/>
      <c r="F461" s="269"/>
      <c r="G461" s="269"/>
      <c r="H461" s="269"/>
      <c r="I461" s="269"/>
      <c r="J461" s="271"/>
      <c r="K461" s="272"/>
      <c r="L461" s="269"/>
      <c r="M461" s="273"/>
      <c r="N461" s="269"/>
      <c r="O461" s="269"/>
      <c r="P461" s="274"/>
      <c r="Q461" s="270"/>
      <c r="R461" s="61"/>
      <c r="S461" s="269"/>
      <c r="T461" s="269"/>
      <c r="U461" s="269"/>
      <c r="V461" s="269"/>
      <c r="W461" s="269"/>
      <c r="X461" s="271"/>
      <c r="Y461" s="272"/>
      <c r="Z461" s="272"/>
      <c r="AA461" s="272"/>
      <c r="AB461" s="272"/>
    </row>
    <row r="462" spans="1:28" ht="15" customHeight="1" x14ac:dyDescent="0.25">
      <c r="A462" s="269"/>
      <c r="B462" s="269"/>
      <c r="C462" s="269"/>
      <c r="D462" s="270"/>
      <c r="E462" s="269"/>
      <c r="F462" s="269"/>
      <c r="G462" s="269"/>
      <c r="H462" s="269"/>
      <c r="I462" s="269"/>
      <c r="J462" s="271"/>
      <c r="K462" s="272"/>
      <c r="L462" s="269"/>
      <c r="M462" s="273"/>
      <c r="N462" s="269"/>
      <c r="O462" s="269"/>
      <c r="P462" s="274"/>
      <c r="Q462" s="270"/>
      <c r="R462" s="61"/>
      <c r="S462" s="269"/>
      <c r="T462" s="269"/>
      <c r="U462" s="269"/>
      <c r="V462" s="269"/>
      <c r="W462" s="269"/>
      <c r="X462" s="271"/>
      <c r="Y462" s="272"/>
      <c r="Z462" s="272"/>
      <c r="AA462" s="272"/>
      <c r="AB462" s="272"/>
    </row>
    <row r="463" spans="1:28" ht="15" customHeight="1" x14ac:dyDescent="0.25">
      <c r="A463" s="269"/>
      <c r="B463" s="269"/>
      <c r="C463" s="269"/>
      <c r="D463" s="270"/>
      <c r="E463" s="269"/>
      <c r="F463" s="269"/>
      <c r="G463" s="269"/>
      <c r="H463" s="269"/>
      <c r="I463" s="269"/>
      <c r="J463" s="271"/>
      <c r="K463" s="272"/>
      <c r="L463" s="269"/>
      <c r="M463" s="273"/>
      <c r="N463" s="269"/>
      <c r="O463" s="269"/>
      <c r="P463" s="274"/>
      <c r="Q463" s="270"/>
      <c r="R463" s="61"/>
      <c r="S463" s="269"/>
      <c r="T463" s="269"/>
      <c r="U463" s="269"/>
      <c r="V463" s="269"/>
      <c r="W463" s="269"/>
      <c r="X463" s="271"/>
      <c r="Y463" s="272"/>
      <c r="Z463" s="272"/>
      <c r="AA463" s="272"/>
      <c r="AB463" s="272"/>
    </row>
    <row r="464" spans="1:28" ht="15" customHeight="1" x14ac:dyDescent="0.25">
      <c r="A464" s="269"/>
      <c r="B464" s="269"/>
      <c r="C464" s="269"/>
      <c r="D464" s="270"/>
      <c r="E464" s="269"/>
      <c r="F464" s="269"/>
      <c r="G464" s="269"/>
      <c r="H464" s="269"/>
      <c r="I464" s="269"/>
      <c r="J464" s="271"/>
      <c r="K464" s="272"/>
      <c r="L464" s="269"/>
      <c r="M464" s="273"/>
      <c r="N464" s="269"/>
      <c r="O464" s="269"/>
      <c r="P464" s="274"/>
      <c r="Q464" s="270"/>
      <c r="R464" s="61"/>
      <c r="S464" s="269"/>
      <c r="T464" s="269"/>
      <c r="U464" s="269"/>
      <c r="V464" s="269"/>
      <c r="W464" s="269"/>
      <c r="X464" s="271"/>
      <c r="Y464" s="272"/>
      <c r="Z464" s="272"/>
      <c r="AA464" s="272"/>
      <c r="AB464" s="272"/>
    </row>
    <row r="465" spans="1:28" ht="15" customHeight="1" x14ac:dyDescent="0.25">
      <c r="A465" s="269"/>
      <c r="B465" s="269"/>
      <c r="C465" s="269"/>
      <c r="D465" s="270"/>
      <c r="E465" s="269"/>
      <c r="F465" s="269"/>
      <c r="G465" s="269"/>
      <c r="H465" s="269"/>
      <c r="I465" s="269"/>
      <c r="J465" s="271"/>
      <c r="K465" s="272"/>
      <c r="L465" s="269"/>
      <c r="M465" s="273"/>
      <c r="N465" s="269"/>
      <c r="O465" s="269"/>
      <c r="P465" s="274"/>
      <c r="Q465" s="270"/>
      <c r="R465" s="61"/>
      <c r="S465" s="269"/>
      <c r="T465" s="269"/>
      <c r="U465" s="269"/>
      <c r="V465" s="269"/>
      <c r="W465" s="269"/>
      <c r="X465" s="271"/>
      <c r="Y465" s="272"/>
      <c r="Z465" s="272"/>
      <c r="AA465" s="272"/>
      <c r="AB465" s="272"/>
    </row>
    <row r="466" spans="1:28" ht="15" customHeight="1" x14ac:dyDescent="0.25">
      <c r="A466" s="269"/>
      <c r="B466" s="269"/>
      <c r="C466" s="269"/>
      <c r="D466" s="270"/>
      <c r="E466" s="269"/>
      <c r="F466" s="269"/>
      <c r="G466" s="269"/>
      <c r="H466" s="269"/>
      <c r="I466" s="269"/>
      <c r="J466" s="271"/>
      <c r="K466" s="272"/>
      <c r="L466" s="269"/>
      <c r="M466" s="273"/>
      <c r="N466" s="269"/>
      <c r="O466" s="269"/>
      <c r="P466" s="274"/>
      <c r="Q466" s="270"/>
      <c r="R466" s="61"/>
      <c r="S466" s="269"/>
      <c r="T466" s="269"/>
      <c r="U466" s="269"/>
      <c r="V466" s="269"/>
      <c r="W466" s="269"/>
      <c r="X466" s="271"/>
      <c r="Y466" s="272"/>
      <c r="Z466" s="272"/>
      <c r="AA466" s="272"/>
      <c r="AB466" s="272"/>
    </row>
    <row r="467" spans="1:28" ht="15" customHeight="1" x14ac:dyDescent="0.25">
      <c r="A467" s="269"/>
      <c r="B467" s="269"/>
      <c r="C467" s="269"/>
      <c r="D467" s="270"/>
      <c r="E467" s="269"/>
      <c r="F467" s="269"/>
      <c r="G467" s="269"/>
      <c r="H467" s="269"/>
      <c r="I467" s="269"/>
      <c r="J467" s="271"/>
      <c r="K467" s="272"/>
      <c r="L467" s="269"/>
      <c r="M467" s="273"/>
      <c r="N467" s="269"/>
      <c r="O467" s="269"/>
      <c r="P467" s="274"/>
      <c r="Q467" s="270"/>
      <c r="R467" s="61"/>
      <c r="S467" s="269"/>
      <c r="T467" s="269"/>
      <c r="U467" s="269"/>
      <c r="V467" s="269"/>
      <c r="W467" s="269"/>
      <c r="X467" s="271"/>
      <c r="Y467" s="272"/>
      <c r="Z467" s="272"/>
      <c r="AA467" s="272"/>
      <c r="AB467" s="272"/>
    </row>
    <row r="468" spans="1:28" ht="15" customHeight="1" x14ac:dyDescent="0.25">
      <c r="A468" s="269"/>
      <c r="B468" s="269"/>
      <c r="C468" s="269"/>
      <c r="D468" s="270"/>
      <c r="E468" s="269"/>
      <c r="F468" s="269"/>
      <c r="G468" s="269"/>
      <c r="H468" s="269"/>
      <c r="I468" s="269"/>
      <c r="J468" s="271"/>
      <c r="K468" s="272"/>
      <c r="L468" s="269"/>
      <c r="M468" s="273"/>
      <c r="N468" s="269"/>
      <c r="O468" s="269"/>
      <c r="P468" s="274"/>
      <c r="Q468" s="270"/>
      <c r="R468" s="61"/>
      <c r="S468" s="269"/>
      <c r="T468" s="269"/>
      <c r="U468" s="269"/>
      <c r="V468" s="269"/>
      <c r="W468" s="269"/>
      <c r="X468" s="271"/>
      <c r="Y468" s="272"/>
      <c r="Z468" s="272"/>
      <c r="AA468" s="272"/>
      <c r="AB468" s="272"/>
    </row>
    <row r="469" spans="1:28" ht="15" customHeight="1" x14ac:dyDescent="0.25">
      <c r="A469" s="269"/>
      <c r="B469" s="269"/>
      <c r="C469" s="269"/>
      <c r="D469" s="270"/>
      <c r="E469" s="269"/>
      <c r="F469" s="269"/>
      <c r="G469" s="269"/>
      <c r="H469" s="269"/>
      <c r="I469" s="269"/>
      <c r="J469" s="271"/>
      <c r="K469" s="272"/>
      <c r="L469" s="269"/>
      <c r="M469" s="273"/>
      <c r="N469" s="269"/>
      <c r="O469" s="269"/>
      <c r="P469" s="274"/>
      <c r="Q469" s="270"/>
      <c r="R469" s="61"/>
      <c r="S469" s="269"/>
      <c r="T469" s="269"/>
      <c r="U469" s="269"/>
      <c r="V469" s="269"/>
      <c r="W469" s="269"/>
      <c r="X469" s="271"/>
      <c r="Y469" s="272"/>
      <c r="Z469" s="272"/>
      <c r="AA469" s="272"/>
      <c r="AB469" s="272"/>
    </row>
    <row r="470" spans="1:28" ht="15" customHeight="1" x14ac:dyDescent="0.25">
      <c r="A470" s="269"/>
      <c r="B470" s="269"/>
      <c r="C470" s="269"/>
      <c r="D470" s="270"/>
      <c r="E470" s="269"/>
      <c r="F470" s="269"/>
      <c r="G470" s="269"/>
      <c r="H470" s="269"/>
      <c r="I470" s="269"/>
      <c r="J470" s="271"/>
      <c r="K470" s="272"/>
      <c r="L470" s="269"/>
      <c r="M470" s="273"/>
      <c r="N470" s="269"/>
      <c r="O470" s="269"/>
      <c r="P470" s="274"/>
      <c r="Q470" s="270"/>
      <c r="R470" s="61"/>
      <c r="S470" s="269"/>
      <c r="T470" s="269"/>
      <c r="U470" s="269"/>
      <c r="V470" s="269"/>
      <c r="W470" s="269"/>
      <c r="X470" s="271"/>
      <c r="Y470" s="272"/>
      <c r="Z470" s="272"/>
      <c r="AA470" s="272"/>
      <c r="AB470" s="272"/>
    </row>
    <row r="471" spans="1:28" ht="15" customHeight="1" x14ac:dyDescent="0.25">
      <c r="A471" s="269"/>
      <c r="B471" s="269"/>
      <c r="C471" s="269"/>
      <c r="D471" s="270"/>
      <c r="E471" s="269"/>
      <c r="F471" s="269"/>
      <c r="G471" s="269"/>
      <c r="H471" s="269"/>
      <c r="I471" s="269"/>
      <c r="J471" s="271"/>
      <c r="K471" s="272"/>
      <c r="L471" s="269"/>
      <c r="M471" s="273"/>
      <c r="N471" s="269"/>
      <c r="O471" s="269"/>
      <c r="P471" s="274"/>
      <c r="Q471" s="270"/>
      <c r="R471" s="61"/>
      <c r="S471" s="269"/>
      <c r="T471" s="269"/>
      <c r="U471" s="269"/>
      <c r="V471" s="269"/>
      <c r="W471" s="269"/>
      <c r="X471" s="271"/>
      <c r="Y471" s="272"/>
      <c r="Z471" s="272"/>
      <c r="AA471" s="272"/>
      <c r="AB471" s="272"/>
    </row>
    <row r="472" spans="1:28" ht="15" customHeight="1" x14ac:dyDescent="0.25">
      <c r="A472" s="269"/>
      <c r="B472" s="269"/>
      <c r="C472" s="269"/>
      <c r="D472" s="270"/>
      <c r="E472" s="269"/>
      <c r="F472" s="269"/>
      <c r="G472" s="269"/>
      <c r="H472" s="269"/>
      <c r="I472" s="269"/>
      <c r="J472" s="271"/>
      <c r="K472" s="272"/>
      <c r="L472" s="269"/>
      <c r="M472" s="273"/>
      <c r="N472" s="269"/>
      <c r="O472" s="269"/>
      <c r="P472" s="274"/>
      <c r="Q472" s="270"/>
      <c r="R472" s="61"/>
      <c r="S472" s="269"/>
      <c r="T472" s="269"/>
      <c r="U472" s="269"/>
      <c r="V472" s="269"/>
      <c r="W472" s="269"/>
      <c r="X472" s="271"/>
      <c r="Y472" s="272"/>
      <c r="Z472" s="272"/>
      <c r="AA472" s="272"/>
      <c r="AB472" s="272"/>
    </row>
    <row r="473" spans="1:28" ht="15" customHeight="1" x14ac:dyDescent="0.25">
      <c r="A473" s="269"/>
      <c r="B473" s="269"/>
      <c r="C473" s="269"/>
      <c r="D473" s="270"/>
      <c r="E473" s="269"/>
      <c r="F473" s="269"/>
      <c r="G473" s="269"/>
      <c r="H473" s="269"/>
      <c r="I473" s="269"/>
      <c r="J473" s="271"/>
      <c r="K473" s="272"/>
      <c r="L473" s="269"/>
      <c r="M473" s="273"/>
      <c r="N473" s="269"/>
      <c r="O473" s="269"/>
      <c r="P473" s="274"/>
      <c r="Q473" s="270"/>
      <c r="R473" s="61"/>
      <c r="S473" s="269"/>
      <c r="T473" s="269"/>
      <c r="U473" s="269"/>
      <c r="V473" s="269"/>
      <c r="W473" s="269"/>
      <c r="X473" s="271"/>
      <c r="Y473" s="272"/>
      <c r="Z473" s="272"/>
      <c r="AA473" s="272"/>
      <c r="AB473" s="272"/>
    </row>
    <row r="474" spans="1:28" ht="15" customHeight="1" x14ac:dyDescent="0.25">
      <c r="A474" s="269"/>
      <c r="B474" s="269"/>
      <c r="C474" s="269"/>
      <c r="D474" s="270"/>
      <c r="E474" s="269"/>
      <c r="F474" s="269"/>
      <c r="G474" s="269"/>
      <c r="H474" s="269"/>
      <c r="I474" s="269"/>
      <c r="J474" s="271"/>
      <c r="K474" s="272"/>
      <c r="L474" s="269"/>
      <c r="M474" s="273"/>
      <c r="N474" s="269"/>
      <c r="O474" s="269"/>
      <c r="P474" s="274"/>
      <c r="Q474" s="270"/>
      <c r="R474" s="61"/>
      <c r="S474" s="269"/>
      <c r="T474" s="269"/>
      <c r="U474" s="269"/>
      <c r="V474" s="269"/>
      <c r="W474" s="269"/>
      <c r="X474" s="271"/>
      <c r="Y474" s="272"/>
      <c r="Z474" s="272"/>
      <c r="AA474" s="272"/>
      <c r="AB474" s="272"/>
    </row>
    <row r="475" spans="1:28" ht="15" customHeight="1" x14ac:dyDescent="0.25">
      <c r="A475" s="269"/>
      <c r="B475" s="269"/>
      <c r="C475" s="269"/>
      <c r="D475" s="270"/>
      <c r="E475" s="269"/>
      <c r="F475" s="269"/>
      <c r="G475" s="269"/>
      <c r="H475" s="269"/>
      <c r="I475" s="269"/>
      <c r="J475" s="271"/>
      <c r="K475" s="272"/>
      <c r="L475" s="269"/>
      <c r="M475" s="273"/>
      <c r="N475" s="269"/>
      <c r="O475" s="269"/>
      <c r="P475" s="274"/>
      <c r="Q475" s="270"/>
      <c r="R475" s="61"/>
      <c r="S475" s="269"/>
      <c r="T475" s="269"/>
      <c r="U475" s="269"/>
      <c r="V475" s="269"/>
      <c r="W475" s="269"/>
      <c r="X475" s="271"/>
      <c r="Y475" s="272"/>
      <c r="Z475" s="272"/>
      <c r="AA475" s="272"/>
      <c r="AB475" s="272"/>
    </row>
    <row r="476" spans="1:28" ht="15" customHeight="1" x14ac:dyDescent="0.25">
      <c r="A476" s="269"/>
      <c r="B476" s="269"/>
      <c r="C476" s="269"/>
      <c r="D476" s="270"/>
      <c r="E476" s="269"/>
      <c r="F476" s="269"/>
      <c r="G476" s="269"/>
      <c r="H476" s="269"/>
      <c r="I476" s="269"/>
      <c r="J476" s="271"/>
      <c r="K476" s="272"/>
      <c r="L476" s="269"/>
      <c r="M476" s="273"/>
      <c r="N476" s="269"/>
      <c r="O476" s="269"/>
      <c r="P476" s="274"/>
      <c r="Q476" s="270"/>
      <c r="R476" s="61"/>
      <c r="S476" s="269"/>
      <c r="T476" s="269"/>
      <c r="U476" s="269"/>
      <c r="V476" s="269"/>
      <c r="W476" s="269"/>
      <c r="X476" s="271"/>
      <c r="Y476" s="272"/>
      <c r="Z476" s="272"/>
      <c r="AA476" s="272"/>
      <c r="AB476" s="272"/>
    </row>
    <row r="477" spans="1:28" ht="15" customHeight="1" x14ac:dyDescent="0.25">
      <c r="A477" s="269"/>
      <c r="B477" s="269"/>
      <c r="C477" s="269"/>
      <c r="D477" s="270"/>
      <c r="E477" s="269"/>
      <c r="F477" s="269"/>
      <c r="G477" s="269"/>
      <c r="H477" s="269"/>
      <c r="I477" s="269"/>
      <c r="J477" s="271"/>
      <c r="K477" s="272"/>
      <c r="L477" s="269"/>
      <c r="M477" s="273"/>
      <c r="N477" s="269"/>
      <c r="O477" s="269"/>
      <c r="P477" s="274"/>
      <c r="Q477" s="270"/>
      <c r="R477" s="61"/>
      <c r="S477" s="269"/>
      <c r="T477" s="269"/>
      <c r="U477" s="269"/>
      <c r="V477" s="269"/>
      <c r="W477" s="269"/>
      <c r="X477" s="271"/>
      <c r="Y477" s="272"/>
      <c r="Z477" s="272"/>
      <c r="AA477" s="272"/>
      <c r="AB477" s="272"/>
    </row>
    <row r="478" spans="1:28" ht="15" customHeight="1" x14ac:dyDescent="0.25">
      <c r="A478" s="269"/>
      <c r="B478" s="269"/>
      <c r="C478" s="269"/>
      <c r="D478" s="270"/>
      <c r="E478" s="269"/>
      <c r="F478" s="269"/>
      <c r="G478" s="269"/>
      <c r="H478" s="269"/>
      <c r="I478" s="269"/>
      <c r="J478" s="271"/>
      <c r="K478" s="272"/>
      <c r="L478" s="269"/>
      <c r="M478" s="273"/>
      <c r="N478" s="269"/>
      <c r="O478" s="269"/>
      <c r="P478" s="274"/>
      <c r="Q478" s="270"/>
      <c r="R478" s="61"/>
      <c r="S478" s="269"/>
      <c r="T478" s="269"/>
      <c r="U478" s="269"/>
      <c r="V478" s="269"/>
      <c r="W478" s="269"/>
      <c r="X478" s="271"/>
      <c r="Y478" s="272"/>
      <c r="Z478" s="272"/>
      <c r="AA478" s="272"/>
      <c r="AB478" s="272"/>
    </row>
    <row r="479" spans="1:28" ht="15" customHeight="1" x14ac:dyDescent="0.25">
      <c r="A479" s="269"/>
      <c r="B479" s="269"/>
      <c r="C479" s="269"/>
      <c r="D479" s="270"/>
      <c r="E479" s="269"/>
      <c r="F479" s="269"/>
      <c r="G479" s="269"/>
      <c r="H479" s="269"/>
      <c r="I479" s="269"/>
      <c r="J479" s="271"/>
      <c r="K479" s="272"/>
      <c r="L479" s="269"/>
      <c r="M479" s="273"/>
      <c r="N479" s="269"/>
      <c r="O479" s="269"/>
      <c r="P479" s="274"/>
      <c r="Q479" s="270"/>
      <c r="R479" s="61"/>
      <c r="S479" s="269"/>
      <c r="T479" s="269"/>
      <c r="U479" s="269"/>
      <c r="V479" s="269"/>
      <c r="W479" s="269"/>
      <c r="X479" s="271"/>
      <c r="Y479" s="272"/>
      <c r="Z479" s="272"/>
      <c r="AA479" s="272"/>
      <c r="AB479" s="272"/>
    </row>
    <row r="480" spans="1:28" ht="15" customHeight="1" x14ac:dyDescent="0.25">
      <c r="A480" s="269"/>
      <c r="B480" s="269"/>
      <c r="C480" s="269"/>
      <c r="D480" s="270"/>
      <c r="E480" s="269"/>
      <c r="F480" s="269"/>
      <c r="G480" s="269"/>
      <c r="H480" s="269"/>
      <c r="I480" s="269"/>
      <c r="J480" s="271"/>
      <c r="K480" s="272"/>
      <c r="L480" s="269"/>
      <c r="M480" s="273"/>
      <c r="N480" s="269"/>
      <c r="O480" s="269"/>
      <c r="P480" s="274"/>
      <c r="Q480" s="270"/>
      <c r="R480" s="61"/>
      <c r="S480" s="269"/>
      <c r="T480" s="269"/>
      <c r="U480" s="269"/>
      <c r="V480" s="269"/>
      <c r="W480" s="269"/>
      <c r="X480" s="271"/>
      <c r="Y480" s="272"/>
      <c r="Z480" s="272"/>
      <c r="AA480" s="272"/>
      <c r="AB480" s="272"/>
    </row>
    <row r="481" spans="1:28" ht="15" customHeight="1" x14ac:dyDescent="0.25">
      <c r="A481" s="269"/>
      <c r="B481" s="269"/>
      <c r="C481" s="269"/>
      <c r="D481" s="270"/>
      <c r="E481" s="269"/>
      <c r="F481" s="269"/>
      <c r="G481" s="269"/>
      <c r="H481" s="269"/>
      <c r="I481" s="269"/>
      <c r="J481" s="271"/>
      <c r="K481" s="272"/>
      <c r="L481" s="269"/>
      <c r="M481" s="273"/>
      <c r="N481" s="269"/>
      <c r="O481" s="269"/>
      <c r="P481" s="274"/>
      <c r="Q481" s="270"/>
      <c r="R481" s="61"/>
      <c r="S481" s="269"/>
      <c r="T481" s="269"/>
      <c r="U481" s="269"/>
      <c r="V481" s="269"/>
      <c r="W481" s="269"/>
      <c r="X481" s="271"/>
      <c r="Y481" s="272"/>
      <c r="Z481" s="272"/>
      <c r="AA481" s="272"/>
      <c r="AB481" s="272"/>
    </row>
    <row r="482" spans="1:28" ht="15" customHeight="1" x14ac:dyDescent="0.25">
      <c r="A482" s="269"/>
      <c r="B482" s="269"/>
      <c r="C482" s="269"/>
      <c r="D482" s="270"/>
      <c r="E482" s="269"/>
      <c r="F482" s="269"/>
      <c r="G482" s="269"/>
      <c r="H482" s="269"/>
      <c r="I482" s="269"/>
      <c r="J482" s="271"/>
      <c r="K482" s="272"/>
      <c r="L482" s="269"/>
      <c r="M482" s="273"/>
      <c r="N482" s="269"/>
      <c r="O482" s="269"/>
      <c r="P482" s="274"/>
      <c r="Q482" s="270"/>
      <c r="R482" s="61"/>
      <c r="S482" s="269"/>
      <c r="T482" s="269"/>
      <c r="U482" s="269"/>
      <c r="V482" s="269"/>
      <c r="W482" s="269"/>
      <c r="X482" s="271"/>
      <c r="Y482" s="272"/>
      <c r="Z482" s="272"/>
      <c r="AA482" s="272"/>
      <c r="AB482" s="272"/>
    </row>
    <row r="483" spans="1:28" ht="15" customHeight="1" x14ac:dyDescent="0.25">
      <c r="A483" s="269"/>
      <c r="B483" s="269"/>
      <c r="C483" s="269"/>
      <c r="D483" s="270"/>
      <c r="E483" s="269"/>
      <c r="F483" s="269"/>
      <c r="G483" s="269"/>
      <c r="H483" s="269"/>
      <c r="I483" s="269"/>
      <c r="J483" s="271"/>
      <c r="K483" s="272"/>
      <c r="L483" s="269"/>
      <c r="M483" s="273"/>
      <c r="N483" s="269"/>
      <c r="O483" s="269"/>
      <c r="P483" s="274"/>
      <c r="Q483" s="270"/>
      <c r="R483" s="61"/>
      <c r="S483" s="269"/>
      <c r="T483" s="269"/>
      <c r="U483" s="269"/>
      <c r="V483" s="269"/>
      <c r="W483" s="269"/>
      <c r="X483" s="271"/>
      <c r="Y483" s="272"/>
      <c r="Z483" s="272"/>
      <c r="AA483" s="272"/>
      <c r="AB483" s="272"/>
    </row>
    <row r="484" spans="1:28" ht="15" customHeight="1" x14ac:dyDescent="0.25">
      <c r="A484" s="269"/>
      <c r="B484" s="269"/>
      <c r="C484" s="269"/>
      <c r="D484" s="270"/>
      <c r="E484" s="269"/>
      <c r="F484" s="269"/>
      <c r="G484" s="269"/>
      <c r="H484" s="269"/>
      <c r="I484" s="269"/>
      <c r="J484" s="271"/>
      <c r="K484" s="272"/>
      <c r="L484" s="269"/>
      <c r="M484" s="273"/>
      <c r="N484" s="269"/>
      <c r="O484" s="269"/>
      <c r="P484" s="274"/>
      <c r="Q484" s="270"/>
      <c r="R484" s="61"/>
      <c r="S484" s="269"/>
      <c r="T484" s="269"/>
      <c r="U484" s="269"/>
      <c r="V484" s="269"/>
      <c r="W484" s="269"/>
      <c r="X484" s="271"/>
      <c r="Y484" s="272"/>
      <c r="Z484" s="272"/>
      <c r="AA484" s="272"/>
      <c r="AB484" s="272"/>
    </row>
    <row r="485" spans="1:28" ht="15" customHeight="1" x14ac:dyDescent="0.25">
      <c r="A485" s="269"/>
      <c r="B485" s="269"/>
      <c r="C485" s="269"/>
      <c r="D485" s="270"/>
      <c r="E485" s="269"/>
      <c r="F485" s="269"/>
      <c r="G485" s="269"/>
      <c r="H485" s="269"/>
      <c r="I485" s="269"/>
      <c r="J485" s="271"/>
      <c r="K485" s="272"/>
      <c r="L485" s="269"/>
      <c r="M485" s="273"/>
      <c r="N485" s="269"/>
      <c r="O485" s="269"/>
      <c r="P485" s="274"/>
      <c r="Q485" s="270"/>
      <c r="R485" s="61"/>
      <c r="S485" s="269"/>
      <c r="T485" s="269"/>
      <c r="U485" s="269"/>
      <c r="V485" s="269"/>
      <c r="W485" s="269"/>
      <c r="X485" s="271"/>
      <c r="Y485" s="272"/>
      <c r="Z485" s="272"/>
      <c r="AA485" s="272"/>
      <c r="AB485" s="272"/>
    </row>
    <row r="486" spans="1:28" ht="15" customHeight="1" x14ac:dyDescent="0.25">
      <c r="A486" s="269"/>
      <c r="B486" s="269"/>
      <c r="C486" s="269"/>
      <c r="D486" s="270"/>
      <c r="E486" s="269"/>
      <c r="F486" s="269"/>
      <c r="G486" s="269"/>
      <c r="H486" s="269"/>
      <c r="I486" s="269"/>
      <c r="J486" s="271"/>
      <c r="K486" s="272"/>
      <c r="L486" s="269"/>
      <c r="M486" s="273"/>
      <c r="N486" s="269"/>
      <c r="O486" s="269"/>
      <c r="P486" s="274"/>
      <c r="Q486" s="270"/>
      <c r="R486" s="61"/>
      <c r="S486" s="269"/>
      <c r="T486" s="269"/>
      <c r="U486" s="269"/>
      <c r="V486" s="269"/>
      <c r="W486" s="269"/>
      <c r="X486" s="271"/>
      <c r="Y486" s="272"/>
      <c r="Z486" s="272"/>
      <c r="AA486" s="272"/>
      <c r="AB486" s="272"/>
    </row>
    <row r="487" spans="1:28" ht="15" customHeight="1" x14ac:dyDescent="0.25">
      <c r="A487" s="269"/>
      <c r="B487" s="269"/>
      <c r="C487" s="269"/>
      <c r="D487" s="270"/>
      <c r="E487" s="269"/>
      <c r="F487" s="269"/>
      <c r="G487" s="269"/>
      <c r="H487" s="269"/>
      <c r="I487" s="269"/>
      <c r="J487" s="271"/>
      <c r="K487" s="272"/>
      <c r="L487" s="269"/>
      <c r="M487" s="273"/>
      <c r="N487" s="269"/>
      <c r="O487" s="269"/>
      <c r="P487" s="274"/>
      <c r="Q487" s="270"/>
      <c r="R487" s="61"/>
      <c r="S487" s="269"/>
      <c r="T487" s="269"/>
      <c r="U487" s="269"/>
      <c r="V487" s="269"/>
      <c r="W487" s="269"/>
      <c r="X487" s="271"/>
      <c r="Y487" s="272"/>
      <c r="Z487" s="272"/>
      <c r="AA487" s="272"/>
      <c r="AB487" s="272"/>
    </row>
    <row r="488" spans="1:28" ht="15" customHeight="1" x14ac:dyDescent="0.25">
      <c r="A488" s="269"/>
      <c r="B488" s="269"/>
      <c r="C488" s="269"/>
      <c r="D488" s="270"/>
      <c r="E488" s="269"/>
      <c r="F488" s="269"/>
      <c r="G488" s="269"/>
      <c r="H488" s="269"/>
      <c r="I488" s="269"/>
      <c r="J488" s="271"/>
      <c r="K488" s="272"/>
      <c r="L488" s="269"/>
      <c r="M488" s="273"/>
      <c r="N488" s="269"/>
      <c r="O488" s="269"/>
      <c r="P488" s="274"/>
      <c r="Q488" s="270"/>
      <c r="R488" s="61"/>
      <c r="S488" s="269"/>
      <c r="T488" s="269"/>
      <c r="U488" s="269"/>
      <c r="V488" s="269"/>
      <c r="W488" s="269"/>
      <c r="X488" s="271"/>
      <c r="Y488" s="272"/>
      <c r="Z488" s="272"/>
      <c r="AA488" s="272"/>
      <c r="AB488" s="272"/>
    </row>
    <row r="489" spans="1:28" ht="15" customHeight="1" x14ac:dyDescent="0.25">
      <c r="A489" s="269"/>
      <c r="B489" s="269"/>
      <c r="C489" s="269"/>
      <c r="D489" s="270"/>
      <c r="E489" s="269"/>
      <c r="F489" s="269"/>
      <c r="G489" s="269"/>
      <c r="H489" s="269"/>
      <c r="I489" s="269"/>
      <c r="J489" s="271"/>
      <c r="K489" s="272"/>
      <c r="L489" s="269"/>
      <c r="M489" s="273"/>
      <c r="N489" s="269"/>
      <c r="O489" s="269"/>
      <c r="P489" s="274"/>
      <c r="Q489" s="270"/>
      <c r="R489" s="61"/>
      <c r="S489" s="269"/>
      <c r="T489" s="269"/>
      <c r="U489" s="269"/>
      <c r="V489" s="269"/>
      <c r="W489" s="269"/>
      <c r="X489" s="271"/>
      <c r="Y489" s="272"/>
      <c r="Z489" s="272"/>
      <c r="AA489" s="272"/>
      <c r="AB489" s="272"/>
    </row>
    <row r="490" spans="1:28" ht="15" customHeight="1" x14ac:dyDescent="0.25">
      <c r="A490" s="269"/>
      <c r="B490" s="269"/>
      <c r="C490" s="269"/>
      <c r="D490" s="270"/>
      <c r="E490" s="269"/>
      <c r="F490" s="269"/>
      <c r="G490" s="269"/>
      <c r="H490" s="269"/>
      <c r="I490" s="269"/>
      <c r="J490" s="271"/>
      <c r="K490" s="272"/>
      <c r="L490" s="269"/>
      <c r="M490" s="273"/>
      <c r="N490" s="269"/>
      <c r="O490" s="269"/>
      <c r="P490" s="274"/>
      <c r="Q490" s="270"/>
      <c r="R490" s="61"/>
      <c r="S490" s="269"/>
      <c r="T490" s="269"/>
      <c r="U490" s="269"/>
      <c r="V490" s="269"/>
      <c r="W490" s="269"/>
      <c r="X490" s="271"/>
      <c r="Y490" s="272"/>
      <c r="Z490" s="272"/>
      <c r="AA490" s="272"/>
      <c r="AB490" s="272"/>
    </row>
    <row r="491" spans="1:28" ht="15" customHeight="1" x14ac:dyDescent="0.25">
      <c r="A491" s="269"/>
      <c r="B491" s="269"/>
      <c r="C491" s="269"/>
      <c r="D491" s="270"/>
      <c r="E491" s="269"/>
      <c r="F491" s="269"/>
      <c r="G491" s="269"/>
      <c r="H491" s="269"/>
      <c r="I491" s="269"/>
      <c r="J491" s="271"/>
      <c r="K491" s="272"/>
      <c r="L491" s="269"/>
      <c r="M491" s="273"/>
      <c r="N491" s="269"/>
      <c r="O491" s="269"/>
      <c r="P491" s="274"/>
      <c r="Q491" s="270"/>
      <c r="R491" s="61"/>
      <c r="S491" s="269"/>
      <c r="T491" s="269"/>
      <c r="U491" s="269"/>
      <c r="V491" s="269"/>
      <c r="W491" s="269"/>
      <c r="X491" s="271"/>
      <c r="Y491" s="272"/>
      <c r="Z491" s="272"/>
      <c r="AA491" s="272"/>
      <c r="AB491" s="272"/>
    </row>
    <row r="492" spans="1:28" ht="15" customHeight="1" x14ac:dyDescent="0.25">
      <c r="A492" s="269"/>
      <c r="B492" s="269"/>
      <c r="C492" s="269"/>
      <c r="D492" s="270"/>
      <c r="E492" s="269"/>
      <c r="F492" s="269"/>
      <c r="G492" s="269"/>
      <c r="H492" s="269"/>
      <c r="I492" s="269"/>
      <c r="J492" s="271"/>
      <c r="K492" s="272"/>
      <c r="L492" s="269"/>
      <c r="M492" s="273"/>
      <c r="N492" s="269"/>
      <c r="O492" s="269"/>
      <c r="P492" s="274"/>
      <c r="Q492" s="270"/>
      <c r="R492" s="61"/>
      <c r="S492" s="269"/>
      <c r="T492" s="269"/>
      <c r="U492" s="269"/>
      <c r="V492" s="269"/>
      <c r="W492" s="269"/>
      <c r="X492" s="271"/>
      <c r="Y492" s="272"/>
      <c r="Z492" s="272"/>
      <c r="AA492" s="272"/>
      <c r="AB492" s="272"/>
    </row>
    <row r="493" spans="1:28" ht="15" customHeight="1" x14ac:dyDescent="0.25">
      <c r="A493" s="269"/>
      <c r="B493" s="269"/>
      <c r="C493" s="269"/>
      <c r="D493" s="270"/>
      <c r="E493" s="269"/>
      <c r="F493" s="269"/>
      <c r="G493" s="269"/>
      <c r="H493" s="269"/>
      <c r="I493" s="269"/>
      <c r="J493" s="271"/>
      <c r="K493" s="272"/>
      <c r="L493" s="269"/>
      <c r="M493" s="273"/>
      <c r="N493" s="269"/>
      <c r="O493" s="269"/>
      <c r="P493" s="274"/>
      <c r="Q493" s="270"/>
      <c r="R493" s="61"/>
      <c r="S493" s="269"/>
      <c r="T493" s="269"/>
      <c r="U493" s="269"/>
      <c r="V493" s="269"/>
      <c r="W493" s="269"/>
      <c r="X493" s="271"/>
      <c r="Y493" s="272"/>
      <c r="Z493" s="272"/>
      <c r="AA493" s="272"/>
      <c r="AB493" s="272"/>
    </row>
    <row r="494" spans="1:28" ht="15" customHeight="1" x14ac:dyDescent="0.25">
      <c r="A494" s="269"/>
      <c r="B494" s="269"/>
      <c r="C494" s="269"/>
      <c r="D494" s="270"/>
      <c r="E494" s="269"/>
      <c r="F494" s="269"/>
      <c r="G494" s="269"/>
      <c r="H494" s="269"/>
      <c r="I494" s="269"/>
      <c r="J494" s="271"/>
      <c r="K494" s="272"/>
      <c r="L494" s="269"/>
      <c r="M494" s="273"/>
      <c r="N494" s="269"/>
      <c r="O494" s="269"/>
      <c r="P494" s="274"/>
      <c r="Q494" s="270"/>
      <c r="R494" s="61"/>
      <c r="S494" s="269"/>
      <c r="T494" s="269"/>
      <c r="U494" s="269"/>
      <c r="V494" s="269"/>
      <c r="W494" s="269"/>
      <c r="X494" s="271"/>
      <c r="Y494" s="272"/>
      <c r="Z494" s="272"/>
      <c r="AA494" s="272"/>
      <c r="AB494" s="272"/>
    </row>
    <row r="495" spans="1:28" ht="15" customHeight="1" x14ac:dyDescent="0.25">
      <c r="A495" s="269"/>
      <c r="B495" s="269"/>
      <c r="C495" s="269"/>
      <c r="D495" s="270"/>
      <c r="E495" s="269"/>
      <c r="F495" s="269"/>
      <c r="G495" s="269"/>
      <c r="H495" s="269"/>
      <c r="I495" s="269"/>
      <c r="J495" s="271"/>
      <c r="K495" s="272"/>
      <c r="L495" s="269"/>
      <c r="M495" s="273"/>
      <c r="N495" s="269"/>
      <c r="O495" s="269"/>
      <c r="P495" s="274"/>
      <c r="Q495" s="270"/>
      <c r="R495" s="61"/>
      <c r="S495" s="269"/>
      <c r="T495" s="269"/>
      <c r="U495" s="269"/>
      <c r="V495" s="269"/>
      <c r="W495" s="269"/>
      <c r="X495" s="271"/>
      <c r="Y495" s="272"/>
      <c r="Z495" s="272"/>
      <c r="AA495" s="272"/>
      <c r="AB495" s="272"/>
    </row>
    <row r="496" spans="1:28" ht="15" customHeight="1" x14ac:dyDescent="0.25">
      <c r="A496" s="269"/>
      <c r="B496" s="269"/>
      <c r="C496" s="269"/>
      <c r="D496" s="270"/>
      <c r="E496" s="269"/>
      <c r="F496" s="269"/>
      <c r="G496" s="269"/>
      <c r="H496" s="269"/>
      <c r="I496" s="269"/>
      <c r="J496" s="271"/>
      <c r="K496" s="272"/>
      <c r="L496" s="269"/>
      <c r="M496" s="273"/>
      <c r="N496" s="269"/>
      <c r="O496" s="269"/>
      <c r="P496" s="274"/>
      <c r="Q496" s="270"/>
      <c r="R496" s="61"/>
      <c r="S496" s="269"/>
      <c r="T496" s="269"/>
      <c r="U496" s="269"/>
      <c r="V496" s="269"/>
      <c r="W496" s="269"/>
      <c r="X496" s="271"/>
      <c r="Y496" s="272"/>
      <c r="Z496" s="272"/>
      <c r="AA496" s="272"/>
      <c r="AB496" s="272"/>
    </row>
    <row r="497" spans="1:28" ht="15" customHeight="1" x14ac:dyDescent="0.25">
      <c r="A497" s="269"/>
      <c r="B497" s="269"/>
      <c r="C497" s="269"/>
      <c r="D497" s="270"/>
      <c r="E497" s="269"/>
      <c r="F497" s="269"/>
      <c r="G497" s="269"/>
      <c r="H497" s="269"/>
      <c r="I497" s="269"/>
      <c r="J497" s="271"/>
      <c r="K497" s="272"/>
      <c r="L497" s="269"/>
      <c r="M497" s="273"/>
      <c r="N497" s="269"/>
      <c r="O497" s="269"/>
      <c r="P497" s="274"/>
      <c r="Q497" s="270"/>
      <c r="R497" s="61"/>
      <c r="S497" s="269"/>
      <c r="T497" s="269"/>
      <c r="U497" s="269"/>
      <c r="V497" s="269"/>
      <c r="W497" s="269"/>
      <c r="X497" s="271"/>
      <c r="Y497" s="272"/>
      <c r="Z497" s="272"/>
      <c r="AA497" s="272"/>
      <c r="AB497" s="272"/>
    </row>
    <row r="498" spans="1:28" ht="15" customHeight="1" x14ac:dyDescent="0.25">
      <c r="A498" s="269"/>
      <c r="B498" s="269"/>
      <c r="C498" s="269"/>
      <c r="D498" s="270"/>
      <c r="E498" s="269"/>
      <c r="F498" s="269"/>
      <c r="G498" s="269"/>
      <c r="H498" s="269"/>
      <c r="I498" s="269"/>
      <c r="J498" s="271"/>
      <c r="K498" s="272"/>
      <c r="L498" s="269"/>
      <c r="M498" s="273"/>
      <c r="N498" s="269"/>
      <c r="O498" s="269"/>
      <c r="P498" s="274"/>
      <c r="Q498" s="270"/>
      <c r="R498" s="61"/>
      <c r="S498" s="269"/>
      <c r="T498" s="269"/>
      <c r="U498" s="269"/>
      <c r="V498" s="269"/>
      <c r="W498" s="269"/>
      <c r="X498" s="271"/>
      <c r="Y498" s="272"/>
      <c r="Z498" s="272"/>
      <c r="AA498" s="272"/>
      <c r="AB498" s="272"/>
    </row>
    <row r="499" spans="1:28" ht="15" customHeight="1" x14ac:dyDescent="0.25">
      <c r="A499" s="269"/>
      <c r="B499" s="269"/>
      <c r="C499" s="269"/>
      <c r="D499" s="270"/>
      <c r="E499" s="269"/>
      <c r="F499" s="269"/>
      <c r="G499" s="269"/>
      <c r="H499" s="269"/>
      <c r="I499" s="269"/>
      <c r="J499" s="271"/>
      <c r="K499" s="272"/>
      <c r="L499" s="269"/>
      <c r="M499" s="273"/>
      <c r="N499" s="269"/>
      <c r="O499" s="269"/>
      <c r="P499" s="274"/>
      <c r="Q499" s="270"/>
      <c r="R499" s="61"/>
      <c r="S499" s="269"/>
      <c r="T499" s="269"/>
      <c r="U499" s="269"/>
      <c r="V499" s="269"/>
      <c r="W499" s="269"/>
      <c r="X499" s="271"/>
      <c r="Y499" s="272"/>
      <c r="Z499" s="272"/>
      <c r="AA499" s="272"/>
      <c r="AB499" s="272"/>
    </row>
    <row r="500" spans="1:28" ht="15" customHeight="1" x14ac:dyDescent="0.25">
      <c r="A500" s="269"/>
      <c r="B500" s="269"/>
      <c r="C500" s="269"/>
      <c r="D500" s="270"/>
      <c r="E500" s="269"/>
      <c r="F500" s="269"/>
      <c r="G500" s="269"/>
      <c r="H500" s="269"/>
      <c r="I500" s="269"/>
      <c r="J500" s="271"/>
      <c r="K500" s="272"/>
      <c r="L500" s="269"/>
      <c r="M500" s="273"/>
      <c r="N500" s="269"/>
      <c r="O500" s="269"/>
      <c r="P500" s="274"/>
      <c r="Q500" s="270"/>
      <c r="R500" s="61"/>
      <c r="S500" s="269"/>
      <c r="T500" s="269"/>
      <c r="U500" s="269"/>
      <c r="V500" s="269"/>
      <c r="W500" s="269"/>
      <c r="X500" s="271"/>
      <c r="Y500" s="272"/>
      <c r="Z500" s="272"/>
      <c r="AA500" s="272"/>
      <c r="AB500" s="272"/>
    </row>
    <row r="501" spans="1:28" ht="15" customHeight="1" x14ac:dyDescent="0.25">
      <c r="A501" s="269"/>
      <c r="B501" s="269"/>
      <c r="C501" s="269"/>
      <c r="D501" s="270"/>
      <c r="E501" s="269"/>
      <c r="F501" s="269"/>
      <c r="G501" s="269"/>
      <c r="H501" s="269"/>
      <c r="I501" s="269"/>
      <c r="J501" s="271"/>
      <c r="K501" s="272"/>
      <c r="L501" s="269"/>
      <c r="M501" s="273"/>
      <c r="N501" s="269"/>
      <c r="O501" s="269"/>
      <c r="P501" s="274"/>
      <c r="Q501" s="270"/>
      <c r="R501" s="61"/>
      <c r="S501" s="269"/>
      <c r="T501" s="269"/>
      <c r="U501" s="269"/>
      <c r="V501" s="269"/>
      <c r="W501" s="269"/>
      <c r="X501" s="271"/>
      <c r="Y501" s="272"/>
      <c r="Z501" s="272"/>
      <c r="AA501" s="272"/>
      <c r="AB501" s="272"/>
    </row>
    <row r="502" spans="1:28" ht="15" customHeight="1" x14ac:dyDescent="0.25">
      <c r="A502" s="269"/>
      <c r="B502" s="269"/>
      <c r="C502" s="269"/>
      <c r="D502" s="270"/>
      <c r="E502" s="269"/>
      <c r="F502" s="269"/>
      <c r="G502" s="269"/>
      <c r="H502" s="269"/>
      <c r="I502" s="269"/>
      <c r="J502" s="271"/>
      <c r="K502" s="272"/>
      <c r="L502" s="269"/>
      <c r="M502" s="273"/>
      <c r="N502" s="269"/>
      <c r="O502" s="269"/>
      <c r="P502" s="274"/>
      <c r="Q502" s="270"/>
      <c r="R502" s="61"/>
      <c r="S502" s="269"/>
      <c r="T502" s="269"/>
      <c r="U502" s="269"/>
      <c r="V502" s="269"/>
      <c r="W502" s="269"/>
      <c r="X502" s="271"/>
      <c r="Y502" s="272"/>
      <c r="Z502" s="272"/>
      <c r="AA502" s="272"/>
      <c r="AB502" s="272"/>
    </row>
    <row r="503" spans="1:28" ht="15" customHeight="1" x14ac:dyDescent="0.25">
      <c r="A503" s="269"/>
      <c r="B503" s="269"/>
      <c r="C503" s="269"/>
      <c r="D503" s="270"/>
      <c r="E503" s="269"/>
      <c r="F503" s="269"/>
      <c r="G503" s="269"/>
      <c r="H503" s="269"/>
      <c r="I503" s="269"/>
      <c r="J503" s="271"/>
      <c r="K503" s="272"/>
      <c r="L503" s="269"/>
      <c r="M503" s="273"/>
      <c r="N503" s="269"/>
      <c r="O503" s="269"/>
      <c r="P503" s="274"/>
      <c r="Q503" s="270"/>
      <c r="R503" s="61"/>
      <c r="S503" s="269"/>
      <c r="T503" s="269"/>
      <c r="U503" s="269"/>
      <c r="V503" s="269"/>
      <c r="W503" s="269"/>
      <c r="X503" s="271"/>
      <c r="Y503" s="272"/>
      <c r="Z503" s="272"/>
      <c r="AA503" s="272"/>
      <c r="AB503" s="272"/>
    </row>
    <row r="504" spans="1:28" ht="15" customHeight="1" x14ac:dyDescent="0.25">
      <c r="A504" s="269"/>
      <c r="B504" s="269"/>
      <c r="C504" s="269"/>
      <c r="D504" s="270"/>
      <c r="E504" s="269"/>
      <c r="F504" s="269"/>
      <c r="G504" s="269"/>
      <c r="H504" s="269"/>
      <c r="I504" s="269"/>
      <c r="J504" s="271"/>
      <c r="K504" s="272"/>
      <c r="L504" s="269"/>
      <c r="M504" s="273"/>
      <c r="N504" s="269"/>
      <c r="O504" s="269"/>
      <c r="P504" s="274"/>
      <c r="Q504" s="270"/>
      <c r="R504" s="61"/>
      <c r="S504" s="269"/>
      <c r="T504" s="269"/>
      <c r="U504" s="269"/>
      <c r="V504" s="269"/>
      <c r="W504" s="269"/>
      <c r="X504" s="271"/>
      <c r="Y504" s="272"/>
      <c r="Z504" s="272"/>
      <c r="AA504" s="272"/>
      <c r="AB504" s="272"/>
    </row>
    <row r="505" spans="1:28" ht="15" customHeight="1" x14ac:dyDescent="0.25">
      <c r="A505" s="269"/>
      <c r="B505" s="269"/>
      <c r="C505" s="269"/>
      <c r="D505" s="270"/>
      <c r="E505" s="269"/>
      <c r="F505" s="269"/>
      <c r="G505" s="269"/>
      <c r="H505" s="269"/>
      <c r="I505" s="269"/>
      <c r="J505" s="271"/>
      <c r="K505" s="272"/>
      <c r="L505" s="269"/>
      <c r="M505" s="273"/>
      <c r="N505" s="269"/>
      <c r="O505" s="269"/>
      <c r="P505" s="274"/>
      <c r="Q505" s="270"/>
      <c r="R505" s="61"/>
      <c r="S505" s="269"/>
      <c r="T505" s="269"/>
      <c r="U505" s="269"/>
      <c r="V505" s="269"/>
      <c r="W505" s="269"/>
      <c r="X505" s="271"/>
      <c r="Y505" s="272"/>
      <c r="Z505" s="272"/>
      <c r="AA505" s="272"/>
      <c r="AB505" s="272"/>
    </row>
    <row r="506" spans="1:28" ht="15" customHeight="1" x14ac:dyDescent="0.25">
      <c r="A506" s="269"/>
      <c r="B506" s="269"/>
      <c r="C506" s="269"/>
      <c r="D506" s="270"/>
      <c r="E506" s="269"/>
      <c r="F506" s="269"/>
      <c r="G506" s="269"/>
      <c r="H506" s="269"/>
      <c r="I506" s="269"/>
      <c r="J506" s="271"/>
      <c r="K506" s="272"/>
      <c r="L506" s="269"/>
      <c r="M506" s="273"/>
      <c r="N506" s="269"/>
      <c r="O506" s="269"/>
      <c r="P506" s="274"/>
      <c r="Q506" s="270"/>
      <c r="R506" s="61"/>
      <c r="S506" s="269"/>
      <c r="T506" s="269"/>
      <c r="U506" s="269"/>
      <c r="V506" s="269"/>
      <c r="W506" s="269"/>
      <c r="X506" s="271"/>
      <c r="Y506" s="272"/>
      <c r="Z506" s="272"/>
      <c r="AA506" s="272"/>
      <c r="AB506" s="272"/>
    </row>
    <row r="507" spans="1:28" ht="15" customHeight="1" x14ac:dyDescent="0.25">
      <c r="A507" s="269"/>
      <c r="B507" s="269"/>
      <c r="C507" s="269"/>
      <c r="D507" s="270"/>
      <c r="E507" s="269"/>
      <c r="F507" s="269"/>
      <c r="G507" s="269"/>
      <c r="H507" s="269"/>
      <c r="I507" s="269"/>
      <c r="J507" s="271"/>
      <c r="K507" s="272"/>
      <c r="L507" s="269"/>
      <c r="M507" s="273"/>
      <c r="N507" s="269"/>
      <c r="O507" s="269"/>
      <c r="P507" s="274"/>
      <c r="Q507" s="270"/>
      <c r="R507" s="61"/>
      <c r="S507" s="269"/>
      <c r="T507" s="269"/>
      <c r="U507" s="269"/>
      <c r="V507" s="269"/>
      <c r="W507" s="269"/>
      <c r="X507" s="271"/>
      <c r="Y507" s="272"/>
      <c r="Z507" s="272"/>
      <c r="AA507" s="272"/>
      <c r="AB507" s="272"/>
    </row>
    <row r="508" spans="1:28" ht="15" customHeight="1" x14ac:dyDescent="0.25">
      <c r="A508" s="269"/>
      <c r="B508" s="269"/>
      <c r="C508" s="269"/>
      <c r="D508" s="270"/>
      <c r="E508" s="269"/>
      <c r="F508" s="269"/>
      <c r="G508" s="269"/>
      <c r="H508" s="269"/>
      <c r="I508" s="269"/>
      <c r="J508" s="271"/>
      <c r="K508" s="272"/>
      <c r="L508" s="269"/>
      <c r="M508" s="273"/>
      <c r="N508" s="269"/>
      <c r="O508" s="269"/>
      <c r="P508" s="274"/>
      <c r="Q508" s="270"/>
      <c r="R508" s="61"/>
      <c r="S508" s="269"/>
      <c r="T508" s="269"/>
      <c r="U508" s="269"/>
      <c r="V508" s="269"/>
      <c r="W508" s="269"/>
      <c r="X508" s="271"/>
      <c r="Y508" s="272"/>
      <c r="Z508" s="272"/>
      <c r="AA508" s="272"/>
      <c r="AB508" s="272"/>
    </row>
    <row r="509" spans="1:28" ht="15" customHeight="1" x14ac:dyDescent="0.25">
      <c r="A509" s="269"/>
      <c r="B509" s="269"/>
      <c r="C509" s="269"/>
      <c r="D509" s="270"/>
      <c r="E509" s="269"/>
      <c r="F509" s="269"/>
      <c r="G509" s="269"/>
      <c r="H509" s="269"/>
      <c r="I509" s="269"/>
      <c r="J509" s="271"/>
      <c r="K509" s="272"/>
      <c r="L509" s="269"/>
      <c r="M509" s="273"/>
      <c r="N509" s="269"/>
      <c r="O509" s="269"/>
      <c r="P509" s="274"/>
      <c r="Q509" s="270"/>
      <c r="R509" s="61"/>
      <c r="S509" s="269"/>
      <c r="T509" s="269"/>
      <c r="U509" s="269"/>
      <c r="V509" s="269"/>
      <c r="W509" s="269"/>
      <c r="X509" s="271"/>
      <c r="Y509" s="272"/>
      <c r="Z509" s="272"/>
      <c r="AA509" s="272"/>
      <c r="AB509" s="272"/>
    </row>
    <row r="510" spans="1:28" ht="15" customHeight="1" x14ac:dyDescent="0.25">
      <c r="A510" s="269"/>
      <c r="B510" s="269"/>
      <c r="C510" s="269"/>
      <c r="D510" s="270"/>
      <c r="E510" s="269"/>
      <c r="F510" s="269"/>
      <c r="G510" s="269"/>
      <c r="H510" s="269"/>
      <c r="I510" s="269"/>
      <c r="J510" s="271"/>
      <c r="K510" s="272"/>
      <c r="L510" s="269"/>
      <c r="M510" s="273"/>
      <c r="N510" s="269"/>
      <c r="O510" s="269"/>
      <c r="P510" s="274"/>
      <c r="Q510" s="270"/>
      <c r="R510" s="61"/>
      <c r="S510" s="269"/>
      <c r="T510" s="269"/>
      <c r="U510" s="269"/>
      <c r="V510" s="269"/>
      <c r="W510" s="269"/>
      <c r="X510" s="271"/>
      <c r="Y510" s="272"/>
      <c r="Z510" s="272"/>
      <c r="AA510" s="272"/>
      <c r="AB510" s="272"/>
    </row>
    <row r="511" spans="1:28" ht="15" customHeight="1" x14ac:dyDescent="0.25">
      <c r="A511" s="269"/>
      <c r="B511" s="269"/>
      <c r="C511" s="269"/>
      <c r="D511" s="270"/>
      <c r="E511" s="269"/>
      <c r="F511" s="269"/>
      <c r="G511" s="269"/>
      <c r="H511" s="269"/>
      <c r="I511" s="269"/>
      <c r="J511" s="271"/>
      <c r="K511" s="272"/>
      <c r="L511" s="269"/>
      <c r="M511" s="273"/>
      <c r="N511" s="269"/>
      <c r="O511" s="269"/>
      <c r="P511" s="274"/>
      <c r="Q511" s="270"/>
      <c r="R511" s="61"/>
      <c r="S511" s="269"/>
      <c r="T511" s="269"/>
      <c r="U511" s="269"/>
      <c r="V511" s="269"/>
      <c r="W511" s="269"/>
      <c r="X511" s="271"/>
      <c r="Y511" s="272"/>
      <c r="Z511" s="272"/>
      <c r="AA511" s="272"/>
      <c r="AB511" s="272"/>
    </row>
    <row r="512" spans="1:28" ht="15" customHeight="1" x14ac:dyDescent="0.25">
      <c r="A512" s="269"/>
      <c r="B512" s="269"/>
      <c r="C512" s="269"/>
      <c r="D512" s="270"/>
      <c r="E512" s="269"/>
      <c r="F512" s="269"/>
      <c r="G512" s="269"/>
      <c r="H512" s="269"/>
      <c r="I512" s="269"/>
      <c r="J512" s="271"/>
      <c r="K512" s="272"/>
      <c r="L512" s="269"/>
      <c r="M512" s="273"/>
      <c r="N512" s="269"/>
      <c r="O512" s="269"/>
      <c r="P512" s="274"/>
      <c r="Q512" s="270"/>
      <c r="R512" s="61"/>
      <c r="S512" s="269"/>
      <c r="T512" s="269"/>
      <c r="U512" s="269"/>
      <c r="V512" s="269"/>
      <c r="W512" s="269"/>
      <c r="X512" s="271"/>
      <c r="Y512" s="272"/>
      <c r="Z512" s="272"/>
      <c r="AA512" s="272"/>
      <c r="AB512" s="272"/>
    </row>
    <row r="513" spans="1:28" ht="15" customHeight="1" x14ac:dyDescent="0.25">
      <c r="A513" s="269"/>
      <c r="B513" s="269"/>
      <c r="C513" s="269"/>
      <c r="D513" s="270"/>
      <c r="E513" s="269"/>
      <c r="F513" s="269"/>
      <c r="G513" s="269"/>
      <c r="H513" s="269"/>
      <c r="I513" s="269"/>
      <c r="J513" s="271"/>
      <c r="K513" s="272"/>
      <c r="L513" s="269"/>
      <c r="M513" s="273"/>
      <c r="N513" s="269"/>
      <c r="O513" s="269"/>
      <c r="P513" s="274"/>
      <c r="Q513" s="270"/>
      <c r="R513" s="61"/>
      <c r="S513" s="269"/>
      <c r="T513" s="269"/>
      <c r="U513" s="269"/>
      <c r="V513" s="269"/>
      <c r="W513" s="269"/>
      <c r="X513" s="271"/>
      <c r="Y513" s="272"/>
      <c r="Z513" s="272"/>
      <c r="AA513" s="272"/>
      <c r="AB513" s="272"/>
    </row>
    <row r="514" spans="1:28" ht="15" customHeight="1" x14ac:dyDescent="0.25">
      <c r="A514" s="269"/>
      <c r="B514" s="269"/>
      <c r="C514" s="269"/>
      <c r="D514" s="270"/>
      <c r="E514" s="269"/>
      <c r="F514" s="269"/>
      <c r="G514" s="269"/>
      <c r="H514" s="269"/>
      <c r="I514" s="269"/>
      <c r="J514" s="271"/>
      <c r="K514" s="272"/>
      <c r="L514" s="269"/>
      <c r="M514" s="273"/>
      <c r="N514" s="269"/>
      <c r="O514" s="269"/>
      <c r="P514" s="274"/>
      <c r="Q514" s="270"/>
      <c r="R514" s="61"/>
      <c r="S514" s="269"/>
      <c r="T514" s="269"/>
      <c r="U514" s="269"/>
      <c r="V514" s="269"/>
      <c r="W514" s="269"/>
      <c r="X514" s="271"/>
      <c r="Y514" s="272"/>
      <c r="Z514" s="272"/>
      <c r="AA514" s="272"/>
      <c r="AB514" s="272"/>
    </row>
    <row r="515" spans="1:28" ht="15" customHeight="1" x14ac:dyDescent="0.25">
      <c r="A515" s="269"/>
      <c r="B515" s="269"/>
      <c r="C515" s="269"/>
      <c r="D515" s="270"/>
      <c r="E515" s="269"/>
      <c r="F515" s="269"/>
      <c r="G515" s="269"/>
      <c r="H515" s="269"/>
      <c r="I515" s="269"/>
      <c r="J515" s="271"/>
      <c r="K515" s="272"/>
      <c r="L515" s="269"/>
      <c r="M515" s="273"/>
      <c r="N515" s="269"/>
      <c r="O515" s="269"/>
      <c r="P515" s="274"/>
      <c r="Q515" s="270"/>
      <c r="R515" s="61"/>
      <c r="S515" s="269"/>
      <c r="T515" s="269"/>
      <c r="U515" s="269"/>
      <c r="V515" s="269"/>
      <c r="W515" s="269"/>
      <c r="X515" s="271"/>
      <c r="Y515" s="272"/>
      <c r="Z515" s="272"/>
      <c r="AA515" s="272"/>
      <c r="AB515" s="272"/>
    </row>
    <row r="516" spans="1:28" ht="15" customHeight="1" x14ac:dyDescent="0.25">
      <c r="A516" s="269"/>
      <c r="B516" s="269"/>
      <c r="C516" s="269"/>
      <c r="D516" s="270"/>
      <c r="E516" s="269"/>
      <c r="F516" s="269"/>
      <c r="G516" s="269"/>
      <c r="H516" s="269"/>
      <c r="I516" s="269"/>
      <c r="J516" s="271"/>
      <c r="K516" s="272"/>
      <c r="L516" s="269"/>
      <c r="M516" s="273"/>
      <c r="N516" s="269"/>
      <c r="O516" s="269"/>
      <c r="P516" s="274"/>
      <c r="Q516" s="270"/>
      <c r="R516" s="61"/>
      <c r="S516" s="269"/>
      <c r="T516" s="269"/>
      <c r="U516" s="269"/>
      <c r="V516" s="269"/>
      <c r="W516" s="269"/>
      <c r="X516" s="271"/>
      <c r="Y516" s="272"/>
      <c r="Z516" s="272"/>
      <c r="AA516" s="272"/>
      <c r="AB516" s="272"/>
    </row>
    <row r="517" spans="1:28" ht="15" customHeight="1" x14ac:dyDescent="0.25">
      <c r="A517" s="269"/>
      <c r="B517" s="269"/>
      <c r="C517" s="269"/>
      <c r="D517" s="270"/>
      <c r="E517" s="269"/>
      <c r="F517" s="269"/>
      <c r="G517" s="269"/>
      <c r="H517" s="269"/>
      <c r="I517" s="269"/>
      <c r="J517" s="271"/>
      <c r="K517" s="272"/>
      <c r="L517" s="269"/>
      <c r="M517" s="273"/>
      <c r="N517" s="269"/>
      <c r="O517" s="269"/>
      <c r="P517" s="274"/>
      <c r="Q517" s="270"/>
      <c r="R517" s="61"/>
      <c r="S517" s="269"/>
      <c r="T517" s="269"/>
      <c r="U517" s="269"/>
      <c r="V517" s="269"/>
      <c r="W517" s="269"/>
      <c r="X517" s="271"/>
      <c r="Y517" s="272"/>
      <c r="Z517" s="272"/>
      <c r="AA517" s="272"/>
      <c r="AB517" s="272"/>
    </row>
    <row r="518" spans="1:28" ht="15" customHeight="1" x14ac:dyDescent="0.25">
      <c r="A518" s="269"/>
      <c r="B518" s="269"/>
      <c r="C518" s="269"/>
      <c r="D518" s="270"/>
      <c r="E518" s="269"/>
      <c r="F518" s="269"/>
      <c r="G518" s="269"/>
      <c r="H518" s="269"/>
      <c r="I518" s="269"/>
      <c r="J518" s="271"/>
      <c r="K518" s="272"/>
      <c r="L518" s="269"/>
      <c r="M518" s="273"/>
      <c r="N518" s="269"/>
      <c r="O518" s="269"/>
      <c r="P518" s="274"/>
      <c r="Q518" s="270"/>
      <c r="R518" s="61"/>
      <c r="S518" s="269"/>
      <c r="T518" s="269"/>
      <c r="U518" s="269"/>
      <c r="V518" s="269"/>
      <c r="W518" s="269"/>
      <c r="X518" s="271"/>
      <c r="Y518" s="272"/>
      <c r="Z518" s="272"/>
      <c r="AA518" s="272"/>
      <c r="AB518" s="272"/>
    </row>
    <row r="519" spans="1:28" ht="15" customHeight="1" x14ac:dyDescent="0.25">
      <c r="A519" s="269"/>
      <c r="B519" s="269"/>
      <c r="C519" s="269"/>
      <c r="D519" s="270"/>
      <c r="E519" s="269"/>
      <c r="F519" s="269"/>
      <c r="G519" s="269"/>
      <c r="H519" s="269"/>
      <c r="I519" s="269"/>
      <c r="J519" s="271"/>
      <c r="K519" s="272"/>
      <c r="L519" s="269"/>
      <c r="M519" s="273"/>
      <c r="N519" s="269"/>
      <c r="O519" s="269"/>
      <c r="P519" s="274"/>
      <c r="Q519" s="270"/>
      <c r="R519" s="61"/>
      <c r="S519" s="269"/>
      <c r="T519" s="269"/>
      <c r="U519" s="269"/>
      <c r="V519" s="269"/>
      <c r="W519" s="269"/>
      <c r="X519" s="271"/>
      <c r="Y519" s="272"/>
      <c r="Z519" s="272"/>
      <c r="AA519" s="272"/>
      <c r="AB519" s="272"/>
    </row>
    <row r="520" spans="1:28" ht="15" customHeight="1" x14ac:dyDescent="0.25">
      <c r="A520" s="269"/>
      <c r="B520" s="269"/>
      <c r="C520" s="269"/>
      <c r="D520" s="270"/>
      <c r="E520" s="269"/>
      <c r="F520" s="269"/>
      <c r="G520" s="269"/>
      <c r="H520" s="269"/>
      <c r="I520" s="269"/>
      <c r="J520" s="271"/>
      <c r="K520" s="272"/>
      <c r="L520" s="269"/>
      <c r="M520" s="273"/>
      <c r="N520" s="269"/>
      <c r="O520" s="269"/>
      <c r="P520" s="274"/>
      <c r="Q520" s="270"/>
      <c r="R520" s="61"/>
      <c r="S520" s="269"/>
      <c r="T520" s="269"/>
      <c r="U520" s="269"/>
      <c r="V520" s="269"/>
      <c r="W520" s="269"/>
      <c r="X520" s="271"/>
      <c r="Y520" s="272"/>
      <c r="Z520" s="272"/>
      <c r="AA520" s="272"/>
      <c r="AB520" s="272"/>
    </row>
    <row r="521" spans="1:28" ht="15" customHeight="1" x14ac:dyDescent="0.25">
      <c r="A521" s="269"/>
      <c r="B521" s="269"/>
      <c r="C521" s="269"/>
      <c r="D521" s="270"/>
      <c r="E521" s="269"/>
      <c r="F521" s="269"/>
      <c r="G521" s="269"/>
      <c r="H521" s="269"/>
      <c r="I521" s="269"/>
      <c r="J521" s="271"/>
      <c r="K521" s="272"/>
      <c r="L521" s="269"/>
      <c r="M521" s="273"/>
      <c r="N521" s="269"/>
      <c r="O521" s="269"/>
      <c r="P521" s="274"/>
      <c r="Q521" s="270"/>
      <c r="R521" s="61"/>
      <c r="S521" s="269"/>
      <c r="T521" s="269"/>
      <c r="U521" s="269"/>
      <c r="V521" s="269"/>
      <c r="W521" s="269"/>
      <c r="X521" s="271"/>
      <c r="Y521" s="272"/>
      <c r="Z521" s="272"/>
      <c r="AA521" s="272"/>
      <c r="AB521" s="272"/>
    </row>
    <row r="522" spans="1:28" ht="15" customHeight="1" x14ac:dyDescent="0.25">
      <c r="A522" s="269"/>
      <c r="B522" s="269"/>
      <c r="C522" s="269"/>
      <c r="D522" s="270"/>
      <c r="E522" s="269"/>
      <c r="F522" s="269"/>
      <c r="G522" s="269"/>
      <c r="H522" s="269"/>
      <c r="I522" s="269"/>
      <c r="J522" s="271"/>
      <c r="K522" s="272"/>
      <c r="L522" s="269"/>
      <c r="M522" s="273"/>
      <c r="N522" s="269"/>
      <c r="O522" s="269"/>
      <c r="P522" s="274"/>
      <c r="Q522" s="270"/>
      <c r="R522" s="61"/>
      <c r="S522" s="269"/>
      <c r="T522" s="269"/>
      <c r="U522" s="269"/>
      <c r="V522" s="269"/>
      <c r="W522" s="269"/>
      <c r="X522" s="271"/>
      <c r="Y522" s="272"/>
      <c r="Z522" s="272"/>
      <c r="AA522" s="272"/>
      <c r="AB522" s="272"/>
    </row>
    <row r="523" spans="1:28" ht="15" customHeight="1" x14ac:dyDescent="0.25">
      <c r="A523" s="269"/>
      <c r="B523" s="269"/>
      <c r="C523" s="269"/>
      <c r="D523" s="270"/>
      <c r="E523" s="269"/>
      <c r="F523" s="269"/>
      <c r="G523" s="269"/>
      <c r="H523" s="269"/>
      <c r="I523" s="269"/>
      <c r="J523" s="271"/>
      <c r="K523" s="272"/>
      <c r="L523" s="269"/>
      <c r="M523" s="273"/>
      <c r="N523" s="269"/>
      <c r="O523" s="269"/>
      <c r="P523" s="274"/>
      <c r="Q523" s="270"/>
      <c r="R523" s="61"/>
      <c r="S523" s="269"/>
      <c r="T523" s="269"/>
      <c r="U523" s="269"/>
      <c r="V523" s="269"/>
      <c r="W523" s="269"/>
      <c r="X523" s="271"/>
      <c r="Y523" s="272"/>
      <c r="Z523" s="272"/>
      <c r="AA523" s="272"/>
      <c r="AB523" s="272"/>
    </row>
    <row r="524" spans="1:28" ht="15" customHeight="1" x14ac:dyDescent="0.25">
      <c r="A524" s="269"/>
      <c r="B524" s="269"/>
      <c r="C524" s="269"/>
      <c r="D524" s="270"/>
      <c r="E524" s="269"/>
      <c r="F524" s="269"/>
      <c r="G524" s="269"/>
      <c r="H524" s="269"/>
      <c r="I524" s="269"/>
      <c r="J524" s="271"/>
      <c r="K524" s="272"/>
      <c r="L524" s="269"/>
      <c r="M524" s="273"/>
      <c r="N524" s="269"/>
      <c r="O524" s="269"/>
      <c r="P524" s="274"/>
      <c r="Q524" s="270"/>
      <c r="R524" s="61"/>
      <c r="S524" s="269"/>
      <c r="T524" s="269"/>
      <c r="U524" s="269"/>
      <c r="V524" s="269"/>
      <c r="W524" s="269"/>
      <c r="X524" s="271"/>
      <c r="Y524" s="272"/>
      <c r="Z524" s="272"/>
      <c r="AA524" s="272"/>
      <c r="AB524" s="272"/>
    </row>
    <row r="525" spans="1:28" ht="15" customHeight="1" x14ac:dyDescent="0.25">
      <c r="A525" s="269"/>
      <c r="B525" s="269"/>
      <c r="C525" s="269"/>
      <c r="D525" s="270"/>
      <c r="E525" s="269"/>
      <c r="F525" s="269"/>
      <c r="G525" s="269"/>
      <c r="H525" s="269"/>
      <c r="I525" s="269"/>
      <c r="J525" s="271"/>
      <c r="K525" s="272"/>
      <c r="L525" s="269"/>
      <c r="M525" s="273"/>
      <c r="N525" s="269"/>
      <c r="O525" s="269"/>
      <c r="P525" s="274"/>
      <c r="Q525" s="270"/>
      <c r="R525" s="61"/>
      <c r="S525" s="269"/>
      <c r="T525" s="269"/>
      <c r="U525" s="269"/>
      <c r="V525" s="269"/>
      <c r="W525" s="269"/>
      <c r="X525" s="271"/>
      <c r="Y525" s="272"/>
      <c r="Z525" s="272"/>
      <c r="AA525" s="272"/>
      <c r="AB525" s="272"/>
    </row>
    <row r="526" spans="1:28" ht="15" customHeight="1" x14ac:dyDescent="0.25">
      <c r="A526" s="269"/>
      <c r="B526" s="269"/>
      <c r="C526" s="269"/>
      <c r="D526" s="270"/>
      <c r="E526" s="269"/>
      <c r="F526" s="269"/>
      <c r="G526" s="269"/>
      <c r="H526" s="269"/>
      <c r="I526" s="269"/>
      <c r="J526" s="271"/>
      <c r="K526" s="272"/>
      <c r="L526" s="269"/>
      <c r="M526" s="273"/>
      <c r="N526" s="269"/>
      <c r="O526" s="269"/>
      <c r="P526" s="274"/>
      <c r="Q526" s="270"/>
      <c r="R526" s="61"/>
      <c r="S526" s="269"/>
      <c r="T526" s="269"/>
      <c r="U526" s="269"/>
      <c r="V526" s="269"/>
      <c r="W526" s="269"/>
      <c r="X526" s="271"/>
      <c r="Y526" s="272"/>
      <c r="Z526" s="272"/>
      <c r="AA526" s="272"/>
      <c r="AB526" s="272"/>
    </row>
    <row r="527" spans="1:28" ht="15" customHeight="1" x14ac:dyDescent="0.25">
      <c r="A527" s="269"/>
      <c r="B527" s="269"/>
      <c r="C527" s="269"/>
      <c r="D527" s="270"/>
      <c r="E527" s="269"/>
      <c r="F527" s="269"/>
      <c r="G527" s="269"/>
      <c r="H527" s="269"/>
      <c r="I527" s="269"/>
      <c r="J527" s="271"/>
      <c r="K527" s="272"/>
      <c r="L527" s="269"/>
      <c r="M527" s="273"/>
      <c r="N527" s="269"/>
      <c r="O527" s="269"/>
      <c r="P527" s="274"/>
      <c r="Q527" s="270"/>
      <c r="R527" s="61"/>
      <c r="S527" s="269"/>
      <c r="T527" s="269"/>
      <c r="U527" s="269"/>
      <c r="V527" s="269"/>
      <c r="W527" s="269"/>
      <c r="X527" s="271"/>
      <c r="Y527" s="272"/>
      <c r="Z527" s="272"/>
      <c r="AA527" s="272"/>
      <c r="AB527" s="272"/>
    </row>
    <row r="528" spans="1:28" ht="15" customHeight="1" x14ac:dyDescent="0.25">
      <c r="A528" s="269"/>
      <c r="B528" s="269"/>
      <c r="C528" s="269"/>
      <c r="D528" s="270"/>
      <c r="E528" s="269"/>
      <c r="F528" s="269"/>
      <c r="G528" s="269"/>
      <c r="H528" s="269"/>
      <c r="I528" s="269"/>
      <c r="J528" s="271"/>
      <c r="K528" s="272"/>
      <c r="L528" s="269"/>
      <c r="M528" s="273"/>
      <c r="N528" s="269"/>
      <c r="O528" s="269"/>
      <c r="P528" s="274"/>
      <c r="Q528" s="270"/>
      <c r="R528" s="61"/>
      <c r="S528" s="269"/>
      <c r="T528" s="269"/>
      <c r="U528" s="269"/>
      <c r="V528" s="269"/>
      <c r="W528" s="269"/>
      <c r="X528" s="271"/>
      <c r="Y528" s="272"/>
      <c r="Z528" s="272"/>
      <c r="AA528" s="272"/>
      <c r="AB528" s="272"/>
    </row>
    <row r="529" spans="1:28" ht="15" customHeight="1" x14ac:dyDescent="0.25">
      <c r="A529" s="269"/>
      <c r="B529" s="269"/>
      <c r="C529" s="269"/>
      <c r="D529" s="270"/>
      <c r="E529" s="269"/>
      <c r="F529" s="269"/>
      <c r="G529" s="269"/>
      <c r="H529" s="269"/>
      <c r="I529" s="269"/>
      <c r="J529" s="271"/>
      <c r="K529" s="272"/>
      <c r="L529" s="269"/>
      <c r="M529" s="273"/>
      <c r="N529" s="269"/>
      <c r="O529" s="269"/>
      <c r="P529" s="274"/>
      <c r="Q529" s="270"/>
      <c r="R529" s="61"/>
      <c r="S529" s="269"/>
      <c r="T529" s="269"/>
      <c r="U529" s="269"/>
      <c r="V529" s="269"/>
      <c r="W529" s="269"/>
      <c r="X529" s="271"/>
      <c r="Y529" s="272"/>
      <c r="Z529" s="272"/>
      <c r="AA529" s="272"/>
      <c r="AB529" s="272"/>
    </row>
    <row r="530" spans="1:28" ht="15" customHeight="1" x14ac:dyDescent="0.25">
      <c r="A530" s="269"/>
      <c r="B530" s="269"/>
      <c r="C530" s="269"/>
      <c r="D530" s="270"/>
      <c r="E530" s="269"/>
      <c r="F530" s="269"/>
      <c r="G530" s="269"/>
      <c r="H530" s="269"/>
      <c r="I530" s="269"/>
      <c r="J530" s="271"/>
      <c r="K530" s="272"/>
      <c r="L530" s="269"/>
      <c r="M530" s="273"/>
      <c r="N530" s="269"/>
      <c r="O530" s="269"/>
      <c r="P530" s="274"/>
      <c r="Q530" s="270"/>
      <c r="R530" s="61"/>
      <c r="S530" s="269"/>
      <c r="T530" s="269"/>
      <c r="U530" s="269"/>
      <c r="V530" s="269"/>
      <c r="W530" s="269"/>
      <c r="X530" s="271"/>
      <c r="Y530" s="272"/>
      <c r="Z530" s="272"/>
      <c r="AA530" s="272"/>
      <c r="AB530" s="272"/>
    </row>
    <row r="531" spans="1:28" ht="15" customHeight="1" x14ac:dyDescent="0.25">
      <c r="A531" s="269"/>
      <c r="B531" s="269"/>
      <c r="C531" s="269"/>
      <c r="D531" s="270"/>
      <c r="E531" s="269"/>
      <c r="F531" s="269"/>
      <c r="G531" s="269"/>
      <c r="H531" s="269"/>
      <c r="I531" s="269"/>
      <c r="J531" s="271"/>
      <c r="K531" s="272"/>
      <c r="L531" s="269"/>
      <c r="M531" s="273"/>
      <c r="N531" s="269"/>
      <c r="O531" s="269"/>
      <c r="P531" s="274"/>
      <c r="Q531" s="270"/>
      <c r="R531" s="61"/>
      <c r="S531" s="269"/>
      <c r="T531" s="269"/>
      <c r="U531" s="269"/>
      <c r="V531" s="269"/>
      <c r="W531" s="269"/>
      <c r="X531" s="271"/>
      <c r="Y531" s="272"/>
      <c r="Z531" s="272"/>
      <c r="AA531" s="272"/>
      <c r="AB531" s="272"/>
    </row>
    <row r="532" spans="1:28" ht="15" customHeight="1" x14ac:dyDescent="0.25">
      <c r="A532" s="269"/>
      <c r="B532" s="269"/>
      <c r="C532" s="269"/>
      <c r="D532" s="270"/>
      <c r="E532" s="269"/>
      <c r="F532" s="269"/>
      <c r="G532" s="269"/>
      <c r="H532" s="269"/>
      <c r="I532" s="269"/>
      <c r="J532" s="271"/>
      <c r="K532" s="272"/>
      <c r="L532" s="269"/>
      <c r="M532" s="273"/>
      <c r="N532" s="269"/>
      <c r="O532" s="269"/>
      <c r="P532" s="274"/>
      <c r="Q532" s="270"/>
      <c r="R532" s="61"/>
      <c r="S532" s="269"/>
      <c r="T532" s="269"/>
      <c r="U532" s="269"/>
      <c r="V532" s="269"/>
      <c r="W532" s="269"/>
      <c r="X532" s="271"/>
      <c r="Y532" s="272"/>
      <c r="Z532" s="272"/>
      <c r="AA532" s="272"/>
      <c r="AB532" s="272"/>
    </row>
    <row r="533" spans="1:28" ht="15" customHeight="1" x14ac:dyDescent="0.25">
      <c r="A533" s="269"/>
      <c r="B533" s="269"/>
      <c r="C533" s="269"/>
      <c r="D533" s="270"/>
      <c r="E533" s="269"/>
      <c r="F533" s="269"/>
      <c r="G533" s="269"/>
      <c r="H533" s="269"/>
      <c r="I533" s="269"/>
      <c r="J533" s="271"/>
      <c r="K533" s="272"/>
      <c r="L533" s="269"/>
      <c r="M533" s="273"/>
      <c r="N533" s="269"/>
      <c r="O533" s="269"/>
      <c r="P533" s="274"/>
      <c r="Q533" s="270"/>
      <c r="R533" s="61"/>
      <c r="S533" s="269"/>
      <c r="T533" s="269"/>
      <c r="U533" s="269"/>
      <c r="V533" s="269"/>
      <c r="W533" s="269"/>
      <c r="X533" s="271"/>
      <c r="Y533" s="272"/>
      <c r="Z533" s="272"/>
      <c r="AA533" s="272"/>
      <c r="AB533" s="272"/>
    </row>
    <row r="534" spans="1:28" ht="15" customHeight="1" x14ac:dyDescent="0.25">
      <c r="A534" s="269"/>
      <c r="B534" s="269"/>
      <c r="C534" s="269"/>
      <c r="D534" s="270"/>
      <c r="E534" s="269"/>
      <c r="F534" s="269"/>
      <c r="G534" s="269"/>
      <c r="H534" s="269"/>
      <c r="I534" s="269"/>
      <c r="J534" s="271"/>
      <c r="K534" s="272"/>
      <c r="L534" s="269"/>
      <c r="M534" s="273"/>
      <c r="N534" s="269"/>
      <c r="O534" s="269"/>
      <c r="P534" s="274"/>
      <c r="Q534" s="270"/>
      <c r="R534" s="61"/>
      <c r="S534" s="269"/>
      <c r="T534" s="269"/>
      <c r="U534" s="269"/>
      <c r="V534" s="269"/>
      <c r="W534" s="269"/>
      <c r="X534" s="271"/>
      <c r="Y534" s="272"/>
      <c r="Z534" s="272"/>
      <c r="AA534" s="272"/>
      <c r="AB534" s="272"/>
    </row>
    <row r="535" spans="1:28" ht="15" customHeight="1" x14ac:dyDescent="0.25">
      <c r="A535" s="269"/>
      <c r="B535" s="269"/>
      <c r="C535" s="269"/>
      <c r="D535" s="270"/>
      <c r="E535" s="269"/>
      <c r="F535" s="269"/>
      <c r="G535" s="269"/>
      <c r="H535" s="269"/>
      <c r="I535" s="269"/>
      <c r="J535" s="271"/>
      <c r="K535" s="272"/>
      <c r="L535" s="269"/>
      <c r="M535" s="273"/>
      <c r="N535" s="269"/>
      <c r="O535" s="269"/>
      <c r="P535" s="274"/>
      <c r="Q535" s="270"/>
      <c r="R535" s="61"/>
      <c r="S535" s="269"/>
      <c r="T535" s="269"/>
      <c r="U535" s="269"/>
      <c r="V535" s="269"/>
      <c r="W535" s="269"/>
      <c r="X535" s="271"/>
      <c r="Y535" s="272"/>
      <c r="Z535" s="272"/>
      <c r="AA535" s="272"/>
      <c r="AB535" s="272"/>
    </row>
    <row r="536" spans="1:28" ht="15" customHeight="1" x14ac:dyDescent="0.25">
      <c r="A536" s="269"/>
      <c r="B536" s="269"/>
      <c r="C536" s="269"/>
      <c r="D536" s="270"/>
      <c r="E536" s="269"/>
      <c r="F536" s="269"/>
      <c r="G536" s="269"/>
      <c r="H536" s="269"/>
      <c r="I536" s="269"/>
      <c r="J536" s="271"/>
      <c r="K536" s="272"/>
      <c r="L536" s="269"/>
      <c r="M536" s="273"/>
      <c r="N536" s="269"/>
      <c r="O536" s="269"/>
      <c r="P536" s="274"/>
      <c r="Q536" s="270"/>
      <c r="R536" s="61"/>
      <c r="S536" s="269"/>
      <c r="T536" s="269"/>
      <c r="U536" s="269"/>
      <c r="V536" s="269"/>
      <c r="W536" s="269"/>
      <c r="X536" s="271"/>
      <c r="Y536" s="272"/>
      <c r="Z536" s="272"/>
      <c r="AA536" s="272"/>
      <c r="AB536" s="272"/>
    </row>
    <row r="537" spans="1:28" ht="15" customHeight="1" x14ac:dyDescent="0.25">
      <c r="A537" s="269"/>
      <c r="B537" s="269"/>
      <c r="C537" s="269"/>
      <c r="D537" s="270"/>
      <c r="E537" s="269"/>
      <c r="F537" s="269"/>
      <c r="G537" s="269"/>
      <c r="H537" s="269"/>
      <c r="I537" s="269"/>
      <c r="J537" s="271"/>
      <c r="K537" s="272"/>
      <c r="L537" s="269"/>
      <c r="M537" s="273"/>
      <c r="N537" s="269"/>
      <c r="O537" s="269"/>
      <c r="P537" s="274"/>
      <c r="Q537" s="270"/>
      <c r="R537" s="61"/>
      <c r="S537" s="269"/>
      <c r="T537" s="269"/>
      <c r="U537" s="269"/>
      <c r="V537" s="269"/>
      <c r="W537" s="269"/>
      <c r="X537" s="271"/>
      <c r="Y537" s="272"/>
      <c r="Z537" s="272"/>
      <c r="AA537" s="272"/>
      <c r="AB537" s="272"/>
    </row>
    <row r="538" spans="1:28" ht="15" customHeight="1" x14ac:dyDescent="0.25">
      <c r="A538" s="269"/>
      <c r="B538" s="269"/>
      <c r="C538" s="269"/>
      <c r="D538" s="270"/>
      <c r="E538" s="269"/>
      <c r="F538" s="269"/>
      <c r="G538" s="269"/>
      <c r="H538" s="269"/>
      <c r="I538" s="269"/>
      <c r="J538" s="271"/>
      <c r="K538" s="272"/>
      <c r="L538" s="269"/>
      <c r="M538" s="273"/>
      <c r="N538" s="269"/>
      <c r="O538" s="269"/>
      <c r="P538" s="274"/>
      <c r="Q538" s="270"/>
      <c r="R538" s="61"/>
      <c r="S538" s="269"/>
      <c r="T538" s="269"/>
      <c r="U538" s="269"/>
      <c r="V538" s="269"/>
      <c r="W538" s="269"/>
      <c r="X538" s="271"/>
      <c r="Y538" s="272"/>
      <c r="Z538" s="272"/>
      <c r="AA538" s="272"/>
      <c r="AB538" s="272"/>
    </row>
    <row r="539" spans="1:28" ht="15" customHeight="1" x14ac:dyDescent="0.25">
      <c r="A539" s="269"/>
      <c r="B539" s="269"/>
      <c r="C539" s="269"/>
      <c r="D539" s="270"/>
      <c r="E539" s="269"/>
      <c r="F539" s="269"/>
      <c r="G539" s="269"/>
      <c r="H539" s="269"/>
      <c r="I539" s="269"/>
      <c r="J539" s="271"/>
      <c r="K539" s="272"/>
      <c r="L539" s="269"/>
      <c r="M539" s="273"/>
      <c r="N539" s="269"/>
      <c r="O539" s="269"/>
      <c r="P539" s="274"/>
      <c r="Q539" s="270"/>
      <c r="R539" s="61"/>
      <c r="S539" s="269"/>
      <c r="T539" s="269"/>
      <c r="U539" s="269"/>
      <c r="V539" s="269"/>
      <c r="W539" s="269"/>
      <c r="X539" s="271"/>
      <c r="Y539" s="272"/>
      <c r="Z539" s="272"/>
      <c r="AA539" s="272"/>
      <c r="AB539" s="272"/>
    </row>
    <row r="540" spans="1:28" ht="15" customHeight="1" x14ac:dyDescent="0.25">
      <c r="A540" s="269"/>
      <c r="B540" s="269"/>
      <c r="C540" s="269"/>
      <c r="D540" s="270"/>
      <c r="E540" s="269"/>
      <c r="F540" s="269"/>
      <c r="G540" s="269"/>
      <c r="H540" s="269"/>
      <c r="I540" s="269"/>
      <c r="J540" s="271"/>
      <c r="K540" s="272"/>
      <c r="L540" s="269"/>
      <c r="M540" s="273"/>
      <c r="N540" s="269"/>
      <c r="O540" s="269"/>
      <c r="P540" s="274"/>
      <c r="Q540" s="270"/>
      <c r="R540" s="61"/>
      <c r="S540" s="269"/>
      <c r="T540" s="269"/>
      <c r="U540" s="269"/>
      <c r="V540" s="269"/>
      <c r="W540" s="269"/>
      <c r="X540" s="271"/>
      <c r="Y540" s="272"/>
      <c r="Z540" s="272"/>
      <c r="AA540" s="272"/>
      <c r="AB540" s="272"/>
    </row>
    <row r="541" spans="1:28" ht="15" customHeight="1" x14ac:dyDescent="0.25">
      <c r="A541" s="269"/>
      <c r="B541" s="269"/>
      <c r="C541" s="269"/>
      <c r="D541" s="270"/>
      <c r="E541" s="269"/>
      <c r="F541" s="269"/>
      <c r="G541" s="269"/>
      <c r="H541" s="269"/>
      <c r="I541" s="269"/>
      <c r="J541" s="271"/>
      <c r="K541" s="272"/>
      <c r="L541" s="269"/>
      <c r="M541" s="273"/>
      <c r="N541" s="269"/>
      <c r="O541" s="269"/>
      <c r="P541" s="274"/>
      <c r="Q541" s="270"/>
      <c r="R541" s="61"/>
      <c r="S541" s="269"/>
      <c r="T541" s="269"/>
      <c r="U541" s="269"/>
      <c r="V541" s="269"/>
      <c r="W541" s="269"/>
      <c r="X541" s="271"/>
      <c r="Y541" s="272"/>
      <c r="Z541" s="272"/>
      <c r="AA541" s="272"/>
      <c r="AB541" s="272"/>
    </row>
    <row r="542" spans="1:28" ht="15" customHeight="1" x14ac:dyDescent="0.25">
      <c r="A542" s="269"/>
      <c r="B542" s="269"/>
      <c r="C542" s="269"/>
      <c r="D542" s="270"/>
      <c r="E542" s="269"/>
      <c r="F542" s="269"/>
      <c r="G542" s="269"/>
      <c r="H542" s="269"/>
      <c r="I542" s="269"/>
      <c r="J542" s="271"/>
      <c r="K542" s="272"/>
      <c r="L542" s="269"/>
      <c r="M542" s="273"/>
      <c r="N542" s="269"/>
      <c r="O542" s="269"/>
      <c r="P542" s="274"/>
      <c r="Q542" s="270"/>
      <c r="R542" s="61"/>
      <c r="S542" s="269"/>
      <c r="T542" s="269"/>
      <c r="U542" s="269"/>
      <c r="V542" s="269"/>
      <c r="W542" s="269"/>
      <c r="X542" s="271"/>
      <c r="Y542" s="272"/>
      <c r="Z542" s="272"/>
      <c r="AA542" s="272"/>
      <c r="AB542" s="272"/>
    </row>
    <row r="543" spans="1:28" ht="15" customHeight="1" x14ac:dyDescent="0.25">
      <c r="A543" s="269"/>
      <c r="B543" s="269"/>
      <c r="C543" s="269"/>
      <c r="D543" s="270"/>
      <c r="E543" s="269"/>
      <c r="F543" s="269"/>
      <c r="G543" s="269"/>
      <c r="H543" s="269"/>
      <c r="I543" s="269"/>
      <c r="J543" s="271"/>
      <c r="K543" s="272"/>
      <c r="L543" s="269"/>
      <c r="M543" s="273"/>
      <c r="N543" s="269"/>
      <c r="O543" s="269"/>
      <c r="P543" s="274"/>
      <c r="Q543" s="270"/>
      <c r="R543" s="61"/>
      <c r="S543" s="269"/>
      <c r="T543" s="269"/>
      <c r="U543" s="269"/>
      <c r="V543" s="269"/>
      <c r="W543" s="269"/>
      <c r="X543" s="271"/>
      <c r="Y543" s="272"/>
      <c r="Z543" s="272"/>
      <c r="AA543" s="272"/>
      <c r="AB543" s="272"/>
    </row>
    <row r="544" spans="1:28" ht="15" customHeight="1" x14ac:dyDescent="0.25">
      <c r="A544" s="269"/>
      <c r="B544" s="269"/>
      <c r="C544" s="269"/>
      <c r="D544" s="270"/>
      <c r="E544" s="269"/>
      <c r="F544" s="269"/>
      <c r="G544" s="269"/>
      <c r="H544" s="269"/>
      <c r="I544" s="269"/>
      <c r="J544" s="271"/>
      <c r="K544" s="272"/>
      <c r="L544" s="269"/>
      <c r="M544" s="273"/>
      <c r="N544" s="269"/>
      <c r="O544" s="269"/>
      <c r="P544" s="274"/>
      <c r="Q544" s="270"/>
      <c r="R544" s="61"/>
      <c r="S544" s="269"/>
      <c r="T544" s="269"/>
      <c r="U544" s="269"/>
      <c r="V544" s="269"/>
      <c r="W544" s="269"/>
      <c r="X544" s="271"/>
      <c r="Y544" s="272"/>
      <c r="Z544" s="272"/>
      <c r="AA544" s="272"/>
      <c r="AB544" s="272"/>
    </row>
    <row r="545" spans="1:28" ht="15" customHeight="1" x14ac:dyDescent="0.25">
      <c r="A545" s="269"/>
      <c r="B545" s="269"/>
      <c r="C545" s="269"/>
      <c r="D545" s="270"/>
      <c r="E545" s="269"/>
      <c r="F545" s="269"/>
      <c r="G545" s="269"/>
      <c r="H545" s="269"/>
      <c r="I545" s="269"/>
      <c r="J545" s="271"/>
      <c r="K545" s="272"/>
      <c r="L545" s="269"/>
      <c r="M545" s="273"/>
      <c r="N545" s="269"/>
      <c r="O545" s="269"/>
      <c r="P545" s="274"/>
      <c r="Q545" s="270"/>
      <c r="R545" s="61"/>
      <c r="S545" s="269"/>
      <c r="T545" s="269"/>
      <c r="U545" s="269"/>
      <c r="V545" s="269"/>
      <c r="W545" s="269"/>
      <c r="X545" s="271"/>
      <c r="Y545" s="272"/>
      <c r="Z545" s="272"/>
      <c r="AA545" s="272"/>
      <c r="AB545" s="272"/>
    </row>
    <row r="546" spans="1:28" ht="15" customHeight="1" x14ac:dyDescent="0.25">
      <c r="A546" s="269"/>
      <c r="B546" s="269"/>
      <c r="C546" s="269"/>
      <c r="D546" s="270"/>
      <c r="E546" s="269"/>
      <c r="F546" s="269"/>
      <c r="G546" s="269"/>
      <c r="H546" s="269"/>
      <c r="I546" s="269"/>
      <c r="J546" s="271"/>
      <c r="K546" s="272"/>
      <c r="L546" s="269"/>
      <c r="M546" s="273"/>
      <c r="N546" s="269"/>
      <c r="O546" s="269"/>
      <c r="P546" s="274"/>
      <c r="Q546" s="270"/>
      <c r="R546" s="61"/>
      <c r="S546" s="269"/>
      <c r="T546" s="269"/>
      <c r="U546" s="269"/>
      <c r="V546" s="269"/>
      <c r="W546" s="269"/>
      <c r="X546" s="271"/>
      <c r="Y546" s="272"/>
      <c r="Z546" s="272"/>
      <c r="AA546" s="272"/>
      <c r="AB546" s="272"/>
    </row>
    <row r="547" spans="1:28" ht="15" customHeight="1" x14ac:dyDescent="0.25">
      <c r="A547" s="269"/>
      <c r="B547" s="269"/>
      <c r="C547" s="269"/>
      <c r="D547" s="270"/>
      <c r="E547" s="269"/>
      <c r="F547" s="269"/>
      <c r="G547" s="269"/>
      <c r="H547" s="269"/>
      <c r="I547" s="269"/>
      <c r="J547" s="271"/>
      <c r="K547" s="272"/>
      <c r="L547" s="269"/>
      <c r="M547" s="273"/>
      <c r="N547" s="269"/>
      <c r="O547" s="269"/>
      <c r="P547" s="274"/>
      <c r="Q547" s="270"/>
      <c r="R547" s="61"/>
      <c r="S547" s="269"/>
      <c r="T547" s="269"/>
      <c r="U547" s="269"/>
      <c r="V547" s="269"/>
      <c r="W547" s="269"/>
      <c r="X547" s="271"/>
      <c r="Y547" s="272"/>
      <c r="Z547" s="272"/>
      <c r="AA547" s="272"/>
      <c r="AB547" s="272"/>
    </row>
    <row r="548" spans="1:28" ht="15" customHeight="1" x14ac:dyDescent="0.25">
      <c r="A548" s="269"/>
      <c r="B548" s="269"/>
      <c r="C548" s="269"/>
      <c r="D548" s="270"/>
      <c r="E548" s="269"/>
      <c r="F548" s="269"/>
      <c r="G548" s="269"/>
      <c r="H548" s="269"/>
      <c r="I548" s="269"/>
      <c r="J548" s="271"/>
      <c r="K548" s="272"/>
      <c r="L548" s="269"/>
      <c r="M548" s="273"/>
      <c r="N548" s="269"/>
      <c r="O548" s="269"/>
      <c r="P548" s="274"/>
      <c r="Q548" s="270"/>
      <c r="R548" s="61"/>
      <c r="S548" s="269"/>
      <c r="T548" s="269"/>
      <c r="U548" s="269"/>
      <c r="V548" s="269"/>
      <c r="W548" s="269"/>
      <c r="X548" s="271"/>
      <c r="Y548" s="272"/>
      <c r="Z548" s="272"/>
      <c r="AA548" s="272"/>
      <c r="AB548" s="272"/>
    </row>
    <row r="549" spans="1:28" ht="15" customHeight="1" x14ac:dyDescent="0.25">
      <c r="A549" s="269"/>
      <c r="B549" s="269"/>
      <c r="C549" s="269"/>
      <c r="D549" s="270"/>
      <c r="E549" s="269"/>
      <c r="F549" s="269"/>
      <c r="G549" s="269"/>
      <c r="H549" s="269"/>
      <c r="I549" s="269"/>
      <c r="J549" s="271"/>
      <c r="K549" s="272"/>
      <c r="L549" s="269"/>
      <c r="M549" s="273"/>
      <c r="N549" s="269"/>
      <c r="O549" s="269"/>
      <c r="P549" s="274"/>
      <c r="Q549" s="270"/>
      <c r="R549" s="61"/>
      <c r="S549" s="269"/>
      <c r="T549" s="269"/>
      <c r="U549" s="269"/>
      <c r="V549" s="269"/>
      <c r="W549" s="269"/>
      <c r="X549" s="271"/>
      <c r="Y549" s="272"/>
      <c r="Z549" s="272"/>
      <c r="AA549" s="272"/>
      <c r="AB549" s="272"/>
    </row>
    <row r="550" spans="1:28" ht="15" customHeight="1" x14ac:dyDescent="0.25">
      <c r="A550" s="269"/>
      <c r="B550" s="269"/>
      <c r="C550" s="269"/>
      <c r="D550" s="270"/>
      <c r="E550" s="269"/>
      <c r="F550" s="269"/>
      <c r="G550" s="269"/>
      <c r="H550" s="269"/>
      <c r="I550" s="269"/>
      <c r="J550" s="271"/>
      <c r="K550" s="272"/>
      <c r="L550" s="269"/>
      <c r="M550" s="273"/>
      <c r="N550" s="269"/>
      <c r="O550" s="269"/>
      <c r="P550" s="274"/>
      <c r="Q550" s="270"/>
      <c r="R550" s="61"/>
      <c r="S550" s="269"/>
      <c r="T550" s="269"/>
      <c r="U550" s="269"/>
      <c r="V550" s="269"/>
      <c r="W550" s="269"/>
      <c r="X550" s="271"/>
      <c r="Y550" s="272"/>
      <c r="Z550" s="272"/>
      <c r="AA550" s="272"/>
      <c r="AB550" s="272"/>
    </row>
    <row r="551" spans="1:28" ht="15" customHeight="1" x14ac:dyDescent="0.25">
      <c r="A551" s="269"/>
      <c r="B551" s="269"/>
      <c r="C551" s="269"/>
      <c r="D551" s="270"/>
      <c r="E551" s="269"/>
      <c r="F551" s="269"/>
      <c r="G551" s="269"/>
      <c r="H551" s="269"/>
      <c r="I551" s="269"/>
      <c r="J551" s="271"/>
      <c r="K551" s="272"/>
      <c r="L551" s="269"/>
      <c r="M551" s="273"/>
      <c r="N551" s="269"/>
      <c r="O551" s="269"/>
      <c r="P551" s="274"/>
      <c r="Q551" s="270"/>
      <c r="R551" s="61"/>
      <c r="S551" s="269"/>
      <c r="T551" s="269"/>
      <c r="U551" s="269"/>
      <c r="V551" s="269"/>
      <c r="W551" s="269"/>
      <c r="X551" s="271"/>
      <c r="Y551" s="272"/>
      <c r="Z551" s="272"/>
      <c r="AA551" s="272"/>
      <c r="AB551" s="272"/>
    </row>
    <row r="552" spans="1:28" ht="15" customHeight="1" x14ac:dyDescent="0.25">
      <c r="A552" s="269"/>
      <c r="B552" s="269"/>
      <c r="C552" s="269"/>
      <c r="D552" s="270"/>
      <c r="E552" s="269"/>
      <c r="F552" s="269"/>
      <c r="G552" s="269"/>
      <c r="H552" s="269"/>
      <c r="I552" s="269"/>
      <c r="J552" s="271"/>
      <c r="K552" s="272"/>
      <c r="L552" s="269"/>
      <c r="M552" s="273"/>
      <c r="N552" s="269"/>
      <c r="O552" s="269"/>
      <c r="P552" s="274"/>
      <c r="Q552" s="270"/>
      <c r="R552" s="61"/>
      <c r="S552" s="269"/>
      <c r="T552" s="269"/>
      <c r="U552" s="269"/>
      <c r="V552" s="269"/>
      <c r="W552" s="269"/>
      <c r="X552" s="271"/>
      <c r="Y552" s="272"/>
      <c r="Z552" s="272"/>
      <c r="AA552" s="272"/>
      <c r="AB552" s="272"/>
    </row>
    <row r="553" spans="1:28" ht="15" customHeight="1" x14ac:dyDescent="0.25">
      <c r="A553" s="269"/>
      <c r="B553" s="269"/>
      <c r="C553" s="269"/>
      <c r="D553" s="270"/>
      <c r="E553" s="269"/>
      <c r="F553" s="269"/>
      <c r="G553" s="269"/>
      <c r="H553" s="269"/>
      <c r="I553" s="269"/>
      <c r="J553" s="271"/>
      <c r="K553" s="272"/>
      <c r="L553" s="269"/>
      <c r="M553" s="273"/>
      <c r="N553" s="269"/>
      <c r="O553" s="269"/>
      <c r="P553" s="274"/>
      <c r="Q553" s="270"/>
      <c r="R553" s="61"/>
      <c r="S553" s="269"/>
      <c r="T553" s="269"/>
      <c r="U553" s="269"/>
      <c r="V553" s="269"/>
      <c r="W553" s="269"/>
      <c r="X553" s="271"/>
      <c r="Y553" s="272"/>
      <c r="Z553" s="272"/>
      <c r="AA553" s="272"/>
      <c r="AB553" s="272"/>
    </row>
    <row r="554" spans="1:28" ht="15" customHeight="1" x14ac:dyDescent="0.25">
      <c r="A554" s="269"/>
      <c r="B554" s="269"/>
      <c r="C554" s="269"/>
      <c r="D554" s="270"/>
      <c r="E554" s="269"/>
      <c r="F554" s="269"/>
      <c r="G554" s="269"/>
      <c r="H554" s="269"/>
      <c r="I554" s="269"/>
      <c r="J554" s="271"/>
      <c r="K554" s="272"/>
      <c r="L554" s="269"/>
      <c r="M554" s="273"/>
      <c r="N554" s="269"/>
      <c r="O554" s="269"/>
      <c r="P554" s="274"/>
      <c r="Q554" s="270"/>
      <c r="R554" s="61"/>
      <c r="S554" s="269"/>
      <c r="T554" s="269"/>
      <c r="U554" s="269"/>
      <c r="V554" s="269"/>
      <c r="W554" s="269"/>
      <c r="X554" s="271"/>
      <c r="Y554" s="272"/>
      <c r="Z554" s="272"/>
      <c r="AA554" s="272"/>
      <c r="AB554" s="272"/>
    </row>
    <row r="555" spans="1:28" ht="15" customHeight="1" x14ac:dyDescent="0.25">
      <c r="A555" s="269"/>
      <c r="B555" s="269"/>
      <c r="C555" s="269"/>
      <c r="D555" s="270"/>
      <c r="E555" s="269"/>
      <c r="F555" s="269"/>
      <c r="G555" s="269"/>
      <c r="H555" s="269"/>
      <c r="I555" s="269"/>
      <c r="J555" s="271"/>
      <c r="K555" s="272"/>
      <c r="L555" s="269"/>
      <c r="M555" s="273"/>
      <c r="N555" s="269"/>
      <c r="O555" s="269"/>
      <c r="P555" s="274"/>
      <c r="Q555" s="270"/>
      <c r="R555" s="61"/>
      <c r="S555" s="269"/>
      <c r="T555" s="269"/>
      <c r="U555" s="269"/>
      <c r="V555" s="269"/>
      <c r="W555" s="269"/>
      <c r="X555" s="271"/>
      <c r="Y555" s="272"/>
      <c r="Z555" s="272"/>
      <c r="AA555" s="272"/>
      <c r="AB555" s="272"/>
    </row>
    <row r="556" spans="1:28" ht="15" customHeight="1" x14ac:dyDescent="0.25">
      <c r="A556" s="269"/>
      <c r="B556" s="269"/>
      <c r="C556" s="269"/>
      <c r="D556" s="270"/>
      <c r="E556" s="269"/>
      <c r="F556" s="269"/>
      <c r="G556" s="269"/>
      <c r="H556" s="269"/>
      <c r="I556" s="269"/>
      <c r="J556" s="271"/>
      <c r="K556" s="272"/>
      <c r="L556" s="269"/>
      <c r="M556" s="273"/>
      <c r="N556" s="269"/>
      <c r="O556" s="269"/>
      <c r="P556" s="274"/>
      <c r="Q556" s="270"/>
      <c r="R556" s="61"/>
      <c r="S556" s="269"/>
      <c r="T556" s="269"/>
      <c r="U556" s="269"/>
      <c r="V556" s="269"/>
      <c r="W556" s="269"/>
      <c r="X556" s="271"/>
      <c r="Y556" s="272"/>
      <c r="Z556" s="272"/>
      <c r="AA556" s="272"/>
      <c r="AB556" s="272"/>
    </row>
    <row r="557" spans="1:28" ht="15" customHeight="1" x14ac:dyDescent="0.25">
      <c r="A557" s="269"/>
      <c r="B557" s="269"/>
      <c r="C557" s="269"/>
      <c r="D557" s="270"/>
      <c r="E557" s="269"/>
      <c r="F557" s="269"/>
      <c r="G557" s="269"/>
      <c r="H557" s="269"/>
      <c r="I557" s="269"/>
      <c r="J557" s="271"/>
      <c r="K557" s="272"/>
      <c r="L557" s="269"/>
      <c r="M557" s="273"/>
      <c r="N557" s="269"/>
      <c r="O557" s="269"/>
      <c r="P557" s="274"/>
      <c r="Q557" s="270"/>
      <c r="R557" s="61"/>
      <c r="S557" s="269"/>
      <c r="T557" s="269"/>
      <c r="U557" s="269"/>
      <c r="V557" s="269"/>
      <c r="W557" s="269"/>
      <c r="X557" s="271"/>
      <c r="Y557" s="272"/>
      <c r="Z557" s="272"/>
      <c r="AA557" s="272"/>
      <c r="AB557" s="272"/>
    </row>
    <row r="558" spans="1:28" ht="15" customHeight="1" x14ac:dyDescent="0.25">
      <c r="A558" s="269"/>
      <c r="B558" s="269"/>
      <c r="C558" s="269"/>
      <c r="D558" s="270"/>
      <c r="E558" s="269"/>
      <c r="F558" s="269"/>
      <c r="G558" s="269"/>
      <c r="H558" s="269"/>
      <c r="I558" s="269"/>
      <c r="J558" s="271"/>
      <c r="K558" s="272"/>
      <c r="L558" s="269"/>
      <c r="M558" s="273"/>
      <c r="N558" s="269"/>
      <c r="O558" s="269"/>
      <c r="P558" s="274"/>
      <c r="Q558" s="270"/>
      <c r="R558" s="61"/>
      <c r="S558" s="269"/>
      <c r="T558" s="269"/>
      <c r="U558" s="269"/>
      <c r="V558" s="269"/>
      <c r="W558" s="269"/>
      <c r="X558" s="271"/>
      <c r="Y558" s="272"/>
      <c r="Z558" s="272"/>
      <c r="AA558" s="272"/>
      <c r="AB558" s="272"/>
    </row>
    <row r="559" spans="1:28" ht="15" customHeight="1" x14ac:dyDescent="0.25">
      <c r="A559" s="269"/>
      <c r="B559" s="269"/>
      <c r="C559" s="269"/>
      <c r="D559" s="270"/>
      <c r="E559" s="269"/>
      <c r="F559" s="269"/>
      <c r="G559" s="269"/>
      <c r="H559" s="269"/>
      <c r="I559" s="269"/>
      <c r="J559" s="271"/>
      <c r="K559" s="272"/>
      <c r="L559" s="269"/>
      <c r="M559" s="273"/>
      <c r="N559" s="269"/>
      <c r="O559" s="269"/>
      <c r="P559" s="274"/>
      <c r="Q559" s="270"/>
      <c r="R559" s="61"/>
      <c r="S559" s="269"/>
      <c r="T559" s="269"/>
      <c r="U559" s="269"/>
      <c r="V559" s="269"/>
      <c r="W559" s="269"/>
      <c r="X559" s="271"/>
      <c r="Y559" s="272"/>
      <c r="Z559" s="272"/>
      <c r="AA559" s="272"/>
      <c r="AB559" s="272"/>
    </row>
    <row r="560" spans="1:28" ht="15" customHeight="1" x14ac:dyDescent="0.25">
      <c r="A560" s="269"/>
      <c r="B560" s="269"/>
      <c r="C560" s="269"/>
      <c r="D560" s="270"/>
      <c r="E560" s="269"/>
      <c r="F560" s="269"/>
      <c r="G560" s="269"/>
      <c r="H560" s="269"/>
      <c r="I560" s="269"/>
      <c r="J560" s="271"/>
      <c r="K560" s="272"/>
      <c r="L560" s="269"/>
      <c r="M560" s="273"/>
      <c r="N560" s="269"/>
      <c r="O560" s="269"/>
      <c r="P560" s="274"/>
      <c r="Q560" s="270"/>
      <c r="R560" s="61"/>
      <c r="S560" s="269"/>
      <c r="T560" s="269"/>
      <c r="U560" s="269"/>
      <c r="V560" s="269"/>
      <c r="W560" s="269"/>
      <c r="X560" s="271"/>
      <c r="Y560" s="272"/>
      <c r="Z560" s="272"/>
      <c r="AA560" s="272"/>
      <c r="AB560" s="272"/>
    </row>
    <row r="561" spans="1:28" ht="15" customHeight="1" x14ac:dyDescent="0.25">
      <c r="A561" s="269"/>
      <c r="B561" s="269"/>
      <c r="C561" s="269"/>
      <c r="D561" s="270"/>
      <c r="E561" s="269"/>
      <c r="F561" s="269"/>
      <c r="G561" s="269"/>
      <c r="H561" s="269"/>
      <c r="I561" s="269"/>
      <c r="J561" s="271"/>
      <c r="K561" s="272"/>
      <c r="L561" s="269"/>
      <c r="M561" s="273"/>
      <c r="N561" s="269"/>
      <c r="O561" s="269"/>
      <c r="P561" s="274"/>
      <c r="Q561" s="270"/>
      <c r="R561" s="61"/>
      <c r="S561" s="269"/>
      <c r="T561" s="269"/>
      <c r="U561" s="269"/>
      <c r="V561" s="269"/>
      <c r="W561" s="269"/>
      <c r="X561" s="271"/>
      <c r="Y561" s="272"/>
      <c r="Z561" s="272"/>
      <c r="AA561" s="272"/>
      <c r="AB561" s="272"/>
    </row>
    <row r="562" spans="1:28" ht="15" customHeight="1" x14ac:dyDescent="0.25">
      <c r="A562" s="269"/>
      <c r="B562" s="269"/>
      <c r="C562" s="269"/>
      <c r="D562" s="270"/>
      <c r="E562" s="269"/>
      <c r="F562" s="269"/>
      <c r="G562" s="269"/>
      <c r="H562" s="269"/>
      <c r="I562" s="269"/>
      <c r="J562" s="271"/>
      <c r="K562" s="272"/>
      <c r="L562" s="269"/>
      <c r="M562" s="273"/>
      <c r="N562" s="269"/>
      <c r="O562" s="269"/>
      <c r="P562" s="274"/>
      <c r="Q562" s="270"/>
      <c r="R562" s="61"/>
      <c r="S562" s="269"/>
      <c r="T562" s="269"/>
      <c r="U562" s="269"/>
      <c r="V562" s="269"/>
      <c r="W562" s="269"/>
      <c r="X562" s="271"/>
      <c r="Y562" s="272"/>
      <c r="Z562" s="272"/>
      <c r="AA562" s="272"/>
      <c r="AB562" s="272"/>
    </row>
    <row r="563" spans="1:28" ht="15" customHeight="1" x14ac:dyDescent="0.25">
      <c r="A563" s="269"/>
      <c r="B563" s="269"/>
      <c r="C563" s="269"/>
      <c r="D563" s="270"/>
      <c r="E563" s="269"/>
      <c r="F563" s="269"/>
      <c r="G563" s="269"/>
      <c r="H563" s="269"/>
      <c r="I563" s="269"/>
      <c r="J563" s="271"/>
      <c r="K563" s="272"/>
      <c r="L563" s="269"/>
      <c r="M563" s="273"/>
      <c r="N563" s="269"/>
      <c r="O563" s="269"/>
      <c r="P563" s="274"/>
      <c r="Q563" s="270"/>
      <c r="R563" s="61"/>
      <c r="S563" s="269"/>
      <c r="T563" s="269"/>
      <c r="U563" s="269"/>
      <c r="V563" s="269"/>
      <c r="W563" s="269"/>
      <c r="X563" s="271"/>
      <c r="Y563" s="272"/>
      <c r="Z563" s="272"/>
      <c r="AA563" s="272"/>
      <c r="AB563" s="272"/>
    </row>
    <row r="564" spans="1:28" ht="15" customHeight="1" x14ac:dyDescent="0.25">
      <c r="A564" s="269"/>
      <c r="B564" s="269"/>
      <c r="C564" s="269"/>
      <c r="D564" s="270"/>
      <c r="E564" s="269"/>
      <c r="F564" s="269"/>
      <c r="G564" s="269"/>
      <c r="H564" s="269"/>
      <c r="I564" s="269"/>
      <c r="J564" s="271"/>
      <c r="K564" s="272"/>
      <c r="L564" s="269"/>
      <c r="M564" s="273"/>
      <c r="N564" s="269"/>
      <c r="O564" s="269"/>
      <c r="P564" s="274"/>
      <c r="Q564" s="270"/>
      <c r="R564" s="61"/>
      <c r="S564" s="269"/>
      <c r="T564" s="269"/>
      <c r="U564" s="269"/>
      <c r="V564" s="269"/>
      <c r="W564" s="269"/>
      <c r="X564" s="271"/>
      <c r="Y564" s="272"/>
      <c r="Z564" s="272"/>
      <c r="AA564" s="272"/>
      <c r="AB564" s="272"/>
    </row>
    <row r="565" spans="1:28" ht="15" customHeight="1" x14ac:dyDescent="0.25">
      <c r="A565" s="269"/>
      <c r="B565" s="269"/>
      <c r="C565" s="269"/>
      <c r="D565" s="270"/>
      <c r="E565" s="269"/>
      <c r="F565" s="269"/>
      <c r="G565" s="269"/>
      <c r="H565" s="269"/>
      <c r="I565" s="269"/>
      <c r="J565" s="271"/>
      <c r="K565" s="272"/>
      <c r="L565" s="269"/>
      <c r="M565" s="273"/>
      <c r="N565" s="269"/>
      <c r="O565" s="269"/>
      <c r="P565" s="274"/>
      <c r="Q565" s="270"/>
      <c r="R565" s="61"/>
      <c r="S565" s="269"/>
      <c r="T565" s="269"/>
      <c r="U565" s="269"/>
      <c r="V565" s="269"/>
      <c r="W565" s="269"/>
      <c r="X565" s="271"/>
      <c r="Y565" s="272"/>
      <c r="Z565" s="272"/>
      <c r="AA565" s="272"/>
      <c r="AB565" s="272"/>
    </row>
    <row r="566" spans="1:28" ht="15" customHeight="1" x14ac:dyDescent="0.25">
      <c r="A566" s="269"/>
      <c r="B566" s="269"/>
      <c r="C566" s="269"/>
      <c r="D566" s="270"/>
      <c r="E566" s="269"/>
      <c r="F566" s="269"/>
      <c r="G566" s="269"/>
      <c r="H566" s="269"/>
      <c r="I566" s="269"/>
      <c r="J566" s="271"/>
      <c r="K566" s="272"/>
      <c r="L566" s="269"/>
      <c r="M566" s="273"/>
      <c r="N566" s="269"/>
      <c r="O566" s="269"/>
      <c r="P566" s="274"/>
      <c r="Q566" s="270"/>
      <c r="R566" s="61"/>
      <c r="S566" s="269"/>
      <c r="T566" s="269"/>
      <c r="U566" s="269"/>
      <c r="V566" s="269"/>
      <c r="W566" s="269"/>
      <c r="X566" s="271"/>
      <c r="Y566" s="272"/>
      <c r="Z566" s="272"/>
      <c r="AA566" s="272"/>
      <c r="AB566" s="272"/>
    </row>
    <row r="567" spans="1:28" ht="15" customHeight="1" x14ac:dyDescent="0.25">
      <c r="A567" s="269"/>
      <c r="B567" s="269"/>
      <c r="C567" s="269"/>
      <c r="D567" s="270"/>
      <c r="E567" s="269"/>
      <c r="F567" s="269"/>
      <c r="G567" s="269"/>
      <c r="H567" s="269"/>
      <c r="I567" s="269"/>
      <c r="J567" s="271"/>
      <c r="K567" s="272"/>
      <c r="L567" s="269"/>
      <c r="M567" s="273"/>
      <c r="N567" s="269"/>
      <c r="O567" s="269"/>
      <c r="P567" s="274"/>
      <c r="Q567" s="270"/>
      <c r="R567" s="61"/>
      <c r="S567" s="269"/>
      <c r="T567" s="269"/>
      <c r="U567" s="269"/>
      <c r="V567" s="269"/>
      <c r="W567" s="269"/>
      <c r="X567" s="271"/>
      <c r="Y567" s="272"/>
      <c r="Z567" s="272"/>
      <c r="AA567" s="272"/>
      <c r="AB567" s="272"/>
    </row>
    <row r="568" spans="1:28" ht="15" customHeight="1" x14ac:dyDescent="0.25">
      <c r="A568" s="269"/>
      <c r="B568" s="269"/>
      <c r="C568" s="269"/>
      <c r="D568" s="270"/>
      <c r="E568" s="269"/>
      <c r="F568" s="269"/>
      <c r="G568" s="269"/>
      <c r="H568" s="269"/>
      <c r="I568" s="269"/>
      <c r="J568" s="271"/>
      <c r="K568" s="272"/>
      <c r="L568" s="269"/>
      <c r="M568" s="273"/>
      <c r="N568" s="269"/>
      <c r="O568" s="269"/>
      <c r="P568" s="274"/>
      <c r="Q568" s="270"/>
      <c r="R568" s="61"/>
      <c r="S568" s="269"/>
      <c r="T568" s="269"/>
      <c r="U568" s="269"/>
      <c r="V568" s="269"/>
      <c r="W568" s="269"/>
      <c r="X568" s="271"/>
      <c r="Y568" s="272"/>
      <c r="Z568" s="272"/>
      <c r="AA568" s="272"/>
      <c r="AB568" s="272"/>
    </row>
    <row r="569" spans="1:28" ht="15" customHeight="1" x14ac:dyDescent="0.25">
      <c r="A569" s="269"/>
      <c r="B569" s="269"/>
      <c r="C569" s="269"/>
      <c r="D569" s="270"/>
      <c r="E569" s="269"/>
      <c r="F569" s="269"/>
      <c r="G569" s="269"/>
      <c r="H569" s="269"/>
      <c r="I569" s="269"/>
      <c r="J569" s="271"/>
      <c r="K569" s="272"/>
      <c r="L569" s="269"/>
      <c r="M569" s="273"/>
      <c r="N569" s="269"/>
      <c r="O569" s="269"/>
      <c r="P569" s="274"/>
      <c r="Q569" s="270"/>
      <c r="R569" s="61"/>
      <c r="S569" s="269"/>
      <c r="T569" s="269"/>
      <c r="U569" s="269"/>
      <c r="V569" s="269"/>
      <c r="W569" s="269"/>
      <c r="X569" s="271"/>
      <c r="Y569" s="272"/>
      <c r="Z569" s="272"/>
      <c r="AA569" s="272"/>
      <c r="AB569" s="272"/>
    </row>
    <row r="570" spans="1:28" ht="15" customHeight="1" x14ac:dyDescent="0.25">
      <c r="A570" s="269"/>
      <c r="B570" s="269"/>
      <c r="C570" s="269"/>
      <c r="D570" s="270"/>
      <c r="E570" s="269"/>
      <c r="F570" s="269"/>
      <c r="G570" s="269"/>
      <c r="H570" s="269"/>
      <c r="I570" s="269"/>
      <c r="J570" s="271"/>
      <c r="K570" s="272"/>
      <c r="L570" s="269"/>
      <c r="M570" s="273"/>
      <c r="N570" s="269"/>
      <c r="O570" s="269"/>
      <c r="P570" s="274"/>
      <c r="Q570" s="270"/>
      <c r="R570" s="61"/>
      <c r="S570" s="269"/>
      <c r="T570" s="269"/>
      <c r="U570" s="269"/>
      <c r="V570" s="269"/>
      <c r="W570" s="269"/>
      <c r="X570" s="271"/>
      <c r="Y570" s="272"/>
      <c r="Z570" s="272"/>
      <c r="AA570" s="272"/>
      <c r="AB570" s="272"/>
    </row>
    <row r="571" spans="1:28" ht="15" customHeight="1" x14ac:dyDescent="0.25">
      <c r="A571" s="269"/>
      <c r="B571" s="269"/>
      <c r="C571" s="269"/>
      <c r="D571" s="270"/>
      <c r="E571" s="269"/>
      <c r="F571" s="269"/>
      <c r="G571" s="269"/>
      <c r="H571" s="269"/>
      <c r="I571" s="269"/>
      <c r="J571" s="271"/>
      <c r="K571" s="272"/>
      <c r="L571" s="269"/>
      <c r="M571" s="273"/>
      <c r="N571" s="269"/>
      <c r="O571" s="269"/>
      <c r="P571" s="274"/>
      <c r="Q571" s="270"/>
      <c r="R571" s="61"/>
      <c r="S571" s="269"/>
      <c r="T571" s="269"/>
      <c r="U571" s="269"/>
      <c r="V571" s="269"/>
      <c r="W571" s="269"/>
      <c r="X571" s="271"/>
      <c r="Y571" s="272"/>
      <c r="Z571" s="272"/>
      <c r="AA571" s="272"/>
      <c r="AB571" s="272"/>
    </row>
    <row r="572" spans="1:28" ht="15" customHeight="1" x14ac:dyDescent="0.25">
      <c r="A572" s="269"/>
      <c r="B572" s="269"/>
      <c r="C572" s="269"/>
      <c r="D572" s="270"/>
      <c r="E572" s="269"/>
      <c r="F572" s="269"/>
      <c r="G572" s="269"/>
      <c r="H572" s="269"/>
      <c r="I572" s="269"/>
      <c r="J572" s="271"/>
      <c r="K572" s="272"/>
      <c r="L572" s="269"/>
      <c r="M572" s="273"/>
      <c r="N572" s="269"/>
      <c r="O572" s="269"/>
      <c r="P572" s="274"/>
      <c r="Q572" s="270"/>
      <c r="R572" s="61"/>
      <c r="S572" s="269"/>
      <c r="T572" s="269"/>
      <c r="U572" s="269"/>
      <c r="V572" s="269"/>
      <c r="W572" s="269"/>
      <c r="X572" s="271"/>
      <c r="Y572" s="272"/>
      <c r="Z572" s="272"/>
      <c r="AA572" s="272"/>
      <c r="AB572" s="272"/>
    </row>
    <row r="573" spans="1:28" ht="15" customHeight="1" x14ac:dyDescent="0.25">
      <c r="A573" s="269"/>
      <c r="B573" s="269"/>
      <c r="C573" s="269"/>
      <c r="D573" s="270"/>
      <c r="E573" s="269"/>
      <c r="F573" s="269"/>
      <c r="G573" s="269"/>
      <c r="H573" s="269"/>
      <c r="I573" s="269"/>
      <c r="J573" s="271"/>
      <c r="K573" s="272"/>
      <c r="L573" s="269"/>
      <c r="M573" s="273"/>
      <c r="N573" s="269"/>
      <c r="O573" s="269"/>
      <c r="P573" s="274"/>
      <c r="Q573" s="270"/>
      <c r="R573" s="61"/>
      <c r="S573" s="269"/>
      <c r="T573" s="269"/>
      <c r="U573" s="269"/>
      <c r="V573" s="269"/>
      <c r="W573" s="269"/>
      <c r="X573" s="271"/>
      <c r="Y573" s="272"/>
      <c r="Z573" s="272"/>
      <c r="AA573" s="272"/>
      <c r="AB573" s="272"/>
    </row>
    <row r="574" spans="1:28" ht="15" customHeight="1" x14ac:dyDescent="0.25">
      <c r="A574" s="269"/>
      <c r="B574" s="269"/>
      <c r="C574" s="269"/>
      <c r="D574" s="270"/>
      <c r="E574" s="269"/>
      <c r="F574" s="269"/>
      <c r="G574" s="269"/>
      <c r="H574" s="269"/>
      <c r="I574" s="269"/>
      <c r="J574" s="271"/>
      <c r="K574" s="272"/>
      <c r="L574" s="269"/>
      <c r="M574" s="273"/>
      <c r="N574" s="269"/>
      <c r="O574" s="269"/>
      <c r="P574" s="274"/>
      <c r="Q574" s="270"/>
      <c r="R574" s="61"/>
      <c r="S574" s="269"/>
      <c r="T574" s="269"/>
      <c r="U574" s="269"/>
      <c r="V574" s="269"/>
      <c r="W574" s="269"/>
      <c r="X574" s="271"/>
      <c r="Y574" s="272"/>
      <c r="Z574" s="272"/>
      <c r="AA574" s="272"/>
      <c r="AB574" s="272"/>
    </row>
    <row r="575" spans="1:28" ht="15" customHeight="1" x14ac:dyDescent="0.25">
      <c r="A575" s="269"/>
      <c r="B575" s="269"/>
      <c r="C575" s="269"/>
      <c r="D575" s="270"/>
      <c r="E575" s="269"/>
      <c r="F575" s="269"/>
      <c r="G575" s="269"/>
      <c r="H575" s="269"/>
      <c r="I575" s="269"/>
      <c r="J575" s="271"/>
      <c r="K575" s="272"/>
      <c r="L575" s="269"/>
      <c r="M575" s="273"/>
      <c r="N575" s="269"/>
      <c r="O575" s="269"/>
      <c r="P575" s="274"/>
      <c r="Q575" s="270"/>
      <c r="R575" s="61"/>
      <c r="S575" s="269"/>
      <c r="T575" s="269"/>
      <c r="U575" s="269"/>
      <c r="V575" s="269"/>
      <c r="W575" s="269"/>
      <c r="X575" s="271"/>
      <c r="Y575" s="272"/>
      <c r="Z575" s="272"/>
      <c r="AA575" s="272"/>
      <c r="AB575" s="272"/>
    </row>
    <row r="576" spans="1:28" ht="15" customHeight="1" x14ac:dyDescent="0.25">
      <c r="A576" s="269"/>
      <c r="B576" s="269"/>
      <c r="C576" s="269"/>
      <c r="D576" s="270"/>
      <c r="E576" s="269"/>
      <c r="F576" s="269"/>
      <c r="G576" s="269"/>
      <c r="H576" s="269"/>
      <c r="I576" s="269"/>
      <c r="J576" s="271"/>
      <c r="K576" s="272"/>
      <c r="L576" s="269"/>
      <c r="M576" s="273"/>
      <c r="N576" s="269"/>
      <c r="O576" s="269"/>
      <c r="P576" s="274"/>
      <c r="Q576" s="270"/>
      <c r="R576" s="61"/>
      <c r="S576" s="269"/>
      <c r="T576" s="269"/>
      <c r="U576" s="269"/>
      <c r="V576" s="269"/>
      <c r="W576" s="269"/>
      <c r="X576" s="271"/>
      <c r="Y576" s="272"/>
      <c r="Z576" s="272"/>
      <c r="AA576" s="272"/>
      <c r="AB576" s="272"/>
    </row>
    <row r="577" spans="1:28" ht="15" customHeight="1" x14ac:dyDescent="0.25">
      <c r="A577" s="269"/>
      <c r="B577" s="269"/>
      <c r="C577" s="269"/>
      <c r="D577" s="270"/>
      <c r="E577" s="269"/>
      <c r="F577" s="269"/>
      <c r="G577" s="269"/>
      <c r="H577" s="269"/>
      <c r="I577" s="269"/>
      <c r="J577" s="271"/>
      <c r="K577" s="272"/>
      <c r="L577" s="269"/>
      <c r="M577" s="273"/>
      <c r="N577" s="269"/>
      <c r="O577" s="269"/>
      <c r="P577" s="274"/>
      <c r="Q577" s="270"/>
      <c r="R577" s="61"/>
      <c r="S577" s="269"/>
      <c r="T577" s="269"/>
      <c r="U577" s="269"/>
      <c r="V577" s="269"/>
      <c r="W577" s="269"/>
      <c r="X577" s="271"/>
      <c r="Y577" s="272"/>
      <c r="Z577" s="272"/>
      <c r="AA577" s="272"/>
      <c r="AB577" s="272"/>
    </row>
    <row r="578" spans="1:28" ht="15" customHeight="1" x14ac:dyDescent="0.25">
      <c r="A578" s="269"/>
      <c r="B578" s="269"/>
      <c r="C578" s="269"/>
      <c r="D578" s="270"/>
      <c r="E578" s="269"/>
      <c r="F578" s="269"/>
      <c r="G578" s="269"/>
      <c r="H578" s="269"/>
      <c r="I578" s="269"/>
      <c r="J578" s="271"/>
      <c r="K578" s="272"/>
      <c r="L578" s="269"/>
      <c r="M578" s="273"/>
      <c r="N578" s="269"/>
      <c r="O578" s="269"/>
      <c r="P578" s="274"/>
      <c r="Q578" s="270"/>
      <c r="R578" s="61"/>
      <c r="S578" s="269"/>
      <c r="T578" s="269"/>
      <c r="U578" s="269"/>
      <c r="V578" s="269"/>
      <c r="W578" s="269"/>
      <c r="X578" s="271"/>
      <c r="Y578" s="272"/>
      <c r="Z578" s="272"/>
      <c r="AA578" s="272"/>
      <c r="AB578" s="272"/>
    </row>
    <row r="579" spans="1:28" ht="15" customHeight="1" x14ac:dyDescent="0.25">
      <c r="A579" s="269"/>
      <c r="B579" s="269"/>
      <c r="C579" s="269"/>
      <c r="D579" s="270"/>
      <c r="E579" s="269"/>
      <c r="F579" s="269"/>
      <c r="G579" s="269"/>
      <c r="H579" s="269"/>
      <c r="I579" s="269"/>
      <c r="J579" s="271"/>
      <c r="K579" s="272"/>
      <c r="L579" s="269"/>
      <c r="M579" s="273"/>
      <c r="N579" s="269"/>
      <c r="O579" s="269"/>
      <c r="P579" s="274"/>
      <c r="Q579" s="270"/>
      <c r="R579" s="61"/>
      <c r="S579" s="269"/>
      <c r="T579" s="269"/>
      <c r="U579" s="269"/>
      <c r="V579" s="269"/>
      <c r="W579" s="269"/>
      <c r="X579" s="271"/>
      <c r="Y579" s="272"/>
      <c r="Z579" s="272"/>
      <c r="AA579" s="272"/>
      <c r="AB579" s="272"/>
    </row>
    <row r="580" spans="1:28" ht="15" customHeight="1" x14ac:dyDescent="0.25">
      <c r="A580" s="269"/>
      <c r="B580" s="269"/>
      <c r="C580" s="269"/>
      <c r="D580" s="270"/>
      <c r="E580" s="269"/>
      <c r="F580" s="269"/>
      <c r="G580" s="269"/>
      <c r="H580" s="269"/>
      <c r="I580" s="269"/>
      <c r="J580" s="271"/>
      <c r="K580" s="272"/>
      <c r="L580" s="269"/>
      <c r="M580" s="273"/>
      <c r="N580" s="269"/>
      <c r="O580" s="269"/>
      <c r="P580" s="274"/>
      <c r="Q580" s="270"/>
      <c r="R580" s="61"/>
      <c r="S580" s="269"/>
      <c r="T580" s="269"/>
      <c r="U580" s="269"/>
      <c r="V580" s="269"/>
      <c r="W580" s="269"/>
      <c r="X580" s="271"/>
      <c r="Y580" s="272"/>
      <c r="Z580" s="272"/>
      <c r="AA580" s="272"/>
      <c r="AB580" s="272"/>
    </row>
    <row r="581" spans="1:28" ht="15" customHeight="1" x14ac:dyDescent="0.25">
      <c r="A581" s="269"/>
      <c r="B581" s="269"/>
      <c r="C581" s="269"/>
      <c r="D581" s="270"/>
      <c r="E581" s="269"/>
      <c r="F581" s="269"/>
      <c r="G581" s="269"/>
      <c r="H581" s="269"/>
      <c r="I581" s="269"/>
      <c r="J581" s="271"/>
      <c r="K581" s="272"/>
      <c r="L581" s="269"/>
      <c r="M581" s="273"/>
      <c r="N581" s="269"/>
      <c r="O581" s="269"/>
      <c r="P581" s="274"/>
      <c r="Q581" s="270"/>
      <c r="R581" s="61"/>
      <c r="S581" s="269"/>
      <c r="T581" s="269"/>
      <c r="U581" s="269"/>
      <c r="V581" s="269"/>
      <c r="W581" s="269"/>
      <c r="X581" s="271"/>
      <c r="Y581" s="272"/>
      <c r="Z581" s="272"/>
      <c r="AA581" s="272"/>
      <c r="AB581" s="272"/>
    </row>
    <row r="582" spans="1:28" ht="15" customHeight="1" x14ac:dyDescent="0.25">
      <c r="A582" s="269"/>
      <c r="B582" s="269"/>
      <c r="C582" s="269"/>
      <c r="D582" s="270"/>
      <c r="E582" s="269"/>
      <c r="F582" s="269"/>
      <c r="G582" s="269"/>
      <c r="H582" s="269"/>
      <c r="I582" s="269"/>
      <c r="J582" s="271"/>
      <c r="K582" s="272"/>
      <c r="L582" s="269"/>
      <c r="M582" s="273"/>
      <c r="N582" s="269"/>
      <c r="O582" s="269"/>
      <c r="P582" s="274"/>
      <c r="Q582" s="270"/>
      <c r="R582" s="61"/>
      <c r="S582" s="269"/>
      <c r="T582" s="269"/>
      <c r="U582" s="269"/>
      <c r="V582" s="269"/>
      <c r="W582" s="269"/>
      <c r="X582" s="271"/>
      <c r="Y582" s="272"/>
      <c r="Z582" s="272"/>
      <c r="AA582" s="272"/>
      <c r="AB582" s="272"/>
    </row>
    <row r="583" spans="1:28" ht="15" customHeight="1" x14ac:dyDescent="0.25">
      <c r="A583" s="269"/>
      <c r="B583" s="269"/>
      <c r="C583" s="269"/>
      <c r="D583" s="270"/>
      <c r="E583" s="269"/>
      <c r="F583" s="269"/>
      <c r="G583" s="269"/>
      <c r="H583" s="269"/>
      <c r="I583" s="269"/>
      <c r="J583" s="271"/>
      <c r="K583" s="272"/>
      <c r="L583" s="269"/>
      <c r="M583" s="273"/>
      <c r="N583" s="269"/>
      <c r="O583" s="269"/>
      <c r="P583" s="274"/>
      <c r="Q583" s="270"/>
      <c r="R583" s="61"/>
      <c r="S583" s="269"/>
      <c r="T583" s="269"/>
      <c r="U583" s="269"/>
      <c r="V583" s="269"/>
      <c r="W583" s="269"/>
      <c r="X583" s="271"/>
      <c r="Y583" s="272"/>
      <c r="Z583" s="272"/>
      <c r="AA583" s="272"/>
      <c r="AB583" s="272"/>
    </row>
    <row r="584" spans="1:28" ht="15" customHeight="1" x14ac:dyDescent="0.25">
      <c r="A584" s="269"/>
      <c r="B584" s="269"/>
      <c r="C584" s="269"/>
      <c r="D584" s="270"/>
      <c r="E584" s="269"/>
      <c r="F584" s="269"/>
      <c r="G584" s="269"/>
      <c r="H584" s="269"/>
      <c r="I584" s="269"/>
      <c r="J584" s="271"/>
      <c r="K584" s="272"/>
      <c r="L584" s="269"/>
      <c r="M584" s="273"/>
      <c r="N584" s="269"/>
      <c r="O584" s="269"/>
      <c r="P584" s="274"/>
      <c r="Q584" s="270"/>
      <c r="R584" s="61"/>
      <c r="S584" s="269"/>
      <c r="T584" s="269"/>
      <c r="U584" s="269"/>
      <c r="V584" s="269"/>
      <c r="W584" s="269"/>
      <c r="X584" s="271"/>
      <c r="Y584" s="272"/>
      <c r="Z584" s="272"/>
      <c r="AA584" s="272"/>
      <c r="AB584" s="272"/>
    </row>
    <row r="585" spans="1:28" ht="15" customHeight="1" x14ac:dyDescent="0.25">
      <c r="A585" s="269"/>
      <c r="B585" s="269"/>
      <c r="C585" s="269"/>
      <c r="D585" s="270"/>
      <c r="E585" s="269"/>
      <c r="F585" s="269"/>
      <c r="G585" s="269"/>
      <c r="H585" s="269"/>
      <c r="I585" s="269"/>
      <c r="J585" s="271"/>
      <c r="K585" s="272"/>
      <c r="L585" s="269"/>
      <c r="M585" s="273"/>
      <c r="N585" s="269"/>
      <c r="O585" s="269"/>
      <c r="P585" s="274"/>
      <c r="Q585" s="270"/>
      <c r="R585" s="61"/>
      <c r="S585" s="269"/>
      <c r="T585" s="269"/>
      <c r="U585" s="269"/>
      <c r="V585" s="269"/>
      <c r="W585" s="269"/>
      <c r="X585" s="271"/>
      <c r="Y585" s="272"/>
      <c r="Z585" s="272"/>
      <c r="AA585" s="272"/>
      <c r="AB585" s="272"/>
    </row>
    <row r="586" spans="1:28" ht="15" customHeight="1" x14ac:dyDescent="0.25">
      <c r="A586" s="269"/>
      <c r="B586" s="269"/>
      <c r="C586" s="269"/>
      <c r="D586" s="270"/>
      <c r="E586" s="269"/>
      <c r="F586" s="269"/>
      <c r="G586" s="269"/>
      <c r="H586" s="269"/>
      <c r="I586" s="269"/>
      <c r="J586" s="271"/>
      <c r="K586" s="272"/>
      <c r="L586" s="269"/>
      <c r="M586" s="273"/>
      <c r="N586" s="269"/>
      <c r="O586" s="269"/>
      <c r="P586" s="274"/>
      <c r="Q586" s="270"/>
      <c r="R586" s="61"/>
      <c r="S586" s="269"/>
      <c r="T586" s="269"/>
      <c r="U586" s="269"/>
      <c r="V586" s="269"/>
      <c r="W586" s="269"/>
      <c r="X586" s="271"/>
      <c r="Y586" s="272"/>
      <c r="Z586" s="272"/>
      <c r="AA586" s="272"/>
      <c r="AB586" s="272"/>
    </row>
    <row r="587" spans="1:28" ht="15" customHeight="1" x14ac:dyDescent="0.25">
      <c r="A587" s="269"/>
      <c r="B587" s="269"/>
      <c r="C587" s="269"/>
      <c r="D587" s="270"/>
      <c r="E587" s="269"/>
      <c r="F587" s="269"/>
      <c r="G587" s="269"/>
      <c r="H587" s="269"/>
      <c r="I587" s="269"/>
      <c r="J587" s="271"/>
      <c r="K587" s="272"/>
      <c r="L587" s="269"/>
      <c r="M587" s="273"/>
      <c r="N587" s="269"/>
      <c r="O587" s="269"/>
      <c r="P587" s="274"/>
      <c r="Q587" s="270"/>
      <c r="R587" s="61"/>
      <c r="S587" s="269"/>
      <c r="T587" s="269"/>
      <c r="U587" s="269"/>
      <c r="V587" s="269"/>
      <c r="W587" s="269"/>
      <c r="X587" s="271"/>
      <c r="Y587" s="272"/>
      <c r="Z587" s="272"/>
      <c r="AA587" s="272"/>
      <c r="AB587" s="272"/>
    </row>
    <row r="588" spans="1:28" ht="15" customHeight="1" x14ac:dyDescent="0.25">
      <c r="A588" s="269"/>
      <c r="B588" s="269"/>
      <c r="C588" s="269"/>
      <c r="D588" s="270"/>
      <c r="E588" s="269"/>
      <c r="F588" s="269"/>
      <c r="G588" s="269"/>
      <c r="H588" s="269"/>
      <c r="I588" s="269"/>
      <c r="J588" s="271"/>
      <c r="K588" s="272"/>
      <c r="L588" s="269"/>
      <c r="M588" s="273"/>
      <c r="N588" s="269"/>
      <c r="O588" s="269"/>
      <c r="P588" s="274"/>
      <c r="Q588" s="270"/>
      <c r="R588" s="61"/>
      <c r="S588" s="269"/>
      <c r="T588" s="269"/>
      <c r="U588" s="269"/>
      <c r="V588" s="269"/>
      <c r="W588" s="269"/>
      <c r="X588" s="271"/>
      <c r="Y588" s="272"/>
      <c r="Z588" s="272"/>
      <c r="AA588" s="272"/>
      <c r="AB588" s="272"/>
    </row>
    <row r="589" spans="1:28" ht="15" customHeight="1" x14ac:dyDescent="0.25">
      <c r="A589" s="269"/>
      <c r="B589" s="269"/>
      <c r="C589" s="269"/>
      <c r="D589" s="270"/>
      <c r="E589" s="269"/>
      <c r="F589" s="269"/>
      <c r="G589" s="269"/>
      <c r="H589" s="269"/>
      <c r="I589" s="269"/>
      <c r="J589" s="271"/>
      <c r="K589" s="272"/>
      <c r="L589" s="269"/>
      <c r="M589" s="273"/>
      <c r="N589" s="269"/>
      <c r="O589" s="269"/>
      <c r="P589" s="274"/>
      <c r="Q589" s="270"/>
      <c r="R589" s="61"/>
      <c r="S589" s="269"/>
      <c r="T589" s="269"/>
      <c r="U589" s="269"/>
      <c r="V589" s="269"/>
      <c r="W589" s="269"/>
      <c r="X589" s="271"/>
      <c r="Y589" s="272"/>
      <c r="Z589" s="272"/>
      <c r="AA589" s="272"/>
      <c r="AB589" s="272"/>
    </row>
    <row r="590" spans="1:28" ht="15" customHeight="1" x14ac:dyDescent="0.25">
      <c r="A590" s="269"/>
      <c r="B590" s="269"/>
      <c r="C590" s="269"/>
      <c r="D590" s="270"/>
      <c r="E590" s="269"/>
      <c r="F590" s="269"/>
      <c r="G590" s="269"/>
      <c r="H590" s="269"/>
      <c r="I590" s="269"/>
      <c r="J590" s="271"/>
      <c r="K590" s="272"/>
      <c r="L590" s="269"/>
      <c r="M590" s="273"/>
      <c r="N590" s="269"/>
      <c r="O590" s="269"/>
      <c r="P590" s="274"/>
      <c r="Q590" s="270"/>
      <c r="R590" s="61"/>
      <c r="S590" s="269"/>
      <c r="T590" s="269"/>
      <c r="U590" s="269"/>
      <c r="V590" s="269"/>
      <c r="W590" s="269"/>
      <c r="X590" s="271"/>
      <c r="Y590" s="272"/>
      <c r="Z590" s="272"/>
      <c r="AA590" s="272"/>
      <c r="AB590" s="272"/>
    </row>
    <row r="591" spans="1:28" ht="15" customHeight="1" x14ac:dyDescent="0.25">
      <c r="A591" s="269"/>
      <c r="B591" s="269"/>
      <c r="C591" s="269"/>
      <c r="D591" s="270"/>
      <c r="E591" s="269"/>
      <c r="F591" s="269"/>
      <c r="G591" s="269"/>
      <c r="H591" s="269"/>
      <c r="I591" s="269"/>
      <c r="J591" s="271"/>
      <c r="K591" s="272"/>
      <c r="L591" s="269"/>
      <c r="M591" s="273"/>
      <c r="N591" s="269"/>
      <c r="O591" s="269"/>
      <c r="P591" s="274"/>
      <c r="Q591" s="270"/>
      <c r="R591" s="61"/>
      <c r="S591" s="269"/>
      <c r="T591" s="269"/>
      <c r="U591" s="269"/>
      <c r="V591" s="269"/>
      <c r="W591" s="269"/>
      <c r="X591" s="271"/>
      <c r="Y591" s="272"/>
      <c r="Z591" s="272"/>
      <c r="AA591" s="272"/>
      <c r="AB591" s="272"/>
    </row>
    <row r="592" spans="1:28" ht="15" customHeight="1" x14ac:dyDescent="0.25">
      <c r="A592" s="269"/>
      <c r="B592" s="269"/>
      <c r="C592" s="269"/>
      <c r="D592" s="270"/>
      <c r="E592" s="269"/>
      <c r="F592" s="269"/>
      <c r="G592" s="269"/>
      <c r="H592" s="269"/>
      <c r="I592" s="269"/>
      <c r="J592" s="271"/>
      <c r="K592" s="272"/>
      <c r="L592" s="269"/>
      <c r="M592" s="273"/>
      <c r="N592" s="269"/>
      <c r="O592" s="269"/>
      <c r="P592" s="274"/>
      <c r="Q592" s="270"/>
      <c r="R592" s="61"/>
      <c r="S592" s="269"/>
      <c r="T592" s="269"/>
      <c r="U592" s="269"/>
      <c r="V592" s="269"/>
      <c r="W592" s="269"/>
      <c r="X592" s="271"/>
      <c r="Y592" s="272"/>
      <c r="Z592" s="272"/>
      <c r="AA592" s="272"/>
      <c r="AB592" s="272"/>
    </row>
    <row r="593" spans="1:28" ht="15" customHeight="1" x14ac:dyDescent="0.25">
      <c r="A593" s="269"/>
      <c r="B593" s="269"/>
      <c r="C593" s="269"/>
      <c r="D593" s="270"/>
      <c r="E593" s="269"/>
      <c r="F593" s="269"/>
      <c r="G593" s="269"/>
      <c r="H593" s="269"/>
      <c r="I593" s="269"/>
      <c r="J593" s="271"/>
      <c r="K593" s="272"/>
      <c r="L593" s="269"/>
      <c r="M593" s="273"/>
      <c r="N593" s="269"/>
      <c r="O593" s="269"/>
      <c r="P593" s="274"/>
      <c r="Q593" s="270"/>
      <c r="R593" s="61"/>
      <c r="S593" s="269"/>
      <c r="T593" s="269"/>
      <c r="U593" s="269"/>
      <c r="V593" s="269"/>
      <c r="W593" s="269"/>
      <c r="X593" s="271"/>
      <c r="Y593" s="272"/>
      <c r="Z593" s="272"/>
      <c r="AA593" s="272"/>
      <c r="AB593" s="272"/>
    </row>
    <row r="594" spans="1:28" ht="15" customHeight="1" x14ac:dyDescent="0.25">
      <c r="A594" s="269"/>
      <c r="B594" s="269"/>
      <c r="C594" s="269"/>
      <c r="D594" s="270"/>
      <c r="E594" s="269"/>
      <c r="F594" s="269"/>
      <c r="G594" s="269"/>
      <c r="H594" s="269"/>
      <c r="I594" s="269"/>
      <c r="J594" s="271"/>
      <c r="K594" s="272"/>
      <c r="L594" s="269"/>
      <c r="M594" s="273"/>
      <c r="N594" s="269"/>
      <c r="O594" s="269"/>
      <c r="P594" s="274"/>
      <c r="Q594" s="270"/>
      <c r="R594" s="61"/>
      <c r="S594" s="269"/>
      <c r="T594" s="269"/>
      <c r="U594" s="269"/>
      <c r="V594" s="269"/>
      <c r="W594" s="269"/>
      <c r="X594" s="271"/>
      <c r="Y594" s="272"/>
      <c r="Z594" s="272"/>
      <c r="AA594" s="272"/>
      <c r="AB594" s="272"/>
    </row>
    <row r="595" spans="1:28" ht="15" customHeight="1" x14ac:dyDescent="0.25">
      <c r="A595" s="269"/>
      <c r="B595" s="269"/>
      <c r="C595" s="269"/>
      <c r="D595" s="270"/>
      <c r="E595" s="269"/>
      <c r="F595" s="269"/>
      <c r="G595" s="269"/>
      <c r="H595" s="269"/>
      <c r="I595" s="269"/>
      <c r="J595" s="271"/>
      <c r="K595" s="272"/>
      <c r="L595" s="269"/>
      <c r="M595" s="273"/>
      <c r="N595" s="269"/>
      <c r="O595" s="269"/>
      <c r="P595" s="274"/>
      <c r="Q595" s="270"/>
      <c r="R595" s="61"/>
      <c r="S595" s="269"/>
      <c r="T595" s="269"/>
      <c r="U595" s="269"/>
      <c r="V595" s="269"/>
      <c r="W595" s="269"/>
      <c r="X595" s="271"/>
      <c r="Y595" s="272"/>
      <c r="Z595" s="272"/>
      <c r="AA595" s="272"/>
      <c r="AB595" s="272"/>
    </row>
    <row r="596" spans="1:28" ht="15" customHeight="1" x14ac:dyDescent="0.25">
      <c r="A596" s="269"/>
      <c r="B596" s="269"/>
      <c r="C596" s="269"/>
      <c r="D596" s="270"/>
      <c r="E596" s="269"/>
      <c r="F596" s="269"/>
      <c r="G596" s="269"/>
      <c r="H596" s="269"/>
      <c r="I596" s="269"/>
      <c r="J596" s="271"/>
      <c r="K596" s="272"/>
      <c r="L596" s="269"/>
      <c r="M596" s="273"/>
      <c r="N596" s="269"/>
      <c r="O596" s="269"/>
      <c r="P596" s="274"/>
      <c r="Q596" s="270"/>
      <c r="R596" s="61"/>
      <c r="S596" s="269"/>
      <c r="T596" s="269"/>
      <c r="U596" s="269"/>
      <c r="V596" s="269"/>
      <c r="W596" s="269"/>
      <c r="X596" s="271"/>
      <c r="Y596" s="272"/>
      <c r="Z596" s="272"/>
      <c r="AA596" s="272"/>
      <c r="AB596" s="272"/>
    </row>
    <row r="597" spans="1:28" ht="15" customHeight="1" x14ac:dyDescent="0.25">
      <c r="A597" s="269"/>
      <c r="B597" s="269"/>
      <c r="C597" s="269"/>
      <c r="D597" s="270"/>
      <c r="E597" s="269"/>
      <c r="F597" s="269"/>
      <c r="G597" s="269"/>
      <c r="H597" s="269"/>
      <c r="I597" s="269"/>
      <c r="J597" s="271"/>
      <c r="K597" s="272"/>
      <c r="L597" s="269"/>
      <c r="M597" s="273"/>
      <c r="N597" s="269"/>
      <c r="O597" s="269"/>
      <c r="P597" s="274"/>
      <c r="Q597" s="270"/>
      <c r="R597" s="61"/>
      <c r="S597" s="269"/>
      <c r="T597" s="269"/>
      <c r="U597" s="269"/>
      <c r="V597" s="269"/>
      <c r="W597" s="269"/>
      <c r="X597" s="271"/>
      <c r="Y597" s="272"/>
      <c r="Z597" s="272"/>
      <c r="AA597" s="272"/>
      <c r="AB597" s="272"/>
    </row>
    <row r="598" spans="1:28" ht="15" customHeight="1" x14ac:dyDescent="0.25">
      <c r="A598" s="269"/>
      <c r="B598" s="269"/>
      <c r="C598" s="269"/>
      <c r="D598" s="270"/>
      <c r="E598" s="269"/>
      <c r="F598" s="269"/>
      <c r="G598" s="269"/>
      <c r="H598" s="269"/>
      <c r="I598" s="269"/>
      <c r="J598" s="271"/>
      <c r="K598" s="272"/>
      <c r="L598" s="269"/>
      <c r="M598" s="273"/>
      <c r="N598" s="269"/>
      <c r="O598" s="269"/>
      <c r="P598" s="274"/>
      <c r="Q598" s="270"/>
      <c r="R598" s="61"/>
      <c r="S598" s="269"/>
      <c r="T598" s="269"/>
      <c r="U598" s="269"/>
      <c r="V598" s="269"/>
      <c r="W598" s="269"/>
      <c r="X598" s="271"/>
      <c r="Y598" s="272"/>
      <c r="Z598" s="272"/>
      <c r="AA598" s="272"/>
      <c r="AB598" s="272"/>
    </row>
    <row r="599" spans="1:28" ht="15" customHeight="1" x14ac:dyDescent="0.25">
      <c r="A599" s="269"/>
      <c r="B599" s="269"/>
      <c r="C599" s="269"/>
      <c r="D599" s="270"/>
      <c r="E599" s="269"/>
      <c r="F599" s="269"/>
      <c r="G599" s="269"/>
      <c r="H599" s="269"/>
      <c r="I599" s="269"/>
      <c r="J599" s="271"/>
      <c r="K599" s="272"/>
      <c r="L599" s="269"/>
      <c r="M599" s="273"/>
      <c r="N599" s="269"/>
      <c r="O599" s="269"/>
      <c r="P599" s="274"/>
      <c r="Q599" s="270"/>
      <c r="R599" s="61"/>
      <c r="S599" s="269"/>
      <c r="T599" s="269"/>
      <c r="U599" s="269"/>
      <c r="V599" s="269"/>
      <c r="W599" s="269"/>
      <c r="X599" s="271"/>
      <c r="Y599" s="272"/>
      <c r="Z599" s="272"/>
      <c r="AA599" s="272"/>
      <c r="AB599" s="272"/>
    </row>
    <row r="600" spans="1:28" ht="15" customHeight="1" x14ac:dyDescent="0.25">
      <c r="A600" s="269"/>
      <c r="B600" s="269"/>
      <c r="C600" s="269"/>
      <c r="D600" s="270"/>
      <c r="E600" s="269"/>
      <c r="F600" s="269"/>
      <c r="G600" s="269"/>
      <c r="H600" s="269"/>
      <c r="I600" s="269"/>
      <c r="J600" s="271"/>
      <c r="K600" s="272"/>
      <c r="L600" s="269"/>
      <c r="M600" s="273"/>
      <c r="N600" s="269"/>
      <c r="O600" s="269"/>
      <c r="P600" s="274"/>
      <c r="Q600" s="270"/>
      <c r="R600" s="61"/>
      <c r="S600" s="269"/>
      <c r="T600" s="269"/>
      <c r="U600" s="269"/>
      <c r="V600" s="269"/>
      <c r="W600" s="269"/>
      <c r="X600" s="271"/>
      <c r="Y600" s="272"/>
      <c r="Z600" s="272"/>
      <c r="AA600" s="272"/>
      <c r="AB600" s="272"/>
    </row>
    <row r="601" spans="1:28" ht="15" customHeight="1" x14ac:dyDescent="0.25">
      <c r="A601" s="269"/>
      <c r="B601" s="269"/>
      <c r="C601" s="269"/>
      <c r="D601" s="270"/>
      <c r="E601" s="269"/>
      <c r="F601" s="269"/>
      <c r="G601" s="269"/>
      <c r="H601" s="269"/>
      <c r="I601" s="269"/>
      <c r="J601" s="271"/>
      <c r="K601" s="272"/>
      <c r="L601" s="269"/>
      <c r="M601" s="273"/>
      <c r="N601" s="269"/>
      <c r="O601" s="269"/>
      <c r="P601" s="274"/>
      <c r="Q601" s="270"/>
      <c r="R601" s="61"/>
      <c r="S601" s="269"/>
      <c r="T601" s="269"/>
      <c r="U601" s="269"/>
      <c r="V601" s="269"/>
      <c r="W601" s="269"/>
      <c r="X601" s="271"/>
      <c r="Y601" s="272"/>
      <c r="Z601" s="272"/>
      <c r="AA601" s="272"/>
      <c r="AB601" s="272"/>
    </row>
    <row r="602" spans="1:28" ht="15" customHeight="1" x14ac:dyDescent="0.25">
      <c r="A602" s="269"/>
      <c r="B602" s="269"/>
      <c r="C602" s="269"/>
      <c r="D602" s="270"/>
      <c r="E602" s="269"/>
      <c r="F602" s="269"/>
      <c r="G602" s="269"/>
      <c r="H602" s="269"/>
      <c r="I602" s="269"/>
      <c r="J602" s="271"/>
      <c r="K602" s="272"/>
      <c r="L602" s="269"/>
      <c r="M602" s="273"/>
      <c r="N602" s="269"/>
      <c r="O602" s="269"/>
      <c r="P602" s="274"/>
      <c r="Q602" s="270"/>
      <c r="R602" s="61"/>
      <c r="S602" s="269"/>
      <c r="T602" s="269"/>
      <c r="U602" s="269"/>
      <c r="V602" s="269"/>
      <c r="W602" s="269"/>
      <c r="X602" s="271"/>
      <c r="Y602" s="272"/>
      <c r="Z602" s="272"/>
      <c r="AA602" s="272"/>
      <c r="AB602" s="272"/>
    </row>
    <row r="603" spans="1:28" ht="15" customHeight="1" x14ac:dyDescent="0.25">
      <c r="A603" s="269"/>
      <c r="B603" s="269"/>
      <c r="C603" s="269"/>
      <c r="D603" s="270"/>
      <c r="E603" s="269"/>
      <c r="F603" s="269"/>
      <c r="G603" s="269"/>
      <c r="H603" s="269"/>
      <c r="I603" s="269"/>
      <c r="J603" s="271"/>
      <c r="K603" s="272"/>
      <c r="L603" s="269"/>
      <c r="M603" s="273"/>
      <c r="N603" s="269"/>
      <c r="O603" s="269"/>
      <c r="P603" s="274"/>
      <c r="Q603" s="270"/>
      <c r="R603" s="61"/>
      <c r="S603" s="269"/>
      <c r="T603" s="269"/>
      <c r="U603" s="269"/>
      <c r="V603" s="269"/>
      <c r="W603" s="269"/>
      <c r="X603" s="271"/>
      <c r="Y603" s="272"/>
      <c r="Z603" s="272"/>
      <c r="AA603" s="272"/>
      <c r="AB603" s="272"/>
    </row>
    <row r="604" spans="1:28" ht="15" customHeight="1" x14ac:dyDescent="0.25">
      <c r="A604" s="269"/>
      <c r="B604" s="269"/>
      <c r="C604" s="269"/>
      <c r="D604" s="270"/>
      <c r="E604" s="269"/>
      <c r="F604" s="269"/>
      <c r="G604" s="269"/>
      <c r="H604" s="269"/>
      <c r="I604" s="269"/>
      <c r="J604" s="271"/>
      <c r="K604" s="272"/>
      <c r="L604" s="269"/>
      <c r="M604" s="273"/>
      <c r="N604" s="269"/>
      <c r="O604" s="269"/>
      <c r="P604" s="274"/>
      <c r="Q604" s="270"/>
      <c r="R604" s="61"/>
      <c r="S604" s="269"/>
      <c r="T604" s="269"/>
      <c r="U604" s="269"/>
      <c r="V604" s="269"/>
      <c r="W604" s="269"/>
      <c r="X604" s="271"/>
      <c r="Y604" s="272"/>
      <c r="Z604" s="272"/>
      <c r="AA604" s="272"/>
      <c r="AB604" s="272"/>
    </row>
    <row r="605" spans="1:28" ht="15" customHeight="1" x14ac:dyDescent="0.25">
      <c r="A605" s="269"/>
      <c r="B605" s="269"/>
      <c r="C605" s="269"/>
      <c r="D605" s="270"/>
      <c r="E605" s="269"/>
      <c r="F605" s="269"/>
      <c r="G605" s="269"/>
      <c r="H605" s="269"/>
      <c r="I605" s="269"/>
      <c r="J605" s="271"/>
      <c r="K605" s="272"/>
      <c r="L605" s="269"/>
      <c r="M605" s="273"/>
      <c r="N605" s="269"/>
      <c r="O605" s="269"/>
      <c r="P605" s="274"/>
      <c r="Q605" s="270"/>
      <c r="R605" s="61"/>
      <c r="S605" s="269"/>
      <c r="T605" s="269"/>
      <c r="U605" s="269"/>
      <c r="V605" s="269"/>
      <c r="W605" s="269"/>
      <c r="X605" s="271"/>
      <c r="Y605" s="272"/>
      <c r="Z605" s="272"/>
      <c r="AA605" s="272"/>
      <c r="AB605" s="272"/>
    </row>
    <row r="606" spans="1:28" ht="15" customHeight="1" x14ac:dyDescent="0.25">
      <c r="A606" s="269"/>
      <c r="B606" s="269"/>
      <c r="C606" s="269"/>
      <c r="D606" s="270"/>
      <c r="E606" s="269"/>
      <c r="F606" s="269"/>
      <c r="G606" s="269"/>
      <c r="H606" s="269"/>
      <c r="I606" s="269"/>
      <c r="J606" s="271"/>
      <c r="K606" s="272"/>
      <c r="L606" s="269"/>
      <c r="M606" s="273"/>
      <c r="N606" s="269"/>
      <c r="O606" s="269"/>
      <c r="P606" s="274"/>
      <c r="Q606" s="270"/>
      <c r="R606" s="61"/>
      <c r="S606" s="269"/>
      <c r="T606" s="269"/>
      <c r="U606" s="269"/>
      <c r="V606" s="269"/>
      <c r="W606" s="269"/>
      <c r="X606" s="271"/>
      <c r="Y606" s="272"/>
      <c r="Z606" s="272"/>
      <c r="AA606" s="272"/>
      <c r="AB606" s="272"/>
    </row>
    <row r="607" spans="1:28" ht="15" customHeight="1" x14ac:dyDescent="0.25">
      <c r="A607" s="269"/>
      <c r="B607" s="269"/>
      <c r="C607" s="269"/>
      <c r="D607" s="270"/>
      <c r="E607" s="269"/>
      <c r="F607" s="269"/>
      <c r="G607" s="269"/>
      <c r="H607" s="269"/>
      <c r="I607" s="269"/>
      <c r="J607" s="271"/>
      <c r="K607" s="272"/>
      <c r="L607" s="269"/>
      <c r="M607" s="273"/>
      <c r="N607" s="269"/>
      <c r="O607" s="269"/>
      <c r="P607" s="274"/>
      <c r="Q607" s="270"/>
      <c r="R607" s="61"/>
      <c r="S607" s="269"/>
      <c r="T607" s="269"/>
      <c r="U607" s="269"/>
      <c r="V607" s="269"/>
      <c r="W607" s="269"/>
      <c r="X607" s="271"/>
      <c r="Y607" s="272"/>
      <c r="Z607" s="272"/>
      <c r="AA607" s="272"/>
      <c r="AB607" s="272"/>
    </row>
    <row r="608" spans="1:28" ht="15" customHeight="1" x14ac:dyDescent="0.25">
      <c r="A608" s="269"/>
      <c r="B608" s="269"/>
      <c r="C608" s="269"/>
      <c r="D608" s="270"/>
      <c r="E608" s="269"/>
      <c r="F608" s="269"/>
      <c r="G608" s="269"/>
      <c r="H608" s="269"/>
      <c r="I608" s="269"/>
      <c r="J608" s="271"/>
      <c r="K608" s="272"/>
      <c r="L608" s="269"/>
      <c r="M608" s="273"/>
      <c r="N608" s="269"/>
      <c r="O608" s="269"/>
      <c r="P608" s="274"/>
      <c r="Q608" s="270"/>
      <c r="R608" s="61"/>
      <c r="S608" s="269"/>
      <c r="T608" s="269"/>
      <c r="U608" s="269"/>
      <c r="V608" s="269"/>
      <c r="W608" s="269"/>
      <c r="X608" s="271"/>
      <c r="Y608" s="272"/>
      <c r="Z608" s="272"/>
      <c r="AA608" s="272"/>
      <c r="AB608" s="272"/>
    </row>
    <row r="609" spans="1:28" ht="15" customHeight="1" x14ac:dyDescent="0.25">
      <c r="A609" s="269"/>
      <c r="B609" s="269"/>
      <c r="C609" s="269"/>
      <c r="D609" s="270"/>
      <c r="E609" s="269"/>
      <c r="F609" s="269"/>
      <c r="G609" s="269"/>
      <c r="H609" s="269"/>
      <c r="I609" s="269"/>
      <c r="J609" s="271"/>
      <c r="K609" s="272"/>
      <c r="L609" s="269"/>
      <c r="M609" s="273"/>
      <c r="N609" s="269"/>
      <c r="O609" s="269"/>
      <c r="P609" s="274"/>
      <c r="Q609" s="270"/>
      <c r="R609" s="61"/>
      <c r="S609" s="269"/>
      <c r="T609" s="269"/>
      <c r="U609" s="269"/>
      <c r="V609" s="269"/>
      <c r="W609" s="269"/>
      <c r="X609" s="271"/>
      <c r="Y609" s="272"/>
      <c r="Z609" s="272"/>
      <c r="AA609" s="272"/>
      <c r="AB609" s="272"/>
    </row>
    <row r="610" spans="1:28" ht="15" customHeight="1" x14ac:dyDescent="0.25">
      <c r="A610" s="269"/>
      <c r="B610" s="269"/>
      <c r="C610" s="269"/>
      <c r="D610" s="270"/>
      <c r="E610" s="269"/>
      <c r="F610" s="269"/>
      <c r="G610" s="269"/>
      <c r="H610" s="269"/>
      <c r="I610" s="269"/>
      <c r="J610" s="271"/>
      <c r="K610" s="272"/>
      <c r="L610" s="269"/>
      <c r="M610" s="273"/>
      <c r="N610" s="269"/>
      <c r="O610" s="269"/>
      <c r="P610" s="274"/>
      <c r="Q610" s="270"/>
      <c r="R610" s="61"/>
      <c r="S610" s="269"/>
      <c r="T610" s="269"/>
      <c r="U610" s="269"/>
      <c r="V610" s="269"/>
      <c r="W610" s="269"/>
      <c r="X610" s="271"/>
      <c r="Y610" s="272"/>
      <c r="Z610" s="272"/>
      <c r="AA610" s="272"/>
      <c r="AB610" s="272"/>
    </row>
    <row r="611" spans="1:28" ht="15" customHeight="1" x14ac:dyDescent="0.25">
      <c r="A611" s="269"/>
      <c r="B611" s="269"/>
      <c r="C611" s="269"/>
      <c r="D611" s="270"/>
      <c r="E611" s="269"/>
      <c r="F611" s="269"/>
      <c r="G611" s="269"/>
      <c r="H611" s="269"/>
      <c r="I611" s="269"/>
      <c r="J611" s="271"/>
      <c r="K611" s="272"/>
      <c r="L611" s="269"/>
      <c r="M611" s="273"/>
      <c r="N611" s="269"/>
      <c r="O611" s="269"/>
      <c r="P611" s="274"/>
      <c r="Q611" s="270"/>
      <c r="R611" s="61"/>
      <c r="S611" s="269"/>
      <c r="T611" s="269"/>
      <c r="U611" s="269"/>
      <c r="V611" s="269"/>
      <c r="W611" s="269"/>
      <c r="X611" s="271"/>
      <c r="Y611" s="272"/>
      <c r="Z611" s="272"/>
      <c r="AA611" s="272"/>
      <c r="AB611" s="272"/>
    </row>
    <row r="612" spans="1:28" ht="15" customHeight="1" x14ac:dyDescent="0.25">
      <c r="A612" s="269"/>
      <c r="B612" s="269"/>
      <c r="C612" s="269"/>
      <c r="D612" s="270"/>
      <c r="E612" s="269"/>
      <c r="F612" s="269"/>
      <c r="G612" s="269"/>
      <c r="H612" s="269"/>
      <c r="I612" s="269"/>
      <c r="J612" s="271"/>
      <c r="K612" s="272"/>
      <c r="L612" s="269"/>
      <c r="M612" s="273"/>
      <c r="N612" s="269"/>
      <c r="O612" s="269"/>
      <c r="P612" s="274"/>
      <c r="Q612" s="270"/>
      <c r="R612" s="61"/>
      <c r="S612" s="269"/>
      <c r="T612" s="269"/>
      <c r="U612" s="269"/>
      <c r="V612" s="269"/>
      <c r="W612" s="269"/>
      <c r="X612" s="271"/>
      <c r="Y612" s="272"/>
      <c r="Z612" s="272"/>
      <c r="AA612" s="272"/>
      <c r="AB612" s="272"/>
    </row>
    <row r="613" spans="1:28" ht="15" customHeight="1" x14ac:dyDescent="0.25">
      <c r="A613" s="269"/>
      <c r="B613" s="269"/>
      <c r="C613" s="269"/>
      <c r="D613" s="270"/>
      <c r="E613" s="269"/>
      <c r="F613" s="269"/>
      <c r="G613" s="269"/>
      <c r="H613" s="269"/>
      <c r="I613" s="269"/>
      <c r="J613" s="271"/>
      <c r="K613" s="272"/>
      <c r="L613" s="269"/>
      <c r="M613" s="273"/>
      <c r="N613" s="269"/>
      <c r="O613" s="269"/>
      <c r="P613" s="274"/>
      <c r="Q613" s="270"/>
      <c r="R613" s="61"/>
      <c r="S613" s="269"/>
      <c r="T613" s="269"/>
      <c r="U613" s="269"/>
      <c r="V613" s="269"/>
      <c r="W613" s="269"/>
      <c r="X613" s="271"/>
      <c r="Y613" s="272"/>
      <c r="Z613" s="272"/>
      <c r="AA613" s="272"/>
      <c r="AB613" s="272"/>
    </row>
    <row r="614" spans="1:28" ht="15" customHeight="1" x14ac:dyDescent="0.25">
      <c r="A614" s="269"/>
      <c r="B614" s="269"/>
      <c r="C614" s="269"/>
      <c r="D614" s="270"/>
      <c r="E614" s="269"/>
      <c r="F614" s="269"/>
      <c r="G614" s="269"/>
      <c r="H614" s="269"/>
      <c r="I614" s="269"/>
      <c r="J614" s="271"/>
      <c r="K614" s="272"/>
      <c r="L614" s="269"/>
      <c r="M614" s="273"/>
      <c r="N614" s="269"/>
      <c r="O614" s="269"/>
      <c r="P614" s="274"/>
      <c r="Q614" s="270"/>
      <c r="R614" s="61"/>
      <c r="S614" s="269"/>
      <c r="T614" s="269"/>
      <c r="U614" s="269"/>
      <c r="V614" s="269"/>
      <c r="W614" s="269"/>
      <c r="X614" s="271"/>
      <c r="Y614" s="272"/>
      <c r="Z614" s="272"/>
      <c r="AA614" s="272"/>
      <c r="AB614" s="272"/>
    </row>
    <row r="615" spans="1:28" ht="15" customHeight="1" x14ac:dyDescent="0.25">
      <c r="A615" s="269"/>
      <c r="B615" s="269"/>
      <c r="C615" s="269"/>
      <c r="D615" s="270"/>
      <c r="E615" s="269"/>
      <c r="F615" s="269"/>
      <c r="G615" s="269"/>
      <c r="H615" s="269"/>
      <c r="I615" s="269"/>
      <c r="J615" s="271"/>
      <c r="K615" s="272"/>
      <c r="L615" s="269"/>
      <c r="M615" s="273"/>
      <c r="N615" s="269"/>
      <c r="O615" s="269"/>
      <c r="P615" s="274"/>
      <c r="Q615" s="270"/>
      <c r="R615" s="61"/>
      <c r="S615" s="269"/>
      <c r="T615" s="269"/>
      <c r="U615" s="269"/>
      <c r="V615" s="269"/>
      <c r="W615" s="269"/>
      <c r="X615" s="271"/>
      <c r="Y615" s="272"/>
      <c r="Z615" s="272"/>
      <c r="AA615" s="272"/>
      <c r="AB615" s="272"/>
    </row>
    <row r="616" spans="1:28" ht="15" customHeight="1" x14ac:dyDescent="0.25">
      <c r="A616" s="269"/>
      <c r="B616" s="269"/>
      <c r="C616" s="269"/>
      <c r="D616" s="270"/>
      <c r="E616" s="269"/>
      <c r="F616" s="269"/>
      <c r="G616" s="269"/>
      <c r="H616" s="269"/>
      <c r="I616" s="269"/>
      <c r="J616" s="271"/>
      <c r="K616" s="272"/>
      <c r="L616" s="269"/>
      <c r="M616" s="273"/>
      <c r="N616" s="269"/>
      <c r="O616" s="269"/>
      <c r="P616" s="274"/>
      <c r="Q616" s="270"/>
      <c r="R616" s="61"/>
      <c r="S616" s="269"/>
      <c r="T616" s="269"/>
      <c r="U616" s="269"/>
      <c r="V616" s="269"/>
      <c r="W616" s="269"/>
      <c r="X616" s="271"/>
      <c r="Y616" s="272"/>
      <c r="Z616" s="272"/>
      <c r="AA616" s="272"/>
      <c r="AB616" s="272"/>
    </row>
    <row r="617" spans="1:28" ht="15" customHeight="1" x14ac:dyDescent="0.25">
      <c r="A617" s="269"/>
      <c r="B617" s="269"/>
      <c r="C617" s="269"/>
      <c r="D617" s="270"/>
      <c r="E617" s="269"/>
      <c r="F617" s="269"/>
      <c r="G617" s="269"/>
      <c r="H617" s="269"/>
      <c r="I617" s="269"/>
      <c r="J617" s="271"/>
      <c r="K617" s="272"/>
      <c r="L617" s="269"/>
      <c r="M617" s="273"/>
      <c r="N617" s="269"/>
      <c r="O617" s="269"/>
      <c r="P617" s="274"/>
      <c r="Q617" s="270"/>
      <c r="R617" s="61"/>
      <c r="S617" s="269"/>
      <c r="T617" s="269"/>
      <c r="U617" s="269"/>
      <c r="V617" s="269"/>
      <c r="W617" s="269"/>
      <c r="X617" s="271"/>
      <c r="Y617" s="272"/>
      <c r="Z617" s="272"/>
      <c r="AA617" s="272"/>
      <c r="AB617" s="272"/>
    </row>
    <row r="618" spans="1:28" ht="15" customHeight="1" x14ac:dyDescent="0.25">
      <c r="A618" s="269"/>
      <c r="B618" s="269"/>
      <c r="C618" s="269"/>
      <c r="D618" s="270"/>
      <c r="E618" s="269"/>
      <c r="F618" s="269"/>
      <c r="G618" s="269"/>
      <c r="H618" s="269"/>
      <c r="I618" s="269"/>
      <c r="J618" s="271"/>
      <c r="K618" s="272"/>
      <c r="L618" s="269"/>
      <c r="M618" s="273"/>
      <c r="N618" s="269"/>
      <c r="O618" s="269"/>
      <c r="P618" s="274"/>
      <c r="Q618" s="270"/>
      <c r="R618" s="61"/>
      <c r="S618" s="269"/>
      <c r="T618" s="269"/>
      <c r="U618" s="269"/>
      <c r="V618" s="269"/>
      <c r="W618" s="269"/>
      <c r="X618" s="271"/>
      <c r="Y618" s="272"/>
      <c r="Z618" s="272"/>
      <c r="AA618" s="272"/>
      <c r="AB618" s="272"/>
    </row>
    <row r="619" spans="1:28" ht="15" customHeight="1" x14ac:dyDescent="0.25">
      <c r="A619" s="269"/>
      <c r="B619" s="269"/>
      <c r="C619" s="269"/>
      <c r="D619" s="270"/>
      <c r="E619" s="269"/>
      <c r="F619" s="269"/>
      <c r="G619" s="269"/>
      <c r="H619" s="269"/>
      <c r="I619" s="269"/>
      <c r="J619" s="271"/>
      <c r="K619" s="272"/>
      <c r="L619" s="269"/>
      <c r="M619" s="273"/>
      <c r="N619" s="269"/>
      <c r="O619" s="269"/>
      <c r="P619" s="274"/>
      <c r="Q619" s="270"/>
      <c r="R619" s="61"/>
      <c r="S619" s="269"/>
      <c r="T619" s="269"/>
      <c r="U619" s="269"/>
      <c r="V619" s="269"/>
      <c r="W619" s="269"/>
      <c r="X619" s="271"/>
      <c r="Y619" s="272"/>
      <c r="Z619" s="272"/>
      <c r="AA619" s="272"/>
      <c r="AB619" s="272"/>
    </row>
    <row r="620" spans="1:28" ht="15" customHeight="1" x14ac:dyDescent="0.25">
      <c r="A620" s="269"/>
      <c r="B620" s="269"/>
      <c r="C620" s="269"/>
      <c r="D620" s="270"/>
      <c r="E620" s="269"/>
      <c r="F620" s="269"/>
      <c r="G620" s="269"/>
      <c r="H620" s="269"/>
      <c r="I620" s="269"/>
      <c r="J620" s="271"/>
      <c r="K620" s="272"/>
      <c r="L620" s="269"/>
      <c r="M620" s="273"/>
      <c r="N620" s="269"/>
      <c r="O620" s="269"/>
      <c r="P620" s="274"/>
      <c r="Q620" s="270"/>
      <c r="R620" s="61"/>
      <c r="S620" s="269"/>
      <c r="T620" s="269"/>
      <c r="U620" s="269"/>
      <c r="V620" s="269"/>
      <c r="W620" s="269"/>
      <c r="X620" s="271"/>
      <c r="Y620" s="272"/>
      <c r="Z620" s="272"/>
      <c r="AA620" s="272"/>
      <c r="AB620" s="272"/>
    </row>
    <row r="621" spans="1:28" ht="15" customHeight="1" x14ac:dyDescent="0.25">
      <c r="A621" s="269"/>
      <c r="B621" s="269"/>
      <c r="C621" s="269"/>
      <c r="D621" s="270"/>
      <c r="E621" s="269"/>
      <c r="F621" s="269"/>
      <c r="G621" s="269"/>
      <c r="H621" s="269"/>
      <c r="I621" s="269"/>
      <c r="J621" s="271"/>
      <c r="K621" s="272"/>
      <c r="L621" s="269"/>
      <c r="M621" s="273"/>
      <c r="N621" s="269"/>
      <c r="O621" s="269"/>
      <c r="P621" s="274"/>
      <c r="Q621" s="270"/>
      <c r="R621" s="61"/>
      <c r="S621" s="269"/>
      <c r="T621" s="269"/>
      <c r="U621" s="269"/>
      <c r="V621" s="269"/>
      <c r="W621" s="269"/>
      <c r="X621" s="271"/>
      <c r="Y621" s="272"/>
      <c r="Z621" s="272"/>
      <c r="AA621" s="272"/>
      <c r="AB621" s="272"/>
    </row>
    <row r="622" spans="1:28" ht="15" customHeight="1" x14ac:dyDescent="0.25">
      <c r="A622" s="269"/>
      <c r="B622" s="269"/>
      <c r="C622" s="269"/>
      <c r="D622" s="270"/>
      <c r="E622" s="269"/>
      <c r="F622" s="269"/>
      <c r="G622" s="269"/>
      <c r="H622" s="269"/>
      <c r="I622" s="269"/>
      <c r="J622" s="271"/>
      <c r="K622" s="272"/>
      <c r="L622" s="269"/>
      <c r="M622" s="273"/>
      <c r="N622" s="269"/>
      <c r="O622" s="269"/>
      <c r="P622" s="274"/>
      <c r="Q622" s="270"/>
      <c r="R622" s="61"/>
      <c r="S622" s="269"/>
      <c r="T622" s="269"/>
      <c r="U622" s="269"/>
      <c r="V622" s="269"/>
      <c r="W622" s="269"/>
      <c r="X622" s="271"/>
      <c r="Y622" s="272"/>
      <c r="Z622" s="272"/>
      <c r="AA622" s="272"/>
      <c r="AB622" s="272"/>
    </row>
    <row r="623" spans="1:28" ht="15" customHeight="1" x14ac:dyDescent="0.25">
      <c r="A623" s="269"/>
      <c r="B623" s="269"/>
      <c r="C623" s="269"/>
      <c r="D623" s="270"/>
      <c r="E623" s="269"/>
      <c r="F623" s="269"/>
      <c r="G623" s="269"/>
      <c r="H623" s="269"/>
      <c r="I623" s="269"/>
      <c r="J623" s="271"/>
      <c r="K623" s="272"/>
      <c r="L623" s="269"/>
      <c r="M623" s="273"/>
      <c r="N623" s="269"/>
      <c r="O623" s="269"/>
      <c r="P623" s="274"/>
      <c r="Q623" s="270"/>
      <c r="R623" s="61"/>
      <c r="S623" s="269"/>
      <c r="T623" s="269"/>
      <c r="U623" s="269"/>
      <c r="V623" s="269"/>
      <c r="W623" s="269"/>
      <c r="X623" s="271"/>
      <c r="Y623" s="272"/>
      <c r="Z623" s="272"/>
      <c r="AA623" s="272"/>
      <c r="AB623" s="272"/>
    </row>
    <row r="624" spans="1:28" ht="15" customHeight="1" x14ac:dyDescent="0.25">
      <c r="A624" s="269"/>
      <c r="B624" s="269"/>
      <c r="C624" s="269"/>
      <c r="D624" s="270"/>
      <c r="E624" s="269"/>
      <c r="F624" s="269"/>
      <c r="G624" s="269"/>
      <c r="H624" s="269"/>
      <c r="I624" s="269"/>
      <c r="J624" s="271"/>
      <c r="K624" s="272"/>
      <c r="L624" s="269"/>
      <c r="M624" s="273"/>
      <c r="N624" s="269"/>
      <c r="O624" s="269"/>
      <c r="P624" s="274"/>
      <c r="Q624" s="270"/>
      <c r="R624" s="61"/>
      <c r="S624" s="269"/>
      <c r="T624" s="269"/>
      <c r="U624" s="269"/>
      <c r="V624" s="269"/>
      <c r="W624" s="269"/>
      <c r="X624" s="271"/>
      <c r="Y624" s="272"/>
      <c r="Z624" s="272"/>
      <c r="AA624" s="272"/>
      <c r="AB624" s="272"/>
    </row>
    <row r="625" spans="1:28" ht="15" customHeight="1" x14ac:dyDescent="0.25">
      <c r="A625" s="269"/>
      <c r="B625" s="269"/>
      <c r="C625" s="269"/>
      <c r="D625" s="270"/>
      <c r="E625" s="269"/>
      <c r="F625" s="269"/>
      <c r="G625" s="269"/>
      <c r="H625" s="269"/>
      <c r="I625" s="269"/>
      <c r="J625" s="271"/>
      <c r="K625" s="272"/>
      <c r="L625" s="269"/>
      <c r="M625" s="273"/>
      <c r="N625" s="269"/>
      <c r="O625" s="269"/>
      <c r="P625" s="274"/>
      <c r="Q625" s="270"/>
      <c r="R625" s="61"/>
      <c r="S625" s="269"/>
      <c r="T625" s="269"/>
      <c r="U625" s="269"/>
      <c r="V625" s="269"/>
      <c r="W625" s="269"/>
      <c r="X625" s="271"/>
      <c r="Y625" s="272"/>
      <c r="Z625" s="272"/>
      <c r="AA625" s="272"/>
      <c r="AB625" s="272"/>
    </row>
    <row r="626" spans="1:28" ht="15" customHeight="1" x14ac:dyDescent="0.25">
      <c r="A626" s="269"/>
      <c r="B626" s="269"/>
      <c r="C626" s="269"/>
      <c r="D626" s="270"/>
      <c r="E626" s="269"/>
      <c r="F626" s="269"/>
      <c r="G626" s="269"/>
      <c r="H626" s="269"/>
      <c r="I626" s="269"/>
      <c r="J626" s="271"/>
      <c r="K626" s="272"/>
      <c r="L626" s="269"/>
      <c r="M626" s="273"/>
      <c r="N626" s="269"/>
      <c r="O626" s="269"/>
      <c r="P626" s="274"/>
      <c r="Q626" s="270"/>
      <c r="R626" s="61"/>
      <c r="S626" s="269"/>
      <c r="T626" s="269"/>
      <c r="U626" s="269"/>
      <c r="V626" s="269"/>
      <c r="W626" s="269"/>
      <c r="X626" s="271"/>
      <c r="Y626" s="272"/>
      <c r="Z626" s="272"/>
      <c r="AA626" s="272"/>
      <c r="AB626" s="272"/>
    </row>
    <row r="627" spans="1:28" ht="15" customHeight="1" x14ac:dyDescent="0.25">
      <c r="A627" s="269"/>
      <c r="B627" s="269"/>
      <c r="C627" s="269"/>
      <c r="D627" s="270"/>
      <c r="E627" s="269"/>
      <c r="F627" s="269"/>
      <c r="G627" s="269"/>
      <c r="H627" s="269"/>
      <c r="I627" s="269"/>
      <c r="J627" s="271"/>
      <c r="K627" s="272"/>
      <c r="L627" s="269"/>
      <c r="M627" s="273"/>
      <c r="N627" s="269"/>
      <c r="O627" s="269"/>
      <c r="P627" s="274"/>
      <c r="Q627" s="270"/>
      <c r="R627" s="61"/>
      <c r="S627" s="269"/>
      <c r="T627" s="269"/>
      <c r="U627" s="269"/>
      <c r="V627" s="269"/>
      <c r="W627" s="269"/>
      <c r="X627" s="271"/>
      <c r="Y627" s="272"/>
      <c r="Z627" s="272"/>
      <c r="AA627" s="272"/>
      <c r="AB627" s="272"/>
    </row>
    <row r="628" spans="1:28" ht="15" customHeight="1" x14ac:dyDescent="0.25">
      <c r="A628" s="269"/>
      <c r="B628" s="269"/>
      <c r="C628" s="269"/>
      <c r="D628" s="270"/>
      <c r="E628" s="269"/>
      <c r="F628" s="269"/>
      <c r="G628" s="269"/>
      <c r="H628" s="269"/>
      <c r="I628" s="269"/>
      <c r="J628" s="271"/>
      <c r="K628" s="272"/>
      <c r="L628" s="269"/>
      <c r="M628" s="273"/>
      <c r="N628" s="269"/>
      <c r="O628" s="269"/>
      <c r="P628" s="274"/>
      <c r="Q628" s="270"/>
      <c r="R628" s="61"/>
      <c r="S628" s="269"/>
      <c r="T628" s="269"/>
      <c r="U628" s="269"/>
      <c r="V628" s="269"/>
      <c r="W628" s="269"/>
      <c r="X628" s="271"/>
      <c r="Y628" s="272"/>
      <c r="Z628" s="272"/>
      <c r="AA628" s="272"/>
      <c r="AB628" s="272"/>
    </row>
    <row r="629" spans="1:28" ht="15" customHeight="1" x14ac:dyDescent="0.25">
      <c r="A629" s="269"/>
      <c r="B629" s="269"/>
      <c r="C629" s="269"/>
      <c r="D629" s="270"/>
      <c r="E629" s="269"/>
      <c r="F629" s="269"/>
      <c r="G629" s="269"/>
      <c r="H629" s="269"/>
      <c r="I629" s="269"/>
      <c r="J629" s="271"/>
      <c r="K629" s="272"/>
      <c r="L629" s="269"/>
      <c r="M629" s="273"/>
      <c r="N629" s="269"/>
      <c r="O629" s="269"/>
      <c r="P629" s="274"/>
      <c r="Q629" s="270"/>
      <c r="R629" s="61"/>
      <c r="S629" s="269"/>
      <c r="T629" s="269"/>
      <c r="U629" s="269"/>
      <c r="V629" s="269"/>
      <c r="W629" s="269"/>
      <c r="X629" s="271"/>
      <c r="Y629" s="272"/>
      <c r="Z629" s="272"/>
      <c r="AA629" s="272"/>
      <c r="AB629" s="272"/>
    </row>
    <row r="630" spans="1:28" ht="15" customHeight="1" x14ac:dyDescent="0.25">
      <c r="A630" s="269"/>
      <c r="B630" s="269"/>
      <c r="C630" s="269"/>
      <c r="D630" s="270"/>
      <c r="E630" s="269"/>
      <c r="F630" s="269"/>
      <c r="G630" s="269"/>
      <c r="H630" s="269"/>
      <c r="I630" s="269"/>
      <c r="J630" s="271"/>
      <c r="K630" s="272"/>
      <c r="L630" s="269"/>
      <c r="M630" s="273"/>
      <c r="N630" s="269"/>
      <c r="O630" s="269"/>
      <c r="P630" s="274"/>
      <c r="Q630" s="270"/>
      <c r="R630" s="61"/>
      <c r="S630" s="269"/>
      <c r="T630" s="269"/>
      <c r="U630" s="269"/>
      <c r="V630" s="269"/>
      <c r="W630" s="269"/>
      <c r="X630" s="271"/>
      <c r="Y630" s="272"/>
      <c r="Z630" s="272"/>
      <c r="AA630" s="272"/>
      <c r="AB630" s="272"/>
    </row>
    <row r="631" spans="1:28" ht="15" customHeight="1" x14ac:dyDescent="0.25">
      <c r="A631" s="269"/>
      <c r="B631" s="269"/>
      <c r="C631" s="269"/>
      <c r="D631" s="270"/>
      <c r="E631" s="269"/>
      <c r="F631" s="269"/>
      <c r="G631" s="269"/>
      <c r="H631" s="269"/>
      <c r="I631" s="269"/>
      <c r="J631" s="271"/>
      <c r="K631" s="272"/>
      <c r="L631" s="269"/>
      <c r="M631" s="273"/>
      <c r="N631" s="269"/>
      <c r="O631" s="269"/>
      <c r="P631" s="274"/>
      <c r="Q631" s="270"/>
      <c r="R631" s="61"/>
      <c r="S631" s="269"/>
      <c r="T631" s="269"/>
      <c r="U631" s="269"/>
      <c r="V631" s="269"/>
      <c r="W631" s="269"/>
      <c r="X631" s="271"/>
      <c r="Y631" s="272"/>
      <c r="Z631" s="272"/>
      <c r="AA631" s="272"/>
      <c r="AB631" s="272"/>
    </row>
    <row r="632" spans="1:28" ht="15" customHeight="1" x14ac:dyDescent="0.25">
      <c r="A632" s="269"/>
      <c r="B632" s="269"/>
      <c r="C632" s="269"/>
      <c r="D632" s="270"/>
      <c r="E632" s="269"/>
      <c r="F632" s="269"/>
      <c r="G632" s="269"/>
      <c r="H632" s="269"/>
      <c r="I632" s="269"/>
      <c r="J632" s="271"/>
      <c r="K632" s="272"/>
      <c r="L632" s="269"/>
      <c r="M632" s="273"/>
      <c r="N632" s="269"/>
      <c r="O632" s="269"/>
      <c r="P632" s="274"/>
      <c r="Q632" s="270"/>
      <c r="R632" s="61"/>
      <c r="S632" s="269"/>
      <c r="T632" s="269"/>
      <c r="U632" s="269"/>
      <c r="V632" s="269"/>
      <c r="W632" s="269"/>
      <c r="X632" s="271"/>
      <c r="Y632" s="272"/>
      <c r="Z632" s="272"/>
      <c r="AA632" s="272"/>
      <c r="AB632" s="272"/>
    </row>
    <row r="633" spans="1:28" ht="15" customHeight="1" x14ac:dyDescent="0.25">
      <c r="A633" s="269"/>
      <c r="B633" s="269"/>
      <c r="C633" s="269"/>
      <c r="D633" s="270"/>
      <c r="E633" s="269"/>
      <c r="F633" s="269"/>
      <c r="G633" s="269"/>
      <c r="H633" s="269"/>
      <c r="I633" s="269"/>
      <c r="J633" s="271"/>
      <c r="K633" s="272"/>
      <c r="L633" s="269"/>
      <c r="M633" s="273"/>
      <c r="N633" s="269"/>
      <c r="O633" s="269"/>
      <c r="P633" s="274"/>
      <c r="Q633" s="270"/>
      <c r="R633" s="61"/>
      <c r="S633" s="269"/>
      <c r="T633" s="269"/>
      <c r="U633" s="269"/>
      <c r="V633" s="269"/>
      <c r="W633" s="269"/>
      <c r="X633" s="271"/>
      <c r="Y633" s="272"/>
      <c r="Z633" s="272"/>
      <c r="AA633" s="272"/>
      <c r="AB633" s="272"/>
    </row>
    <row r="634" spans="1:28" ht="15" customHeight="1" x14ac:dyDescent="0.25">
      <c r="A634" s="269"/>
      <c r="B634" s="269"/>
      <c r="C634" s="269"/>
      <c r="D634" s="270"/>
      <c r="E634" s="269"/>
      <c r="F634" s="269"/>
      <c r="G634" s="269"/>
      <c r="H634" s="269"/>
      <c r="I634" s="269"/>
      <c r="J634" s="271"/>
      <c r="K634" s="272"/>
      <c r="L634" s="269"/>
      <c r="M634" s="273"/>
      <c r="N634" s="269"/>
      <c r="O634" s="269"/>
      <c r="P634" s="274"/>
      <c r="Q634" s="270"/>
      <c r="R634" s="61"/>
      <c r="S634" s="269"/>
      <c r="T634" s="269"/>
      <c r="U634" s="269"/>
      <c r="V634" s="269"/>
      <c r="W634" s="269"/>
      <c r="X634" s="271"/>
      <c r="Y634" s="272"/>
      <c r="Z634" s="272"/>
      <c r="AA634" s="272"/>
      <c r="AB634" s="272"/>
    </row>
    <row r="635" spans="1:28" ht="15" customHeight="1" x14ac:dyDescent="0.25">
      <c r="A635" s="269"/>
      <c r="B635" s="269"/>
      <c r="C635" s="269"/>
      <c r="D635" s="270"/>
      <c r="E635" s="269"/>
      <c r="F635" s="269"/>
      <c r="G635" s="269"/>
      <c r="H635" s="269"/>
      <c r="I635" s="269"/>
      <c r="J635" s="271"/>
      <c r="K635" s="272"/>
      <c r="L635" s="269"/>
      <c r="M635" s="273"/>
      <c r="N635" s="269"/>
      <c r="O635" s="269"/>
      <c r="P635" s="274"/>
      <c r="Q635" s="270"/>
      <c r="R635" s="61"/>
      <c r="S635" s="269"/>
      <c r="T635" s="269"/>
      <c r="U635" s="269"/>
      <c r="V635" s="269"/>
      <c r="W635" s="269"/>
      <c r="X635" s="271"/>
      <c r="Y635" s="272"/>
      <c r="Z635" s="272"/>
      <c r="AA635" s="272"/>
      <c r="AB635" s="272"/>
    </row>
    <row r="636" spans="1:28" ht="15" customHeight="1" x14ac:dyDescent="0.25">
      <c r="A636" s="269"/>
      <c r="B636" s="269"/>
      <c r="C636" s="269"/>
      <c r="D636" s="270"/>
      <c r="E636" s="269"/>
      <c r="F636" s="269"/>
      <c r="G636" s="269"/>
      <c r="H636" s="269"/>
      <c r="I636" s="269"/>
      <c r="J636" s="271"/>
      <c r="K636" s="272"/>
      <c r="L636" s="269"/>
      <c r="M636" s="273"/>
      <c r="N636" s="269"/>
      <c r="O636" s="269"/>
      <c r="P636" s="274"/>
      <c r="Q636" s="270"/>
      <c r="R636" s="61"/>
      <c r="S636" s="269"/>
      <c r="T636" s="269"/>
      <c r="U636" s="269"/>
      <c r="V636" s="269"/>
      <c r="W636" s="269"/>
      <c r="X636" s="271"/>
      <c r="Y636" s="272"/>
      <c r="Z636" s="272"/>
      <c r="AA636" s="272"/>
      <c r="AB636" s="272"/>
    </row>
    <row r="637" spans="1:28" ht="15" customHeight="1" x14ac:dyDescent="0.25">
      <c r="A637" s="269"/>
      <c r="B637" s="269"/>
      <c r="C637" s="269"/>
      <c r="D637" s="270"/>
      <c r="E637" s="269"/>
      <c r="F637" s="269"/>
      <c r="G637" s="269"/>
      <c r="H637" s="269"/>
      <c r="I637" s="269"/>
      <c r="J637" s="271"/>
      <c r="K637" s="272"/>
      <c r="L637" s="269"/>
      <c r="M637" s="273"/>
      <c r="N637" s="269"/>
      <c r="O637" s="269"/>
      <c r="P637" s="274"/>
      <c r="Q637" s="270"/>
      <c r="R637" s="61"/>
      <c r="S637" s="269"/>
      <c r="T637" s="269"/>
      <c r="U637" s="269"/>
      <c r="V637" s="269"/>
      <c r="W637" s="269"/>
      <c r="X637" s="271"/>
      <c r="Y637" s="272"/>
      <c r="Z637" s="272"/>
      <c r="AA637" s="272"/>
      <c r="AB637" s="272"/>
    </row>
    <row r="638" spans="1:28" ht="15" customHeight="1" x14ac:dyDescent="0.25">
      <c r="A638" s="269"/>
      <c r="B638" s="269"/>
      <c r="C638" s="269"/>
      <c r="D638" s="270"/>
      <c r="E638" s="269"/>
      <c r="F638" s="269"/>
      <c r="G638" s="269"/>
      <c r="H638" s="269"/>
      <c r="I638" s="269"/>
      <c r="J638" s="271"/>
      <c r="K638" s="272"/>
      <c r="L638" s="269"/>
      <c r="M638" s="273"/>
      <c r="N638" s="269"/>
      <c r="O638" s="269"/>
      <c r="P638" s="274"/>
      <c r="Q638" s="270"/>
      <c r="R638" s="61"/>
      <c r="S638" s="269"/>
      <c r="T638" s="269"/>
      <c r="U638" s="269"/>
      <c r="V638" s="269"/>
      <c r="W638" s="269"/>
      <c r="X638" s="271"/>
      <c r="Y638" s="272"/>
      <c r="Z638" s="272"/>
      <c r="AA638" s="272"/>
      <c r="AB638" s="272"/>
    </row>
    <row r="639" spans="1:28" ht="15" customHeight="1" x14ac:dyDescent="0.25">
      <c r="A639" s="269"/>
      <c r="B639" s="269"/>
      <c r="C639" s="269"/>
      <c r="D639" s="270"/>
      <c r="E639" s="269"/>
      <c r="F639" s="269"/>
      <c r="G639" s="269"/>
      <c r="H639" s="269"/>
      <c r="I639" s="269"/>
      <c r="J639" s="271"/>
      <c r="K639" s="272"/>
      <c r="L639" s="269"/>
      <c r="M639" s="273"/>
      <c r="N639" s="269"/>
      <c r="O639" s="269"/>
      <c r="P639" s="274"/>
      <c r="Q639" s="270"/>
      <c r="R639" s="61"/>
      <c r="S639" s="269"/>
      <c r="T639" s="269"/>
      <c r="U639" s="269"/>
      <c r="V639" s="269"/>
      <c r="W639" s="269"/>
      <c r="X639" s="271"/>
      <c r="Y639" s="272"/>
      <c r="Z639" s="272"/>
      <c r="AA639" s="272"/>
      <c r="AB639" s="272"/>
    </row>
    <row r="640" spans="1:28" ht="15" customHeight="1" x14ac:dyDescent="0.25">
      <c r="A640" s="269"/>
      <c r="B640" s="269"/>
      <c r="C640" s="269"/>
      <c r="D640" s="270"/>
      <c r="E640" s="269"/>
      <c r="F640" s="269"/>
      <c r="G640" s="269"/>
      <c r="H640" s="269"/>
      <c r="I640" s="269"/>
      <c r="J640" s="271"/>
      <c r="K640" s="272"/>
      <c r="L640" s="269"/>
      <c r="M640" s="273"/>
      <c r="N640" s="269"/>
      <c r="O640" s="269"/>
      <c r="P640" s="274"/>
      <c r="Q640" s="270"/>
      <c r="R640" s="61"/>
      <c r="S640" s="269"/>
      <c r="T640" s="269"/>
      <c r="U640" s="269"/>
      <c r="V640" s="269"/>
      <c r="W640" s="269"/>
      <c r="X640" s="271"/>
      <c r="Y640" s="272"/>
      <c r="Z640" s="272"/>
      <c r="AA640" s="272"/>
      <c r="AB640" s="272"/>
    </row>
    <row r="641" spans="1:28" ht="15" customHeight="1" x14ac:dyDescent="0.25">
      <c r="A641" s="269"/>
      <c r="B641" s="269"/>
      <c r="C641" s="269"/>
      <c r="D641" s="270"/>
      <c r="E641" s="269"/>
      <c r="F641" s="269"/>
      <c r="G641" s="269"/>
      <c r="H641" s="269"/>
      <c r="I641" s="269"/>
      <c r="J641" s="271"/>
      <c r="K641" s="272"/>
      <c r="L641" s="269"/>
      <c r="M641" s="273"/>
      <c r="N641" s="269"/>
      <c r="O641" s="269"/>
      <c r="P641" s="274"/>
      <c r="Q641" s="270"/>
      <c r="R641" s="61"/>
      <c r="S641" s="269"/>
      <c r="T641" s="269"/>
      <c r="U641" s="269"/>
      <c r="V641" s="269"/>
      <c r="W641" s="269"/>
      <c r="X641" s="271"/>
      <c r="Y641" s="272"/>
      <c r="Z641" s="272"/>
      <c r="AA641" s="272"/>
      <c r="AB641" s="272"/>
    </row>
    <row r="642" spans="1:28" ht="15" customHeight="1" x14ac:dyDescent="0.25">
      <c r="A642" s="269"/>
      <c r="B642" s="269"/>
      <c r="C642" s="269"/>
      <c r="D642" s="270"/>
      <c r="E642" s="269"/>
      <c r="F642" s="269"/>
      <c r="G642" s="269"/>
      <c r="H642" s="269"/>
      <c r="I642" s="269"/>
      <c r="J642" s="271"/>
      <c r="K642" s="272"/>
      <c r="L642" s="269"/>
      <c r="M642" s="273"/>
      <c r="N642" s="269"/>
      <c r="O642" s="269"/>
      <c r="P642" s="274"/>
      <c r="Q642" s="270"/>
      <c r="R642" s="61"/>
      <c r="S642" s="269"/>
      <c r="T642" s="269"/>
      <c r="U642" s="269"/>
      <c r="V642" s="269"/>
      <c r="W642" s="269"/>
      <c r="X642" s="271"/>
      <c r="Y642" s="272"/>
      <c r="Z642" s="272"/>
      <c r="AA642" s="272"/>
      <c r="AB642" s="272"/>
    </row>
    <row r="643" spans="1:28" ht="15" customHeight="1" x14ac:dyDescent="0.25">
      <c r="A643" s="269"/>
      <c r="B643" s="269"/>
      <c r="C643" s="269"/>
      <c r="D643" s="270"/>
      <c r="E643" s="269"/>
      <c r="F643" s="269"/>
      <c r="G643" s="269"/>
      <c r="H643" s="269"/>
      <c r="I643" s="269"/>
      <c r="J643" s="271"/>
      <c r="K643" s="272"/>
      <c r="L643" s="269"/>
      <c r="M643" s="273"/>
      <c r="N643" s="269"/>
      <c r="O643" s="269"/>
      <c r="P643" s="274"/>
      <c r="Q643" s="270"/>
      <c r="R643" s="61"/>
      <c r="S643" s="269"/>
      <c r="T643" s="269"/>
      <c r="U643" s="269"/>
      <c r="V643" s="269"/>
      <c r="W643" s="269"/>
      <c r="X643" s="271"/>
      <c r="Y643" s="272"/>
      <c r="Z643" s="272"/>
      <c r="AA643" s="272"/>
      <c r="AB643" s="272"/>
    </row>
    <row r="644" spans="1:28" ht="15" customHeight="1" x14ac:dyDescent="0.25">
      <c r="A644" s="269"/>
      <c r="B644" s="269"/>
      <c r="C644" s="269"/>
      <c r="D644" s="270"/>
      <c r="E644" s="269"/>
      <c r="F644" s="269"/>
      <c r="G644" s="269"/>
      <c r="H644" s="269"/>
      <c r="I644" s="269"/>
      <c r="J644" s="271"/>
      <c r="K644" s="272"/>
      <c r="L644" s="269"/>
      <c r="M644" s="273"/>
      <c r="N644" s="269"/>
      <c r="O644" s="269"/>
      <c r="P644" s="274"/>
      <c r="Q644" s="270"/>
      <c r="R644" s="61"/>
      <c r="S644" s="269"/>
      <c r="T644" s="269"/>
      <c r="U644" s="269"/>
      <c r="V644" s="269"/>
      <c r="W644" s="269"/>
      <c r="X644" s="271"/>
      <c r="Y644" s="272"/>
      <c r="Z644" s="272"/>
      <c r="AA644" s="272"/>
      <c r="AB644" s="272"/>
    </row>
    <row r="645" spans="1:28" ht="15" customHeight="1" x14ac:dyDescent="0.25">
      <c r="A645" s="269"/>
      <c r="B645" s="269"/>
      <c r="C645" s="269"/>
      <c r="D645" s="270"/>
      <c r="E645" s="269"/>
      <c r="F645" s="269"/>
      <c r="G645" s="269"/>
      <c r="H645" s="269"/>
      <c r="I645" s="269"/>
      <c r="J645" s="271"/>
      <c r="K645" s="272"/>
      <c r="L645" s="269"/>
      <c r="M645" s="273"/>
      <c r="N645" s="269"/>
      <c r="O645" s="269"/>
      <c r="P645" s="274"/>
      <c r="Q645" s="270"/>
      <c r="R645" s="61"/>
      <c r="S645" s="269"/>
      <c r="T645" s="269"/>
      <c r="U645" s="269"/>
      <c r="V645" s="269"/>
      <c r="W645" s="269"/>
      <c r="X645" s="271"/>
      <c r="Y645" s="272"/>
      <c r="Z645" s="272"/>
      <c r="AA645" s="272"/>
      <c r="AB645" s="272"/>
    </row>
    <row r="646" spans="1:28" ht="15" customHeight="1" x14ac:dyDescent="0.25">
      <c r="A646" s="269"/>
      <c r="B646" s="269"/>
      <c r="C646" s="269"/>
      <c r="D646" s="270"/>
      <c r="E646" s="269"/>
      <c r="F646" s="269"/>
      <c r="G646" s="269"/>
      <c r="H646" s="269"/>
      <c r="I646" s="269"/>
      <c r="J646" s="271"/>
      <c r="K646" s="272"/>
      <c r="L646" s="269"/>
      <c r="M646" s="273"/>
      <c r="N646" s="269"/>
      <c r="O646" s="269"/>
      <c r="P646" s="274"/>
      <c r="Q646" s="270"/>
      <c r="R646" s="61"/>
      <c r="S646" s="269"/>
      <c r="T646" s="269"/>
      <c r="U646" s="269"/>
      <c r="V646" s="269"/>
      <c r="W646" s="269"/>
      <c r="X646" s="271"/>
      <c r="Y646" s="272"/>
      <c r="Z646" s="272"/>
      <c r="AA646" s="272"/>
      <c r="AB646" s="272"/>
    </row>
    <row r="647" spans="1:28" ht="15" customHeight="1" x14ac:dyDescent="0.25">
      <c r="A647" s="269"/>
      <c r="B647" s="269"/>
      <c r="C647" s="269"/>
      <c r="D647" s="270"/>
      <c r="E647" s="269"/>
      <c r="F647" s="269"/>
      <c r="G647" s="269"/>
      <c r="H647" s="269"/>
      <c r="I647" s="269"/>
      <c r="J647" s="271"/>
      <c r="K647" s="272"/>
      <c r="L647" s="269"/>
      <c r="M647" s="273"/>
      <c r="N647" s="269"/>
      <c r="O647" s="269"/>
      <c r="P647" s="274"/>
      <c r="Q647" s="270"/>
      <c r="R647" s="61"/>
      <c r="S647" s="269"/>
      <c r="T647" s="269"/>
      <c r="U647" s="269"/>
      <c r="V647" s="269"/>
      <c r="W647" s="269"/>
      <c r="X647" s="271"/>
      <c r="Y647" s="272"/>
      <c r="Z647" s="272"/>
      <c r="AA647" s="272"/>
      <c r="AB647" s="272"/>
    </row>
    <row r="648" spans="1:28" ht="15" customHeight="1" x14ac:dyDescent="0.25">
      <c r="A648" s="269"/>
      <c r="B648" s="269"/>
      <c r="C648" s="269"/>
      <c r="D648" s="270"/>
      <c r="E648" s="269"/>
      <c r="F648" s="269"/>
      <c r="G648" s="269"/>
      <c r="H648" s="269"/>
      <c r="I648" s="269"/>
      <c r="J648" s="271"/>
      <c r="K648" s="272"/>
      <c r="L648" s="269"/>
      <c r="M648" s="273"/>
      <c r="N648" s="269"/>
      <c r="O648" s="269"/>
      <c r="P648" s="274"/>
      <c r="Q648" s="270"/>
      <c r="R648" s="61"/>
      <c r="S648" s="269"/>
      <c r="T648" s="269"/>
      <c r="U648" s="269"/>
      <c r="V648" s="269"/>
      <c r="W648" s="269"/>
      <c r="X648" s="271"/>
      <c r="Y648" s="272"/>
      <c r="Z648" s="272"/>
      <c r="AA648" s="272"/>
      <c r="AB648" s="272"/>
    </row>
    <row r="649" spans="1:28" ht="15" customHeight="1" x14ac:dyDescent="0.25">
      <c r="A649" s="269"/>
      <c r="B649" s="269"/>
      <c r="C649" s="269"/>
      <c r="D649" s="270"/>
      <c r="E649" s="269"/>
      <c r="F649" s="269"/>
      <c r="G649" s="269"/>
      <c r="H649" s="269"/>
      <c r="I649" s="269"/>
      <c r="J649" s="271"/>
      <c r="K649" s="272"/>
      <c r="L649" s="269"/>
      <c r="M649" s="273"/>
      <c r="N649" s="269"/>
      <c r="O649" s="269"/>
      <c r="P649" s="274"/>
      <c r="Q649" s="270"/>
      <c r="R649" s="61"/>
      <c r="S649" s="269"/>
      <c r="T649" s="269"/>
      <c r="U649" s="269"/>
      <c r="V649" s="269"/>
      <c r="W649" s="269"/>
      <c r="X649" s="271"/>
      <c r="Y649" s="272"/>
      <c r="Z649" s="272"/>
      <c r="AA649" s="272"/>
      <c r="AB649" s="272"/>
    </row>
    <row r="650" spans="1:28" ht="15" customHeight="1" x14ac:dyDescent="0.25">
      <c r="A650" s="269"/>
      <c r="B650" s="269"/>
      <c r="C650" s="269"/>
      <c r="D650" s="270"/>
      <c r="E650" s="269"/>
      <c r="F650" s="269"/>
      <c r="G650" s="269"/>
      <c r="H650" s="269"/>
      <c r="I650" s="269"/>
      <c r="J650" s="271"/>
      <c r="K650" s="272"/>
      <c r="L650" s="269"/>
      <c r="M650" s="273"/>
      <c r="N650" s="269"/>
      <c r="O650" s="269"/>
      <c r="P650" s="274"/>
      <c r="Q650" s="270"/>
      <c r="R650" s="61"/>
      <c r="S650" s="269"/>
      <c r="T650" s="269"/>
      <c r="U650" s="269"/>
      <c r="V650" s="269"/>
      <c r="W650" s="269"/>
      <c r="X650" s="271"/>
      <c r="Y650" s="272"/>
      <c r="Z650" s="272"/>
      <c r="AA650" s="272"/>
      <c r="AB650" s="272"/>
    </row>
    <row r="651" spans="1:28" ht="15" customHeight="1" x14ac:dyDescent="0.25">
      <c r="A651" s="269"/>
      <c r="B651" s="269"/>
      <c r="C651" s="269"/>
      <c r="D651" s="270"/>
      <c r="E651" s="269"/>
      <c r="F651" s="269"/>
      <c r="G651" s="269"/>
      <c r="H651" s="269"/>
      <c r="I651" s="269"/>
      <c r="J651" s="271"/>
      <c r="K651" s="272"/>
      <c r="L651" s="269"/>
      <c r="M651" s="273"/>
      <c r="N651" s="269"/>
      <c r="O651" s="269"/>
      <c r="P651" s="274"/>
      <c r="Q651" s="270"/>
      <c r="R651" s="61"/>
      <c r="S651" s="269"/>
      <c r="T651" s="269"/>
      <c r="U651" s="269"/>
      <c r="V651" s="269"/>
      <c r="W651" s="269"/>
      <c r="X651" s="271"/>
      <c r="Y651" s="272"/>
      <c r="Z651" s="272"/>
      <c r="AA651" s="272"/>
      <c r="AB651" s="272"/>
    </row>
    <row r="652" spans="1:28" ht="15" customHeight="1" x14ac:dyDescent="0.25">
      <c r="A652" s="269"/>
      <c r="B652" s="269"/>
      <c r="C652" s="269"/>
      <c r="D652" s="270"/>
      <c r="E652" s="269"/>
      <c r="F652" s="269"/>
      <c r="G652" s="269"/>
      <c r="H652" s="269"/>
      <c r="I652" s="269"/>
      <c r="J652" s="271"/>
      <c r="K652" s="272"/>
      <c r="L652" s="269"/>
      <c r="M652" s="273"/>
      <c r="N652" s="269"/>
      <c r="O652" s="269"/>
      <c r="P652" s="274"/>
      <c r="Q652" s="270"/>
      <c r="R652" s="61"/>
      <c r="S652" s="269"/>
      <c r="T652" s="269"/>
      <c r="U652" s="269"/>
      <c r="V652" s="269"/>
      <c r="W652" s="269"/>
      <c r="X652" s="271"/>
      <c r="Y652" s="272"/>
      <c r="Z652" s="272"/>
      <c r="AA652" s="272"/>
      <c r="AB652" s="272"/>
    </row>
    <row r="653" spans="1:28" ht="15" customHeight="1" x14ac:dyDescent="0.25">
      <c r="A653" s="269"/>
      <c r="B653" s="269"/>
      <c r="C653" s="269"/>
      <c r="D653" s="270"/>
      <c r="E653" s="269"/>
      <c r="F653" s="269"/>
      <c r="G653" s="269"/>
      <c r="H653" s="269"/>
      <c r="I653" s="269"/>
      <c r="J653" s="271"/>
      <c r="K653" s="272"/>
      <c r="L653" s="269"/>
      <c r="M653" s="273"/>
      <c r="N653" s="269"/>
      <c r="O653" s="269"/>
      <c r="P653" s="274"/>
      <c r="Q653" s="270"/>
      <c r="R653" s="61"/>
      <c r="S653" s="269"/>
      <c r="T653" s="269"/>
      <c r="U653" s="269"/>
      <c r="V653" s="269"/>
      <c r="W653" s="269"/>
      <c r="X653" s="271"/>
      <c r="Y653" s="272"/>
      <c r="Z653" s="272"/>
      <c r="AA653" s="272"/>
      <c r="AB653" s="272"/>
    </row>
    <row r="654" spans="1:28" ht="15" customHeight="1" x14ac:dyDescent="0.25">
      <c r="A654" s="269"/>
      <c r="B654" s="269"/>
      <c r="C654" s="269"/>
      <c r="D654" s="270"/>
      <c r="E654" s="269"/>
      <c r="F654" s="269"/>
      <c r="G654" s="269"/>
      <c r="H654" s="269"/>
      <c r="I654" s="269"/>
      <c r="J654" s="271"/>
      <c r="K654" s="272"/>
      <c r="L654" s="269"/>
      <c r="M654" s="273"/>
      <c r="N654" s="269"/>
      <c r="O654" s="269"/>
      <c r="P654" s="274"/>
      <c r="Q654" s="270"/>
      <c r="R654" s="61"/>
      <c r="S654" s="269"/>
      <c r="T654" s="269"/>
      <c r="U654" s="269"/>
      <c r="V654" s="269"/>
      <c r="W654" s="269"/>
      <c r="X654" s="271"/>
      <c r="Y654" s="272"/>
      <c r="Z654" s="272"/>
      <c r="AA654" s="272"/>
      <c r="AB654" s="272"/>
    </row>
    <row r="655" spans="1:28" ht="15" customHeight="1" x14ac:dyDescent="0.25">
      <c r="A655" s="269"/>
      <c r="B655" s="269"/>
      <c r="C655" s="269"/>
      <c r="D655" s="270"/>
      <c r="E655" s="269"/>
      <c r="F655" s="269"/>
      <c r="G655" s="269"/>
      <c r="H655" s="269"/>
      <c r="I655" s="269"/>
      <c r="J655" s="271"/>
      <c r="K655" s="272"/>
      <c r="L655" s="269"/>
      <c r="M655" s="273"/>
      <c r="N655" s="269"/>
      <c r="O655" s="269"/>
      <c r="P655" s="274"/>
      <c r="Q655" s="270"/>
      <c r="R655" s="61"/>
      <c r="S655" s="269"/>
      <c r="T655" s="269"/>
      <c r="U655" s="269"/>
      <c r="V655" s="269"/>
      <c r="W655" s="269"/>
      <c r="X655" s="271"/>
      <c r="Y655" s="272"/>
      <c r="Z655" s="272"/>
      <c r="AA655" s="272"/>
      <c r="AB655" s="272"/>
    </row>
    <row r="656" spans="1:28" ht="15" customHeight="1" x14ac:dyDescent="0.25">
      <c r="A656" s="269"/>
      <c r="B656" s="269"/>
      <c r="C656" s="269"/>
      <c r="D656" s="270"/>
      <c r="E656" s="269"/>
      <c r="F656" s="269"/>
      <c r="G656" s="269"/>
      <c r="H656" s="269"/>
      <c r="I656" s="269"/>
      <c r="J656" s="271"/>
      <c r="K656" s="272"/>
      <c r="L656" s="269"/>
      <c r="M656" s="273"/>
      <c r="N656" s="269"/>
      <c r="O656" s="269"/>
      <c r="P656" s="274"/>
      <c r="Q656" s="270"/>
      <c r="R656" s="61"/>
      <c r="S656" s="269"/>
      <c r="T656" s="269"/>
      <c r="U656" s="269"/>
      <c r="V656" s="269"/>
      <c r="W656" s="269"/>
      <c r="X656" s="271"/>
      <c r="Y656" s="272"/>
      <c r="Z656" s="272"/>
      <c r="AA656" s="272"/>
      <c r="AB656" s="272"/>
    </row>
    <row r="657" spans="1:28" ht="15" customHeight="1" x14ac:dyDescent="0.25">
      <c r="A657" s="269"/>
      <c r="B657" s="269"/>
      <c r="C657" s="269"/>
      <c r="D657" s="270"/>
      <c r="E657" s="269"/>
      <c r="F657" s="269"/>
      <c r="G657" s="269"/>
      <c r="H657" s="269"/>
      <c r="I657" s="269"/>
      <c r="J657" s="271"/>
      <c r="K657" s="272"/>
      <c r="L657" s="269"/>
      <c r="M657" s="273"/>
      <c r="N657" s="269"/>
      <c r="O657" s="269"/>
      <c r="P657" s="274"/>
      <c r="Q657" s="270"/>
      <c r="R657" s="61"/>
      <c r="S657" s="269"/>
      <c r="T657" s="269"/>
      <c r="U657" s="269"/>
      <c r="V657" s="269"/>
      <c r="W657" s="269"/>
      <c r="X657" s="271"/>
      <c r="Y657" s="272"/>
      <c r="Z657" s="272"/>
      <c r="AA657" s="272"/>
      <c r="AB657" s="272"/>
    </row>
    <row r="658" spans="1:28" ht="15" customHeight="1" x14ac:dyDescent="0.25">
      <c r="A658" s="269"/>
      <c r="B658" s="269"/>
      <c r="C658" s="269"/>
      <c r="D658" s="270"/>
      <c r="E658" s="269"/>
      <c r="F658" s="269"/>
      <c r="G658" s="269"/>
      <c r="H658" s="269"/>
      <c r="I658" s="269"/>
      <c r="J658" s="271"/>
      <c r="K658" s="272"/>
      <c r="L658" s="269"/>
      <c r="M658" s="273"/>
      <c r="N658" s="269"/>
      <c r="O658" s="269"/>
      <c r="P658" s="274"/>
      <c r="Q658" s="270"/>
      <c r="R658" s="61"/>
      <c r="S658" s="269"/>
      <c r="T658" s="269"/>
      <c r="U658" s="269"/>
      <c r="V658" s="269"/>
      <c r="W658" s="269"/>
      <c r="X658" s="271"/>
      <c r="Y658" s="272"/>
      <c r="Z658" s="272"/>
      <c r="AA658" s="272"/>
      <c r="AB658" s="272"/>
    </row>
    <row r="659" spans="1:28" ht="15" customHeight="1" x14ac:dyDescent="0.25">
      <c r="A659" s="269"/>
      <c r="B659" s="269"/>
      <c r="C659" s="269"/>
      <c r="D659" s="270"/>
      <c r="E659" s="269"/>
      <c r="F659" s="269"/>
      <c r="G659" s="269"/>
      <c r="H659" s="269"/>
      <c r="I659" s="269"/>
      <c r="J659" s="271"/>
      <c r="K659" s="272"/>
      <c r="L659" s="269"/>
      <c r="M659" s="273"/>
      <c r="N659" s="269"/>
      <c r="O659" s="269"/>
      <c r="P659" s="274"/>
      <c r="Q659" s="270"/>
      <c r="R659" s="61"/>
      <c r="S659" s="269"/>
      <c r="T659" s="269"/>
      <c r="U659" s="269"/>
      <c r="V659" s="269"/>
      <c r="W659" s="269"/>
      <c r="X659" s="271"/>
      <c r="Y659" s="272"/>
      <c r="Z659" s="272"/>
      <c r="AA659" s="272"/>
      <c r="AB659" s="272"/>
    </row>
    <row r="660" spans="1:28" ht="15" customHeight="1" x14ac:dyDescent="0.25">
      <c r="A660" s="269"/>
      <c r="B660" s="269"/>
      <c r="C660" s="269"/>
      <c r="D660" s="270"/>
      <c r="E660" s="269"/>
      <c r="F660" s="269"/>
      <c r="G660" s="269"/>
      <c r="H660" s="269"/>
      <c r="I660" s="269"/>
      <c r="J660" s="271"/>
      <c r="K660" s="272"/>
      <c r="L660" s="269"/>
      <c r="M660" s="273"/>
      <c r="N660" s="269"/>
      <c r="O660" s="269"/>
      <c r="P660" s="274"/>
      <c r="Q660" s="270"/>
      <c r="R660" s="61"/>
      <c r="S660" s="269"/>
      <c r="T660" s="269"/>
      <c r="U660" s="269"/>
      <c r="V660" s="269"/>
      <c r="W660" s="269"/>
      <c r="X660" s="271"/>
      <c r="Y660" s="272"/>
      <c r="Z660" s="272"/>
      <c r="AA660" s="272"/>
      <c r="AB660" s="272"/>
    </row>
    <row r="661" spans="1:28" ht="15" customHeight="1" x14ac:dyDescent="0.25">
      <c r="A661" s="269"/>
      <c r="B661" s="269"/>
      <c r="C661" s="269"/>
      <c r="D661" s="270"/>
      <c r="E661" s="269"/>
      <c r="F661" s="269"/>
      <c r="G661" s="269"/>
      <c r="H661" s="269"/>
      <c r="I661" s="269"/>
      <c r="J661" s="271"/>
      <c r="K661" s="272"/>
      <c r="L661" s="269"/>
      <c r="M661" s="273"/>
      <c r="N661" s="269"/>
      <c r="O661" s="269"/>
      <c r="P661" s="274"/>
      <c r="Q661" s="270"/>
      <c r="R661" s="61"/>
      <c r="S661" s="269"/>
      <c r="T661" s="269"/>
      <c r="U661" s="269"/>
      <c r="V661" s="269"/>
      <c r="W661" s="269"/>
      <c r="X661" s="271"/>
      <c r="Y661" s="272"/>
      <c r="Z661" s="272"/>
      <c r="AA661" s="272"/>
      <c r="AB661" s="272"/>
    </row>
    <row r="662" spans="1:28" ht="15" customHeight="1" x14ac:dyDescent="0.25">
      <c r="A662" s="269"/>
      <c r="B662" s="269"/>
      <c r="C662" s="269"/>
      <c r="D662" s="270"/>
      <c r="E662" s="269"/>
      <c r="F662" s="269"/>
      <c r="G662" s="269"/>
      <c r="H662" s="269"/>
      <c r="I662" s="269"/>
      <c r="J662" s="271"/>
      <c r="K662" s="272"/>
      <c r="L662" s="269"/>
      <c r="M662" s="273"/>
      <c r="N662" s="269"/>
      <c r="O662" s="269"/>
      <c r="P662" s="274"/>
      <c r="Q662" s="270"/>
      <c r="R662" s="61"/>
      <c r="S662" s="269"/>
      <c r="T662" s="269"/>
      <c r="U662" s="269"/>
      <c r="V662" s="269"/>
      <c r="W662" s="269"/>
      <c r="X662" s="271"/>
      <c r="Y662" s="272"/>
      <c r="Z662" s="272"/>
      <c r="AA662" s="272"/>
      <c r="AB662" s="272"/>
    </row>
    <row r="663" spans="1:28" ht="15" customHeight="1" x14ac:dyDescent="0.25">
      <c r="A663" s="269"/>
      <c r="B663" s="269"/>
      <c r="C663" s="269"/>
      <c r="D663" s="270"/>
      <c r="E663" s="269"/>
      <c r="F663" s="269"/>
      <c r="G663" s="269"/>
      <c r="H663" s="269"/>
      <c r="I663" s="269"/>
      <c r="J663" s="271"/>
      <c r="K663" s="272"/>
      <c r="L663" s="269"/>
      <c r="M663" s="273"/>
      <c r="N663" s="269"/>
      <c r="O663" s="269"/>
      <c r="P663" s="274"/>
      <c r="Q663" s="270"/>
      <c r="R663" s="61"/>
      <c r="S663" s="269"/>
      <c r="T663" s="269"/>
      <c r="U663" s="269"/>
      <c r="V663" s="269"/>
      <c r="W663" s="269"/>
      <c r="X663" s="271"/>
      <c r="Y663" s="272"/>
      <c r="Z663" s="272"/>
      <c r="AA663" s="272"/>
      <c r="AB663" s="272"/>
    </row>
    <row r="664" spans="1:28" ht="15" customHeight="1" x14ac:dyDescent="0.25">
      <c r="A664" s="269"/>
      <c r="B664" s="269"/>
      <c r="C664" s="269"/>
      <c r="D664" s="270"/>
      <c r="E664" s="269"/>
      <c r="F664" s="269"/>
      <c r="G664" s="269"/>
      <c r="H664" s="269"/>
      <c r="I664" s="269"/>
      <c r="J664" s="271"/>
      <c r="K664" s="272"/>
      <c r="L664" s="269"/>
      <c r="M664" s="273"/>
      <c r="N664" s="269"/>
      <c r="O664" s="269"/>
      <c r="P664" s="274"/>
      <c r="Q664" s="270"/>
      <c r="R664" s="61"/>
      <c r="S664" s="269"/>
      <c r="T664" s="269"/>
      <c r="U664" s="269"/>
      <c r="V664" s="269"/>
      <c r="W664" s="269"/>
      <c r="X664" s="271"/>
      <c r="Y664" s="272"/>
      <c r="Z664" s="272"/>
      <c r="AA664" s="272"/>
      <c r="AB664" s="272"/>
    </row>
    <row r="665" spans="1:28" ht="15" customHeight="1" x14ac:dyDescent="0.25">
      <c r="A665" s="269"/>
      <c r="B665" s="269"/>
      <c r="C665" s="269"/>
      <c r="D665" s="270"/>
      <c r="E665" s="269"/>
      <c r="F665" s="269"/>
      <c r="G665" s="269"/>
      <c r="H665" s="269"/>
      <c r="I665" s="269"/>
      <c r="J665" s="271"/>
      <c r="K665" s="272"/>
      <c r="L665" s="269"/>
      <c r="M665" s="273"/>
      <c r="N665" s="269"/>
      <c r="O665" s="269"/>
      <c r="P665" s="274"/>
      <c r="Q665" s="270"/>
      <c r="R665" s="61"/>
      <c r="S665" s="269"/>
      <c r="T665" s="269"/>
      <c r="U665" s="269"/>
      <c r="V665" s="269"/>
      <c r="W665" s="269"/>
      <c r="X665" s="271"/>
      <c r="Y665" s="272"/>
      <c r="Z665" s="272"/>
      <c r="AA665" s="272"/>
      <c r="AB665" s="272"/>
    </row>
    <row r="666" spans="1:28" ht="15" customHeight="1" x14ac:dyDescent="0.25">
      <c r="A666" s="269"/>
      <c r="B666" s="269"/>
      <c r="C666" s="269"/>
      <c r="D666" s="270"/>
      <c r="E666" s="269"/>
      <c r="F666" s="269"/>
      <c r="G666" s="269"/>
      <c r="H666" s="269"/>
      <c r="I666" s="269"/>
      <c r="J666" s="271"/>
      <c r="K666" s="272"/>
      <c r="L666" s="269"/>
      <c r="M666" s="273"/>
      <c r="N666" s="269"/>
      <c r="O666" s="269"/>
      <c r="P666" s="274"/>
      <c r="Q666" s="270"/>
      <c r="R666" s="61"/>
      <c r="S666" s="269"/>
      <c r="T666" s="269"/>
      <c r="U666" s="269"/>
      <c r="V666" s="269"/>
      <c r="W666" s="269"/>
      <c r="X666" s="271"/>
      <c r="Y666" s="272"/>
      <c r="Z666" s="272"/>
      <c r="AA666" s="272"/>
      <c r="AB666" s="272"/>
    </row>
    <row r="667" spans="1:28" ht="15" customHeight="1" x14ac:dyDescent="0.25">
      <c r="A667" s="269"/>
      <c r="B667" s="269"/>
      <c r="C667" s="269"/>
      <c r="D667" s="270"/>
      <c r="E667" s="269"/>
      <c r="F667" s="269"/>
      <c r="G667" s="269"/>
      <c r="H667" s="269"/>
      <c r="I667" s="269"/>
      <c r="J667" s="271"/>
      <c r="K667" s="272"/>
      <c r="L667" s="269"/>
      <c r="M667" s="273"/>
      <c r="N667" s="269"/>
      <c r="O667" s="269"/>
      <c r="P667" s="274"/>
      <c r="Q667" s="270"/>
      <c r="R667" s="61"/>
      <c r="S667" s="269"/>
      <c r="T667" s="269"/>
      <c r="U667" s="269"/>
      <c r="V667" s="269"/>
      <c r="W667" s="269"/>
      <c r="X667" s="271"/>
      <c r="Y667" s="272"/>
      <c r="Z667" s="272"/>
      <c r="AA667" s="272"/>
      <c r="AB667" s="272"/>
    </row>
    <row r="668" spans="1:28" ht="15" customHeight="1" x14ac:dyDescent="0.25">
      <c r="A668" s="269"/>
      <c r="B668" s="269"/>
      <c r="C668" s="269"/>
      <c r="D668" s="270"/>
      <c r="E668" s="269"/>
      <c r="F668" s="269"/>
      <c r="G668" s="269"/>
      <c r="H668" s="269"/>
      <c r="I668" s="269"/>
      <c r="J668" s="271"/>
      <c r="K668" s="272"/>
      <c r="L668" s="269"/>
      <c r="M668" s="273"/>
      <c r="N668" s="269"/>
      <c r="O668" s="269"/>
      <c r="P668" s="274"/>
      <c r="Q668" s="270"/>
      <c r="R668" s="61"/>
      <c r="S668" s="269"/>
      <c r="T668" s="269"/>
      <c r="U668" s="269"/>
      <c r="V668" s="269"/>
      <c r="W668" s="269"/>
      <c r="X668" s="271"/>
      <c r="Y668" s="272"/>
      <c r="Z668" s="272"/>
      <c r="AA668" s="272"/>
      <c r="AB668" s="272"/>
    </row>
    <row r="669" spans="1:28" ht="15" customHeight="1" x14ac:dyDescent="0.25">
      <c r="A669" s="269"/>
      <c r="B669" s="269"/>
      <c r="C669" s="269"/>
      <c r="D669" s="270"/>
      <c r="E669" s="269"/>
      <c r="F669" s="269"/>
      <c r="G669" s="269"/>
      <c r="H669" s="269"/>
      <c r="I669" s="269"/>
      <c r="J669" s="271"/>
      <c r="K669" s="272"/>
      <c r="L669" s="269"/>
      <c r="M669" s="273"/>
      <c r="N669" s="269"/>
      <c r="O669" s="269"/>
      <c r="P669" s="274"/>
      <c r="Q669" s="270"/>
      <c r="R669" s="61"/>
      <c r="S669" s="269"/>
      <c r="T669" s="269"/>
      <c r="U669" s="269"/>
      <c r="V669" s="269"/>
      <c r="W669" s="269"/>
      <c r="X669" s="271"/>
      <c r="Y669" s="272"/>
      <c r="Z669" s="272"/>
      <c r="AA669" s="272"/>
      <c r="AB669" s="272"/>
    </row>
    <row r="670" spans="1:28" ht="15" customHeight="1" x14ac:dyDescent="0.25">
      <c r="A670" s="269"/>
      <c r="B670" s="269"/>
      <c r="C670" s="269"/>
      <c r="D670" s="270"/>
      <c r="E670" s="269"/>
      <c r="F670" s="269"/>
      <c r="G670" s="269"/>
      <c r="H670" s="269"/>
      <c r="I670" s="269"/>
      <c r="J670" s="271"/>
      <c r="K670" s="272"/>
      <c r="L670" s="269"/>
      <c r="M670" s="273"/>
      <c r="N670" s="269"/>
      <c r="O670" s="269"/>
      <c r="P670" s="274"/>
      <c r="Q670" s="270"/>
      <c r="R670" s="61"/>
      <c r="S670" s="269"/>
      <c r="T670" s="269"/>
      <c r="U670" s="269"/>
      <c r="V670" s="269"/>
      <c r="W670" s="269"/>
      <c r="X670" s="271"/>
      <c r="Y670" s="272"/>
      <c r="Z670" s="272"/>
      <c r="AA670" s="272"/>
      <c r="AB670" s="272"/>
    </row>
    <row r="671" spans="1:28" ht="15" customHeight="1" x14ac:dyDescent="0.25">
      <c r="A671" s="269"/>
      <c r="B671" s="269"/>
      <c r="C671" s="269"/>
      <c r="D671" s="270"/>
      <c r="E671" s="269"/>
      <c r="F671" s="269"/>
      <c r="G671" s="269"/>
      <c r="H671" s="269"/>
      <c r="I671" s="269"/>
      <c r="J671" s="271"/>
      <c r="K671" s="272"/>
      <c r="L671" s="269"/>
      <c r="M671" s="273"/>
      <c r="N671" s="269"/>
      <c r="O671" s="269"/>
      <c r="P671" s="274"/>
      <c r="Q671" s="270"/>
      <c r="R671" s="61"/>
      <c r="S671" s="269"/>
      <c r="T671" s="269"/>
      <c r="U671" s="269"/>
      <c r="V671" s="269"/>
      <c r="W671" s="269"/>
      <c r="X671" s="271"/>
      <c r="Y671" s="272"/>
      <c r="Z671" s="272"/>
      <c r="AA671" s="272"/>
      <c r="AB671" s="272"/>
    </row>
    <row r="672" spans="1:28" ht="15" customHeight="1" x14ac:dyDescent="0.25">
      <c r="A672" s="269"/>
      <c r="B672" s="269"/>
      <c r="C672" s="269"/>
      <c r="D672" s="270"/>
      <c r="E672" s="269"/>
      <c r="F672" s="269"/>
      <c r="G672" s="269"/>
      <c r="H672" s="269"/>
      <c r="I672" s="269"/>
      <c r="J672" s="271"/>
      <c r="K672" s="272"/>
      <c r="L672" s="269"/>
      <c r="M672" s="273"/>
      <c r="N672" s="269"/>
      <c r="O672" s="269"/>
      <c r="P672" s="274"/>
      <c r="Q672" s="270"/>
      <c r="R672" s="61"/>
      <c r="S672" s="269"/>
      <c r="T672" s="269"/>
      <c r="U672" s="269"/>
      <c r="V672" s="269"/>
      <c r="W672" s="269"/>
      <c r="X672" s="271"/>
      <c r="Y672" s="272"/>
      <c r="Z672" s="272"/>
      <c r="AA672" s="272"/>
      <c r="AB672" s="272"/>
    </row>
    <row r="673" spans="1:28" ht="15" customHeight="1" x14ac:dyDescent="0.25">
      <c r="A673" s="269"/>
      <c r="B673" s="269"/>
      <c r="C673" s="269"/>
      <c r="D673" s="270"/>
      <c r="E673" s="269"/>
      <c r="F673" s="269"/>
      <c r="G673" s="269"/>
      <c r="H673" s="269"/>
      <c r="I673" s="269"/>
      <c r="J673" s="271"/>
      <c r="K673" s="272"/>
      <c r="L673" s="269"/>
      <c r="M673" s="273"/>
      <c r="N673" s="269"/>
      <c r="O673" s="269"/>
      <c r="P673" s="274"/>
      <c r="Q673" s="270"/>
      <c r="R673" s="61"/>
      <c r="S673" s="269"/>
      <c r="T673" s="269"/>
      <c r="U673" s="269"/>
      <c r="V673" s="269"/>
      <c r="W673" s="269"/>
      <c r="X673" s="271"/>
      <c r="Y673" s="272"/>
      <c r="Z673" s="272"/>
      <c r="AA673" s="272"/>
      <c r="AB673" s="272"/>
    </row>
    <row r="674" spans="1:28" ht="15" customHeight="1" x14ac:dyDescent="0.25">
      <c r="A674" s="269"/>
      <c r="B674" s="269"/>
      <c r="C674" s="269"/>
      <c r="D674" s="270"/>
      <c r="E674" s="269"/>
      <c r="F674" s="269"/>
      <c r="G674" s="269"/>
      <c r="H674" s="269"/>
      <c r="I674" s="269"/>
      <c r="J674" s="271"/>
      <c r="K674" s="272"/>
      <c r="L674" s="269"/>
      <c r="M674" s="273"/>
      <c r="N674" s="269"/>
      <c r="O674" s="269"/>
      <c r="P674" s="274"/>
      <c r="Q674" s="270"/>
      <c r="R674" s="61"/>
      <c r="S674" s="269"/>
      <c r="T674" s="269"/>
      <c r="U674" s="269"/>
      <c r="V674" s="269"/>
      <c r="W674" s="269"/>
      <c r="X674" s="271"/>
      <c r="Y674" s="272"/>
      <c r="Z674" s="272"/>
      <c r="AA674" s="272"/>
      <c r="AB674" s="272"/>
    </row>
    <row r="675" spans="1:28" ht="15" customHeight="1" x14ac:dyDescent="0.25">
      <c r="A675" s="269"/>
      <c r="B675" s="269"/>
      <c r="C675" s="269"/>
      <c r="D675" s="270"/>
      <c r="E675" s="269"/>
      <c r="F675" s="269"/>
      <c r="G675" s="269"/>
      <c r="H675" s="269"/>
      <c r="I675" s="269"/>
      <c r="J675" s="271"/>
      <c r="K675" s="272"/>
      <c r="L675" s="269"/>
      <c r="M675" s="273"/>
      <c r="N675" s="269"/>
      <c r="O675" s="269"/>
      <c r="P675" s="274"/>
      <c r="Q675" s="270"/>
      <c r="R675" s="61"/>
      <c r="S675" s="269"/>
      <c r="T675" s="269"/>
      <c r="U675" s="269"/>
      <c r="V675" s="269"/>
      <c r="W675" s="269"/>
      <c r="X675" s="271"/>
      <c r="Y675" s="272"/>
      <c r="Z675" s="272"/>
      <c r="AA675" s="272"/>
      <c r="AB675" s="272"/>
    </row>
    <row r="676" spans="1:28" ht="15" customHeight="1" x14ac:dyDescent="0.25">
      <c r="A676" s="269"/>
      <c r="B676" s="269"/>
      <c r="C676" s="269"/>
      <c r="D676" s="270"/>
      <c r="E676" s="269"/>
      <c r="F676" s="269"/>
      <c r="G676" s="269"/>
      <c r="H676" s="269"/>
      <c r="I676" s="269"/>
      <c r="J676" s="271"/>
      <c r="K676" s="272"/>
      <c r="L676" s="269"/>
      <c r="M676" s="273"/>
      <c r="N676" s="269"/>
      <c r="O676" s="269"/>
      <c r="P676" s="274"/>
      <c r="Q676" s="270"/>
      <c r="R676" s="61"/>
      <c r="S676" s="269"/>
      <c r="T676" s="269"/>
      <c r="U676" s="269"/>
      <c r="V676" s="269"/>
      <c r="W676" s="269"/>
      <c r="X676" s="271"/>
      <c r="Y676" s="272"/>
      <c r="Z676" s="272"/>
      <c r="AA676" s="272"/>
      <c r="AB676" s="272"/>
    </row>
    <row r="677" spans="1:28" ht="15" customHeight="1" x14ac:dyDescent="0.25">
      <c r="A677" s="269"/>
      <c r="B677" s="269"/>
      <c r="C677" s="269"/>
      <c r="D677" s="270"/>
      <c r="E677" s="269"/>
      <c r="F677" s="269"/>
      <c r="G677" s="269"/>
      <c r="H677" s="269"/>
      <c r="I677" s="269"/>
      <c r="J677" s="271"/>
      <c r="K677" s="272"/>
      <c r="L677" s="269"/>
      <c r="M677" s="273"/>
      <c r="N677" s="269"/>
      <c r="O677" s="269"/>
      <c r="P677" s="274"/>
      <c r="Q677" s="270"/>
      <c r="R677" s="61"/>
      <c r="S677" s="269"/>
      <c r="T677" s="269"/>
      <c r="U677" s="269"/>
      <c r="V677" s="269"/>
      <c r="W677" s="269"/>
      <c r="X677" s="271"/>
      <c r="Y677" s="272"/>
      <c r="Z677" s="272"/>
      <c r="AA677" s="272"/>
      <c r="AB677" s="272"/>
    </row>
    <row r="678" spans="1:28" ht="15" customHeight="1" x14ac:dyDescent="0.25">
      <c r="A678" s="269"/>
      <c r="B678" s="269"/>
      <c r="C678" s="269"/>
      <c r="D678" s="270"/>
      <c r="E678" s="269"/>
      <c r="F678" s="269"/>
      <c r="G678" s="269"/>
      <c r="H678" s="269"/>
      <c r="I678" s="269"/>
      <c r="J678" s="271"/>
      <c r="K678" s="272"/>
      <c r="L678" s="269"/>
      <c r="M678" s="273"/>
      <c r="N678" s="269"/>
      <c r="O678" s="269"/>
      <c r="P678" s="274"/>
      <c r="Q678" s="270"/>
      <c r="R678" s="61"/>
      <c r="S678" s="269"/>
      <c r="T678" s="269"/>
      <c r="U678" s="269"/>
      <c r="V678" s="269"/>
      <c r="W678" s="269"/>
      <c r="X678" s="271"/>
      <c r="Y678" s="272"/>
      <c r="Z678" s="272"/>
      <c r="AA678" s="272"/>
      <c r="AB678" s="272"/>
    </row>
    <row r="679" spans="1:28" ht="15" customHeight="1" x14ac:dyDescent="0.25">
      <c r="A679" s="269"/>
      <c r="B679" s="269"/>
      <c r="C679" s="269"/>
      <c r="D679" s="270"/>
      <c r="E679" s="269"/>
      <c r="F679" s="269"/>
      <c r="G679" s="269"/>
      <c r="H679" s="269"/>
      <c r="I679" s="269"/>
      <c r="J679" s="271"/>
      <c r="K679" s="272"/>
      <c r="L679" s="269"/>
      <c r="M679" s="273"/>
      <c r="N679" s="269"/>
      <c r="O679" s="269"/>
      <c r="P679" s="274"/>
      <c r="Q679" s="270"/>
      <c r="R679" s="61"/>
      <c r="S679" s="269"/>
      <c r="T679" s="269"/>
      <c r="U679" s="269"/>
      <c r="V679" s="269"/>
      <c r="W679" s="269"/>
      <c r="X679" s="271"/>
      <c r="Y679" s="272"/>
      <c r="Z679" s="272"/>
      <c r="AA679" s="272"/>
      <c r="AB679" s="272"/>
    </row>
    <row r="680" spans="1:28" ht="15" customHeight="1" x14ac:dyDescent="0.25">
      <c r="A680" s="269"/>
      <c r="B680" s="269"/>
      <c r="C680" s="269"/>
      <c r="D680" s="270"/>
      <c r="E680" s="269"/>
      <c r="F680" s="269"/>
      <c r="G680" s="269"/>
      <c r="H680" s="269"/>
      <c r="I680" s="269"/>
      <c r="J680" s="271"/>
      <c r="K680" s="272"/>
      <c r="L680" s="269"/>
      <c r="M680" s="273"/>
      <c r="N680" s="269"/>
      <c r="O680" s="269"/>
      <c r="P680" s="274"/>
      <c r="Q680" s="270"/>
      <c r="R680" s="61"/>
      <c r="S680" s="269"/>
      <c r="T680" s="269"/>
      <c r="U680" s="269"/>
      <c r="V680" s="269"/>
      <c r="W680" s="269"/>
      <c r="X680" s="271"/>
      <c r="Y680" s="272"/>
      <c r="Z680" s="272"/>
      <c r="AA680" s="272"/>
      <c r="AB680" s="272"/>
    </row>
    <row r="681" spans="1:28" ht="15" customHeight="1" x14ac:dyDescent="0.25">
      <c r="A681" s="269"/>
      <c r="B681" s="269"/>
      <c r="C681" s="269"/>
      <c r="D681" s="270"/>
      <c r="E681" s="269"/>
      <c r="F681" s="269"/>
      <c r="G681" s="269"/>
      <c r="H681" s="269"/>
      <c r="I681" s="269"/>
      <c r="J681" s="271"/>
      <c r="K681" s="272"/>
      <c r="L681" s="269"/>
      <c r="M681" s="273"/>
      <c r="N681" s="269"/>
      <c r="O681" s="269"/>
      <c r="P681" s="274"/>
      <c r="Q681" s="270"/>
      <c r="R681" s="61"/>
      <c r="S681" s="269"/>
      <c r="T681" s="269"/>
      <c r="U681" s="269"/>
      <c r="V681" s="269"/>
      <c r="W681" s="269"/>
      <c r="X681" s="271"/>
      <c r="Y681" s="272"/>
      <c r="Z681" s="272"/>
      <c r="AA681" s="272"/>
      <c r="AB681" s="272"/>
    </row>
    <row r="682" spans="1:28" ht="15" customHeight="1" x14ac:dyDescent="0.25">
      <c r="A682" s="269"/>
      <c r="B682" s="269"/>
      <c r="C682" s="269"/>
      <c r="D682" s="270"/>
      <c r="E682" s="269"/>
      <c r="F682" s="269"/>
      <c r="G682" s="269"/>
      <c r="H682" s="269"/>
      <c r="I682" s="269"/>
      <c r="J682" s="271"/>
      <c r="K682" s="272"/>
      <c r="L682" s="269"/>
      <c r="M682" s="273"/>
      <c r="N682" s="269"/>
      <c r="O682" s="269"/>
      <c r="P682" s="274"/>
      <c r="Q682" s="270"/>
      <c r="R682" s="61"/>
      <c r="S682" s="269"/>
      <c r="T682" s="269"/>
      <c r="U682" s="269"/>
      <c r="V682" s="269"/>
      <c r="W682" s="269"/>
      <c r="X682" s="271"/>
      <c r="Y682" s="272"/>
      <c r="Z682" s="272"/>
      <c r="AA682" s="272"/>
      <c r="AB682" s="272"/>
    </row>
    <row r="683" spans="1:28" ht="15" customHeight="1" x14ac:dyDescent="0.25">
      <c r="A683" s="269"/>
      <c r="B683" s="269"/>
      <c r="C683" s="269"/>
      <c r="D683" s="270"/>
      <c r="E683" s="269"/>
      <c r="F683" s="269"/>
      <c r="G683" s="269"/>
      <c r="H683" s="269"/>
      <c r="I683" s="269"/>
      <c r="J683" s="271"/>
      <c r="K683" s="272"/>
      <c r="L683" s="269"/>
      <c r="M683" s="273"/>
      <c r="N683" s="269"/>
      <c r="O683" s="269"/>
      <c r="P683" s="274"/>
      <c r="Q683" s="270"/>
      <c r="R683" s="61"/>
      <c r="S683" s="269"/>
      <c r="T683" s="269"/>
      <c r="U683" s="269"/>
      <c r="V683" s="269"/>
      <c r="W683" s="269"/>
      <c r="X683" s="271"/>
      <c r="Y683" s="272"/>
      <c r="Z683" s="272"/>
      <c r="AA683" s="272"/>
      <c r="AB683" s="272"/>
    </row>
    <row r="684" spans="1:28" ht="15" customHeight="1" x14ac:dyDescent="0.25">
      <c r="A684" s="269"/>
      <c r="B684" s="269"/>
      <c r="C684" s="269"/>
      <c r="D684" s="270"/>
      <c r="E684" s="269"/>
      <c r="F684" s="269"/>
      <c r="G684" s="269"/>
      <c r="H684" s="269"/>
      <c r="I684" s="269"/>
      <c r="J684" s="271"/>
      <c r="K684" s="272"/>
      <c r="L684" s="269"/>
      <c r="M684" s="273"/>
      <c r="N684" s="269"/>
      <c r="O684" s="269"/>
      <c r="P684" s="274"/>
      <c r="Q684" s="270"/>
      <c r="R684" s="61"/>
      <c r="S684" s="269"/>
      <c r="T684" s="269"/>
      <c r="U684" s="269"/>
      <c r="V684" s="269"/>
      <c r="W684" s="269"/>
      <c r="X684" s="271"/>
      <c r="Y684" s="272"/>
      <c r="Z684" s="272"/>
      <c r="AA684" s="272"/>
      <c r="AB684" s="272"/>
    </row>
    <row r="685" spans="1:28" ht="15" customHeight="1" x14ac:dyDescent="0.25">
      <c r="A685" s="269"/>
      <c r="B685" s="269"/>
      <c r="C685" s="269"/>
      <c r="D685" s="270"/>
      <c r="E685" s="269"/>
      <c r="F685" s="269"/>
      <c r="G685" s="269"/>
      <c r="H685" s="269"/>
      <c r="I685" s="269"/>
      <c r="J685" s="271"/>
      <c r="K685" s="272"/>
      <c r="L685" s="269"/>
      <c r="M685" s="273"/>
      <c r="N685" s="269"/>
      <c r="O685" s="269"/>
      <c r="P685" s="274"/>
      <c r="Q685" s="270"/>
      <c r="R685" s="61"/>
      <c r="S685" s="269"/>
      <c r="T685" s="269"/>
      <c r="U685" s="269"/>
      <c r="V685" s="269"/>
      <c r="W685" s="269"/>
      <c r="X685" s="271"/>
      <c r="Y685" s="272"/>
      <c r="Z685" s="272"/>
      <c r="AA685" s="272"/>
      <c r="AB685" s="272"/>
    </row>
    <row r="686" spans="1:28" ht="15" customHeight="1" x14ac:dyDescent="0.25">
      <c r="A686" s="269"/>
      <c r="B686" s="269"/>
      <c r="C686" s="269"/>
      <c r="D686" s="270"/>
      <c r="E686" s="269"/>
      <c r="F686" s="269"/>
      <c r="G686" s="269"/>
      <c r="H686" s="269"/>
      <c r="I686" s="269"/>
      <c r="J686" s="271"/>
      <c r="K686" s="272"/>
      <c r="L686" s="269"/>
      <c r="M686" s="273"/>
      <c r="N686" s="269"/>
      <c r="O686" s="269"/>
      <c r="P686" s="274"/>
      <c r="Q686" s="270"/>
      <c r="R686" s="61"/>
      <c r="S686" s="269"/>
      <c r="T686" s="269"/>
      <c r="U686" s="269"/>
      <c r="V686" s="269"/>
      <c r="W686" s="269"/>
      <c r="X686" s="271"/>
      <c r="Y686" s="272"/>
      <c r="Z686" s="272"/>
      <c r="AA686" s="272"/>
      <c r="AB686" s="272"/>
    </row>
    <row r="687" spans="1:28" ht="15" customHeight="1" x14ac:dyDescent="0.25">
      <c r="A687" s="269"/>
      <c r="B687" s="269"/>
      <c r="C687" s="269"/>
      <c r="D687" s="270"/>
      <c r="E687" s="269"/>
      <c r="F687" s="269"/>
      <c r="G687" s="269"/>
      <c r="H687" s="269"/>
      <c r="I687" s="269"/>
      <c r="J687" s="271"/>
      <c r="K687" s="272"/>
      <c r="L687" s="269"/>
      <c r="M687" s="273"/>
      <c r="N687" s="269"/>
      <c r="O687" s="269"/>
      <c r="P687" s="274"/>
      <c r="Q687" s="270"/>
      <c r="R687" s="61"/>
      <c r="S687" s="269"/>
      <c r="T687" s="269"/>
      <c r="U687" s="269"/>
      <c r="V687" s="269"/>
      <c r="W687" s="269"/>
      <c r="X687" s="271"/>
      <c r="Y687" s="272"/>
      <c r="Z687" s="272"/>
      <c r="AA687" s="272"/>
      <c r="AB687" s="272"/>
    </row>
    <row r="688" spans="1:28" ht="15" customHeight="1" x14ac:dyDescent="0.25">
      <c r="A688" s="269"/>
      <c r="B688" s="269"/>
      <c r="C688" s="269"/>
      <c r="D688" s="270"/>
      <c r="E688" s="269"/>
      <c r="F688" s="269"/>
      <c r="G688" s="269"/>
      <c r="H688" s="269"/>
      <c r="I688" s="269"/>
      <c r="J688" s="271"/>
      <c r="K688" s="272"/>
      <c r="L688" s="269"/>
      <c r="M688" s="273"/>
      <c r="N688" s="269"/>
      <c r="O688" s="269"/>
      <c r="P688" s="274"/>
      <c r="Q688" s="270"/>
      <c r="R688" s="61"/>
      <c r="S688" s="269"/>
      <c r="T688" s="269"/>
      <c r="U688" s="269"/>
      <c r="V688" s="269"/>
      <c r="W688" s="269"/>
      <c r="X688" s="271"/>
      <c r="Y688" s="272"/>
      <c r="Z688" s="272"/>
      <c r="AA688" s="272"/>
      <c r="AB688" s="272"/>
    </row>
    <row r="689" spans="1:28" ht="15" customHeight="1" x14ac:dyDescent="0.25">
      <c r="A689" s="269"/>
      <c r="B689" s="269"/>
      <c r="C689" s="269"/>
      <c r="D689" s="270"/>
      <c r="E689" s="269"/>
      <c r="F689" s="269"/>
      <c r="G689" s="269"/>
      <c r="H689" s="269"/>
      <c r="I689" s="269"/>
      <c r="J689" s="271"/>
      <c r="K689" s="272"/>
      <c r="L689" s="269"/>
      <c r="M689" s="273"/>
      <c r="N689" s="269"/>
      <c r="O689" s="269"/>
      <c r="P689" s="274"/>
      <c r="Q689" s="270"/>
      <c r="R689" s="61"/>
      <c r="S689" s="269"/>
      <c r="T689" s="269"/>
      <c r="U689" s="269"/>
      <c r="V689" s="269"/>
      <c r="W689" s="269"/>
      <c r="X689" s="271"/>
      <c r="Y689" s="272"/>
      <c r="Z689" s="272"/>
      <c r="AA689" s="272"/>
      <c r="AB689" s="272"/>
    </row>
    <row r="690" spans="1:28" ht="15" customHeight="1" x14ac:dyDescent="0.25">
      <c r="A690" s="269"/>
      <c r="B690" s="269"/>
      <c r="C690" s="269"/>
      <c r="D690" s="270"/>
      <c r="E690" s="269"/>
      <c r="F690" s="269"/>
      <c r="G690" s="269"/>
      <c r="H690" s="269"/>
      <c r="I690" s="269"/>
      <c r="J690" s="271"/>
      <c r="K690" s="272"/>
      <c r="L690" s="269"/>
      <c r="M690" s="273"/>
      <c r="N690" s="269"/>
      <c r="O690" s="269"/>
      <c r="P690" s="274"/>
      <c r="Q690" s="270"/>
      <c r="R690" s="61"/>
      <c r="S690" s="269"/>
      <c r="T690" s="269"/>
      <c r="U690" s="269"/>
      <c r="V690" s="269"/>
      <c r="W690" s="269"/>
      <c r="X690" s="271"/>
      <c r="Y690" s="272"/>
      <c r="Z690" s="272"/>
      <c r="AA690" s="272"/>
      <c r="AB690" s="272"/>
    </row>
    <row r="691" spans="1:28" ht="15" customHeight="1" x14ac:dyDescent="0.25">
      <c r="A691" s="269"/>
      <c r="B691" s="269"/>
      <c r="C691" s="269"/>
      <c r="D691" s="270"/>
      <c r="E691" s="269"/>
      <c r="F691" s="269"/>
      <c r="G691" s="269"/>
      <c r="H691" s="269"/>
      <c r="I691" s="269"/>
      <c r="J691" s="271"/>
      <c r="K691" s="272"/>
      <c r="L691" s="269"/>
      <c r="M691" s="273"/>
      <c r="N691" s="269"/>
      <c r="O691" s="269"/>
      <c r="P691" s="274"/>
      <c r="Q691" s="270"/>
      <c r="R691" s="61"/>
      <c r="S691" s="269"/>
      <c r="T691" s="269"/>
      <c r="U691" s="269"/>
      <c r="V691" s="269"/>
      <c r="W691" s="269"/>
      <c r="X691" s="271"/>
      <c r="Y691" s="272"/>
      <c r="Z691" s="272"/>
      <c r="AA691" s="272"/>
      <c r="AB691" s="272"/>
    </row>
    <row r="692" spans="1:28" ht="15" customHeight="1" x14ac:dyDescent="0.25">
      <c r="A692" s="269"/>
      <c r="B692" s="269"/>
      <c r="C692" s="269"/>
      <c r="D692" s="270"/>
      <c r="E692" s="269"/>
      <c r="F692" s="269"/>
      <c r="G692" s="269"/>
      <c r="H692" s="269"/>
      <c r="I692" s="269"/>
      <c r="J692" s="271"/>
      <c r="K692" s="272"/>
      <c r="L692" s="269"/>
      <c r="M692" s="273"/>
      <c r="N692" s="269"/>
      <c r="O692" s="269"/>
      <c r="P692" s="274"/>
      <c r="Q692" s="270"/>
      <c r="R692" s="61"/>
      <c r="S692" s="269"/>
      <c r="T692" s="269"/>
      <c r="U692" s="269"/>
      <c r="V692" s="269"/>
      <c r="W692" s="269"/>
      <c r="X692" s="271"/>
      <c r="Y692" s="272"/>
      <c r="Z692" s="272"/>
      <c r="AA692" s="272"/>
      <c r="AB692" s="272"/>
    </row>
    <row r="693" spans="1:28" ht="15" customHeight="1" x14ac:dyDescent="0.25">
      <c r="A693" s="269"/>
      <c r="B693" s="269"/>
      <c r="C693" s="269"/>
      <c r="D693" s="270"/>
      <c r="E693" s="269"/>
      <c r="F693" s="269"/>
      <c r="G693" s="269"/>
      <c r="H693" s="269"/>
      <c r="I693" s="269"/>
      <c r="J693" s="271"/>
      <c r="K693" s="272"/>
      <c r="L693" s="269"/>
      <c r="M693" s="273"/>
      <c r="N693" s="269"/>
      <c r="O693" s="269"/>
      <c r="P693" s="274"/>
      <c r="Q693" s="270"/>
      <c r="R693" s="61"/>
      <c r="S693" s="269"/>
      <c r="T693" s="269"/>
      <c r="U693" s="269"/>
      <c r="V693" s="269"/>
      <c r="W693" s="269"/>
      <c r="X693" s="271"/>
      <c r="Y693" s="272"/>
      <c r="Z693" s="272"/>
      <c r="AA693" s="272"/>
      <c r="AB693" s="272"/>
    </row>
    <row r="694" spans="1:28" ht="15" customHeight="1" x14ac:dyDescent="0.25">
      <c r="A694" s="269"/>
      <c r="B694" s="269"/>
      <c r="C694" s="269"/>
      <c r="D694" s="270"/>
      <c r="E694" s="269"/>
      <c r="F694" s="269"/>
      <c r="G694" s="269"/>
      <c r="H694" s="269"/>
      <c r="I694" s="269"/>
      <c r="J694" s="271"/>
      <c r="K694" s="272"/>
      <c r="L694" s="269"/>
      <c r="M694" s="273"/>
      <c r="N694" s="269"/>
      <c r="O694" s="269"/>
      <c r="P694" s="274"/>
      <c r="Q694" s="270"/>
      <c r="R694" s="61"/>
      <c r="S694" s="269"/>
      <c r="T694" s="269"/>
      <c r="U694" s="269"/>
      <c r="V694" s="269"/>
      <c r="W694" s="269"/>
      <c r="X694" s="271"/>
      <c r="Y694" s="272"/>
      <c r="Z694" s="272"/>
      <c r="AA694" s="272"/>
      <c r="AB694" s="272"/>
    </row>
    <row r="695" spans="1:28" ht="15" customHeight="1" x14ac:dyDescent="0.25">
      <c r="A695" s="269"/>
      <c r="B695" s="269"/>
      <c r="C695" s="269"/>
      <c r="D695" s="270"/>
      <c r="E695" s="269"/>
      <c r="F695" s="269"/>
      <c r="G695" s="269"/>
      <c r="H695" s="269"/>
      <c r="I695" s="269"/>
      <c r="J695" s="271"/>
      <c r="K695" s="272"/>
      <c r="L695" s="269"/>
      <c r="M695" s="273"/>
      <c r="N695" s="269"/>
      <c r="O695" s="269"/>
      <c r="P695" s="274"/>
      <c r="Q695" s="270"/>
      <c r="R695" s="61"/>
      <c r="S695" s="269"/>
      <c r="T695" s="269"/>
      <c r="U695" s="269"/>
      <c r="V695" s="269"/>
      <c r="W695" s="269"/>
      <c r="X695" s="271"/>
      <c r="Y695" s="272"/>
      <c r="Z695" s="272"/>
      <c r="AA695" s="272"/>
      <c r="AB695" s="272"/>
    </row>
    <row r="696" spans="1:28" ht="15" customHeight="1" x14ac:dyDescent="0.25">
      <c r="A696" s="269"/>
      <c r="B696" s="269"/>
      <c r="C696" s="269"/>
      <c r="D696" s="270"/>
      <c r="E696" s="269"/>
      <c r="F696" s="269"/>
      <c r="G696" s="269"/>
      <c r="H696" s="269"/>
      <c r="I696" s="269"/>
      <c r="J696" s="271"/>
      <c r="K696" s="272"/>
      <c r="L696" s="269"/>
      <c r="M696" s="273"/>
      <c r="N696" s="269"/>
      <c r="O696" s="269"/>
      <c r="P696" s="274"/>
      <c r="Q696" s="270"/>
      <c r="R696" s="61"/>
      <c r="S696" s="269"/>
      <c r="T696" s="269"/>
      <c r="U696" s="269"/>
      <c r="V696" s="269"/>
      <c r="W696" s="269"/>
      <c r="X696" s="271"/>
      <c r="Y696" s="272"/>
      <c r="Z696" s="272"/>
      <c r="AA696" s="272"/>
      <c r="AB696" s="272"/>
    </row>
    <row r="697" spans="1:28" ht="15" customHeight="1" x14ac:dyDescent="0.25">
      <c r="A697" s="269"/>
      <c r="B697" s="269"/>
      <c r="C697" s="269"/>
      <c r="D697" s="270"/>
      <c r="E697" s="269"/>
      <c r="F697" s="269"/>
      <c r="G697" s="269"/>
      <c r="H697" s="269"/>
      <c r="I697" s="269"/>
      <c r="J697" s="271"/>
      <c r="K697" s="272"/>
      <c r="L697" s="269"/>
      <c r="M697" s="273"/>
      <c r="N697" s="269"/>
      <c r="O697" s="269"/>
      <c r="P697" s="274"/>
      <c r="Q697" s="270"/>
      <c r="R697" s="61"/>
      <c r="S697" s="269"/>
      <c r="T697" s="269"/>
      <c r="U697" s="269"/>
      <c r="V697" s="269"/>
      <c r="W697" s="269"/>
      <c r="X697" s="271"/>
      <c r="Y697" s="272"/>
      <c r="Z697" s="272"/>
      <c r="AA697" s="272"/>
      <c r="AB697" s="272"/>
    </row>
    <row r="698" spans="1:28" ht="15" customHeight="1" x14ac:dyDescent="0.25">
      <c r="A698" s="269"/>
      <c r="B698" s="269"/>
      <c r="C698" s="269"/>
      <c r="D698" s="270"/>
      <c r="E698" s="269"/>
      <c r="F698" s="269"/>
      <c r="G698" s="269"/>
      <c r="H698" s="269"/>
      <c r="I698" s="269"/>
      <c r="J698" s="271"/>
      <c r="K698" s="272"/>
      <c r="L698" s="269"/>
      <c r="M698" s="273"/>
      <c r="N698" s="269"/>
      <c r="O698" s="269"/>
      <c r="P698" s="274"/>
      <c r="Q698" s="270"/>
      <c r="R698" s="61"/>
      <c r="S698" s="269"/>
      <c r="T698" s="269"/>
      <c r="U698" s="269"/>
      <c r="V698" s="269"/>
      <c r="W698" s="269"/>
      <c r="X698" s="271"/>
      <c r="Y698" s="272"/>
      <c r="Z698" s="272"/>
      <c r="AA698" s="272"/>
      <c r="AB698" s="272"/>
    </row>
    <row r="699" spans="1:28" ht="15" customHeight="1" x14ac:dyDescent="0.25">
      <c r="A699" s="269"/>
      <c r="B699" s="269"/>
      <c r="C699" s="269"/>
      <c r="D699" s="270"/>
      <c r="E699" s="269"/>
      <c r="F699" s="269"/>
      <c r="G699" s="269"/>
      <c r="H699" s="269"/>
      <c r="I699" s="269"/>
      <c r="J699" s="271"/>
      <c r="K699" s="272"/>
      <c r="L699" s="269"/>
      <c r="M699" s="273"/>
      <c r="N699" s="269"/>
      <c r="O699" s="269"/>
      <c r="P699" s="274"/>
      <c r="Q699" s="270"/>
      <c r="R699" s="61"/>
      <c r="S699" s="269"/>
      <c r="T699" s="269"/>
      <c r="U699" s="269"/>
      <c r="V699" s="269"/>
      <c r="W699" s="269"/>
      <c r="X699" s="271"/>
      <c r="Y699" s="272"/>
      <c r="Z699" s="272"/>
      <c r="AA699" s="272"/>
      <c r="AB699" s="272"/>
    </row>
    <row r="700" spans="1:28" ht="15" customHeight="1" x14ac:dyDescent="0.25">
      <c r="A700" s="269"/>
      <c r="B700" s="269"/>
      <c r="C700" s="269"/>
      <c r="D700" s="270"/>
      <c r="E700" s="269"/>
      <c r="F700" s="269"/>
      <c r="G700" s="269"/>
      <c r="H700" s="269"/>
      <c r="I700" s="269"/>
      <c r="J700" s="271"/>
      <c r="K700" s="272"/>
      <c r="L700" s="269"/>
      <c r="M700" s="273"/>
      <c r="N700" s="269"/>
      <c r="O700" s="269"/>
      <c r="P700" s="274"/>
      <c r="Q700" s="270"/>
      <c r="R700" s="61"/>
      <c r="S700" s="269"/>
      <c r="T700" s="269"/>
      <c r="U700" s="269"/>
      <c r="V700" s="269"/>
      <c r="W700" s="269"/>
      <c r="X700" s="271"/>
      <c r="Y700" s="272"/>
      <c r="Z700" s="272"/>
      <c r="AA700" s="272"/>
      <c r="AB700" s="272"/>
    </row>
    <row r="701" spans="1:28" ht="15" customHeight="1" x14ac:dyDescent="0.25">
      <c r="A701" s="269"/>
      <c r="B701" s="269"/>
      <c r="C701" s="269"/>
      <c r="D701" s="270"/>
      <c r="E701" s="269"/>
      <c r="F701" s="269"/>
      <c r="G701" s="269"/>
      <c r="H701" s="269"/>
      <c r="I701" s="269"/>
      <c r="J701" s="271"/>
      <c r="K701" s="272"/>
      <c r="L701" s="269"/>
      <c r="M701" s="273"/>
      <c r="N701" s="269"/>
      <c r="O701" s="269"/>
      <c r="P701" s="274"/>
      <c r="Q701" s="270"/>
      <c r="R701" s="61"/>
      <c r="S701" s="269"/>
      <c r="T701" s="269"/>
      <c r="U701" s="269"/>
      <c r="V701" s="269"/>
      <c r="W701" s="269"/>
      <c r="X701" s="271"/>
      <c r="Y701" s="272"/>
      <c r="Z701" s="272"/>
      <c r="AA701" s="272"/>
      <c r="AB701" s="272"/>
    </row>
    <row r="702" spans="1:28" ht="15" customHeight="1" x14ac:dyDescent="0.25">
      <c r="A702" s="269"/>
      <c r="B702" s="269"/>
      <c r="C702" s="269"/>
      <c r="D702" s="270"/>
      <c r="E702" s="269"/>
      <c r="F702" s="269"/>
      <c r="G702" s="269"/>
      <c r="H702" s="269"/>
      <c r="I702" s="269"/>
      <c r="J702" s="271"/>
      <c r="K702" s="272"/>
      <c r="L702" s="269"/>
      <c r="M702" s="273"/>
      <c r="N702" s="269"/>
      <c r="O702" s="269"/>
      <c r="P702" s="274"/>
      <c r="Q702" s="270"/>
      <c r="R702" s="61"/>
      <c r="S702" s="269"/>
      <c r="T702" s="269"/>
      <c r="U702" s="269"/>
      <c r="V702" s="269"/>
      <c r="W702" s="269"/>
      <c r="X702" s="271"/>
      <c r="Y702" s="272"/>
      <c r="Z702" s="272"/>
      <c r="AA702" s="272"/>
      <c r="AB702" s="272"/>
    </row>
    <row r="703" spans="1:28" ht="15" customHeight="1" x14ac:dyDescent="0.25">
      <c r="A703" s="269"/>
      <c r="B703" s="269"/>
      <c r="C703" s="269"/>
      <c r="D703" s="270"/>
      <c r="E703" s="269"/>
      <c r="F703" s="269"/>
      <c r="G703" s="269"/>
      <c r="H703" s="269"/>
      <c r="I703" s="269"/>
      <c r="J703" s="271"/>
      <c r="K703" s="272"/>
      <c r="L703" s="269"/>
      <c r="M703" s="273"/>
      <c r="N703" s="269"/>
      <c r="O703" s="269"/>
      <c r="P703" s="274"/>
      <c r="Q703" s="270"/>
      <c r="R703" s="61"/>
      <c r="S703" s="269"/>
      <c r="T703" s="269"/>
      <c r="U703" s="269"/>
      <c r="V703" s="269"/>
      <c r="W703" s="269"/>
      <c r="X703" s="271"/>
      <c r="Y703" s="272"/>
      <c r="Z703" s="272"/>
      <c r="AA703" s="272"/>
      <c r="AB703" s="272"/>
    </row>
    <row r="704" spans="1:28" ht="15" customHeight="1" x14ac:dyDescent="0.25">
      <c r="A704" s="269"/>
      <c r="B704" s="269"/>
      <c r="C704" s="269"/>
      <c r="D704" s="270"/>
      <c r="E704" s="269"/>
      <c r="F704" s="269"/>
      <c r="G704" s="269"/>
      <c r="H704" s="269"/>
      <c r="I704" s="269"/>
      <c r="J704" s="271"/>
      <c r="K704" s="272"/>
      <c r="L704" s="269"/>
      <c r="M704" s="273"/>
      <c r="N704" s="269"/>
      <c r="O704" s="269"/>
      <c r="P704" s="274"/>
      <c r="Q704" s="270"/>
      <c r="R704" s="61"/>
      <c r="S704" s="269"/>
      <c r="T704" s="269"/>
      <c r="U704" s="269"/>
      <c r="V704" s="269"/>
      <c r="W704" s="269"/>
      <c r="X704" s="271"/>
      <c r="Y704" s="272"/>
      <c r="Z704" s="272"/>
      <c r="AA704" s="272"/>
      <c r="AB704" s="272"/>
    </row>
    <row r="705" spans="1:28" ht="15" customHeight="1" x14ac:dyDescent="0.25">
      <c r="A705" s="269"/>
      <c r="B705" s="269"/>
      <c r="C705" s="269"/>
      <c r="D705" s="270"/>
      <c r="E705" s="269"/>
      <c r="F705" s="269"/>
      <c r="G705" s="269"/>
      <c r="H705" s="269"/>
      <c r="I705" s="269"/>
      <c r="J705" s="271"/>
      <c r="K705" s="272"/>
      <c r="L705" s="269"/>
      <c r="M705" s="273"/>
      <c r="N705" s="269"/>
      <c r="O705" s="269"/>
      <c r="P705" s="274"/>
      <c r="Q705" s="270"/>
      <c r="R705" s="61"/>
      <c r="S705" s="269"/>
      <c r="T705" s="269"/>
      <c r="U705" s="269"/>
      <c r="V705" s="269"/>
      <c r="W705" s="269"/>
      <c r="X705" s="271"/>
      <c r="Y705" s="272"/>
      <c r="Z705" s="272"/>
      <c r="AA705" s="272"/>
      <c r="AB705" s="272"/>
    </row>
    <row r="706" spans="1:28" ht="15" customHeight="1" x14ac:dyDescent="0.25">
      <c r="A706" s="269"/>
      <c r="B706" s="269"/>
      <c r="C706" s="269"/>
      <c r="D706" s="270"/>
      <c r="E706" s="269"/>
      <c r="F706" s="269"/>
      <c r="G706" s="269"/>
      <c r="H706" s="269"/>
      <c r="I706" s="269"/>
      <c r="J706" s="271"/>
      <c r="K706" s="272"/>
      <c r="L706" s="269"/>
      <c r="M706" s="273"/>
      <c r="N706" s="269"/>
      <c r="O706" s="269"/>
      <c r="P706" s="274"/>
      <c r="Q706" s="270"/>
      <c r="R706" s="61"/>
      <c r="S706" s="269"/>
      <c r="T706" s="269"/>
      <c r="U706" s="269"/>
      <c r="V706" s="269"/>
      <c r="W706" s="269"/>
      <c r="X706" s="271"/>
      <c r="Y706" s="272"/>
      <c r="Z706" s="272"/>
      <c r="AA706" s="272"/>
      <c r="AB706" s="272"/>
    </row>
    <row r="707" spans="1:28" ht="15" customHeight="1" x14ac:dyDescent="0.25">
      <c r="A707" s="269"/>
      <c r="B707" s="269"/>
      <c r="C707" s="269"/>
      <c r="D707" s="270"/>
      <c r="E707" s="269"/>
      <c r="F707" s="269"/>
      <c r="G707" s="269"/>
      <c r="H707" s="269"/>
      <c r="I707" s="269"/>
      <c r="J707" s="271"/>
      <c r="K707" s="272"/>
      <c r="L707" s="269"/>
      <c r="M707" s="273"/>
      <c r="N707" s="269"/>
      <c r="O707" s="269"/>
      <c r="P707" s="274"/>
      <c r="Q707" s="270"/>
      <c r="R707" s="61"/>
      <c r="S707" s="269"/>
      <c r="T707" s="269"/>
      <c r="U707" s="269"/>
      <c r="V707" s="269"/>
      <c r="W707" s="269"/>
      <c r="X707" s="271"/>
      <c r="Y707" s="272"/>
      <c r="Z707" s="272"/>
      <c r="AA707" s="272"/>
      <c r="AB707" s="272"/>
    </row>
    <row r="708" spans="1:28" ht="15" customHeight="1" x14ac:dyDescent="0.25">
      <c r="A708" s="269"/>
      <c r="B708" s="269"/>
      <c r="C708" s="269"/>
      <c r="D708" s="270"/>
      <c r="E708" s="269"/>
      <c r="F708" s="269"/>
      <c r="G708" s="269"/>
      <c r="H708" s="269"/>
      <c r="I708" s="269"/>
      <c r="J708" s="271"/>
      <c r="K708" s="272"/>
      <c r="L708" s="269"/>
      <c r="M708" s="273"/>
      <c r="N708" s="269"/>
      <c r="O708" s="269"/>
      <c r="P708" s="274"/>
      <c r="Q708" s="270"/>
      <c r="R708" s="61"/>
      <c r="S708" s="269"/>
      <c r="T708" s="269"/>
      <c r="U708" s="269"/>
      <c r="V708" s="269"/>
      <c r="W708" s="269"/>
      <c r="X708" s="271"/>
      <c r="Y708" s="272"/>
      <c r="Z708" s="272"/>
      <c r="AA708" s="272"/>
      <c r="AB708" s="272"/>
    </row>
    <row r="709" spans="1:28" ht="15" customHeight="1" x14ac:dyDescent="0.25">
      <c r="A709" s="269"/>
      <c r="B709" s="269"/>
      <c r="C709" s="269"/>
      <c r="D709" s="270"/>
      <c r="E709" s="269"/>
      <c r="F709" s="269"/>
      <c r="G709" s="269"/>
      <c r="H709" s="269"/>
      <c r="I709" s="269"/>
      <c r="J709" s="271"/>
      <c r="K709" s="272"/>
      <c r="L709" s="269"/>
      <c r="M709" s="273"/>
      <c r="N709" s="269"/>
      <c r="O709" s="269"/>
      <c r="P709" s="274"/>
      <c r="Q709" s="270"/>
      <c r="R709" s="61"/>
      <c r="S709" s="269"/>
      <c r="T709" s="269"/>
      <c r="U709" s="269"/>
      <c r="V709" s="269"/>
      <c r="W709" s="269"/>
      <c r="X709" s="271"/>
      <c r="Y709" s="272"/>
      <c r="Z709" s="272"/>
      <c r="AA709" s="272"/>
      <c r="AB709" s="272"/>
    </row>
    <row r="710" spans="1:28" ht="15" customHeight="1" x14ac:dyDescent="0.25">
      <c r="A710" s="269"/>
      <c r="B710" s="269"/>
      <c r="C710" s="269"/>
      <c r="D710" s="270"/>
      <c r="E710" s="269"/>
      <c r="F710" s="269"/>
      <c r="G710" s="269"/>
      <c r="H710" s="269"/>
      <c r="I710" s="269"/>
      <c r="J710" s="271"/>
      <c r="K710" s="272"/>
      <c r="L710" s="269"/>
      <c r="M710" s="273"/>
      <c r="N710" s="269"/>
      <c r="O710" s="269"/>
      <c r="P710" s="274"/>
      <c r="Q710" s="270"/>
      <c r="R710" s="61"/>
      <c r="S710" s="269"/>
      <c r="T710" s="269"/>
      <c r="U710" s="269"/>
      <c r="V710" s="269"/>
      <c r="W710" s="269"/>
      <c r="X710" s="271"/>
      <c r="Y710" s="272"/>
      <c r="Z710" s="272"/>
      <c r="AA710" s="272"/>
      <c r="AB710" s="272"/>
    </row>
    <row r="711" spans="1:28" ht="15" customHeight="1" x14ac:dyDescent="0.25">
      <c r="A711" s="269"/>
      <c r="B711" s="269"/>
      <c r="C711" s="269"/>
      <c r="D711" s="270"/>
      <c r="E711" s="269"/>
      <c r="F711" s="269"/>
      <c r="G711" s="269"/>
      <c r="H711" s="269"/>
      <c r="I711" s="269"/>
      <c r="J711" s="271"/>
      <c r="K711" s="272"/>
      <c r="L711" s="269"/>
      <c r="M711" s="273"/>
      <c r="N711" s="269"/>
      <c r="O711" s="269"/>
      <c r="P711" s="274"/>
      <c r="Q711" s="270"/>
      <c r="R711" s="61"/>
      <c r="S711" s="269"/>
      <c r="T711" s="269"/>
      <c r="U711" s="269"/>
      <c r="V711" s="269"/>
      <c r="W711" s="269"/>
      <c r="X711" s="271"/>
      <c r="Y711" s="272"/>
      <c r="Z711" s="272"/>
      <c r="AA711" s="272"/>
      <c r="AB711" s="272"/>
    </row>
    <row r="712" spans="1:28" ht="15" customHeight="1" x14ac:dyDescent="0.25">
      <c r="A712" s="269"/>
      <c r="B712" s="269"/>
      <c r="C712" s="269"/>
      <c r="D712" s="270"/>
      <c r="E712" s="269"/>
      <c r="F712" s="269"/>
      <c r="G712" s="269"/>
      <c r="H712" s="269"/>
      <c r="I712" s="269"/>
      <c r="J712" s="271"/>
      <c r="K712" s="272"/>
      <c r="L712" s="269"/>
      <c r="M712" s="273"/>
      <c r="N712" s="269"/>
      <c r="O712" s="269"/>
      <c r="P712" s="274"/>
      <c r="Q712" s="270"/>
      <c r="R712" s="61"/>
      <c r="S712" s="269"/>
      <c r="T712" s="269"/>
      <c r="U712" s="269"/>
      <c r="V712" s="269"/>
      <c r="W712" s="269"/>
      <c r="X712" s="271"/>
      <c r="Y712" s="272"/>
      <c r="Z712" s="272"/>
      <c r="AA712" s="272"/>
      <c r="AB712" s="272"/>
    </row>
    <row r="713" spans="1:28" ht="15" customHeight="1" x14ac:dyDescent="0.25">
      <c r="A713" s="269"/>
      <c r="B713" s="269"/>
      <c r="C713" s="269"/>
      <c r="D713" s="270"/>
      <c r="E713" s="269"/>
      <c r="F713" s="269"/>
      <c r="G713" s="269"/>
      <c r="H713" s="269"/>
      <c r="I713" s="269"/>
      <c r="J713" s="271"/>
      <c r="K713" s="272"/>
      <c r="L713" s="269"/>
      <c r="M713" s="273"/>
      <c r="N713" s="269"/>
      <c r="O713" s="269"/>
      <c r="P713" s="274"/>
      <c r="Q713" s="270"/>
      <c r="R713" s="61"/>
      <c r="S713" s="269"/>
      <c r="T713" s="269"/>
      <c r="U713" s="269"/>
      <c r="V713" s="269"/>
      <c r="W713" s="269"/>
      <c r="X713" s="271"/>
      <c r="Y713" s="272"/>
      <c r="Z713" s="272"/>
      <c r="AA713" s="272"/>
      <c r="AB713" s="272"/>
    </row>
    <row r="714" spans="1:28" ht="15" customHeight="1" x14ac:dyDescent="0.25">
      <c r="A714" s="269"/>
      <c r="B714" s="269"/>
      <c r="C714" s="269"/>
      <c r="D714" s="270"/>
      <c r="E714" s="269"/>
      <c r="F714" s="269"/>
      <c r="G714" s="269"/>
      <c r="H714" s="269"/>
      <c r="I714" s="269"/>
      <c r="J714" s="271"/>
      <c r="K714" s="272"/>
      <c r="L714" s="269"/>
      <c r="M714" s="273"/>
      <c r="N714" s="269"/>
      <c r="O714" s="269"/>
      <c r="P714" s="274"/>
      <c r="Q714" s="270"/>
      <c r="R714" s="61"/>
      <c r="S714" s="269"/>
      <c r="T714" s="269"/>
      <c r="U714" s="269"/>
      <c r="V714" s="269"/>
      <c r="W714" s="269"/>
      <c r="X714" s="271"/>
      <c r="Y714" s="272"/>
      <c r="Z714" s="272"/>
      <c r="AA714" s="272"/>
      <c r="AB714" s="272"/>
    </row>
    <row r="715" spans="1:28" ht="15" customHeight="1" x14ac:dyDescent="0.25">
      <c r="A715" s="269"/>
      <c r="B715" s="269"/>
      <c r="C715" s="269"/>
      <c r="D715" s="270"/>
      <c r="E715" s="269"/>
      <c r="F715" s="269"/>
      <c r="G715" s="269"/>
      <c r="H715" s="269"/>
      <c r="I715" s="269"/>
      <c r="J715" s="271"/>
      <c r="K715" s="272"/>
      <c r="L715" s="269"/>
      <c r="M715" s="273"/>
      <c r="N715" s="269"/>
      <c r="O715" s="269"/>
      <c r="P715" s="274"/>
      <c r="Q715" s="270"/>
      <c r="R715" s="61"/>
      <c r="S715" s="269"/>
      <c r="T715" s="269"/>
      <c r="U715" s="269"/>
      <c r="V715" s="269"/>
      <c r="W715" s="269"/>
      <c r="X715" s="271"/>
      <c r="Y715" s="272"/>
      <c r="Z715" s="272"/>
      <c r="AA715" s="272"/>
      <c r="AB715" s="272"/>
    </row>
    <row r="716" spans="1:28" ht="15" customHeight="1" x14ac:dyDescent="0.25">
      <c r="A716" s="269"/>
      <c r="B716" s="269"/>
      <c r="C716" s="269"/>
      <c r="D716" s="270"/>
      <c r="E716" s="269"/>
      <c r="F716" s="269"/>
      <c r="G716" s="269"/>
      <c r="H716" s="269"/>
      <c r="I716" s="269"/>
      <c r="J716" s="271"/>
      <c r="K716" s="272"/>
      <c r="L716" s="269"/>
      <c r="M716" s="273"/>
      <c r="N716" s="269"/>
      <c r="O716" s="269"/>
      <c r="P716" s="274"/>
      <c r="Q716" s="270"/>
      <c r="R716" s="61"/>
      <c r="S716" s="269"/>
      <c r="T716" s="269"/>
      <c r="U716" s="269"/>
      <c r="V716" s="269"/>
      <c r="W716" s="269"/>
      <c r="X716" s="271"/>
      <c r="Y716" s="272"/>
      <c r="Z716" s="272"/>
      <c r="AA716" s="272"/>
      <c r="AB716" s="272"/>
    </row>
    <row r="717" spans="1:28" ht="15" customHeight="1" x14ac:dyDescent="0.25">
      <c r="A717" s="269"/>
      <c r="B717" s="269"/>
      <c r="C717" s="269"/>
      <c r="D717" s="270"/>
      <c r="E717" s="269"/>
      <c r="F717" s="269"/>
      <c r="G717" s="269"/>
      <c r="H717" s="269"/>
      <c r="I717" s="269"/>
      <c r="J717" s="271"/>
      <c r="K717" s="272"/>
      <c r="L717" s="269"/>
      <c r="M717" s="273"/>
      <c r="N717" s="269"/>
      <c r="O717" s="269"/>
      <c r="P717" s="274"/>
      <c r="Q717" s="270"/>
      <c r="R717" s="61"/>
      <c r="S717" s="269"/>
      <c r="T717" s="269"/>
      <c r="U717" s="269"/>
      <c r="V717" s="269"/>
      <c r="W717" s="269"/>
      <c r="X717" s="271"/>
      <c r="Y717" s="272"/>
      <c r="Z717" s="272"/>
      <c r="AA717" s="272"/>
      <c r="AB717" s="272"/>
    </row>
    <row r="718" spans="1:28" ht="15" customHeight="1" x14ac:dyDescent="0.25">
      <c r="A718" s="269"/>
      <c r="B718" s="269"/>
      <c r="C718" s="269"/>
      <c r="D718" s="270"/>
      <c r="E718" s="269"/>
      <c r="F718" s="269"/>
      <c r="G718" s="269"/>
      <c r="H718" s="269"/>
      <c r="I718" s="269"/>
      <c r="J718" s="271"/>
      <c r="K718" s="272"/>
      <c r="L718" s="269"/>
      <c r="M718" s="273"/>
      <c r="N718" s="269"/>
      <c r="O718" s="269"/>
      <c r="P718" s="274"/>
      <c r="Q718" s="270"/>
      <c r="R718" s="61"/>
      <c r="S718" s="269"/>
      <c r="T718" s="269"/>
      <c r="U718" s="269"/>
      <c r="V718" s="269"/>
      <c r="W718" s="269"/>
      <c r="X718" s="271"/>
      <c r="Y718" s="272"/>
      <c r="Z718" s="272"/>
      <c r="AA718" s="272"/>
      <c r="AB718" s="272"/>
    </row>
  </sheetData>
  <phoneticPr fontId="25" type="noConversion"/>
  <pageMargins left="0.7" right="0.7" top="0.75" bottom="0.75" header="0.3" footer="0.3"/>
  <pageSetup paperSize="9" orientation="portrait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48A1A7-6701-4339-9FAD-0BD5E53689FF}">
  <sheetPr codeName="Sheet6">
    <tabColor theme="2" tint="-0.499984740745262"/>
  </sheetPr>
  <dimension ref="A1:AO1544"/>
  <sheetViews>
    <sheetView workbookViewId="0">
      <pane ySplit="1" topLeftCell="A436" activePane="bottomLeft" state="frozen"/>
      <selection activeCell="T1" sqref="T1"/>
      <selection pane="bottomLeft" activeCell="D1" sqref="D1"/>
    </sheetView>
  </sheetViews>
  <sheetFormatPr defaultRowHeight="14" x14ac:dyDescent="0.25"/>
  <cols>
    <col min="4" max="4" width="18.54296875" customWidth="1"/>
    <col min="5" max="20" width="8.81640625" customWidth="1"/>
    <col min="21" max="21" width="10.81640625" customWidth="1"/>
    <col min="22" max="26" width="8.81640625" customWidth="1"/>
    <col min="27" max="28" width="11" customWidth="1"/>
    <col min="29" max="31" width="8.81640625" customWidth="1"/>
    <col min="32" max="32" width="12.1796875" bestFit="1" customWidth="1"/>
    <col min="33" max="33" width="9" bestFit="1" customWidth="1"/>
    <col min="34" max="36" width="13.1796875" bestFit="1" customWidth="1"/>
    <col min="37" max="37" width="12.81640625" customWidth="1"/>
    <col min="38" max="38" width="9" bestFit="1" customWidth="1"/>
  </cols>
  <sheetData>
    <row r="1" spans="1:41" ht="29" x14ac:dyDescent="0.25">
      <c r="A1" s="86" t="s">
        <v>52</v>
      </c>
      <c r="B1" s="86" t="s">
        <v>53</v>
      </c>
      <c r="C1" s="74" t="s">
        <v>54</v>
      </c>
      <c r="D1" s="75" t="s">
        <v>55</v>
      </c>
      <c r="E1" s="74" t="s">
        <v>56</v>
      </c>
      <c r="F1" s="74" t="s">
        <v>57</v>
      </c>
      <c r="G1" s="75" t="s">
        <v>58</v>
      </c>
      <c r="H1" s="74" t="s">
        <v>59</v>
      </c>
      <c r="I1" s="74" t="s">
        <v>60</v>
      </c>
      <c r="J1" s="74" t="s">
        <v>61</v>
      </c>
      <c r="K1" s="75" t="s">
        <v>62</v>
      </c>
      <c r="L1" s="76" t="s">
        <v>3283</v>
      </c>
      <c r="M1" s="77" t="s">
        <v>3284</v>
      </c>
      <c r="N1" s="77" t="s">
        <v>3285</v>
      </c>
      <c r="O1" s="78" t="s">
        <v>63</v>
      </c>
      <c r="P1" s="77" t="s">
        <v>64</v>
      </c>
      <c r="Q1" s="74" t="s">
        <v>65</v>
      </c>
      <c r="R1" s="74" t="s">
        <v>66</v>
      </c>
      <c r="S1" s="77" t="s">
        <v>2968</v>
      </c>
      <c r="T1" s="79" t="s">
        <v>67</v>
      </c>
      <c r="U1" s="80" t="s">
        <v>68</v>
      </c>
      <c r="V1" s="81" t="s">
        <v>69</v>
      </c>
      <c r="W1" s="82" t="s">
        <v>70</v>
      </c>
      <c r="X1" s="77" t="s">
        <v>3276</v>
      </c>
      <c r="Y1" s="77" t="s">
        <v>71</v>
      </c>
      <c r="Z1" s="80" t="s">
        <v>72</v>
      </c>
      <c r="AA1" s="83" t="s">
        <v>73</v>
      </c>
      <c r="AB1" s="83" t="s">
        <v>74</v>
      </c>
      <c r="AC1" s="83" t="s">
        <v>75</v>
      </c>
      <c r="AD1" s="84" t="s">
        <v>3277</v>
      </c>
      <c r="AE1" s="84" t="s">
        <v>3278</v>
      </c>
      <c r="AF1" s="85" t="s">
        <v>76</v>
      </c>
      <c r="AG1" s="86" t="s">
        <v>3279</v>
      </c>
      <c r="AH1" s="85" t="s">
        <v>77</v>
      </c>
      <c r="AI1" s="85" t="s">
        <v>2969</v>
      </c>
      <c r="AJ1" s="85" t="s">
        <v>2970</v>
      </c>
      <c r="AK1" s="86" t="s">
        <v>78</v>
      </c>
      <c r="AL1" s="87" t="s">
        <v>79</v>
      </c>
      <c r="AM1" s="88" t="s">
        <v>80</v>
      </c>
      <c r="AN1" s="86" t="s">
        <v>81</v>
      </c>
      <c r="AO1" s="86" t="s">
        <v>82</v>
      </c>
    </row>
    <row r="2" spans="1:41" ht="14.5" x14ac:dyDescent="0.25">
      <c r="A2" s="92" t="s">
        <v>83</v>
      </c>
      <c r="B2" s="91"/>
      <c r="C2" s="91" t="s">
        <v>84</v>
      </c>
      <c r="D2" s="92" t="s">
        <v>85</v>
      </c>
      <c r="E2" s="91" t="s">
        <v>86</v>
      </c>
      <c r="F2" s="91" t="s">
        <v>87</v>
      </c>
      <c r="G2" s="56" t="s">
        <v>88</v>
      </c>
      <c r="H2" s="91">
        <v>72</v>
      </c>
      <c r="I2" s="91" t="s">
        <v>89</v>
      </c>
      <c r="J2" s="91" t="s">
        <v>90</v>
      </c>
      <c r="K2" s="92" t="s">
        <v>91</v>
      </c>
      <c r="L2" s="93" t="s">
        <v>3014</v>
      </c>
      <c r="M2" s="94" t="s">
        <v>3286</v>
      </c>
      <c r="N2" s="95" t="s">
        <v>2821</v>
      </c>
      <c r="O2" s="91">
        <v>4</v>
      </c>
      <c r="P2" s="111">
        <f>194/9*O2</f>
        <v>86.222222222222229</v>
      </c>
      <c r="Q2" s="91" t="s">
        <v>16</v>
      </c>
      <c r="R2" s="91">
        <v>8</v>
      </c>
      <c r="S2" s="95"/>
      <c r="T2" s="98"/>
      <c r="U2" s="112">
        <f>R2*P2+350/9*O2</f>
        <v>845.33333333333337</v>
      </c>
      <c r="V2" s="113">
        <f>U2/H2</f>
        <v>11.74074074074074</v>
      </c>
      <c r="W2" s="114">
        <f>V2/7</f>
        <v>1.6772486772486772</v>
      </c>
      <c r="X2" s="95"/>
      <c r="Y2" s="95"/>
      <c r="Z2" s="91"/>
      <c r="AA2" s="103">
        <v>45661</v>
      </c>
      <c r="AB2" s="103">
        <v>45686</v>
      </c>
      <c r="AC2" s="103"/>
      <c r="AD2" s="102">
        <f>IF(ISNA(VLOOKUP(D2,亚马逊入库配置费!B:F,5,0)),0,VLOOKUP(D2,亚马逊入库配置费!B:F,5,0))</f>
        <v>0</v>
      </c>
      <c r="AE2" s="102">
        <f t="shared" ref="AE2:AE65" si="0">H2*AD2</f>
        <v>0</v>
      </c>
      <c r="AF2" s="103">
        <v>45706</v>
      </c>
      <c r="AG2" s="91">
        <f t="shared" ref="AG2:AG65" si="1">AF2-AA2</f>
        <v>45</v>
      </c>
      <c r="AH2" s="103">
        <v>45706</v>
      </c>
      <c r="AI2" s="103">
        <v>45710</v>
      </c>
      <c r="AJ2" s="96">
        <v>72</v>
      </c>
      <c r="AK2" s="91">
        <f t="shared" ref="AK2:AK65" si="2">AI2-AH2</f>
        <v>4</v>
      </c>
      <c r="AL2" s="96">
        <f t="shared" ref="AL2:AL65" si="3">AG2+AK2</f>
        <v>49</v>
      </c>
      <c r="AM2" s="92"/>
      <c r="AN2" s="91"/>
      <c r="AO2" s="91"/>
    </row>
    <row r="3" spans="1:41" ht="14.5" x14ac:dyDescent="0.25">
      <c r="A3" s="92" t="s">
        <v>92</v>
      </c>
      <c r="B3" s="91" t="s">
        <v>3287</v>
      </c>
      <c r="C3" s="91" t="s">
        <v>84</v>
      </c>
      <c r="D3" s="92" t="s">
        <v>85</v>
      </c>
      <c r="E3" s="91" t="s">
        <v>86</v>
      </c>
      <c r="F3" s="91" t="s">
        <v>87</v>
      </c>
      <c r="G3" s="56" t="s">
        <v>93</v>
      </c>
      <c r="H3" s="91">
        <v>90</v>
      </c>
      <c r="I3" s="91" t="s">
        <v>89</v>
      </c>
      <c r="J3" s="91" t="s">
        <v>90</v>
      </c>
      <c r="K3" s="92" t="s">
        <v>91</v>
      </c>
      <c r="L3" s="93" t="s">
        <v>3015</v>
      </c>
      <c r="M3" s="94" t="s">
        <v>3288</v>
      </c>
      <c r="N3" s="95" t="s">
        <v>2821</v>
      </c>
      <c r="O3" s="96">
        <v>5</v>
      </c>
      <c r="P3" s="111">
        <f>194/9*O3</f>
        <v>107.77777777777779</v>
      </c>
      <c r="Q3" s="91" t="s">
        <v>16</v>
      </c>
      <c r="R3" s="91">
        <v>8</v>
      </c>
      <c r="S3" s="95"/>
      <c r="T3" s="98"/>
      <c r="U3" s="112">
        <f>R3*P3+350/9*O3</f>
        <v>1056.6666666666667</v>
      </c>
      <c r="V3" s="113">
        <f t="shared" ref="V3:V66" si="4">U3/H3</f>
        <v>11.740740740740742</v>
      </c>
      <c r="W3" s="114">
        <f t="shared" ref="W3:W66" si="5">V3/7</f>
        <v>1.6772486772486774</v>
      </c>
      <c r="X3" s="95"/>
      <c r="Y3" s="95"/>
      <c r="Z3" s="102"/>
      <c r="AA3" s="103">
        <v>45661</v>
      </c>
      <c r="AB3" s="103">
        <v>45686</v>
      </c>
      <c r="AC3" s="103"/>
      <c r="AD3" s="102">
        <f>IF(ISNA(VLOOKUP(D3,亚马逊入库配置费!B:F,5,0)),0,VLOOKUP(D3,亚马逊入库配置费!B:F,5,0))</f>
        <v>0</v>
      </c>
      <c r="AE3" s="102">
        <f t="shared" si="0"/>
        <v>0</v>
      </c>
      <c r="AF3" s="103">
        <v>45706</v>
      </c>
      <c r="AG3" s="91">
        <f t="shared" si="1"/>
        <v>45</v>
      </c>
      <c r="AH3" s="103">
        <v>45706</v>
      </c>
      <c r="AI3" s="103">
        <v>45710</v>
      </c>
      <c r="AJ3" s="96">
        <v>89</v>
      </c>
      <c r="AK3" s="91">
        <f t="shared" si="2"/>
        <v>4</v>
      </c>
      <c r="AL3" s="96">
        <f t="shared" si="3"/>
        <v>49</v>
      </c>
      <c r="AM3" s="92"/>
      <c r="AN3" s="91"/>
      <c r="AO3" s="91"/>
    </row>
    <row r="4" spans="1:41" ht="14.5" x14ac:dyDescent="0.25">
      <c r="A4" s="92" t="s">
        <v>94</v>
      </c>
      <c r="B4" s="91"/>
      <c r="C4" s="91" t="s">
        <v>95</v>
      </c>
      <c r="D4" s="92" t="s">
        <v>96</v>
      </c>
      <c r="E4" s="91" t="s">
        <v>97</v>
      </c>
      <c r="F4" s="91" t="s">
        <v>0</v>
      </c>
      <c r="G4" s="56" t="s">
        <v>98</v>
      </c>
      <c r="H4" s="91">
        <v>90</v>
      </c>
      <c r="I4" s="91" t="s">
        <v>89</v>
      </c>
      <c r="J4" s="91" t="s">
        <v>8</v>
      </c>
      <c r="K4" s="92" t="s">
        <v>14</v>
      </c>
      <c r="L4" s="93" t="s">
        <v>2820</v>
      </c>
      <c r="M4" s="94" t="s">
        <v>3289</v>
      </c>
      <c r="N4" s="95" t="s">
        <v>3016</v>
      </c>
      <c r="O4" s="96">
        <v>1</v>
      </c>
      <c r="P4" s="111">
        <f>369/18*O4</f>
        <v>20.5</v>
      </c>
      <c r="Q4" s="91" t="s">
        <v>16</v>
      </c>
      <c r="R4" s="91">
        <v>6.6</v>
      </c>
      <c r="S4" s="95"/>
      <c r="T4" s="98"/>
      <c r="U4" s="112">
        <f>R4*P4+350/72*O4</f>
        <v>140.1611111111111</v>
      </c>
      <c r="V4" s="113">
        <f t="shared" si="4"/>
        <v>1.5573456790123454</v>
      </c>
      <c r="W4" s="114">
        <f t="shared" si="5"/>
        <v>0.22247795414462077</v>
      </c>
      <c r="X4" s="95"/>
      <c r="Y4" s="95"/>
      <c r="Z4" s="102"/>
      <c r="AA4" s="103">
        <v>45661</v>
      </c>
      <c r="AB4" s="103">
        <v>45682</v>
      </c>
      <c r="AC4" s="103"/>
      <c r="AD4" s="102">
        <f>IF(ISNA(VLOOKUP(D4,亚马逊入库配置费!B:F,5,0)),0,VLOOKUP(D4,亚马逊入库配置费!B:F,5,0))</f>
        <v>0.34</v>
      </c>
      <c r="AE4" s="102">
        <f t="shared" si="0"/>
        <v>30.6</v>
      </c>
      <c r="AF4" s="103">
        <v>45700</v>
      </c>
      <c r="AG4" s="91">
        <f t="shared" si="1"/>
        <v>39</v>
      </c>
      <c r="AH4" s="103">
        <v>45700</v>
      </c>
      <c r="AI4" s="103">
        <v>45726</v>
      </c>
      <c r="AJ4" s="96">
        <v>90</v>
      </c>
      <c r="AK4" s="91">
        <f t="shared" si="2"/>
        <v>26</v>
      </c>
      <c r="AL4" s="96">
        <f t="shared" si="3"/>
        <v>65</v>
      </c>
      <c r="AM4" s="92"/>
      <c r="AN4" s="91"/>
      <c r="AO4" s="91"/>
    </row>
    <row r="5" spans="1:41" ht="14.5" x14ac:dyDescent="0.25">
      <c r="A5" s="92" t="s">
        <v>99</v>
      </c>
      <c r="B5" s="91"/>
      <c r="C5" s="91" t="s">
        <v>95</v>
      </c>
      <c r="D5" s="92" t="s">
        <v>96</v>
      </c>
      <c r="E5" s="91" t="s">
        <v>97</v>
      </c>
      <c r="F5" s="91" t="s">
        <v>0</v>
      </c>
      <c r="G5" s="56" t="s">
        <v>100</v>
      </c>
      <c r="H5" s="91">
        <v>60</v>
      </c>
      <c r="I5" s="91" t="s">
        <v>89</v>
      </c>
      <c r="J5" s="91" t="s">
        <v>8</v>
      </c>
      <c r="K5" s="92" t="s">
        <v>14</v>
      </c>
      <c r="L5" s="93" t="s">
        <v>2819</v>
      </c>
      <c r="M5" s="94" t="s">
        <v>3290</v>
      </c>
      <c r="N5" s="95" t="s">
        <v>3016</v>
      </c>
      <c r="O5" s="96">
        <f>1/90*H5</f>
        <v>0.66666666666666674</v>
      </c>
      <c r="P5" s="111">
        <f>369/18*O5</f>
        <v>13.666666666666668</v>
      </c>
      <c r="Q5" s="91" t="s">
        <v>16</v>
      </c>
      <c r="R5" s="91">
        <v>6.6</v>
      </c>
      <c r="S5" s="95"/>
      <c r="T5" s="98"/>
      <c r="U5" s="112">
        <f>R5*P5+350/72*O5</f>
        <v>93.44074074074075</v>
      </c>
      <c r="V5" s="113">
        <f t="shared" si="4"/>
        <v>1.5573456790123459</v>
      </c>
      <c r="W5" s="114">
        <f t="shared" si="5"/>
        <v>0.22247795414462085</v>
      </c>
      <c r="X5" s="95"/>
      <c r="Y5" s="95"/>
      <c r="Z5" s="102"/>
      <c r="AA5" s="103">
        <v>45661</v>
      </c>
      <c r="AB5" s="103">
        <v>45682</v>
      </c>
      <c r="AC5" s="103"/>
      <c r="AD5" s="102">
        <f>IF(ISNA(VLOOKUP(D5,亚马逊入库配置费!B:F,5,0)),0,VLOOKUP(D5,亚马逊入库配置费!B:F,5,0))</f>
        <v>0.34</v>
      </c>
      <c r="AE5" s="102">
        <f t="shared" si="0"/>
        <v>20.400000000000002</v>
      </c>
      <c r="AF5" s="103">
        <v>45700</v>
      </c>
      <c r="AG5" s="91">
        <f t="shared" si="1"/>
        <v>39</v>
      </c>
      <c r="AH5" s="103">
        <v>45700</v>
      </c>
      <c r="AI5" s="103">
        <v>45726</v>
      </c>
      <c r="AJ5" s="96">
        <v>60</v>
      </c>
      <c r="AK5" s="91">
        <f t="shared" si="2"/>
        <v>26</v>
      </c>
      <c r="AL5" s="96">
        <f t="shared" si="3"/>
        <v>65</v>
      </c>
      <c r="AM5" s="92"/>
      <c r="AN5" s="91"/>
      <c r="AO5" s="91"/>
    </row>
    <row r="6" spans="1:41" ht="14.5" x14ac:dyDescent="0.25">
      <c r="A6" s="92" t="s">
        <v>101</v>
      </c>
      <c r="B6" s="91"/>
      <c r="C6" s="91" t="s">
        <v>95</v>
      </c>
      <c r="D6" s="92" t="s">
        <v>96</v>
      </c>
      <c r="E6" s="91" t="s">
        <v>97</v>
      </c>
      <c r="F6" s="91" t="s">
        <v>0</v>
      </c>
      <c r="G6" s="56" t="s">
        <v>98</v>
      </c>
      <c r="H6" s="91">
        <v>30</v>
      </c>
      <c r="I6" s="91" t="s">
        <v>89</v>
      </c>
      <c r="J6" s="91" t="s">
        <v>8</v>
      </c>
      <c r="K6" s="92" t="s">
        <v>14</v>
      </c>
      <c r="L6" s="93" t="s">
        <v>2820</v>
      </c>
      <c r="M6" s="94" t="s">
        <v>3289</v>
      </c>
      <c r="N6" s="95" t="s">
        <v>3016</v>
      </c>
      <c r="O6" s="96">
        <f>1/90*H6</f>
        <v>0.33333333333333337</v>
      </c>
      <c r="P6" s="111">
        <f>369/18*O6</f>
        <v>6.8333333333333339</v>
      </c>
      <c r="Q6" s="91" t="s">
        <v>16</v>
      </c>
      <c r="R6" s="91">
        <v>6.6</v>
      </c>
      <c r="S6" s="95"/>
      <c r="T6" s="98"/>
      <c r="U6" s="112">
        <f>R6*P6+350/72*O6</f>
        <v>46.720370370370375</v>
      </c>
      <c r="V6" s="113">
        <f t="shared" si="4"/>
        <v>1.5573456790123459</v>
      </c>
      <c r="W6" s="114">
        <f t="shared" si="5"/>
        <v>0.22247795414462085</v>
      </c>
      <c r="X6" s="95"/>
      <c r="Y6" s="95"/>
      <c r="Z6" s="102"/>
      <c r="AA6" s="103">
        <v>45661</v>
      </c>
      <c r="AB6" s="103">
        <v>45682</v>
      </c>
      <c r="AC6" s="103"/>
      <c r="AD6" s="102">
        <f>IF(ISNA(VLOOKUP(D6,亚马逊入库配置费!B:F,5,0)),0,VLOOKUP(D6,亚马逊入库配置费!B:F,5,0))</f>
        <v>0.34</v>
      </c>
      <c r="AE6" s="102">
        <f t="shared" si="0"/>
        <v>10.200000000000001</v>
      </c>
      <c r="AF6" s="103">
        <v>45700</v>
      </c>
      <c r="AG6" s="91">
        <f t="shared" si="1"/>
        <v>39</v>
      </c>
      <c r="AH6" s="103">
        <v>45700</v>
      </c>
      <c r="AI6" s="103">
        <v>45726</v>
      </c>
      <c r="AJ6" s="96">
        <v>30</v>
      </c>
      <c r="AK6" s="91">
        <f t="shared" si="2"/>
        <v>26</v>
      </c>
      <c r="AL6" s="96">
        <f t="shared" si="3"/>
        <v>65</v>
      </c>
      <c r="AM6" s="92"/>
      <c r="AN6" s="91"/>
      <c r="AO6" s="91"/>
    </row>
    <row r="7" spans="1:41" ht="14.5" x14ac:dyDescent="0.25">
      <c r="A7" s="92" t="s">
        <v>102</v>
      </c>
      <c r="B7" s="91"/>
      <c r="C7" s="91" t="s">
        <v>103</v>
      </c>
      <c r="D7" s="92" t="s">
        <v>104</v>
      </c>
      <c r="E7" s="91" t="s">
        <v>97</v>
      </c>
      <c r="F7" s="91" t="s">
        <v>0</v>
      </c>
      <c r="G7" s="56" t="s">
        <v>88</v>
      </c>
      <c r="H7" s="91">
        <v>144</v>
      </c>
      <c r="I7" s="91" t="s">
        <v>89</v>
      </c>
      <c r="J7" s="91" t="s">
        <v>8</v>
      </c>
      <c r="K7" s="92" t="s">
        <v>10</v>
      </c>
      <c r="L7" s="93" t="s">
        <v>3014</v>
      </c>
      <c r="M7" s="94" t="s">
        <v>3286</v>
      </c>
      <c r="N7" s="95" t="s">
        <v>2821</v>
      </c>
      <c r="O7" s="96">
        <v>8</v>
      </c>
      <c r="P7" s="111">
        <f>409/19*O7</f>
        <v>172.21052631578948</v>
      </c>
      <c r="Q7" s="91" t="s">
        <v>16</v>
      </c>
      <c r="R7" s="91">
        <v>5.6</v>
      </c>
      <c r="S7" s="95"/>
      <c r="T7" s="98"/>
      <c r="U7" s="112">
        <f>R7*P7+350/137*O7</f>
        <v>984.81690357280058</v>
      </c>
      <c r="V7" s="113">
        <f t="shared" si="4"/>
        <v>6.8390062748111156</v>
      </c>
      <c r="W7" s="114">
        <f t="shared" si="5"/>
        <v>0.97700089640158794</v>
      </c>
      <c r="X7" s="95"/>
      <c r="Y7" s="95"/>
      <c r="Z7" s="102"/>
      <c r="AA7" s="103">
        <v>45661</v>
      </c>
      <c r="AB7" s="103">
        <v>45682</v>
      </c>
      <c r="AC7" s="103"/>
      <c r="AD7" s="102">
        <f>IF(ISNA(VLOOKUP(D7,亚马逊入库配置费!B:F,5,0)),0,VLOOKUP(D7,亚马逊入库配置费!B:F,5,0))</f>
        <v>0.34</v>
      </c>
      <c r="AE7" s="102">
        <f t="shared" si="0"/>
        <v>48.96</v>
      </c>
      <c r="AF7" s="103">
        <v>45699</v>
      </c>
      <c r="AG7" s="91">
        <f t="shared" si="1"/>
        <v>38</v>
      </c>
      <c r="AH7" s="103">
        <v>45699</v>
      </c>
      <c r="AI7" s="103">
        <v>45727</v>
      </c>
      <c r="AJ7" s="96">
        <v>145</v>
      </c>
      <c r="AK7" s="91">
        <f t="shared" si="2"/>
        <v>28</v>
      </c>
      <c r="AL7" s="96">
        <f t="shared" si="3"/>
        <v>66</v>
      </c>
      <c r="AM7" s="92"/>
      <c r="AN7" s="91"/>
      <c r="AO7" s="91"/>
    </row>
    <row r="8" spans="1:41" ht="14.5" x14ac:dyDescent="0.25">
      <c r="A8" s="92" t="s">
        <v>105</v>
      </c>
      <c r="B8" s="91" t="s">
        <v>3291</v>
      </c>
      <c r="C8" s="91" t="s">
        <v>103</v>
      </c>
      <c r="D8" s="92" t="s">
        <v>104</v>
      </c>
      <c r="E8" s="91" t="s">
        <v>97</v>
      </c>
      <c r="F8" s="91" t="s">
        <v>0</v>
      </c>
      <c r="G8" s="56" t="s">
        <v>93</v>
      </c>
      <c r="H8" s="91">
        <v>198</v>
      </c>
      <c r="I8" s="91" t="s">
        <v>89</v>
      </c>
      <c r="J8" s="91" t="s">
        <v>8</v>
      </c>
      <c r="K8" s="92" t="s">
        <v>10</v>
      </c>
      <c r="L8" s="93" t="s">
        <v>3015</v>
      </c>
      <c r="M8" s="94" t="s">
        <v>3288</v>
      </c>
      <c r="N8" s="95" t="s">
        <v>2821</v>
      </c>
      <c r="O8" s="96">
        <v>11</v>
      </c>
      <c r="P8" s="111">
        <f>409/19*O8</f>
        <v>236.78947368421052</v>
      </c>
      <c r="Q8" s="91" t="s">
        <v>16</v>
      </c>
      <c r="R8" s="91">
        <v>5.6</v>
      </c>
      <c r="S8" s="95"/>
      <c r="T8" s="98"/>
      <c r="U8" s="112">
        <f>R8*P8+350/137*O8</f>
        <v>1354.1232424126008</v>
      </c>
      <c r="V8" s="113">
        <f t="shared" si="4"/>
        <v>6.8390062748111156</v>
      </c>
      <c r="W8" s="114">
        <f t="shared" si="5"/>
        <v>0.97700089640158794</v>
      </c>
      <c r="X8" s="95"/>
      <c r="Y8" s="95"/>
      <c r="Z8" s="102"/>
      <c r="AA8" s="103">
        <v>45661</v>
      </c>
      <c r="AB8" s="103">
        <v>45682</v>
      </c>
      <c r="AC8" s="103"/>
      <c r="AD8" s="102">
        <f>IF(ISNA(VLOOKUP(D8,亚马逊入库配置费!B:F,5,0)),0,VLOOKUP(D8,亚马逊入库配置费!B:F,5,0))</f>
        <v>0.34</v>
      </c>
      <c r="AE8" s="102">
        <f t="shared" si="0"/>
        <v>67.320000000000007</v>
      </c>
      <c r="AF8" s="103">
        <v>45699</v>
      </c>
      <c r="AG8" s="91">
        <f t="shared" si="1"/>
        <v>38</v>
      </c>
      <c r="AH8" s="103">
        <v>45699</v>
      </c>
      <c r="AI8" s="103">
        <v>45727</v>
      </c>
      <c r="AJ8" s="96">
        <v>196</v>
      </c>
      <c r="AK8" s="91">
        <f t="shared" si="2"/>
        <v>28</v>
      </c>
      <c r="AL8" s="96">
        <f t="shared" si="3"/>
        <v>66</v>
      </c>
      <c r="AM8" s="92"/>
      <c r="AN8" s="91"/>
      <c r="AO8" s="91"/>
    </row>
    <row r="9" spans="1:41" ht="14.5" x14ac:dyDescent="0.25">
      <c r="A9" s="92" t="s">
        <v>106</v>
      </c>
      <c r="B9" s="91"/>
      <c r="C9" s="91" t="s">
        <v>103</v>
      </c>
      <c r="D9" s="92" t="s">
        <v>107</v>
      </c>
      <c r="E9" s="91" t="s">
        <v>97</v>
      </c>
      <c r="F9" s="91" t="s">
        <v>0</v>
      </c>
      <c r="G9" s="56" t="s">
        <v>88</v>
      </c>
      <c r="H9" s="91">
        <v>90</v>
      </c>
      <c r="I9" s="91" t="s">
        <v>89</v>
      </c>
      <c r="J9" s="91" t="s">
        <v>8</v>
      </c>
      <c r="K9" s="92" t="s">
        <v>13</v>
      </c>
      <c r="L9" s="93" t="s">
        <v>3014</v>
      </c>
      <c r="M9" s="94" t="s">
        <v>3286</v>
      </c>
      <c r="N9" s="95" t="s">
        <v>2821</v>
      </c>
      <c r="O9" s="96">
        <v>5</v>
      </c>
      <c r="P9" s="111">
        <f>280/13*O9</f>
        <v>107.69230769230771</v>
      </c>
      <c r="Q9" s="91" t="s">
        <v>16</v>
      </c>
      <c r="R9" s="91">
        <v>5.6</v>
      </c>
      <c r="S9" s="95"/>
      <c r="T9" s="98"/>
      <c r="U9" s="112">
        <f>R9*P9+350/137*O9</f>
        <v>615.85064570466034</v>
      </c>
      <c r="V9" s="113">
        <f t="shared" si="4"/>
        <v>6.8427849522740036</v>
      </c>
      <c r="W9" s="114">
        <f t="shared" si="5"/>
        <v>0.97754070746771482</v>
      </c>
      <c r="X9" s="95"/>
      <c r="Y9" s="95"/>
      <c r="Z9" s="102"/>
      <c r="AA9" s="103">
        <v>45661</v>
      </c>
      <c r="AB9" s="103">
        <v>45682</v>
      </c>
      <c r="AC9" s="103"/>
      <c r="AD9" s="102">
        <f>IF(ISNA(VLOOKUP(D9,亚马逊入库配置费!B:F,5,0)),0,VLOOKUP(D9,亚马逊入库配置费!B:F,5,0))</f>
        <v>0.27625</v>
      </c>
      <c r="AE9" s="102">
        <f t="shared" si="0"/>
        <v>24.862500000000001</v>
      </c>
      <c r="AF9" s="103">
        <v>45699</v>
      </c>
      <c r="AG9" s="91">
        <f t="shared" si="1"/>
        <v>38</v>
      </c>
      <c r="AH9" s="103">
        <v>45699</v>
      </c>
      <c r="AI9" s="103">
        <v>45730</v>
      </c>
      <c r="AJ9" s="96">
        <v>92</v>
      </c>
      <c r="AK9" s="91">
        <f t="shared" si="2"/>
        <v>31</v>
      </c>
      <c r="AL9" s="96">
        <f t="shared" si="3"/>
        <v>69</v>
      </c>
      <c r="AM9" s="92"/>
      <c r="AN9" s="91"/>
      <c r="AO9" s="91"/>
    </row>
    <row r="10" spans="1:41" ht="14.5" x14ac:dyDescent="0.25">
      <c r="A10" s="92" t="s">
        <v>108</v>
      </c>
      <c r="B10" s="91"/>
      <c r="C10" s="91" t="s">
        <v>103</v>
      </c>
      <c r="D10" s="92" t="s">
        <v>107</v>
      </c>
      <c r="E10" s="91" t="s">
        <v>97</v>
      </c>
      <c r="F10" s="91" t="s">
        <v>0</v>
      </c>
      <c r="G10" s="56" t="s">
        <v>93</v>
      </c>
      <c r="H10" s="91">
        <v>144</v>
      </c>
      <c r="I10" s="91" t="s">
        <v>89</v>
      </c>
      <c r="J10" s="91" t="s">
        <v>8</v>
      </c>
      <c r="K10" s="92" t="s">
        <v>13</v>
      </c>
      <c r="L10" s="93" t="s">
        <v>3015</v>
      </c>
      <c r="M10" s="94" t="s">
        <v>3288</v>
      </c>
      <c r="N10" s="95" t="s">
        <v>2821</v>
      </c>
      <c r="O10" s="96">
        <v>8</v>
      </c>
      <c r="P10" s="111">
        <f>280/13*O10</f>
        <v>172.30769230769232</v>
      </c>
      <c r="Q10" s="91" t="s">
        <v>16</v>
      </c>
      <c r="R10" s="91">
        <v>5.6</v>
      </c>
      <c r="S10" s="95"/>
      <c r="T10" s="98"/>
      <c r="U10" s="112">
        <f>R10*P10+350/137*O10</f>
        <v>985.36103312745649</v>
      </c>
      <c r="V10" s="113">
        <f t="shared" si="4"/>
        <v>6.8427849522740036</v>
      </c>
      <c r="W10" s="114">
        <f t="shared" si="5"/>
        <v>0.97754070746771482</v>
      </c>
      <c r="X10" s="95"/>
      <c r="Y10" s="95"/>
      <c r="Z10" s="102"/>
      <c r="AA10" s="103">
        <v>45661</v>
      </c>
      <c r="AB10" s="103">
        <v>45682</v>
      </c>
      <c r="AC10" s="103"/>
      <c r="AD10" s="102">
        <f>IF(ISNA(VLOOKUP(D10,亚马逊入库配置费!B:F,5,0)),0,VLOOKUP(D10,亚马逊入库配置费!B:F,5,0))</f>
        <v>0.27625</v>
      </c>
      <c r="AE10" s="102">
        <f t="shared" si="0"/>
        <v>39.78</v>
      </c>
      <c r="AF10" s="103">
        <v>45699</v>
      </c>
      <c r="AG10" s="91">
        <f t="shared" si="1"/>
        <v>38</v>
      </c>
      <c r="AH10" s="103">
        <v>45699</v>
      </c>
      <c r="AI10" s="103">
        <v>45730</v>
      </c>
      <c r="AJ10" s="96">
        <v>143</v>
      </c>
      <c r="AK10" s="91">
        <f t="shared" si="2"/>
        <v>31</v>
      </c>
      <c r="AL10" s="96">
        <f t="shared" si="3"/>
        <v>69</v>
      </c>
      <c r="AM10" s="92"/>
      <c r="AN10" s="91"/>
      <c r="AO10" s="91"/>
    </row>
    <row r="11" spans="1:41" ht="14.5" x14ac:dyDescent="0.25">
      <c r="A11" s="92" t="s">
        <v>109</v>
      </c>
      <c r="B11" s="91"/>
      <c r="C11" s="91" t="s">
        <v>95</v>
      </c>
      <c r="D11" s="92" t="s">
        <v>110</v>
      </c>
      <c r="E11" s="91" t="s">
        <v>97</v>
      </c>
      <c r="F11" s="91" t="s">
        <v>0</v>
      </c>
      <c r="G11" s="56" t="s">
        <v>88</v>
      </c>
      <c r="H11" s="91">
        <v>126</v>
      </c>
      <c r="I11" s="91" t="s">
        <v>89</v>
      </c>
      <c r="J11" s="91" t="s">
        <v>8</v>
      </c>
      <c r="K11" s="92" t="s">
        <v>14</v>
      </c>
      <c r="L11" s="93" t="s">
        <v>3014</v>
      </c>
      <c r="M11" s="94" t="s">
        <v>3286</v>
      </c>
      <c r="N11" s="95" t="s">
        <v>2821</v>
      </c>
      <c r="O11" s="96">
        <v>7</v>
      </c>
      <c r="P11" s="111">
        <f>369/18*O11</f>
        <v>143.5</v>
      </c>
      <c r="Q11" s="91" t="s">
        <v>16</v>
      </c>
      <c r="R11" s="91">
        <v>6.6</v>
      </c>
      <c r="S11" s="95"/>
      <c r="T11" s="98"/>
      <c r="U11" s="112">
        <f>R11*P11+350/72*O11</f>
        <v>981.12777777777774</v>
      </c>
      <c r="V11" s="113">
        <f t="shared" si="4"/>
        <v>7.7867283950617283</v>
      </c>
      <c r="W11" s="114">
        <f t="shared" si="5"/>
        <v>1.1123897707231041</v>
      </c>
      <c r="X11" s="95"/>
      <c r="Y11" s="95"/>
      <c r="Z11" s="102"/>
      <c r="AA11" s="103">
        <v>45661</v>
      </c>
      <c r="AB11" s="103">
        <v>45682</v>
      </c>
      <c r="AC11" s="103"/>
      <c r="AD11" s="102">
        <f>IF(ISNA(VLOOKUP(D11,亚马逊入库配置费!B:F,5,0)),0,VLOOKUP(D11,亚马逊入库配置费!B:F,5,0))</f>
        <v>0.34</v>
      </c>
      <c r="AE11" s="102">
        <f t="shared" si="0"/>
        <v>42.84</v>
      </c>
      <c r="AF11" s="103">
        <v>45700</v>
      </c>
      <c r="AG11" s="91">
        <f t="shared" si="1"/>
        <v>39</v>
      </c>
      <c r="AH11" s="103">
        <v>45700</v>
      </c>
      <c r="AI11" s="103">
        <v>45728</v>
      </c>
      <c r="AJ11" s="96">
        <v>127</v>
      </c>
      <c r="AK11" s="91">
        <f t="shared" si="2"/>
        <v>28</v>
      </c>
      <c r="AL11" s="96">
        <f t="shared" si="3"/>
        <v>67</v>
      </c>
      <c r="AM11" s="92"/>
      <c r="AN11" s="91"/>
      <c r="AO11" s="91"/>
    </row>
    <row r="12" spans="1:41" ht="14.5" x14ac:dyDescent="0.25">
      <c r="A12" s="92" t="s">
        <v>111</v>
      </c>
      <c r="B12" s="91"/>
      <c r="C12" s="91" t="s">
        <v>95</v>
      </c>
      <c r="D12" s="92" t="s">
        <v>110</v>
      </c>
      <c r="E12" s="91" t="s">
        <v>97</v>
      </c>
      <c r="F12" s="91" t="s">
        <v>0</v>
      </c>
      <c r="G12" s="56" t="s">
        <v>93</v>
      </c>
      <c r="H12" s="91">
        <v>162</v>
      </c>
      <c r="I12" s="91" t="s">
        <v>89</v>
      </c>
      <c r="J12" s="91" t="s">
        <v>8</v>
      </c>
      <c r="K12" s="92" t="s">
        <v>14</v>
      </c>
      <c r="L12" s="93" t="s">
        <v>3015</v>
      </c>
      <c r="M12" s="94" t="s">
        <v>3288</v>
      </c>
      <c r="N12" s="95" t="s">
        <v>2821</v>
      </c>
      <c r="O12" s="96">
        <v>9</v>
      </c>
      <c r="P12" s="111">
        <f>369/18*O12</f>
        <v>184.5</v>
      </c>
      <c r="Q12" s="91" t="s">
        <v>16</v>
      </c>
      <c r="R12" s="91">
        <v>6.6</v>
      </c>
      <c r="S12" s="95"/>
      <c r="T12" s="98"/>
      <c r="U12" s="112">
        <f>R12*P12+350/72*O12</f>
        <v>1261.45</v>
      </c>
      <c r="V12" s="113">
        <f t="shared" si="4"/>
        <v>7.7867283950617283</v>
      </c>
      <c r="W12" s="114">
        <f t="shared" si="5"/>
        <v>1.1123897707231041</v>
      </c>
      <c r="X12" s="95"/>
      <c r="Y12" s="95"/>
      <c r="Z12" s="102"/>
      <c r="AA12" s="103">
        <v>45661</v>
      </c>
      <c r="AB12" s="103">
        <v>45682</v>
      </c>
      <c r="AC12" s="103"/>
      <c r="AD12" s="102">
        <f>IF(ISNA(VLOOKUP(D12,亚马逊入库配置费!B:F,5,0)),0,VLOOKUP(D12,亚马逊入库配置费!B:F,5,0))</f>
        <v>0.34</v>
      </c>
      <c r="AE12" s="102">
        <f t="shared" si="0"/>
        <v>55.080000000000005</v>
      </c>
      <c r="AF12" s="103">
        <v>45700</v>
      </c>
      <c r="AG12" s="91">
        <f t="shared" si="1"/>
        <v>39</v>
      </c>
      <c r="AH12" s="103">
        <v>45700</v>
      </c>
      <c r="AI12" s="103">
        <v>45728</v>
      </c>
      <c r="AJ12" s="96">
        <v>162</v>
      </c>
      <c r="AK12" s="91">
        <f t="shared" si="2"/>
        <v>28</v>
      </c>
      <c r="AL12" s="96">
        <f t="shared" si="3"/>
        <v>67</v>
      </c>
      <c r="AM12" s="92"/>
      <c r="AN12" s="91"/>
      <c r="AO12" s="91"/>
    </row>
    <row r="13" spans="1:41" ht="14.5" x14ac:dyDescent="0.25">
      <c r="A13" s="92" t="s">
        <v>112</v>
      </c>
      <c r="B13" s="91"/>
      <c r="C13" s="91" t="s">
        <v>113</v>
      </c>
      <c r="D13" s="92" t="s">
        <v>114</v>
      </c>
      <c r="E13" s="91" t="s">
        <v>115</v>
      </c>
      <c r="F13" s="91" t="s">
        <v>0</v>
      </c>
      <c r="G13" s="56" t="s">
        <v>116</v>
      </c>
      <c r="H13" s="91">
        <v>4</v>
      </c>
      <c r="I13" s="91" t="s">
        <v>117</v>
      </c>
      <c r="J13" s="91" t="s">
        <v>8</v>
      </c>
      <c r="K13" s="92" t="s">
        <v>34</v>
      </c>
      <c r="L13" s="93" t="s">
        <v>3017</v>
      </c>
      <c r="M13" s="94" t="s">
        <v>3292</v>
      </c>
      <c r="N13" s="95" t="s">
        <v>2831</v>
      </c>
      <c r="O13" s="96">
        <v>1</v>
      </c>
      <c r="P13" s="111">
        <f>153/9*O13</f>
        <v>17</v>
      </c>
      <c r="Q13" s="91" t="s">
        <v>16</v>
      </c>
      <c r="R13" s="91">
        <v>8.4</v>
      </c>
      <c r="S13" s="95"/>
      <c r="T13" s="98"/>
      <c r="U13" s="112">
        <f>R13*P13+350/14*O13</f>
        <v>167.8</v>
      </c>
      <c r="V13" s="113">
        <f t="shared" si="4"/>
        <v>41.95</v>
      </c>
      <c r="W13" s="114">
        <f t="shared" si="5"/>
        <v>5.9928571428571429</v>
      </c>
      <c r="X13" s="95"/>
      <c r="Y13" s="95"/>
      <c r="Z13" s="102"/>
      <c r="AA13" s="103">
        <v>45661</v>
      </c>
      <c r="AB13" s="103">
        <v>45680</v>
      </c>
      <c r="AC13" s="103"/>
      <c r="AD13" s="102">
        <f>IF(ISNA(VLOOKUP(D13,亚马逊入库配置费!B:F,5,0)),0,VLOOKUP(D13,亚马逊入库配置费!B:F,5,0))</f>
        <v>0</v>
      </c>
      <c r="AE13" s="102">
        <f t="shared" si="0"/>
        <v>0</v>
      </c>
      <c r="AF13" s="103">
        <v>45698</v>
      </c>
      <c r="AG13" s="91">
        <f t="shared" si="1"/>
        <v>37</v>
      </c>
      <c r="AH13" s="103">
        <v>45698</v>
      </c>
      <c r="AI13" s="103">
        <v>45702</v>
      </c>
      <c r="AJ13" s="96">
        <v>5</v>
      </c>
      <c r="AK13" s="91">
        <f t="shared" si="2"/>
        <v>4</v>
      </c>
      <c r="AL13" s="96">
        <f t="shared" si="3"/>
        <v>41</v>
      </c>
      <c r="AM13" s="92"/>
      <c r="AN13" s="91"/>
      <c r="AO13" s="91"/>
    </row>
    <row r="14" spans="1:41" ht="14.5" x14ac:dyDescent="0.25">
      <c r="A14" s="92" t="s">
        <v>118</v>
      </c>
      <c r="B14" s="91"/>
      <c r="C14" s="91" t="s">
        <v>113</v>
      </c>
      <c r="D14" s="92" t="s">
        <v>114</v>
      </c>
      <c r="E14" s="91" t="s">
        <v>115</v>
      </c>
      <c r="F14" s="91" t="s">
        <v>0</v>
      </c>
      <c r="G14" s="56" t="s">
        <v>119</v>
      </c>
      <c r="H14" s="91">
        <v>32</v>
      </c>
      <c r="I14" s="91" t="s">
        <v>117</v>
      </c>
      <c r="J14" s="91" t="s">
        <v>8</v>
      </c>
      <c r="K14" s="92" t="s">
        <v>34</v>
      </c>
      <c r="L14" s="93" t="s">
        <v>3018</v>
      </c>
      <c r="M14" s="94" t="s">
        <v>3293</v>
      </c>
      <c r="N14" s="95" t="s">
        <v>2831</v>
      </c>
      <c r="O14" s="96">
        <v>8</v>
      </c>
      <c r="P14" s="111">
        <f>153/9*O14</f>
        <v>136</v>
      </c>
      <c r="Q14" s="91" t="s">
        <v>16</v>
      </c>
      <c r="R14" s="91">
        <v>8.4</v>
      </c>
      <c r="S14" s="95"/>
      <c r="T14" s="98"/>
      <c r="U14" s="112">
        <f>R14*P14+350/14*O14</f>
        <v>1342.4</v>
      </c>
      <c r="V14" s="113">
        <f t="shared" si="4"/>
        <v>41.95</v>
      </c>
      <c r="W14" s="114">
        <f t="shared" si="5"/>
        <v>5.9928571428571429</v>
      </c>
      <c r="X14" s="95"/>
      <c r="Y14" s="95"/>
      <c r="Z14" s="102"/>
      <c r="AA14" s="103">
        <v>45661</v>
      </c>
      <c r="AB14" s="103">
        <v>45680</v>
      </c>
      <c r="AC14" s="103"/>
      <c r="AD14" s="102">
        <f>IF(ISNA(VLOOKUP(D14,亚马逊入库配置费!B:F,5,0)),0,VLOOKUP(D14,亚马逊入库配置费!B:F,5,0))</f>
        <v>0</v>
      </c>
      <c r="AE14" s="102">
        <f t="shared" si="0"/>
        <v>0</v>
      </c>
      <c r="AF14" s="103">
        <v>45698</v>
      </c>
      <c r="AG14" s="91">
        <f t="shared" si="1"/>
        <v>37</v>
      </c>
      <c r="AH14" s="103">
        <v>45698</v>
      </c>
      <c r="AI14" s="103">
        <v>45702</v>
      </c>
      <c r="AJ14" s="96">
        <v>31</v>
      </c>
      <c r="AK14" s="91">
        <f t="shared" si="2"/>
        <v>4</v>
      </c>
      <c r="AL14" s="96">
        <f t="shared" si="3"/>
        <v>41</v>
      </c>
      <c r="AM14" s="92"/>
      <c r="AN14" s="91"/>
      <c r="AO14" s="91"/>
    </row>
    <row r="15" spans="1:41" ht="14.5" x14ac:dyDescent="0.25">
      <c r="A15" s="92" t="s">
        <v>120</v>
      </c>
      <c r="B15" s="91"/>
      <c r="C15" s="91" t="s">
        <v>121</v>
      </c>
      <c r="D15" s="92" t="s">
        <v>122</v>
      </c>
      <c r="E15" s="91" t="s">
        <v>115</v>
      </c>
      <c r="F15" s="91" t="s">
        <v>0</v>
      </c>
      <c r="G15" s="56" t="s">
        <v>116</v>
      </c>
      <c r="H15" s="91">
        <v>28</v>
      </c>
      <c r="I15" s="91" t="s">
        <v>117</v>
      </c>
      <c r="J15" s="91" t="s">
        <v>2</v>
      </c>
      <c r="K15" s="92" t="s">
        <v>18</v>
      </c>
      <c r="L15" s="93" t="s">
        <v>3017</v>
      </c>
      <c r="M15" s="94" t="s">
        <v>3292</v>
      </c>
      <c r="N15" s="95" t="s">
        <v>2831</v>
      </c>
      <c r="O15" s="96">
        <v>7</v>
      </c>
      <c r="P15" s="111">
        <f>236/14*O15</f>
        <v>118</v>
      </c>
      <c r="Q15" s="91" t="s">
        <v>16</v>
      </c>
      <c r="R15" s="91">
        <v>7.6</v>
      </c>
      <c r="S15" s="95"/>
      <c r="T15" s="98"/>
      <c r="U15" s="115">
        <f t="shared" ref="U15:U20" si="6">R15*P15+350/40*O15</f>
        <v>958.05</v>
      </c>
      <c r="V15" s="113">
        <f t="shared" si="4"/>
        <v>34.216071428571425</v>
      </c>
      <c r="W15" s="114">
        <f t="shared" si="5"/>
        <v>4.888010204081632</v>
      </c>
      <c r="X15" s="95"/>
      <c r="Y15" s="95"/>
      <c r="Z15" s="102"/>
      <c r="AA15" s="103">
        <v>45661</v>
      </c>
      <c r="AB15" s="103">
        <v>45699</v>
      </c>
      <c r="AC15" s="103"/>
      <c r="AD15" s="102">
        <f>IF(ISNA(VLOOKUP(D15,亚马逊入库配置费!B:F,5,0)),0,VLOOKUP(D15,亚马逊入库配置费!B:F,5,0))</f>
        <v>0</v>
      </c>
      <c r="AE15" s="102">
        <f t="shared" si="0"/>
        <v>0</v>
      </c>
      <c r="AF15" s="103">
        <v>45717</v>
      </c>
      <c r="AG15" s="91">
        <f t="shared" si="1"/>
        <v>56</v>
      </c>
      <c r="AH15" s="103">
        <v>45717</v>
      </c>
      <c r="AI15" s="103">
        <v>45719</v>
      </c>
      <c r="AJ15" s="96">
        <v>28</v>
      </c>
      <c r="AK15" s="91">
        <f t="shared" si="2"/>
        <v>2</v>
      </c>
      <c r="AL15" s="96">
        <f t="shared" si="3"/>
        <v>58</v>
      </c>
      <c r="AM15" s="92"/>
      <c r="AN15" s="91"/>
      <c r="AO15" s="91"/>
    </row>
    <row r="16" spans="1:41" ht="14.5" x14ac:dyDescent="0.25">
      <c r="A16" s="92" t="s">
        <v>123</v>
      </c>
      <c r="B16" s="91"/>
      <c r="C16" s="91" t="s">
        <v>121</v>
      </c>
      <c r="D16" s="92" t="s">
        <v>122</v>
      </c>
      <c r="E16" s="91" t="s">
        <v>115</v>
      </c>
      <c r="F16" s="91" t="s">
        <v>0</v>
      </c>
      <c r="G16" s="56" t="s">
        <v>119</v>
      </c>
      <c r="H16" s="91">
        <v>20</v>
      </c>
      <c r="I16" s="91" t="s">
        <v>117</v>
      </c>
      <c r="J16" s="91" t="s">
        <v>2</v>
      </c>
      <c r="K16" s="92" t="s">
        <v>18</v>
      </c>
      <c r="L16" s="93" t="s">
        <v>3018</v>
      </c>
      <c r="M16" s="94" t="s">
        <v>3293</v>
      </c>
      <c r="N16" s="95" t="s">
        <v>2831</v>
      </c>
      <c r="O16" s="96">
        <v>5</v>
      </c>
      <c r="P16" s="111">
        <f>236/14*O16</f>
        <v>84.285714285714292</v>
      </c>
      <c r="Q16" s="91" t="s">
        <v>16</v>
      </c>
      <c r="R16" s="91">
        <v>7.6</v>
      </c>
      <c r="S16" s="95"/>
      <c r="T16" s="98"/>
      <c r="U16" s="115">
        <f t="shared" si="6"/>
        <v>684.32142857142856</v>
      </c>
      <c r="V16" s="113">
        <f t="shared" si="4"/>
        <v>34.216071428571425</v>
      </c>
      <c r="W16" s="114">
        <f t="shared" si="5"/>
        <v>4.888010204081632</v>
      </c>
      <c r="X16" s="95"/>
      <c r="Y16" s="95"/>
      <c r="Z16" s="102"/>
      <c r="AA16" s="103">
        <v>45661</v>
      </c>
      <c r="AB16" s="103">
        <v>45699</v>
      </c>
      <c r="AC16" s="103"/>
      <c r="AD16" s="102">
        <f>IF(ISNA(VLOOKUP(D16,亚马逊入库配置费!B:F,5,0)),0,VLOOKUP(D16,亚马逊入库配置费!B:F,5,0))</f>
        <v>0</v>
      </c>
      <c r="AE16" s="102">
        <f t="shared" si="0"/>
        <v>0</v>
      </c>
      <c r="AF16" s="103">
        <v>45717</v>
      </c>
      <c r="AG16" s="91">
        <f t="shared" si="1"/>
        <v>56</v>
      </c>
      <c r="AH16" s="103">
        <v>45717</v>
      </c>
      <c r="AI16" s="103">
        <v>45719</v>
      </c>
      <c r="AJ16" s="96">
        <v>20</v>
      </c>
      <c r="AK16" s="91">
        <f t="shared" si="2"/>
        <v>2</v>
      </c>
      <c r="AL16" s="96">
        <f t="shared" si="3"/>
        <v>58</v>
      </c>
      <c r="AM16" s="92"/>
      <c r="AN16" s="91"/>
      <c r="AO16" s="91"/>
    </row>
    <row r="17" spans="1:41" ht="14.5" x14ac:dyDescent="0.25">
      <c r="A17" s="92" t="s">
        <v>124</v>
      </c>
      <c r="B17" s="91"/>
      <c r="C17" s="91" t="s">
        <v>121</v>
      </c>
      <c r="D17" s="92" t="s">
        <v>125</v>
      </c>
      <c r="E17" s="91" t="s">
        <v>115</v>
      </c>
      <c r="F17" s="91" t="s">
        <v>0</v>
      </c>
      <c r="G17" s="56" t="s">
        <v>116</v>
      </c>
      <c r="H17" s="91">
        <v>24</v>
      </c>
      <c r="I17" s="91" t="s">
        <v>117</v>
      </c>
      <c r="J17" s="91" t="s">
        <v>2</v>
      </c>
      <c r="K17" s="92" t="s">
        <v>24</v>
      </c>
      <c r="L17" s="93" t="s">
        <v>3017</v>
      </c>
      <c r="M17" s="94" t="s">
        <v>3292</v>
      </c>
      <c r="N17" s="95" t="s">
        <v>2831</v>
      </c>
      <c r="O17" s="96">
        <v>6</v>
      </c>
      <c r="P17" s="111">
        <f>171/10*O17</f>
        <v>102.60000000000001</v>
      </c>
      <c r="Q17" s="91" t="s">
        <v>16</v>
      </c>
      <c r="R17" s="91">
        <v>8.1</v>
      </c>
      <c r="S17" s="95"/>
      <c r="T17" s="98"/>
      <c r="U17" s="115">
        <f t="shared" si="6"/>
        <v>883.56000000000006</v>
      </c>
      <c r="V17" s="113">
        <f t="shared" si="4"/>
        <v>36.815000000000005</v>
      </c>
      <c r="W17" s="114">
        <f t="shared" si="5"/>
        <v>5.2592857142857152</v>
      </c>
      <c r="X17" s="95"/>
      <c r="Y17" s="95"/>
      <c r="Z17" s="102"/>
      <c r="AA17" s="103">
        <v>45661</v>
      </c>
      <c r="AB17" s="103">
        <v>45699</v>
      </c>
      <c r="AC17" s="103"/>
      <c r="AD17" s="102">
        <f>IF(ISNA(VLOOKUP(D17,亚马逊入库配置费!B:F,5,0)),0,VLOOKUP(D17,亚马逊入库配置费!B:F,5,0))</f>
        <v>0</v>
      </c>
      <c r="AE17" s="102">
        <f t="shared" si="0"/>
        <v>0</v>
      </c>
      <c r="AF17" s="103">
        <v>45718</v>
      </c>
      <c r="AG17" s="91">
        <f t="shared" si="1"/>
        <v>57</v>
      </c>
      <c r="AH17" s="103">
        <v>45718</v>
      </c>
      <c r="AI17" s="103">
        <v>45719</v>
      </c>
      <c r="AJ17" s="96">
        <v>24</v>
      </c>
      <c r="AK17" s="91">
        <f t="shared" si="2"/>
        <v>1</v>
      </c>
      <c r="AL17" s="96">
        <f t="shared" si="3"/>
        <v>58</v>
      </c>
      <c r="AM17" s="92"/>
      <c r="AN17" s="91"/>
      <c r="AO17" s="91"/>
    </row>
    <row r="18" spans="1:41" ht="14.5" x14ac:dyDescent="0.25">
      <c r="A18" s="92" t="s">
        <v>126</v>
      </c>
      <c r="B18" s="91"/>
      <c r="C18" s="91" t="s">
        <v>121</v>
      </c>
      <c r="D18" s="92" t="s">
        <v>125</v>
      </c>
      <c r="E18" s="91" t="s">
        <v>115</v>
      </c>
      <c r="F18" s="91" t="s">
        <v>0</v>
      </c>
      <c r="G18" s="56" t="s">
        <v>119</v>
      </c>
      <c r="H18" s="91">
        <v>16</v>
      </c>
      <c r="I18" s="91" t="s">
        <v>117</v>
      </c>
      <c r="J18" s="91" t="s">
        <v>2</v>
      </c>
      <c r="K18" s="92" t="s">
        <v>24</v>
      </c>
      <c r="L18" s="93" t="s">
        <v>3018</v>
      </c>
      <c r="M18" s="94" t="s">
        <v>3293</v>
      </c>
      <c r="N18" s="95" t="s">
        <v>2831</v>
      </c>
      <c r="O18" s="96">
        <v>4</v>
      </c>
      <c r="P18" s="111">
        <f>171/10*O18</f>
        <v>68.400000000000006</v>
      </c>
      <c r="Q18" s="91" t="s">
        <v>16</v>
      </c>
      <c r="R18" s="91">
        <v>8.1</v>
      </c>
      <c r="S18" s="95"/>
      <c r="T18" s="98"/>
      <c r="U18" s="115">
        <f t="shared" si="6"/>
        <v>589.04000000000008</v>
      </c>
      <c r="V18" s="113">
        <f t="shared" si="4"/>
        <v>36.815000000000005</v>
      </c>
      <c r="W18" s="114">
        <f t="shared" si="5"/>
        <v>5.2592857142857152</v>
      </c>
      <c r="X18" s="95"/>
      <c r="Y18" s="95"/>
      <c r="Z18" s="102"/>
      <c r="AA18" s="103">
        <v>45661</v>
      </c>
      <c r="AB18" s="103">
        <v>45699</v>
      </c>
      <c r="AC18" s="103"/>
      <c r="AD18" s="102">
        <f>IF(ISNA(VLOOKUP(D18,亚马逊入库配置费!B:F,5,0)),0,VLOOKUP(D18,亚马逊入库配置费!B:F,5,0))</f>
        <v>0</v>
      </c>
      <c r="AE18" s="102">
        <f t="shared" si="0"/>
        <v>0</v>
      </c>
      <c r="AF18" s="103">
        <v>45718</v>
      </c>
      <c r="AG18" s="91">
        <f t="shared" si="1"/>
        <v>57</v>
      </c>
      <c r="AH18" s="103">
        <v>45718</v>
      </c>
      <c r="AI18" s="103">
        <v>45719</v>
      </c>
      <c r="AJ18" s="96">
        <v>16</v>
      </c>
      <c r="AK18" s="91">
        <f t="shared" si="2"/>
        <v>1</v>
      </c>
      <c r="AL18" s="96">
        <f t="shared" si="3"/>
        <v>58</v>
      </c>
      <c r="AM18" s="92"/>
      <c r="AN18" s="91"/>
      <c r="AO18" s="91"/>
    </row>
    <row r="19" spans="1:41" ht="14.5" x14ac:dyDescent="0.25">
      <c r="A19" s="92" t="s">
        <v>127</v>
      </c>
      <c r="B19" s="91"/>
      <c r="C19" s="91" t="s">
        <v>121</v>
      </c>
      <c r="D19" s="92" t="s">
        <v>128</v>
      </c>
      <c r="E19" s="91" t="s">
        <v>115</v>
      </c>
      <c r="F19" s="91" t="s">
        <v>0</v>
      </c>
      <c r="G19" s="56" t="s">
        <v>116</v>
      </c>
      <c r="H19" s="91">
        <v>24</v>
      </c>
      <c r="I19" s="91" t="s">
        <v>117</v>
      </c>
      <c r="J19" s="91" t="s">
        <v>2</v>
      </c>
      <c r="K19" s="92" t="s">
        <v>25</v>
      </c>
      <c r="L19" s="93" t="s">
        <v>3017</v>
      </c>
      <c r="M19" s="94" t="s">
        <v>3292</v>
      </c>
      <c r="N19" s="95" t="s">
        <v>2831</v>
      </c>
      <c r="O19" s="96">
        <v>6</v>
      </c>
      <c r="P19" s="111">
        <f>272/16*O19</f>
        <v>102</v>
      </c>
      <c r="Q19" s="91" t="s">
        <v>16</v>
      </c>
      <c r="R19" s="91">
        <v>7.9</v>
      </c>
      <c r="S19" s="95"/>
      <c r="T19" s="98"/>
      <c r="U19" s="115">
        <f t="shared" si="6"/>
        <v>858.30000000000007</v>
      </c>
      <c r="V19" s="113">
        <f t="shared" si="4"/>
        <v>35.762500000000003</v>
      </c>
      <c r="W19" s="114">
        <f t="shared" si="5"/>
        <v>5.1089285714285717</v>
      </c>
      <c r="X19" s="95"/>
      <c r="Y19" s="95"/>
      <c r="Z19" s="102"/>
      <c r="AA19" s="103">
        <v>45661</v>
      </c>
      <c r="AB19" s="103">
        <v>45699</v>
      </c>
      <c r="AC19" s="103"/>
      <c r="AD19" s="102">
        <f>IF(ISNA(VLOOKUP(D19,亚马逊入库配置费!B:F,5,0)),0,VLOOKUP(D19,亚马逊入库配置费!B:F,5,0))</f>
        <v>0</v>
      </c>
      <c r="AE19" s="102">
        <f t="shared" si="0"/>
        <v>0</v>
      </c>
      <c r="AF19" s="103">
        <v>45716</v>
      </c>
      <c r="AG19" s="91">
        <f t="shared" si="1"/>
        <v>55</v>
      </c>
      <c r="AH19" s="103">
        <v>45716</v>
      </c>
      <c r="AI19" s="103">
        <v>45724</v>
      </c>
      <c r="AJ19" s="96">
        <v>25</v>
      </c>
      <c r="AK19" s="91">
        <f t="shared" si="2"/>
        <v>8</v>
      </c>
      <c r="AL19" s="96">
        <f t="shared" si="3"/>
        <v>63</v>
      </c>
      <c r="AM19" s="92"/>
      <c r="AN19" s="91"/>
      <c r="AO19" s="91"/>
    </row>
    <row r="20" spans="1:41" ht="14.5" x14ac:dyDescent="0.25">
      <c r="A20" s="92" t="s">
        <v>129</v>
      </c>
      <c r="B20" s="91"/>
      <c r="C20" s="91" t="s">
        <v>121</v>
      </c>
      <c r="D20" s="92" t="s">
        <v>128</v>
      </c>
      <c r="E20" s="91" t="s">
        <v>115</v>
      </c>
      <c r="F20" s="91" t="s">
        <v>0</v>
      </c>
      <c r="G20" s="56" t="s">
        <v>119</v>
      </c>
      <c r="H20" s="91">
        <v>36</v>
      </c>
      <c r="I20" s="91" t="s">
        <v>117</v>
      </c>
      <c r="J20" s="91" t="s">
        <v>2</v>
      </c>
      <c r="K20" s="92" t="s">
        <v>25</v>
      </c>
      <c r="L20" s="93" t="s">
        <v>3018</v>
      </c>
      <c r="M20" s="94" t="s">
        <v>3293</v>
      </c>
      <c r="N20" s="95" t="s">
        <v>2831</v>
      </c>
      <c r="O20" s="96">
        <v>9</v>
      </c>
      <c r="P20" s="111">
        <f>272/16*O20</f>
        <v>153</v>
      </c>
      <c r="Q20" s="91" t="s">
        <v>16</v>
      </c>
      <c r="R20" s="91">
        <v>7.9</v>
      </c>
      <c r="S20" s="95"/>
      <c r="T20" s="98"/>
      <c r="U20" s="115">
        <f t="shared" si="6"/>
        <v>1287.45</v>
      </c>
      <c r="V20" s="113">
        <f t="shared" si="4"/>
        <v>35.762500000000003</v>
      </c>
      <c r="W20" s="114">
        <f t="shared" si="5"/>
        <v>5.1089285714285717</v>
      </c>
      <c r="X20" s="95"/>
      <c r="Y20" s="95"/>
      <c r="Z20" s="102"/>
      <c r="AA20" s="103">
        <v>45661</v>
      </c>
      <c r="AB20" s="103">
        <v>45699</v>
      </c>
      <c r="AC20" s="103"/>
      <c r="AD20" s="102">
        <f>IF(ISNA(VLOOKUP(D20,亚马逊入库配置费!B:F,5,0)),0,VLOOKUP(D20,亚马逊入库配置费!B:F,5,0))</f>
        <v>0</v>
      </c>
      <c r="AE20" s="102">
        <f t="shared" si="0"/>
        <v>0</v>
      </c>
      <c r="AF20" s="103">
        <v>45716</v>
      </c>
      <c r="AG20" s="91">
        <f t="shared" si="1"/>
        <v>55</v>
      </c>
      <c r="AH20" s="103">
        <v>45716</v>
      </c>
      <c r="AI20" s="103">
        <v>45724</v>
      </c>
      <c r="AJ20" s="96">
        <v>36</v>
      </c>
      <c r="AK20" s="91">
        <f t="shared" si="2"/>
        <v>8</v>
      </c>
      <c r="AL20" s="96">
        <f t="shared" si="3"/>
        <v>63</v>
      </c>
      <c r="AM20" s="92"/>
      <c r="AN20" s="91"/>
      <c r="AO20" s="91"/>
    </row>
    <row r="21" spans="1:41" ht="14.5" x14ac:dyDescent="0.25">
      <c r="A21" s="92" t="s">
        <v>130</v>
      </c>
      <c r="B21" s="91"/>
      <c r="C21" s="91" t="s">
        <v>113</v>
      </c>
      <c r="D21" s="92" t="s">
        <v>131</v>
      </c>
      <c r="E21" s="91" t="s">
        <v>115</v>
      </c>
      <c r="F21" s="91" t="s">
        <v>0</v>
      </c>
      <c r="G21" s="56" t="s">
        <v>119</v>
      </c>
      <c r="H21" s="91">
        <v>16</v>
      </c>
      <c r="I21" s="91" t="s">
        <v>117</v>
      </c>
      <c r="J21" s="91" t="s">
        <v>8</v>
      </c>
      <c r="K21" s="92" t="s">
        <v>30</v>
      </c>
      <c r="L21" s="93" t="s">
        <v>3018</v>
      </c>
      <c r="M21" s="94" t="s">
        <v>3293</v>
      </c>
      <c r="N21" s="95" t="s">
        <v>2831</v>
      </c>
      <c r="O21" s="96">
        <v>4</v>
      </c>
      <c r="P21" s="111">
        <v>69</v>
      </c>
      <c r="Q21" s="91" t="s">
        <v>16</v>
      </c>
      <c r="R21" s="91">
        <v>7.9</v>
      </c>
      <c r="S21" s="95"/>
      <c r="T21" s="98"/>
      <c r="U21" s="112">
        <f>R21*P21+350/14*O21</f>
        <v>645.1</v>
      </c>
      <c r="V21" s="113">
        <f t="shared" si="4"/>
        <v>40.318750000000001</v>
      </c>
      <c r="W21" s="114">
        <f t="shared" si="5"/>
        <v>5.7598214285714286</v>
      </c>
      <c r="X21" s="95"/>
      <c r="Y21" s="95"/>
      <c r="Z21" s="102"/>
      <c r="AA21" s="103">
        <v>45661</v>
      </c>
      <c r="AB21" s="103">
        <v>45680</v>
      </c>
      <c r="AC21" s="103"/>
      <c r="AD21" s="102">
        <f>IF(ISNA(VLOOKUP(D21,亚马逊入库配置费!B:F,5,0)),0,VLOOKUP(D21,亚马逊入库配置费!B:F,5,0))</f>
        <v>0</v>
      </c>
      <c r="AE21" s="102">
        <f t="shared" si="0"/>
        <v>0</v>
      </c>
      <c r="AF21" s="103">
        <v>45698</v>
      </c>
      <c r="AG21" s="91">
        <f t="shared" si="1"/>
        <v>37</v>
      </c>
      <c r="AH21" s="103">
        <v>45698</v>
      </c>
      <c r="AI21" s="103">
        <v>45699</v>
      </c>
      <c r="AJ21" s="96">
        <v>16</v>
      </c>
      <c r="AK21" s="91">
        <f t="shared" si="2"/>
        <v>1</v>
      </c>
      <c r="AL21" s="96">
        <f t="shared" si="3"/>
        <v>38</v>
      </c>
      <c r="AM21" s="92"/>
      <c r="AN21" s="91"/>
      <c r="AO21" s="91"/>
    </row>
    <row r="22" spans="1:41" ht="14.5" x14ac:dyDescent="0.25">
      <c r="A22" s="92" t="s">
        <v>132</v>
      </c>
      <c r="B22" s="91"/>
      <c r="C22" s="91" t="s">
        <v>113</v>
      </c>
      <c r="D22" s="92" t="s">
        <v>133</v>
      </c>
      <c r="E22" s="91" t="s">
        <v>115</v>
      </c>
      <c r="F22" s="91" t="s">
        <v>0</v>
      </c>
      <c r="G22" s="56" t="s">
        <v>119</v>
      </c>
      <c r="H22" s="91">
        <v>2</v>
      </c>
      <c r="I22" s="91" t="s">
        <v>117</v>
      </c>
      <c r="J22" s="91" t="s">
        <v>8</v>
      </c>
      <c r="K22" s="92" t="s">
        <v>40</v>
      </c>
      <c r="L22" s="93" t="s">
        <v>3018</v>
      </c>
      <c r="M22" s="94" t="s">
        <v>3293</v>
      </c>
      <c r="N22" s="95" t="s">
        <v>2831</v>
      </c>
      <c r="O22" s="96">
        <v>0.5</v>
      </c>
      <c r="P22" s="111">
        <v>9</v>
      </c>
      <c r="Q22" s="91" t="s">
        <v>16</v>
      </c>
      <c r="R22" s="91">
        <v>7.3</v>
      </c>
      <c r="S22" s="95"/>
      <c r="T22" s="98"/>
      <c r="U22" s="112">
        <f>R22*P22+350/14*O22</f>
        <v>78.2</v>
      </c>
      <c r="V22" s="113">
        <f t="shared" si="4"/>
        <v>39.1</v>
      </c>
      <c r="W22" s="114">
        <f t="shared" si="5"/>
        <v>5.5857142857142863</v>
      </c>
      <c r="X22" s="95"/>
      <c r="Y22" s="95"/>
      <c r="Z22" s="102"/>
      <c r="AA22" s="103">
        <v>45661</v>
      </c>
      <c r="AB22" s="103">
        <v>45680</v>
      </c>
      <c r="AC22" s="103"/>
      <c r="AD22" s="102">
        <f>IF(ISNA(VLOOKUP(D22,亚马逊入库配置费!B:F,5,0)),0,VLOOKUP(D22,亚马逊入库配置费!B:F,5,0))</f>
        <v>0</v>
      </c>
      <c r="AE22" s="102">
        <f t="shared" si="0"/>
        <v>0</v>
      </c>
      <c r="AF22" s="103">
        <v>45698</v>
      </c>
      <c r="AG22" s="91">
        <f t="shared" si="1"/>
        <v>37</v>
      </c>
      <c r="AH22" s="103">
        <v>45698</v>
      </c>
      <c r="AI22" s="103">
        <v>45699</v>
      </c>
      <c r="AJ22" s="96">
        <v>2</v>
      </c>
      <c r="AK22" s="91">
        <f t="shared" si="2"/>
        <v>1</v>
      </c>
      <c r="AL22" s="96">
        <f t="shared" si="3"/>
        <v>38</v>
      </c>
      <c r="AM22" s="92"/>
      <c r="AN22" s="91"/>
      <c r="AO22" s="91"/>
    </row>
    <row r="23" spans="1:41" ht="14.5" x14ac:dyDescent="0.25">
      <c r="A23" s="92" t="s">
        <v>134</v>
      </c>
      <c r="B23" s="91"/>
      <c r="C23" s="91" t="s">
        <v>113</v>
      </c>
      <c r="D23" s="92" t="s">
        <v>133</v>
      </c>
      <c r="E23" s="91" t="s">
        <v>115</v>
      </c>
      <c r="F23" s="91" t="s">
        <v>0</v>
      </c>
      <c r="G23" s="56" t="s">
        <v>135</v>
      </c>
      <c r="H23" s="91">
        <v>2</v>
      </c>
      <c r="I23" s="91" t="s">
        <v>117</v>
      </c>
      <c r="J23" s="91" t="s">
        <v>8</v>
      </c>
      <c r="K23" s="92" t="s">
        <v>40</v>
      </c>
      <c r="L23" s="93" t="s">
        <v>3019</v>
      </c>
      <c r="M23" s="94" t="s">
        <v>3294</v>
      </c>
      <c r="N23" s="95" t="s">
        <v>2831</v>
      </c>
      <c r="O23" s="96">
        <v>0.5</v>
      </c>
      <c r="P23" s="111">
        <v>9</v>
      </c>
      <c r="Q23" s="91" t="s">
        <v>16</v>
      </c>
      <c r="R23" s="91">
        <v>7.3</v>
      </c>
      <c r="S23" s="95"/>
      <c r="T23" s="98"/>
      <c r="U23" s="112">
        <f>R23*P23+350/14*O23</f>
        <v>78.2</v>
      </c>
      <c r="V23" s="113">
        <f t="shared" si="4"/>
        <v>39.1</v>
      </c>
      <c r="W23" s="114">
        <f t="shared" si="5"/>
        <v>5.5857142857142863</v>
      </c>
      <c r="X23" s="95"/>
      <c r="Y23" s="95"/>
      <c r="Z23" s="102"/>
      <c r="AA23" s="103">
        <v>45661</v>
      </c>
      <c r="AB23" s="103">
        <v>45680</v>
      </c>
      <c r="AC23" s="103"/>
      <c r="AD23" s="102">
        <f>IF(ISNA(VLOOKUP(D23,亚马逊入库配置费!B:F,5,0)),0,VLOOKUP(D23,亚马逊入库配置费!B:F,5,0))</f>
        <v>0</v>
      </c>
      <c r="AE23" s="102">
        <f t="shared" si="0"/>
        <v>0</v>
      </c>
      <c r="AF23" s="103">
        <v>45698</v>
      </c>
      <c r="AG23" s="91">
        <f t="shared" si="1"/>
        <v>37</v>
      </c>
      <c r="AH23" s="103">
        <v>45698</v>
      </c>
      <c r="AI23" s="103">
        <v>45699</v>
      </c>
      <c r="AJ23" s="96">
        <v>2</v>
      </c>
      <c r="AK23" s="91">
        <f t="shared" si="2"/>
        <v>1</v>
      </c>
      <c r="AL23" s="96">
        <f t="shared" si="3"/>
        <v>38</v>
      </c>
      <c r="AM23" s="92"/>
      <c r="AN23" s="91"/>
      <c r="AO23" s="91"/>
    </row>
    <row r="24" spans="1:41" ht="14.5" x14ac:dyDescent="0.25">
      <c r="A24" s="92" t="s">
        <v>136</v>
      </c>
      <c r="B24" s="91"/>
      <c r="C24" s="91" t="s">
        <v>121</v>
      </c>
      <c r="D24" s="92" t="s">
        <v>137</v>
      </c>
      <c r="E24" s="91" t="s">
        <v>115</v>
      </c>
      <c r="F24" s="91" t="s">
        <v>0</v>
      </c>
      <c r="G24" s="56" t="s">
        <v>135</v>
      </c>
      <c r="H24" s="91">
        <v>4</v>
      </c>
      <c r="I24" s="91" t="s">
        <v>117</v>
      </c>
      <c r="J24" s="91" t="s">
        <v>2</v>
      </c>
      <c r="K24" s="92" t="s">
        <v>25</v>
      </c>
      <c r="L24" s="93" t="s">
        <v>3019</v>
      </c>
      <c r="M24" s="94" t="s">
        <v>3294</v>
      </c>
      <c r="N24" s="95" t="s">
        <v>2831</v>
      </c>
      <c r="O24" s="96">
        <v>1</v>
      </c>
      <c r="P24" s="111">
        <f>272/16*O24</f>
        <v>17</v>
      </c>
      <c r="Q24" s="91" t="s">
        <v>16</v>
      </c>
      <c r="R24" s="91">
        <v>7.9</v>
      </c>
      <c r="S24" s="95"/>
      <c r="T24" s="98"/>
      <c r="U24" s="115">
        <f>R24*P24+350/40*O24</f>
        <v>143.05000000000001</v>
      </c>
      <c r="V24" s="113">
        <f t="shared" si="4"/>
        <v>35.762500000000003</v>
      </c>
      <c r="W24" s="114">
        <f t="shared" si="5"/>
        <v>5.1089285714285717</v>
      </c>
      <c r="X24" s="95"/>
      <c r="Y24" s="95"/>
      <c r="Z24" s="102"/>
      <c r="AA24" s="103">
        <v>45661</v>
      </c>
      <c r="AB24" s="103">
        <v>45699</v>
      </c>
      <c r="AC24" s="103"/>
      <c r="AD24" s="102">
        <f>IF(ISNA(VLOOKUP(D24,亚马逊入库配置费!B:F,5,0)),0,VLOOKUP(D24,亚马逊入库配置费!B:F,5,0))</f>
        <v>0</v>
      </c>
      <c r="AE24" s="102">
        <f t="shared" si="0"/>
        <v>0</v>
      </c>
      <c r="AF24" s="103">
        <v>45716</v>
      </c>
      <c r="AG24" s="91">
        <f t="shared" si="1"/>
        <v>55</v>
      </c>
      <c r="AH24" s="103">
        <v>45716</v>
      </c>
      <c r="AI24" s="103">
        <v>45720</v>
      </c>
      <c r="AJ24" s="96">
        <v>4</v>
      </c>
      <c r="AK24" s="91">
        <f t="shared" si="2"/>
        <v>4</v>
      </c>
      <c r="AL24" s="96">
        <f t="shared" si="3"/>
        <v>59</v>
      </c>
      <c r="AM24" s="92"/>
      <c r="AN24" s="91"/>
      <c r="AO24" s="91"/>
    </row>
    <row r="25" spans="1:41" ht="14.5" x14ac:dyDescent="0.25">
      <c r="A25" s="92" t="s">
        <v>138</v>
      </c>
      <c r="B25" s="91"/>
      <c r="C25" s="91" t="s">
        <v>121</v>
      </c>
      <c r="D25" s="92" t="s">
        <v>139</v>
      </c>
      <c r="E25" s="91" t="s">
        <v>115</v>
      </c>
      <c r="F25" s="91" t="s">
        <v>0</v>
      </c>
      <c r="G25" s="56" t="s">
        <v>135</v>
      </c>
      <c r="H25" s="91">
        <v>8</v>
      </c>
      <c r="I25" s="91" t="s">
        <v>117</v>
      </c>
      <c r="J25" s="91" t="s">
        <v>2</v>
      </c>
      <c r="K25" s="92" t="s">
        <v>18</v>
      </c>
      <c r="L25" s="93" t="s">
        <v>3019</v>
      </c>
      <c r="M25" s="94" t="s">
        <v>3294</v>
      </c>
      <c r="N25" s="95" t="s">
        <v>2831</v>
      </c>
      <c r="O25" s="96">
        <v>2</v>
      </c>
      <c r="P25" s="111">
        <f>236/14*O25</f>
        <v>33.714285714285715</v>
      </c>
      <c r="Q25" s="91" t="s">
        <v>16</v>
      </c>
      <c r="R25" s="91">
        <v>7.6</v>
      </c>
      <c r="S25" s="95"/>
      <c r="T25" s="98"/>
      <c r="U25" s="115">
        <f>R25*P25+350/40*O25</f>
        <v>273.7285714285714</v>
      </c>
      <c r="V25" s="113">
        <f t="shared" si="4"/>
        <v>34.216071428571425</v>
      </c>
      <c r="W25" s="114">
        <f t="shared" si="5"/>
        <v>4.888010204081632</v>
      </c>
      <c r="X25" s="95"/>
      <c r="Y25" s="95"/>
      <c r="Z25" s="102"/>
      <c r="AA25" s="103">
        <v>45661</v>
      </c>
      <c r="AB25" s="103">
        <v>45699</v>
      </c>
      <c r="AC25" s="103"/>
      <c r="AD25" s="102">
        <f>IF(ISNA(VLOOKUP(D25,亚马逊入库配置费!B:F,5,0)),0,VLOOKUP(D25,亚马逊入库配置费!B:F,5,0))</f>
        <v>0</v>
      </c>
      <c r="AE25" s="102">
        <f t="shared" si="0"/>
        <v>0</v>
      </c>
      <c r="AF25" s="103">
        <v>45717</v>
      </c>
      <c r="AG25" s="91">
        <f t="shared" si="1"/>
        <v>56</v>
      </c>
      <c r="AH25" s="103">
        <v>45717</v>
      </c>
      <c r="AI25" s="103">
        <v>45718</v>
      </c>
      <c r="AJ25" s="96">
        <v>9</v>
      </c>
      <c r="AK25" s="91">
        <f t="shared" si="2"/>
        <v>1</v>
      </c>
      <c r="AL25" s="96">
        <f t="shared" si="3"/>
        <v>57</v>
      </c>
      <c r="AM25" s="92"/>
      <c r="AN25" s="91"/>
      <c r="AO25" s="91"/>
    </row>
    <row r="26" spans="1:41" ht="14.5" x14ac:dyDescent="0.25">
      <c r="A26" s="92" t="s">
        <v>140</v>
      </c>
      <c r="B26" s="91"/>
      <c r="C26" s="91" t="s">
        <v>95</v>
      </c>
      <c r="D26" s="92" t="s">
        <v>141</v>
      </c>
      <c r="E26" s="91" t="s">
        <v>115</v>
      </c>
      <c r="F26" s="91" t="s">
        <v>0</v>
      </c>
      <c r="G26" s="56" t="s">
        <v>142</v>
      </c>
      <c r="H26" s="91">
        <v>180</v>
      </c>
      <c r="I26" s="91" t="s">
        <v>89</v>
      </c>
      <c r="J26" s="91" t="s">
        <v>8</v>
      </c>
      <c r="K26" s="92" t="s">
        <v>14</v>
      </c>
      <c r="L26" s="93" t="s">
        <v>3020</v>
      </c>
      <c r="M26" s="94" t="s">
        <v>3295</v>
      </c>
      <c r="N26" s="95" t="s">
        <v>2878</v>
      </c>
      <c r="O26" s="96">
        <v>6</v>
      </c>
      <c r="P26" s="111">
        <f>781/54*O26</f>
        <v>86.777777777777786</v>
      </c>
      <c r="Q26" s="91" t="s">
        <v>16</v>
      </c>
      <c r="R26" s="91">
        <v>6.6</v>
      </c>
      <c r="S26" s="95"/>
      <c r="T26" s="98"/>
      <c r="U26" s="112">
        <f>R26*P26+350/72*O26</f>
        <v>601.9</v>
      </c>
      <c r="V26" s="113">
        <f t="shared" si="4"/>
        <v>3.3438888888888889</v>
      </c>
      <c r="W26" s="114">
        <f t="shared" si="5"/>
        <v>0.47769841269841268</v>
      </c>
      <c r="X26" s="95"/>
      <c r="Y26" s="95"/>
      <c r="Z26" s="102"/>
      <c r="AA26" s="103">
        <v>45661</v>
      </c>
      <c r="AB26" s="103">
        <v>45682</v>
      </c>
      <c r="AC26" s="103"/>
      <c r="AD26" s="102">
        <f>IF(ISNA(VLOOKUP(D26,亚马逊入库配置费!B:F,5,0)),0,VLOOKUP(D26,亚马逊入库配置费!B:F,5,0))</f>
        <v>0.28000000000000003</v>
      </c>
      <c r="AE26" s="102">
        <f t="shared" si="0"/>
        <v>50.400000000000006</v>
      </c>
      <c r="AF26" s="103">
        <v>45700</v>
      </c>
      <c r="AG26" s="91">
        <f t="shared" si="1"/>
        <v>39</v>
      </c>
      <c r="AH26" s="103">
        <v>45700</v>
      </c>
      <c r="AI26" s="103">
        <v>45728</v>
      </c>
      <c r="AJ26" s="96">
        <v>180</v>
      </c>
      <c r="AK26" s="91">
        <f t="shared" si="2"/>
        <v>28</v>
      </c>
      <c r="AL26" s="96">
        <f t="shared" si="3"/>
        <v>67</v>
      </c>
      <c r="AM26" s="92"/>
      <c r="AN26" s="91"/>
      <c r="AO26" s="91"/>
    </row>
    <row r="27" spans="1:41" ht="14.5" x14ac:dyDescent="0.25">
      <c r="A27" s="92" t="s">
        <v>143</v>
      </c>
      <c r="B27" s="91" t="s">
        <v>3296</v>
      </c>
      <c r="C27" s="91" t="s">
        <v>95</v>
      </c>
      <c r="D27" s="92" t="s">
        <v>141</v>
      </c>
      <c r="E27" s="91" t="s">
        <v>115</v>
      </c>
      <c r="F27" s="91" t="s">
        <v>0</v>
      </c>
      <c r="G27" s="56" t="s">
        <v>144</v>
      </c>
      <c r="H27" s="91">
        <v>60</v>
      </c>
      <c r="I27" s="91" t="s">
        <v>89</v>
      </c>
      <c r="J27" s="91" t="s">
        <v>8</v>
      </c>
      <c r="K27" s="92" t="s">
        <v>14</v>
      </c>
      <c r="L27" s="93" t="s">
        <v>3021</v>
      </c>
      <c r="M27" s="94" t="s">
        <v>3297</v>
      </c>
      <c r="N27" s="95" t="s">
        <v>2878</v>
      </c>
      <c r="O27" s="96">
        <v>2</v>
      </c>
      <c r="P27" s="111">
        <f>781/54*O27</f>
        <v>28.925925925925927</v>
      </c>
      <c r="Q27" s="91" t="s">
        <v>16</v>
      </c>
      <c r="R27" s="91">
        <v>6.6</v>
      </c>
      <c r="S27" s="95"/>
      <c r="T27" s="98"/>
      <c r="U27" s="112">
        <f>R27*P27+350/72*O27</f>
        <v>200.63333333333333</v>
      </c>
      <c r="V27" s="113">
        <f t="shared" si="4"/>
        <v>3.3438888888888889</v>
      </c>
      <c r="W27" s="114">
        <f t="shared" si="5"/>
        <v>0.47769841269841268</v>
      </c>
      <c r="X27" s="95"/>
      <c r="Y27" s="95"/>
      <c r="Z27" s="102"/>
      <c r="AA27" s="103">
        <v>45661</v>
      </c>
      <c r="AB27" s="103">
        <v>45682</v>
      </c>
      <c r="AC27" s="103"/>
      <c r="AD27" s="102">
        <f>IF(ISNA(VLOOKUP(D27,亚马逊入库配置费!B:F,5,0)),0,VLOOKUP(D27,亚马逊入库配置费!B:F,5,0))</f>
        <v>0.28000000000000003</v>
      </c>
      <c r="AE27" s="102">
        <f t="shared" si="0"/>
        <v>16.8</v>
      </c>
      <c r="AF27" s="103">
        <v>45700</v>
      </c>
      <c r="AG27" s="91">
        <f t="shared" si="1"/>
        <v>39</v>
      </c>
      <c r="AH27" s="103">
        <v>45700</v>
      </c>
      <c r="AI27" s="103">
        <v>45728</v>
      </c>
      <c r="AJ27" s="96">
        <v>60</v>
      </c>
      <c r="AK27" s="91">
        <f t="shared" si="2"/>
        <v>28</v>
      </c>
      <c r="AL27" s="96">
        <f t="shared" si="3"/>
        <v>67</v>
      </c>
      <c r="AM27" s="92"/>
      <c r="AN27" s="91"/>
      <c r="AO27" s="91"/>
    </row>
    <row r="28" spans="1:41" ht="14.5" x14ac:dyDescent="0.25">
      <c r="A28" s="92" t="s">
        <v>145</v>
      </c>
      <c r="B28" s="91"/>
      <c r="C28" s="91" t="s">
        <v>95</v>
      </c>
      <c r="D28" s="92" t="s">
        <v>141</v>
      </c>
      <c r="E28" s="91" t="s">
        <v>115</v>
      </c>
      <c r="F28" s="91" t="s">
        <v>0</v>
      </c>
      <c r="G28" s="56" t="s">
        <v>146</v>
      </c>
      <c r="H28" s="91">
        <v>60</v>
      </c>
      <c r="I28" s="91" t="s">
        <v>89</v>
      </c>
      <c r="J28" s="91" t="s">
        <v>8</v>
      </c>
      <c r="K28" s="92" t="s">
        <v>14</v>
      </c>
      <c r="L28" s="93" t="s">
        <v>3022</v>
      </c>
      <c r="M28" s="94" t="s">
        <v>3298</v>
      </c>
      <c r="N28" s="95" t="s">
        <v>2878</v>
      </c>
      <c r="O28" s="96">
        <v>2</v>
      </c>
      <c r="P28" s="111">
        <f>781/54*O28</f>
        <v>28.925925925925927</v>
      </c>
      <c r="Q28" s="91" t="s">
        <v>16</v>
      </c>
      <c r="R28" s="91">
        <v>6.6</v>
      </c>
      <c r="S28" s="95"/>
      <c r="T28" s="98"/>
      <c r="U28" s="112">
        <f>R28*P28+350/72*O28</f>
        <v>200.63333333333333</v>
      </c>
      <c r="V28" s="113">
        <f t="shared" si="4"/>
        <v>3.3438888888888889</v>
      </c>
      <c r="W28" s="114">
        <f t="shared" si="5"/>
        <v>0.47769841269841268</v>
      </c>
      <c r="X28" s="95"/>
      <c r="Y28" s="95"/>
      <c r="Z28" s="102"/>
      <c r="AA28" s="103">
        <v>45661</v>
      </c>
      <c r="AB28" s="103">
        <v>45682</v>
      </c>
      <c r="AC28" s="103"/>
      <c r="AD28" s="102">
        <f>IF(ISNA(VLOOKUP(D28,亚马逊入库配置费!B:F,5,0)),0,VLOOKUP(D28,亚马逊入库配置费!B:F,5,0))</f>
        <v>0.28000000000000003</v>
      </c>
      <c r="AE28" s="102">
        <f t="shared" si="0"/>
        <v>16.8</v>
      </c>
      <c r="AF28" s="103">
        <v>45700</v>
      </c>
      <c r="AG28" s="91">
        <f t="shared" si="1"/>
        <v>39</v>
      </c>
      <c r="AH28" s="103">
        <v>45700</v>
      </c>
      <c r="AI28" s="103">
        <v>45728</v>
      </c>
      <c r="AJ28" s="96">
        <v>60</v>
      </c>
      <c r="AK28" s="91">
        <f t="shared" si="2"/>
        <v>28</v>
      </c>
      <c r="AL28" s="96">
        <f t="shared" si="3"/>
        <v>67</v>
      </c>
      <c r="AM28" s="92"/>
      <c r="AN28" s="91"/>
      <c r="AO28" s="91"/>
    </row>
    <row r="29" spans="1:41" ht="14.5" x14ac:dyDescent="0.25">
      <c r="A29" s="92" t="s">
        <v>147</v>
      </c>
      <c r="B29" s="91"/>
      <c r="C29" s="91" t="s">
        <v>95</v>
      </c>
      <c r="D29" s="92" t="s">
        <v>141</v>
      </c>
      <c r="E29" s="91" t="s">
        <v>115</v>
      </c>
      <c r="F29" s="91" t="s">
        <v>0</v>
      </c>
      <c r="G29" s="56" t="s">
        <v>148</v>
      </c>
      <c r="H29" s="91">
        <v>90</v>
      </c>
      <c r="I29" s="91" t="s">
        <v>89</v>
      </c>
      <c r="J29" s="91" t="s">
        <v>8</v>
      </c>
      <c r="K29" s="92" t="s">
        <v>14</v>
      </c>
      <c r="L29" s="93" t="s">
        <v>3023</v>
      </c>
      <c r="M29" s="94" t="s">
        <v>3299</v>
      </c>
      <c r="N29" s="95" t="s">
        <v>2878</v>
      </c>
      <c r="O29" s="96">
        <v>3</v>
      </c>
      <c r="P29" s="111">
        <f>781/54*O29</f>
        <v>43.388888888888893</v>
      </c>
      <c r="Q29" s="91" t="s">
        <v>16</v>
      </c>
      <c r="R29" s="91">
        <v>6.6</v>
      </c>
      <c r="S29" s="95"/>
      <c r="T29" s="98"/>
      <c r="U29" s="112">
        <f>R29*P29+350/72*O29</f>
        <v>300.95</v>
      </c>
      <c r="V29" s="113">
        <f t="shared" si="4"/>
        <v>3.3438888888888889</v>
      </c>
      <c r="W29" s="114">
        <f t="shared" si="5"/>
        <v>0.47769841269841268</v>
      </c>
      <c r="X29" s="95"/>
      <c r="Y29" s="95"/>
      <c r="Z29" s="102"/>
      <c r="AA29" s="103">
        <v>45661</v>
      </c>
      <c r="AB29" s="103">
        <v>45682</v>
      </c>
      <c r="AC29" s="103"/>
      <c r="AD29" s="102">
        <f>IF(ISNA(VLOOKUP(D29,亚马逊入库配置费!B:F,5,0)),0,VLOOKUP(D29,亚马逊入库配置费!B:F,5,0))</f>
        <v>0.28000000000000003</v>
      </c>
      <c r="AE29" s="102">
        <f t="shared" si="0"/>
        <v>25.200000000000003</v>
      </c>
      <c r="AF29" s="103">
        <v>45700</v>
      </c>
      <c r="AG29" s="91">
        <f t="shared" si="1"/>
        <v>39</v>
      </c>
      <c r="AH29" s="103">
        <v>45700</v>
      </c>
      <c r="AI29" s="103">
        <v>45728</v>
      </c>
      <c r="AJ29" s="96">
        <v>90</v>
      </c>
      <c r="AK29" s="91">
        <f t="shared" si="2"/>
        <v>28</v>
      </c>
      <c r="AL29" s="96">
        <f t="shared" si="3"/>
        <v>67</v>
      </c>
      <c r="AM29" s="92"/>
      <c r="AN29" s="91"/>
      <c r="AO29" s="91"/>
    </row>
    <row r="30" spans="1:41" ht="14.5" x14ac:dyDescent="0.25">
      <c r="A30" s="92" t="s">
        <v>149</v>
      </c>
      <c r="B30" s="91"/>
      <c r="C30" s="91" t="s">
        <v>103</v>
      </c>
      <c r="D30" s="110" t="s">
        <v>150</v>
      </c>
      <c r="E30" s="91" t="s">
        <v>115</v>
      </c>
      <c r="F30" s="91" t="s">
        <v>0</v>
      </c>
      <c r="G30" s="56" t="s">
        <v>142</v>
      </c>
      <c r="H30" s="91">
        <v>180</v>
      </c>
      <c r="I30" s="91" t="s">
        <v>89</v>
      </c>
      <c r="J30" s="91" t="s">
        <v>8</v>
      </c>
      <c r="K30" s="92" t="s">
        <v>10</v>
      </c>
      <c r="L30" s="93" t="s">
        <v>3020</v>
      </c>
      <c r="M30" s="94" t="s">
        <v>3295</v>
      </c>
      <c r="N30" s="95" t="s">
        <v>2878</v>
      </c>
      <c r="O30" s="96">
        <v>6</v>
      </c>
      <c r="P30" s="111">
        <f>899/62*O30</f>
        <v>87</v>
      </c>
      <c r="Q30" s="91" t="s">
        <v>16</v>
      </c>
      <c r="R30" s="91">
        <v>5.6</v>
      </c>
      <c r="S30" s="95"/>
      <c r="T30" s="98"/>
      <c r="U30" s="112">
        <f t="shared" ref="U30:U37" si="7">R30*P30+350/137*O30</f>
        <v>502.52846715328468</v>
      </c>
      <c r="V30" s="113">
        <f t="shared" si="4"/>
        <v>2.7918248175182483</v>
      </c>
      <c r="W30" s="114">
        <f t="shared" si="5"/>
        <v>0.3988321167883212</v>
      </c>
      <c r="X30" s="95"/>
      <c r="Y30" s="95"/>
      <c r="Z30" s="102"/>
      <c r="AA30" s="103">
        <v>45661</v>
      </c>
      <c r="AB30" s="103">
        <v>45682</v>
      </c>
      <c r="AC30" s="103"/>
      <c r="AD30" s="102">
        <f>IF(ISNA(VLOOKUP(D30,亚马逊入库配置费!B:F,5,0)),0,VLOOKUP(D30,亚马逊入库配置费!B:F,5,0))</f>
        <v>0.28000000000000003</v>
      </c>
      <c r="AE30" s="102">
        <f t="shared" si="0"/>
        <v>50.400000000000006</v>
      </c>
      <c r="AF30" s="103">
        <v>45709</v>
      </c>
      <c r="AG30" s="91">
        <f t="shared" si="1"/>
        <v>48</v>
      </c>
      <c r="AH30" s="103">
        <v>45709</v>
      </c>
      <c r="AI30" s="103">
        <v>45738</v>
      </c>
      <c r="AJ30" s="96">
        <v>180</v>
      </c>
      <c r="AK30" s="91">
        <f t="shared" si="2"/>
        <v>29</v>
      </c>
      <c r="AL30" s="96">
        <f t="shared" si="3"/>
        <v>77</v>
      </c>
      <c r="AM30" s="92"/>
      <c r="AN30" s="91"/>
      <c r="AO30" s="91"/>
    </row>
    <row r="31" spans="1:41" ht="14.5" x14ac:dyDescent="0.25">
      <c r="A31" s="92" t="s">
        <v>151</v>
      </c>
      <c r="B31" s="91"/>
      <c r="C31" s="91" t="s">
        <v>103</v>
      </c>
      <c r="D31" s="92" t="s">
        <v>150</v>
      </c>
      <c r="E31" s="91" t="s">
        <v>115</v>
      </c>
      <c r="F31" s="91" t="s">
        <v>0</v>
      </c>
      <c r="G31" s="56" t="s">
        <v>144</v>
      </c>
      <c r="H31" s="91">
        <v>60</v>
      </c>
      <c r="I31" s="91" t="s">
        <v>89</v>
      </c>
      <c r="J31" s="91" t="s">
        <v>8</v>
      </c>
      <c r="K31" s="92" t="s">
        <v>10</v>
      </c>
      <c r="L31" s="93" t="s">
        <v>3021</v>
      </c>
      <c r="M31" s="94" t="s">
        <v>3297</v>
      </c>
      <c r="N31" s="95" t="s">
        <v>2878</v>
      </c>
      <c r="O31" s="96">
        <v>2</v>
      </c>
      <c r="P31" s="111">
        <f>899/62*O31</f>
        <v>29</v>
      </c>
      <c r="Q31" s="91" t="s">
        <v>16</v>
      </c>
      <c r="R31" s="91">
        <v>5.6</v>
      </c>
      <c r="S31" s="95"/>
      <c r="T31" s="98"/>
      <c r="U31" s="112">
        <f t="shared" si="7"/>
        <v>167.50948905109487</v>
      </c>
      <c r="V31" s="113">
        <f t="shared" si="4"/>
        <v>2.7918248175182478</v>
      </c>
      <c r="W31" s="114">
        <f t="shared" si="5"/>
        <v>0.39883211678832114</v>
      </c>
      <c r="X31" s="95"/>
      <c r="Y31" s="95"/>
      <c r="Z31" s="102"/>
      <c r="AA31" s="103">
        <v>45661</v>
      </c>
      <c r="AB31" s="103">
        <v>45682</v>
      </c>
      <c r="AC31" s="103"/>
      <c r="AD31" s="102">
        <f>IF(ISNA(VLOOKUP(D31,亚马逊入库配置费!B:F,5,0)),0,VLOOKUP(D31,亚马逊入库配置费!B:F,5,0))</f>
        <v>0.28000000000000003</v>
      </c>
      <c r="AE31" s="102">
        <f t="shared" si="0"/>
        <v>16.8</v>
      </c>
      <c r="AF31" s="103">
        <v>45709</v>
      </c>
      <c r="AG31" s="91">
        <f t="shared" si="1"/>
        <v>48</v>
      </c>
      <c r="AH31" s="103">
        <v>45709</v>
      </c>
      <c r="AI31" s="103">
        <v>45738</v>
      </c>
      <c r="AJ31" s="96">
        <v>60</v>
      </c>
      <c r="AK31" s="91">
        <f t="shared" si="2"/>
        <v>29</v>
      </c>
      <c r="AL31" s="96">
        <f t="shared" si="3"/>
        <v>77</v>
      </c>
      <c r="AM31" s="92"/>
      <c r="AN31" s="91"/>
      <c r="AO31" s="91"/>
    </row>
    <row r="32" spans="1:41" ht="14.5" x14ac:dyDescent="0.25">
      <c r="A32" s="92" t="s">
        <v>152</v>
      </c>
      <c r="B32" s="91"/>
      <c r="C32" s="91" t="s">
        <v>103</v>
      </c>
      <c r="D32" s="92" t="s">
        <v>150</v>
      </c>
      <c r="E32" s="91" t="s">
        <v>115</v>
      </c>
      <c r="F32" s="91" t="s">
        <v>0</v>
      </c>
      <c r="G32" s="56" t="s">
        <v>146</v>
      </c>
      <c r="H32" s="91">
        <v>60</v>
      </c>
      <c r="I32" s="91" t="s">
        <v>89</v>
      </c>
      <c r="J32" s="91" t="s">
        <v>8</v>
      </c>
      <c r="K32" s="92" t="s">
        <v>10</v>
      </c>
      <c r="L32" s="93" t="s">
        <v>3022</v>
      </c>
      <c r="M32" s="94" t="s">
        <v>3298</v>
      </c>
      <c r="N32" s="95" t="s">
        <v>2878</v>
      </c>
      <c r="O32" s="96">
        <v>2</v>
      </c>
      <c r="P32" s="111">
        <f>899/62*O32</f>
        <v>29</v>
      </c>
      <c r="Q32" s="91" t="s">
        <v>16</v>
      </c>
      <c r="R32" s="91">
        <v>5.6</v>
      </c>
      <c r="S32" s="95"/>
      <c r="T32" s="98"/>
      <c r="U32" s="112">
        <f t="shared" si="7"/>
        <v>167.50948905109487</v>
      </c>
      <c r="V32" s="113">
        <f t="shared" si="4"/>
        <v>2.7918248175182478</v>
      </c>
      <c r="W32" s="114">
        <f t="shared" si="5"/>
        <v>0.39883211678832114</v>
      </c>
      <c r="X32" s="95"/>
      <c r="Y32" s="95"/>
      <c r="Z32" s="102"/>
      <c r="AA32" s="103">
        <v>45661</v>
      </c>
      <c r="AB32" s="103">
        <v>45682</v>
      </c>
      <c r="AC32" s="103"/>
      <c r="AD32" s="102">
        <f>IF(ISNA(VLOOKUP(D32,亚马逊入库配置费!B:F,5,0)),0,VLOOKUP(D32,亚马逊入库配置费!B:F,5,0))</f>
        <v>0.28000000000000003</v>
      </c>
      <c r="AE32" s="102">
        <f t="shared" si="0"/>
        <v>16.8</v>
      </c>
      <c r="AF32" s="103">
        <v>45709</v>
      </c>
      <c r="AG32" s="91">
        <f t="shared" si="1"/>
        <v>48</v>
      </c>
      <c r="AH32" s="103">
        <v>45709</v>
      </c>
      <c r="AI32" s="103">
        <v>45738</v>
      </c>
      <c r="AJ32" s="96">
        <v>60</v>
      </c>
      <c r="AK32" s="91">
        <f t="shared" si="2"/>
        <v>29</v>
      </c>
      <c r="AL32" s="96">
        <f t="shared" si="3"/>
        <v>77</v>
      </c>
      <c r="AM32" s="92"/>
      <c r="AN32" s="91"/>
      <c r="AO32" s="91"/>
    </row>
    <row r="33" spans="1:41" ht="14.5" x14ac:dyDescent="0.25">
      <c r="A33" s="92" t="s">
        <v>153</v>
      </c>
      <c r="B33" s="91" t="s">
        <v>3300</v>
      </c>
      <c r="C33" s="91" t="s">
        <v>103</v>
      </c>
      <c r="D33" s="116" t="s">
        <v>150</v>
      </c>
      <c r="E33" s="91" t="s">
        <v>115</v>
      </c>
      <c r="F33" s="91" t="s">
        <v>0</v>
      </c>
      <c r="G33" s="56" t="s">
        <v>148</v>
      </c>
      <c r="H33" s="91">
        <v>120</v>
      </c>
      <c r="I33" s="91" t="s">
        <v>89</v>
      </c>
      <c r="J33" s="91" t="s">
        <v>8</v>
      </c>
      <c r="K33" s="92" t="s">
        <v>10</v>
      </c>
      <c r="L33" s="93" t="s">
        <v>3023</v>
      </c>
      <c r="M33" s="94" t="s">
        <v>3299</v>
      </c>
      <c r="N33" s="95" t="s">
        <v>2878</v>
      </c>
      <c r="O33" s="96">
        <v>4</v>
      </c>
      <c r="P33" s="111">
        <f>899/62*O33</f>
        <v>58</v>
      </c>
      <c r="Q33" s="91" t="s">
        <v>16</v>
      </c>
      <c r="R33" s="91">
        <v>5.6</v>
      </c>
      <c r="S33" s="95"/>
      <c r="T33" s="98"/>
      <c r="U33" s="112">
        <f t="shared" si="7"/>
        <v>335.01897810218975</v>
      </c>
      <c r="V33" s="113">
        <f t="shared" si="4"/>
        <v>2.7918248175182478</v>
      </c>
      <c r="W33" s="114">
        <f t="shared" si="5"/>
        <v>0.39883211678832114</v>
      </c>
      <c r="X33" s="95"/>
      <c r="Y33" s="95"/>
      <c r="Z33" s="102"/>
      <c r="AA33" s="103">
        <v>45661</v>
      </c>
      <c r="AB33" s="103">
        <v>45682</v>
      </c>
      <c r="AC33" s="103"/>
      <c r="AD33" s="102">
        <f>IF(ISNA(VLOOKUP(D33,亚马逊入库配置费!B:F,5,0)),0,VLOOKUP(D33,亚马逊入库配置费!B:F,5,0))</f>
        <v>0.28000000000000003</v>
      </c>
      <c r="AE33" s="102">
        <f t="shared" si="0"/>
        <v>33.6</v>
      </c>
      <c r="AF33" s="103">
        <v>45709</v>
      </c>
      <c r="AG33" s="91">
        <f t="shared" si="1"/>
        <v>48</v>
      </c>
      <c r="AH33" s="103">
        <v>45709</v>
      </c>
      <c r="AI33" s="103">
        <v>45738</v>
      </c>
      <c r="AJ33" s="96">
        <v>119</v>
      </c>
      <c r="AK33" s="91">
        <f t="shared" si="2"/>
        <v>29</v>
      </c>
      <c r="AL33" s="96">
        <f t="shared" si="3"/>
        <v>77</v>
      </c>
      <c r="AM33" s="92"/>
      <c r="AN33" s="91"/>
      <c r="AO33" s="91"/>
    </row>
    <row r="34" spans="1:41" ht="14.5" x14ac:dyDescent="0.25">
      <c r="A34" s="92" t="s">
        <v>154</v>
      </c>
      <c r="B34" s="91"/>
      <c r="C34" s="91" t="s">
        <v>103</v>
      </c>
      <c r="D34" s="92" t="s">
        <v>155</v>
      </c>
      <c r="E34" s="91" t="s">
        <v>115</v>
      </c>
      <c r="F34" s="91" t="s">
        <v>0</v>
      </c>
      <c r="G34" s="56" t="s">
        <v>142</v>
      </c>
      <c r="H34" s="91">
        <v>150</v>
      </c>
      <c r="I34" s="91" t="s">
        <v>89</v>
      </c>
      <c r="J34" s="91" t="s">
        <v>8</v>
      </c>
      <c r="K34" s="92" t="s">
        <v>13</v>
      </c>
      <c r="L34" s="93" t="s">
        <v>3020</v>
      </c>
      <c r="M34" s="94" t="s">
        <v>3295</v>
      </c>
      <c r="N34" s="95" t="s">
        <v>2878</v>
      </c>
      <c r="O34" s="96">
        <v>5</v>
      </c>
      <c r="P34" s="111">
        <f>621/43*O34</f>
        <v>72.209302325581405</v>
      </c>
      <c r="Q34" s="91" t="s">
        <v>16</v>
      </c>
      <c r="R34" s="91">
        <v>5.6</v>
      </c>
      <c r="S34" s="95"/>
      <c r="T34" s="98"/>
      <c r="U34" s="112">
        <f t="shared" si="7"/>
        <v>417.14581565099309</v>
      </c>
      <c r="V34" s="113">
        <f t="shared" si="4"/>
        <v>2.7809721043399538</v>
      </c>
      <c r="W34" s="114">
        <f t="shared" si="5"/>
        <v>0.39728172919142196</v>
      </c>
      <c r="X34" s="95"/>
      <c r="Y34" s="95"/>
      <c r="Z34" s="102"/>
      <c r="AA34" s="103">
        <v>45661</v>
      </c>
      <c r="AB34" s="103">
        <v>45682</v>
      </c>
      <c r="AC34" s="103"/>
      <c r="AD34" s="102">
        <f>IF(ISNA(VLOOKUP(D34,亚马逊入库配置费!B:F,5,0)),0,VLOOKUP(D34,亚马逊入库配置费!B:F,5,0))</f>
        <v>0.28000000000000003</v>
      </c>
      <c r="AE34" s="102">
        <f t="shared" si="0"/>
        <v>42.000000000000007</v>
      </c>
      <c r="AF34" s="103">
        <v>45699</v>
      </c>
      <c r="AG34" s="91">
        <f t="shared" si="1"/>
        <v>38</v>
      </c>
      <c r="AH34" s="103">
        <v>45699</v>
      </c>
      <c r="AI34" s="103">
        <v>45728</v>
      </c>
      <c r="AJ34" s="96">
        <v>150</v>
      </c>
      <c r="AK34" s="91">
        <f t="shared" si="2"/>
        <v>29</v>
      </c>
      <c r="AL34" s="96">
        <f t="shared" si="3"/>
        <v>67</v>
      </c>
      <c r="AM34" s="92"/>
      <c r="AN34" s="91"/>
      <c r="AO34" s="91"/>
    </row>
    <row r="35" spans="1:41" ht="14.5" x14ac:dyDescent="0.25">
      <c r="A35" s="92" t="s">
        <v>156</v>
      </c>
      <c r="B35" s="91"/>
      <c r="C35" s="91" t="s">
        <v>103</v>
      </c>
      <c r="D35" s="92" t="s">
        <v>155</v>
      </c>
      <c r="E35" s="91" t="s">
        <v>115</v>
      </c>
      <c r="F35" s="91" t="s">
        <v>0</v>
      </c>
      <c r="G35" s="56" t="s">
        <v>144</v>
      </c>
      <c r="H35" s="91">
        <v>30</v>
      </c>
      <c r="I35" s="91" t="s">
        <v>89</v>
      </c>
      <c r="J35" s="91" t="s">
        <v>8</v>
      </c>
      <c r="K35" s="92" t="s">
        <v>13</v>
      </c>
      <c r="L35" s="93" t="s">
        <v>3021</v>
      </c>
      <c r="M35" s="94" t="s">
        <v>3297</v>
      </c>
      <c r="N35" s="95" t="s">
        <v>2878</v>
      </c>
      <c r="O35" s="96">
        <v>1</v>
      </c>
      <c r="P35" s="111">
        <f>621/43*O35</f>
        <v>14.44186046511628</v>
      </c>
      <c r="Q35" s="91" t="s">
        <v>16</v>
      </c>
      <c r="R35" s="91">
        <v>5.6</v>
      </c>
      <c r="S35" s="95"/>
      <c r="T35" s="98"/>
      <c r="U35" s="112">
        <f t="shared" si="7"/>
        <v>83.429163130198617</v>
      </c>
      <c r="V35" s="113">
        <f t="shared" si="4"/>
        <v>2.7809721043399538</v>
      </c>
      <c r="W35" s="114">
        <f t="shared" si="5"/>
        <v>0.39728172919142196</v>
      </c>
      <c r="X35" s="95"/>
      <c r="Y35" s="95"/>
      <c r="Z35" s="102"/>
      <c r="AA35" s="103">
        <v>45661</v>
      </c>
      <c r="AB35" s="103">
        <v>45682</v>
      </c>
      <c r="AC35" s="103"/>
      <c r="AD35" s="102">
        <f>IF(ISNA(VLOOKUP(D35,亚马逊入库配置费!B:F,5,0)),0,VLOOKUP(D35,亚马逊入库配置费!B:F,5,0))</f>
        <v>0.28000000000000003</v>
      </c>
      <c r="AE35" s="102">
        <f t="shared" si="0"/>
        <v>8.4</v>
      </c>
      <c r="AF35" s="103">
        <v>45699</v>
      </c>
      <c r="AG35" s="91">
        <f t="shared" si="1"/>
        <v>38</v>
      </c>
      <c r="AH35" s="103">
        <v>45699</v>
      </c>
      <c r="AI35" s="103">
        <v>45728</v>
      </c>
      <c r="AJ35" s="96">
        <v>30</v>
      </c>
      <c r="AK35" s="91">
        <f t="shared" si="2"/>
        <v>29</v>
      </c>
      <c r="AL35" s="96">
        <f t="shared" si="3"/>
        <v>67</v>
      </c>
      <c r="AM35" s="92"/>
      <c r="AN35" s="91"/>
      <c r="AO35" s="91"/>
    </row>
    <row r="36" spans="1:41" ht="14.5" x14ac:dyDescent="0.25">
      <c r="A36" s="92" t="s">
        <v>157</v>
      </c>
      <c r="B36" s="91"/>
      <c r="C36" s="91" t="s">
        <v>103</v>
      </c>
      <c r="D36" s="92" t="s">
        <v>155</v>
      </c>
      <c r="E36" s="91" t="s">
        <v>115</v>
      </c>
      <c r="F36" s="91" t="s">
        <v>0</v>
      </c>
      <c r="G36" s="56" t="s">
        <v>146</v>
      </c>
      <c r="H36" s="91">
        <v>30</v>
      </c>
      <c r="I36" s="91" t="s">
        <v>89</v>
      </c>
      <c r="J36" s="91" t="s">
        <v>8</v>
      </c>
      <c r="K36" s="92" t="s">
        <v>13</v>
      </c>
      <c r="L36" s="93" t="s">
        <v>3022</v>
      </c>
      <c r="M36" s="94" t="s">
        <v>3298</v>
      </c>
      <c r="N36" s="95" t="s">
        <v>2878</v>
      </c>
      <c r="O36" s="96">
        <v>1</v>
      </c>
      <c r="P36" s="111">
        <f>621/43*O36</f>
        <v>14.44186046511628</v>
      </c>
      <c r="Q36" s="91" t="s">
        <v>16</v>
      </c>
      <c r="R36" s="91">
        <v>5.6</v>
      </c>
      <c r="S36" s="95"/>
      <c r="T36" s="98"/>
      <c r="U36" s="112">
        <f t="shared" si="7"/>
        <v>83.429163130198617</v>
      </c>
      <c r="V36" s="113">
        <f t="shared" si="4"/>
        <v>2.7809721043399538</v>
      </c>
      <c r="W36" s="114">
        <f t="shared" si="5"/>
        <v>0.39728172919142196</v>
      </c>
      <c r="X36" s="95"/>
      <c r="Y36" s="95"/>
      <c r="Z36" s="102"/>
      <c r="AA36" s="103">
        <v>45661</v>
      </c>
      <c r="AB36" s="103">
        <v>45682</v>
      </c>
      <c r="AC36" s="103"/>
      <c r="AD36" s="102">
        <f>IF(ISNA(VLOOKUP(D36,亚马逊入库配置费!B:F,5,0)),0,VLOOKUP(D36,亚马逊入库配置费!B:F,5,0))</f>
        <v>0.28000000000000003</v>
      </c>
      <c r="AE36" s="102">
        <f t="shared" si="0"/>
        <v>8.4</v>
      </c>
      <c r="AF36" s="103">
        <v>45699</v>
      </c>
      <c r="AG36" s="91">
        <f t="shared" si="1"/>
        <v>38</v>
      </c>
      <c r="AH36" s="103">
        <v>45699</v>
      </c>
      <c r="AI36" s="103">
        <v>45728</v>
      </c>
      <c r="AJ36" s="96">
        <v>30</v>
      </c>
      <c r="AK36" s="91">
        <f t="shared" si="2"/>
        <v>29</v>
      </c>
      <c r="AL36" s="96">
        <f t="shared" si="3"/>
        <v>67</v>
      </c>
      <c r="AM36" s="92"/>
      <c r="AN36" s="91"/>
      <c r="AO36" s="91"/>
    </row>
    <row r="37" spans="1:41" ht="14.5" x14ac:dyDescent="0.25">
      <c r="A37" s="92" t="s">
        <v>158</v>
      </c>
      <c r="B37" s="91"/>
      <c r="C37" s="91" t="s">
        <v>103</v>
      </c>
      <c r="D37" s="92" t="s">
        <v>155</v>
      </c>
      <c r="E37" s="91" t="s">
        <v>115</v>
      </c>
      <c r="F37" s="91" t="s">
        <v>0</v>
      </c>
      <c r="G37" s="56" t="s">
        <v>148</v>
      </c>
      <c r="H37" s="91">
        <v>90</v>
      </c>
      <c r="I37" s="91" t="s">
        <v>89</v>
      </c>
      <c r="J37" s="91" t="s">
        <v>8</v>
      </c>
      <c r="K37" s="92" t="s">
        <v>13</v>
      </c>
      <c r="L37" s="93" t="s">
        <v>3023</v>
      </c>
      <c r="M37" s="94" t="s">
        <v>3299</v>
      </c>
      <c r="N37" s="95" t="s">
        <v>2878</v>
      </c>
      <c r="O37" s="96">
        <v>3</v>
      </c>
      <c r="P37" s="111">
        <f>621/43*O37</f>
        <v>43.325581395348841</v>
      </c>
      <c r="Q37" s="91" t="s">
        <v>16</v>
      </c>
      <c r="R37" s="91">
        <v>5.6</v>
      </c>
      <c r="S37" s="95"/>
      <c r="T37" s="98"/>
      <c r="U37" s="112">
        <f t="shared" si="7"/>
        <v>250.28748939059585</v>
      </c>
      <c r="V37" s="113">
        <f t="shared" si="4"/>
        <v>2.7809721043399538</v>
      </c>
      <c r="W37" s="114">
        <f t="shared" si="5"/>
        <v>0.39728172919142196</v>
      </c>
      <c r="X37" s="95"/>
      <c r="Y37" s="95"/>
      <c r="Z37" s="102"/>
      <c r="AA37" s="103">
        <v>45661</v>
      </c>
      <c r="AB37" s="103">
        <v>45682</v>
      </c>
      <c r="AC37" s="103"/>
      <c r="AD37" s="102">
        <f>IF(ISNA(VLOOKUP(D37,亚马逊入库配置费!B:F,5,0)),0,VLOOKUP(D37,亚马逊入库配置费!B:F,5,0))</f>
        <v>0.28000000000000003</v>
      </c>
      <c r="AE37" s="102">
        <f t="shared" si="0"/>
        <v>25.200000000000003</v>
      </c>
      <c r="AF37" s="103">
        <v>45699</v>
      </c>
      <c r="AG37" s="91">
        <f t="shared" si="1"/>
        <v>38</v>
      </c>
      <c r="AH37" s="103">
        <v>45699</v>
      </c>
      <c r="AI37" s="103">
        <v>45728</v>
      </c>
      <c r="AJ37" s="96">
        <v>90</v>
      </c>
      <c r="AK37" s="91">
        <f t="shared" si="2"/>
        <v>29</v>
      </c>
      <c r="AL37" s="96">
        <f t="shared" si="3"/>
        <v>67</v>
      </c>
      <c r="AM37" s="92"/>
      <c r="AN37" s="91"/>
      <c r="AO37" s="91"/>
    </row>
    <row r="38" spans="1:41" ht="14.5" x14ac:dyDescent="0.25">
      <c r="A38" s="92" t="s">
        <v>159</v>
      </c>
      <c r="B38" s="91"/>
      <c r="C38" s="91" t="s">
        <v>95</v>
      </c>
      <c r="D38" s="92" t="s">
        <v>160</v>
      </c>
      <c r="E38" s="91" t="s">
        <v>97</v>
      </c>
      <c r="F38" s="91" t="s">
        <v>0</v>
      </c>
      <c r="G38" s="56" t="s">
        <v>161</v>
      </c>
      <c r="H38" s="91">
        <v>64</v>
      </c>
      <c r="I38" s="91" t="s">
        <v>89</v>
      </c>
      <c r="J38" s="91" t="s">
        <v>8</v>
      </c>
      <c r="K38" s="92" t="s">
        <v>14</v>
      </c>
      <c r="L38" s="93" t="s">
        <v>3024</v>
      </c>
      <c r="M38" s="94" t="s">
        <v>3301</v>
      </c>
      <c r="N38" s="95" t="s">
        <v>2870</v>
      </c>
      <c r="O38" s="96">
        <v>2</v>
      </c>
      <c r="P38" s="111">
        <f t="shared" ref="P38:P47" si="8">781/54*O38</f>
        <v>28.925925925925927</v>
      </c>
      <c r="Q38" s="91" t="s">
        <v>16</v>
      </c>
      <c r="R38" s="91">
        <v>6.6</v>
      </c>
      <c r="S38" s="95"/>
      <c r="T38" s="98"/>
      <c r="U38" s="112">
        <f t="shared" ref="U38:U47" si="9">R38*P38+350/72*O38</f>
        <v>200.63333333333333</v>
      </c>
      <c r="V38" s="113">
        <f t="shared" si="4"/>
        <v>3.1348958333333332</v>
      </c>
      <c r="W38" s="114">
        <f t="shared" si="5"/>
        <v>0.4478422619047619</v>
      </c>
      <c r="X38" s="95"/>
      <c r="Y38" s="95"/>
      <c r="Z38" s="102"/>
      <c r="AA38" s="103">
        <v>45661</v>
      </c>
      <c r="AB38" s="103">
        <v>45682</v>
      </c>
      <c r="AC38" s="103"/>
      <c r="AD38" s="102">
        <f>IF(ISNA(VLOOKUP(D38,亚马逊入库配置费!B:F,5,0)),0,VLOOKUP(D38,亚马逊入库配置费!B:F,5,0))</f>
        <v>0.25394843962008101</v>
      </c>
      <c r="AE38" s="102">
        <f t="shared" si="0"/>
        <v>16.252700135685185</v>
      </c>
      <c r="AF38" s="103">
        <v>45701</v>
      </c>
      <c r="AG38" s="91">
        <f t="shared" si="1"/>
        <v>40</v>
      </c>
      <c r="AH38" s="103">
        <v>45701</v>
      </c>
      <c r="AI38" s="103">
        <v>45729</v>
      </c>
      <c r="AJ38" s="96">
        <v>64</v>
      </c>
      <c r="AK38" s="91">
        <f t="shared" si="2"/>
        <v>28</v>
      </c>
      <c r="AL38" s="96">
        <f t="shared" si="3"/>
        <v>68</v>
      </c>
      <c r="AM38" s="92"/>
      <c r="AN38" s="91"/>
      <c r="AO38" s="91"/>
    </row>
    <row r="39" spans="1:41" ht="14.5" x14ac:dyDescent="0.25">
      <c r="A39" s="92" t="s">
        <v>162</v>
      </c>
      <c r="B39" s="91"/>
      <c r="C39" s="91" t="s">
        <v>95</v>
      </c>
      <c r="D39" s="92" t="s">
        <v>160</v>
      </c>
      <c r="E39" s="91" t="s">
        <v>97</v>
      </c>
      <c r="F39" s="91" t="s">
        <v>0</v>
      </c>
      <c r="G39" s="56" t="s">
        <v>163</v>
      </c>
      <c r="H39" s="91">
        <v>680</v>
      </c>
      <c r="I39" s="91" t="s">
        <v>89</v>
      </c>
      <c r="J39" s="91" t="s">
        <v>8</v>
      </c>
      <c r="K39" s="92" t="s">
        <v>14</v>
      </c>
      <c r="L39" s="93" t="s">
        <v>2881</v>
      </c>
      <c r="M39" s="94" t="s">
        <v>3302</v>
      </c>
      <c r="N39" s="95" t="s">
        <v>2870</v>
      </c>
      <c r="O39" s="96">
        <v>17</v>
      </c>
      <c r="P39" s="111">
        <f t="shared" si="8"/>
        <v>245.87037037037038</v>
      </c>
      <c r="Q39" s="91" t="s">
        <v>16</v>
      </c>
      <c r="R39" s="91">
        <v>6.6</v>
      </c>
      <c r="S39" s="95"/>
      <c r="T39" s="98"/>
      <c r="U39" s="112">
        <f t="shared" si="9"/>
        <v>1705.3833333333334</v>
      </c>
      <c r="V39" s="113">
        <f t="shared" si="4"/>
        <v>2.507916666666667</v>
      </c>
      <c r="W39" s="114">
        <f t="shared" si="5"/>
        <v>0.35827380952380955</v>
      </c>
      <c r="X39" s="95"/>
      <c r="Y39" s="95"/>
      <c r="Z39" s="102"/>
      <c r="AA39" s="103">
        <v>45661</v>
      </c>
      <c r="AB39" s="103">
        <v>45682</v>
      </c>
      <c r="AC39" s="103"/>
      <c r="AD39" s="102">
        <f>IF(ISNA(VLOOKUP(D39,亚马逊入库配置费!B:F,5,0)),0,VLOOKUP(D39,亚马逊入库配置费!B:F,5,0))</f>
        <v>0.25394843962008101</v>
      </c>
      <c r="AE39" s="102">
        <f t="shared" si="0"/>
        <v>172.68493894165508</v>
      </c>
      <c r="AF39" s="103">
        <v>45701</v>
      </c>
      <c r="AG39" s="91">
        <f t="shared" si="1"/>
        <v>40</v>
      </c>
      <c r="AH39" s="103">
        <v>45701</v>
      </c>
      <c r="AI39" s="103">
        <v>45729</v>
      </c>
      <c r="AJ39" s="96">
        <v>680</v>
      </c>
      <c r="AK39" s="91">
        <f t="shared" si="2"/>
        <v>28</v>
      </c>
      <c r="AL39" s="96">
        <f t="shared" si="3"/>
        <v>68</v>
      </c>
      <c r="AM39" s="92"/>
      <c r="AN39" s="91"/>
      <c r="AO39" s="91"/>
    </row>
    <row r="40" spans="1:41" ht="14.5" x14ac:dyDescent="0.25">
      <c r="A40" s="92" t="s">
        <v>164</v>
      </c>
      <c r="B40" s="91" t="s">
        <v>3303</v>
      </c>
      <c r="C40" s="91" t="s">
        <v>95</v>
      </c>
      <c r="D40" s="116" t="s">
        <v>160</v>
      </c>
      <c r="E40" s="91" t="s">
        <v>97</v>
      </c>
      <c r="F40" s="91" t="s">
        <v>0</v>
      </c>
      <c r="G40" s="56" t="s">
        <v>165</v>
      </c>
      <c r="H40" s="91">
        <v>280</v>
      </c>
      <c r="I40" s="91" t="s">
        <v>89</v>
      </c>
      <c r="J40" s="91" t="s">
        <v>8</v>
      </c>
      <c r="K40" s="92" t="s">
        <v>14</v>
      </c>
      <c r="L40" s="93" t="s">
        <v>2880</v>
      </c>
      <c r="M40" s="94" t="s">
        <v>3209</v>
      </c>
      <c r="N40" s="95" t="s">
        <v>2870</v>
      </c>
      <c r="O40" s="96">
        <v>7</v>
      </c>
      <c r="P40" s="111">
        <f t="shared" si="8"/>
        <v>101.24074074074075</v>
      </c>
      <c r="Q40" s="91" t="s">
        <v>16</v>
      </c>
      <c r="R40" s="91">
        <v>6.6</v>
      </c>
      <c r="S40" s="95"/>
      <c r="T40" s="98"/>
      <c r="U40" s="112">
        <f t="shared" si="9"/>
        <v>702.2166666666667</v>
      </c>
      <c r="V40" s="113">
        <f t="shared" si="4"/>
        <v>2.5079166666666666</v>
      </c>
      <c r="W40" s="114">
        <f t="shared" si="5"/>
        <v>0.35827380952380949</v>
      </c>
      <c r="X40" s="95"/>
      <c r="Y40" s="95"/>
      <c r="Z40" s="102"/>
      <c r="AA40" s="103">
        <v>45661</v>
      </c>
      <c r="AB40" s="103">
        <v>45682</v>
      </c>
      <c r="AC40" s="103"/>
      <c r="AD40" s="102">
        <f>IF(ISNA(VLOOKUP(D40,亚马逊入库配置费!B:F,5,0)),0,VLOOKUP(D40,亚马逊入库配置费!B:F,5,0))</f>
        <v>0.25394843962008101</v>
      </c>
      <c r="AE40" s="102">
        <f t="shared" si="0"/>
        <v>71.105563093622678</v>
      </c>
      <c r="AF40" s="103">
        <v>45701</v>
      </c>
      <c r="AG40" s="91">
        <f t="shared" si="1"/>
        <v>40</v>
      </c>
      <c r="AH40" s="103">
        <v>45701</v>
      </c>
      <c r="AI40" s="103">
        <v>45729</v>
      </c>
      <c r="AJ40" s="117">
        <v>2</v>
      </c>
      <c r="AK40" s="91">
        <f t="shared" si="2"/>
        <v>28</v>
      </c>
      <c r="AL40" s="96">
        <f t="shared" si="3"/>
        <v>68</v>
      </c>
      <c r="AM40" s="92"/>
      <c r="AN40" s="91"/>
      <c r="AO40" s="91"/>
    </row>
    <row r="41" spans="1:41" ht="14.5" x14ac:dyDescent="0.25">
      <c r="A41" s="92" t="s">
        <v>166</v>
      </c>
      <c r="B41" s="91"/>
      <c r="C41" s="91" t="s">
        <v>95</v>
      </c>
      <c r="D41" s="92" t="s">
        <v>160</v>
      </c>
      <c r="E41" s="91" t="s">
        <v>97</v>
      </c>
      <c r="F41" s="91" t="s">
        <v>0</v>
      </c>
      <c r="G41" s="56" t="s">
        <v>167</v>
      </c>
      <c r="H41" s="91">
        <v>90</v>
      </c>
      <c r="I41" s="91" t="s">
        <v>89</v>
      </c>
      <c r="J41" s="91" t="s">
        <v>8</v>
      </c>
      <c r="K41" s="92" t="s">
        <v>14</v>
      </c>
      <c r="L41" s="93" t="s">
        <v>3025</v>
      </c>
      <c r="M41" s="94" t="s">
        <v>3210</v>
      </c>
      <c r="N41" s="95" t="s">
        <v>2876</v>
      </c>
      <c r="O41" s="96">
        <v>3</v>
      </c>
      <c r="P41" s="111">
        <f t="shared" si="8"/>
        <v>43.388888888888893</v>
      </c>
      <c r="Q41" s="91" t="s">
        <v>16</v>
      </c>
      <c r="R41" s="91">
        <v>6.6</v>
      </c>
      <c r="S41" s="95"/>
      <c r="T41" s="98"/>
      <c r="U41" s="112">
        <f t="shared" si="9"/>
        <v>300.95</v>
      </c>
      <c r="V41" s="113">
        <f t="shared" si="4"/>
        <v>3.3438888888888889</v>
      </c>
      <c r="W41" s="114">
        <f t="shared" si="5"/>
        <v>0.47769841269841268</v>
      </c>
      <c r="X41" s="95"/>
      <c r="Y41" s="95"/>
      <c r="Z41" s="102"/>
      <c r="AA41" s="103">
        <v>45661</v>
      </c>
      <c r="AB41" s="103">
        <v>45682</v>
      </c>
      <c r="AC41" s="103"/>
      <c r="AD41" s="102">
        <f>IF(ISNA(VLOOKUP(D41,亚马逊入库配置费!B:F,5,0)),0,VLOOKUP(D41,亚马逊入库配置费!B:F,5,0))</f>
        <v>0.25394843962008101</v>
      </c>
      <c r="AE41" s="102">
        <f t="shared" si="0"/>
        <v>22.855359565807291</v>
      </c>
      <c r="AF41" s="103">
        <v>45701</v>
      </c>
      <c r="AG41" s="91">
        <f t="shared" si="1"/>
        <v>40</v>
      </c>
      <c r="AH41" s="103">
        <v>45701</v>
      </c>
      <c r="AI41" s="103">
        <v>45729</v>
      </c>
      <c r="AJ41" s="96">
        <v>90</v>
      </c>
      <c r="AK41" s="91">
        <f t="shared" si="2"/>
        <v>28</v>
      </c>
      <c r="AL41" s="96">
        <f t="shared" si="3"/>
        <v>68</v>
      </c>
      <c r="AM41" s="92"/>
      <c r="AN41" s="91"/>
      <c r="AO41" s="91"/>
    </row>
    <row r="42" spans="1:41" ht="14.5" x14ac:dyDescent="0.25">
      <c r="A42" s="92" t="s">
        <v>168</v>
      </c>
      <c r="B42" s="91"/>
      <c r="C42" s="91" t="s">
        <v>95</v>
      </c>
      <c r="D42" s="92" t="s">
        <v>160</v>
      </c>
      <c r="E42" s="91" t="s">
        <v>97</v>
      </c>
      <c r="F42" s="91" t="s">
        <v>0</v>
      </c>
      <c r="G42" s="56" t="s">
        <v>169</v>
      </c>
      <c r="H42" s="91">
        <v>60</v>
      </c>
      <c r="I42" s="91" t="s">
        <v>89</v>
      </c>
      <c r="J42" s="91" t="s">
        <v>8</v>
      </c>
      <c r="K42" s="92" t="s">
        <v>14</v>
      </c>
      <c r="L42" s="93" t="s">
        <v>3026</v>
      </c>
      <c r="M42" s="94" t="s">
        <v>3211</v>
      </c>
      <c r="N42" s="95" t="s">
        <v>2876</v>
      </c>
      <c r="O42" s="96">
        <v>2</v>
      </c>
      <c r="P42" s="111">
        <f t="shared" si="8"/>
        <v>28.925925925925927</v>
      </c>
      <c r="Q42" s="91" t="s">
        <v>16</v>
      </c>
      <c r="R42" s="91">
        <v>6.6</v>
      </c>
      <c r="S42" s="95"/>
      <c r="T42" s="98"/>
      <c r="U42" s="112">
        <f t="shared" si="9"/>
        <v>200.63333333333333</v>
      </c>
      <c r="V42" s="113">
        <f t="shared" si="4"/>
        <v>3.3438888888888889</v>
      </c>
      <c r="W42" s="114">
        <f t="shared" si="5"/>
        <v>0.47769841269841268</v>
      </c>
      <c r="X42" s="95"/>
      <c r="Y42" s="95"/>
      <c r="Z42" s="102"/>
      <c r="AA42" s="103">
        <v>45661</v>
      </c>
      <c r="AB42" s="103">
        <v>45682</v>
      </c>
      <c r="AC42" s="103"/>
      <c r="AD42" s="102">
        <f>IF(ISNA(VLOOKUP(D42,亚马逊入库配置费!B:F,5,0)),0,VLOOKUP(D42,亚马逊入库配置费!B:F,5,0))</f>
        <v>0.25394843962008101</v>
      </c>
      <c r="AE42" s="102">
        <f t="shared" si="0"/>
        <v>15.236906377204861</v>
      </c>
      <c r="AF42" s="103">
        <v>45701</v>
      </c>
      <c r="AG42" s="91">
        <f t="shared" si="1"/>
        <v>40</v>
      </c>
      <c r="AH42" s="103">
        <v>45701</v>
      </c>
      <c r="AI42" s="103">
        <v>45729</v>
      </c>
      <c r="AJ42" s="96">
        <v>60</v>
      </c>
      <c r="AK42" s="91">
        <f t="shared" si="2"/>
        <v>28</v>
      </c>
      <c r="AL42" s="96">
        <f t="shared" si="3"/>
        <v>68</v>
      </c>
      <c r="AM42" s="92"/>
      <c r="AN42" s="91"/>
      <c r="AO42" s="91"/>
    </row>
    <row r="43" spans="1:41" ht="14.5" x14ac:dyDescent="0.25">
      <c r="A43" s="92" t="s">
        <v>170</v>
      </c>
      <c r="B43" s="91"/>
      <c r="C43" s="91" t="s">
        <v>95</v>
      </c>
      <c r="D43" s="92" t="s">
        <v>160</v>
      </c>
      <c r="E43" s="91" t="s">
        <v>97</v>
      </c>
      <c r="F43" s="91" t="s">
        <v>0</v>
      </c>
      <c r="G43" s="56" t="s">
        <v>171</v>
      </c>
      <c r="H43" s="91">
        <v>60</v>
      </c>
      <c r="I43" s="91" t="s">
        <v>89</v>
      </c>
      <c r="J43" s="91" t="s">
        <v>8</v>
      </c>
      <c r="K43" s="92" t="s">
        <v>14</v>
      </c>
      <c r="L43" s="93" t="s">
        <v>3027</v>
      </c>
      <c r="M43" s="94" t="s">
        <v>3212</v>
      </c>
      <c r="N43" s="95" t="s">
        <v>2876</v>
      </c>
      <c r="O43" s="96">
        <v>2</v>
      </c>
      <c r="P43" s="111">
        <f t="shared" si="8"/>
        <v>28.925925925925927</v>
      </c>
      <c r="Q43" s="91" t="s">
        <v>16</v>
      </c>
      <c r="R43" s="91">
        <v>6.6</v>
      </c>
      <c r="S43" s="95"/>
      <c r="T43" s="98"/>
      <c r="U43" s="112">
        <f t="shared" si="9"/>
        <v>200.63333333333333</v>
      </c>
      <c r="V43" s="113">
        <f t="shared" si="4"/>
        <v>3.3438888888888889</v>
      </c>
      <c r="W43" s="114">
        <f t="shared" si="5"/>
        <v>0.47769841269841268</v>
      </c>
      <c r="X43" s="95"/>
      <c r="Y43" s="95"/>
      <c r="Z43" s="102"/>
      <c r="AA43" s="103">
        <v>45661</v>
      </c>
      <c r="AB43" s="103">
        <v>45682</v>
      </c>
      <c r="AC43" s="103"/>
      <c r="AD43" s="102">
        <f>IF(ISNA(VLOOKUP(D43,亚马逊入库配置费!B:F,5,0)),0,VLOOKUP(D43,亚马逊入库配置费!B:F,5,0))</f>
        <v>0.25394843962008101</v>
      </c>
      <c r="AE43" s="102">
        <f t="shared" si="0"/>
        <v>15.236906377204861</v>
      </c>
      <c r="AF43" s="103">
        <v>45701</v>
      </c>
      <c r="AG43" s="91">
        <f t="shared" si="1"/>
        <v>40</v>
      </c>
      <c r="AH43" s="103">
        <v>45701</v>
      </c>
      <c r="AI43" s="103">
        <v>45729</v>
      </c>
      <c r="AJ43" s="96">
        <v>60</v>
      </c>
      <c r="AK43" s="91">
        <f t="shared" si="2"/>
        <v>28</v>
      </c>
      <c r="AL43" s="96">
        <f t="shared" si="3"/>
        <v>68</v>
      </c>
      <c r="AM43" s="92"/>
      <c r="AN43" s="91"/>
      <c r="AO43" s="91"/>
    </row>
    <row r="44" spans="1:41" ht="14.5" x14ac:dyDescent="0.25">
      <c r="A44" s="92" t="s">
        <v>172</v>
      </c>
      <c r="B44" s="91"/>
      <c r="C44" s="91" t="s">
        <v>95</v>
      </c>
      <c r="D44" s="92" t="s">
        <v>160</v>
      </c>
      <c r="E44" s="91" t="s">
        <v>97</v>
      </c>
      <c r="F44" s="91" t="s">
        <v>0</v>
      </c>
      <c r="G44" s="56" t="s">
        <v>173</v>
      </c>
      <c r="H44" s="91">
        <v>30</v>
      </c>
      <c r="I44" s="91" t="s">
        <v>89</v>
      </c>
      <c r="J44" s="91" t="s">
        <v>8</v>
      </c>
      <c r="K44" s="92" t="s">
        <v>14</v>
      </c>
      <c r="L44" s="93" t="s">
        <v>3028</v>
      </c>
      <c r="M44" s="94" t="s">
        <v>3304</v>
      </c>
      <c r="N44" s="95" t="s">
        <v>2876</v>
      </c>
      <c r="O44" s="96">
        <v>1</v>
      </c>
      <c r="P44" s="111">
        <f t="shared" si="8"/>
        <v>14.462962962962964</v>
      </c>
      <c r="Q44" s="91" t="s">
        <v>16</v>
      </c>
      <c r="R44" s="91">
        <v>6.6</v>
      </c>
      <c r="S44" s="95"/>
      <c r="T44" s="98"/>
      <c r="U44" s="112">
        <f t="shared" si="9"/>
        <v>100.31666666666666</v>
      </c>
      <c r="V44" s="113">
        <f t="shared" si="4"/>
        <v>3.3438888888888889</v>
      </c>
      <c r="W44" s="114">
        <f t="shared" si="5"/>
        <v>0.47769841269841268</v>
      </c>
      <c r="X44" s="95"/>
      <c r="Y44" s="95"/>
      <c r="Z44" s="102"/>
      <c r="AA44" s="103">
        <v>45661</v>
      </c>
      <c r="AB44" s="103">
        <v>45682</v>
      </c>
      <c r="AC44" s="103"/>
      <c r="AD44" s="102">
        <f>IF(ISNA(VLOOKUP(D44,亚马逊入库配置费!B:F,5,0)),0,VLOOKUP(D44,亚马逊入库配置费!B:F,5,0))</f>
        <v>0.25394843962008101</v>
      </c>
      <c r="AE44" s="102">
        <f t="shared" si="0"/>
        <v>7.6184531886024303</v>
      </c>
      <c r="AF44" s="103">
        <v>45701</v>
      </c>
      <c r="AG44" s="91">
        <f t="shared" si="1"/>
        <v>40</v>
      </c>
      <c r="AH44" s="103">
        <v>45701</v>
      </c>
      <c r="AI44" s="103">
        <v>45729</v>
      </c>
      <c r="AJ44" s="96">
        <v>30</v>
      </c>
      <c r="AK44" s="91">
        <f t="shared" si="2"/>
        <v>28</v>
      </c>
      <c r="AL44" s="96">
        <f t="shared" si="3"/>
        <v>68</v>
      </c>
      <c r="AM44" s="92"/>
      <c r="AN44" s="91"/>
      <c r="AO44" s="91"/>
    </row>
    <row r="45" spans="1:41" ht="14.5" x14ac:dyDescent="0.25">
      <c r="A45" s="92" t="s">
        <v>174</v>
      </c>
      <c r="B45" s="91" t="s">
        <v>3305</v>
      </c>
      <c r="C45" s="91" t="s">
        <v>95</v>
      </c>
      <c r="D45" s="116" t="s">
        <v>160</v>
      </c>
      <c r="E45" s="90" t="s">
        <v>97</v>
      </c>
      <c r="F45" s="90" t="s">
        <v>175</v>
      </c>
      <c r="G45" s="56" t="s">
        <v>176</v>
      </c>
      <c r="H45" s="91">
        <v>60</v>
      </c>
      <c r="I45" s="91" t="s">
        <v>89</v>
      </c>
      <c r="J45" s="91" t="s">
        <v>8</v>
      </c>
      <c r="K45" s="92" t="s">
        <v>14</v>
      </c>
      <c r="L45" s="93" t="s">
        <v>3029</v>
      </c>
      <c r="M45" s="94" t="s">
        <v>3306</v>
      </c>
      <c r="N45" s="95" t="s">
        <v>2876</v>
      </c>
      <c r="O45" s="96">
        <v>2</v>
      </c>
      <c r="P45" s="111">
        <f t="shared" si="8"/>
        <v>28.925925925925927</v>
      </c>
      <c r="Q45" s="91" t="s">
        <v>16</v>
      </c>
      <c r="R45" s="91">
        <v>6.6</v>
      </c>
      <c r="S45" s="95"/>
      <c r="T45" s="98"/>
      <c r="U45" s="112">
        <f t="shared" si="9"/>
        <v>200.63333333333333</v>
      </c>
      <c r="V45" s="113">
        <f t="shared" si="4"/>
        <v>3.3438888888888889</v>
      </c>
      <c r="W45" s="114">
        <f t="shared" si="5"/>
        <v>0.47769841269841268</v>
      </c>
      <c r="X45" s="95"/>
      <c r="Y45" s="95"/>
      <c r="Z45" s="102"/>
      <c r="AA45" s="118">
        <v>45661</v>
      </c>
      <c r="AB45" s="118">
        <v>45682</v>
      </c>
      <c r="AC45" s="118"/>
      <c r="AD45" s="102">
        <f>IF(ISNA(VLOOKUP(D45,亚马逊入库配置费!B:F,5,0)),0,VLOOKUP(D45,亚马逊入库配置费!B:F,5,0))</f>
        <v>0.25394843962008101</v>
      </c>
      <c r="AE45" s="102">
        <f t="shared" si="0"/>
        <v>15.236906377204861</v>
      </c>
      <c r="AF45" s="118">
        <v>45701</v>
      </c>
      <c r="AG45" s="90">
        <f t="shared" si="1"/>
        <v>40</v>
      </c>
      <c r="AH45" s="118">
        <v>45701</v>
      </c>
      <c r="AI45" s="118">
        <v>45729</v>
      </c>
      <c r="AJ45" s="117">
        <v>50</v>
      </c>
      <c r="AK45" s="91">
        <f t="shared" si="2"/>
        <v>28</v>
      </c>
      <c r="AL45" s="96">
        <f t="shared" si="3"/>
        <v>68</v>
      </c>
      <c r="AM45" s="92"/>
      <c r="AN45" s="91"/>
      <c r="AO45" s="91"/>
    </row>
    <row r="46" spans="1:41" ht="14.5" x14ac:dyDescent="0.25">
      <c r="A46" s="92" t="s">
        <v>177</v>
      </c>
      <c r="B46" s="91"/>
      <c r="C46" s="91" t="s">
        <v>95</v>
      </c>
      <c r="D46" s="92" t="s">
        <v>160</v>
      </c>
      <c r="E46" s="91" t="s">
        <v>97</v>
      </c>
      <c r="F46" s="91" t="s">
        <v>0</v>
      </c>
      <c r="G46" s="56" t="s">
        <v>178</v>
      </c>
      <c r="H46" s="91">
        <v>90</v>
      </c>
      <c r="I46" s="91" t="s">
        <v>89</v>
      </c>
      <c r="J46" s="91" t="s">
        <v>8</v>
      </c>
      <c r="K46" s="92" t="s">
        <v>14</v>
      </c>
      <c r="L46" s="93" t="s">
        <v>3030</v>
      </c>
      <c r="M46" s="94" t="s">
        <v>3307</v>
      </c>
      <c r="N46" s="95" t="s">
        <v>2876</v>
      </c>
      <c r="O46" s="96">
        <v>3</v>
      </c>
      <c r="P46" s="111">
        <f t="shared" si="8"/>
        <v>43.388888888888893</v>
      </c>
      <c r="Q46" s="91" t="s">
        <v>16</v>
      </c>
      <c r="R46" s="91">
        <v>6.6</v>
      </c>
      <c r="S46" s="95"/>
      <c r="T46" s="98"/>
      <c r="U46" s="112">
        <f t="shared" si="9"/>
        <v>300.95</v>
      </c>
      <c r="V46" s="113">
        <f t="shared" si="4"/>
        <v>3.3438888888888889</v>
      </c>
      <c r="W46" s="114">
        <f t="shared" si="5"/>
        <v>0.47769841269841268</v>
      </c>
      <c r="X46" s="95"/>
      <c r="Y46" s="95"/>
      <c r="Z46" s="102"/>
      <c r="AA46" s="103">
        <v>45661</v>
      </c>
      <c r="AB46" s="103">
        <v>45682</v>
      </c>
      <c r="AC46" s="103"/>
      <c r="AD46" s="102">
        <f>IF(ISNA(VLOOKUP(D46,亚马逊入库配置费!B:F,5,0)),0,VLOOKUP(D46,亚马逊入库配置费!B:F,5,0))</f>
        <v>0.25394843962008101</v>
      </c>
      <c r="AE46" s="102">
        <f t="shared" si="0"/>
        <v>22.855359565807291</v>
      </c>
      <c r="AF46" s="103">
        <v>45701</v>
      </c>
      <c r="AG46" s="91">
        <f t="shared" si="1"/>
        <v>40</v>
      </c>
      <c r="AH46" s="103">
        <v>45701</v>
      </c>
      <c r="AI46" s="103">
        <v>45729</v>
      </c>
      <c r="AJ46" s="96">
        <v>90</v>
      </c>
      <c r="AK46" s="91">
        <f t="shared" si="2"/>
        <v>28</v>
      </c>
      <c r="AL46" s="96">
        <f t="shared" si="3"/>
        <v>68</v>
      </c>
      <c r="AM46" s="92"/>
      <c r="AN46" s="91"/>
      <c r="AO46" s="91"/>
    </row>
    <row r="47" spans="1:41" ht="14.5" x14ac:dyDescent="0.25">
      <c r="A47" s="92" t="s">
        <v>179</v>
      </c>
      <c r="B47" s="91"/>
      <c r="C47" s="91" t="s">
        <v>95</v>
      </c>
      <c r="D47" s="92" t="s">
        <v>160</v>
      </c>
      <c r="E47" s="91" t="s">
        <v>97</v>
      </c>
      <c r="F47" s="91" t="s">
        <v>0</v>
      </c>
      <c r="G47" s="56" t="s">
        <v>180</v>
      </c>
      <c r="H47" s="91">
        <v>60</v>
      </c>
      <c r="I47" s="91" t="s">
        <v>89</v>
      </c>
      <c r="J47" s="91" t="s">
        <v>8</v>
      </c>
      <c r="K47" s="92" t="s">
        <v>14</v>
      </c>
      <c r="L47" s="93" t="s">
        <v>3031</v>
      </c>
      <c r="M47" s="94" t="s">
        <v>3213</v>
      </c>
      <c r="N47" s="95" t="s">
        <v>2876</v>
      </c>
      <c r="O47" s="96">
        <v>2</v>
      </c>
      <c r="P47" s="111">
        <f t="shared" si="8"/>
        <v>28.925925925925927</v>
      </c>
      <c r="Q47" s="91" t="s">
        <v>16</v>
      </c>
      <c r="R47" s="91">
        <v>6.6</v>
      </c>
      <c r="S47" s="95"/>
      <c r="T47" s="98"/>
      <c r="U47" s="112">
        <f t="shared" si="9"/>
        <v>200.63333333333333</v>
      </c>
      <c r="V47" s="113">
        <f t="shared" si="4"/>
        <v>3.3438888888888889</v>
      </c>
      <c r="W47" s="114">
        <f t="shared" si="5"/>
        <v>0.47769841269841268</v>
      </c>
      <c r="X47" s="95"/>
      <c r="Y47" s="95"/>
      <c r="Z47" s="102"/>
      <c r="AA47" s="103">
        <v>45661</v>
      </c>
      <c r="AB47" s="103">
        <v>45682</v>
      </c>
      <c r="AC47" s="103"/>
      <c r="AD47" s="102">
        <f>IF(ISNA(VLOOKUP(D47,亚马逊入库配置费!B:F,5,0)),0,VLOOKUP(D47,亚马逊入库配置费!B:F,5,0))</f>
        <v>0.25394843962008101</v>
      </c>
      <c r="AE47" s="102">
        <f t="shared" si="0"/>
        <v>15.236906377204861</v>
      </c>
      <c r="AF47" s="103">
        <v>45701</v>
      </c>
      <c r="AG47" s="91">
        <f t="shared" si="1"/>
        <v>40</v>
      </c>
      <c r="AH47" s="103">
        <v>45701</v>
      </c>
      <c r="AI47" s="103">
        <v>45729</v>
      </c>
      <c r="AJ47" s="96">
        <v>60</v>
      </c>
      <c r="AK47" s="91">
        <f t="shared" si="2"/>
        <v>28</v>
      </c>
      <c r="AL47" s="96">
        <f t="shared" si="3"/>
        <v>68</v>
      </c>
      <c r="AM47" s="92"/>
      <c r="AN47" s="91"/>
      <c r="AO47" s="91"/>
    </row>
    <row r="48" spans="1:41" ht="14.5" x14ac:dyDescent="0.25">
      <c r="A48" s="92" t="s">
        <v>181</v>
      </c>
      <c r="B48" s="91"/>
      <c r="C48" s="91" t="s">
        <v>103</v>
      </c>
      <c r="D48" s="92" t="s">
        <v>182</v>
      </c>
      <c r="E48" s="91" t="s">
        <v>97</v>
      </c>
      <c r="F48" s="91" t="s">
        <v>0</v>
      </c>
      <c r="G48" s="56" t="s">
        <v>161</v>
      </c>
      <c r="H48" s="91">
        <v>64</v>
      </c>
      <c r="I48" s="91" t="s">
        <v>89</v>
      </c>
      <c r="J48" s="91" t="s">
        <v>8</v>
      </c>
      <c r="K48" s="92" t="s">
        <v>13</v>
      </c>
      <c r="L48" s="93" t="s">
        <v>3024</v>
      </c>
      <c r="M48" s="94" t="s">
        <v>3301</v>
      </c>
      <c r="N48" s="95" t="s">
        <v>2870</v>
      </c>
      <c r="O48" s="96">
        <v>2</v>
      </c>
      <c r="P48" s="111">
        <f t="shared" ref="P48:P57" si="10">621/43*O48</f>
        <v>28.88372093023256</v>
      </c>
      <c r="Q48" s="91" t="s">
        <v>16</v>
      </c>
      <c r="R48" s="91">
        <v>5.6</v>
      </c>
      <c r="S48" s="95"/>
      <c r="T48" s="98"/>
      <c r="U48" s="112">
        <f t="shared" ref="U48:U67" si="11">R48*P48+350/137*O48</f>
        <v>166.85832626039723</v>
      </c>
      <c r="V48" s="113">
        <f t="shared" si="4"/>
        <v>2.6071613478187068</v>
      </c>
      <c r="W48" s="114">
        <f t="shared" si="5"/>
        <v>0.37245162111695812</v>
      </c>
      <c r="X48" s="95"/>
      <c r="Y48" s="95"/>
      <c r="Z48" s="102"/>
      <c r="AA48" s="103">
        <v>45661</v>
      </c>
      <c r="AB48" s="103">
        <v>45682</v>
      </c>
      <c r="AC48" s="103"/>
      <c r="AD48" s="102">
        <f>IF(ISNA(VLOOKUP(D48,亚马逊入库配置费!B:F,5,0)),0,VLOOKUP(D48,亚马逊入库配置费!B:F,5,0))</f>
        <v>0.254324324324324</v>
      </c>
      <c r="AE48" s="102">
        <f t="shared" si="0"/>
        <v>16.276756756756736</v>
      </c>
      <c r="AF48" s="103">
        <v>45699</v>
      </c>
      <c r="AG48" s="91">
        <f t="shared" si="1"/>
        <v>38</v>
      </c>
      <c r="AH48" s="103">
        <v>45699</v>
      </c>
      <c r="AI48" s="103">
        <v>45728</v>
      </c>
      <c r="AJ48" s="96">
        <v>64</v>
      </c>
      <c r="AK48" s="91">
        <f t="shared" si="2"/>
        <v>29</v>
      </c>
      <c r="AL48" s="96">
        <f t="shared" si="3"/>
        <v>67</v>
      </c>
      <c r="AM48" s="92"/>
      <c r="AN48" s="91"/>
      <c r="AO48" s="91"/>
    </row>
    <row r="49" spans="1:41" ht="14.5" x14ac:dyDescent="0.25">
      <c r="A49" s="92" t="s">
        <v>183</v>
      </c>
      <c r="B49" s="91"/>
      <c r="C49" s="91" t="s">
        <v>103</v>
      </c>
      <c r="D49" s="92" t="s">
        <v>182</v>
      </c>
      <c r="E49" s="91" t="s">
        <v>97</v>
      </c>
      <c r="F49" s="91" t="s">
        <v>0</v>
      </c>
      <c r="G49" s="56" t="s">
        <v>163</v>
      </c>
      <c r="H49" s="91">
        <v>560</v>
      </c>
      <c r="I49" s="91" t="s">
        <v>89</v>
      </c>
      <c r="J49" s="91" t="s">
        <v>8</v>
      </c>
      <c r="K49" s="92" t="s">
        <v>13</v>
      </c>
      <c r="L49" s="93" t="s">
        <v>2881</v>
      </c>
      <c r="M49" s="94" t="s">
        <v>3302</v>
      </c>
      <c r="N49" s="95" t="s">
        <v>2870</v>
      </c>
      <c r="O49" s="96">
        <v>14</v>
      </c>
      <c r="P49" s="111">
        <f t="shared" si="10"/>
        <v>202.18604651162792</v>
      </c>
      <c r="Q49" s="91" t="s">
        <v>16</v>
      </c>
      <c r="R49" s="91">
        <v>5.6</v>
      </c>
      <c r="S49" s="95"/>
      <c r="T49" s="98"/>
      <c r="U49" s="112">
        <f t="shared" si="11"/>
        <v>1168.0082838227806</v>
      </c>
      <c r="V49" s="113">
        <f t="shared" si="4"/>
        <v>2.0857290782549653</v>
      </c>
      <c r="W49" s="114">
        <f t="shared" si="5"/>
        <v>0.29796129689356649</v>
      </c>
      <c r="X49" s="95"/>
      <c r="Y49" s="95"/>
      <c r="Z49" s="102"/>
      <c r="AA49" s="103">
        <v>45661</v>
      </c>
      <c r="AB49" s="103">
        <v>45682</v>
      </c>
      <c r="AC49" s="103"/>
      <c r="AD49" s="102">
        <f>IF(ISNA(VLOOKUP(D49,亚马逊入库配置费!B:F,5,0)),0,VLOOKUP(D49,亚马逊入库配置费!B:F,5,0))</f>
        <v>0.254324324324324</v>
      </c>
      <c r="AE49" s="102">
        <f t="shared" si="0"/>
        <v>142.42162162162145</v>
      </c>
      <c r="AF49" s="103">
        <v>45699</v>
      </c>
      <c r="AG49" s="91">
        <f t="shared" si="1"/>
        <v>38</v>
      </c>
      <c r="AH49" s="103">
        <v>45699</v>
      </c>
      <c r="AI49" s="103">
        <v>45728</v>
      </c>
      <c r="AJ49" s="96">
        <v>641</v>
      </c>
      <c r="AK49" s="91">
        <f t="shared" si="2"/>
        <v>29</v>
      </c>
      <c r="AL49" s="96">
        <f t="shared" si="3"/>
        <v>67</v>
      </c>
      <c r="AM49" s="92"/>
      <c r="AN49" s="91"/>
      <c r="AO49" s="91"/>
    </row>
    <row r="50" spans="1:41" ht="14.5" x14ac:dyDescent="0.25">
      <c r="A50" s="92" t="s">
        <v>184</v>
      </c>
      <c r="B50" s="91" t="s">
        <v>3308</v>
      </c>
      <c r="C50" s="91" t="s">
        <v>103</v>
      </c>
      <c r="D50" s="116" t="s">
        <v>182</v>
      </c>
      <c r="E50" s="91" t="s">
        <v>97</v>
      </c>
      <c r="F50" s="91" t="s">
        <v>0</v>
      </c>
      <c r="G50" s="56" t="s">
        <v>165</v>
      </c>
      <c r="H50" s="91">
        <v>200</v>
      </c>
      <c r="I50" s="91" t="s">
        <v>89</v>
      </c>
      <c r="J50" s="91" t="s">
        <v>8</v>
      </c>
      <c r="K50" s="92" t="s">
        <v>13</v>
      </c>
      <c r="L50" s="93" t="s">
        <v>2880</v>
      </c>
      <c r="M50" s="94" t="s">
        <v>3209</v>
      </c>
      <c r="N50" s="95" t="s">
        <v>2870</v>
      </c>
      <c r="O50" s="96">
        <v>5</v>
      </c>
      <c r="P50" s="111">
        <f t="shared" si="10"/>
        <v>72.209302325581405</v>
      </c>
      <c r="Q50" s="91" t="s">
        <v>16</v>
      </c>
      <c r="R50" s="91">
        <v>5.6</v>
      </c>
      <c r="S50" s="95"/>
      <c r="T50" s="98"/>
      <c r="U50" s="112">
        <f t="shared" si="11"/>
        <v>417.14581565099309</v>
      </c>
      <c r="V50" s="113">
        <f t="shared" si="4"/>
        <v>2.0857290782549653</v>
      </c>
      <c r="W50" s="114">
        <f t="shared" si="5"/>
        <v>0.29796129689356649</v>
      </c>
      <c r="X50" s="95"/>
      <c r="Y50" s="95"/>
      <c r="Z50" s="102"/>
      <c r="AA50" s="103">
        <v>45661</v>
      </c>
      <c r="AB50" s="103">
        <v>45682</v>
      </c>
      <c r="AC50" s="103"/>
      <c r="AD50" s="102">
        <f>IF(ISNA(VLOOKUP(D50,亚马逊入库配置费!B:F,5,0)),0,VLOOKUP(D50,亚马逊入库配置费!B:F,5,0))</f>
        <v>0.254324324324324</v>
      </c>
      <c r="AE50" s="102">
        <f t="shared" si="0"/>
        <v>50.864864864864799</v>
      </c>
      <c r="AF50" s="103">
        <v>45699</v>
      </c>
      <c r="AG50" s="91">
        <f t="shared" si="1"/>
        <v>38</v>
      </c>
      <c r="AH50" s="103">
        <v>45699</v>
      </c>
      <c r="AI50" s="103">
        <v>45728</v>
      </c>
      <c r="AJ50" s="117">
        <v>82</v>
      </c>
      <c r="AK50" s="91">
        <f t="shared" si="2"/>
        <v>29</v>
      </c>
      <c r="AL50" s="96">
        <f t="shared" si="3"/>
        <v>67</v>
      </c>
      <c r="AM50" s="92"/>
      <c r="AN50" s="91"/>
      <c r="AO50" s="91"/>
    </row>
    <row r="51" spans="1:41" ht="14.5" x14ac:dyDescent="0.25">
      <c r="A51" s="92" t="s">
        <v>185</v>
      </c>
      <c r="B51" s="91"/>
      <c r="C51" s="91" t="s">
        <v>103</v>
      </c>
      <c r="D51" s="92" t="s">
        <v>182</v>
      </c>
      <c r="E51" s="91" t="s">
        <v>97</v>
      </c>
      <c r="F51" s="91" t="s">
        <v>0</v>
      </c>
      <c r="G51" s="56" t="s">
        <v>167</v>
      </c>
      <c r="H51" s="91">
        <v>90</v>
      </c>
      <c r="I51" s="91" t="s">
        <v>89</v>
      </c>
      <c r="J51" s="91" t="s">
        <v>8</v>
      </c>
      <c r="K51" s="92" t="s">
        <v>13</v>
      </c>
      <c r="L51" s="93" t="s">
        <v>3025</v>
      </c>
      <c r="M51" s="94" t="s">
        <v>3210</v>
      </c>
      <c r="N51" s="95" t="s">
        <v>2876</v>
      </c>
      <c r="O51" s="96">
        <v>3</v>
      </c>
      <c r="P51" s="111">
        <f t="shared" si="10"/>
        <v>43.325581395348841</v>
      </c>
      <c r="Q51" s="91" t="s">
        <v>16</v>
      </c>
      <c r="R51" s="91">
        <v>5.6</v>
      </c>
      <c r="S51" s="95"/>
      <c r="T51" s="98"/>
      <c r="U51" s="112">
        <f t="shared" si="11"/>
        <v>250.28748939059585</v>
      </c>
      <c r="V51" s="113">
        <f t="shared" si="4"/>
        <v>2.7809721043399538</v>
      </c>
      <c r="W51" s="114">
        <f t="shared" si="5"/>
        <v>0.39728172919142196</v>
      </c>
      <c r="X51" s="95"/>
      <c r="Y51" s="95"/>
      <c r="Z51" s="102"/>
      <c r="AA51" s="103">
        <v>45661</v>
      </c>
      <c r="AB51" s="103">
        <v>45682</v>
      </c>
      <c r="AC51" s="103"/>
      <c r="AD51" s="102">
        <f>IF(ISNA(VLOOKUP(D51,亚马逊入库配置费!B:F,5,0)),0,VLOOKUP(D51,亚马逊入库配置费!B:F,5,0))</f>
        <v>0.254324324324324</v>
      </c>
      <c r="AE51" s="102">
        <f t="shared" si="0"/>
        <v>22.88918918918916</v>
      </c>
      <c r="AF51" s="103">
        <v>45699</v>
      </c>
      <c r="AG51" s="91">
        <f t="shared" si="1"/>
        <v>38</v>
      </c>
      <c r="AH51" s="103">
        <v>45699</v>
      </c>
      <c r="AI51" s="103">
        <v>45728</v>
      </c>
      <c r="AJ51" s="96">
        <v>90</v>
      </c>
      <c r="AK51" s="91">
        <f t="shared" si="2"/>
        <v>29</v>
      </c>
      <c r="AL51" s="96">
        <f t="shared" si="3"/>
        <v>67</v>
      </c>
      <c r="AM51" s="92"/>
      <c r="AN51" s="91"/>
      <c r="AO51" s="91"/>
    </row>
    <row r="52" spans="1:41" ht="14.5" x14ac:dyDescent="0.25">
      <c r="A52" s="92" t="s">
        <v>186</v>
      </c>
      <c r="B52" s="91"/>
      <c r="C52" s="91" t="s">
        <v>103</v>
      </c>
      <c r="D52" s="92" t="s">
        <v>182</v>
      </c>
      <c r="E52" s="91" t="s">
        <v>97</v>
      </c>
      <c r="F52" s="91" t="s">
        <v>0</v>
      </c>
      <c r="G52" s="56" t="s">
        <v>169</v>
      </c>
      <c r="H52" s="91">
        <v>30</v>
      </c>
      <c r="I52" s="91" t="s">
        <v>89</v>
      </c>
      <c r="J52" s="91" t="s">
        <v>8</v>
      </c>
      <c r="K52" s="92" t="s">
        <v>13</v>
      </c>
      <c r="L52" s="93" t="s">
        <v>3026</v>
      </c>
      <c r="M52" s="94" t="s">
        <v>3211</v>
      </c>
      <c r="N52" s="95" t="s">
        <v>2876</v>
      </c>
      <c r="O52" s="96">
        <v>1</v>
      </c>
      <c r="P52" s="111">
        <f t="shared" si="10"/>
        <v>14.44186046511628</v>
      </c>
      <c r="Q52" s="91" t="s">
        <v>16</v>
      </c>
      <c r="R52" s="91">
        <v>5.6</v>
      </c>
      <c r="S52" s="95"/>
      <c r="T52" s="98"/>
      <c r="U52" s="112">
        <f t="shared" si="11"/>
        <v>83.429163130198617</v>
      </c>
      <c r="V52" s="113">
        <f t="shared" si="4"/>
        <v>2.7809721043399538</v>
      </c>
      <c r="W52" s="114">
        <f t="shared" si="5"/>
        <v>0.39728172919142196</v>
      </c>
      <c r="X52" s="95"/>
      <c r="Y52" s="95"/>
      <c r="Z52" s="102"/>
      <c r="AA52" s="103">
        <v>45661</v>
      </c>
      <c r="AB52" s="103">
        <v>45682</v>
      </c>
      <c r="AC52" s="103"/>
      <c r="AD52" s="102">
        <f>IF(ISNA(VLOOKUP(D52,亚马逊入库配置费!B:F,5,0)),0,VLOOKUP(D52,亚马逊入库配置费!B:F,5,0))</f>
        <v>0.254324324324324</v>
      </c>
      <c r="AE52" s="102">
        <f t="shared" si="0"/>
        <v>7.6297297297297204</v>
      </c>
      <c r="AF52" s="103">
        <v>45699</v>
      </c>
      <c r="AG52" s="91">
        <f t="shared" si="1"/>
        <v>38</v>
      </c>
      <c r="AH52" s="103">
        <v>45699</v>
      </c>
      <c r="AI52" s="103">
        <v>45728</v>
      </c>
      <c r="AJ52" s="96">
        <v>30</v>
      </c>
      <c r="AK52" s="91">
        <f t="shared" si="2"/>
        <v>29</v>
      </c>
      <c r="AL52" s="96">
        <f t="shared" si="3"/>
        <v>67</v>
      </c>
      <c r="AM52" s="92"/>
      <c r="AN52" s="91"/>
      <c r="AO52" s="91"/>
    </row>
    <row r="53" spans="1:41" ht="14.5" x14ac:dyDescent="0.25">
      <c r="A53" s="92" t="s">
        <v>187</v>
      </c>
      <c r="B53" s="91"/>
      <c r="C53" s="91" t="s">
        <v>103</v>
      </c>
      <c r="D53" s="92" t="s">
        <v>182</v>
      </c>
      <c r="E53" s="91" t="s">
        <v>97</v>
      </c>
      <c r="F53" s="91" t="s">
        <v>0</v>
      </c>
      <c r="G53" s="56" t="s">
        <v>171</v>
      </c>
      <c r="H53" s="91">
        <v>60</v>
      </c>
      <c r="I53" s="91" t="s">
        <v>89</v>
      </c>
      <c r="J53" s="91" t="s">
        <v>8</v>
      </c>
      <c r="K53" s="92" t="s">
        <v>13</v>
      </c>
      <c r="L53" s="93" t="s">
        <v>3027</v>
      </c>
      <c r="M53" s="94" t="s">
        <v>3212</v>
      </c>
      <c r="N53" s="95" t="s">
        <v>2876</v>
      </c>
      <c r="O53" s="96">
        <v>2</v>
      </c>
      <c r="P53" s="111">
        <f t="shared" si="10"/>
        <v>28.88372093023256</v>
      </c>
      <c r="Q53" s="91" t="s">
        <v>16</v>
      </c>
      <c r="R53" s="91">
        <v>5.6</v>
      </c>
      <c r="S53" s="95"/>
      <c r="T53" s="98"/>
      <c r="U53" s="112">
        <f t="shared" si="11"/>
        <v>166.85832626039723</v>
      </c>
      <c r="V53" s="113">
        <f t="shared" si="4"/>
        <v>2.7809721043399538</v>
      </c>
      <c r="W53" s="114">
        <f t="shared" si="5"/>
        <v>0.39728172919142196</v>
      </c>
      <c r="X53" s="95"/>
      <c r="Y53" s="95"/>
      <c r="Z53" s="102"/>
      <c r="AA53" s="103">
        <v>45661</v>
      </c>
      <c r="AB53" s="103">
        <v>45682</v>
      </c>
      <c r="AC53" s="103"/>
      <c r="AD53" s="102">
        <f>IF(ISNA(VLOOKUP(D53,亚马逊入库配置费!B:F,5,0)),0,VLOOKUP(D53,亚马逊入库配置费!B:F,5,0))</f>
        <v>0.254324324324324</v>
      </c>
      <c r="AE53" s="102">
        <f t="shared" si="0"/>
        <v>15.259459459459441</v>
      </c>
      <c r="AF53" s="103">
        <v>45699</v>
      </c>
      <c r="AG53" s="91">
        <f t="shared" si="1"/>
        <v>38</v>
      </c>
      <c r="AH53" s="103">
        <v>45699</v>
      </c>
      <c r="AI53" s="103">
        <v>45728</v>
      </c>
      <c r="AJ53" s="96">
        <v>60</v>
      </c>
      <c r="AK53" s="91">
        <f t="shared" si="2"/>
        <v>29</v>
      </c>
      <c r="AL53" s="96">
        <f t="shared" si="3"/>
        <v>67</v>
      </c>
      <c r="AM53" s="92"/>
      <c r="AN53" s="91"/>
      <c r="AO53" s="91"/>
    </row>
    <row r="54" spans="1:41" ht="14.5" x14ac:dyDescent="0.25">
      <c r="A54" s="92" t="s">
        <v>188</v>
      </c>
      <c r="B54" s="91"/>
      <c r="C54" s="91" t="s">
        <v>103</v>
      </c>
      <c r="D54" s="92" t="s">
        <v>182</v>
      </c>
      <c r="E54" s="91" t="s">
        <v>97</v>
      </c>
      <c r="F54" s="91" t="s">
        <v>0</v>
      </c>
      <c r="G54" s="56" t="s">
        <v>173</v>
      </c>
      <c r="H54" s="91">
        <v>30</v>
      </c>
      <c r="I54" s="91" t="s">
        <v>89</v>
      </c>
      <c r="J54" s="91" t="s">
        <v>8</v>
      </c>
      <c r="K54" s="92" t="s">
        <v>13</v>
      </c>
      <c r="L54" s="93" t="s">
        <v>3028</v>
      </c>
      <c r="M54" s="94" t="s">
        <v>3304</v>
      </c>
      <c r="N54" s="95" t="s">
        <v>2876</v>
      </c>
      <c r="O54" s="96">
        <v>1</v>
      </c>
      <c r="P54" s="111">
        <f t="shared" si="10"/>
        <v>14.44186046511628</v>
      </c>
      <c r="Q54" s="91" t="s">
        <v>16</v>
      </c>
      <c r="R54" s="91">
        <v>5.6</v>
      </c>
      <c r="S54" s="95"/>
      <c r="T54" s="98"/>
      <c r="U54" s="112">
        <f t="shared" si="11"/>
        <v>83.429163130198617</v>
      </c>
      <c r="V54" s="113">
        <f t="shared" si="4"/>
        <v>2.7809721043399538</v>
      </c>
      <c r="W54" s="114">
        <f t="shared" si="5"/>
        <v>0.39728172919142196</v>
      </c>
      <c r="X54" s="95"/>
      <c r="Y54" s="95"/>
      <c r="Z54" s="102"/>
      <c r="AA54" s="103">
        <v>45661</v>
      </c>
      <c r="AB54" s="103">
        <v>45682</v>
      </c>
      <c r="AC54" s="103"/>
      <c r="AD54" s="102">
        <f>IF(ISNA(VLOOKUP(D54,亚马逊入库配置费!B:F,5,0)),0,VLOOKUP(D54,亚马逊入库配置费!B:F,5,0))</f>
        <v>0.254324324324324</v>
      </c>
      <c r="AE54" s="102">
        <f t="shared" si="0"/>
        <v>7.6297297297297204</v>
      </c>
      <c r="AF54" s="103">
        <v>45699</v>
      </c>
      <c r="AG54" s="91">
        <f t="shared" si="1"/>
        <v>38</v>
      </c>
      <c r="AH54" s="103">
        <v>45699</v>
      </c>
      <c r="AI54" s="103">
        <v>45728</v>
      </c>
      <c r="AJ54" s="96">
        <v>30</v>
      </c>
      <c r="AK54" s="91">
        <f t="shared" si="2"/>
        <v>29</v>
      </c>
      <c r="AL54" s="96">
        <f t="shared" si="3"/>
        <v>67</v>
      </c>
      <c r="AM54" s="92"/>
      <c r="AN54" s="91"/>
      <c r="AO54" s="91"/>
    </row>
    <row r="55" spans="1:41" ht="14.5" x14ac:dyDescent="0.25">
      <c r="A55" s="92" t="s">
        <v>189</v>
      </c>
      <c r="B55" s="91"/>
      <c r="C55" s="91" t="s">
        <v>103</v>
      </c>
      <c r="D55" s="92" t="s">
        <v>182</v>
      </c>
      <c r="E55" s="91" t="s">
        <v>97</v>
      </c>
      <c r="F55" s="91" t="s">
        <v>0</v>
      </c>
      <c r="G55" s="56" t="s">
        <v>176</v>
      </c>
      <c r="H55" s="91">
        <v>30</v>
      </c>
      <c r="I55" s="91" t="s">
        <v>89</v>
      </c>
      <c r="J55" s="91" t="s">
        <v>8</v>
      </c>
      <c r="K55" s="92" t="s">
        <v>13</v>
      </c>
      <c r="L55" s="93" t="s">
        <v>3029</v>
      </c>
      <c r="M55" s="94" t="s">
        <v>3306</v>
      </c>
      <c r="N55" s="95" t="s">
        <v>2876</v>
      </c>
      <c r="O55" s="96">
        <v>1</v>
      </c>
      <c r="P55" s="111">
        <f t="shared" si="10"/>
        <v>14.44186046511628</v>
      </c>
      <c r="Q55" s="91" t="s">
        <v>16</v>
      </c>
      <c r="R55" s="91">
        <v>5.6</v>
      </c>
      <c r="S55" s="95"/>
      <c r="T55" s="98"/>
      <c r="U55" s="112">
        <f t="shared" si="11"/>
        <v>83.429163130198617</v>
      </c>
      <c r="V55" s="113">
        <f t="shared" si="4"/>
        <v>2.7809721043399538</v>
      </c>
      <c r="W55" s="114">
        <f t="shared" si="5"/>
        <v>0.39728172919142196</v>
      </c>
      <c r="X55" s="95"/>
      <c r="Y55" s="95"/>
      <c r="Z55" s="102"/>
      <c r="AA55" s="103">
        <v>45661</v>
      </c>
      <c r="AB55" s="103">
        <v>45682</v>
      </c>
      <c r="AC55" s="103"/>
      <c r="AD55" s="102">
        <f>IF(ISNA(VLOOKUP(D55,亚马逊入库配置费!B:F,5,0)),0,VLOOKUP(D55,亚马逊入库配置费!B:F,5,0))</f>
        <v>0.254324324324324</v>
      </c>
      <c r="AE55" s="102">
        <f t="shared" si="0"/>
        <v>7.6297297297297204</v>
      </c>
      <c r="AF55" s="103">
        <v>45699</v>
      </c>
      <c r="AG55" s="91">
        <f t="shared" si="1"/>
        <v>38</v>
      </c>
      <c r="AH55" s="103">
        <v>45699</v>
      </c>
      <c r="AI55" s="103">
        <v>45728</v>
      </c>
      <c r="AJ55" s="96">
        <v>30</v>
      </c>
      <c r="AK55" s="91">
        <f t="shared" si="2"/>
        <v>29</v>
      </c>
      <c r="AL55" s="96">
        <f t="shared" si="3"/>
        <v>67</v>
      </c>
      <c r="AM55" s="92"/>
      <c r="AN55" s="91"/>
      <c r="AO55" s="91"/>
    </row>
    <row r="56" spans="1:41" ht="14.5" x14ac:dyDescent="0.25">
      <c r="A56" s="92" t="s">
        <v>190</v>
      </c>
      <c r="B56" s="91"/>
      <c r="C56" s="91" t="s">
        <v>103</v>
      </c>
      <c r="D56" s="92" t="s">
        <v>182</v>
      </c>
      <c r="E56" s="91" t="s">
        <v>97</v>
      </c>
      <c r="F56" s="91" t="s">
        <v>0</v>
      </c>
      <c r="G56" s="56" t="s">
        <v>178</v>
      </c>
      <c r="H56" s="91">
        <v>90</v>
      </c>
      <c r="I56" s="91" t="s">
        <v>89</v>
      </c>
      <c r="J56" s="91" t="s">
        <v>8</v>
      </c>
      <c r="K56" s="92" t="s">
        <v>13</v>
      </c>
      <c r="L56" s="93" t="s">
        <v>3030</v>
      </c>
      <c r="M56" s="94" t="s">
        <v>3307</v>
      </c>
      <c r="N56" s="95" t="s">
        <v>2876</v>
      </c>
      <c r="O56" s="96">
        <v>3</v>
      </c>
      <c r="P56" s="111">
        <f t="shared" si="10"/>
        <v>43.325581395348841</v>
      </c>
      <c r="Q56" s="91" t="s">
        <v>16</v>
      </c>
      <c r="R56" s="91">
        <v>5.6</v>
      </c>
      <c r="S56" s="95"/>
      <c r="T56" s="98"/>
      <c r="U56" s="112">
        <f t="shared" si="11"/>
        <v>250.28748939059585</v>
      </c>
      <c r="V56" s="113">
        <f t="shared" si="4"/>
        <v>2.7809721043399538</v>
      </c>
      <c r="W56" s="114">
        <f t="shared" si="5"/>
        <v>0.39728172919142196</v>
      </c>
      <c r="X56" s="95"/>
      <c r="Y56" s="95"/>
      <c r="Z56" s="102"/>
      <c r="AA56" s="103">
        <v>45661</v>
      </c>
      <c r="AB56" s="103">
        <v>45682</v>
      </c>
      <c r="AC56" s="103"/>
      <c r="AD56" s="102">
        <f>IF(ISNA(VLOOKUP(D56,亚马逊入库配置费!B:F,5,0)),0,VLOOKUP(D56,亚马逊入库配置费!B:F,5,0))</f>
        <v>0.254324324324324</v>
      </c>
      <c r="AE56" s="102">
        <f t="shared" si="0"/>
        <v>22.88918918918916</v>
      </c>
      <c r="AF56" s="103">
        <v>45699</v>
      </c>
      <c r="AG56" s="91">
        <f t="shared" si="1"/>
        <v>38</v>
      </c>
      <c r="AH56" s="103">
        <v>45699</v>
      </c>
      <c r="AI56" s="103">
        <v>45728</v>
      </c>
      <c r="AJ56" s="96">
        <v>90</v>
      </c>
      <c r="AK56" s="91">
        <f t="shared" si="2"/>
        <v>29</v>
      </c>
      <c r="AL56" s="96">
        <f t="shared" si="3"/>
        <v>67</v>
      </c>
      <c r="AM56" s="92"/>
      <c r="AN56" s="91"/>
      <c r="AO56" s="91"/>
    </row>
    <row r="57" spans="1:41" ht="14.5" x14ac:dyDescent="0.25">
      <c r="A57" s="92" t="s">
        <v>191</v>
      </c>
      <c r="B57" s="91"/>
      <c r="C57" s="91" t="s">
        <v>103</v>
      </c>
      <c r="D57" s="92" t="s">
        <v>182</v>
      </c>
      <c r="E57" s="91" t="s">
        <v>97</v>
      </c>
      <c r="F57" s="91" t="s">
        <v>0</v>
      </c>
      <c r="G57" s="56" t="s">
        <v>180</v>
      </c>
      <c r="H57" s="91">
        <v>30</v>
      </c>
      <c r="I57" s="91" t="s">
        <v>89</v>
      </c>
      <c r="J57" s="91" t="s">
        <v>8</v>
      </c>
      <c r="K57" s="92" t="s">
        <v>13</v>
      </c>
      <c r="L57" s="93" t="s">
        <v>3031</v>
      </c>
      <c r="M57" s="94" t="s">
        <v>3213</v>
      </c>
      <c r="N57" s="95" t="s">
        <v>2876</v>
      </c>
      <c r="O57" s="96">
        <v>1</v>
      </c>
      <c r="P57" s="111">
        <f t="shared" si="10"/>
        <v>14.44186046511628</v>
      </c>
      <c r="Q57" s="91" t="s">
        <v>16</v>
      </c>
      <c r="R57" s="91">
        <v>5.6</v>
      </c>
      <c r="S57" s="95"/>
      <c r="T57" s="98"/>
      <c r="U57" s="112">
        <f t="shared" si="11"/>
        <v>83.429163130198617</v>
      </c>
      <c r="V57" s="113">
        <f t="shared" si="4"/>
        <v>2.7809721043399538</v>
      </c>
      <c r="W57" s="114">
        <f t="shared" si="5"/>
        <v>0.39728172919142196</v>
      </c>
      <c r="X57" s="95"/>
      <c r="Y57" s="95"/>
      <c r="Z57" s="102"/>
      <c r="AA57" s="103">
        <v>45661</v>
      </c>
      <c r="AB57" s="103">
        <v>45682</v>
      </c>
      <c r="AC57" s="103"/>
      <c r="AD57" s="102">
        <f>IF(ISNA(VLOOKUP(D57,亚马逊入库配置费!B:F,5,0)),0,VLOOKUP(D57,亚马逊入库配置费!B:F,5,0))</f>
        <v>0.254324324324324</v>
      </c>
      <c r="AE57" s="102">
        <f t="shared" si="0"/>
        <v>7.6297297297297204</v>
      </c>
      <c r="AF57" s="103">
        <v>45699</v>
      </c>
      <c r="AG57" s="91">
        <f t="shared" si="1"/>
        <v>38</v>
      </c>
      <c r="AH57" s="103">
        <v>45699</v>
      </c>
      <c r="AI57" s="103">
        <v>45728</v>
      </c>
      <c r="AJ57" s="96">
        <v>30</v>
      </c>
      <c r="AK57" s="91">
        <f t="shared" si="2"/>
        <v>29</v>
      </c>
      <c r="AL57" s="96">
        <f t="shared" si="3"/>
        <v>67</v>
      </c>
      <c r="AM57" s="92"/>
      <c r="AN57" s="91"/>
      <c r="AO57" s="91"/>
    </row>
    <row r="58" spans="1:41" ht="14.5" x14ac:dyDescent="0.25">
      <c r="A58" s="92" t="s">
        <v>192</v>
      </c>
      <c r="B58" s="91"/>
      <c r="C58" s="91" t="s">
        <v>103</v>
      </c>
      <c r="D58" s="92" t="s">
        <v>193</v>
      </c>
      <c r="E58" s="91" t="s">
        <v>97</v>
      </c>
      <c r="F58" s="91" t="s">
        <v>0</v>
      </c>
      <c r="G58" s="56" t="s">
        <v>161</v>
      </c>
      <c r="H58" s="91">
        <v>64</v>
      </c>
      <c r="I58" s="91" t="s">
        <v>89</v>
      </c>
      <c r="J58" s="91" t="s">
        <v>8</v>
      </c>
      <c r="K58" s="92" t="s">
        <v>10</v>
      </c>
      <c r="L58" s="93" t="s">
        <v>3024</v>
      </c>
      <c r="M58" s="94" t="s">
        <v>3301</v>
      </c>
      <c r="N58" s="95" t="s">
        <v>2870</v>
      </c>
      <c r="O58" s="96">
        <v>2</v>
      </c>
      <c r="P58" s="111">
        <f t="shared" ref="P58:P67" si="12">899/62*O58</f>
        <v>29</v>
      </c>
      <c r="Q58" s="91" t="s">
        <v>16</v>
      </c>
      <c r="R58" s="91">
        <v>5.6</v>
      </c>
      <c r="S58" s="95"/>
      <c r="T58" s="98"/>
      <c r="U58" s="112">
        <f t="shared" si="11"/>
        <v>167.50948905109487</v>
      </c>
      <c r="V58" s="113">
        <f t="shared" si="4"/>
        <v>2.6173357664233574</v>
      </c>
      <c r="W58" s="114">
        <f t="shared" si="5"/>
        <v>0.37390510948905104</v>
      </c>
      <c r="X58" s="95"/>
      <c r="Y58" s="95"/>
      <c r="Z58" s="102"/>
      <c r="AA58" s="103">
        <v>45661</v>
      </c>
      <c r="AB58" s="103">
        <v>45682</v>
      </c>
      <c r="AC58" s="103"/>
      <c r="AD58" s="102">
        <f>IF(ISNA(VLOOKUP(D58,亚马逊入库配置费!B:F,5,0)),0,VLOOKUP(D58,亚马逊入库配置费!B:F,5,0))</f>
        <v>0.254795799299883</v>
      </c>
      <c r="AE58" s="102">
        <f t="shared" si="0"/>
        <v>16.306931155192512</v>
      </c>
      <c r="AF58" s="103">
        <v>45709</v>
      </c>
      <c r="AG58" s="91">
        <f t="shared" si="1"/>
        <v>48</v>
      </c>
      <c r="AH58" s="103">
        <v>45709</v>
      </c>
      <c r="AI58" s="103">
        <v>45739</v>
      </c>
      <c r="AJ58" s="96">
        <v>64</v>
      </c>
      <c r="AK58" s="91">
        <f t="shared" si="2"/>
        <v>30</v>
      </c>
      <c r="AL58" s="96">
        <f t="shared" si="3"/>
        <v>78</v>
      </c>
      <c r="AM58" s="92"/>
      <c r="AN58" s="91"/>
      <c r="AO58" s="91"/>
    </row>
    <row r="59" spans="1:41" ht="14.5" x14ac:dyDescent="0.25">
      <c r="A59" s="92" t="s">
        <v>194</v>
      </c>
      <c r="B59" s="91"/>
      <c r="C59" s="91" t="s">
        <v>103</v>
      </c>
      <c r="D59" s="92" t="s">
        <v>193</v>
      </c>
      <c r="E59" s="91" t="s">
        <v>97</v>
      </c>
      <c r="F59" s="91" t="s">
        <v>0</v>
      </c>
      <c r="G59" s="56" t="s">
        <v>163</v>
      </c>
      <c r="H59" s="91">
        <v>760</v>
      </c>
      <c r="I59" s="91" t="s">
        <v>89</v>
      </c>
      <c r="J59" s="91" t="s">
        <v>8</v>
      </c>
      <c r="K59" s="92" t="s">
        <v>10</v>
      </c>
      <c r="L59" s="93" t="s">
        <v>2881</v>
      </c>
      <c r="M59" s="94" t="s">
        <v>3302</v>
      </c>
      <c r="N59" s="95" t="s">
        <v>2870</v>
      </c>
      <c r="O59" s="96">
        <v>19</v>
      </c>
      <c r="P59" s="111">
        <f t="shared" si="12"/>
        <v>275.5</v>
      </c>
      <c r="Q59" s="91" t="s">
        <v>16</v>
      </c>
      <c r="R59" s="91">
        <v>5.6</v>
      </c>
      <c r="S59" s="95"/>
      <c r="T59" s="98"/>
      <c r="U59" s="112">
        <f t="shared" si="11"/>
        <v>1591.3401459854015</v>
      </c>
      <c r="V59" s="113">
        <f t="shared" si="4"/>
        <v>2.0938686131386861</v>
      </c>
      <c r="W59" s="114">
        <f t="shared" si="5"/>
        <v>0.29912408759124087</v>
      </c>
      <c r="X59" s="95"/>
      <c r="Y59" s="95"/>
      <c r="Z59" s="102"/>
      <c r="AA59" s="103">
        <v>45661</v>
      </c>
      <c r="AB59" s="103">
        <v>45682</v>
      </c>
      <c r="AC59" s="103"/>
      <c r="AD59" s="102">
        <f>IF(ISNA(VLOOKUP(D59,亚马逊入库配置费!B:F,5,0)),0,VLOOKUP(D59,亚马逊入库配置费!B:F,5,0))</f>
        <v>0.254795799299883</v>
      </c>
      <c r="AE59" s="102">
        <f t="shared" si="0"/>
        <v>193.64480746791108</v>
      </c>
      <c r="AF59" s="103">
        <v>45709</v>
      </c>
      <c r="AG59" s="91">
        <f t="shared" si="1"/>
        <v>48</v>
      </c>
      <c r="AH59" s="103">
        <v>45709</v>
      </c>
      <c r="AI59" s="103">
        <v>45739</v>
      </c>
      <c r="AJ59" s="96">
        <v>760</v>
      </c>
      <c r="AK59" s="91">
        <f t="shared" si="2"/>
        <v>30</v>
      </c>
      <c r="AL59" s="96">
        <f t="shared" si="3"/>
        <v>78</v>
      </c>
      <c r="AM59" s="92"/>
      <c r="AN59" s="91"/>
      <c r="AO59" s="91"/>
    </row>
    <row r="60" spans="1:41" ht="14.5" x14ac:dyDescent="0.25">
      <c r="A60" s="92" t="s">
        <v>195</v>
      </c>
      <c r="B60" s="91" t="s">
        <v>3309</v>
      </c>
      <c r="C60" s="91" t="s">
        <v>103</v>
      </c>
      <c r="D60" s="110" t="s">
        <v>193</v>
      </c>
      <c r="E60" s="91" t="s">
        <v>97</v>
      </c>
      <c r="F60" s="91" t="s">
        <v>0</v>
      </c>
      <c r="G60" s="56" t="s">
        <v>165</v>
      </c>
      <c r="H60" s="91">
        <v>320</v>
      </c>
      <c r="I60" s="91" t="s">
        <v>89</v>
      </c>
      <c r="J60" s="91" t="s">
        <v>8</v>
      </c>
      <c r="K60" s="92" t="s">
        <v>10</v>
      </c>
      <c r="L60" s="93" t="s">
        <v>2880</v>
      </c>
      <c r="M60" s="94" t="s">
        <v>3209</v>
      </c>
      <c r="N60" s="95" t="s">
        <v>2870</v>
      </c>
      <c r="O60" s="96">
        <v>8</v>
      </c>
      <c r="P60" s="111">
        <f t="shared" si="12"/>
        <v>116</v>
      </c>
      <c r="Q60" s="91" t="s">
        <v>16</v>
      </c>
      <c r="R60" s="91">
        <v>5.6</v>
      </c>
      <c r="S60" s="95"/>
      <c r="T60" s="98"/>
      <c r="U60" s="112">
        <f t="shared" si="11"/>
        <v>670.0379562043795</v>
      </c>
      <c r="V60" s="113">
        <f t="shared" si="4"/>
        <v>2.0938686131386861</v>
      </c>
      <c r="W60" s="114">
        <f t="shared" si="5"/>
        <v>0.29912408759124087</v>
      </c>
      <c r="X60" s="95"/>
      <c r="Y60" s="95"/>
      <c r="Z60" s="102"/>
      <c r="AA60" s="103">
        <v>45661</v>
      </c>
      <c r="AB60" s="103">
        <v>45682</v>
      </c>
      <c r="AC60" s="103"/>
      <c r="AD60" s="102">
        <f>IF(ISNA(VLOOKUP(D60,亚马逊入库配置费!B:F,5,0)),0,VLOOKUP(D60,亚马逊入库配置费!B:F,5,0))</f>
        <v>0.254795799299883</v>
      </c>
      <c r="AE60" s="102">
        <f t="shared" si="0"/>
        <v>81.534655775962563</v>
      </c>
      <c r="AF60" s="103">
        <v>45709</v>
      </c>
      <c r="AG60" s="91">
        <f t="shared" si="1"/>
        <v>48</v>
      </c>
      <c r="AH60" s="103">
        <v>45709</v>
      </c>
      <c r="AI60" s="103">
        <v>45739</v>
      </c>
      <c r="AJ60" s="117">
        <v>251</v>
      </c>
      <c r="AK60" s="91">
        <f t="shared" si="2"/>
        <v>30</v>
      </c>
      <c r="AL60" s="96">
        <f t="shared" si="3"/>
        <v>78</v>
      </c>
      <c r="AM60" s="92"/>
      <c r="AN60" s="91"/>
      <c r="AO60" s="91"/>
    </row>
    <row r="61" spans="1:41" ht="14.5" x14ac:dyDescent="0.25">
      <c r="A61" s="92" t="s">
        <v>196</v>
      </c>
      <c r="B61" s="91"/>
      <c r="C61" s="91" t="s">
        <v>103</v>
      </c>
      <c r="D61" s="92" t="s">
        <v>193</v>
      </c>
      <c r="E61" s="91" t="s">
        <v>97</v>
      </c>
      <c r="F61" s="91" t="s">
        <v>0</v>
      </c>
      <c r="G61" s="56" t="s">
        <v>167</v>
      </c>
      <c r="H61" s="91">
        <v>120</v>
      </c>
      <c r="I61" s="91" t="s">
        <v>89</v>
      </c>
      <c r="J61" s="91" t="s">
        <v>8</v>
      </c>
      <c r="K61" s="92" t="s">
        <v>10</v>
      </c>
      <c r="L61" s="93" t="s">
        <v>3025</v>
      </c>
      <c r="M61" s="94" t="s">
        <v>3210</v>
      </c>
      <c r="N61" s="95" t="s">
        <v>2876</v>
      </c>
      <c r="O61" s="96">
        <v>4</v>
      </c>
      <c r="P61" s="111">
        <f t="shared" si="12"/>
        <v>58</v>
      </c>
      <c r="Q61" s="91" t="s">
        <v>16</v>
      </c>
      <c r="R61" s="91">
        <v>5.6</v>
      </c>
      <c r="S61" s="95"/>
      <c r="T61" s="98"/>
      <c r="U61" s="112">
        <f t="shared" si="11"/>
        <v>335.01897810218975</v>
      </c>
      <c r="V61" s="113">
        <f t="shared" si="4"/>
        <v>2.7918248175182478</v>
      </c>
      <c r="W61" s="114">
        <f t="shared" si="5"/>
        <v>0.39883211678832114</v>
      </c>
      <c r="X61" s="95"/>
      <c r="Y61" s="95"/>
      <c r="Z61" s="102"/>
      <c r="AA61" s="103">
        <v>45661</v>
      </c>
      <c r="AB61" s="103">
        <v>45682</v>
      </c>
      <c r="AC61" s="103"/>
      <c r="AD61" s="102">
        <f>IF(ISNA(VLOOKUP(D61,亚马逊入库配置费!B:F,5,0)),0,VLOOKUP(D61,亚马逊入库配置费!B:F,5,0))</f>
        <v>0.254795799299883</v>
      </c>
      <c r="AE61" s="102">
        <f t="shared" si="0"/>
        <v>30.575495915985961</v>
      </c>
      <c r="AF61" s="103">
        <v>45709</v>
      </c>
      <c r="AG61" s="91">
        <f t="shared" si="1"/>
        <v>48</v>
      </c>
      <c r="AH61" s="103">
        <v>45709</v>
      </c>
      <c r="AI61" s="103">
        <v>45739</v>
      </c>
      <c r="AJ61" s="96">
        <v>120</v>
      </c>
      <c r="AK61" s="91">
        <f t="shared" si="2"/>
        <v>30</v>
      </c>
      <c r="AL61" s="96">
        <f t="shared" si="3"/>
        <v>78</v>
      </c>
      <c r="AM61" s="92"/>
      <c r="AN61" s="91"/>
      <c r="AO61" s="91"/>
    </row>
    <row r="62" spans="1:41" ht="14.5" x14ac:dyDescent="0.25">
      <c r="A62" s="92" t="s">
        <v>197</v>
      </c>
      <c r="B62" s="91"/>
      <c r="C62" s="91" t="s">
        <v>103</v>
      </c>
      <c r="D62" s="92" t="s">
        <v>193</v>
      </c>
      <c r="E62" s="91" t="s">
        <v>97</v>
      </c>
      <c r="F62" s="91" t="s">
        <v>0</v>
      </c>
      <c r="G62" s="56" t="s">
        <v>169</v>
      </c>
      <c r="H62" s="91">
        <v>60</v>
      </c>
      <c r="I62" s="91" t="s">
        <v>89</v>
      </c>
      <c r="J62" s="91" t="s">
        <v>8</v>
      </c>
      <c r="K62" s="92" t="s">
        <v>10</v>
      </c>
      <c r="L62" s="93" t="s">
        <v>3026</v>
      </c>
      <c r="M62" s="94" t="s">
        <v>3211</v>
      </c>
      <c r="N62" s="95" t="s">
        <v>2876</v>
      </c>
      <c r="O62" s="96">
        <v>2</v>
      </c>
      <c r="P62" s="111">
        <f t="shared" si="12"/>
        <v>29</v>
      </c>
      <c r="Q62" s="91" t="s">
        <v>16</v>
      </c>
      <c r="R62" s="91">
        <v>5.6</v>
      </c>
      <c r="S62" s="95"/>
      <c r="T62" s="98"/>
      <c r="U62" s="112">
        <f t="shared" si="11"/>
        <v>167.50948905109487</v>
      </c>
      <c r="V62" s="113">
        <f t="shared" si="4"/>
        <v>2.7918248175182478</v>
      </c>
      <c r="W62" s="114">
        <f t="shared" si="5"/>
        <v>0.39883211678832114</v>
      </c>
      <c r="X62" s="95"/>
      <c r="Y62" s="95"/>
      <c r="Z62" s="102"/>
      <c r="AA62" s="103">
        <v>45661</v>
      </c>
      <c r="AB62" s="103">
        <v>45682</v>
      </c>
      <c r="AC62" s="103"/>
      <c r="AD62" s="102">
        <f>IF(ISNA(VLOOKUP(D62,亚马逊入库配置费!B:F,5,0)),0,VLOOKUP(D62,亚马逊入库配置费!B:F,5,0))</f>
        <v>0.254795799299883</v>
      </c>
      <c r="AE62" s="102">
        <f t="shared" si="0"/>
        <v>15.28774795799298</v>
      </c>
      <c r="AF62" s="103">
        <v>45709</v>
      </c>
      <c r="AG62" s="91">
        <f t="shared" si="1"/>
        <v>48</v>
      </c>
      <c r="AH62" s="103">
        <v>45709</v>
      </c>
      <c r="AI62" s="103">
        <v>45739</v>
      </c>
      <c r="AJ62" s="96">
        <v>60</v>
      </c>
      <c r="AK62" s="91">
        <f t="shared" si="2"/>
        <v>30</v>
      </c>
      <c r="AL62" s="96">
        <f t="shared" si="3"/>
        <v>78</v>
      </c>
      <c r="AM62" s="92"/>
      <c r="AN62" s="91"/>
      <c r="AO62" s="91"/>
    </row>
    <row r="63" spans="1:41" ht="14.5" x14ac:dyDescent="0.25">
      <c r="A63" s="92" t="s">
        <v>198</v>
      </c>
      <c r="B63" s="91"/>
      <c r="C63" s="91" t="s">
        <v>103</v>
      </c>
      <c r="D63" s="92" t="s">
        <v>193</v>
      </c>
      <c r="E63" s="91" t="s">
        <v>97</v>
      </c>
      <c r="F63" s="91" t="s">
        <v>0</v>
      </c>
      <c r="G63" s="56" t="s">
        <v>171</v>
      </c>
      <c r="H63" s="91">
        <v>90</v>
      </c>
      <c r="I63" s="91" t="s">
        <v>89</v>
      </c>
      <c r="J63" s="91" t="s">
        <v>8</v>
      </c>
      <c r="K63" s="92" t="s">
        <v>10</v>
      </c>
      <c r="L63" s="93" t="s">
        <v>3027</v>
      </c>
      <c r="M63" s="94" t="s">
        <v>3212</v>
      </c>
      <c r="N63" s="95" t="s">
        <v>2876</v>
      </c>
      <c r="O63" s="96">
        <v>3</v>
      </c>
      <c r="P63" s="111">
        <f t="shared" si="12"/>
        <v>43.5</v>
      </c>
      <c r="Q63" s="91" t="s">
        <v>16</v>
      </c>
      <c r="R63" s="91">
        <v>5.6</v>
      </c>
      <c r="S63" s="95"/>
      <c r="T63" s="98"/>
      <c r="U63" s="112">
        <f t="shared" si="11"/>
        <v>251.26423357664234</v>
      </c>
      <c r="V63" s="113">
        <f t="shared" si="4"/>
        <v>2.7918248175182483</v>
      </c>
      <c r="W63" s="114">
        <f t="shared" si="5"/>
        <v>0.3988321167883212</v>
      </c>
      <c r="X63" s="95"/>
      <c r="Y63" s="95"/>
      <c r="Z63" s="102"/>
      <c r="AA63" s="103">
        <v>45661</v>
      </c>
      <c r="AB63" s="103">
        <v>45682</v>
      </c>
      <c r="AC63" s="103"/>
      <c r="AD63" s="102">
        <f>IF(ISNA(VLOOKUP(D63,亚马逊入库配置费!B:F,5,0)),0,VLOOKUP(D63,亚马逊入库配置费!B:F,5,0))</f>
        <v>0.254795799299883</v>
      </c>
      <c r="AE63" s="102">
        <f t="shared" si="0"/>
        <v>22.931621936989469</v>
      </c>
      <c r="AF63" s="103">
        <v>45709</v>
      </c>
      <c r="AG63" s="91">
        <f t="shared" si="1"/>
        <v>48</v>
      </c>
      <c r="AH63" s="103">
        <v>45709</v>
      </c>
      <c r="AI63" s="103">
        <v>45739</v>
      </c>
      <c r="AJ63" s="96">
        <v>90</v>
      </c>
      <c r="AK63" s="91">
        <f t="shared" si="2"/>
        <v>30</v>
      </c>
      <c r="AL63" s="96">
        <f t="shared" si="3"/>
        <v>78</v>
      </c>
      <c r="AM63" s="92"/>
      <c r="AN63" s="91"/>
      <c r="AO63" s="91"/>
    </row>
    <row r="64" spans="1:41" ht="14.5" x14ac:dyDescent="0.25">
      <c r="A64" s="92" t="s">
        <v>199</v>
      </c>
      <c r="B64" s="91"/>
      <c r="C64" s="91" t="s">
        <v>103</v>
      </c>
      <c r="D64" s="92" t="s">
        <v>193</v>
      </c>
      <c r="E64" s="91" t="s">
        <v>97</v>
      </c>
      <c r="F64" s="91" t="s">
        <v>0</v>
      </c>
      <c r="G64" s="56" t="s">
        <v>173</v>
      </c>
      <c r="H64" s="91">
        <v>60</v>
      </c>
      <c r="I64" s="91" t="s">
        <v>89</v>
      </c>
      <c r="J64" s="91" t="s">
        <v>8</v>
      </c>
      <c r="K64" s="92" t="s">
        <v>10</v>
      </c>
      <c r="L64" s="93" t="s">
        <v>3028</v>
      </c>
      <c r="M64" s="94" t="s">
        <v>3304</v>
      </c>
      <c r="N64" s="95" t="s">
        <v>2876</v>
      </c>
      <c r="O64" s="96">
        <v>2</v>
      </c>
      <c r="P64" s="111">
        <f t="shared" si="12"/>
        <v>29</v>
      </c>
      <c r="Q64" s="91" t="s">
        <v>16</v>
      </c>
      <c r="R64" s="91">
        <v>5.6</v>
      </c>
      <c r="S64" s="95"/>
      <c r="T64" s="98"/>
      <c r="U64" s="112">
        <f t="shared" si="11"/>
        <v>167.50948905109487</v>
      </c>
      <c r="V64" s="113">
        <f t="shared" si="4"/>
        <v>2.7918248175182478</v>
      </c>
      <c r="W64" s="114">
        <f t="shared" si="5"/>
        <v>0.39883211678832114</v>
      </c>
      <c r="X64" s="95"/>
      <c r="Y64" s="95"/>
      <c r="Z64" s="102"/>
      <c r="AA64" s="103">
        <v>45661</v>
      </c>
      <c r="AB64" s="103">
        <v>45682</v>
      </c>
      <c r="AC64" s="103"/>
      <c r="AD64" s="102">
        <f>IF(ISNA(VLOOKUP(D64,亚马逊入库配置费!B:F,5,0)),0,VLOOKUP(D64,亚马逊入库配置费!B:F,5,0))</f>
        <v>0.254795799299883</v>
      </c>
      <c r="AE64" s="102">
        <f t="shared" si="0"/>
        <v>15.28774795799298</v>
      </c>
      <c r="AF64" s="103">
        <v>45709</v>
      </c>
      <c r="AG64" s="91">
        <f t="shared" si="1"/>
        <v>48</v>
      </c>
      <c r="AH64" s="103">
        <v>45709</v>
      </c>
      <c r="AI64" s="103">
        <v>45739</v>
      </c>
      <c r="AJ64" s="96">
        <v>60</v>
      </c>
      <c r="AK64" s="91">
        <f t="shared" si="2"/>
        <v>30</v>
      </c>
      <c r="AL64" s="96">
        <f t="shared" si="3"/>
        <v>78</v>
      </c>
      <c r="AM64" s="92"/>
      <c r="AN64" s="91"/>
      <c r="AO64" s="91"/>
    </row>
    <row r="65" spans="1:41" ht="14.5" x14ac:dyDescent="0.25">
      <c r="A65" s="92" t="s">
        <v>200</v>
      </c>
      <c r="B65" s="91"/>
      <c r="C65" s="91" t="s">
        <v>103</v>
      </c>
      <c r="D65" s="92" t="s">
        <v>193</v>
      </c>
      <c r="E65" s="91" t="s">
        <v>97</v>
      </c>
      <c r="F65" s="91" t="s">
        <v>0</v>
      </c>
      <c r="G65" s="56" t="s">
        <v>176</v>
      </c>
      <c r="H65" s="91">
        <v>60</v>
      </c>
      <c r="I65" s="91" t="s">
        <v>89</v>
      </c>
      <c r="J65" s="91" t="s">
        <v>8</v>
      </c>
      <c r="K65" s="92" t="s">
        <v>10</v>
      </c>
      <c r="L65" s="93" t="s">
        <v>3029</v>
      </c>
      <c r="M65" s="94" t="s">
        <v>3306</v>
      </c>
      <c r="N65" s="95" t="s">
        <v>2876</v>
      </c>
      <c r="O65" s="96">
        <v>2</v>
      </c>
      <c r="P65" s="111">
        <f t="shared" si="12"/>
        <v>29</v>
      </c>
      <c r="Q65" s="91" t="s">
        <v>16</v>
      </c>
      <c r="R65" s="91">
        <v>5.6</v>
      </c>
      <c r="S65" s="95"/>
      <c r="T65" s="98"/>
      <c r="U65" s="112">
        <f t="shared" si="11"/>
        <v>167.50948905109487</v>
      </c>
      <c r="V65" s="113">
        <f t="shared" si="4"/>
        <v>2.7918248175182478</v>
      </c>
      <c r="W65" s="114">
        <f t="shared" si="5"/>
        <v>0.39883211678832114</v>
      </c>
      <c r="X65" s="95"/>
      <c r="Y65" s="95"/>
      <c r="Z65" s="102"/>
      <c r="AA65" s="103">
        <v>45661</v>
      </c>
      <c r="AB65" s="103">
        <v>45682</v>
      </c>
      <c r="AC65" s="103"/>
      <c r="AD65" s="102">
        <f>IF(ISNA(VLOOKUP(D65,亚马逊入库配置费!B:F,5,0)),0,VLOOKUP(D65,亚马逊入库配置费!B:F,5,0))</f>
        <v>0.254795799299883</v>
      </c>
      <c r="AE65" s="102">
        <f t="shared" si="0"/>
        <v>15.28774795799298</v>
      </c>
      <c r="AF65" s="103">
        <v>45709</v>
      </c>
      <c r="AG65" s="91">
        <f t="shared" si="1"/>
        <v>48</v>
      </c>
      <c r="AH65" s="103">
        <v>45709</v>
      </c>
      <c r="AI65" s="103">
        <v>45739</v>
      </c>
      <c r="AJ65" s="96">
        <v>60</v>
      </c>
      <c r="AK65" s="91">
        <f t="shared" si="2"/>
        <v>30</v>
      </c>
      <c r="AL65" s="96">
        <f t="shared" si="3"/>
        <v>78</v>
      </c>
      <c r="AM65" s="92"/>
      <c r="AN65" s="91"/>
      <c r="AO65" s="91"/>
    </row>
    <row r="66" spans="1:41" ht="14.5" x14ac:dyDescent="0.25">
      <c r="A66" s="92" t="s">
        <v>201</v>
      </c>
      <c r="B66" s="91"/>
      <c r="C66" s="91" t="s">
        <v>103</v>
      </c>
      <c r="D66" s="92" t="s">
        <v>193</v>
      </c>
      <c r="E66" s="91" t="s">
        <v>97</v>
      </c>
      <c r="F66" s="91" t="s">
        <v>0</v>
      </c>
      <c r="G66" s="56" t="s">
        <v>178</v>
      </c>
      <c r="H66" s="91">
        <v>120</v>
      </c>
      <c r="I66" s="91" t="s">
        <v>89</v>
      </c>
      <c r="J66" s="91" t="s">
        <v>8</v>
      </c>
      <c r="K66" s="92" t="s">
        <v>10</v>
      </c>
      <c r="L66" s="93" t="s">
        <v>3030</v>
      </c>
      <c r="M66" s="94" t="s">
        <v>3307</v>
      </c>
      <c r="N66" s="95" t="s">
        <v>2876</v>
      </c>
      <c r="O66" s="96">
        <v>4</v>
      </c>
      <c r="P66" s="111">
        <f t="shared" si="12"/>
        <v>58</v>
      </c>
      <c r="Q66" s="91" t="s">
        <v>16</v>
      </c>
      <c r="R66" s="91">
        <v>5.6</v>
      </c>
      <c r="S66" s="95"/>
      <c r="T66" s="98"/>
      <c r="U66" s="112">
        <f t="shared" si="11"/>
        <v>335.01897810218975</v>
      </c>
      <c r="V66" s="113">
        <f t="shared" si="4"/>
        <v>2.7918248175182478</v>
      </c>
      <c r="W66" s="114">
        <f t="shared" si="5"/>
        <v>0.39883211678832114</v>
      </c>
      <c r="X66" s="95"/>
      <c r="Y66" s="95"/>
      <c r="Z66" s="102"/>
      <c r="AA66" s="103">
        <v>45661</v>
      </c>
      <c r="AB66" s="103">
        <v>45682</v>
      </c>
      <c r="AC66" s="103"/>
      <c r="AD66" s="102">
        <f>IF(ISNA(VLOOKUP(D66,亚马逊入库配置费!B:F,5,0)),0,VLOOKUP(D66,亚马逊入库配置费!B:F,5,0))</f>
        <v>0.254795799299883</v>
      </c>
      <c r="AE66" s="102">
        <f t="shared" ref="AE66:AE129" si="13">H66*AD66</f>
        <v>30.575495915985961</v>
      </c>
      <c r="AF66" s="103">
        <v>45709</v>
      </c>
      <c r="AG66" s="91">
        <f t="shared" ref="AG66:AG129" si="14">AF66-AA66</f>
        <v>48</v>
      </c>
      <c r="AH66" s="103">
        <v>45709</v>
      </c>
      <c r="AI66" s="103">
        <v>45739</v>
      </c>
      <c r="AJ66" s="96">
        <v>120</v>
      </c>
      <c r="AK66" s="91">
        <f t="shared" ref="AK66:AK129" si="15">AI66-AH66</f>
        <v>30</v>
      </c>
      <c r="AL66" s="96">
        <f t="shared" ref="AL66:AL129" si="16">AG66+AK66</f>
        <v>78</v>
      </c>
      <c r="AM66" s="92"/>
      <c r="AN66" s="91"/>
      <c r="AO66" s="91"/>
    </row>
    <row r="67" spans="1:41" ht="14.5" x14ac:dyDescent="0.25">
      <c r="A67" s="92" t="s">
        <v>202</v>
      </c>
      <c r="B67" s="91"/>
      <c r="C67" s="91" t="s">
        <v>103</v>
      </c>
      <c r="D67" s="92" t="s">
        <v>193</v>
      </c>
      <c r="E67" s="91" t="s">
        <v>97</v>
      </c>
      <c r="F67" s="91" t="s">
        <v>0</v>
      </c>
      <c r="G67" s="56" t="s">
        <v>180</v>
      </c>
      <c r="H67" s="91">
        <v>60</v>
      </c>
      <c r="I67" s="91" t="s">
        <v>89</v>
      </c>
      <c r="J67" s="91" t="s">
        <v>8</v>
      </c>
      <c r="K67" s="92" t="s">
        <v>10</v>
      </c>
      <c r="L67" s="93" t="s">
        <v>3031</v>
      </c>
      <c r="M67" s="94" t="s">
        <v>3213</v>
      </c>
      <c r="N67" s="95" t="s">
        <v>2876</v>
      </c>
      <c r="O67" s="96">
        <v>2</v>
      </c>
      <c r="P67" s="111">
        <f t="shared" si="12"/>
        <v>29</v>
      </c>
      <c r="Q67" s="91" t="s">
        <v>16</v>
      </c>
      <c r="R67" s="91">
        <v>5.6</v>
      </c>
      <c r="S67" s="95"/>
      <c r="T67" s="98"/>
      <c r="U67" s="112">
        <f t="shared" si="11"/>
        <v>167.50948905109487</v>
      </c>
      <c r="V67" s="113">
        <f t="shared" ref="V67:V130" si="17">U67/H67</f>
        <v>2.7918248175182478</v>
      </c>
      <c r="W67" s="114">
        <f t="shared" ref="W67:W130" si="18">V67/7</f>
        <v>0.39883211678832114</v>
      </c>
      <c r="X67" s="95"/>
      <c r="Y67" s="95"/>
      <c r="Z67" s="102"/>
      <c r="AA67" s="103">
        <v>45661</v>
      </c>
      <c r="AB67" s="103">
        <v>45682</v>
      </c>
      <c r="AC67" s="103"/>
      <c r="AD67" s="102">
        <f>IF(ISNA(VLOOKUP(D67,亚马逊入库配置费!B:F,5,0)),0,VLOOKUP(D67,亚马逊入库配置费!B:F,5,0))</f>
        <v>0.254795799299883</v>
      </c>
      <c r="AE67" s="102">
        <f t="shared" si="13"/>
        <v>15.28774795799298</v>
      </c>
      <c r="AF67" s="103">
        <v>45709</v>
      </c>
      <c r="AG67" s="91">
        <f t="shared" si="14"/>
        <v>48</v>
      </c>
      <c r="AH67" s="103">
        <v>45709</v>
      </c>
      <c r="AI67" s="103">
        <v>45739</v>
      </c>
      <c r="AJ67" s="96">
        <v>60</v>
      </c>
      <c r="AK67" s="91">
        <f t="shared" si="15"/>
        <v>30</v>
      </c>
      <c r="AL67" s="96">
        <f t="shared" si="16"/>
        <v>78</v>
      </c>
      <c r="AM67" s="92"/>
      <c r="AN67" s="91"/>
      <c r="AO67" s="91"/>
    </row>
    <row r="68" spans="1:41" ht="14.5" x14ac:dyDescent="0.25">
      <c r="A68" s="92" t="s">
        <v>203</v>
      </c>
      <c r="B68" s="91"/>
      <c r="C68" s="91" t="s">
        <v>204</v>
      </c>
      <c r="D68" s="92" t="s">
        <v>205</v>
      </c>
      <c r="E68" s="91" t="s">
        <v>115</v>
      </c>
      <c r="F68" s="91" t="s">
        <v>0</v>
      </c>
      <c r="G68" s="56" t="s">
        <v>206</v>
      </c>
      <c r="H68" s="91">
        <v>120</v>
      </c>
      <c r="I68" s="91" t="s">
        <v>207</v>
      </c>
      <c r="J68" s="91" t="s">
        <v>8</v>
      </c>
      <c r="K68" s="92" t="s">
        <v>11</v>
      </c>
      <c r="L68" s="93" t="s">
        <v>3032</v>
      </c>
      <c r="M68" s="94" t="s">
        <v>3310</v>
      </c>
      <c r="N68" s="95" t="s">
        <v>2878</v>
      </c>
      <c r="O68" s="96">
        <v>4</v>
      </c>
      <c r="P68" s="111">
        <f>1258/93*O68</f>
        <v>54.107526881720432</v>
      </c>
      <c r="Q68" s="91" t="s">
        <v>16</v>
      </c>
      <c r="R68" s="91">
        <v>4.8</v>
      </c>
      <c r="S68" s="95"/>
      <c r="T68" s="98"/>
      <c r="U68" s="112">
        <f t="shared" ref="U68:U75" si="19">R68*P68+400/161*O68</f>
        <v>269.65401723101581</v>
      </c>
      <c r="V68" s="113">
        <f t="shared" si="17"/>
        <v>2.2471168102584653</v>
      </c>
      <c r="W68" s="114">
        <f t="shared" si="18"/>
        <v>0.32101668717978077</v>
      </c>
      <c r="X68" s="95"/>
      <c r="Y68" s="95"/>
      <c r="Z68" s="102"/>
      <c r="AA68" s="103">
        <v>45668</v>
      </c>
      <c r="AB68" s="103">
        <v>45697</v>
      </c>
      <c r="AC68" s="103"/>
      <c r="AD68" s="102">
        <f>IF(ISNA(VLOOKUP(D68,亚马逊入库配置费!B:F,5,0)),0,VLOOKUP(D68,亚马逊入库配置费!B:F,5,0))</f>
        <v>0.28553314121037499</v>
      </c>
      <c r="AE68" s="102">
        <f t="shared" si="13"/>
        <v>34.263976945244998</v>
      </c>
      <c r="AF68" s="103">
        <v>45715</v>
      </c>
      <c r="AG68" s="91">
        <f t="shared" si="14"/>
        <v>47</v>
      </c>
      <c r="AH68" s="103">
        <v>45715</v>
      </c>
      <c r="AI68" s="103">
        <v>45735</v>
      </c>
      <c r="AJ68" s="96">
        <v>120</v>
      </c>
      <c r="AK68" s="91">
        <f t="shared" si="15"/>
        <v>20</v>
      </c>
      <c r="AL68" s="96">
        <f t="shared" si="16"/>
        <v>67</v>
      </c>
      <c r="AM68" s="92"/>
      <c r="AN68" s="91"/>
      <c r="AO68" s="91"/>
    </row>
    <row r="69" spans="1:41" ht="14.5" x14ac:dyDescent="0.25">
      <c r="A69" s="92" t="s">
        <v>208</v>
      </c>
      <c r="B69" s="91"/>
      <c r="C69" s="91" t="s">
        <v>204</v>
      </c>
      <c r="D69" s="92" t="s">
        <v>205</v>
      </c>
      <c r="E69" s="91" t="s">
        <v>115</v>
      </c>
      <c r="F69" s="91" t="s">
        <v>0</v>
      </c>
      <c r="G69" s="56" t="s">
        <v>209</v>
      </c>
      <c r="H69" s="91">
        <v>64</v>
      </c>
      <c r="I69" s="91" t="s">
        <v>207</v>
      </c>
      <c r="J69" s="91" t="s">
        <v>8</v>
      </c>
      <c r="K69" s="92" t="s">
        <v>11</v>
      </c>
      <c r="L69" s="93" t="s">
        <v>3033</v>
      </c>
      <c r="M69" s="94" t="s">
        <v>3311</v>
      </c>
      <c r="N69" s="95" t="s">
        <v>2869</v>
      </c>
      <c r="O69" s="96">
        <v>4</v>
      </c>
      <c r="P69" s="111">
        <f>1258/93*O69</f>
        <v>54.107526881720432</v>
      </c>
      <c r="Q69" s="91" t="s">
        <v>16</v>
      </c>
      <c r="R69" s="91">
        <v>4.8</v>
      </c>
      <c r="S69" s="95"/>
      <c r="T69" s="98"/>
      <c r="U69" s="112">
        <f t="shared" si="19"/>
        <v>269.65401723101581</v>
      </c>
      <c r="V69" s="113">
        <f t="shared" si="17"/>
        <v>4.2133440192346221</v>
      </c>
      <c r="W69" s="114">
        <f t="shared" si="18"/>
        <v>0.60190628846208882</v>
      </c>
      <c r="X69" s="95"/>
      <c r="Y69" s="95"/>
      <c r="Z69" s="102"/>
      <c r="AA69" s="103">
        <v>45668</v>
      </c>
      <c r="AB69" s="103">
        <v>45697</v>
      </c>
      <c r="AC69" s="103"/>
      <c r="AD69" s="102">
        <f>IF(ISNA(VLOOKUP(D69,亚马逊入库配置费!B:F,5,0)),0,VLOOKUP(D69,亚马逊入库配置费!B:F,5,0))</f>
        <v>0.28553314121037499</v>
      </c>
      <c r="AE69" s="102">
        <f t="shared" si="13"/>
        <v>18.274121037463999</v>
      </c>
      <c r="AF69" s="103">
        <v>45715</v>
      </c>
      <c r="AG69" s="91">
        <f t="shared" si="14"/>
        <v>47</v>
      </c>
      <c r="AH69" s="103">
        <v>45715</v>
      </c>
      <c r="AI69" s="103">
        <v>45735</v>
      </c>
      <c r="AJ69" s="96">
        <v>64</v>
      </c>
      <c r="AK69" s="91">
        <f t="shared" si="15"/>
        <v>20</v>
      </c>
      <c r="AL69" s="96">
        <f t="shared" si="16"/>
        <v>67</v>
      </c>
      <c r="AM69" s="92"/>
      <c r="AN69" s="91"/>
      <c r="AO69" s="91"/>
    </row>
    <row r="70" spans="1:41" ht="14.5" x14ac:dyDescent="0.25">
      <c r="A70" s="92" t="s">
        <v>210</v>
      </c>
      <c r="B70" s="91"/>
      <c r="C70" s="91" t="s">
        <v>204</v>
      </c>
      <c r="D70" s="92" t="s">
        <v>205</v>
      </c>
      <c r="E70" s="91" t="s">
        <v>115</v>
      </c>
      <c r="F70" s="91" t="s">
        <v>0</v>
      </c>
      <c r="G70" s="56" t="s">
        <v>211</v>
      </c>
      <c r="H70" s="91">
        <v>450</v>
      </c>
      <c r="I70" s="91" t="s">
        <v>207</v>
      </c>
      <c r="J70" s="91" t="s">
        <v>8</v>
      </c>
      <c r="K70" s="92" t="s">
        <v>11</v>
      </c>
      <c r="L70" s="93" t="s">
        <v>3034</v>
      </c>
      <c r="M70" s="94" t="s">
        <v>3312</v>
      </c>
      <c r="N70" s="95" t="s">
        <v>2869</v>
      </c>
      <c r="O70" s="96">
        <v>15</v>
      </c>
      <c r="P70" s="111">
        <f>1258/93*O70</f>
        <v>202.90322580645162</v>
      </c>
      <c r="Q70" s="91" t="s">
        <v>16</v>
      </c>
      <c r="R70" s="91">
        <v>4.8</v>
      </c>
      <c r="S70" s="95"/>
      <c r="T70" s="98"/>
      <c r="U70" s="112">
        <f t="shared" si="19"/>
        <v>1011.2025646163092</v>
      </c>
      <c r="V70" s="113">
        <f t="shared" si="17"/>
        <v>2.2471168102584649</v>
      </c>
      <c r="W70" s="114">
        <f t="shared" si="18"/>
        <v>0.32101668717978071</v>
      </c>
      <c r="X70" s="95"/>
      <c r="Y70" s="95"/>
      <c r="Z70" s="102"/>
      <c r="AA70" s="103">
        <v>45668</v>
      </c>
      <c r="AB70" s="103">
        <v>45697</v>
      </c>
      <c r="AC70" s="103"/>
      <c r="AD70" s="102">
        <f>IF(ISNA(VLOOKUP(D70,亚马逊入库配置费!B:F,5,0)),0,VLOOKUP(D70,亚马逊入库配置费!B:F,5,0))</f>
        <v>0.28553314121037499</v>
      </c>
      <c r="AE70" s="102">
        <f t="shared" si="13"/>
        <v>128.48991354466875</v>
      </c>
      <c r="AF70" s="103">
        <v>45715</v>
      </c>
      <c r="AG70" s="91">
        <f t="shared" si="14"/>
        <v>47</v>
      </c>
      <c r="AH70" s="103">
        <v>45715</v>
      </c>
      <c r="AI70" s="103">
        <v>45735</v>
      </c>
      <c r="AJ70" s="96">
        <v>450</v>
      </c>
      <c r="AK70" s="91">
        <f t="shared" si="15"/>
        <v>20</v>
      </c>
      <c r="AL70" s="96">
        <f t="shared" si="16"/>
        <v>67</v>
      </c>
      <c r="AM70" s="92"/>
      <c r="AN70" s="91"/>
      <c r="AO70" s="91"/>
    </row>
    <row r="71" spans="1:41" ht="14.5" x14ac:dyDescent="0.25">
      <c r="A71" s="92" t="s">
        <v>212</v>
      </c>
      <c r="B71" s="91"/>
      <c r="C71" s="91" t="s">
        <v>204</v>
      </c>
      <c r="D71" s="92" t="s">
        <v>205</v>
      </c>
      <c r="E71" s="91" t="s">
        <v>115</v>
      </c>
      <c r="F71" s="91" t="s">
        <v>0</v>
      </c>
      <c r="G71" s="56" t="s">
        <v>213</v>
      </c>
      <c r="H71" s="91">
        <v>60</v>
      </c>
      <c r="I71" s="91" t="s">
        <v>207</v>
      </c>
      <c r="J71" s="91" t="s">
        <v>8</v>
      </c>
      <c r="K71" s="92" t="s">
        <v>11</v>
      </c>
      <c r="L71" s="93" t="s">
        <v>3035</v>
      </c>
      <c r="M71" s="94" t="s">
        <v>3313</v>
      </c>
      <c r="N71" s="95" t="s">
        <v>2869</v>
      </c>
      <c r="O71" s="96">
        <v>2</v>
      </c>
      <c r="P71" s="111">
        <f>1258/93*O71</f>
        <v>27.053763440860216</v>
      </c>
      <c r="Q71" s="91" t="s">
        <v>16</v>
      </c>
      <c r="R71" s="91">
        <v>4.8</v>
      </c>
      <c r="S71" s="95"/>
      <c r="T71" s="98"/>
      <c r="U71" s="112">
        <f t="shared" si="19"/>
        <v>134.82700861550791</v>
      </c>
      <c r="V71" s="113">
        <f t="shared" si="17"/>
        <v>2.2471168102584653</v>
      </c>
      <c r="W71" s="114">
        <f t="shared" si="18"/>
        <v>0.32101668717978077</v>
      </c>
      <c r="X71" s="95"/>
      <c r="Y71" s="95"/>
      <c r="Z71" s="102"/>
      <c r="AA71" s="103">
        <v>45668</v>
      </c>
      <c r="AB71" s="103">
        <v>45697</v>
      </c>
      <c r="AC71" s="103"/>
      <c r="AD71" s="102">
        <f>IF(ISNA(VLOOKUP(D71,亚马逊入库配置费!B:F,5,0)),0,VLOOKUP(D71,亚马逊入库配置费!B:F,5,0))</f>
        <v>0.28553314121037499</v>
      </c>
      <c r="AE71" s="102">
        <f t="shared" si="13"/>
        <v>17.131988472622499</v>
      </c>
      <c r="AF71" s="103">
        <v>45715</v>
      </c>
      <c r="AG71" s="91">
        <f t="shared" si="14"/>
        <v>47</v>
      </c>
      <c r="AH71" s="103">
        <v>45715</v>
      </c>
      <c r="AI71" s="103">
        <v>45735</v>
      </c>
      <c r="AJ71" s="96">
        <v>60</v>
      </c>
      <c r="AK71" s="91">
        <f t="shared" si="15"/>
        <v>20</v>
      </c>
      <c r="AL71" s="96">
        <f t="shared" si="16"/>
        <v>67</v>
      </c>
      <c r="AM71" s="92"/>
      <c r="AN71" s="91"/>
      <c r="AO71" s="91"/>
    </row>
    <row r="72" spans="1:41" ht="14.5" x14ac:dyDescent="0.25">
      <c r="A72" s="92" t="s">
        <v>214</v>
      </c>
      <c r="B72" s="91"/>
      <c r="C72" s="91" t="s">
        <v>204</v>
      </c>
      <c r="D72" s="92" t="s">
        <v>215</v>
      </c>
      <c r="E72" s="91" t="s">
        <v>115</v>
      </c>
      <c r="F72" s="91" t="s">
        <v>0</v>
      </c>
      <c r="G72" s="56" t="s">
        <v>206</v>
      </c>
      <c r="H72" s="91">
        <v>90</v>
      </c>
      <c r="I72" s="91" t="s">
        <v>207</v>
      </c>
      <c r="J72" s="91" t="s">
        <v>8</v>
      </c>
      <c r="K72" s="92" t="s">
        <v>13</v>
      </c>
      <c r="L72" s="93" t="s">
        <v>3032</v>
      </c>
      <c r="M72" s="94" t="s">
        <v>3310</v>
      </c>
      <c r="N72" s="95" t="s">
        <v>2878</v>
      </c>
      <c r="O72" s="96">
        <v>3</v>
      </c>
      <c r="P72" s="111">
        <f>921/68*O72</f>
        <v>40.632352941176471</v>
      </c>
      <c r="Q72" s="91" t="s">
        <v>16</v>
      </c>
      <c r="R72" s="91">
        <v>4.8</v>
      </c>
      <c r="S72" s="95"/>
      <c r="T72" s="98"/>
      <c r="U72" s="112">
        <f t="shared" si="19"/>
        <v>202.48871026671537</v>
      </c>
      <c r="V72" s="113">
        <f t="shared" si="17"/>
        <v>2.2498745585190596</v>
      </c>
      <c r="W72" s="114">
        <f t="shared" si="18"/>
        <v>0.32141065121700851</v>
      </c>
      <c r="X72" s="95"/>
      <c r="Y72" s="95"/>
      <c r="Z72" s="102"/>
      <c r="AA72" s="103">
        <v>45668</v>
      </c>
      <c r="AB72" s="103">
        <v>45697</v>
      </c>
      <c r="AC72" s="103"/>
      <c r="AD72" s="102">
        <f>IF(ISNA(VLOOKUP(D72,亚马逊入库配置费!B:F,5,0)),0,VLOOKUP(D72,亚马逊入库配置费!B:F,5,0))</f>
        <v>0.28578313253012</v>
      </c>
      <c r="AE72" s="102">
        <f t="shared" si="13"/>
        <v>25.7204819277108</v>
      </c>
      <c r="AF72" s="103">
        <v>45722</v>
      </c>
      <c r="AG72" s="91">
        <f t="shared" si="14"/>
        <v>54</v>
      </c>
      <c r="AH72" s="103">
        <v>45722</v>
      </c>
      <c r="AI72" s="103">
        <v>45754</v>
      </c>
      <c r="AJ72" s="96">
        <v>90</v>
      </c>
      <c r="AK72" s="91">
        <f t="shared" si="15"/>
        <v>32</v>
      </c>
      <c r="AL72" s="96">
        <f t="shared" si="16"/>
        <v>86</v>
      </c>
      <c r="AM72" s="92"/>
      <c r="AN72" s="91"/>
      <c r="AO72" s="91"/>
    </row>
    <row r="73" spans="1:41" ht="14.5" x14ac:dyDescent="0.25">
      <c r="A73" s="92" t="s">
        <v>216</v>
      </c>
      <c r="B73" s="91"/>
      <c r="C73" s="91" t="s">
        <v>204</v>
      </c>
      <c r="D73" s="92" t="s">
        <v>215</v>
      </c>
      <c r="E73" s="91" t="s">
        <v>115</v>
      </c>
      <c r="F73" s="91" t="s">
        <v>0</v>
      </c>
      <c r="G73" s="56" t="s">
        <v>209</v>
      </c>
      <c r="H73" s="91">
        <v>48</v>
      </c>
      <c r="I73" s="91" t="s">
        <v>207</v>
      </c>
      <c r="J73" s="91" t="s">
        <v>8</v>
      </c>
      <c r="K73" s="92" t="s">
        <v>13</v>
      </c>
      <c r="L73" s="93" t="s">
        <v>3033</v>
      </c>
      <c r="M73" s="94" t="s">
        <v>3311</v>
      </c>
      <c r="N73" s="95" t="s">
        <v>2869</v>
      </c>
      <c r="O73" s="96">
        <v>3</v>
      </c>
      <c r="P73" s="111">
        <f>921/68*O73</f>
        <v>40.632352941176471</v>
      </c>
      <c r="Q73" s="91" t="s">
        <v>16</v>
      </c>
      <c r="R73" s="91">
        <v>4.8</v>
      </c>
      <c r="S73" s="95"/>
      <c r="T73" s="98"/>
      <c r="U73" s="112">
        <f t="shared" si="19"/>
        <v>202.48871026671537</v>
      </c>
      <c r="V73" s="113">
        <f t="shared" si="17"/>
        <v>4.2185147972232366</v>
      </c>
      <c r="W73" s="114">
        <f t="shared" si="18"/>
        <v>0.60264497103189096</v>
      </c>
      <c r="X73" s="95"/>
      <c r="Y73" s="95"/>
      <c r="Z73" s="102"/>
      <c r="AA73" s="103">
        <v>45668</v>
      </c>
      <c r="AB73" s="103">
        <v>45697</v>
      </c>
      <c r="AC73" s="103"/>
      <c r="AD73" s="102">
        <f>IF(ISNA(VLOOKUP(D73,亚马逊入库配置费!B:F,5,0)),0,VLOOKUP(D73,亚马逊入库配置费!B:F,5,0))</f>
        <v>0.28578313253012</v>
      </c>
      <c r="AE73" s="102">
        <f t="shared" si="13"/>
        <v>13.71759036144576</v>
      </c>
      <c r="AF73" s="103">
        <v>45722</v>
      </c>
      <c r="AG73" s="91">
        <f t="shared" si="14"/>
        <v>54</v>
      </c>
      <c r="AH73" s="103">
        <v>45722</v>
      </c>
      <c r="AI73" s="103">
        <v>45754</v>
      </c>
      <c r="AJ73" s="96">
        <v>48</v>
      </c>
      <c r="AK73" s="91">
        <f t="shared" si="15"/>
        <v>32</v>
      </c>
      <c r="AL73" s="96">
        <f t="shared" si="16"/>
        <v>86</v>
      </c>
      <c r="AM73" s="92"/>
      <c r="AN73" s="91"/>
      <c r="AO73" s="91"/>
    </row>
    <row r="74" spans="1:41" ht="14.5" x14ac:dyDescent="0.25">
      <c r="A74" s="92" t="s">
        <v>217</v>
      </c>
      <c r="B74" s="91"/>
      <c r="C74" s="91" t="s">
        <v>204</v>
      </c>
      <c r="D74" s="92" t="s">
        <v>215</v>
      </c>
      <c r="E74" s="91" t="s">
        <v>115</v>
      </c>
      <c r="F74" s="91" t="s">
        <v>0</v>
      </c>
      <c r="G74" s="56" t="s">
        <v>211</v>
      </c>
      <c r="H74" s="91">
        <v>330</v>
      </c>
      <c r="I74" s="91" t="s">
        <v>207</v>
      </c>
      <c r="J74" s="91" t="s">
        <v>8</v>
      </c>
      <c r="K74" s="92" t="s">
        <v>13</v>
      </c>
      <c r="L74" s="93" t="s">
        <v>3034</v>
      </c>
      <c r="M74" s="94" t="s">
        <v>3312</v>
      </c>
      <c r="N74" s="95" t="s">
        <v>2869</v>
      </c>
      <c r="O74" s="96">
        <v>11</v>
      </c>
      <c r="P74" s="111">
        <f>921/68*O74</f>
        <v>148.98529411764707</v>
      </c>
      <c r="Q74" s="91" t="s">
        <v>16</v>
      </c>
      <c r="R74" s="91">
        <v>4.8</v>
      </c>
      <c r="S74" s="95"/>
      <c r="T74" s="98"/>
      <c r="U74" s="112">
        <f t="shared" si="19"/>
        <v>742.45860431128972</v>
      </c>
      <c r="V74" s="113">
        <f t="shared" si="17"/>
        <v>2.2498745585190596</v>
      </c>
      <c r="W74" s="114">
        <f t="shared" si="18"/>
        <v>0.32141065121700851</v>
      </c>
      <c r="X74" s="95"/>
      <c r="Y74" s="95"/>
      <c r="Z74" s="102"/>
      <c r="AA74" s="103">
        <v>45668</v>
      </c>
      <c r="AB74" s="103">
        <v>45697</v>
      </c>
      <c r="AC74" s="103"/>
      <c r="AD74" s="102">
        <f>IF(ISNA(VLOOKUP(D74,亚马逊入库配置费!B:F,5,0)),0,VLOOKUP(D74,亚马逊入库配置费!B:F,5,0))</f>
        <v>0.28578313253012</v>
      </c>
      <c r="AE74" s="102">
        <f t="shared" si="13"/>
        <v>94.308433734939598</v>
      </c>
      <c r="AF74" s="103">
        <v>45722</v>
      </c>
      <c r="AG74" s="91">
        <f t="shared" si="14"/>
        <v>54</v>
      </c>
      <c r="AH74" s="103">
        <v>45722</v>
      </c>
      <c r="AI74" s="103">
        <v>45754</v>
      </c>
      <c r="AJ74" s="96">
        <v>330</v>
      </c>
      <c r="AK74" s="91">
        <f t="shared" si="15"/>
        <v>32</v>
      </c>
      <c r="AL74" s="96">
        <f t="shared" si="16"/>
        <v>86</v>
      </c>
      <c r="AM74" s="92"/>
      <c r="AN74" s="91"/>
      <c r="AO74" s="91"/>
    </row>
    <row r="75" spans="1:41" ht="14.5" x14ac:dyDescent="0.25">
      <c r="A75" s="92" t="s">
        <v>218</v>
      </c>
      <c r="B75" s="91"/>
      <c r="C75" s="91" t="s">
        <v>204</v>
      </c>
      <c r="D75" s="92" t="s">
        <v>215</v>
      </c>
      <c r="E75" s="91" t="s">
        <v>115</v>
      </c>
      <c r="F75" s="91" t="s">
        <v>0</v>
      </c>
      <c r="G75" s="56" t="s">
        <v>213</v>
      </c>
      <c r="H75" s="91">
        <v>30</v>
      </c>
      <c r="I75" s="91" t="s">
        <v>207</v>
      </c>
      <c r="J75" s="91" t="s">
        <v>8</v>
      </c>
      <c r="K75" s="92" t="s">
        <v>13</v>
      </c>
      <c r="L75" s="93" t="s">
        <v>3035</v>
      </c>
      <c r="M75" s="94" t="s">
        <v>3313</v>
      </c>
      <c r="N75" s="95" t="s">
        <v>2869</v>
      </c>
      <c r="O75" s="96">
        <v>1</v>
      </c>
      <c r="P75" s="111">
        <f>921/68*O75</f>
        <v>13.544117647058824</v>
      </c>
      <c r="Q75" s="91" t="s">
        <v>16</v>
      </c>
      <c r="R75" s="91">
        <v>4.8</v>
      </c>
      <c r="S75" s="95"/>
      <c r="T75" s="98"/>
      <c r="U75" s="112">
        <f t="shared" si="19"/>
        <v>67.4962367555718</v>
      </c>
      <c r="V75" s="113">
        <f t="shared" si="17"/>
        <v>2.24987455851906</v>
      </c>
      <c r="W75" s="114">
        <f t="shared" si="18"/>
        <v>0.32141065121700857</v>
      </c>
      <c r="X75" s="95"/>
      <c r="Y75" s="95"/>
      <c r="Z75" s="102"/>
      <c r="AA75" s="103">
        <v>45668</v>
      </c>
      <c r="AB75" s="103">
        <v>45697</v>
      </c>
      <c r="AC75" s="103"/>
      <c r="AD75" s="102">
        <f>IF(ISNA(VLOOKUP(D75,亚马逊入库配置费!B:F,5,0)),0,VLOOKUP(D75,亚马逊入库配置费!B:F,5,0))</f>
        <v>0.28578313253012</v>
      </c>
      <c r="AE75" s="102">
        <f t="shared" si="13"/>
        <v>8.5734939759036006</v>
      </c>
      <c r="AF75" s="103">
        <v>45722</v>
      </c>
      <c r="AG75" s="91">
        <f t="shared" si="14"/>
        <v>54</v>
      </c>
      <c r="AH75" s="103">
        <v>45722</v>
      </c>
      <c r="AI75" s="103">
        <v>45754</v>
      </c>
      <c r="AJ75" s="96">
        <v>30</v>
      </c>
      <c r="AK75" s="91">
        <f t="shared" si="15"/>
        <v>32</v>
      </c>
      <c r="AL75" s="96">
        <f t="shared" si="16"/>
        <v>86</v>
      </c>
      <c r="AM75" s="92"/>
      <c r="AN75" s="91"/>
      <c r="AO75" s="91"/>
    </row>
    <row r="76" spans="1:41" ht="14.5" x14ac:dyDescent="0.25">
      <c r="A76" s="92" t="s">
        <v>219</v>
      </c>
      <c r="B76" s="91"/>
      <c r="C76" s="91" t="s">
        <v>220</v>
      </c>
      <c r="D76" s="92" t="s">
        <v>221</v>
      </c>
      <c r="E76" s="91" t="s">
        <v>115</v>
      </c>
      <c r="F76" s="91" t="s">
        <v>0</v>
      </c>
      <c r="G76" s="56" t="s">
        <v>206</v>
      </c>
      <c r="H76" s="91">
        <v>90</v>
      </c>
      <c r="I76" s="91" t="s">
        <v>207</v>
      </c>
      <c r="J76" s="91" t="s">
        <v>8</v>
      </c>
      <c r="K76" s="92" t="s">
        <v>14</v>
      </c>
      <c r="L76" s="93" t="s">
        <v>3032</v>
      </c>
      <c r="M76" s="94" t="s">
        <v>3310</v>
      </c>
      <c r="N76" s="95" t="s">
        <v>2878</v>
      </c>
      <c r="O76" s="96">
        <v>3</v>
      </c>
      <c r="P76" s="111">
        <f t="shared" ref="P76:P86" si="20">1067/79*O76</f>
        <v>40.518987341772146</v>
      </c>
      <c r="Q76" s="91" t="s">
        <v>16</v>
      </c>
      <c r="R76" s="91">
        <v>5.9</v>
      </c>
      <c r="S76" s="95"/>
      <c r="T76" s="98"/>
      <c r="U76" s="112">
        <f t="shared" ref="U76:U86" si="21">R76*P76+400/79*O76</f>
        <v>254.25189873417719</v>
      </c>
      <c r="V76" s="113">
        <f t="shared" si="17"/>
        <v>2.8250210970464131</v>
      </c>
      <c r="W76" s="114">
        <f t="shared" si="18"/>
        <v>0.40357444243520185</v>
      </c>
      <c r="X76" s="95"/>
      <c r="Y76" s="95"/>
      <c r="Z76" s="102"/>
      <c r="AA76" s="103">
        <v>45668</v>
      </c>
      <c r="AB76" s="103">
        <v>45697</v>
      </c>
      <c r="AC76" s="103"/>
      <c r="AD76" s="102">
        <f>IF(ISNA(VLOOKUP(D76,亚马逊入库配置费!B:F,5,0)),0,VLOOKUP(D76,亚马逊入库配置费!B:F,5,0))</f>
        <v>0.284897959183673</v>
      </c>
      <c r="AE76" s="102">
        <f t="shared" si="13"/>
        <v>25.640816326530569</v>
      </c>
      <c r="AF76" s="103">
        <v>45713</v>
      </c>
      <c r="AG76" s="91">
        <f t="shared" si="14"/>
        <v>45</v>
      </c>
      <c r="AH76" s="103">
        <v>45713</v>
      </c>
      <c r="AI76" s="103">
        <v>45744</v>
      </c>
      <c r="AJ76" s="96">
        <v>90</v>
      </c>
      <c r="AK76" s="91">
        <f t="shared" si="15"/>
        <v>31</v>
      </c>
      <c r="AL76" s="96">
        <f t="shared" si="16"/>
        <v>76</v>
      </c>
      <c r="AM76" s="92"/>
      <c r="AN76" s="91"/>
      <c r="AO76" s="91"/>
    </row>
    <row r="77" spans="1:41" ht="14.5" x14ac:dyDescent="0.25">
      <c r="A77" s="92" t="s">
        <v>222</v>
      </c>
      <c r="B77" s="91"/>
      <c r="C77" s="91" t="s">
        <v>220</v>
      </c>
      <c r="D77" s="92" t="s">
        <v>221</v>
      </c>
      <c r="E77" s="91" t="s">
        <v>115</v>
      </c>
      <c r="F77" s="91" t="s">
        <v>0</v>
      </c>
      <c r="G77" s="56" t="s">
        <v>209</v>
      </c>
      <c r="H77" s="91">
        <v>48</v>
      </c>
      <c r="I77" s="91" t="s">
        <v>207</v>
      </c>
      <c r="J77" s="91" t="s">
        <v>8</v>
      </c>
      <c r="K77" s="92" t="s">
        <v>14</v>
      </c>
      <c r="L77" s="93" t="s">
        <v>3033</v>
      </c>
      <c r="M77" s="94" t="s">
        <v>3311</v>
      </c>
      <c r="N77" s="95" t="s">
        <v>2869</v>
      </c>
      <c r="O77" s="96">
        <v>3</v>
      </c>
      <c r="P77" s="111">
        <f t="shared" si="20"/>
        <v>40.518987341772146</v>
      </c>
      <c r="Q77" s="91" t="s">
        <v>16</v>
      </c>
      <c r="R77" s="91">
        <v>5.9</v>
      </c>
      <c r="S77" s="95"/>
      <c r="T77" s="98"/>
      <c r="U77" s="112">
        <f t="shared" si="21"/>
        <v>254.25189873417719</v>
      </c>
      <c r="V77" s="113">
        <f t="shared" si="17"/>
        <v>5.2969145569620251</v>
      </c>
      <c r="W77" s="114">
        <f t="shared" si="18"/>
        <v>0.75670207956600355</v>
      </c>
      <c r="X77" s="95"/>
      <c r="Y77" s="95"/>
      <c r="Z77" s="102"/>
      <c r="AA77" s="103">
        <v>45668</v>
      </c>
      <c r="AB77" s="103">
        <v>45697</v>
      </c>
      <c r="AC77" s="103"/>
      <c r="AD77" s="102">
        <f>IF(ISNA(VLOOKUP(D77,亚马逊入库配置费!B:F,5,0)),0,VLOOKUP(D77,亚马逊入库配置费!B:F,5,0))</f>
        <v>0.284897959183673</v>
      </c>
      <c r="AE77" s="102">
        <f t="shared" si="13"/>
        <v>13.675102040816304</v>
      </c>
      <c r="AF77" s="103">
        <v>45713</v>
      </c>
      <c r="AG77" s="91">
        <f t="shared" si="14"/>
        <v>45</v>
      </c>
      <c r="AH77" s="103">
        <v>45713</v>
      </c>
      <c r="AI77" s="103">
        <v>45744</v>
      </c>
      <c r="AJ77" s="96">
        <v>48</v>
      </c>
      <c r="AK77" s="91">
        <f t="shared" si="15"/>
        <v>31</v>
      </c>
      <c r="AL77" s="96">
        <f t="shared" si="16"/>
        <v>76</v>
      </c>
      <c r="AM77" s="92"/>
      <c r="AN77" s="91"/>
      <c r="AO77" s="91"/>
    </row>
    <row r="78" spans="1:41" ht="14.5" x14ac:dyDescent="0.25">
      <c r="A78" s="92" t="s">
        <v>223</v>
      </c>
      <c r="B78" s="91" t="s">
        <v>3314</v>
      </c>
      <c r="C78" s="91" t="s">
        <v>220</v>
      </c>
      <c r="D78" s="92" t="s">
        <v>221</v>
      </c>
      <c r="E78" s="91" t="s">
        <v>115</v>
      </c>
      <c r="F78" s="91" t="s">
        <v>0</v>
      </c>
      <c r="G78" s="56" t="s">
        <v>211</v>
      </c>
      <c r="H78" s="91">
        <v>420</v>
      </c>
      <c r="I78" s="91" t="s">
        <v>207</v>
      </c>
      <c r="J78" s="91" t="s">
        <v>8</v>
      </c>
      <c r="K78" s="92" t="s">
        <v>14</v>
      </c>
      <c r="L78" s="93" t="s">
        <v>3034</v>
      </c>
      <c r="M78" s="94" t="s">
        <v>3312</v>
      </c>
      <c r="N78" s="95" t="s">
        <v>2869</v>
      </c>
      <c r="O78" s="96">
        <v>14</v>
      </c>
      <c r="P78" s="111">
        <f t="shared" si="20"/>
        <v>189.08860759493669</v>
      </c>
      <c r="Q78" s="91" t="s">
        <v>16</v>
      </c>
      <c r="R78" s="91">
        <v>5.9</v>
      </c>
      <c r="S78" s="95"/>
      <c r="T78" s="98"/>
      <c r="U78" s="112">
        <f t="shared" si="21"/>
        <v>1186.5088607594937</v>
      </c>
      <c r="V78" s="113">
        <f t="shared" si="17"/>
        <v>2.8250210970464136</v>
      </c>
      <c r="W78" s="114">
        <f t="shared" si="18"/>
        <v>0.40357444243520196</v>
      </c>
      <c r="X78" s="95"/>
      <c r="Y78" s="95"/>
      <c r="Z78" s="102"/>
      <c r="AA78" s="103">
        <v>45668</v>
      </c>
      <c r="AB78" s="103">
        <v>45697</v>
      </c>
      <c r="AC78" s="103"/>
      <c r="AD78" s="102">
        <f>IF(ISNA(VLOOKUP(D78,亚马逊入库配置费!B:F,5,0)),0,VLOOKUP(D78,亚马逊入库配置费!B:F,5,0))</f>
        <v>0.284897959183673</v>
      </c>
      <c r="AE78" s="102">
        <f t="shared" si="13"/>
        <v>119.65714285714266</v>
      </c>
      <c r="AF78" s="103">
        <v>45713</v>
      </c>
      <c r="AG78" s="91">
        <f t="shared" si="14"/>
        <v>45</v>
      </c>
      <c r="AH78" s="103">
        <v>45713</v>
      </c>
      <c r="AI78" s="103">
        <v>45744</v>
      </c>
      <c r="AJ78" s="117">
        <v>412</v>
      </c>
      <c r="AK78" s="91">
        <f t="shared" si="15"/>
        <v>31</v>
      </c>
      <c r="AL78" s="96">
        <f t="shared" si="16"/>
        <v>76</v>
      </c>
      <c r="AM78" s="92"/>
      <c r="AN78" s="91"/>
      <c r="AO78" s="91"/>
    </row>
    <row r="79" spans="1:41" ht="14.5" x14ac:dyDescent="0.25">
      <c r="A79" s="92" t="s">
        <v>224</v>
      </c>
      <c r="B79" s="91"/>
      <c r="C79" s="91" t="s">
        <v>220</v>
      </c>
      <c r="D79" s="92" t="s">
        <v>221</v>
      </c>
      <c r="E79" s="91" t="s">
        <v>115</v>
      </c>
      <c r="F79" s="91" t="s">
        <v>0</v>
      </c>
      <c r="G79" s="56" t="s">
        <v>213</v>
      </c>
      <c r="H79" s="91">
        <v>30</v>
      </c>
      <c r="I79" s="91" t="s">
        <v>207</v>
      </c>
      <c r="J79" s="91" t="s">
        <v>8</v>
      </c>
      <c r="K79" s="92" t="s">
        <v>14</v>
      </c>
      <c r="L79" s="93" t="s">
        <v>3035</v>
      </c>
      <c r="M79" s="94" t="s">
        <v>3313</v>
      </c>
      <c r="N79" s="95" t="s">
        <v>2869</v>
      </c>
      <c r="O79" s="96">
        <v>1</v>
      </c>
      <c r="P79" s="111">
        <f t="shared" si="20"/>
        <v>13.50632911392405</v>
      </c>
      <c r="Q79" s="91" t="s">
        <v>16</v>
      </c>
      <c r="R79" s="91">
        <v>5.9</v>
      </c>
      <c r="S79" s="95"/>
      <c r="T79" s="98"/>
      <c r="U79" s="112">
        <f t="shared" si="21"/>
        <v>84.750632911392401</v>
      </c>
      <c r="V79" s="113">
        <f t="shared" si="17"/>
        <v>2.8250210970464136</v>
      </c>
      <c r="W79" s="114">
        <f t="shared" si="18"/>
        <v>0.40357444243520196</v>
      </c>
      <c r="X79" s="95"/>
      <c r="Y79" s="95"/>
      <c r="Z79" s="102"/>
      <c r="AA79" s="103">
        <v>45668</v>
      </c>
      <c r="AB79" s="103">
        <v>45697</v>
      </c>
      <c r="AC79" s="103"/>
      <c r="AD79" s="102">
        <f>IF(ISNA(VLOOKUP(D79,亚马逊入库配置费!B:F,5,0)),0,VLOOKUP(D79,亚马逊入库配置费!B:F,5,0))</f>
        <v>0.284897959183673</v>
      </c>
      <c r="AE79" s="102">
        <f t="shared" si="13"/>
        <v>8.5469387755101902</v>
      </c>
      <c r="AF79" s="103">
        <v>45713</v>
      </c>
      <c r="AG79" s="91">
        <f t="shared" si="14"/>
        <v>45</v>
      </c>
      <c r="AH79" s="103">
        <v>45713</v>
      </c>
      <c r="AI79" s="103">
        <v>45744</v>
      </c>
      <c r="AJ79" s="96">
        <v>30</v>
      </c>
      <c r="AK79" s="91">
        <f t="shared" si="15"/>
        <v>31</v>
      </c>
      <c r="AL79" s="96">
        <f t="shared" si="16"/>
        <v>76</v>
      </c>
      <c r="AM79" s="92"/>
      <c r="AN79" s="91"/>
      <c r="AO79" s="91"/>
    </row>
    <row r="80" spans="1:41" ht="14.5" x14ac:dyDescent="0.25">
      <c r="A80" s="92" t="s">
        <v>225</v>
      </c>
      <c r="B80" s="91"/>
      <c r="C80" s="91" t="s">
        <v>220</v>
      </c>
      <c r="D80" s="92" t="s">
        <v>226</v>
      </c>
      <c r="E80" s="91" t="s">
        <v>97</v>
      </c>
      <c r="F80" s="91" t="s">
        <v>0</v>
      </c>
      <c r="G80" s="56" t="s">
        <v>161</v>
      </c>
      <c r="H80" s="91">
        <v>32</v>
      </c>
      <c r="I80" s="91" t="s">
        <v>207</v>
      </c>
      <c r="J80" s="91" t="s">
        <v>8</v>
      </c>
      <c r="K80" s="92" t="s">
        <v>14</v>
      </c>
      <c r="L80" s="93" t="s">
        <v>3024</v>
      </c>
      <c r="M80" s="94" t="s">
        <v>3301</v>
      </c>
      <c r="N80" s="95" t="s">
        <v>2870</v>
      </c>
      <c r="O80" s="96">
        <v>1</v>
      </c>
      <c r="P80" s="111">
        <f t="shared" si="20"/>
        <v>13.50632911392405</v>
      </c>
      <c r="Q80" s="91" t="s">
        <v>16</v>
      </c>
      <c r="R80" s="91">
        <v>5.9</v>
      </c>
      <c r="S80" s="95"/>
      <c r="T80" s="98"/>
      <c r="U80" s="112">
        <f t="shared" si="21"/>
        <v>84.750632911392401</v>
      </c>
      <c r="V80" s="113">
        <f t="shared" si="17"/>
        <v>2.6484572784810125</v>
      </c>
      <c r="W80" s="114">
        <f t="shared" si="18"/>
        <v>0.37835103978300177</v>
      </c>
      <c r="X80" s="95"/>
      <c r="Y80" s="95"/>
      <c r="Z80" s="102"/>
      <c r="AA80" s="103">
        <v>45668</v>
      </c>
      <c r="AB80" s="103">
        <v>45697</v>
      </c>
      <c r="AC80" s="103"/>
      <c r="AD80" s="102">
        <f>IF(ISNA(VLOOKUP(D80,亚马逊入库配置费!B:F,5,0)),0,VLOOKUP(D80,亚马逊入库配置费!B:F,5,0))</f>
        <v>0.24871035940803399</v>
      </c>
      <c r="AE80" s="102">
        <f t="shared" si="13"/>
        <v>7.9587315010570876</v>
      </c>
      <c r="AF80" s="103">
        <v>45713</v>
      </c>
      <c r="AG80" s="91">
        <f t="shared" si="14"/>
        <v>45</v>
      </c>
      <c r="AH80" s="103">
        <v>45713</v>
      </c>
      <c r="AI80" s="103">
        <v>45747</v>
      </c>
      <c r="AJ80" s="96">
        <v>32</v>
      </c>
      <c r="AK80" s="91">
        <f t="shared" si="15"/>
        <v>34</v>
      </c>
      <c r="AL80" s="96">
        <f t="shared" si="16"/>
        <v>79</v>
      </c>
      <c r="AM80" s="92"/>
      <c r="AN80" s="91"/>
      <c r="AO80" s="91"/>
    </row>
    <row r="81" spans="1:41" ht="14.5" x14ac:dyDescent="0.25">
      <c r="A81" s="92" t="s">
        <v>227</v>
      </c>
      <c r="B81" s="91"/>
      <c r="C81" s="91" t="s">
        <v>220</v>
      </c>
      <c r="D81" s="92" t="s">
        <v>226</v>
      </c>
      <c r="E81" s="91" t="s">
        <v>97</v>
      </c>
      <c r="F81" s="91" t="s">
        <v>0</v>
      </c>
      <c r="G81" s="56" t="s">
        <v>228</v>
      </c>
      <c r="H81" s="91">
        <v>200</v>
      </c>
      <c r="I81" s="91" t="s">
        <v>207</v>
      </c>
      <c r="J81" s="91" t="s">
        <v>8</v>
      </c>
      <c r="K81" s="92" t="s">
        <v>14</v>
      </c>
      <c r="L81" s="93" t="s">
        <v>3036</v>
      </c>
      <c r="M81" s="94" t="s">
        <v>3315</v>
      </c>
      <c r="N81" s="95" t="s">
        <v>2870</v>
      </c>
      <c r="O81" s="96">
        <v>10</v>
      </c>
      <c r="P81" s="111">
        <f t="shared" si="20"/>
        <v>135.0632911392405</v>
      </c>
      <c r="Q81" s="91" t="s">
        <v>16</v>
      </c>
      <c r="R81" s="91">
        <v>5.9</v>
      </c>
      <c r="S81" s="95"/>
      <c r="T81" s="98"/>
      <c r="U81" s="112">
        <f t="shared" si="21"/>
        <v>847.50632911392404</v>
      </c>
      <c r="V81" s="113">
        <f t="shared" si="17"/>
        <v>4.2375316455696206</v>
      </c>
      <c r="W81" s="114">
        <f t="shared" si="18"/>
        <v>0.60536166365280297</v>
      </c>
      <c r="X81" s="95"/>
      <c r="Y81" s="95"/>
      <c r="Z81" s="102"/>
      <c r="AA81" s="103">
        <v>45668</v>
      </c>
      <c r="AB81" s="103">
        <v>45697</v>
      </c>
      <c r="AC81" s="103"/>
      <c r="AD81" s="102">
        <f>IF(ISNA(VLOOKUP(D81,亚马逊入库配置费!B:F,5,0)),0,VLOOKUP(D81,亚马逊入库配置费!B:F,5,0))</f>
        <v>0.24871035940803399</v>
      </c>
      <c r="AE81" s="102">
        <f t="shared" si="13"/>
        <v>49.742071881606797</v>
      </c>
      <c r="AF81" s="103">
        <v>45713</v>
      </c>
      <c r="AG81" s="91">
        <f t="shared" si="14"/>
        <v>45</v>
      </c>
      <c r="AH81" s="103">
        <v>45713</v>
      </c>
      <c r="AI81" s="103">
        <v>45747</v>
      </c>
      <c r="AJ81" s="96">
        <v>200</v>
      </c>
      <c r="AK81" s="91">
        <f t="shared" si="15"/>
        <v>34</v>
      </c>
      <c r="AL81" s="96">
        <f t="shared" si="16"/>
        <v>79</v>
      </c>
      <c r="AM81" s="92"/>
      <c r="AN81" s="91"/>
      <c r="AO81" s="91"/>
    </row>
    <row r="82" spans="1:41" ht="14.5" x14ac:dyDescent="0.25">
      <c r="A82" s="92" t="s">
        <v>229</v>
      </c>
      <c r="B82" s="91" t="s">
        <v>3316</v>
      </c>
      <c r="C82" s="91" t="s">
        <v>220</v>
      </c>
      <c r="D82" s="92" t="s">
        <v>226</v>
      </c>
      <c r="E82" s="91" t="s">
        <v>97</v>
      </c>
      <c r="F82" s="91" t="s">
        <v>0</v>
      </c>
      <c r="G82" s="56" t="s">
        <v>163</v>
      </c>
      <c r="H82" s="91">
        <v>1000</v>
      </c>
      <c r="I82" s="91" t="s">
        <v>207</v>
      </c>
      <c r="J82" s="91" t="s">
        <v>8</v>
      </c>
      <c r="K82" s="92" t="s">
        <v>14</v>
      </c>
      <c r="L82" s="93" t="s">
        <v>2881</v>
      </c>
      <c r="M82" s="94" t="s">
        <v>3302</v>
      </c>
      <c r="N82" s="95" t="s">
        <v>2870</v>
      </c>
      <c r="O82" s="96">
        <v>25</v>
      </c>
      <c r="P82" s="111">
        <f t="shared" si="20"/>
        <v>337.65822784810126</v>
      </c>
      <c r="Q82" s="91" t="s">
        <v>16</v>
      </c>
      <c r="R82" s="91">
        <v>5.9</v>
      </c>
      <c r="S82" s="95"/>
      <c r="T82" s="98"/>
      <c r="U82" s="112">
        <f t="shared" si="21"/>
        <v>2118.7658227848101</v>
      </c>
      <c r="V82" s="113">
        <f t="shared" si="17"/>
        <v>2.1187658227848103</v>
      </c>
      <c r="W82" s="114">
        <f t="shared" si="18"/>
        <v>0.30268083182640149</v>
      </c>
      <c r="X82" s="95"/>
      <c r="Y82" s="95"/>
      <c r="Z82" s="102"/>
      <c r="AA82" s="103">
        <v>45668</v>
      </c>
      <c r="AB82" s="103">
        <v>45697</v>
      </c>
      <c r="AC82" s="103"/>
      <c r="AD82" s="102">
        <f>IF(ISNA(VLOOKUP(D82,亚马逊入库配置费!B:F,5,0)),0,VLOOKUP(D82,亚马逊入库配置费!B:F,5,0))</f>
        <v>0.24871035940803399</v>
      </c>
      <c r="AE82" s="102">
        <f t="shared" si="13"/>
        <v>248.71035940803398</v>
      </c>
      <c r="AF82" s="103">
        <v>45713</v>
      </c>
      <c r="AG82" s="91">
        <f t="shared" si="14"/>
        <v>45</v>
      </c>
      <c r="AH82" s="103">
        <v>45713</v>
      </c>
      <c r="AI82" s="103">
        <v>45747</v>
      </c>
      <c r="AJ82" s="117">
        <v>996</v>
      </c>
      <c r="AK82" s="91">
        <f t="shared" si="15"/>
        <v>34</v>
      </c>
      <c r="AL82" s="96">
        <f t="shared" si="16"/>
        <v>79</v>
      </c>
      <c r="AM82" s="92"/>
      <c r="AN82" s="91"/>
      <c r="AO82" s="91"/>
    </row>
    <row r="83" spans="1:41" ht="14.5" x14ac:dyDescent="0.25">
      <c r="A83" s="92" t="s">
        <v>230</v>
      </c>
      <c r="B83" s="91"/>
      <c r="C83" s="91" t="s">
        <v>220</v>
      </c>
      <c r="D83" s="92" t="s">
        <v>226</v>
      </c>
      <c r="E83" s="91" t="s">
        <v>97</v>
      </c>
      <c r="F83" s="91" t="s">
        <v>0</v>
      </c>
      <c r="G83" s="56" t="s">
        <v>231</v>
      </c>
      <c r="H83" s="91">
        <v>60</v>
      </c>
      <c r="I83" s="91" t="s">
        <v>207</v>
      </c>
      <c r="J83" s="91" t="s">
        <v>8</v>
      </c>
      <c r="K83" s="92" t="s">
        <v>14</v>
      </c>
      <c r="L83" s="93" t="s">
        <v>3037</v>
      </c>
      <c r="M83" s="94" t="s">
        <v>3207</v>
      </c>
      <c r="N83" s="95" t="s">
        <v>2870</v>
      </c>
      <c r="O83" s="96">
        <v>3</v>
      </c>
      <c r="P83" s="111">
        <f t="shared" si="20"/>
        <v>40.518987341772146</v>
      </c>
      <c r="Q83" s="91" t="s">
        <v>16</v>
      </c>
      <c r="R83" s="91">
        <v>5.9</v>
      </c>
      <c r="S83" s="95"/>
      <c r="T83" s="98"/>
      <c r="U83" s="112">
        <f t="shared" si="21"/>
        <v>254.25189873417719</v>
      </c>
      <c r="V83" s="113">
        <f t="shared" si="17"/>
        <v>4.2375316455696197</v>
      </c>
      <c r="W83" s="114">
        <f t="shared" si="18"/>
        <v>0.60536166365280286</v>
      </c>
      <c r="X83" s="95"/>
      <c r="Y83" s="95"/>
      <c r="Z83" s="102"/>
      <c r="AA83" s="103">
        <v>45668</v>
      </c>
      <c r="AB83" s="103">
        <v>45697</v>
      </c>
      <c r="AC83" s="103"/>
      <c r="AD83" s="102">
        <f>IF(ISNA(VLOOKUP(D83,亚马逊入库配置费!B:F,5,0)),0,VLOOKUP(D83,亚马逊入库配置费!B:F,5,0))</f>
        <v>0.24871035940803399</v>
      </c>
      <c r="AE83" s="102">
        <f t="shared" si="13"/>
        <v>14.922621564482039</v>
      </c>
      <c r="AF83" s="103">
        <v>45713</v>
      </c>
      <c r="AG83" s="91">
        <f t="shared" si="14"/>
        <v>45</v>
      </c>
      <c r="AH83" s="103">
        <v>45713</v>
      </c>
      <c r="AI83" s="103">
        <v>45747</v>
      </c>
      <c r="AJ83" s="96">
        <v>60</v>
      </c>
      <c r="AK83" s="91">
        <f t="shared" si="15"/>
        <v>34</v>
      </c>
      <c r="AL83" s="96">
        <f t="shared" si="16"/>
        <v>79</v>
      </c>
      <c r="AM83" s="92"/>
      <c r="AN83" s="91"/>
      <c r="AO83" s="91"/>
    </row>
    <row r="84" spans="1:41" ht="14.5" x14ac:dyDescent="0.25">
      <c r="A84" s="92" t="s">
        <v>232</v>
      </c>
      <c r="B84" s="91" t="s">
        <v>3317</v>
      </c>
      <c r="C84" s="91" t="s">
        <v>220</v>
      </c>
      <c r="D84" s="92" t="s">
        <v>226</v>
      </c>
      <c r="E84" s="91" t="s">
        <v>97</v>
      </c>
      <c r="F84" s="91" t="s">
        <v>0</v>
      </c>
      <c r="G84" s="56" t="s">
        <v>165</v>
      </c>
      <c r="H84" s="91">
        <v>480</v>
      </c>
      <c r="I84" s="91" t="s">
        <v>207</v>
      </c>
      <c r="J84" s="91" t="s">
        <v>8</v>
      </c>
      <c r="K84" s="92" t="s">
        <v>14</v>
      </c>
      <c r="L84" s="93" t="s">
        <v>2880</v>
      </c>
      <c r="M84" s="94" t="s">
        <v>3209</v>
      </c>
      <c r="N84" s="95" t="s">
        <v>2870</v>
      </c>
      <c r="O84" s="96">
        <v>12</v>
      </c>
      <c r="P84" s="111">
        <f t="shared" si="20"/>
        <v>162.07594936708858</v>
      </c>
      <c r="Q84" s="91" t="s">
        <v>16</v>
      </c>
      <c r="R84" s="91">
        <v>5.9</v>
      </c>
      <c r="S84" s="95"/>
      <c r="T84" s="98"/>
      <c r="U84" s="112">
        <f t="shared" si="21"/>
        <v>1017.0075949367088</v>
      </c>
      <c r="V84" s="113">
        <f t="shared" si="17"/>
        <v>2.1187658227848098</v>
      </c>
      <c r="W84" s="114">
        <f t="shared" si="18"/>
        <v>0.30268083182640143</v>
      </c>
      <c r="X84" s="95"/>
      <c r="Y84" s="95"/>
      <c r="Z84" s="102"/>
      <c r="AA84" s="103">
        <v>45668</v>
      </c>
      <c r="AB84" s="103">
        <v>45697</v>
      </c>
      <c r="AC84" s="103"/>
      <c r="AD84" s="102">
        <f>IF(ISNA(VLOOKUP(D84,亚马逊入库配置费!B:F,5,0)),0,VLOOKUP(D84,亚马逊入库配置费!B:F,5,0))</f>
        <v>0.24871035940803399</v>
      </c>
      <c r="AE84" s="102">
        <f t="shared" si="13"/>
        <v>119.38097251585631</v>
      </c>
      <c r="AF84" s="103">
        <v>45713</v>
      </c>
      <c r="AG84" s="91">
        <f t="shared" si="14"/>
        <v>45</v>
      </c>
      <c r="AH84" s="103">
        <v>45713</v>
      </c>
      <c r="AI84" s="103">
        <v>45747</v>
      </c>
      <c r="AJ84" s="117">
        <v>476</v>
      </c>
      <c r="AK84" s="91">
        <f t="shared" si="15"/>
        <v>34</v>
      </c>
      <c r="AL84" s="96">
        <f t="shared" si="16"/>
        <v>79</v>
      </c>
      <c r="AM84" s="92"/>
      <c r="AN84" s="91"/>
      <c r="AO84" s="91"/>
    </row>
    <row r="85" spans="1:41" ht="14.5" x14ac:dyDescent="0.25">
      <c r="A85" s="92" t="s">
        <v>233</v>
      </c>
      <c r="B85" s="91"/>
      <c r="C85" s="91" t="s">
        <v>220</v>
      </c>
      <c r="D85" s="92" t="s">
        <v>226</v>
      </c>
      <c r="E85" s="91" t="s">
        <v>97</v>
      </c>
      <c r="F85" s="91" t="s">
        <v>0</v>
      </c>
      <c r="G85" s="56" t="s">
        <v>169</v>
      </c>
      <c r="H85" s="91">
        <v>30</v>
      </c>
      <c r="I85" s="91" t="s">
        <v>207</v>
      </c>
      <c r="J85" s="91" t="s">
        <v>8</v>
      </c>
      <c r="K85" s="92" t="s">
        <v>14</v>
      </c>
      <c r="L85" s="93" t="s">
        <v>3026</v>
      </c>
      <c r="M85" s="94" t="s">
        <v>3211</v>
      </c>
      <c r="N85" s="95" t="s">
        <v>2876</v>
      </c>
      <c r="O85" s="96">
        <v>1</v>
      </c>
      <c r="P85" s="111">
        <f t="shared" si="20"/>
        <v>13.50632911392405</v>
      </c>
      <c r="Q85" s="91" t="s">
        <v>16</v>
      </c>
      <c r="R85" s="91">
        <v>5.9</v>
      </c>
      <c r="S85" s="95"/>
      <c r="T85" s="98"/>
      <c r="U85" s="112">
        <f t="shared" si="21"/>
        <v>84.750632911392401</v>
      </c>
      <c r="V85" s="113">
        <f t="shared" si="17"/>
        <v>2.8250210970464136</v>
      </c>
      <c r="W85" s="114">
        <f t="shared" si="18"/>
        <v>0.40357444243520196</v>
      </c>
      <c r="X85" s="95"/>
      <c r="Y85" s="95"/>
      <c r="Z85" s="102"/>
      <c r="AA85" s="103">
        <v>45668</v>
      </c>
      <c r="AB85" s="103">
        <v>45697</v>
      </c>
      <c r="AC85" s="103"/>
      <c r="AD85" s="102">
        <f>IF(ISNA(VLOOKUP(D85,亚马逊入库配置费!B:F,5,0)),0,VLOOKUP(D85,亚马逊入库配置费!B:F,5,0))</f>
        <v>0.24871035940803399</v>
      </c>
      <c r="AE85" s="102">
        <f t="shared" si="13"/>
        <v>7.4613107822410196</v>
      </c>
      <c r="AF85" s="103">
        <v>45713</v>
      </c>
      <c r="AG85" s="91">
        <f t="shared" si="14"/>
        <v>45</v>
      </c>
      <c r="AH85" s="103">
        <v>45713</v>
      </c>
      <c r="AI85" s="103">
        <v>45747</v>
      </c>
      <c r="AJ85" s="96">
        <v>30</v>
      </c>
      <c r="AK85" s="91">
        <f t="shared" si="15"/>
        <v>34</v>
      </c>
      <c r="AL85" s="96">
        <f t="shared" si="16"/>
        <v>79</v>
      </c>
      <c r="AM85" s="92"/>
      <c r="AN85" s="91"/>
      <c r="AO85" s="91"/>
    </row>
    <row r="86" spans="1:41" ht="14.5" x14ac:dyDescent="0.25">
      <c r="A86" s="92" t="s">
        <v>234</v>
      </c>
      <c r="B86" s="91"/>
      <c r="C86" s="91" t="s">
        <v>220</v>
      </c>
      <c r="D86" s="92" t="s">
        <v>226</v>
      </c>
      <c r="E86" s="91" t="s">
        <v>97</v>
      </c>
      <c r="F86" s="91" t="s">
        <v>0</v>
      </c>
      <c r="G86" s="56" t="s">
        <v>178</v>
      </c>
      <c r="H86" s="91">
        <v>90</v>
      </c>
      <c r="I86" s="91" t="s">
        <v>207</v>
      </c>
      <c r="J86" s="91" t="s">
        <v>8</v>
      </c>
      <c r="K86" s="92" t="s">
        <v>14</v>
      </c>
      <c r="L86" s="93" t="s">
        <v>3030</v>
      </c>
      <c r="M86" s="94" t="s">
        <v>3307</v>
      </c>
      <c r="N86" s="95" t="s">
        <v>2876</v>
      </c>
      <c r="O86" s="96">
        <v>3</v>
      </c>
      <c r="P86" s="111">
        <f t="shared" si="20"/>
        <v>40.518987341772146</v>
      </c>
      <c r="Q86" s="91" t="s">
        <v>16</v>
      </c>
      <c r="R86" s="91">
        <v>5.9</v>
      </c>
      <c r="S86" s="95"/>
      <c r="T86" s="98"/>
      <c r="U86" s="112">
        <f t="shared" si="21"/>
        <v>254.25189873417719</v>
      </c>
      <c r="V86" s="113">
        <f t="shared" si="17"/>
        <v>2.8250210970464131</v>
      </c>
      <c r="W86" s="114">
        <f t="shared" si="18"/>
        <v>0.40357444243520185</v>
      </c>
      <c r="X86" s="95"/>
      <c r="Y86" s="95"/>
      <c r="Z86" s="102"/>
      <c r="AA86" s="103">
        <v>45668</v>
      </c>
      <c r="AB86" s="103">
        <v>45697</v>
      </c>
      <c r="AC86" s="103"/>
      <c r="AD86" s="102">
        <f>IF(ISNA(VLOOKUP(D86,亚马逊入库配置费!B:F,5,0)),0,VLOOKUP(D86,亚马逊入库配置费!B:F,5,0))</f>
        <v>0.24871035940803399</v>
      </c>
      <c r="AE86" s="102">
        <f t="shared" si="13"/>
        <v>22.383932346723057</v>
      </c>
      <c r="AF86" s="103">
        <v>45713</v>
      </c>
      <c r="AG86" s="91">
        <f t="shared" si="14"/>
        <v>45</v>
      </c>
      <c r="AH86" s="103">
        <v>45713</v>
      </c>
      <c r="AI86" s="103">
        <v>45747</v>
      </c>
      <c r="AJ86" s="96">
        <v>90</v>
      </c>
      <c r="AK86" s="91">
        <f t="shared" si="15"/>
        <v>34</v>
      </c>
      <c r="AL86" s="96">
        <f t="shared" si="16"/>
        <v>79</v>
      </c>
      <c r="AM86" s="92"/>
      <c r="AN86" s="91"/>
      <c r="AO86" s="91"/>
    </row>
    <row r="87" spans="1:41" ht="14.5" x14ac:dyDescent="0.25">
      <c r="A87" s="92" t="s">
        <v>235</v>
      </c>
      <c r="B87" s="91" t="s">
        <v>3318</v>
      </c>
      <c r="C87" s="91" t="s">
        <v>204</v>
      </c>
      <c r="D87" s="92" t="s">
        <v>236</v>
      </c>
      <c r="E87" s="91" t="s">
        <v>97</v>
      </c>
      <c r="F87" s="91" t="s">
        <v>0</v>
      </c>
      <c r="G87" s="56" t="s">
        <v>161</v>
      </c>
      <c r="H87" s="91">
        <v>64</v>
      </c>
      <c r="I87" s="91" t="s">
        <v>207</v>
      </c>
      <c r="J87" s="91" t="s">
        <v>8</v>
      </c>
      <c r="K87" s="92" t="s">
        <v>11</v>
      </c>
      <c r="L87" s="93" t="s">
        <v>3024</v>
      </c>
      <c r="M87" s="94" t="s">
        <v>3301</v>
      </c>
      <c r="N87" s="95" t="s">
        <v>2870</v>
      </c>
      <c r="O87" s="96">
        <v>2</v>
      </c>
      <c r="P87" s="111">
        <f t="shared" ref="P87:P93" si="22">1258/93*O87</f>
        <v>27.053763440860216</v>
      </c>
      <c r="Q87" s="91" t="s">
        <v>16</v>
      </c>
      <c r="R87" s="91">
        <v>4.8</v>
      </c>
      <c r="S87" s="95"/>
      <c r="T87" s="98"/>
      <c r="U87" s="112">
        <f t="shared" ref="U87:U100" si="23">R87*P87+400/161*O87</f>
        <v>134.82700861550791</v>
      </c>
      <c r="V87" s="113">
        <f t="shared" si="17"/>
        <v>2.106672009617311</v>
      </c>
      <c r="W87" s="114">
        <f t="shared" si="18"/>
        <v>0.30095314423104441</v>
      </c>
      <c r="X87" s="95"/>
      <c r="Y87" s="95"/>
      <c r="Z87" s="102"/>
      <c r="AA87" s="103">
        <v>45668</v>
      </c>
      <c r="AB87" s="103">
        <v>45697</v>
      </c>
      <c r="AC87" s="103"/>
      <c r="AD87" s="102">
        <f>IF(ISNA(VLOOKUP(D87,亚马逊入库配置费!B:F,5,0)),0,VLOOKUP(D87,亚马逊入库配置费!B:F,5,0))</f>
        <v>0.24937101185050101</v>
      </c>
      <c r="AE87" s="102">
        <f t="shared" si="13"/>
        <v>15.959744758432064</v>
      </c>
      <c r="AF87" s="103">
        <v>45715</v>
      </c>
      <c r="AG87" s="91">
        <f t="shared" si="14"/>
        <v>47</v>
      </c>
      <c r="AH87" s="103">
        <v>45715</v>
      </c>
      <c r="AI87" s="103">
        <v>45747</v>
      </c>
      <c r="AJ87" s="117">
        <v>63</v>
      </c>
      <c r="AK87" s="91">
        <f t="shared" si="15"/>
        <v>32</v>
      </c>
      <c r="AL87" s="96">
        <f t="shared" si="16"/>
        <v>79</v>
      </c>
      <c r="AM87" s="92"/>
      <c r="AN87" s="91"/>
      <c r="AO87" s="91"/>
    </row>
    <row r="88" spans="1:41" ht="14.5" x14ac:dyDescent="0.25">
      <c r="A88" s="92" t="s">
        <v>237</v>
      </c>
      <c r="B88" s="91" t="s">
        <v>3319</v>
      </c>
      <c r="C88" s="91" t="s">
        <v>204</v>
      </c>
      <c r="D88" s="92" t="s">
        <v>236</v>
      </c>
      <c r="E88" s="91" t="s">
        <v>97</v>
      </c>
      <c r="F88" s="91" t="s">
        <v>0</v>
      </c>
      <c r="G88" s="56" t="s">
        <v>228</v>
      </c>
      <c r="H88" s="91">
        <v>220</v>
      </c>
      <c r="I88" s="91" t="s">
        <v>207</v>
      </c>
      <c r="J88" s="91" t="s">
        <v>8</v>
      </c>
      <c r="K88" s="92" t="s">
        <v>11</v>
      </c>
      <c r="L88" s="93" t="s">
        <v>3036</v>
      </c>
      <c r="M88" s="94" t="s">
        <v>3315</v>
      </c>
      <c r="N88" s="95" t="s">
        <v>2870</v>
      </c>
      <c r="O88" s="96">
        <v>11</v>
      </c>
      <c r="P88" s="111">
        <f t="shared" si="22"/>
        <v>148.7956989247312</v>
      </c>
      <c r="Q88" s="91" t="s">
        <v>16</v>
      </c>
      <c r="R88" s="91">
        <v>4.8</v>
      </c>
      <c r="S88" s="95"/>
      <c r="T88" s="98"/>
      <c r="U88" s="112">
        <f t="shared" si="23"/>
        <v>741.54854738529355</v>
      </c>
      <c r="V88" s="113">
        <f t="shared" si="17"/>
        <v>3.3706752153876978</v>
      </c>
      <c r="W88" s="114">
        <f t="shared" si="18"/>
        <v>0.48152503076967113</v>
      </c>
      <c r="X88" s="95"/>
      <c r="Y88" s="95"/>
      <c r="Z88" s="102"/>
      <c r="AA88" s="103">
        <v>45668</v>
      </c>
      <c r="AB88" s="103">
        <v>45697</v>
      </c>
      <c r="AC88" s="103"/>
      <c r="AD88" s="102">
        <f>IF(ISNA(VLOOKUP(D88,亚马逊入库配置费!B:F,5,0)),0,VLOOKUP(D88,亚马逊入库配置费!B:F,5,0))</f>
        <v>0.24937101185050101</v>
      </c>
      <c r="AE88" s="102">
        <f t="shared" si="13"/>
        <v>54.86162260711022</v>
      </c>
      <c r="AF88" s="103">
        <v>45715</v>
      </c>
      <c r="AG88" s="91">
        <f t="shared" si="14"/>
        <v>47</v>
      </c>
      <c r="AH88" s="103">
        <v>45715</v>
      </c>
      <c r="AI88" s="103">
        <v>45747</v>
      </c>
      <c r="AJ88" s="117">
        <v>220</v>
      </c>
      <c r="AK88" s="91">
        <f t="shared" si="15"/>
        <v>32</v>
      </c>
      <c r="AL88" s="96">
        <f t="shared" si="16"/>
        <v>79</v>
      </c>
      <c r="AM88" s="92"/>
      <c r="AN88" s="91"/>
      <c r="AO88" s="91"/>
    </row>
    <row r="89" spans="1:41" ht="14.5" x14ac:dyDescent="0.25">
      <c r="A89" s="92" t="s">
        <v>238</v>
      </c>
      <c r="B89" s="91"/>
      <c r="C89" s="91" t="s">
        <v>204</v>
      </c>
      <c r="D89" s="92" t="s">
        <v>236</v>
      </c>
      <c r="E89" s="91" t="s">
        <v>97</v>
      </c>
      <c r="F89" s="91" t="s">
        <v>0</v>
      </c>
      <c r="G89" s="56" t="s">
        <v>163</v>
      </c>
      <c r="H89" s="91">
        <v>1160</v>
      </c>
      <c r="I89" s="91" t="s">
        <v>207</v>
      </c>
      <c r="J89" s="91" t="s">
        <v>8</v>
      </c>
      <c r="K89" s="92" t="s">
        <v>11</v>
      </c>
      <c r="L89" s="93" t="s">
        <v>2881</v>
      </c>
      <c r="M89" s="94" t="s">
        <v>3302</v>
      </c>
      <c r="N89" s="95" t="s">
        <v>2870</v>
      </c>
      <c r="O89" s="96">
        <v>29</v>
      </c>
      <c r="P89" s="111">
        <f t="shared" si="22"/>
        <v>392.27956989247315</v>
      </c>
      <c r="Q89" s="91" t="s">
        <v>16</v>
      </c>
      <c r="R89" s="91">
        <v>4.8</v>
      </c>
      <c r="S89" s="95"/>
      <c r="T89" s="98"/>
      <c r="U89" s="112">
        <f t="shared" si="23"/>
        <v>1954.9916249248647</v>
      </c>
      <c r="V89" s="113">
        <f t="shared" si="17"/>
        <v>1.6853376076938489</v>
      </c>
      <c r="W89" s="114">
        <f t="shared" si="18"/>
        <v>0.24076251538483556</v>
      </c>
      <c r="X89" s="95"/>
      <c r="Y89" s="95"/>
      <c r="Z89" s="102"/>
      <c r="AA89" s="103">
        <v>45668</v>
      </c>
      <c r="AB89" s="103">
        <v>45697</v>
      </c>
      <c r="AC89" s="103"/>
      <c r="AD89" s="102">
        <f>IF(ISNA(VLOOKUP(D89,亚马逊入库配置费!B:F,5,0)),0,VLOOKUP(D89,亚马逊入库配置费!B:F,5,0))</f>
        <v>0.24937101185050101</v>
      </c>
      <c r="AE89" s="102">
        <f t="shared" si="13"/>
        <v>289.27037374658119</v>
      </c>
      <c r="AF89" s="103">
        <v>45715</v>
      </c>
      <c r="AG89" s="91">
        <f t="shared" si="14"/>
        <v>47</v>
      </c>
      <c r="AH89" s="103">
        <v>45715</v>
      </c>
      <c r="AI89" s="103">
        <v>45747</v>
      </c>
      <c r="AJ89" s="96">
        <v>1160</v>
      </c>
      <c r="AK89" s="91">
        <f t="shared" si="15"/>
        <v>32</v>
      </c>
      <c r="AL89" s="96">
        <f t="shared" si="16"/>
        <v>79</v>
      </c>
      <c r="AM89" s="92"/>
      <c r="AN89" s="91"/>
      <c r="AO89" s="91"/>
    </row>
    <row r="90" spans="1:41" ht="14.5" x14ac:dyDescent="0.25">
      <c r="A90" s="92" t="s">
        <v>239</v>
      </c>
      <c r="B90" s="91" t="s">
        <v>3320</v>
      </c>
      <c r="C90" s="91" t="s">
        <v>204</v>
      </c>
      <c r="D90" s="92" t="s">
        <v>236</v>
      </c>
      <c r="E90" s="91" t="s">
        <v>97</v>
      </c>
      <c r="F90" s="91" t="s">
        <v>0</v>
      </c>
      <c r="G90" s="56" t="s">
        <v>231</v>
      </c>
      <c r="H90" s="91">
        <v>80</v>
      </c>
      <c r="I90" s="91" t="s">
        <v>207</v>
      </c>
      <c r="J90" s="91" t="s">
        <v>8</v>
      </c>
      <c r="K90" s="92" t="s">
        <v>11</v>
      </c>
      <c r="L90" s="93" t="s">
        <v>3037</v>
      </c>
      <c r="M90" s="94" t="s">
        <v>3207</v>
      </c>
      <c r="N90" s="95" t="s">
        <v>2870</v>
      </c>
      <c r="O90" s="96">
        <v>4</v>
      </c>
      <c r="P90" s="111">
        <f t="shared" si="22"/>
        <v>54.107526881720432</v>
      </c>
      <c r="Q90" s="91" t="s">
        <v>16</v>
      </c>
      <c r="R90" s="91">
        <v>4.8</v>
      </c>
      <c r="S90" s="95"/>
      <c r="T90" s="98"/>
      <c r="U90" s="112">
        <f t="shared" si="23"/>
        <v>269.65401723101581</v>
      </c>
      <c r="V90" s="113">
        <f t="shared" si="17"/>
        <v>3.3706752153876978</v>
      </c>
      <c r="W90" s="114">
        <f t="shared" si="18"/>
        <v>0.48152503076967113</v>
      </c>
      <c r="X90" s="95"/>
      <c r="Y90" s="95"/>
      <c r="Z90" s="102"/>
      <c r="AA90" s="103">
        <v>45668</v>
      </c>
      <c r="AB90" s="103">
        <v>45697</v>
      </c>
      <c r="AC90" s="103"/>
      <c r="AD90" s="102">
        <f>IF(ISNA(VLOOKUP(D90,亚马逊入库配置费!B:F,5,0)),0,VLOOKUP(D90,亚马逊入库配置费!B:F,5,0))</f>
        <v>0.24937101185050101</v>
      </c>
      <c r="AE90" s="102">
        <f t="shared" si="13"/>
        <v>19.949680948040079</v>
      </c>
      <c r="AF90" s="103">
        <v>45715</v>
      </c>
      <c r="AG90" s="91">
        <f t="shared" si="14"/>
        <v>47</v>
      </c>
      <c r="AH90" s="103">
        <v>45715</v>
      </c>
      <c r="AI90" s="103">
        <v>45747</v>
      </c>
      <c r="AJ90" s="117">
        <v>78</v>
      </c>
      <c r="AK90" s="91">
        <f t="shared" si="15"/>
        <v>32</v>
      </c>
      <c r="AL90" s="96">
        <f t="shared" si="16"/>
        <v>79</v>
      </c>
      <c r="AM90" s="92"/>
      <c r="AN90" s="91"/>
      <c r="AO90" s="91"/>
    </row>
    <row r="91" spans="1:41" ht="14.5" x14ac:dyDescent="0.25">
      <c r="A91" s="92" t="s">
        <v>240</v>
      </c>
      <c r="B91" s="91"/>
      <c r="C91" s="91" t="s">
        <v>204</v>
      </c>
      <c r="D91" s="92" t="s">
        <v>236</v>
      </c>
      <c r="E91" s="91" t="s">
        <v>97</v>
      </c>
      <c r="F91" s="91" t="s">
        <v>0</v>
      </c>
      <c r="G91" s="56" t="s">
        <v>165</v>
      </c>
      <c r="H91" s="91">
        <v>520</v>
      </c>
      <c r="I91" s="91" t="s">
        <v>207</v>
      </c>
      <c r="J91" s="91" t="s">
        <v>8</v>
      </c>
      <c r="K91" s="92" t="s">
        <v>11</v>
      </c>
      <c r="L91" s="93" t="s">
        <v>2880</v>
      </c>
      <c r="M91" s="94" t="s">
        <v>3209</v>
      </c>
      <c r="N91" s="95" t="s">
        <v>2870</v>
      </c>
      <c r="O91" s="96">
        <v>13</v>
      </c>
      <c r="P91" s="111">
        <f t="shared" si="22"/>
        <v>175.84946236559139</v>
      </c>
      <c r="Q91" s="91" t="s">
        <v>16</v>
      </c>
      <c r="R91" s="91">
        <v>4.8</v>
      </c>
      <c r="S91" s="95"/>
      <c r="T91" s="98"/>
      <c r="U91" s="112">
        <f t="shared" si="23"/>
        <v>876.37555600080134</v>
      </c>
      <c r="V91" s="113">
        <f t="shared" si="17"/>
        <v>1.6853376076938487</v>
      </c>
      <c r="W91" s="114">
        <f t="shared" si="18"/>
        <v>0.24076251538483553</v>
      </c>
      <c r="X91" s="95"/>
      <c r="Y91" s="95"/>
      <c r="Z91" s="102"/>
      <c r="AA91" s="103">
        <v>45668</v>
      </c>
      <c r="AB91" s="103">
        <v>45697</v>
      </c>
      <c r="AC91" s="103"/>
      <c r="AD91" s="102">
        <f>IF(ISNA(VLOOKUP(D91,亚马逊入库配置费!B:F,5,0)),0,VLOOKUP(D91,亚马逊入库配置费!B:F,5,0))</f>
        <v>0.24937101185050101</v>
      </c>
      <c r="AE91" s="102">
        <f t="shared" si="13"/>
        <v>129.67292616226052</v>
      </c>
      <c r="AF91" s="103">
        <v>45715</v>
      </c>
      <c r="AG91" s="91">
        <f t="shared" si="14"/>
        <v>47</v>
      </c>
      <c r="AH91" s="103">
        <v>45715</v>
      </c>
      <c r="AI91" s="103">
        <v>45747</v>
      </c>
      <c r="AJ91" s="96">
        <v>520</v>
      </c>
      <c r="AK91" s="91">
        <f t="shared" si="15"/>
        <v>32</v>
      </c>
      <c r="AL91" s="96">
        <f t="shared" si="16"/>
        <v>79</v>
      </c>
      <c r="AM91" s="92"/>
      <c r="AN91" s="91"/>
      <c r="AO91" s="91"/>
    </row>
    <row r="92" spans="1:41" ht="14.5" x14ac:dyDescent="0.25">
      <c r="A92" s="92" t="s">
        <v>241</v>
      </c>
      <c r="B92" s="91"/>
      <c r="C92" s="91" t="s">
        <v>204</v>
      </c>
      <c r="D92" s="92" t="s">
        <v>236</v>
      </c>
      <c r="E92" s="91" t="s">
        <v>97</v>
      </c>
      <c r="F92" s="91" t="s">
        <v>0</v>
      </c>
      <c r="G92" s="56" t="s">
        <v>169</v>
      </c>
      <c r="H92" s="91">
        <v>30</v>
      </c>
      <c r="I92" s="91" t="s">
        <v>207</v>
      </c>
      <c r="J92" s="91" t="s">
        <v>8</v>
      </c>
      <c r="K92" s="92" t="s">
        <v>11</v>
      </c>
      <c r="L92" s="93" t="s">
        <v>3026</v>
      </c>
      <c r="M92" s="94" t="s">
        <v>3211</v>
      </c>
      <c r="N92" s="95" t="s">
        <v>2876</v>
      </c>
      <c r="O92" s="96">
        <v>1</v>
      </c>
      <c r="P92" s="111">
        <f t="shared" si="22"/>
        <v>13.526881720430108</v>
      </c>
      <c r="Q92" s="91" t="s">
        <v>16</v>
      </c>
      <c r="R92" s="91">
        <v>4.8</v>
      </c>
      <c r="S92" s="95"/>
      <c r="T92" s="98"/>
      <c r="U92" s="112">
        <f t="shared" si="23"/>
        <v>67.413504307753954</v>
      </c>
      <c r="V92" s="113">
        <f t="shared" si="17"/>
        <v>2.2471168102584653</v>
      </c>
      <c r="W92" s="114">
        <f t="shared" si="18"/>
        <v>0.32101668717978077</v>
      </c>
      <c r="X92" s="95"/>
      <c r="Y92" s="95"/>
      <c r="Z92" s="102"/>
      <c r="AA92" s="103">
        <v>45668</v>
      </c>
      <c r="AB92" s="103">
        <v>45697</v>
      </c>
      <c r="AC92" s="103"/>
      <c r="AD92" s="102">
        <f>IF(ISNA(VLOOKUP(D92,亚马逊入库配置费!B:F,5,0)),0,VLOOKUP(D92,亚马逊入库配置费!B:F,5,0))</f>
        <v>0.24937101185050101</v>
      </c>
      <c r="AE92" s="102">
        <f t="shared" si="13"/>
        <v>7.4811303555150301</v>
      </c>
      <c r="AF92" s="103">
        <v>45715</v>
      </c>
      <c r="AG92" s="91">
        <f t="shared" si="14"/>
        <v>47</v>
      </c>
      <c r="AH92" s="103">
        <v>45715</v>
      </c>
      <c r="AI92" s="103">
        <v>45747</v>
      </c>
      <c r="AJ92" s="96">
        <v>30</v>
      </c>
      <c r="AK92" s="91">
        <f t="shared" si="15"/>
        <v>32</v>
      </c>
      <c r="AL92" s="96">
        <f t="shared" si="16"/>
        <v>79</v>
      </c>
      <c r="AM92" s="92"/>
      <c r="AN92" s="91"/>
      <c r="AO92" s="91"/>
    </row>
    <row r="93" spans="1:41" ht="14.5" x14ac:dyDescent="0.25">
      <c r="A93" s="92" t="s">
        <v>242</v>
      </c>
      <c r="B93" s="91"/>
      <c r="C93" s="91" t="s">
        <v>204</v>
      </c>
      <c r="D93" s="92" t="s">
        <v>236</v>
      </c>
      <c r="E93" s="91" t="s">
        <v>97</v>
      </c>
      <c r="F93" s="91" t="s">
        <v>0</v>
      </c>
      <c r="G93" s="56" t="s">
        <v>178</v>
      </c>
      <c r="H93" s="91">
        <v>120</v>
      </c>
      <c r="I93" s="91" t="s">
        <v>207</v>
      </c>
      <c r="J93" s="91" t="s">
        <v>8</v>
      </c>
      <c r="K93" s="92" t="s">
        <v>11</v>
      </c>
      <c r="L93" s="93" t="s">
        <v>3030</v>
      </c>
      <c r="M93" s="94" t="s">
        <v>3307</v>
      </c>
      <c r="N93" s="95" t="s">
        <v>2876</v>
      </c>
      <c r="O93" s="96">
        <v>4</v>
      </c>
      <c r="P93" s="111">
        <f t="shared" si="22"/>
        <v>54.107526881720432</v>
      </c>
      <c r="Q93" s="91" t="s">
        <v>16</v>
      </c>
      <c r="R93" s="91">
        <v>4.8</v>
      </c>
      <c r="S93" s="95"/>
      <c r="T93" s="98"/>
      <c r="U93" s="112">
        <f t="shared" si="23"/>
        <v>269.65401723101581</v>
      </c>
      <c r="V93" s="113">
        <f t="shared" si="17"/>
        <v>2.2471168102584653</v>
      </c>
      <c r="W93" s="114">
        <f t="shared" si="18"/>
        <v>0.32101668717978077</v>
      </c>
      <c r="X93" s="95"/>
      <c r="Y93" s="95"/>
      <c r="Z93" s="102"/>
      <c r="AA93" s="103">
        <v>45668</v>
      </c>
      <c r="AB93" s="103">
        <v>45697</v>
      </c>
      <c r="AC93" s="103"/>
      <c r="AD93" s="102">
        <f>IF(ISNA(VLOOKUP(D93,亚马逊入库配置费!B:F,5,0)),0,VLOOKUP(D93,亚马逊入库配置费!B:F,5,0))</f>
        <v>0.24937101185050101</v>
      </c>
      <c r="AE93" s="102">
        <f t="shared" si="13"/>
        <v>29.924521422060121</v>
      </c>
      <c r="AF93" s="103">
        <v>45715</v>
      </c>
      <c r="AG93" s="91">
        <f t="shared" si="14"/>
        <v>47</v>
      </c>
      <c r="AH93" s="103">
        <v>45715</v>
      </c>
      <c r="AI93" s="103">
        <v>45747</v>
      </c>
      <c r="AJ93" s="96">
        <v>120</v>
      </c>
      <c r="AK93" s="91">
        <f t="shared" si="15"/>
        <v>32</v>
      </c>
      <c r="AL93" s="96">
        <f t="shared" si="16"/>
        <v>79</v>
      </c>
      <c r="AM93" s="92"/>
      <c r="AN93" s="91"/>
      <c r="AO93" s="91"/>
    </row>
    <row r="94" spans="1:41" ht="14.5" x14ac:dyDescent="0.25">
      <c r="A94" s="92" t="s">
        <v>243</v>
      </c>
      <c r="B94" s="91"/>
      <c r="C94" s="91" t="s">
        <v>204</v>
      </c>
      <c r="D94" s="92" t="s">
        <v>244</v>
      </c>
      <c r="E94" s="91" t="s">
        <v>97</v>
      </c>
      <c r="F94" s="91" t="s">
        <v>0</v>
      </c>
      <c r="G94" s="56" t="s">
        <v>161</v>
      </c>
      <c r="H94" s="91">
        <v>32</v>
      </c>
      <c r="I94" s="91" t="s">
        <v>207</v>
      </c>
      <c r="J94" s="91" t="s">
        <v>8</v>
      </c>
      <c r="K94" s="92" t="s">
        <v>13</v>
      </c>
      <c r="L94" s="93" t="s">
        <v>3024</v>
      </c>
      <c r="M94" s="94" t="s">
        <v>3301</v>
      </c>
      <c r="N94" s="95" t="s">
        <v>2870</v>
      </c>
      <c r="O94" s="96">
        <v>1</v>
      </c>
      <c r="P94" s="111">
        <f t="shared" ref="P94:P100" si="24">921/68*O94</f>
        <v>13.544117647058824</v>
      </c>
      <c r="Q94" s="91" t="s">
        <v>16</v>
      </c>
      <c r="R94" s="91">
        <v>4.8</v>
      </c>
      <c r="S94" s="95"/>
      <c r="T94" s="98"/>
      <c r="U94" s="112">
        <f t="shared" si="23"/>
        <v>67.4962367555718</v>
      </c>
      <c r="V94" s="113">
        <f t="shared" si="17"/>
        <v>2.1092573986116188</v>
      </c>
      <c r="W94" s="114">
        <f t="shared" si="18"/>
        <v>0.30132248551594554</v>
      </c>
      <c r="X94" s="95"/>
      <c r="Y94" s="95"/>
      <c r="Z94" s="102"/>
      <c r="AA94" s="103">
        <v>45668</v>
      </c>
      <c r="AB94" s="103">
        <v>45697</v>
      </c>
      <c r="AC94" s="103"/>
      <c r="AD94" s="102">
        <f>IF(ISNA(VLOOKUP(D94,亚马逊入库配置费!B:F,5,0)),0,VLOOKUP(D94,亚马逊入库配置费!B:F,5,0))</f>
        <v>0.24923076923076901</v>
      </c>
      <c r="AE94" s="102">
        <f t="shared" si="13"/>
        <v>7.9753846153846082</v>
      </c>
      <c r="AF94" s="103">
        <v>45722</v>
      </c>
      <c r="AG94" s="91">
        <f t="shared" si="14"/>
        <v>54</v>
      </c>
      <c r="AH94" s="103">
        <v>45722</v>
      </c>
      <c r="AI94" s="103">
        <v>45754</v>
      </c>
      <c r="AJ94" s="96">
        <v>32</v>
      </c>
      <c r="AK94" s="91">
        <f t="shared" si="15"/>
        <v>32</v>
      </c>
      <c r="AL94" s="96">
        <f t="shared" si="16"/>
        <v>86</v>
      </c>
      <c r="AM94" s="92"/>
      <c r="AN94" s="91"/>
      <c r="AO94" s="91"/>
    </row>
    <row r="95" spans="1:41" ht="14.5" x14ac:dyDescent="0.25">
      <c r="A95" s="92" t="s">
        <v>245</v>
      </c>
      <c r="B95" s="91"/>
      <c r="C95" s="91" t="s">
        <v>204</v>
      </c>
      <c r="D95" s="92" t="s">
        <v>244</v>
      </c>
      <c r="E95" s="91" t="s">
        <v>97</v>
      </c>
      <c r="F95" s="91" t="s">
        <v>0</v>
      </c>
      <c r="G95" s="56" t="s">
        <v>228</v>
      </c>
      <c r="H95" s="91">
        <v>160</v>
      </c>
      <c r="I95" s="91" t="s">
        <v>207</v>
      </c>
      <c r="J95" s="91" t="s">
        <v>8</v>
      </c>
      <c r="K95" s="92" t="s">
        <v>13</v>
      </c>
      <c r="L95" s="93" t="s">
        <v>3036</v>
      </c>
      <c r="M95" s="94" t="s">
        <v>3315</v>
      </c>
      <c r="N95" s="95" t="s">
        <v>2870</v>
      </c>
      <c r="O95" s="96">
        <v>8</v>
      </c>
      <c r="P95" s="111">
        <f t="shared" si="24"/>
        <v>108.35294117647059</v>
      </c>
      <c r="Q95" s="91" t="s">
        <v>16</v>
      </c>
      <c r="R95" s="91">
        <v>4.8</v>
      </c>
      <c r="S95" s="95"/>
      <c r="T95" s="98"/>
      <c r="U95" s="112">
        <f t="shared" si="23"/>
        <v>539.9698940445744</v>
      </c>
      <c r="V95" s="113">
        <f t="shared" si="17"/>
        <v>3.3748118377785898</v>
      </c>
      <c r="W95" s="114">
        <f t="shared" si="18"/>
        <v>0.48211597682551283</v>
      </c>
      <c r="X95" s="95"/>
      <c r="Y95" s="95"/>
      <c r="Z95" s="102"/>
      <c r="AA95" s="103">
        <v>45668</v>
      </c>
      <c r="AB95" s="103">
        <v>45697</v>
      </c>
      <c r="AC95" s="103"/>
      <c r="AD95" s="102">
        <f>IF(ISNA(VLOOKUP(D95,亚马逊入库配置费!B:F,5,0)),0,VLOOKUP(D95,亚马逊入库配置费!B:F,5,0))</f>
        <v>0.24923076923076901</v>
      </c>
      <c r="AE95" s="102">
        <f t="shared" si="13"/>
        <v>39.876923076923042</v>
      </c>
      <c r="AF95" s="103">
        <v>45722</v>
      </c>
      <c r="AG95" s="91">
        <f t="shared" si="14"/>
        <v>54</v>
      </c>
      <c r="AH95" s="103">
        <v>45722</v>
      </c>
      <c r="AI95" s="103">
        <v>45754</v>
      </c>
      <c r="AJ95" s="96">
        <v>160</v>
      </c>
      <c r="AK95" s="91">
        <f t="shared" si="15"/>
        <v>32</v>
      </c>
      <c r="AL95" s="96">
        <f t="shared" si="16"/>
        <v>86</v>
      </c>
      <c r="AM95" s="92"/>
      <c r="AN95" s="91"/>
      <c r="AO95" s="91"/>
    </row>
    <row r="96" spans="1:41" ht="14.5" x14ac:dyDescent="0.25">
      <c r="A96" s="92" t="s">
        <v>246</v>
      </c>
      <c r="B96" s="91"/>
      <c r="C96" s="91" t="s">
        <v>204</v>
      </c>
      <c r="D96" s="92" t="s">
        <v>244</v>
      </c>
      <c r="E96" s="91" t="s">
        <v>97</v>
      </c>
      <c r="F96" s="91" t="s">
        <v>0</v>
      </c>
      <c r="G96" s="56" t="s">
        <v>163</v>
      </c>
      <c r="H96" s="91">
        <v>840</v>
      </c>
      <c r="I96" s="91" t="s">
        <v>207</v>
      </c>
      <c r="J96" s="91" t="s">
        <v>8</v>
      </c>
      <c r="K96" s="92" t="s">
        <v>13</v>
      </c>
      <c r="L96" s="93" t="s">
        <v>2881</v>
      </c>
      <c r="M96" s="94" t="s">
        <v>3302</v>
      </c>
      <c r="N96" s="95" t="s">
        <v>2870</v>
      </c>
      <c r="O96" s="96">
        <v>21</v>
      </c>
      <c r="P96" s="111">
        <f t="shared" si="24"/>
        <v>284.4264705882353</v>
      </c>
      <c r="Q96" s="91" t="s">
        <v>16</v>
      </c>
      <c r="R96" s="91">
        <v>4.8</v>
      </c>
      <c r="S96" s="95"/>
      <c r="T96" s="98"/>
      <c r="U96" s="112">
        <f t="shared" si="23"/>
        <v>1417.4209718670077</v>
      </c>
      <c r="V96" s="113">
        <f t="shared" si="17"/>
        <v>1.6874059188892949</v>
      </c>
      <c r="W96" s="114">
        <f t="shared" si="18"/>
        <v>0.24105798841275641</v>
      </c>
      <c r="X96" s="95"/>
      <c r="Y96" s="95"/>
      <c r="Z96" s="102"/>
      <c r="AA96" s="103">
        <v>45668</v>
      </c>
      <c r="AB96" s="103">
        <v>45697</v>
      </c>
      <c r="AC96" s="103"/>
      <c r="AD96" s="102">
        <f>IF(ISNA(VLOOKUP(D96,亚马逊入库配置费!B:F,5,0)),0,VLOOKUP(D96,亚马逊入库配置费!B:F,5,0))</f>
        <v>0.24923076923076901</v>
      </c>
      <c r="AE96" s="102">
        <f t="shared" si="13"/>
        <v>209.35384615384598</v>
      </c>
      <c r="AF96" s="103">
        <v>45722</v>
      </c>
      <c r="AG96" s="91">
        <f t="shared" si="14"/>
        <v>54</v>
      </c>
      <c r="AH96" s="103">
        <v>45722</v>
      </c>
      <c r="AI96" s="103">
        <v>45754</v>
      </c>
      <c r="AJ96" s="96">
        <v>840</v>
      </c>
      <c r="AK96" s="91">
        <f t="shared" si="15"/>
        <v>32</v>
      </c>
      <c r="AL96" s="96">
        <f t="shared" si="16"/>
        <v>86</v>
      </c>
      <c r="AM96" s="92"/>
      <c r="AN96" s="91"/>
      <c r="AO96" s="91"/>
    </row>
    <row r="97" spans="1:41" ht="14.5" x14ac:dyDescent="0.25">
      <c r="A97" s="92" t="s">
        <v>247</v>
      </c>
      <c r="B97" s="91"/>
      <c r="C97" s="91" t="s">
        <v>204</v>
      </c>
      <c r="D97" s="92" t="s">
        <v>244</v>
      </c>
      <c r="E97" s="91" t="s">
        <v>97</v>
      </c>
      <c r="F97" s="91" t="s">
        <v>0</v>
      </c>
      <c r="G97" s="56" t="s">
        <v>231</v>
      </c>
      <c r="H97" s="91">
        <v>60</v>
      </c>
      <c r="I97" s="91" t="s">
        <v>207</v>
      </c>
      <c r="J97" s="91" t="s">
        <v>8</v>
      </c>
      <c r="K97" s="92" t="s">
        <v>13</v>
      </c>
      <c r="L97" s="93" t="s">
        <v>3037</v>
      </c>
      <c r="M97" s="94" t="s">
        <v>3207</v>
      </c>
      <c r="N97" s="95" t="s">
        <v>2870</v>
      </c>
      <c r="O97" s="96">
        <v>3</v>
      </c>
      <c r="P97" s="111">
        <f t="shared" si="24"/>
        <v>40.632352941176471</v>
      </c>
      <c r="Q97" s="91" t="s">
        <v>16</v>
      </c>
      <c r="R97" s="91">
        <v>4.8</v>
      </c>
      <c r="S97" s="95"/>
      <c r="T97" s="98"/>
      <c r="U97" s="112">
        <f t="shared" si="23"/>
        <v>202.48871026671537</v>
      </c>
      <c r="V97" s="113">
        <f t="shared" si="17"/>
        <v>3.3748118377785894</v>
      </c>
      <c r="W97" s="114">
        <f t="shared" si="18"/>
        <v>0.48211597682551277</v>
      </c>
      <c r="X97" s="95"/>
      <c r="Y97" s="95"/>
      <c r="Z97" s="102"/>
      <c r="AA97" s="103">
        <v>45668</v>
      </c>
      <c r="AB97" s="103">
        <v>45697</v>
      </c>
      <c r="AC97" s="103"/>
      <c r="AD97" s="102">
        <f>IF(ISNA(VLOOKUP(D97,亚马逊入库配置费!B:F,5,0)),0,VLOOKUP(D97,亚马逊入库配置费!B:F,5,0))</f>
        <v>0.24923076923076901</v>
      </c>
      <c r="AE97" s="102">
        <f t="shared" si="13"/>
        <v>14.95384615384614</v>
      </c>
      <c r="AF97" s="103">
        <v>45722</v>
      </c>
      <c r="AG97" s="91">
        <f t="shared" si="14"/>
        <v>54</v>
      </c>
      <c r="AH97" s="103">
        <v>45722</v>
      </c>
      <c r="AI97" s="103">
        <v>45754</v>
      </c>
      <c r="AJ97" s="96">
        <v>60</v>
      </c>
      <c r="AK97" s="91">
        <f t="shared" si="15"/>
        <v>32</v>
      </c>
      <c r="AL97" s="96">
        <f t="shared" si="16"/>
        <v>86</v>
      </c>
      <c r="AM97" s="92"/>
      <c r="AN97" s="91"/>
      <c r="AO97" s="91"/>
    </row>
    <row r="98" spans="1:41" ht="14.5" x14ac:dyDescent="0.25">
      <c r="A98" s="92" t="s">
        <v>248</v>
      </c>
      <c r="B98" s="91"/>
      <c r="C98" s="91" t="s">
        <v>204</v>
      </c>
      <c r="D98" s="92" t="s">
        <v>244</v>
      </c>
      <c r="E98" s="91" t="s">
        <v>97</v>
      </c>
      <c r="F98" s="91" t="s">
        <v>0</v>
      </c>
      <c r="G98" s="56" t="s">
        <v>165</v>
      </c>
      <c r="H98" s="91">
        <v>400</v>
      </c>
      <c r="I98" s="91" t="s">
        <v>207</v>
      </c>
      <c r="J98" s="91" t="s">
        <v>8</v>
      </c>
      <c r="K98" s="92" t="s">
        <v>13</v>
      </c>
      <c r="L98" s="93" t="s">
        <v>2880</v>
      </c>
      <c r="M98" s="94" t="s">
        <v>3209</v>
      </c>
      <c r="N98" s="95" t="s">
        <v>2870</v>
      </c>
      <c r="O98" s="96">
        <v>10</v>
      </c>
      <c r="P98" s="111">
        <f t="shared" si="24"/>
        <v>135.44117647058823</v>
      </c>
      <c r="Q98" s="91" t="s">
        <v>16</v>
      </c>
      <c r="R98" s="91">
        <v>4.8</v>
      </c>
      <c r="S98" s="95"/>
      <c r="T98" s="98"/>
      <c r="U98" s="112">
        <f t="shared" si="23"/>
        <v>674.96236755571795</v>
      </c>
      <c r="V98" s="113">
        <f t="shared" si="17"/>
        <v>1.6874059188892949</v>
      </c>
      <c r="W98" s="114">
        <f t="shared" si="18"/>
        <v>0.24105798841275641</v>
      </c>
      <c r="X98" s="95"/>
      <c r="Y98" s="95"/>
      <c r="Z98" s="102"/>
      <c r="AA98" s="103">
        <v>45668</v>
      </c>
      <c r="AB98" s="103">
        <v>45697</v>
      </c>
      <c r="AC98" s="103"/>
      <c r="AD98" s="102">
        <f>IF(ISNA(VLOOKUP(D98,亚马逊入库配置费!B:F,5,0)),0,VLOOKUP(D98,亚马逊入库配置费!B:F,5,0))</f>
        <v>0.24923076923076901</v>
      </c>
      <c r="AE98" s="102">
        <f t="shared" si="13"/>
        <v>99.692307692307608</v>
      </c>
      <c r="AF98" s="103">
        <v>45722</v>
      </c>
      <c r="AG98" s="91">
        <f t="shared" si="14"/>
        <v>54</v>
      </c>
      <c r="AH98" s="103">
        <v>45722</v>
      </c>
      <c r="AI98" s="103">
        <v>45754</v>
      </c>
      <c r="AJ98" s="96">
        <v>400</v>
      </c>
      <c r="AK98" s="91">
        <f t="shared" si="15"/>
        <v>32</v>
      </c>
      <c r="AL98" s="96">
        <f t="shared" si="16"/>
        <v>86</v>
      </c>
      <c r="AM98" s="92"/>
      <c r="AN98" s="91"/>
      <c r="AO98" s="91"/>
    </row>
    <row r="99" spans="1:41" ht="14.5" x14ac:dyDescent="0.25">
      <c r="A99" s="92" t="s">
        <v>249</v>
      </c>
      <c r="B99" s="91"/>
      <c r="C99" s="91" t="s">
        <v>204</v>
      </c>
      <c r="D99" s="92" t="s">
        <v>244</v>
      </c>
      <c r="E99" s="91" t="s">
        <v>97</v>
      </c>
      <c r="F99" s="91" t="s">
        <v>0</v>
      </c>
      <c r="G99" s="56" t="s">
        <v>169</v>
      </c>
      <c r="H99" s="91">
        <v>30</v>
      </c>
      <c r="I99" s="91" t="s">
        <v>207</v>
      </c>
      <c r="J99" s="91" t="s">
        <v>8</v>
      </c>
      <c r="K99" s="92" t="s">
        <v>13</v>
      </c>
      <c r="L99" s="93" t="s">
        <v>3026</v>
      </c>
      <c r="M99" s="94" t="s">
        <v>3211</v>
      </c>
      <c r="N99" s="95" t="s">
        <v>2876</v>
      </c>
      <c r="O99" s="96">
        <v>1</v>
      </c>
      <c r="P99" s="111">
        <f t="shared" si="24"/>
        <v>13.544117647058824</v>
      </c>
      <c r="Q99" s="91" t="s">
        <v>16</v>
      </c>
      <c r="R99" s="91">
        <v>4.8</v>
      </c>
      <c r="S99" s="95"/>
      <c r="T99" s="98"/>
      <c r="U99" s="112">
        <f t="shared" si="23"/>
        <v>67.4962367555718</v>
      </c>
      <c r="V99" s="113">
        <f t="shared" si="17"/>
        <v>2.24987455851906</v>
      </c>
      <c r="W99" s="114">
        <f t="shared" si="18"/>
        <v>0.32141065121700857</v>
      </c>
      <c r="X99" s="95"/>
      <c r="Y99" s="95"/>
      <c r="Z99" s="102"/>
      <c r="AA99" s="103">
        <v>45668</v>
      </c>
      <c r="AB99" s="103">
        <v>45697</v>
      </c>
      <c r="AC99" s="103"/>
      <c r="AD99" s="102">
        <f>IF(ISNA(VLOOKUP(D99,亚马逊入库配置费!B:F,5,0)),0,VLOOKUP(D99,亚马逊入库配置费!B:F,5,0))</f>
        <v>0.24923076923076901</v>
      </c>
      <c r="AE99" s="102">
        <f t="shared" si="13"/>
        <v>7.4769230769230699</v>
      </c>
      <c r="AF99" s="103">
        <v>45722</v>
      </c>
      <c r="AG99" s="91">
        <f t="shared" si="14"/>
        <v>54</v>
      </c>
      <c r="AH99" s="103">
        <v>45722</v>
      </c>
      <c r="AI99" s="103">
        <v>45754</v>
      </c>
      <c r="AJ99" s="96">
        <v>30</v>
      </c>
      <c r="AK99" s="91">
        <f t="shared" si="15"/>
        <v>32</v>
      </c>
      <c r="AL99" s="96">
        <f t="shared" si="16"/>
        <v>86</v>
      </c>
      <c r="AM99" s="92"/>
      <c r="AN99" s="91"/>
      <c r="AO99" s="91"/>
    </row>
    <row r="100" spans="1:41" ht="14.5" x14ac:dyDescent="0.25">
      <c r="A100" s="92" t="s">
        <v>250</v>
      </c>
      <c r="B100" s="91"/>
      <c r="C100" s="91" t="s">
        <v>204</v>
      </c>
      <c r="D100" s="92" t="s">
        <v>244</v>
      </c>
      <c r="E100" s="91" t="s">
        <v>97</v>
      </c>
      <c r="F100" s="91" t="s">
        <v>0</v>
      </c>
      <c r="G100" s="56" t="s">
        <v>178</v>
      </c>
      <c r="H100" s="91">
        <v>90</v>
      </c>
      <c r="I100" s="91" t="s">
        <v>207</v>
      </c>
      <c r="J100" s="91" t="s">
        <v>8</v>
      </c>
      <c r="K100" s="92" t="s">
        <v>13</v>
      </c>
      <c r="L100" s="93" t="s">
        <v>3030</v>
      </c>
      <c r="M100" s="94" t="s">
        <v>3307</v>
      </c>
      <c r="N100" s="95" t="s">
        <v>2876</v>
      </c>
      <c r="O100" s="96">
        <v>3</v>
      </c>
      <c r="P100" s="111">
        <f t="shared" si="24"/>
        <v>40.632352941176471</v>
      </c>
      <c r="Q100" s="91" t="s">
        <v>16</v>
      </c>
      <c r="R100" s="91">
        <v>4.8</v>
      </c>
      <c r="S100" s="95"/>
      <c r="T100" s="98"/>
      <c r="U100" s="112">
        <f t="shared" si="23"/>
        <v>202.48871026671537</v>
      </c>
      <c r="V100" s="113">
        <f t="shared" si="17"/>
        <v>2.2498745585190596</v>
      </c>
      <c r="W100" s="114">
        <f t="shared" si="18"/>
        <v>0.32141065121700851</v>
      </c>
      <c r="X100" s="95"/>
      <c r="Y100" s="95"/>
      <c r="Z100" s="102"/>
      <c r="AA100" s="103">
        <v>45668</v>
      </c>
      <c r="AB100" s="103">
        <v>45697</v>
      </c>
      <c r="AC100" s="103"/>
      <c r="AD100" s="102">
        <f>IF(ISNA(VLOOKUP(D100,亚马逊入库配置费!B:F,5,0)),0,VLOOKUP(D100,亚马逊入库配置费!B:F,5,0))</f>
        <v>0.24923076923076901</v>
      </c>
      <c r="AE100" s="102">
        <f t="shared" si="13"/>
        <v>22.430769230769211</v>
      </c>
      <c r="AF100" s="103">
        <v>45722</v>
      </c>
      <c r="AG100" s="91">
        <f t="shared" si="14"/>
        <v>54</v>
      </c>
      <c r="AH100" s="103">
        <v>45722</v>
      </c>
      <c r="AI100" s="103">
        <v>45754</v>
      </c>
      <c r="AJ100" s="96">
        <v>90</v>
      </c>
      <c r="AK100" s="91">
        <f t="shared" si="15"/>
        <v>32</v>
      </c>
      <c r="AL100" s="96">
        <f t="shared" si="16"/>
        <v>86</v>
      </c>
      <c r="AM100" s="92"/>
      <c r="AN100" s="91"/>
      <c r="AO100" s="91"/>
    </row>
    <row r="101" spans="1:41" ht="14.5" x14ac:dyDescent="0.25">
      <c r="A101" s="92" t="s">
        <v>251</v>
      </c>
      <c r="B101" s="91"/>
      <c r="C101" s="91" t="s">
        <v>252</v>
      </c>
      <c r="D101" s="92" t="s">
        <v>253</v>
      </c>
      <c r="E101" s="91" t="s">
        <v>254</v>
      </c>
      <c r="F101" s="91" t="s">
        <v>255</v>
      </c>
      <c r="G101" s="56" t="s">
        <v>142</v>
      </c>
      <c r="H101" s="91">
        <v>180</v>
      </c>
      <c r="I101" s="91" t="s">
        <v>89</v>
      </c>
      <c r="J101" s="91" t="s">
        <v>256</v>
      </c>
      <c r="K101" s="92" t="s">
        <v>257</v>
      </c>
      <c r="L101" s="93" t="s">
        <v>3020</v>
      </c>
      <c r="M101" s="94" t="s">
        <v>3295</v>
      </c>
      <c r="N101" s="95" t="s">
        <v>2878</v>
      </c>
      <c r="O101" s="96">
        <v>6</v>
      </c>
      <c r="P101" s="111">
        <v>100</v>
      </c>
      <c r="Q101" s="91" t="s">
        <v>16</v>
      </c>
      <c r="R101" s="91">
        <v>6.8</v>
      </c>
      <c r="S101" s="95"/>
      <c r="T101" s="98"/>
      <c r="U101" s="112">
        <f>R101*P101+700</f>
        <v>1380</v>
      </c>
      <c r="V101" s="113">
        <f t="shared" si="17"/>
        <v>7.666666666666667</v>
      </c>
      <c r="W101" s="114">
        <f t="shared" si="18"/>
        <v>1.0952380952380953</v>
      </c>
      <c r="X101" s="95"/>
      <c r="Y101" s="95"/>
      <c r="Z101" s="102"/>
      <c r="AA101" s="103">
        <v>45668</v>
      </c>
      <c r="AB101" s="103">
        <v>45704</v>
      </c>
      <c r="AC101" s="103"/>
      <c r="AD101" s="102">
        <f>IF(ISNA(VLOOKUP(D101,亚马逊入库配置费!B:F,5,0)),0,VLOOKUP(D101,亚马逊入库配置费!B:F,5,0))</f>
        <v>0</v>
      </c>
      <c r="AE101" s="102">
        <f t="shared" si="13"/>
        <v>0</v>
      </c>
      <c r="AF101" s="103">
        <v>45714</v>
      </c>
      <c r="AG101" s="91">
        <f t="shared" si="14"/>
        <v>46</v>
      </c>
      <c r="AH101" s="103">
        <v>45714</v>
      </c>
      <c r="AI101" s="103">
        <v>45736</v>
      </c>
      <c r="AJ101" s="96">
        <v>180</v>
      </c>
      <c r="AK101" s="91">
        <f t="shared" si="15"/>
        <v>22</v>
      </c>
      <c r="AL101" s="96">
        <f t="shared" si="16"/>
        <v>68</v>
      </c>
      <c r="AM101" s="92"/>
      <c r="AN101" s="91"/>
      <c r="AO101" s="91"/>
    </row>
    <row r="102" spans="1:41" ht="14.5" x14ac:dyDescent="0.25">
      <c r="A102" s="92" t="s">
        <v>258</v>
      </c>
      <c r="B102" s="91"/>
      <c r="C102" s="91" t="s">
        <v>259</v>
      </c>
      <c r="D102" s="92" t="s">
        <v>260</v>
      </c>
      <c r="E102" s="91" t="s">
        <v>261</v>
      </c>
      <c r="F102" s="91" t="s">
        <v>262</v>
      </c>
      <c r="G102" s="56" t="s">
        <v>163</v>
      </c>
      <c r="H102" s="91">
        <v>80</v>
      </c>
      <c r="I102" s="91" t="s">
        <v>263</v>
      </c>
      <c r="J102" s="91" t="s">
        <v>264</v>
      </c>
      <c r="K102" s="92" t="s">
        <v>265</v>
      </c>
      <c r="L102" s="93" t="s">
        <v>2881</v>
      </c>
      <c r="M102" s="94" t="s">
        <v>3302</v>
      </c>
      <c r="N102" s="95" t="s">
        <v>2870</v>
      </c>
      <c r="O102" s="96">
        <v>2</v>
      </c>
      <c r="P102" s="111">
        <f>41/3*O102</f>
        <v>27.333333333333332</v>
      </c>
      <c r="Q102" s="91" t="s">
        <v>16</v>
      </c>
      <c r="R102" s="91">
        <v>13.8</v>
      </c>
      <c r="S102" s="95"/>
      <c r="T102" s="98"/>
      <c r="U102" s="112">
        <f>R102*P102+600/3*O102</f>
        <v>777.2</v>
      </c>
      <c r="V102" s="113">
        <f t="shared" si="17"/>
        <v>9.7149999999999999</v>
      </c>
      <c r="W102" s="114">
        <f t="shared" si="18"/>
        <v>1.3878571428571429</v>
      </c>
      <c r="X102" s="95"/>
      <c r="Y102" s="95"/>
      <c r="Z102" s="102"/>
      <c r="AA102" s="103">
        <v>45668</v>
      </c>
      <c r="AB102" s="103">
        <v>45715</v>
      </c>
      <c r="AC102" s="103"/>
      <c r="AD102" s="102">
        <f>IF(ISNA(VLOOKUP(D102,亚马逊入库配置费!B:F,5,0)),0,VLOOKUP(D102,亚马逊入库配置费!B:F,5,0))</f>
        <v>0</v>
      </c>
      <c r="AE102" s="102">
        <f t="shared" si="13"/>
        <v>0</v>
      </c>
      <c r="AF102" s="103">
        <v>45723</v>
      </c>
      <c r="AG102" s="91">
        <f t="shared" si="14"/>
        <v>55</v>
      </c>
      <c r="AH102" s="103">
        <v>45723</v>
      </c>
      <c r="AI102" s="103">
        <v>45737</v>
      </c>
      <c r="AJ102" s="96">
        <v>80</v>
      </c>
      <c r="AK102" s="91">
        <f t="shared" si="15"/>
        <v>14</v>
      </c>
      <c r="AL102" s="96">
        <f t="shared" si="16"/>
        <v>69</v>
      </c>
      <c r="AM102" s="92"/>
      <c r="AN102" s="91"/>
      <c r="AO102" s="91"/>
    </row>
    <row r="103" spans="1:41" ht="14.5" x14ac:dyDescent="0.25">
      <c r="A103" s="92" t="s">
        <v>266</v>
      </c>
      <c r="B103" s="91"/>
      <c r="C103" s="91" t="s">
        <v>259</v>
      </c>
      <c r="D103" s="92" t="s">
        <v>260</v>
      </c>
      <c r="E103" s="91" t="s">
        <v>261</v>
      </c>
      <c r="F103" s="91" t="s">
        <v>262</v>
      </c>
      <c r="G103" s="56" t="s">
        <v>165</v>
      </c>
      <c r="H103" s="91">
        <v>40</v>
      </c>
      <c r="I103" s="91" t="s">
        <v>263</v>
      </c>
      <c r="J103" s="91" t="s">
        <v>264</v>
      </c>
      <c r="K103" s="92" t="s">
        <v>265</v>
      </c>
      <c r="L103" s="93" t="s">
        <v>2880</v>
      </c>
      <c r="M103" s="94" t="s">
        <v>3209</v>
      </c>
      <c r="N103" s="95" t="s">
        <v>2870</v>
      </c>
      <c r="O103" s="96">
        <v>1</v>
      </c>
      <c r="P103" s="111">
        <f>41/3*O103</f>
        <v>13.666666666666666</v>
      </c>
      <c r="Q103" s="91" t="s">
        <v>16</v>
      </c>
      <c r="R103" s="91">
        <v>13.8</v>
      </c>
      <c r="S103" s="95"/>
      <c r="T103" s="98"/>
      <c r="U103" s="112">
        <f>R103*P103+600/3*O103</f>
        <v>388.6</v>
      </c>
      <c r="V103" s="113">
        <f t="shared" si="17"/>
        <v>9.7149999999999999</v>
      </c>
      <c r="W103" s="114">
        <f t="shared" si="18"/>
        <v>1.3878571428571429</v>
      </c>
      <c r="X103" s="95"/>
      <c r="Y103" s="95"/>
      <c r="Z103" s="102"/>
      <c r="AA103" s="103">
        <v>45668</v>
      </c>
      <c r="AB103" s="103">
        <v>45715</v>
      </c>
      <c r="AC103" s="103"/>
      <c r="AD103" s="102">
        <f>IF(ISNA(VLOOKUP(D103,亚马逊入库配置费!B:F,5,0)),0,VLOOKUP(D103,亚马逊入库配置费!B:F,5,0))</f>
        <v>0</v>
      </c>
      <c r="AE103" s="102">
        <f t="shared" si="13"/>
        <v>0</v>
      </c>
      <c r="AF103" s="103">
        <v>45723</v>
      </c>
      <c r="AG103" s="91">
        <f t="shared" si="14"/>
        <v>55</v>
      </c>
      <c r="AH103" s="103">
        <v>45723</v>
      </c>
      <c r="AI103" s="103">
        <v>45737</v>
      </c>
      <c r="AJ103" s="96">
        <v>40</v>
      </c>
      <c r="AK103" s="91">
        <f t="shared" si="15"/>
        <v>14</v>
      </c>
      <c r="AL103" s="96">
        <f t="shared" si="16"/>
        <v>69</v>
      </c>
      <c r="AM103" s="92"/>
      <c r="AN103" s="91"/>
      <c r="AO103" s="91"/>
    </row>
    <row r="104" spans="1:41" ht="14.5" x14ac:dyDescent="0.25">
      <c r="A104" s="92" t="s">
        <v>267</v>
      </c>
      <c r="B104" s="91"/>
      <c r="C104" s="91" t="s">
        <v>268</v>
      </c>
      <c r="D104" s="92" t="s">
        <v>269</v>
      </c>
      <c r="E104" s="91" t="s">
        <v>270</v>
      </c>
      <c r="F104" s="91" t="s">
        <v>271</v>
      </c>
      <c r="G104" s="56" t="s">
        <v>163</v>
      </c>
      <c r="H104" s="91">
        <v>80</v>
      </c>
      <c r="I104" s="91" t="s">
        <v>263</v>
      </c>
      <c r="J104" s="91" t="s">
        <v>272</v>
      </c>
      <c r="K104" s="92" t="s">
        <v>273</v>
      </c>
      <c r="L104" s="93" t="s">
        <v>2881</v>
      </c>
      <c r="M104" s="94" t="s">
        <v>3302</v>
      </c>
      <c r="N104" s="95" t="s">
        <v>2870</v>
      </c>
      <c r="O104" s="96">
        <v>2</v>
      </c>
      <c r="P104" s="111">
        <f>41/3*O104</f>
        <v>27.333333333333332</v>
      </c>
      <c r="Q104" s="91" t="s">
        <v>16</v>
      </c>
      <c r="R104" s="91">
        <v>4.9000000000000004</v>
      </c>
      <c r="S104" s="95"/>
      <c r="T104" s="98"/>
      <c r="U104" s="112">
        <f>R104*P104+600/3*O104</f>
        <v>533.93333333333339</v>
      </c>
      <c r="V104" s="113">
        <f t="shared" si="17"/>
        <v>6.6741666666666672</v>
      </c>
      <c r="W104" s="114">
        <f t="shared" si="18"/>
        <v>0.95345238095238105</v>
      </c>
      <c r="X104" s="95"/>
      <c r="Y104" s="95"/>
      <c r="Z104" s="102"/>
      <c r="AA104" s="103">
        <v>45668</v>
      </c>
      <c r="AB104" s="103">
        <v>45696</v>
      </c>
      <c r="AC104" s="103"/>
      <c r="AD104" s="102">
        <f>IF(ISNA(VLOOKUP(D104,亚马逊入库配置费!B:F,5,0)),0,VLOOKUP(D104,亚马逊入库配置费!B:F,5,0))</f>
        <v>0</v>
      </c>
      <c r="AE104" s="102">
        <f t="shared" si="13"/>
        <v>0</v>
      </c>
      <c r="AF104" s="103">
        <v>45707</v>
      </c>
      <c r="AG104" s="91">
        <f t="shared" si="14"/>
        <v>39</v>
      </c>
      <c r="AH104" s="103">
        <v>45707</v>
      </c>
      <c r="AI104" s="103">
        <v>45722</v>
      </c>
      <c r="AJ104" s="96">
        <v>80</v>
      </c>
      <c r="AK104" s="91">
        <f t="shared" si="15"/>
        <v>15</v>
      </c>
      <c r="AL104" s="96">
        <f t="shared" si="16"/>
        <v>54</v>
      </c>
      <c r="AM104" s="92"/>
      <c r="AN104" s="91"/>
      <c r="AO104" s="91"/>
    </row>
    <row r="105" spans="1:41" ht="14.5" x14ac:dyDescent="0.25">
      <c r="A105" s="92" t="s">
        <v>274</v>
      </c>
      <c r="B105" s="91"/>
      <c r="C105" s="91" t="s">
        <v>268</v>
      </c>
      <c r="D105" s="92" t="s">
        <v>269</v>
      </c>
      <c r="E105" s="91" t="s">
        <v>270</v>
      </c>
      <c r="F105" s="91" t="s">
        <v>271</v>
      </c>
      <c r="G105" s="56" t="s">
        <v>165</v>
      </c>
      <c r="H105" s="91">
        <v>40</v>
      </c>
      <c r="I105" s="91" t="s">
        <v>263</v>
      </c>
      <c r="J105" s="91" t="s">
        <v>272</v>
      </c>
      <c r="K105" s="92" t="s">
        <v>273</v>
      </c>
      <c r="L105" s="93" t="s">
        <v>2880</v>
      </c>
      <c r="M105" s="94" t="s">
        <v>3209</v>
      </c>
      <c r="N105" s="95" t="s">
        <v>2870</v>
      </c>
      <c r="O105" s="96">
        <v>1</v>
      </c>
      <c r="P105" s="111">
        <f>41/3*O105</f>
        <v>13.666666666666666</v>
      </c>
      <c r="Q105" s="91" t="s">
        <v>16</v>
      </c>
      <c r="R105" s="91">
        <v>4.9000000000000004</v>
      </c>
      <c r="S105" s="95"/>
      <c r="T105" s="98"/>
      <c r="U105" s="112">
        <f>R105*P105+600/3*O105</f>
        <v>266.9666666666667</v>
      </c>
      <c r="V105" s="113">
        <f t="shared" si="17"/>
        <v>6.6741666666666672</v>
      </c>
      <c r="W105" s="114">
        <f t="shared" si="18"/>
        <v>0.95345238095238105</v>
      </c>
      <c r="X105" s="95"/>
      <c r="Y105" s="95"/>
      <c r="Z105" s="102"/>
      <c r="AA105" s="103">
        <v>45668</v>
      </c>
      <c r="AB105" s="103">
        <v>45696</v>
      </c>
      <c r="AC105" s="103"/>
      <c r="AD105" s="102">
        <f>IF(ISNA(VLOOKUP(D105,亚马逊入库配置费!B:F,5,0)),0,VLOOKUP(D105,亚马逊入库配置费!B:F,5,0))</f>
        <v>0</v>
      </c>
      <c r="AE105" s="102">
        <f t="shared" si="13"/>
        <v>0</v>
      </c>
      <c r="AF105" s="103">
        <v>45707</v>
      </c>
      <c r="AG105" s="91">
        <f t="shared" si="14"/>
        <v>39</v>
      </c>
      <c r="AH105" s="103">
        <v>45707</v>
      </c>
      <c r="AI105" s="103">
        <v>45722</v>
      </c>
      <c r="AJ105" s="96">
        <v>40</v>
      </c>
      <c r="AK105" s="91">
        <f t="shared" si="15"/>
        <v>15</v>
      </c>
      <c r="AL105" s="96">
        <f t="shared" si="16"/>
        <v>54</v>
      </c>
      <c r="AM105" s="92"/>
      <c r="AN105" s="91"/>
      <c r="AO105" s="91"/>
    </row>
    <row r="106" spans="1:41" ht="14.5" x14ac:dyDescent="0.25">
      <c r="A106" s="92" t="s">
        <v>275</v>
      </c>
      <c r="B106" s="91"/>
      <c r="C106" s="91" t="s">
        <v>276</v>
      </c>
      <c r="D106" s="92" t="s">
        <v>277</v>
      </c>
      <c r="E106" s="91" t="s">
        <v>278</v>
      </c>
      <c r="F106" s="91" t="s">
        <v>87</v>
      </c>
      <c r="G106" s="56" t="s">
        <v>279</v>
      </c>
      <c r="H106" s="91">
        <v>48</v>
      </c>
      <c r="I106" s="91" t="s">
        <v>207</v>
      </c>
      <c r="J106" s="91" t="s">
        <v>90</v>
      </c>
      <c r="K106" s="92" t="s">
        <v>280</v>
      </c>
      <c r="L106" s="93" t="s">
        <v>3038</v>
      </c>
      <c r="M106" s="94" t="s">
        <v>3321</v>
      </c>
      <c r="N106" s="95" t="s">
        <v>2785</v>
      </c>
      <c r="O106" s="96">
        <v>3</v>
      </c>
      <c r="P106" s="111">
        <f>863/61*O106</f>
        <v>42.442622950819668</v>
      </c>
      <c r="Q106" s="91" t="s">
        <v>16</v>
      </c>
      <c r="R106" s="91">
        <v>6.4</v>
      </c>
      <c r="S106" s="95"/>
      <c r="T106" s="98"/>
      <c r="U106" s="112">
        <f>R106*P106+350/61*O106</f>
        <v>288.84590163934422</v>
      </c>
      <c r="V106" s="113">
        <f t="shared" si="17"/>
        <v>6.0176229508196712</v>
      </c>
      <c r="W106" s="114">
        <f t="shared" si="18"/>
        <v>0.85966042154566735</v>
      </c>
      <c r="X106" s="95"/>
      <c r="Y106" s="95"/>
      <c r="Z106" s="102"/>
      <c r="AA106" s="103">
        <v>45668</v>
      </c>
      <c r="AB106" s="103">
        <v>45697</v>
      </c>
      <c r="AC106" s="103"/>
      <c r="AD106" s="102">
        <f>IF(ISNA(VLOOKUP(D106,亚马逊入库配置费!B:F,5,0)),0,VLOOKUP(D106,亚马逊入库配置费!B:F,5,0))</f>
        <v>0</v>
      </c>
      <c r="AE106" s="102">
        <f t="shared" si="13"/>
        <v>0</v>
      </c>
      <c r="AF106" s="103">
        <v>45709</v>
      </c>
      <c r="AG106" s="91">
        <f t="shared" si="14"/>
        <v>41</v>
      </c>
      <c r="AH106" s="103">
        <v>45709</v>
      </c>
      <c r="AI106" s="103">
        <v>45732</v>
      </c>
      <c r="AJ106" s="96">
        <v>48</v>
      </c>
      <c r="AK106" s="91">
        <f t="shared" si="15"/>
        <v>23</v>
      </c>
      <c r="AL106" s="96">
        <f t="shared" si="16"/>
        <v>64</v>
      </c>
      <c r="AM106" s="92"/>
      <c r="AN106" s="91"/>
      <c r="AO106" s="91"/>
    </row>
    <row r="107" spans="1:41" ht="14.5" x14ac:dyDescent="0.25">
      <c r="A107" s="92" t="s">
        <v>281</v>
      </c>
      <c r="B107" s="91"/>
      <c r="C107" s="91" t="s">
        <v>276</v>
      </c>
      <c r="D107" s="92" t="s">
        <v>277</v>
      </c>
      <c r="E107" s="91" t="s">
        <v>278</v>
      </c>
      <c r="F107" s="91" t="s">
        <v>87</v>
      </c>
      <c r="G107" s="56" t="s">
        <v>282</v>
      </c>
      <c r="H107" s="91">
        <v>176</v>
      </c>
      <c r="I107" s="91" t="s">
        <v>207</v>
      </c>
      <c r="J107" s="91" t="s">
        <v>90</v>
      </c>
      <c r="K107" s="92" t="s">
        <v>280</v>
      </c>
      <c r="L107" s="93" t="s">
        <v>2783</v>
      </c>
      <c r="M107" s="94" t="s">
        <v>3322</v>
      </c>
      <c r="N107" s="95" t="s">
        <v>2785</v>
      </c>
      <c r="O107" s="96">
        <v>11</v>
      </c>
      <c r="P107" s="111">
        <f>863/61*O107</f>
        <v>155.62295081967213</v>
      </c>
      <c r="Q107" s="91" t="s">
        <v>16</v>
      </c>
      <c r="R107" s="91">
        <v>6.4</v>
      </c>
      <c r="S107" s="95"/>
      <c r="T107" s="98"/>
      <c r="U107" s="112">
        <f>R107*P107+350/61*O107</f>
        <v>1059.1016393442624</v>
      </c>
      <c r="V107" s="113">
        <f t="shared" si="17"/>
        <v>6.0176229508196721</v>
      </c>
      <c r="W107" s="114">
        <f t="shared" si="18"/>
        <v>0.85966042154566746</v>
      </c>
      <c r="X107" s="95"/>
      <c r="Y107" s="95"/>
      <c r="Z107" s="102"/>
      <c r="AA107" s="103">
        <v>45668</v>
      </c>
      <c r="AB107" s="103">
        <v>45697</v>
      </c>
      <c r="AC107" s="103"/>
      <c r="AD107" s="102">
        <f>IF(ISNA(VLOOKUP(D107,亚马逊入库配置费!B:F,5,0)),0,VLOOKUP(D107,亚马逊入库配置费!B:F,5,0))</f>
        <v>0</v>
      </c>
      <c r="AE107" s="102">
        <f t="shared" si="13"/>
        <v>0</v>
      </c>
      <c r="AF107" s="103">
        <v>45709</v>
      </c>
      <c r="AG107" s="91">
        <f t="shared" si="14"/>
        <v>41</v>
      </c>
      <c r="AH107" s="103">
        <v>45709</v>
      </c>
      <c r="AI107" s="103">
        <v>45732</v>
      </c>
      <c r="AJ107" s="96">
        <v>96</v>
      </c>
      <c r="AK107" s="91">
        <f t="shared" si="15"/>
        <v>23</v>
      </c>
      <c r="AL107" s="96">
        <f t="shared" si="16"/>
        <v>64</v>
      </c>
      <c r="AM107" s="92"/>
      <c r="AN107" s="91"/>
      <c r="AO107" s="91"/>
    </row>
    <row r="108" spans="1:41" ht="14.5" x14ac:dyDescent="0.25">
      <c r="A108" s="92" t="s">
        <v>283</v>
      </c>
      <c r="B108" s="91"/>
      <c r="C108" s="91" t="s">
        <v>276</v>
      </c>
      <c r="D108" s="92" t="s">
        <v>277</v>
      </c>
      <c r="E108" s="91" t="s">
        <v>278</v>
      </c>
      <c r="F108" s="91" t="s">
        <v>87</v>
      </c>
      <c r="G108" s="56" t="s">
        <v>284</v>
      </c>
      <c r="H108" s="91">
        <v>96</v>
      </c>
      <c r="I108" s="91" t="s">
        <v>207</v>
      </c>
      <c r="J108" s="91" t="s">
        <v>90</v>
      </c>
      <c r="K108" s="92" t="s">
        <v>280</v>
      </c>
      <c r="L108" s="93" t="s">
        <v>3039</v>
      </c>
      <c r="M108" s="94" t="s">
        <v>3323</v>
      </c>
      <c r="N108" s="95" t="s">
        <v>2915</v>
      </c>
      <c r="O108" s="96">
        <v>6</v>
      </c>
      <c r="P108" s="111">
        <f>863/61*O108</f>
        <v>84.885245901639337</v>
      </c>
      <c r="Q108" s="91" t="s">
        <v>16</v>
      </c>
      <c r="R108" s="91">
        <v>6.4</v>
      </c>
      <c r="S108" s="95"/>
      <c r="T108" s="98"/>
      <c r="U108" s="112">
        <f>R108*P108+350/61*O108</f>
        <v>577.69180327868844</v>
      </c>
      <c r="V108" s="113">
        <f t="shared" si="17"/>
        <v>6.0176229508196712</v>
      </c>
      <c r="W108" s="114">
        <f t="shared" si="18"/>
        <v>0.85966042154566735</v>
      </c>
      <c r="X108" s="95"/>
      <c r="Y108" s="95"/>
      <c r="Z108" s="102"/>
      <c r="AA108" s="103">
        <v>45668</v>
      </c>
      <c r="AB108" s="103">
        <v>45697</v>
      </c>
      <c r="AC108" s="103"/>
      <c r="AD108" s="102">
        <f>IF(ISNA(VLOOKUP(D108,亚马逊入库配置费!B:F,5,0)),0,VLOOKUP(D108,亚马逊入库配置费!B:F,5,0))</f>
        <v>0</v>
      </c>
      <c r="AE108" s="102">
        <f t="shared" si="13"/>
        <v>0</v>
      </c>
      <c r="AF108" s="103">
        <v>45709</v>
      </c>
      <c r="AG108" s="91">
        <f t="shared" si="14"/>
        <v>41</v>
      </c>
      <c r="AH108" s="103">
        <v>45709</v>
      </c>
      <c r="AI108" s="103">
        <v>45732</v>
      </c>
      <c r="AJ108" s="96">
        <v>176</v>
      </c>
      <c r="AK108" s="91">
        <f t="shared" si="15"/>
        <v>23</v>
      </c>
      <c r="AL108" s="96">
        <f t="shared" si="16"/>
        <v>64</v>
      </c>
      <c r="AM108" s="92"/>
      <c r="AN108" s="91"/>
      <c r="AO108" s="91"/>
    </row>
    <row r="109" spans="1:41" ht="14.5" x14ac:dyDescent="0.25">
      <c r="A109" s="92" t="s">
        <v>285</v>
      </c>
      <c r="B109" s="91"/>
      <c r="C109" s="91" t="s">
        <v>204</v>
      </c>
      <c r="D109" s="92" t="s">
        <v>286</v>
      </c>
      <c r="E109" s="91" t="s">
        <v>287</v>
      </c>
      <c r="F109" s="91" t="s">
        <v>0</v>
      </c>
      <c r="G109" s="56" t="s">
        <v>288</v>
      </c>
      <c r="H109" s="91">
        <v>64</v>
      </c>
      <c r="I109" s="91" t="s">
        <v>207</v>
      </c>
      <c r="J109" s="91" t="s">
        <v>8</v>
      </c>
      <c r="K109" s="92" t="s">
        <v>11</v>
      </c>
      <c r="L109" s="93" t="s">
        <v>3040</v>
      </c>
      <c r="M109" s="94" t="s">
        <v>3324</v>
      </c>
      <c r="N109" s="95" t="s">
        <v>2785</v>
      </c>
      <c r="O109" s="96">
        <v>4</v>
      </c>
      <c r="P109" s="111">
        <f>1258/93*O109</f>
        <v>54.107526881720432</v>
      </c>
      <c r="Q109" s="91" t="s">
        <v>16</v>
      </c>
      <c r="R109" s="91">
        <v>4.8</v>
      </c>
      <c r="S109" s="95"/>
      <c r="T109" s="98"/>
      <c r="U109" s="112">
        <f>R109*P109+400/161*O109</f>
        <v>269.65401723101581</v>
      </c>
      <c r="V109" s="113">
        <f t="shared" si="17"/>
        <v>4.2133440192346221</v>
      </c>
      <c r="W109" s="114">
        <f t="shared" si="18"/>
        <v>0.60190628846208882</v>
      </c>
      <c r="X109" s="95"/>
      <c r="Y109" s="95"/>
      <c r="Z109" s="102"/>
      <c r="AA109" s="103">
        <v>45668</v>
      </c>
      <c r="AB109" s="103">
        <v>45697</v>
      </c>
      <c r="AC109" s="103"/>
      <c r="AD109" s="102">
        <f>IF(ISNA(VLOOKUP(D109,亚马逊入库配置费!B:F,5,0)),0,VLOOKUP(D109,亚马逊入库配置费!B:F,5,0))</f>
        <v>0.34</v>
      </c>
      <c r="AE109" s="102">
        <f t="shared" si="13"/>
        <v>21.76</v>
      </c>
      <c r="AF109" s="103">
        <v>45715</v>
      </c>
      <c r="AG109" s="91">
        <f t="shared" si="14"/>
        <v>47</v>
      </c>
      <c r="AH109" s="103">
        <v>45715</v>
      </c>
      <c r="AI109" s="103">
        <v>45744</v>
      </c>
      <c r="AJ109" s="96">
        <v>64</v>
      </c>
      <c r="AK109" s="91">
        <f t="shared" si="15"/>
        <v>29</v>
      </c>
      <c r="AL109" s="96">
        <f t="shared" si="16"/>
        <v>76</v>
      </c>
      <c r="AM109" s="92"/>
      <c r="AN109" s="91"/>
      <c r="AO109" s="91"/>
    </row>
    <row r="110" spans="1:41" ht="14.5" x14ac:dyDescent="0.25">
      <c r="A110" s="92" t="s">
        <v>289</v>
      </c>
      <c r="B110" s="91"/>
      <c r="C110" s="91" t="s">
        <v>220</v>
      </c>
      <c r="D110" s="92" t="s">
        <v>290</v>
      </c>
      <c r="E110" s="91" t="s">
        <v>287</v>
      </c>
      <c r="F110" s="91" t="s">
        <v>0</v>
      </c>
      <c r="G110" s="56" t="s">
        <v>288</v>
      </c>
      <c r="H110" s="91">
        <v>48</v>
      </c>
      <c r="I110" s="91" t="s">
        <v>207</v>
      </c>
      <c r="J110" s="91" t="s">
        <v>8</v>
      </c>
      <c r="K110" s="92" t="s">
        <v>14</v>
      </c>
      <c r="L110" s="93" t="s">
        <v>3040</v>
      </c>
      <c r="M110" s="94" t="s">
        <v>3324</v>
      </c>
      <c r="N110" s="95" t="s">
        <v>2785</v>
      </c>
      <c r="O110" s="96">
        <v>3</v>
      </c>
      <c r="P110" s="111">
        <f>1067/79*O110</f>
        <v>40.518987341772146</v>
      </c>
      <c r="Q110" s="91" t="s">
        <v>16</v>
      </c>
      <c r="R110" s="91">
        <v>5.9</v>
      </c>
      <c r="S110" s="95"/>
      <c r="T110" s="98"/>
      <c r="U110" s="112">
        <f>R110*P110+400/79*O110</f>
        <v>254.25189873417719</v>
      </c>
      <c r="V110" s="113">
        <f t="shared" si="17"/>
        <v>5.2969145569620251</v>
      </c>
      <c r="W110" s="114">
        <f t="shared" si="18"/>
        <v>0.75670207956600355</v>
      </c>
      <c r="X110" s="95"/>
      <c r="Y110" s="95"/>
      <c r="Z110" s="102"/>
      <c r="AA110" s="103">
        <v>45668</v>
      </c>
      <c r="AB110" s="103">
        <v>45697</v>
      </c>
      <c r="AC110" s="103"/>
      <c r="AD110" s="102">
        <f>IF(ISNA(VLOOKUP(D110,亚马逊入库配置费!B:F,5,0)),0,VLOOKUP(D110,亚马逊入库配置费!B:F,5,0))</f>
        <v>0.34</v>
      </c>
      <c r="AE110" s="102">
        <f t="shared" si="13"/>
        <v>16.32</v>
      </c>
      <c r="AF110" s="103">
        <v>45713</v>
      </c>
      <c r="AG110" s="91">
        <f t="shared" si="14"/>
        <v>45</v>
      </c>
      <c r="AH110" s="103">
        <v>45713</v>
      </c>
      <c r="AI110" s="103">
        <v>45739</v>
      </c>
      <c r="AJ110" s="96">
        <v>48</v>
      </c>
      <c r="AK110" s="91">
        <f t="shared" si="15"/>
        <v>26</v>
      </c>
      <c r="AL110" s="96">
        <f t="shared" si="16"/>
        <v>71</v>
      </c>
      <c r="AM110" s="92"/>
      <c r="AN110" s="91"/>
      <c r="AO110" s="91"/>
    </row>
    <row r="111" spans="1:41" ht="14.5" x14ac:dyDescent="0.25">
      <c r="A111" s="92" t="s">
        <v>291</v>
      </c>
      <c r="B111" s="91" t="s">
        <v>3325</v>
      </c>
      <c r="C111" s="91" t="s">
        <v>204</v>
      </c>
      <c r="D111" s="92" t="s">
        <v>292</v>
      </c>
      <c r="E111" s="91" t="s">
        <v>287</v>
      </c>
      <c r="F111" s="91" t="s">
        <v>0</v>
      </c>
      <c r="G111" s="56" t="s">
        <v>288</v>
      </c>
      <c r="H111" s="91">
        <v>48</v>
      </c>
      <c r="I111" s="91" t="s">
        <v>207</v>
      </c>
      <c r="J111" s="91" t="s">
        <v>8</v>
      </c>
      <c r="K111" s="92" t="s">
        <v>13</v>
      </c>
      <c r="L111" s="93" t="s">
        <v>3040</v>
      </c>
      <c r="M111" s="94" t="s">
        <v>3324</v>
      </c>
      <c r="N111" s="95" t="s">
        <v>2785</v>
      </c>
      <c r="O111" s="96">
        <v>3</v>
      </c>
      <c r="P111" s="111">
        <f>921/68*O111</f>
        <v>40.632352941176471</v>
      </c>
      <c r="Q111" s="91" t="s">
        <v>16</v>
      </c>
      <c r="R111" s="91">
        <v>4.8</v>
      </c>
      <c r="S111" s="95"/>
      <c r="T111" s="98"/>
      <c r="U111" s="112">
        <f>R111*P111+400/161*O111</f>
        <v>202.48871026671537</v>
      </c>
      <c r="V111" s="113">
        <f t="shared" si="17"/>
        <v>4.2185147972232366</v>
      </c>
      <c r="W111" s="114">
        <f t="shared" si="18"/>
        <v>0.60264497103189096</v>
      </c>
      <c r="X111" s="95"/>
      <c r="Y111" s="95"/>
      <c r="Z111" s="102"/>
      <c r="AA111" s="103">
        <v>45668</v>
      </c>
      <c r="AB111" s="103">
        <v>45697</v>
      </c>
      <c r="AC111" s="103"/>
      <c r="AD111" s="102">
        <f>IF(ISNA(VLOOKUP(D111,亚马逊入库配置费!B:F,5,0)),0,VLOOKUP(D111,亚马逊入库配置费!B:F,5,0))</f>
        <v>0.34</v>
      </c>
      <c r="AE111" s="102">
        <f t="shared" si="13"/>
        <v>16.32</v>
      </c>
      <c r="AF111" s="103">
        <v>45722</v>
      </c>
      <c r="AG111" s="91">
        <f t="shared" si="14"/>
        <v>54</v>
      </c>
      <c r="AH111" s="103">
        <v>45722</v>
      </c>
      <c r="AI111" s="103">
        <v>45750</v>
      </c>
      <c r="AJ111" s="96">
        <v>47</v>
      </c>
      <c r="AK111" s="91">
        <f t="shared" si="15"/>
        <v>28</v>
      </c>
      <c r="AL111" s="96">
        <f t="shared" si="16"/>
        <v>82</v>
      </c>
      <c r="AM111" s="92"/>
      <c r="AN111" s="91"/>
      <c r="AO111" s="91"/>
    </row>
    <row r="112" spans="1:41" ht="14.5" x14ac:dyDescent="0.25">
      <c r="A112" s="92" t="s">
        <v>293</v>
      </c>
      <c r="B112" s="91"/>
      <c r="C112" s="91" t="s">
        <v>276</v>
      </c>
      <c r="D112" s="92" t="s">
        <v>294</v>
      </c>
      <c r="E112" s="91" t="s">
        <v>295</v>
      </c>
      <c r="F112" s="91" t="s">
        <v>87</v>
      </c>
      <c r="G112" s="56" t="s">
        <v>296</v>
      </c>
      <c r="H112" s="91">
        <v>84</v>
      </c>
      <c r="I112" s="91" t="s">
        <v>207</v>
      </c>
      <c r="J112" s="91" t="s">
        <v>90</v>
      </c>
      <c r="K112" s="92" t="s">
        <v>280</v>
      </c>
      <c r="L112" s="93" t="s">
        <v>2684</v>
      </c>
      <c r="M112" s="94" t="s">
        <v>3326</v>
      </c>
      <c r="N112" s="95" t="s">
        <v>2917</v>
      </c>
      <c r="O112" s="96">
        <v>7</v>
      </c>
      <c r="P112" s="111">
        <f>863/61*O112</f>
        <v>99.032786885245898</v>
      </c>
      <c r="Q112" s="91" t="s">
        <v>16</v>
      </c>
      <c r="R112" s="91">
        <v>6.4</v>
      </c>
      <c r="S112" s="95"/>
      <c r="T112" s="98"/>
      <c r="U112" s="112">
        <f>R112*P112+350/61*O112</f>
        <v>673.97377049180329</v>
      </c>
      <c r="V112" s="113">
        <f t="shared" si="17"/>
        <v>8.0234972677595628</v>
      </c>
      <c r="W112" s="114">
        <f t="shared" si="18"/>
        <v>1.1462138953942234</v>
      </c>
      <c r="X112" s="95"/>
      <c r="Y112" s="95"/>
      <c r="Z112" s="102"/>
      <c r="AA112" s="103">
        <v>45668</v>
      </c>
      <c r="AB112" s="103">
        <v>45697</v>
      </c>
      <c r="AC112" s="103"/>
      <c r="AD112" s="102">
        <f>IF(ISNA(VLOOKUP(D112,亚马逊入库配置费!B:F,5,0)),0,VLOOKUP(D112,亚马逊入库配置费!B:F,5,0))</f>
        <v>0</v>
      </c>
      <c r="AE112" s="102">
        <f t="shared" si="13"/>
        <v>0</v>
      </c>
      <c r="AF112" s="103">
        <v>45709</v>
      </c>
      <c r="AG112" s="91">
        <f t="shared" si="14"/>
        <v>41</v>
      </c>
      <c r="AH112" s="103">
        <v>45709</v>
      </c>
      <c r="AI112" s="103">
        <v>45728</v>
      </c>
      <c r="AJ112" s="96">
        <v>252</v>
      </c>
      <c r="AK112" s="91">
        <f t="shared" si="15"/>
        <v>19</v>
      </c>
      <c r="AL112" s="96">
        <f t="shared" si="16"/>
        <v>60</v>
      </c>
      <c r="AM112" s="92"/>
      <c r="AN112" s="91"/>
      <c r="AO112" s="91"/>
    </row>
    <row r="113" spans="1:41" ht="14.5" x14ac:dyDescent="0.25">
      <c r="A113" s="92" t="s">
        <v>297</v>
      </c>
      <c r="B113" s="91"/>
      <c r="C113" s="91" t="s">
        <v>276</v>
      </c>
      <c r="D113" s="92" t="s">
        <v>294</v>
      </c>
      <c r="E113" s="91" t="s">
        <v>295</v>
      </c>
      <c r="F113" s="91" t="s">
        <v>87</v>
      </c>
      <c r="G113" s="56" t="s">
        <v>298</v>
      </c>
      <c r="H113" s="91">
        <v>156</v>
      </c>
      <c r="I113" s="91" t="s">
        <v>207</v>
      </c>
      <c r="J113" s="91" t="s">
        <v>90</v>
      </c>
      <c r="K113" s="92" t="s">
        <v>280</v>
      </c>
      <c r="L113" s="93" t="s">
        <v>2689</v>
      </c>
      <c r="M113" s="94" t="s">
        <v>3327</v>
      </c>
      <c r="N113" s="95" t="s">
        <v>2919</v>
      </c>
      <c r="O113" s="96">
        <v>13</v>
      </c>
      <c r="P113" s="111">
        <f>863/61*O113</f>
        <v>183.91803278688525</v>
      </c>
      <c r="Q113" s="91" t="s">
        <v>16</v>
      </c>
      <c r="R113" s="91">
        <v>6.4</v>
      </c>
      <c r="S113" s="95"/>
      <c r="T113" s="98"/>
      <c r="U113" s="112">
        <f>R113*P113+350/61*O113</f>
        <v>1251.6655737704918</v>
      </c>
      <c r="V113" s="113">
        <f t="shared" si="17"/>
        <v>8.0234972677595628</v>
      </c>
      <c r="W113" s="114">
        <f t="shared" si="18"/>
        <v>1.1462138953942234</v>
      </c>
      <c r="X113" s="95"/>
      <c r="Y113" s="95"/>
      <c r="Z113" s="102"/>
      <c r="AA113" s="103">
        <v>45668</v>
      </c>
      <c r="AB113" s="103">
        <v>45697</v>
      </c>
      <c r="AC113" s="103"/>
      <c r="AD113" s="102">
        <f>IF(ISNA(VLOOKUP(D113,亚马逊入库配置费!B:F,5,0)),0,VLOOKUP(D113,亚马逊入库配置费!B:F,5,0))</f>
        <v>0</v>
      </c>
      <c r="AE113" s="102">
        <f t="shared" si="13"/>
        <v>0</v>
      </c>
      <c r="AF113" s="103">
        <v>45709</v>
      </c>
      <c r="AG113" s="91">
        <f t="shared" si="14"/>
        <v>41</v>
      </c>
      <c r="AH113" s="103">
        <v>45709</v>
      </c>
      <c r="AI113" s="103">
        <v>45728</v>
      </c>
      <c r="AJ113" s="96">
        <v>156</v>
      </c>
      <c r="AK113" s="91">
        <f t="shared" si="15"/>
        <v>19</v>
      </c>
      <c r="AL113" s="96">
        <f t="shared" si="16"/>
        <v>60</v>
      </c>
      <c r="AM113" s="92"/>
      <c r="AN113" s="91"/>
      <c r="AO113" s="91"/>
    </row>
    <row r="114" spans="1:41" ht="14.5" x14ac:dyDescent="0.25">
      <c r="A114" s="92" t="s">
        <v>299</v>
      </c>
      <c r="B114" s="91"/>
      <c r="C114" s="91" t="s">
        <v>276</v>
      </c>
      <c r="D114" s="92" t="s">
        <v>294</v>
      </c>
      <c r="E114" s="91" t="s">
        <v>295</v>
      </c>
      <c r="F114" s="91" t="s">
        <v>87</v>
      </c>
      <c r="G114" s="56" t="s">
        <v>300</v>
      </c>
      <c r="H114" s="91">
        <v>252</v>
      </c>
      <c r="I114" s="91" t="s">
        <v>207</v>
      </c>
      <c r="J114" s="91" t="s">
        <v>90</v>
      </c>
      <c r="K114" s="92" t="s">
        <v>280</v>
      </c>
      <c r="L114" s="93" t="s">
        <v>2679</v>
      </c>
      <c r="M114" s="94" t="s">
        <v>3328</v>
      </c>
      <c r="N114" s="95" t="s">
        <v>2917</v>
      </c>
      <c r="O114" s="96">
        <v>21</v>
      </c>
      <c r="P114" s="111">
        <f>863/61*O114</f>
        <v>297.09836065573768</v>
      </c>
      <c r="Q114" s="91" t="s">
        <v>16</v>
      </c>
      <c r="R114" s="91">
        <v>6.4</v>
      </c>
      <c r="S114" s="95"/>
      <c r="T114" s="98"/>
      <c r="U114" s="112">
        <f>R114*P114+350/61*O114</f>
        <v>2021.9213114754098</v>
      </c>
      <c r="V114" s="113">
        <f t="shared" si="17"/>
        <v>8.0234972677595628</v>
      </c>
      <c r="W114" s="114">
        <f t="shared" si="18"/>
        <v>1.1462138953942234</v>
      </c>
      <c r="X114" s="95"/>
      <c r="Y114" s="95"/>
      <c r="Z114" s="102"/>
      <c r="AA114" s="103">
        <v>45668</v>
      </c>
      <c r="AB114" s="103">
        <v>45697</v>
      </c>
      <c r="AC114" s="103"/>
      <c r="AD114" s="102">
        <f>IF(ISNA(VLOOKUP(D114,亚马逊入库配置费!B:F,5,0)),0,VLOOKUP(D114,亚马逊入库配置费!B:F,5,0))</f>
        <v>0</v>
      </c>
      <c r="AE114" s="102">
        <f t="shared" si="13"/>
        <v>0</v>
      </c>
      <c r="AF114" s="103">
        <v>45709</v>
      </c>
      <c r="AG114" s="91">
        <f t="shared" si="14"/>
        <v>41</v>
      </c>
      <c r="AH114" s="103">
        <v>45709</v>
      </c>
      <c r="AI114" s="103">
        <v>45728</v>
      </c>
      <c r="AJ114" s="96">
        <v>84</v>
      </c>
      <c r="AK114" s="91">
        <f t="shared" si="15"/>
        <v>19</v>
      </c>
      <c r="AL114" s="96">
        <f t="shared" si="16"/>
        <v>60</v>
      </c>
      <c r="AM114" s="92"/>
      <c r="AN114" s="91"/>
      <c r="AO114" s="91"/>
    </row>
    <row r="115" spans="1:41" ht="14.5" x14ac:dyDescent="0.25">
      <c r="A115" s="92" t="s">
        <v>301</v>
      </c>
      <c r="B115" s="91" t="s">
        <v>302</v>
      </c>
      <c r="C115" s="91" t="s">
        <v>303</v>
      </c>
      <c r="D115" s="92" t="s">
        <v>304</v>
      </c>
      <c r="E115" s="91" t="s">
        <v>115</v>
      </c>
      <c r="F115" s="91" t="s">
        <v>0</v>
      </c>
      <c r="G115" s="56" t="s">
        <v>305</v>
      </c>
      <c r="H115" s="91">
        <v>312</v>
      </c>
      <c r="I115" s="91" t="s">
        <v>306</v>
      </c>
      <c r="J115" s="91" t="s">
        <v>7</v>
      </c>
      <c r="K115" s="92" t="s">
        <v>39</v>
      </c>
      <c r="L115" s="93" t="s">
        <v>3041</v>
      </c>
      <c r="M115" s="94" t="s">
        <v>3329</v>
      </c>
      <c r="N115" s="95" t="s">
        <v>3042</v>
      </c>
      <c r="O115" s="96">
        <v>4</v>
      </c>
      <c r="P115" s="111">
        <f>328/16*O115</f>
        <v>82</v>
      </c>
      <c r="Q115" s="91" t="s">
        <v>16</v>
      </c>
      <c r="R115" s="91">
        <v>12.6</v>
      </c>
      <c r="S115" s="95"/>
      <c r="T115" s="98"/>
      <c r="U115" s="112">
        <f>R115*P115+25*O115</f>
        <v>1133.2</v>
      </c>
      <c r="V115" s="113">
        <f t="shared" si="17"/>
        <v>3.632051282051282</v>
      </c>
      <c r="W115" s="114">
        <f t="shared" si="18"/>
        <v>0.51886446886446891</v>
      </c>
      <c r="X115" s="95"/>
      <c r="Y115" s="95"/>
      <c r="Z115" s="102"/>
      <c r="AA115" s="103">
        <v>45668</v>
      </c>
      <c r="AB115" s="103">
        <v>45696</v>
      </c>
      <c r="AC115" s="103">
        <v>45708</v>
      </c>
      <c r="AD115" s="102">
        <f>IF(ISNA(VLOOKUP(D115,亚马逊入库配置费!B:F,5,0)),0,VLOOKUP(D115,亚马逊入库配置费!B:F,5,0))</f>
        <v>0.21779527559055101</v>
      </c>
      <c r="AE115" s="102">
        <f t="shared" si="13"/>
        <v>67.952125984251921</v>
      </c>
      <c r="AF115" s="103">
        <v>45712</v>
      </c>
      <c r="AG115" s="91">
        <f t="shared" si="14"/>
        <v>44</v>
      </c>
      <c r="AH115" s="103">
        <v>45712</v>
      </c>
      <c r="AI115" s="103">
        <v>45716</v>
      </c>
      <c r="AJ115" s="96">
        <v>312</v>
      </c>
      <c r="AK115" s="91">
        <f t="shared" si="15"/>
        <v>4</v>
      </c>
      <c r="AL115" s="96">
        <f t="shared" si="16"/>
        <v>48</v>
      </c>
      <c r="AM115" s="92" t="s">
        <v>307</v>
      </c>
      <c r="AN115" s="91"/>
      <c r="AO115" s="91"/>
    </row>
    <row r="116" spans="1:41" ht="14.5" x14ac:dyDescent="0.25">
      <c r="A116" s="92" t="s">
        <v>308</v>
      </c>
      <c r="B116" s="91" t="s">
        <v>302</v>
      </c>
      <c r="C116" s="91" t="s">
        <v>303</v>
      </c>
      <c r="D116" s="92" t="s">
        <v>304</v>
      </c>
      <c r="E116" s="91" t="s">
        <v>115</v>
      </c>
      <c r="F116" s="91" t="s">
        <v>0</v>
      </c>
      <c r="G116" s="56" t="s">
        <v>309</v>
      </c>
      <c r="H116" s="91">
        <v>90</v>
      </c>
      <c r="I116" s="91" t="s">
        <v>306</v>
      </c>
      <c r="J116" s="91" t="s">
        <v>7</v>
      </c>
      <c r="K116" s="92" t="s">
        <v>39</v>
      </c>
      <c r="L116" s="93" t="s">
        <v>3043</v>
      </c>
      <c r="M116" s="94" t="s">
        <v>3330</v>
      </c>
      <c r="N116" s="95" t="s">
        <v>3042</v>
      </c>
      <c r="O116" s="96">
        <v>1</v>
      </c>
      <c r="P116" s="111">
        <f>328/16*O116</f>
        <v>20.5</v>
      </c>
      <c r="Q116" s="91" t="s">
        <v>16</v>
      </c>
      <c r="R116" s="91">
        <v>12.6</v>
      </c>
      <c r="S116" s="95"/>
      <c r="T116" s="98"/>
      <c r="U116" s="112">
        <f>R116*P116+25*O116</f>
        <v>283.3</v>
      </c>
      <c r="V116" s="113">
        <f t="shared" si="17"/>
        <v>3.1477777777777778</v>
      </c>
      <c r="W116" s="114">
        <f t="shared" si="18"/>
        <v>0.44968253968253968</v>
      </c>
      <c r="X116" s="95"/>
      <c r="Y116" s="95"/>
      <c r="Z116" s="102"/>
      <c r="AA116" s="103">
        <v>45668</v>
      </c>
      <c r="AB116" s="103">
        <v>45696</v>
      </c>
      <c r="AC116" s="103">
        <v>45708</v>
      </c>
      <c r="AD116" s="102">
        <f>IF(ISNA(VLOOKUP(D116,亚马逊入库配置费!B:F,5,0)),0,VLOOKUP(D116,亚马逊入库配置费!B:F,5,0))</f>
        <v>0.21779527559055101</v>
      </c>
      <c r="AE116" s="102">
        <f t="shared" si="13"/>
        <v>19.601574803149589</v>
      </c>
      <c r="AF116" s="103">
        <v>45712</v>
      </c>
      <c r="AG116" s="91">
        <f t="shared" si="14"/>
        <v>44</v>
      </c>
      <c r="AH116" s="103">
        <v>45712</v>
      </c>
      <c r="AI116" s="103">
        <v>45716</v>
      </c>
      <c r="AJ116" s="96">
        <v>90</v>
      </c>
      <c r="AK116" s="91">
        <f t="shared" si="15"/>
        <v>4</v>
      </c>
      <c r="AL116" s="96">
        <f t="shared" si="16"/>
        <v>48</v>
      </c>
      <c r="AM116" s="92" t="s">
        <v>307</v>
      </c>
      <c r="AN116" s="91"/>
      <c r="AO116" s="91"/>
    </row>
    <row r="117" spans="1:41" ht="14.5" x14ac:dyDescent="0.25">
      <c r="A117" s="92" t="s">
        <v>310</v>
      </c>
      <c r="B117" s="91" t="s">
        <v>302</v>
      </c>
      <c r="C117" s="91" t="s">
        <v>303</v>
      </c>
      <c r="D117" s="92" t="s">
        <v>304</v>
      </c>
      <c r="E117" s="91" t="s">
        <v>115</v>
      </c>
      <c r="F117" s="91" t="s">
        <v>0</v>
      </c>
      <c r="G117" s="56" t="s">
        <v>311</v>
      </c>
      <c r="H117" s="91">
        <v>90</v>
      </c>
      <c r="I117" s="91" t="s">
        <v>306</v>
      </c>
      <c r="J117" s="91" t="s">
        <v>7</v>
      </c>
      <c r="K117" s="92" t="s">
        <v>39</v>
      </c>
      <c r="L117" s="93" t="s">
        <v>3044</v>
      </c>
      <c r="M117" s="94" t="s">
        <v>3331</v>
      </c>
      <c r="N117" s="95" t="s">
        <v>3042</v>
      </c>
      <c r="O117" s="96">
        <v>1</v>
      </c>
      <c r="P117" s="111">
        <f>328/16*O117</f>
        <v>20.5</v>
      </c>
      <c r="Q117" s="91" t="s">
        <v>16</v>
      </c>
      <c r="R117" s="91">
        <v>12.6</v>
      </c>
      <c r="S117" s="95"/>
      <c r="T117" s="98"/>
      <c r="U117" s="112">
        <f>R117*P117+25*O117</f>
        <v>283.3</v>
      </c>
      <c r="V117" s="113">
        <f t="shared" si="17"/>
        <v>3.1477777777777778</v>
      </c>
      <c r="W117" s="114">
        <f t="shared" si="18"/>
        <v>0.44968253968253968</v>
      </c>
      <c r="X117" s="95"/>
      <c r="Y117" s="95"/>
      <c r="Z117" s="102"/>
      <c r="AA117" s="103">
        <v>45668</v>
      </c>
      <c r="AB117" s="103">
        <v>45696</v>
      </c>
      <c r="AC117" s="103">
        <v>45708</v>
      </c>
      <c r="AD117" s="102">
        <f>IF(ISNA(VLOOKUP(D117,亚马逊入库配置费!B:F,5,0)),0,VLOOKUP(D117,亚马逊入库配置费!B:F,5,0))</f>
        <v>0.21779527559055101</v>
      </c>
      <c r="AE117" s="102">
        <f t="shared" si="13"/>
        <v>19.601574803149589</v>
      </c>
      <c r="AF117" s="103">
        <v>45712</v>
      </c>
      <c r="AG117" s="91">
        <f t="shared" si="14"/>
        <v>44</v>
      </c>
      <c r="AH117" s="103">
        <v>45712</v>
      </c>
      <c r="AI117" s="103">
        <v>45716</v>
      </c>
      <c r="AJ117" s="96">
        <v>90</v>
      </c>
      <c r="AK117" s="91">
        <f t="shared" si="15"/>
        <v>4</v>
      </c>
      <c r="AL117" s="96">
        <f t="shared" si="16"/>
        <v>48</v>
      </c>
      <c r="AM117" s="92" t="s">
        <v>307</v>
      </c>
      <c r="AN117" s="91"/>
      <c r="AO117" s="91"/>
    </row>
    <row r="118" spans="1:41" ht="14.5" x14ac:dyDescent="0.25">
      <c r="A118" s="92" t="s">
        <v>312</v>
      </c>
      <c r="B118" s="91" t="s">
        <v>302</v>
      </c>
      <c r="C118" s="91" t="s">
        <v>303</v>
      </c>
      <c r="D118" s="92" t="s">
        <v>304</v>
      </c>
      <c r="E118" s="91" t="s">
        <v>115</v>
      </c>
      <c r="F118" s="91" t="s">
        <v>0</v>
      </c>
      <c r="G118" s="56" t="s">
        <v>313</v>
      </c>
      <c r="H118" s="91">
        <v>90</v>
      </c>
      <c r="I118" s="91" t="s">
        <v>306</v>
      </c>
      <c r="J118" s="91" t="s">
        <v>7</v>
      </c>
      <c r="K118" s="92" t="s">
        <v>39</v>
      </c>
      <c r="L118" s="93" t="s">
        <v>3045</v>
      </c>
      <c r="M118" s="94" t="s">
        <v>3332</v>
      </c>
      <c r="N118" s="95" t="s">
        <v>3042</v>
      </c>
      <c r="O118" s="96">
        <v>1</v>
      </c>
      <c r="P118" s="111">
        <f>328/16*O118</f>
        <v>20.5</v>
      </c>
      <c r="Q118" s="91" t="s">
        <v>16</v>
      </c>
      <c r="R118" s="91">
        <v>12.6</v>
      </c>
      <c r="S118" s="95"/>
      <c r="T118" s="98"/>
      <c r="U118" s="112">
        <f>R118*P118+25*O118</f>
        <v>283.3</v>
      </c>
      <c r="V118" s="113">
        <f t="shared" si="17"/>
        <v>3.1477777777777778</v>
      </c>
      <c r="W118" s="114">
        <f t="shared" si="18"/>
        <v>0.44968253968253968</v>
      </c>
      <c r="X118" s="95"/>
      <c r="Y118" s="95"/>
      <c r="Z118" s="102"/>
      <c r="AA118" s="103">
        <v>45668</v>
      </c>
      <c r="AB118" s="103">
        <v>45696</v>
      </c>
      <c r="AC118" s="103">
        <v>45708</v>
      </c>
      <c r="AD118" s="102">
        <f>IF(ISNA(VLOOKUP(D118,亚马逊入库配置费!B:F,5,0)),0,VLOOKUP(D118,亚马逊入库配置费!B:F,5,0))</f>
        <v>0.21779527559055101</v>
      </c>
      <c r="AE118" s="102">
        <f t="shared" si="13"/>
        <v>19.601574803149589</v>
      </c>
      <c r="AF118" s="103">
        <v>45712</v>
      </c>
      <c r="AG118" s="91">
        <f t="shared" si="14"/>
        <v>44</v>
      </c>
      <c r="AH118" s="103">
        <v>45712</v>
      </c>
      <c r="AI118" s="103">
        <v>45716</v>
      </c>
      <c r="AJ118" s="96">
        <v>90</v>
      </c>
      <c r="AK118" s="91">
        <f t="shared" si="15"/>
        <v>4</v>
      </c>
      <c r="AL118" s="96">
        <f t="shared" si="16"/>
        <v>48</v>
      </c>
      <c r="AM118" s="92" t="s">
        <v>307</v>
      </c>
      <c r="AN118" s="91"/>
      <c r="AO118" s="91"/>
    </row>
    <row r="119" spans="1:41" ht="14.5" x14ac:dyDescent="0.25">
      <c r="A119" s="92" t="s">
        <v>314</v>
      </c>
      <c r="B119" s="91"/>
      <c r="C119" s="91" t="s">
        <v>303</v>
      </c>
      <c r="D119" s="92" t="s">
        <v>315</v>
      </c>
      <c r="E119" s="91" t="s">
        <v>115</v>
      </c>
      <c r="F119" s="91" t="s">
        <v>0</v>
      </c>
      <c r="G119" s="56" t="s">
        <v>316</v>
      </c>
      <c r="H119" s="91">
        <v>180</v>
      </c>
      <c r="I119" s="91" t="s">
        <v>306</v>
      </c>
      <c r="J119" s="91" t="s">
        <v>6</v>
      </c>
      <c r="K119" s="92" t="s">
        <v>35</v>
      </c>
      <c r="L119" s="93" t="s">
        <v>3046</v>
      </c>
      <c r="M119" s="94" t="s">
        <v>3333</v>
      </c>
      <c r="N119" s="95" t="s">
        <v>3042</v>
      </c>
      <c r="O119" s="96">
        <v>2</v>
      </c>
      <c r="P119" s="111">
        <v>39</v>
      </c>
      <c r="Q119" s="91" t="s">
        <v>16</v>
      </c>
      <c r="R119" s="91">
        <v>5.5</v>
      </c>
      <c r="S119" s="95"/>
      <c r="T119" s="98"/>
      <c r="U119" s="112">
        <f>R119*P119</f>
        <v>214.5</v>
      </c>
      <c r="V119" s="113">
        <f t="shared" si="17"/>
        <v>1.1916666666666667</v>
      </c>
      <c r="W119" s="114">
        <f t="shared" si="18"/>
        <v>0.17023809523809524</v>
      </c>
      <c r="X119" s="95"/>
      <c r="Y119" s="95"/>
      <c r="Z119" s="102"/>
      <c r="AA119" s="103">
        <v>45668</v>
      </c>
      <c r="AB119" s="103">
        <v>45696</v>
      </c>
      <c r="AC119" s="103">
        <v>45704</v>
      </c>
      <c r="AD119" s="102">
        <f>IF(ISNA(VLOOKUP(D119,亚马逊入库配置费!B:F,5,0)),0,VLOOKUP(D119,亚马逊入库配置费!B:F,5,0))</f>
        <v>0.21779527559055101</v>
      </c>
      <c r="AE119" s="102">
        <f t="shared" si="13"/>
        <v>39.203149606299178</v>
      </c>
      <c r="AF119" s="103">
        <v>45717</v>
      </c>
      <c r="AG119" s="91">
        <f t="shared" si="14"/>
        <v>49</v>
      </c>
      <c r="AH119" s="103">
        <v>45717</v>
      </c>
      <c r="AI119" s="103">
        <v>45737</v>
      </c>
      <c r="AJ119" s="96">
        <v>180</v>
      </c>
      <c r="AK119" s="91">
        <f t="shared" si="15"/>
        <v>20</v>
      </c>
      <c r="AL119" s="96">
        <f t="shared" si="16"/>
        <v>69</v>
      </c>
      <c r="AM119" s="92"/>
      <c r="AN119" s="91"/>
      <c r="AO119" s="91"/>
    </row>
    <row r="120" spans="1:41" ht="14.5" x14ac:dyDescent="0.25">
      <c r="A120" s="92" t="s">
        <v>317</v>
      </c>
      <c r="B120" s="91" t="s">
        <v>302</v>
      </c>
      <c r="C120" s="91" t="s">
        <v>303</v>
      </c>
      <c r="D120" s="92" t="s">
        <v>318</v>
      </c>
      <c r="E120" s="91" t="s">
        <v>97</v>
      </c>
      <c r="F120" s="91" t="s">
        <v>0</v>
      </c>
      <c r="G120" s="56" t="s">
        <v>305</v>
      </c>
      <c r="H120" s="91">
        <v>468</v>
      </c>
      <c r="I120" s="91" t="s">
        <v>306</v>
      </c>
      <c r="J120" s="91" t="s">
        <v>7</v>
      </c>
      <c r="K120" s="92" t="s">
        <v>39</v>
      </c>
      <c r="L120" s="93" t="s">
        <v>3041</v>
      </c>
      <c r="M120" s="94" t="s">
        <v>3329</v>
      </c>
      <c r="N120" s="95" t="s">
        <v>3042</v>
      </c>
      <c r="O120" s="96">
        <v>6</v>
      </c>
      <c r="P120" s="111">
        <f>328/16*O120</f>
        <v>123</v>
      </c>
      <c r="Q120" s="91" t="s">
        <v>16</v>
      </c>
      <c r="R120" s="91">
        <v>12.6</v>
      </c>
      <c r="S120" s="95"/>
      <c r="T120" s="98"/>
      <c r="U120" s="112">
        <f>R120*P120+25*O120</f>
        <v>1699.8</v>
      </c>
      <c r="V120" s="113">
        <f t="shared" si="17"/>
        <v>3.632051282051282</v>
      </c>
      <c r="W120" s="114">
        <f t="shared" si="18"/>
        <v>0.51886446886446891</v>
      </c>
      <c r="X120" s="95"/>
      <c r="Y120" s="95"/>
      <c r="Z120" s="102"/>
      <c r="AA120" s="103">
        <v>45668</v>
      </c>
      <c r="AB120" s="103">
        <v>45696</v>
      </c>
      <c r="AC120" s="103">
        <v>45708</v>
      </c>
      <c r="AD120" s="102">
        <f>IF(ISNA(VLOOKUP(D120,亚马逊入库配置费!B:F,5,0)),0,VLOOKUP(D120,亚马逊入库配置费!B:F,5,0))</f>
        <v>0.18</v>
      </c>
      <c r="AE120" s="102">
        <f t="shared" si="13"/>
        <v>84.24</v>
      </c>
      <c r="AF120" s="103">
        <v>45712</v>
      </c>
      <c r="AG120" s="91">
        <f t="shared" si="14"/>
        <v>44</v>
      </c>
      <c r="AH120" s="103">
        <v>45712</v>
      </c>
      <c r="AI120" s="103">
        <v>45715</v>
      </c>
      <c r="AJ120" s="96">
        <v>468</v>
      </c>
      <c r="AK120" s="91">
        <f t="shared" si="15"/>
        <v>3</v>
      </c>
      <c r="AL120" s="96">
        <f t="shared" si="16"/>
        <v>47</v>
      </c>
      <c r="AM120" s="92" t="s">
        <v>307</v>
      </c>
      <c r="AN120" s="91"/>
      <c r="AO120" s="91"/>
    </row>
    <row r="121" spans="1:41" ht="14.5" x14ac:dyDescent="0.25">
      <c r="A121" s="92" t="s">
        <v>319</v>
      </c>
      <c r="B121" s="91" t="s">
        <v>302</v>
      </c>
      <c r="C121" s="91" t="s">
        <v>303</v>
      </c>
      <c r="D121" s="92" t="s">
        <v>318</v>
      </c>
      <c r="E121" s="91" t="s">
        <v>97</v>
      </c>
      <c r="F121" s="91" t="s">
        <v>0</v>
      </c>
      <c r="G121" s="56" t="s">
        <v>313</v>
      </c>
      <c r="H121" s="91">
        <v>90</v>
      </c>
      <c r="I121" s="91" t="s">
        <v>306</v>
      </c>
      <c r="J121" s="91" t="s">
        <v>7</v>
      </c>
      <c r="K121" s="92" t="s">
        <v>39</v>
      </c>
      <c r="L121" s="93" t="s">
        <v>3045</v>
      </c>
      <c r="M121" s="94" t="s">
        <v>3332</v>
      </c>
      <c r="N121" s="95" t="s">
        <v>3042</v>
      </c>
      <c r="O121" s="96">
        <v>1</v>
      </c>
      <c r="P121" s="111">
        <f>328/16*O121</f>
        <v>20.5</v>
      </c>
      <c r="Q121" s="91" t="s">
        <v>16</v>
      </c>
      <c r="R121" s="91">
        <v>12.6</v>
      </c>
      <c r="S121" s="95"/>
      <c r="T121" s="98"/>
      <c r="U121" s="112">
        <f>R121*P121+25*O121</f>
        <v>283.3</v>
      </c>
      <c r="V121" s="113">
        <f t="shared" si="17"/>
        <v>3.1477777777777778</v>
      </c>
      <c r="W121" s="114">
        <f t="shared" si="18"/>
        <v>0.44968253968253968</v>
      </c>
      <c r="X121" s="95"/>
      <c r="Y121" s="95"/>
      <c r="Z121" s="102"/>
      <c r="AA121" s="103">
        <v>45668</v>
      </c>
      <c r="AB121" s="103">
        <v>45696</v>
      </c>
      <c r="AC121" s="103">
        <v>45708</v>
      </c>
      <c r="AD121" s="102">
        <f>IF(ISNA(VLOOKUP(D121,亚马逊入库配置费!B:F,5,0)),0,VLOOKUP(D121,亚马逊入库配置费!B:F,5,0))</f>
        <v>0.18</v>
      </c>
      <c r="AE121" s="102">
        <f t="shared" si="13"/>
        <v>16.2</v>
      </c>
      <c r="AF121" s="103">
        <v>45712</v>
      </c>
      <c r="AG121" s="91">
        <f t="shared" si="14"/>
        <v>44</v>
      </c>
      <c r="AH121" s="103">
        <v>45712</v>
      </c>
      <c r="AI121" s="103">
        <v>45715</v>
      </c>
      <c r="AJ121" s="96">
        <v>90</v>
      </c>
      <c r="AK121" s="91">
        <f t="shared" si="15"/>
        <v>3</v>
      </c>
      <c r="AL121" s="96">
        <f t="shared" si="16"/>
        <v>47</v>
      </c>
      <c r="AM121" s="92" t="s">
        <v>307</v>
      </c>
      <c r="AN121" s="91"/>
      <c r="AO121" s="91"/>
    </row>
    <row r="122" spans="1:41" ht="14.5" x14ac:dyDescent="0.25">
      <c r="A122" s="92" t="s">
        <v>320</v>
      </c>
      <c r="B122" s="91" t="s">
        <v>302</v>
      </c>
      <c r="C122" s="91" t="s">
        <v>303</v>
      </c>
      <c r="D122" s="92" t="s">
        <v>318</v>
      </c>
      <c r="E122" s="91" t="s">
        <v>97</v>
      </c>
      <c r="F122" s="91" t="s">
        <v>0</v>
      </c>
      <c r="G122" s="56" t="s">
        <v>309</v>
      </c>
      <c r="H122" s="91">
        <v>90</v>
      </c>
      <c r="I122" s="91" t="s">
        <v>306</v>
      </c>
      <c r="J122" s="91" t="s">
        <v>7</v>
      </c>
      <c r="K122" s="92" t="s">
        <v>39</v>
      </c>
      <c r="L122" s="93" t="s">
        <v>3043</v>
      </c>
      <c r="M122" s="94" t="s">
        <v>3330</v>
      </c>
      <c r="N122" s="95" t="s">
        <v>3042</v>
      </c>
      <c r="O122" s="96">
        <v>1</v>
      </c>
      <c r="P122" s="111">
        <f>328/16*O122</f>
        <v>20.5</v>
      </c>
      <c r="Q122" s="91" t="s">
        <v>16</v>
      </c>
      <c r="R122" s="91">
        <v>12.6</v>
      </c>
      <c r="S122" s="95"/>
      <c r="T122" s="98"/>
      <c r="U122" s="112">
        <f>R122*P122+25*O122</f>
        <v>283.3</v>
      </c>
      <c r="V122" s="113">
        <f t="shared" si="17"/>
        <v>3.1477777777777778</v>
      </c>
      <c r="W122" s="114">
        <f t="shared" si="18"/>
        <v>0.44968253968253968</v>
      </c>
      <c r="X122" s="95"/>
      <c r="Y122" s="95"/>
      <c r="Z122" s="102"/>
      <c r="AA122" s="103">
        <v>45668</v>
      </c>
      <c r="AB122" s="103">
        <v>45696</v>
      </c>
      <c r="AC122" s="103">
        <v>45708</v>
      </c>
      <c r="AD122" s="102">
        <f>IF(ISNA(VLOOKUP(D122,亚马逊入库配置费!B:F,5,0)),0,VLOOKUP(D122,亚马逊入库配置费!B:F,5,0))</f>
        <v>0.18</v>
      </c>
      <c r="AE122" s="102">
        <f t="shared" si="13"/>
        <v>16.2</v>
      </c>
      <c r="AF122" s="103">
        <v>45712</v>
      </c>
      <c r="AG122" s="91">
        <f t="shared" si="14"/>
        <v>44</v>
      </c>
      <c r="AH122" s="103">
        <v>45712</v>
      </c>
      <c r="AI122" s="103">
        <v>45715</v>
      </c>
      <c r="AJ122" s="96">
        <v>90</v>
      </c>
      <c r="AK122" s="91">
        <f t="shared" si="15"/>
        <v>3</v>
      </c>
      <c r="AL122" s="96">
        <f t="shared" si="16"/>
        <v>47</v>
      </c>
      <c r="AM122" s="92" t="s">
        <v>307</v>
      </c>
      <c r="AN122" s="91"/>
      <c r="AO122" s="91"/>
    </row>
    <row r="123" spans="1:41" ht="14.5" x14ac:dyDescent="0.25">
      <c r="A123" s="92" t="s">
        <v>321</v>
      </c>
      <c r="B123" s="91" t="s">
        <v>3334</v>
      </c>
      <c r="C123" s="91" t="s">
        <v>303</v>
      </c>
      <c r="D123" s="92" t="s">
        <v>318</v>
      </c>
      <c r="E123" s="91" t="s">
        <v>97</v>
      </c>
      <c r="F123" s="91" t="s">
        <v>0</v>
      </c>
      <c r="G123" s="56" t="s">
        <v>311</v>
      </c>
      <c r="H123" s="91">
        <v>90</v>
      </c>
      <c r="I123" s="91" t="s">
        <v>306</v>
      </c>
      <c r="J123" s="91" t="s">
        <v>7</v>
      </c>
      <c r="K123" s="92" t="s">
        <v>39</v>
      </c>
      <c r="L123" s="93" t="s">
        <v>3044</v>
      </c>
      <c r="M123" s="94" t="s">
        <v>3331</v>
      </c>
      <c r="N123" s="95" t="s">
        <v>3042</v>
      </c>
      <c r="O123" s="96">
        <v>1</v>
      </c>
      <c r="P123" s="111">
        <f>328/16*O123</f>
        <v>20.5</v>
      </c>
      <c r="Q123" s="91" t="s">
        <v>16</v>
      </c>
      <c r="R123" s="91">
        <v>12.6</v>
      </c>
      <c r="S123" s="95"/>
      <c r="T123" s="98"/>
      <c r="U123" s="112">
        <f>R123*P123+25*O123</f>
        <v>283.3</v>
      </c>
      <c r="V123" s="113">
        <f t="shared" si="17"/>
        <v>3.1477777777777778</v>
      </c>
      <c r="W123" s="114">
        <f t="shared" si="18"/>
        <v>0.44968253968253968</v>
      </c>
      <c r="X123" s="95"/>
      <c r="Y123" s="95"/>
      <c r="Z123" s="102"/>
      <c r="AA123" s="103">
        <v>45668</v>
      </c>
      <c r="AB123" s="103">
        <v>45696</v>
      </c>
      <c r="AC123" s="103">
        <v>45708</v>
      </c>
      <c r="AD123" s="102">
        <f>IF(ISNA(VLOOKUP(D123,亚马逊入库配置费!B:F,5,0)),0,VLOOKUP(D123,亚马逊入库配置费!B:F,5,0))</f>
        <v>0.18</v>
      </c>
      <c r="AE123" s="102">
        <f t="shared" si="13"/>
        <v>16.2</v>
      </c>
      <c r="AF123" s="103">
        <v>45712</v>
      </c>
      <c r="AG123" s="91">
        <f t="shared" si="14"/>
        <v>44</v>
      </c>
      <c r="AH123" s="103">
        <v>45712</v>
      </c>
      <c r="AI123" s="103">
        <v>45715</v>
      </c>
      <c r="AJ123" s="96">
        <v>89</v>
      </c>
      <c r="AK123" s="91">
        <f t="shared" si="15"/>
        <v>3</v>
      </c>
      <c r="AL123" s="96">
        <f t="shared" si="16"/>
        <v>47</v>
      </c>
      <c r="AM123" s="92" t="s">
        <v>307</v>
      </c>
      <c r="AN123" s="91"/>
      <c r="AO123" s="91"/>
    </row>
    <row r="124" spans="1:41" ht="14.5" x14ac:dyDescent="0.25">
      <c r="A124" s="92" t="s">
        <v>322</v>
      </c>
      <c r="B124" s="91"/>
      <c r="C124" s="91" t="s">
        <v>323</v>
      </c>
      <c r="D124" s="92" t="s">
        <v>324</v>
      </c>
      <c r="E124" s="91" t="s">
        <v>115</v>
      </c>
      <c r="F124" s="91" t="s">
        <v>0</v>
      </c>
      <c r="G124" s="56" t="s">
        <v>325</v>
      </c>
      <c r="H124" s="91">
        <v>76</v>
      </c>
      <c r="I124" s="91" t="s">
        <v>117</v>
      </c>
      <c r="J124" s="91" t="s">
        <v>8</v>
      </c>
      <c r="K124" s="92" t="s">
        <v>30</v>
      </c>
      <c r="L124" s="93" t="s">
        <v>3047</v>
      </c>
      <c r="M124" s="94" t="s">
        <v>3335</v>
      </c>
      <c r="N124" s="95" t="s">
        <v>2823</v>
      </c>
      <c r="O124" s="96">
        <v>19</v>
      </c>
      <c r="P124" s="111">
        <v>434</v>
      </c>
      <c r="Q124" s="91" t="s">
        <v>16</v>
      </c>
      <c r="R124" s="91">
        <v>7.2</v>
      </c>
      <c r="S124" s="95"/>
      <c r="T124" s="98"/>
      <c r="U124" s="112">
        <f>R124*P124+350</f>
        <v>3474.8</v>
      </c>
      <c r="V124" s="113">
        <f t="shared" si="17"/>
        <v>45.721052631578949</v>
      </c>
      <c r="W124" s="114">
        <f t="shared" si="18"/>
        <v>6.5315789473684216</v>
      </c>
      <c r="X124" s="95"/>
      <c r="Y124" s="95"/>
      <c r="Z124" s="102"/>
      <c r="AA124" s="103">
        <v>45674</v>
      </c>
      <c r="AB124" s="103">
        <v>45710</v>
      </c>
      <c r="AC124" s="103"/>
      <c r="AD124" s="102">
        <f>IF(ISNA(VLOOKUP(D124,亚马逊入库配置费!B:F,5,0)),0,VLOOKUP(D124,亚马逊入库配置费!B:F,5,0))</f>
        <v>0</v>
      </c>
      <c r="AE124" s="102">
        <f t="shared" si="13"/>
        <v>0</v>
      </c>
      <c r="AF124" s="103">
        <v>45729</v>
      </c>
      <c r="AG124" s="91">
        <f t="shared" si="14"/>
        <v>55</v>
      </c>
      <c r="AH124" s="103">
        <v>45729</v>
      </c>
      <c r="AI124" s="103">
        <v>45730</v>
      </c>
      <c r="AJ124" s="96">
        <v>76</v>
      </c>
      <c r="AK124" s="91">
        <f t="shared" si="15"/>
        <v>1</v>
      </c>
      <c r="AL124" s="96">
        <f t="shared" si="16"/>
        <v>56</v>
      </c>
      <c r="AM124" s="92"/>
      <c r="AN124" s="91"/>
      <c r="AO124" s="91"/>
    </row>
    <row r="125" spans="1:41" ht="14.5" x14ac:dyDescent="0.25">
      <c r="A125" s="92" t="s">
        <v>326</v>
      </c>
      <c r="B125" s="91"/>
      <c r="C125" s="91" t="s">
        <v>327</v>
      </c>
      <c r="D125" s="92" t="s">
        <v>328</v>
      </c>
      <c r="E125" s="91" t="s">
        <v>115</v>
      </c>
      <c r="F125" s="91" t="s">
        <v>0</v>
      </c>
      <c r="G125" s="56" t="s">
        <v>325</v>
      </c>
      <c r="H125" s="91">
        <v>124</v>
      </c>
      <c r="I125" s="91" t="s">
        <v>117</v>
      </c>
      <c r="J125" s="91" t="s">
        <v>8</v>
      </c>
      <c r="K125" s="92" t="s">
        <v>41</v>
      </c>
      <c r="L125" s="93" t="s">
        <v>3047</v>
      </c>
      <c r="M125" s="94" t="s">
        <v>3335</v>
      </c>
      <c r="N125" s="95" t="s">
        <v>2823</v>
      </c>
      <c r="O125" s="96">
        <v>31</v>
      </c>
      <c r="P125" s="111">
        <v>709</v>
      </c>
      <c r="Q125" s="91" t="s">
        <v>16</v>
      </c>
      <c r="R125" s="91">
        <v>7.8</v>
      </c>
      <c r="S125" s="95"/>
      <c r="T125" s="98"/>
      <c r="U125" s="112">
        <f>R125*P125+350</f>
        <v>5880.2</v>
      </c>
      <c r="V125" s="113">
        <f t="shared" si="17"/>
        <v>47.420967741935485</v>
      </c>
      <c r="W125" s="114">
        <f t="shared" si="18"/>
        <v>6.7744239631336409</v>
      </c>
      <c r="X125" s="95"/>
      <c r="Y125" s="95"/>
      <c r="Z125" s="102"/>
      <c r="AA125" s="103">
        <v>45674</v>
      </c>
      <c r="AB125" s="103">
        <v>45710</v>
      </c>
      <c r="AC125" s="103"/>
      <c r="AD125" s="102">
        <f>IF(ISNA(VLOOKUP(D125,亚马逊入库配置费!B:F,5,0)),0,VLOOKUP(D125,亚马逊入库配置费!B:F,5,0))</f>
        <v>0</v>
      </c>
      <c r="AE125" s="102">
        <f t="shared" si="13"/>
        <v>0</v>
      </c>
      <c r="AF125" s="103">
        <v>45739</v>
      </c>
      <c r="AG125" s="91">
        <f t="shared" si="14"/>
        <v>65</v>
      </c>
      <c r="AH125" s="103">
        <v>45739</v>
      </c>
      <c r="AI125" s="103">
        <v>45742</v>
      </c>
      <c r="AJ125" s="96">
        <v>124</v>
      </c>
      <c r="AK125" s="91">
        <f t="shared" si="15"/>
        <v>3</v>
      </c>
      <c r="AL125" s="96">
        <f t="shared" si="16"/>
        <v>68</v>
      </c>
      <c r="AM125" s="92"/>
      <c r="AN125" s="91"/>
      <c r="AO125" s="91"/>
    </row>
    <row r="126" spans="1:41" ht="14.5" x14ac:dyDescent="0.25">
      <c r="A126" s="92" t="s">
        <v>329</v>
      </c>
      <c r="B126" s="91"/>
      <c r="C126" s="91" t="s">
        <v>330</v>
      </c>
      <c r="D126" s="92" t="s">
        <v>331</v>
      </c>
      <c r="E126" s="91" t="s">
        <v>115</v>
      </c>
      <c r="F126" s="91" t="s">
        <v>0</v>
      </c>
      <c r="G126" s="56" t="s">
        <v>325</v>
      </c>
      <c r="H126" s="91">
        <v>104</v>
      </c>
      <c r="I126" s="91" t="s">
        <v>117</v>
      </c>
      <c r="J126" s="91" t="s">
        <v>8</v>
      </c>
      <c r="K126" s="92" t="s">
        <v>36</v>
      </c>
      <c r="L126" s="93" t="s">
        <v>3047</v>
      </c>
      <c r="M126" s="94" t="s">
        <v>3335</v>
      </c>
      <c r="N126" s="95" t="s">
        <v>2823</v>
      </c>
      <c r="O126" s="96">
        <v>26</v>
      </c>
      <c r="P126" s="111">
        <v>594</v>
      </c>
      <c r="Q126" s="91" t="s">
        <v>16</v>
      </c>
      <c r="R126" s="91">
        <v>6</v>
      </c>
      <c r="S126" s="95"/>
      <c r="T126" s="98"/>
      <c r="U126" s="112">
        <f>R126*P126+350</f>
        <v>3914</v>
      </c>
      <c r="V126" s="113">
        <f t="shared" si="17"/>
        <v>37.634615384615387</v>
      </c>
      <c r="W126" s="114">
        <f t="shared" si="18"/>
        <v>5.3763736263736268</v>
      </c>
      <c r="X126" s="95"/>
      <c r="Y126" s="95"/>
      <c r="Z126" s="102"/>
      <c r="AA126" s="103">
        <v>45674</v>
      </c>
      <c r="AB126" s="103">
        <v>45706</v>
      </c>
      <c r="AC126" s="103"/>
      <c r="AD126" s="102">
        <f>IF(ISNA(VLOOKUP(D126,亚马逊入库配置费!B:F,5,0)),0,VLOOKUP(D126,亚马逊入库配置费!B:F,5,0))</f>
        <v>0</v>
      </c>
      <c r="AE126" s="102">
        <f t="shared" si="13"/>
        <v>0</v>
      </c>
      <c r="AF126" s="103">
        <v>45742</v>
      </c>
      <c r="AG126" s="91">
        <f t="shared" si="14"/>
        <v>68</v>
      </c>
      <c r="AH126" s="103">
        <v>45742</v>
      </c>
      <c r="AI126" s="103">
        <v>45744</v>
      </c>
      <c r="AJ126" s="96">
        <v>104</v>
      </c>
      <c r="AK126" s="91">
        <f t="shared" si="15"/>
        <v>2</v>
      </c>
      <c r="AL126" s="96">
        <f t="shared" si="16"/>
        <v>70</v>
      </c>
      <c r="AM126" s="92"/>
      <c r="AN126" s="91"/>
      <c r="AO126" s="91"/>
    </row>
    <row r="127" spans="1:41" ht="14.5" x14ac:dyDescent="0.25">
      <c r="A127" s="92" t="s">
        <v>332</v>
      </c>
      <c r="B127" s="91"/>
      <c r="C127" s="91" t="s">
        <v>333</v>
      </c>
      <c r="D127" s="92" t="s">
        <v>334</v>
      </c>
      <c r="E127" s="91" t="s">
        <v>115</v>
      </c>
      <c r="F127" s="91" t="s">
        <v>0</v>
      </c>
      <c r="G127" s="56" t="s">
        <v>325</v>
      </c>
      <c r="H127" s="91">
        <v>136</v>
      </c>
      <c r="I127" s="91" t="s">
        <v>117</v>
      </c>
      <c r="J127" s="91" t="s">
        <v>2</v>
      </c>
      <c r="K127" s="92" t="s">
        <v>38</v>
      </c>
      <c r="L127" s="93" t="s">
        <v>3047</v>
      </c>
      <c r="M127" s="94" t="s">
        <v>3335</v>
      </c>
      <c r="N127" s="95" t="s">
        <v>2823</v>
      </c>
      <c r="O127" s="96">
        <v>34</v>
      </c>
      <c r="P127" s="111">
        <v>777</v>
      </c>
      <c r="Q127" s="91" t="s">
        <v>16</v>
      </c>
      <c r="R127" s="91">
        <v>7.4</v>
      </c>
      <c r="S127" s="95"/>
      <c r="T127" s="98"/>
      <c r="U127" s="112">
        <f>R127*P127+350</f>
        <v>6099.8</v>
      </c>
      <c r="V127" s="113">
        <f t="shared" si="17"/>
        <v>44.851470588235294</v>
      </c>
      <c r="W127" s="114">
        <f t="shared" si="18"/>
        <v>6.4073529411764705</v>
      </c>
      <c r="X127" s="95"/>
      <c r="Y127" s="95"/>
      <c r="Z127" s="102"/>
      <c r="AA127" s="103">
        <v>45674</v>
      </c>
      <c r="AB127" s="103">
        <v>45717</v>
      </c>
      <c r="AC127" s="103"/>
      <c r="AD127" s="102">
        <f>IF(ISNA(VLOOKUP(D127,亚马逊入库配置费!B:F,5,0)),0,VLOOKUP(D127,亚马逊入库配置费!B:F,5,0))</f>
        <v>0</v>
      </c>
      <c r="AE127" s="102">
        <f t="shared" si="13"/>
        <v>0</v>
      </c>
      <c r="AF127" s="103">
        <v>45729</v>
      </c>
      <c r="AG127" s="91">
        <f t="shared" si="14"/>
        <v>55</v>
      </c>
      <c r="AH127" s="103">
        <v>45729</v>
      </c>
      <c r="AI127" s="103">
        <v>45730</v>
      </c>
      <c r="AJ127" s="96">
        <v>136</v>
      </c>
      <c r="AK127" s="91">
        <f t="shared" si="15"/>
        <v>1</v>
      </c>
      <c r="AL127" s="96">
        <f t="shared" si="16"/>
        <v>56</v>
      </c>
      <c r="AM127" s="92"/>
      <c r="AN127" s="91"/>
      <c r="AO127" s="91"/>
    </row>
    <row r="128" spans="1:41" ht="14.5" x14ac:dyDescent="0.25">
      <c r="A128" s="92" t="s">
        <v>335</v>
      </c>
      <c r="B128" s="91"/>
      <c r="C128" s="91" t="s">
        <v>336</v>
      </c>
      <c r="D128" s="92" t="s">
        <v>337</v>
      </c>
      <c r="E128" s="91" t="s">
        <v>115</v>
      </c>
      <c r="F128" s="91" t="s">
        <v>0</v>
      </c>
      <c r="G128" s="56" t="s">
        <v>325</v>
      </c>
      <c r="H128" s="91">
        <v>60</v>
      </c>
      <c r="I128" s="91" t="s">
        <v>117</v>
      </c>
      <c r="J128" s="91" t="s">
        <v>8</v>
      </c>
      <c r="K128" s="92" t="s">
        <v>29</v>
      </c>
      <c r="L128" s="93" t="s">
        <v>3047</v>
      </c>
      <c r="M128" s="94" t="s">
        <v>3335</v>
      </c>
      <c r="N128" s="95" t="s">
        <v>2823</v>
      </c>
      <c r="O128" s="96">
        <v>15</v>
      </c>
      <c r="P128" s="111">
        <v>343</v>
      </c>
      <c r="Q128" s="91" t="s">
        <v>16</v>
      </c>
      <c r="R128" s="91">
        <v>7.4</v>
      </c>
      <c r="S128" s="95"/>
      <c r="T128" s="98"/>
      <c r="U128" s="112">
        <f>R128*P128+350</f>
        <v>2888.2000000000003</v>
      </c>
      <c r="V128" s="113">
        <f t="shared" si="17"/>
        <v>48.13666666666667</v>
      </c>
      <c r="W128" s="114">
        <f t="shared" si="18"/>
        <v>6.8766666666666669</v>
      </c>
      <c r="X128" s="95"/>
      <c r="Y128" s="95"/>
      <c r="Z128" s="102"/>
      <c r="AA128" s="103">
        <v>45674</v>
      </c>
      <c r="AB128" s="103">
        <v>45710</v>
      </c>
      <c r="AC128" s="103"/>
      <c r="AD128" s="102">
        <f>IF(ISNA(VLOOKUP(D128,亚马逊入库配置费!B:F,5,0)),0,VLOOKUP(D128,亚马逊入库配置费!B:F,5,0))</f>
        <v>0</v>
      </c>
      <c r="AE128" s="102">
        <f t="shared" si="13"/>
        <v>0</v>
      </c>
      <c r="AF128" s="103">
        <v>45730</v>
      </c>
      <c r="AG128" s="91">
        <f t="shared" si="14"/>
        <v>56</v>
      </c>
      <c r="AH128" s="103">
        <v>45730</v>
      </c>
      <c r="AI128" s="103">
        <v>45736</v>
      </c>
      <c r="AJ128" s="96">
        <v>60</v>
      </c>
      <c r="AK128" s="91">
        <f t="shared" si="15"/>
        <v>6</v>
      </c>
      <c r="AL128" s="96">
        <f t="shared" si="16"/>
        <v>62</v>
      </c>
      <c r="AM128" s="92"/>
      <c r="AN128" s="91"/>
      <c r="AO128" s="91"/>
    </row>
    <row r="129" spans="1:41" ht="14.5" x14ac:dyDescent="0.25">
      <c r="A129" s="92" t="s">
        <v>338</v>
      </c>
      <c r="B129" s="91"/>
      <c r="C129" s="91" t="s">
        <v>339</v>
      </c>
      <c r="D129" s="92" t="s">
        <v>340</v>
      </c>
      <c r="E129" s="91" t="s">
        <v>341</v>
      </c>
      <c r="F129" s="91" t="s">
        <v>342</v>
      </c>
      <c r="G129" s="56" t="s">
        <v>167</v>
      </c>
      <c r="H129" s="91">
        <v>300</v>
      </c>
      <c r="I129" s="91" t="s">
        <v>207</v>
      </c>
      <c r="J129" s="91" t="s">
        <v>343</v>
      </c>
      <c r="K129" s="92" t="s">
        <v>344</v>
      </c>
      <c r="L129" s="93" t="s">
        <v>3025</v>
      </c>
      <c r="M129" s="94" t="s">
        <v>3210</v>
      </c>
      <c r="N129" s="95" t="s">
        <v>2876</v>
      </c>
      <c r="O129" s="96">
        <v>10</v>
      </c>
      <c r="P129" s="111">
        <f t="shared" ref="P129:P137" si="25">1.68/36*O129</f>
        <v>0.46666666666666662</v>
      </c>
      <c r="Q129" s="96" t="s">
        <v>3264</v>
      </c>
      <c r="R129" s="91">
        <v>680</v>
      </c>
      <c r="S129" s="95"/>
      <c r="T129" s="98"/>
      <c r="U129" s="112">
        <f t="shared" ref="U129:U137" si="26">R129*P129+395/36*O129+H129*2+O129*3</f>
        <v>1057.0555555555557</v>
      </c>
      <c r="V129" s="113">
        <f t="shared" si="17"/>
        <v>3.5235185185185189</v>
      </c>
      <c r="W129" s="114">
        <f t="shared" si="18"/>
        <v>0.50335978835978845</v>
      </c>
      <c r="X129" s="95"/>
      <c r="Y129" s="95">
        <f t="shared" ref="Y129:Y137" si="27">17395/1420*H129</f>
        <v>3675</v>
      </c>
      <c r="Z129" s="102" t="s">
        <v>345</v>
      </c>
      <c r="AA129" s="103">
        <v>45674</v>
      </c>
      <c r="AB129" s="103">
        <v>45697</v>
      </c>
      <c r="AC129" s="103"/>
      <c r="AD129" s="102">
        <f>IF(ISNA(VLOOKUP(D129,亚马逊入库配置费!B:F,5,0)),0,VLOOKUP(D129,亚马逊入库配置费!B:F,5,0))</f>
        <v>0</v>
      </c>
      <c r="AE129" s="102">
        <f t="shared" si="13"/>
        <v>0</v>
      </c>
      <c r="AF129" s="103">
        <v>45705</v>
      </c>
      <c r="AG129" s="91">
        <f t="shared" si="14"/>
        <v>31</v>
      </c>
      <c r="AH129" s="103">
        <v>45705</v>
      </c>
      <c r="AI129" s="103">
        <v>45711</v>
      </c>
      <c r="AJ129" s="96">
        <v>300</v>
      </c>
      <c r="AK129" s="91">
        <f t="shared" si="15"/>
        <v>6</v>
      </c>
      <c r="AL129" s="96">
        <f t="shared" si="16"/>
        <v>37</v>
      </c>
      <c r="AM129" s="92"/>
      <c r="AN129" s="91"/>
      <c r="AO129" s="91"/>
    </row>
    <row r="130" spans="1:41" ht="14.5" x14ac:dyDescent="0.25">
      <c r="A130" s="92" t="s">
        <v>346</v>
      </c>
      <c r="B130" s="91"/>
      <c r="C130" s="91" t="s">
        <v>339</v>
      </c>
      <c r="D130" s="92" t="s">
        <v>340</v>
      </c>
      <c r="E130" s="91" t="s">
        <v>341</v>
      </c>
      <c r="F130" s="91" t="s">
        <v>342</v>
      </c>
      <c r="G130" s="56" t="s">
        <v>169</v>
      </c>
      <c r="H130" s="91">
        <v>60</v>
      </c>
      <c r="I130" s="91" t="s">
        <v>207</v>
      </c>
      <c r="J130" s="91" t="s">
        <v>343</v>
      </c>
      <c r="K130" s="92" t="s">
        <v>344</v>
      </c>
      <c r="L130" s="93" t="s">
        <v>3026</v>
      </c>
      <c r="M130" s="94" t="s">
        <v>3211</v>
      </c>
      <c r="N130" s="95" t="s">
        <v>2876</v>
      </c>
      <c r="O130" s="96">
        <v>2</v>
      </c>
      <c r="P130" s="111">
        <f t="shared" si="25"/>
        <v>9.3333333333333324E-2</v>
      </c>
      <c r="Q130" s="96" t="s">
        <v>3264</v>
      </c>
      <c r="R130" s="91">
        <v>680</v>
      </c>
      <c r="S130" s="95"/>
      <c r="T130" s="98"/>
      <c r="U130" s="112">
        <f t="shared" si="26"/>
        <v>211.4111111111111</v>
      </c>
      <c r="V130" s="113">
        <f t="shared" si="17"/>
        <v>3.5235185185185185</v>
      </c>
      <c r="W130" s="114">
        <f t="shared" si="18"/>
        <v>0.50335978835978834</v>
      </c>
      <c r="X130" s="95"/>
      <c r="Y130" s="95">
        <f t="shared" si="27"/>
        <v>735</v>
      </c>
      <c r="Z130" s="102" t="s">
        <v>345</v>
      </c>
      <c r="AA130" s="103">
        <v>45674</v>
      </c>
      <c r="AB130" s="103">
        <v>45697</v>
      </c>
      <c r="AC130" s="103"/>
      <c r="AD130" s="102">
        <f>IF(ISNA(VLOOKUP(D130,亚马逊入库配置费!B:F,5,0)),0,VLOOKUP(D130,亚马逊入库配置费!B:F,5,0))</f>
        <v>0</v>
      </c>
      <c r="AE130" s="102">
        <f t="shared" ref="AE130:AE193" si="28">H130*AD130</f>
        <v>0</v>
      </c>
      <c r="AF130" s="103">
        <v>45705</v>
      </c>
      <c r="AG130" s="91">
        <f t="shared" ref="AG130:AG193" si="29">AF130-AA130</f>
        <v>31</v>
      </c>
      <c r="AH130" s="103">
        <v>45705</v>
      </c>
      <c r="AI130" s="103">
        <v>45711</v>
      </c>
      <c r="AJ130" s="96">
        <v>60</v>
      </c>
      <c r="AK130" s="91">
        <f t="shared" ref="AK130:AK193" si="30">AI130-AH130</f>
        <v>6</v>
      </c>
      <c r="AL130" s="96">
        <f t="shared" ref="AL130:AL193" si="31">AG130+AK130</f>
        <v>37</v>
      </c>
      <c r="AM130" s="92"/>
      <c r="AN130" s="91"/>
      <c r="AO130" s="91"/>
    </row>
    <row r="131" spans="1:41" ht="14.5" x14ac:dyDescent="0.25">
      <c r="A131" s="92" t="s">
        <v>347</v>
      </c>
      <c r="B131" s="91"/>
      <c r="C131" s="91" t="s">
        <v>339</v>
      </c>
      <c r="D131" s="92" t="s">
        <v>340</v>
      </c>
      <c r="E131" s="91" t="s">
        <v>341</v>
      </c>
      <c r="F131" s="91" t="s">
        <v>342</v>
      </c>
      <c r="G131" s="56" t="s">
        <v>176</v>
      </c>
      <c r="H131" s="91">
        <v>60</v>
      </c>
      <c r="I131" s="91" t="s">
        <v>207</v>
      </c>
      <c r="J131" s="91" t="s">
        <v>343</v>
      </c>
      <c r="K131" s="92" t="s">
        <v>344</v>
      </c>
      <c r="L131" s="93" t="s">
        <v>3029</v>
      </c>
      <c r="M131" s="94" t="s">
        <v>3306</v>
      </c>
      <c r="N131" s="95" t="s">
        <v>2876</v>
      </c>
      <c r="O131" s="96">
        <v>2</v>
      </c>
      <c r="P131" s="111">
        <f t="shared" si="25"/>
        <v>9.3333333333333324E-2</v>
      </c>
      <c r="Q131" s="96" t="s">
        <v>3264</v>
      </c>
      <c r="R131" s="91">
        <v>680</v>
      </c>
      <c r="S131" s="95"/>
      <c r="T131" s="98"/>
      <c r="U131" s="112">
        <f t="shared" si="26"/>
        <v>211.4111111111111</v>
      </c>
      <c r="V131" s="113">
        <f t="shared" ref="V131:V194" si="32">U131/H131</f>
        <v>3.5235185185185185</v>
      </c>
      <c r="W131" s="114">
        <f t="shared" ref="W131:W194" si="33">V131/7</f>
        <v>0.50335978835978834</v>
      </c>
      <c r="X131" s="95"/>
      <c r="Y131" s="95">
        <f t="shared" si="27"/>
        <v>735</v>
      </c>
      <c r="Z131" s="102" t="s">
        <v>345</v>
      </c>
      <c r="AA131" s="103">
        <v>45674</v>
      </c>
      <c r="AB131" s="103">
        <v>45697</v>
      </c>
      <c r="AC131" s="103"/>
      <c r="AD131" s="102">
        <f>IF(ISNA(VLOOKUP(D131,亚马逊入库配置费!B:F,5,0)),0,VLOOKUP(D131,亚马逊入库配置费!B:F,5,0))</f>
        <v>0</v>
      </c>
      <c r="AE131" s="102">
        <f t="shared" si="28"/>
        <v>0</v>
      </c>
      <c r="AF131" s="103">
        <v>45705</v>
      </c>
      <c r="AG131" s="91">
        <f t="shared" si="29"/>
        <v>31</v>
      </c>
      <c r="AH131" s="103">
        <v>45705</v>
      </c>
      <c r="AI131" s="103">
        <v>45711</v>
      </c>
      <c r="AJ131" s="96">
        <v>60</v>
      </c>
      <c r="AK131" s="91">
        <f t="shared" si="30"/>
        <v>6</v>
      </c>
      <c r="AL131" s="96">
        <f t="shared" si="31"/>
        <v>37</v>
      </c>
      <c r="AM131" s="92"/>
      <c r="AN131" s="91"/>
      <c r="AO131" s="91"/>
    </row>
    <row r="132" spans="1:41" ht="14.5" x14ac:dyDescent="0.25">
      <c r="A132" s="92" t="s">
        <v>348</v>
      </c>
      <c r="B132" s="91"/>
      <c r="C132" s="91" t="s">
        <v>339</v>
      </c>
      <c r="D132" s="92" t="s">
        <v>340</v>
      </c>
      <c r="E132" s="91" t="s">
        <v>341</v>
      </c>
      <c r="F132" s="91" t="s">
        <v>342</v>
      </c>
      <c r="G132" s="56" t="s">
        <v>163</v>
      </c>
      <c r="H132" s="91">
        <v>320</v>
      </c>
      <c r="I132" s="91" t="s">
        <v>207</v>
      </c>
      <c r="J132" s="91" t="s">
        <v>343</v>
      </c>
      <c r="K132" s="92" t="s">
        <v>344</v>
      </c>
      <c r="L132" s="93" t="s">
        <v>2881</v>
      </c>
      <c r="M132" s="94" t="s">
        <v>3302</v>
      </c>
      <c r="N132" s="95" t="s">
        <v>2870</v>
      </c>
      <c r="O132" s="96">
        <v>8</v>
      </c>
      <c r="P132" s="111">
        <f t="shared" si="25"/>
        <v>0.37333333333333329</v>
      </c>
      <c r="Q132" s="96" t="s">
        <v>3264</v>
      </c>
      <c r="R132" s="91">
        <v>680</v>
      </c>
      <c r="S132" s="95"/>
      <c r="T132" s="98"/>
      <c r="U132" s="112">
        <f t="shared" si="26"/>
        <v>1005.6444444444444</v>
      </c>
      <c r="V132" s="113">
        <f t="shared" si="32"/>
        <v>3.1426388888888885</v>
      </c>
      <c r="W132" s="114">
        <f t="shared" si="33"/>
        <v>0.44894841269841262</v>
      </c>
      <c r="X132" s="95"/>
      <c r="Y132" s="95">
        <f t="shared" si="27"/>
        <v>3920</v>
      </c>
      <c r="Z132" s="102" t="s">
        <v>345</v>
      </c>
      <c r="AA132" s="103">
        <v>45674</v>
      </c>
      <c r="AB132" s="103">
        <v>45697</v>
      </c>
      <c r="AC132" s="103"/>
      <c r="AD132" s="102">
        <f>IF(ISNA(VLOOKUP(D132,亚马逊入库配置费!B:F,5,0)),0,VLOOKUP(D132,亚马逊入库配置费!B:F,5,0))</f>
        <v>0</v>
      </c>
      <c r="AE132" s="102">
        <f t="shared" si="28"/>
        <v>0</v>
      </c>
      <c r="AF132" s="103">
        <v>45705</v>
      </c>
      <c r="AG132" s="91">
        <f t="shared" si="29"/>
        <v>31</v>
      </c>
      <c r="AH132" s="103">
        <v>45705</v>
      </c>
      <c r="AI132" s="103">
        <v>45711</v>
      </c>
      <c r="AJ132" s="96">
        <v>320</v>
      </c>
      <c r="AK132" s="91">
        <f t="shared" si="30"/>
        <v>6</v>
      </c>
      <c r="AL132" s="96">
        <f t="shared" si="31"/>
        <v>37</v>
      </c>
      <c r="AM132" s="92"/>
      <c r="AN132" s="91"/>
      <c r="AO132" s="91"/>
    </row>
    <row r="133" spans="1:41" ht="14.5" x14ac:dyDescent="0.25">
      <c r="A133" s="92" t="s">
        <v>349</v>
      </c>
      <c r="B133" s="91"/>
      <c r="C133" s="91" t="s">
        <v>339</v>
      </c>
      <c r="D133" s="92" t="s">
        <v>340</v>
      </c>
      <c r="E133" s="91" t="s">
        <v>341</v>
      </c>
      <c r="F133" s="91" t="s">
        <v>342</v>
      </c>
      <c r="G133" s="56" t="s">
        <v>350</v>
      </c>
      <c r="H133" s="91">
        <v>80</v>
      </c>
      <c r="I133" s="91" t="s">
        <v>207</v>
      </c>
      <c r="J133" s="91" t="s">
        <v>343</v>
      </c>
      <c r="K133" s="92" t="s">
        <v>344</v>
      </c>
      <c r="L133" s="93" t="s">
        <v>3048</v>
      </c>
      <c r="M133" s="94" t="s">
        <v>3208</v>
      </c>
      <c r="N133" s="95" t="s">
        <v>2870</v>
      </c>
      <c r="O133" s="96">
        <v>2</v>
      </c>
      <c r="P133" s="111">
        <f t="shared" si="25"/>
        <v>9.3333333333333324E-2</v>
      </c>
      <c r="Q133" s="96" t="s">
        <v>3264</v>
      </c>
      <c r="R133" s="91">
        <v>680</v>
      </c>
      <c r="S133" s="95"/>
      <c r="T133" s="98"/>
      <c r="U133" s="112">
        <f t="shared" si="26"/>
        <v>251.4111111111111</v>
      </c>
      <c r="V133" s="113">
        <f t="shared" si="32"/>
        <v>3.1426388888888885</v>
      </c>
      <c r="W133" s="114">
        <f t="shared" si="33"/>
        <v>0.44894841269841262</v>
      </c>
      <c r="X133" s="95"/>
      <c r="Y133" s="95">
        <f t="shared" si="27"/>
        <v>980</v>
      </c>
      <c r="Z133" s="102" t="s">
        <v>345</v>
      </c>
      <c r="AA133" s="103">
        <v>45674</v>
      </c>
      <c r="AB133" s="103">
        <v>45697</v>
      </c>
      <c r="AC133" s="103"/>
      <c r="AD133" s="102">
        <f>IF(ISNA(VLOOKUP(D133,亚马逊入库配置费!B:F,5,0)),0,VLOOKUP(D133,亚马逊入库配置费!B:F,5,0))</f>
        <v>0</v>
      </c>
      <c r="AE133" s="102">
        <f t="shared" si="28"/>
        <v>0</v>
      </c>
      <c r="AF133" s="103">
        <v>45705</v>
      </c>
      <c r="AG133" s="91">
        <f t="shared" si="29"/>
        <v>31</v>
      </c>
      <c r="AH133" s="103">
        <v>45705</v>
      </c>
      <c r="AI133" s="103">
        <v>45711</v>
      </c>
      <c r="AJ133" s="96">
        <v>80</v>
      </c>
      <c r="AK133" s="91">
        <f t="shared" si="30"/>
        <v>6</v>
      </c>
      <c r="AL133" s="96">
        <f t="shared" si="31"/>
        <v>37</v>
      </c>
      <c r="AM133" s="92"/>
      <c r="AN133" s="91"/>
      <c r="AO133" s="91"/>
    </row>
    <row r="134" spans="1:41" ht="14.5" x14ac:dyDescent="0.25">
      <c r="A134" s="92" t="s">
        <v>351</v>
      </c>
      <c r="B134" s="91"/>
      <c r="C134" s="91" t="s">
        <v>339</v>
      </c>
      <c r="D134" s="92" t="s">
        <v>340</v>
      </c>
      <c r="E134" s="91" t="s">
        <v>341</v>
      </c>
      <c r="F134" s="91" t="s">
        <v>342</v>
      </c>
      <c r="G134" s="56" t="s">
        <v>352</v>
      </c>
      <c r="H134" s="91">
        <v>80</v>
      </c>
      <c r="I134" s="91" t="s">
        <v>207</v>
      </c>
      <c r="J134" s="91" t="s">
        <v>343</v>
      </c>
      <c r="K134" s="92" t="s">
        <v>344</v>
      </c>
      <c r="L134" s="93" t="s">
        <v>3049</v>
      </c>
      <c r="M134" s="94" t="s">
        <v>3336</v>
      </c>
      <c r="N134" s="95" t="s">
        <v>2870</v>
      </c>
      <c r="O134" s="96">
        <v>2</v>
      </c>
      <c r="P134" s="111">
        <f t="shared" si="25"/>
        <v>9.3333333333333324E-2</v>
      </c>
      <c r="Q134" s="96" t="s">
        <v>3264</v>
      </c>
      <c r="R134" s="91">
        <v>680</v>
      </c>
      <c r="S134" s="95"/>
      <c r="T134" s="98"/>
      <c r="U134" s="112">
        <f t="shared" si="26"/>
        <v>251.4111111111111</v>
      </c>
      <c r="V134" s="113">
        <f t="shared" si="32"/>
        <v>3.1426388888888885</v>
      </c>
      <c r="W134" s="114">
        <f t="shared" si="33"/>
        <v>0.44894841269841262</v>
      </c>
      <c r="X134" s="95"/>
      <c r="Y134" s="95">
        <f t="shared" si="27"/>
        <v>980</v>
      </c>
      <c r="Z134" s="102" t="s">
        <v>345</v>
      </c>
      <c r="AA134" s="103">
        <v>45674</v>
      </c>
      <c r="AB134" s="103">
        <v>45697</v>
      </c>
      <c r="AC134" s="103"/>
      <c r="AD134" s="102">
        <f>IF(ISNA(VLOOKUP(D134,亚马逊入库配置费!B:F,5,0)),0,VLOOKUP(D134,亚马逊入库配置费!B:F,5,0))</f>
        <v>0</v>
      </c>
      <c r="AE134" s="102">
        <f t="shared" si="28"/>
        <v>0</v>
      </c>
      <c r="AF134" s="103">
        <v>45705</v>
      </c>
      <c r="AG134" s="91">
        <f t="shared" si="29"/>
        <v>31</v>
      </c>
      <c r="AH134" s="103">
        <v>45705</v>
      </c>
      <c r="AI134" s="103">
        <v>45711</v>
      </c>
      <c r="AJ134" s="96">
        <v>80</v>
      </c>
      <c r="AK134" s="91">
        <f t="shared" si="30"/>
        <v>6</v>
      </c>
      <c r="AL134" s="96">
        <f t="shared" si="31"/>
        <v>37</v>
      </c>
      <c r="AM134" s="92"/>
      <c r="AN134" s="91"/>
      <c r="AO134" s="91"/>
    </row>
    <row r="135" spans="1:41" ht="14.5" x14ac:dyDescent="0.25">
      <c r="A135" s="92" t="s">
        <v>353</v>
      </c>
      <c r="B135" s="91"/>
      <c r="C135" s="91" t="s">
        <v>339</v>
      </c>
      <c r="D135" s="92" t="s">
        <v>340</v>
      </c>
      <c r="E135" s="91" t="s">
        <v>341</v>
      </c>
      <c r="F135" s="91" t="s">
        <v>342</v>
      </c>
      <c r="G135" s="56" t="s">
        <v>165</v>
      </c>
      <c r="H135" s="91">
        <v>320</v>
      </c>
      <c r="I135" s="91" t="s">
        <v>207</v>
      </c>
      <c r="J135" s="91" t="s">
        <v>343</v>
      </c>
      <c r="K135" s="92" t="s">
        <v>344</v>
      </c>
      <c r="L135" s="93" t="s">
        <v>2880</v>
      </c>
      <c r="M135" s="94" t="s">
        <v>3209</v>
      </c>
      <c r="N135" s="95" t="s">
        <v>2870</v>
      </c>
      <c r="O135" s="96">
        <v>8</v>
      </c>
      <c r="P135" s="111">
        <f t="shared" si="25"/>
        <v>0.37333333333333329</v>
      </c>
      <c r="Q135" s="96" t="s">
        <v>3264</v>
      </c>
      <c r="R135" s="91">
        <v>680</v>
      </c>
      <c r="S135" s="95"/>
      <c r="T135" s="98"/>
      <c r="U135" s="112">
        <f t="shared" si="26"/>
        <v>1005.6444444444444</v>
      </c>
      <c r="V135" s="113">
        <f t="shared" si="32"/>
        <v>3.1426388888888885</v>
      </c>
      <c r="W135" s="114">
        <f t="shared" si="33"/>
        <v>0.44894841269841262</v>
      </c>
      <c r="X135" s="95"/>
      <c r="Y135" s="95">
        <f t="shared" si="27"/>
        <v>3920</v>
      </c>
      <c r="Z135" s="102" t="s">
        <v>345</v>
      </c>
      <c r="AA135" s="103">
        <v>45674</v>
      </c>
      <c r="AB135" s="103">
        <v>45697</v>
      </c>
      <c r="AC135" s="103"/>
      <c r="AD135" s="102">
        <f>IF(ISNA(VLOOKUP(D135,亚马逊入库配置费!B:F,5,0)),0,VLOOKUP(D135,亚马逊入库配置费!B:F,5,0))</f>
        <v>0</v>
      </c>
      <c r="AE135" s="102">
        <f t="shared" si="28"/>
        <v>0</v>
      </c>
      <c r="AF135" s="103">
        <v>45705</v>
      </c>
      <c r="AG135" s="91">
        <f t="shared" si="29"/>
        <v>31</v>
      </c>
      <c r="AH135" s="103">
        <v>45705</v>
      </c>
      <c r="AI135" s="103">
        <v>45711</v>
      </c>
      <c r="AJ135" s="96">
        <v>320</v>
      </c>
      <c r="AK135" s="91">
        <f t="shared" si="30"/>
        <v>6</v>
      </c>
      <c r="AL135" s="96">
        <f t="shared" si="31"/>
        <v>37</v>
      </c>
      <c r="AM135" s="92"/>
      <c r="AN135" s="91"/>
      <c r="AO135" s="91"/>
    </row>
    <row r="136" spans="1:41" ht="14.5" x14ac:dyDescent="0.25">
      <c r="A136" s="92" t="s">
        <v>354</v>
      </c>
      <c r="B136" s="91"/>
      <c r="C136" s="91" t="s">
        <v>339</v>
      </c>
      <c r="D136" s="92" t="s">
        <v>340</v>
      </c>
      <c r="E136" s="91" t="s">
        <v>341</v>
      </c>
      <c r="F136" s="91" t="s">
        <v>342</v>
      </c>
      <c r="G136" s="56" t="s">
        <v>355</v>
      </c>
      <c r="H136" s="91">
        <v>120</v>
      </c>
      <c r="I136" s="91" t="s">
        <v>207</v>
      </c>
      <c r="J136" s="91" t="s">
        <v>343</v>
      </c>
      <c r="K136" s="92" t="s">
        <v>344</v>
      </c>
      <c r="L136" s="93" t="s">
        <v>2712</v>
      </c>
      <c r="M136" s="94" t="s">
        <v>3216</v>
      </c>
      <c r="N136" s="95" t="s">
        <v>3050</v>
      </c>
      <c r="O136" s="96">
        <v>1</v>
      </c>
      <c r="P136" s="111">
        <f t="shared" si="25"/>
        <v>4.6666666666666662E-2</v>
      </c>
      <c r="Q136" s="96" t="s">
        <v>3264</v>
      </c>
      <c r="R136" s="91">
        <v>680</v>
      </c>
      <c r="S136" s="95"/>
      <c r="T136" s="98"/>
      <c r="U136" s="112">
        <f t="shared" si="26"/>
        <v>285.70555555555552</v>
      </c>
      <c r="V136" s="113">
        <f t="shared" si="32"/>
        <v>2.3808796296296295</v>
      </c>
      <c r="W136" s="114">
        <f t="shared" si="33"/>
        <v>0.34012566137566136</v>
      </c>
      <c r="X136" s="95"/>
      <c r="Y136" s="95">
        <f t="shared" si="27"/>
        <v>1470</v>
      </c>
      <c r="Z136" s="102" t="s">
        <v>345</v>
      </c>
      <c r="AA136" s="103">
        <v>45674</v>
      </c>
      <c r="AB136" s="103">
        <v>45697</v>
      </c>
      <c r="AC136" s="103"/>
      <c r="AD136" s="102">
        <f>IF(ISNA(VLOOKUP(D136,亚马逊入库配置费!B:F,5,0)),0,VLOOKUP(D136,亚马逊入库配置费!B:F,5,0))</f>
        <v>0</v>
      </c>
      <c r="AE136" s="102">
        <f t="shared" si="28"/>
        <v>0</v>
      </c>
      <c r="AF136" s="103">
        <v>45705</v>
      </c>
      <c r="AG136" s="91">
        <f t="shared" si="29"/>
        <v>31</v>
      </c>
      <c r="AH136" s="103">
        <v>45705</v>
      </c>
      <c r="AI136" s="103">
        <v>45711</v>
      </c>
      <c r="AJ136" s="96">
        <v>120</v>
      </c>
      <c r="AK136" s="91">
        <f t="shared" si="30"/>
        <v>6</v>
      </c>
      <c r="AL136" s="96">
        <f t="shared" si="31"/>
        <v>37</v>
      </c>
      <c r="AM136" s="92"/>
      <c r="AN136" s="91"/>
      <c r="AO136" s="91"/>
    </row>
    <row r="137" spans="1:41" ht="14.5" x14ac:dyDescent="0.25">
      <c r="A137" s="92" t="s">
        <v>356</v>
      </c>
      <c r="B137" s="91"/>
      <c r="C137" s="91" t="s">
        <v>339</v>
      </c>
      <c r="D137" s="92" t="s">
        <v>340</v>
      </c>
      <c r="E137" s="91" t="s">
        <v>341</v>
      </c>
      <c r="F137" s="91" t="s">
        <v>342</v>
      </c>
      <c r="G137" s="56" t="s">
        <v>357</v>
      </c>
      <c r="H137" s="91">
        <v>80</v>
      </c>
      <c r="I137" s="91" t="s">
        <v>207</v>
      </c>
      <c r="J137" s="91" t="s">
        <v>343</v>
      </c>
      <c r="K137" s="92" t="s">
        <v>344</v>
      </c>
      <c r="L137" s="93" t="s">
        <v>3051</v>
      </c>
      <c r="M137" s="94" t="s">
        <v>3337</v>
      </c>
      <c r="N137" s="95" t="s">
        <v>3050</v>
      </c>
      <c r="O137" s="96">
        <v>1</v>
      </c>
      <c r="P137" s="111">
        <f t="shared" si="25"/>
        <v>4.6666666666666662E-2</v>
      </c>
      <c r="Q137" s="96" t="s">
        <v>3264</v>
      </c>
      <c r="R137" s="91">
        <v>680</v>
      </c>
      <c r="S137" s="95"/>
      <c r="T137" s="98"/>
      <c r="U137" s="112">
        <f t="shared" si="26"/>
        <v>205.70555555555555</v>
      </c>
      <c r="V137" s="113">
        <f t="shared" si="32"/>
        <v>2.5713194444444443</v>
      </c>
      <c r="W137" s="114">
        <f t="shared" si="33"/>
        <v>0.36733134920634919</v>
      </c>
      <c r="X137" s="95"/>
      <c r="Y137" s="95">
        <f t="shared" si="27"/>
        <v>980</v>
      </c>
      <c r="Z137" s="102" t="s">
        <v>345</v>
      </c>
      <c r="AA137" s="103">
        <v>45674</v>
      </c>
      <c r="AB137" s="103">
        <v>45697</v>
      </c>
      <c r="AC137" s="103"/>
      <c r="AD137" s="102">
        <f>IF(ISNA(VLOOKUP(D137,亚马逊入库配置费!B:F,5,0)),0,VLOOKUP(D137,亚马逊入库配置费!B:F,5,0))</f>
        <v>0</v>
      </c>
      <c r="AE137" s="102">
        <f t="shared" si="28"/>
        <v>0</v>
      </c>
      <c r="AF137" s="103">
        <v>45705</v>
      </c>
      <c r="AG137" s="91">
        <f t="shared" si="29"/>
        <v>31</v>
      </c>
      <c r="AH137" s="103">
        <v>45705</v>
      </c>
      <c r="AI137" s="103">
        <v>45711</v>
      </c>
      <c r="AJ137" s="96">
        <v>80</v>
      </c>
      <c r="AK137" s="91">
        <f t="shared" si="30"/>
        <v>6</v>
      </c>
      <c r="AL137" s="96">
        <f t="shared" si="31"/>
        <v>37</v>
      </c>
      <c r="AM137" s="92"/>
      <c r="AN137" s="91"/>
      <c r="AO137" s="91"/>
    </row>
    <row r="138" spans="1:41" ht="14.5" x14ac:dyDescent="0.25">
      <c r="A138" s="92" t="s">
        <v>358</v>
      </c>
      <c r="B138" s="91"/>
      <c r="C138" s="91" t="s">
        <v>359</v>
      </c>
      <c r="D138" s="92" t="s">
        <v>360</v>
      </c>
      <c r="E138" s="91" t="s">
        <v>97</v>
      </c>
      <c r="F138" s="91" t="s">
        <v>0</v>
      </c>
      <c r="G138" s="56" t="s">
        <v>228</v>
      </c>
      <c r="H138" s="91">
        <v>100</v>
      </c>
      <c r="I138" s="91" t="s">
        <v>89</v>
      </c>
      <c r="J138" s="91" t="s">
        <v>8</v>
      </c>
      <c r="K138" s="92" t="s">
        <v>17</v>
      </c>
      <c r="L138" s="93" t="s">
        <v>3036</v>
      </c>
      <c r="M138" s="94" t="s">
        <v>3315</v>
      </c>
      <c r="N138" s="95" t="s">
        <v>2870</v>
      </c>
      <c r="O138" s="96">
        <v>5</v>
      </c>
      <c r="P138" s="111">
        <f t="shared" ref="P138:P146" si="34">614/42*O138</f>
        <v>73.095238095238088</v>
      </c>
      <c r="Q138" s="91" t="s">
        <v>16</v>
      </c>
      <c r="R138" s="91">
        <v>5.9</v>
      </c>
      <c r="S138" s="95"/>
      <c r="T138" s="98"/>
      <c r="U138" s="112">
        <f t="shared" ref="U138:U154" si="35">R138*P138+350/73*O138</f>
        <v>455.23450750163079</v>
      </c>
      <c r="V138" s="113">
        <f t="shared" si="32"/>
        <v>4.5523450750163077</v>
      </c>
      <c r="W138" s="114">
        <f t="shared" si="33"/>
        <v>0.65033501071661537</v>
      </c>
      <c r="X138" s="95"/>
      <c r="Y138" s="95"/>
      <c r="Z138" s="102"/>
      <c r="AA138" s="103">
        <v>45674</v>
      </c>
      <c r="AB138" s="103">
        <v>45704</v>
      </c>
      <c r="AC138" s="103"/>
      <c r="AD138" s="102">
        <f>IF(ISNA(VLOOKUP(D138,亚马逊入库配置费!B:F,5,0)),0,VLOOKUP(D138,亚马逊入库配置费!B:F,5,0))</f>
        <v>0.26829268292682901</v>
      </c>
      <c r="AE138" s="102">
        <f t="shared" si="28"/>
        <v>26.829268292682901</v>
      </c>
      <c r="AF138" s="103">
        <v>45716</v>
      </c>
      <c r="AG138" s="91">
        <f t="shared" si="29"/>
        <v>42</v>
      </c>
      <c r="AH138" s="103">
        <v>45716</v>
      </c>
      <c r="AI138" s="103">
        <v>45751</v>
      </c>
      <c r="AJ138" s="96">
        <v>100</v>
      </c>
      <c r="AK138" s="91">
        <f t="shared" si="30"/>
        <v>35</v>
      </c>
      <c r="AL138" s="96">
        <f t="shared" si="31"/>
        <v>77</v>
      </c>
      <c r="AM138" s="92"/>
      <c r="AN138" s="91"/>
      <c r="AO138" s="91"/>
    </row>
    <row r="139" spans="1:41" ht="14.5" x14ac:dyDescent="0.25">
      <c r="A139" s="92" t="s">
        <v>361</v>
      </c>
      <c r="B139" s="91"/>
      <c r="C139" s="91" t="s">
        <v>359</v>
      </c>
      <c r="D139" s="92" t="s">
        <v>360</v>
      </c>
      <c r="E139" s="91" t="s">
        <v>97</v>
      </c>
      <c r="F139" s="91" t="s">
        <v>0</v>
      </c>
      <c r="G139" s="56" t="s">
        <v>350</v>
      </c>
      <c r="H139" s="91">
        <v>120</v>
      </c>
      <c r="I139" s="91" t="s">
        <v>89</v>
      </c>
      <c r="J139" s="91" t="s">
        <v>8</v>
      </c>
      <c r="K139" s="92" t="s">
        <v>17</v>
      </c>
      <c r="L139" s="93" t="s">
        <v>3048</v>
      </c>
      <c r="M139" s="94" t="s">
        <v>3208</v>
      </c>
      <c r="N139" s="95" t="s">
        <v>2870</v>
      </c>
      <c r="O139" s="96">
        <v>3</v>
      </c>
      <c r="P139" s="111">
        <f t="shared" si="34"/>
        <v>43.857142857142854</v>
      </c>
      <c r="Q139" s="91" t="s">
        <v>16</v>
      </c>
      <c r="R139" s="91">
        <v>5.9</v>
      </c>
      <c r="S139" s="95"/>
      <c r="T139" s="98"/>
      <c r="U139" s="112">
        <f t="shared" si="35"/>
        <v>273.14070450097847</v>
      </c>
      <c r="V139" s="113">
        <f t="shared" si="32"/>
        <v>2.2761725375081538</v>
      </c>
      <c r="W139" s="114">
        <f t="shared" si="33"/>
        <v>0.32516750535830768</v>
      </c>
      <c r="X139" s="95"/>
      <c r="Y139" s="95"/>
      <c r="Z139" s="102"/>
      <c r="AA139" s="103">
        <v>45674</v>
      </c>
      <c r="AB139" s="103">
        <v>45704</v>
      </c>
      <c r="AC139" s="103"/>
      <c r="AD139" s="102">
        <f>IF(ISNA(VLOOKUP(D139,亚马逊入库配置费!B:F,5,0)),0,VLOOKUP(D139,亚马逊入库配置费!B:F,5,0))</f>
        <v>0.26829268292682901</v>
      </c>
      <c r="AE139" s="102">
        <f t="shared" si="28"/>
        <v>32.195121951219484</v>
      </c>
      <c r="AF139" s="103">
        <v>45716</v>
      </c>
      <c r="AG139" s="91">
        <f t="shared" si="29"/>
        <v>42</v>
      </c>
      <c r="AH139" s="103">
        <v>45716</v>
      </c>
      <c r="AI139" s="103">
        <v>45751</v>
      </c>
      <c r="AJ139" s="96">
        <v>120</v>
      </c>
      <c r="AK139" s="91">
        <f t="shared" si="30"/>
        <v>35</v>
      </c>
      <c r="AL139" s="96">
        <f t="shared" si="31"/>
        <v>77</v>
      </c>
      <c r="AM139" s="92"/>
      <c r="AN139" s="91"/>
      <c r="AO139" s="91"/>
    </row>
    <row r="140" spans="1:41" ht="14.5" x14ac:dyDescent="0.25">
      <c r="A140" s="92" t="s">
        <v>362</v>
      </c>
      <c r="B140" s="91"/>
      <c r="C140" s="91" t="s">
        <v>359</v>
      </c>
      <c r="D140" s="92" t="s">
        <v>360</v>
      </c>
      <c r="E140" s="91" t="s">
        <v>97</v>
      </c>
      <c r="F140" s="91" t="s">
        <v>0</v>
      </c>
      <c r="G140" s="56" t="s">
        <v>165</v>
      </c>
      <c r="H140" s="91">
        <v>120</v>
      </c>
      <c r="I140" s="91" t="s">
        <v>89</v>
      </c>
      <c r="J140" s="91" t="s">
        <v>8</v>
      </c>
      <c r="K140" s="92" t="s">
        <v>17</v>
      </c>
      <c r="L140" s="93" t="s">
        <v>2880</v>
      </c>
      <c r="M140" s="94" t="s">
        <v>3209</v>
      </c>
      <c r="N140" s="95" t="s">
        <v>2870</v>
      </c>
      <c r="O140" s="96">
        <v>3</v>
      </c>
      <c r="P140" s="111">
        <f t="shared" si="34"/>
        <v>43.857142857142854</v>
      </c>
      <c r="Q140" s="91" t="s">
        <v>16</v>
      </c>
      <c r="R140" s="91">
        <v>5.9</v>
      </c>
      <c r="S140" s="95"/>
      <c r="T140" s="98"/>
      <c r="U140" s="112">
        <f t="shared" si="35"/>
        <v>273.14070450097847</v>
      </c>
      <c r="V140" s="113">
        <f t="shared" si="32"/>
        <v>2.2761725375081538</v>
      </c>
      <c r="W140" s="114">
        <f t="shared" si="33"/>
        <v>0.32516750535830768</v>
      </c>
      <c r="X140" s="95"/>
      <c r="Y140" s="95"/>
      <c r="Z140" s="102"/>
      <c r="AA140" s="103">
        <v>45674</v>
      </c>
      <c r="AB140" s="103">
        <v>45704</v>
      </c>
      <c r="AC140" s="103"/>
      <c r="AD140" s="102">
        <f>IF(ISNA(VLOOKUP(D140,亚马逊入库配置费!B:F,5,0)),0,VLOOKUP(D140,亚马逊入库配置费!B:F,5,0))</f>
        <v>0.26829268292682901</v>
      </c>
      <c r="AE140" s="102">
        <f t="shared" si="28"/>
        <v>32.195121951219484</v>
      </c>
      <c r="AF140" s="103">
        <v>45716</v>
      </c>
      <c r="AG140" s="91">
        <f t="shared" si="29"/>
        <v>42</v>
      </c>
      <c r="AH140" s="103">
        <v>45716</v>
      </c>
      <c r="AI140" s="103">
        <v>45751</v>
      </c>
      <c r="AJ140" s="96">
        <v>120</v>
      </c>
      <c r="AK140" s="91">
        <f t="shared" si="30"/>
        <v>35</v>
      </c>
      <c r="AL140" s="96">
        <f t="shared" si="31"/>
        <v>77</v>
      </c>
      <c r="AM140" s="92"/>
      <c r="AN140" s="91"/>
      <c r="AO140" s="91"/>
    </row>
    <row r="141" spans="1:41" ht="14.5" x14ac:dyDescent="0.25">
      <c r="A141" s="92" t="s">
        <v>363</v>
      </c>
      <c r="B141" s="91"/>
      <c r="C141" s="91" t="s">
        <v>359</v>
      </c>
      <c r="D141" s="92" t="s">
        <v>360</v>
      </c>
      <c r="E141" s="91" t="s">
        <v>97</v>
      </c>
      <c r="F141" s="91" t="s">
        <v>0</v>
      </c>
      <c r="G141" s="56" t="s">
        <v>167</v>
      </c>
      <c r="H141" s="91">
        <v>210</v>
      </c>
      <c r="I141" s="91" t="s">
        <v>89</v>
      </c>
      <c r="J141" s="91" t="s">
        <v>8</v>
      </c>
      <c r="K141" s="92" t="s">
        <v>17</v>
      </c>
      <c r="L141" s="93" t="s">
        <v>3025</v>
      </c>
      <c r="M141" s="94" t="s">
        <v>3210</v>
      </c>
      <c r="N141" s="95" t="s">
        <v>2876</v>
      </c>
      <c r="O141" s="96">
        <v>7</v>
      </c>
      <c r="P141" s="111">
        <f t="shared" si="34"/>
        <v>102.33333333333333</v>
      </c>
      <c r="Q141" s="91" t="s">
        <v>16</v>
      </c>
      <c r="R141" s="91">
        <v>5.9</v>
      </c>
      <c r="S141" s="95"/>
      <c r="T141" s="98"/>
      <c r="U141" s="112">
        <f t="shared" si="35"/>
        <v>637.3283105022831</v>
      </c>
      <c r="V141" s="113">
        <f t="shared" si="32"/>
        <v>3.0348967166775385</v>
      </c>
      <c r="W141" s="114">
        <f t="shared" si="33"/>
        <v>0.43355667381107693</v>
      </c>
      <c r="X141" s="95"/>
      <c r="Y141" s="95"/>
      <c r="Z141" s="102"/>
      <c r="AA141" s="103">
        <v>45674</v>
      </c>
      <c r="AB141" s="103">
        <v>45704</v>
      </c>
      <c r="AC141" s="103"/>
      <c r="AD141" s="102">
        <f>IF(ISNA(VLOOKUP(D141,亚马逊入库配置费!B:F,5,0)),0,VLOOKUP(D141,亚马逊入库配置费!B:F,5,0))</f>
        <v>0.26829268292682901</v>
      </c>
      <c r="AE141" s="102">
        <f t="shared" si="28"/>
        <v>56.341463414634092</v>
      </c>
      <c r="AF141" s="103">
        <v>45716</v>
      </c>
      <c r="AG141" s="91">
        <f t="shared" si="29"/>
        <v>42</v>
      </c>
      <c r="AH141" s="103">
        <v>45716</v>
      </c>
      <c r="AI141" s="103">
        <v>45751</v>
      </c>
      <c r="AJ141" s="96">
        <v>210</v>
      </c>
      <c r="AK141" s="91">
        <f t="shared" si="30"/>
        <v>35</v>
      </c>
      <c r="AL141" s="96">
        <f t="shared" si="31"/>
        <v>77</v>
      </c>
      <c r="AM141" s="92"/>
      <c r="AN141" s="91"/>
      <c r="AO141" s="91"/>
    </row>
    <row r="142" spans="1:41" ht="14.5" x14ac:dyDescent="0.25">
      <c r="A142" s="92" t="s">
        <v>364</v>
      </c>
      <c r="B142" s="91"/>
      <c r="C142" s="91" t="s">
        <v>359</v>
      </c>
      <c r="D142" s="92" t="s">
        <v>360</v>
      </c>
      <c r="E142" s="91" t="s">
        <v>97</v>
      </c>
      <c r="F142" s="91" t="s">
        <v>0</v>
      </c>
      <c r="G142" s="56" t="s">
        <v>171</v>
      </c>
      <c r="H142" s="91">
        <v>180</v>
      </c>
      <c r="I142" s="91" t="s">
        <v>89</v>
      </c>
      <c r="J142" s="91" t="s">
        <v>8</v>
      </c>
      <c r="K142" s="92" t="s">
        <v>17</v>
      </c>
      <c r="L142" s="93" t="s">
        <v>3027</v>
      </c>
      <c r="M142" s="94" t="s">
        <v>3212</v>
      </c>
      <c r="N142" s="95" t="s">
        <v>2876</v>
      </c>
      <c r="O142" s="96">
        <v>6</v>
      </c>
      <c r="P142" s="111">
        <f t="shared" si="34"/>
        <v>87.714285714285708</v>
      </c>
      <c r="Q142" s="91" t="s">
        <v>16</v>
      </c>
      <c r="R142" s="91">
        <v>5.9</v>
      </c>
      <c r="S142" s="95"/>
      <c r="T142" s="98"/>
      <c r="U142" s="112">
        <f t="shared" si="35"/>
        <v>546.28140900195694</v>
      </c>
      <c r="V142" s="113">
        <f t="shared" si="32"/>
        <v>3.0348967166775385</v>
      </c>
      <c r="W142" s="114">
        <f t="shared" si="33"/>
        <v>0.43355667381107693</v>
      </c>
      <c r="X142" s="95"/>
      <c r="Y142" s="95"/>
      <c r="Z142" s="102"/>
      <c r="AA142" s="103">
        <v>45674</v>
      </c>
      <c r="AB142" s="103">
        <v>45704</v>
      </c>
      <c r="AC142" s="103"/>
      <c r="AD142" s="102">
        <f>IF(ISNA(VLOOKUP(D142,亚马逊入库配置费!B:F,5,0)),0,VLOOKUP(D142,亚马逊入库配置费!B:F,5,0))</f>
        <v>0.26829268292682901</v>
      </c>
      <c r="AE142" s="102">
        <f t="shared" si="28"/>
        <v>48.292682926829222</v>
      </c>
      <c r="AF142" s="103">
        <v>45716</v>
      </c>
      <c r="AG142" s="91">
        <f t="shared" si="29"/>
        <v>42</v>
      </c>
      <c r="AH142" s="103">
        <v>45716</v>
      </c>
      <c r="AI142" s="103">
        <v>45751</v>
      </c>
      <c r="AJ142" s="96">
        <v>180</v>
      </c>
      <c r="AK142" s="91">
        <f t="shared" si="30"/>
        <v>35</v>
      </c>
      <c r="AL142" s="96">
        <f t="shared" si="31"/>
        <v>77</v>
      </c>
      <c r="AM142" s="92"/>
      <c r="AN142" s="91"/>
      <c r="AO142" s="91"/>
    </row>
    <row r="143" spans="1:41" ht="14.5" x14ac:dyDescent="0.25">
      <c r="A143" s="92" t="s">
        <v>365</v>
      </c>
      <c r="B143" s="91"/>
      <c r="C143" s="91" t="s">
        <v>359</v>
      </c>
      <c r="D143" s="92" t="s">
        <v>360</v>
      </c>
      <c r="E143" s="91" t="s">
        <v>97</v>
      </c>
      <c r="F143" s="91" t="s">
        <v>0</v>
      </c>
      <c r="G143" s="56" t="s">
        <v>176</v>
      </c>
      <c r="H143" s="91">
        <v>30</v>
      </c>
      <c r="I143" s="91" t="s">
        <v>89</v>
      </c>
      <c r="J143" s="91" t="s">
        <v>8</v>
      </c>
      <c r="K143" s="92" t="s">
        <v>17</v>
      </c>
      <c r="L143" s="93" t="s">
        <v>3029</v>
      </c>
      <c r="M143" s="94" t="s">
        <v>3306</v>
      </c>
      <c r="N143" s="95" t="s">
        <v>2876</v>
      </c>
      <c r="O143" s="96">
        <v>1</v>
      </c>
      <c r="P143" s="111">
        <f t="shared" si="34"/>
        <v>14.619047619047619</v>
      </c>
      <c r="Q143" s="91" t="s">
        <v>16</v>
      </c>
      <c r="R143" s="91">
        <v>5.9</v>
      </c>
      <c r="S143" s="95"/>
      <c r="T143" s="98"/>
      <c r="U143" s="112">
        <f t="shared" si="35"/>
        <v>91.046901500326172</v>
      </c>
      <c r="V143" s="113">
        <f t="shared" si="32"/>
        <v>3.0348967166775389</v>
      </c>
      <c r="W143" s="114">
        <f t="shared" si="33"/>
        <v>0.43355667381107699</v>
      </c>
      <c r="X143" s="95"/>
      <c r="Y143" s="95"/>
      <c r="Z143" s="102"/>
      <c r="AA143" s="103">
        <v>45674</v>
      </c>
      <c r="AB143" s="103">
        <v>45704</v>
      </c>
      <c r="AC143" s="103"/>
      <c r="AD143" s="102">
        <f>IF(ISNA(VLOOKUP(D143,亚马逊入库配置费!B:F,5,0)),0,VLOOKUP(D143,亚马逊入库配置费!B:F,5,0))</f>
        <v>0.26829268292682901</v>
      </c>
      <c r="AE143" s="102">
        <f t="shared" si="28"/>
        <v>8.048780487804871</v>
      </c>
      <c r="AF143" s="103">
        <v>45716</v>
      </c>
      <c r="AG143" s="91">
        <f t="shared" si="29"/>
        <v>42</v>
      </c>
      <c r="AH143" s="103">
        <v>45716</v>
      </c>
      <c r="AI143" s="103">
        <v>45751</v>
      </c>
      <c r="AJ143" s="96">
        <v>30</v>
      </c>
      <c r="AK143" s="91">
        <f t="shared" si="30"/>
        <v>35</v>
      </c>
      <c r="AL143" s="96">
        <f t="shared" si="31"/>
        <v>77</v>
      </c>
      <c r="AM143" s="92"/>
      <c r="AN143" s="91"/>
      <c r="AO143" s="91"/>
    </row>
    <row r="144" spans="1:41" ht="14.5" x14ac:dyDescent="0.25">
      <c r="A144" s="92" t="s">
        <v>366</v>
      </c>
      <c r="B144" s="91"/>
      <c r="C144" s="91" t="s">
        <v>359</v>
      </c>
      <c r="D144" s="92" t="s">
        <v>360</v>
      </c>
      <c r="E144" s="91" t="s">
        <v>97</v>
      </c>
      <c r="F144" s="91" t="s">
        <v>0</v>
      </c>
      <c r="G144" s="56" t="s">
        <v>178</v>
      </c>
      <c r="H144" s="91">
        <v>60</v>
      </c>
      <c r="I144" s="91" t="s">
        <v>89</v>
      </c>
      <c r="J144" s="91" t="s">
        <v>8</v>
      </c>
      <c r="K144" s="92" t="s">
        <v>17</v>
      </c>
      <c r="L144" s="93" t="s">
        <v>3030</v>
      </c>
      <c r="M144" s="94" t="s">
        <v>3307</v>
      </c>
      <c r="N144" s="95" t="s">
        <v>2876</v>
      </c>
      <c r="O144" s="96">
        <v>2</v>
      </c>
      <c r="P144" s="111">
        <f t="shared" si="34"/>
        <v>29.238095238095237</v>
      </c>
      <c r="Q144" s="91" t="s">
        <v>16</v>
      </c>
      <c r="R144" s="91">
        <v>5.9</v>
      </c>
      <c r="S144" s="95"/>
      <c r="T144" s="98"/>
      <c r="U144" s="112">
        <f t="shared" si="35"/>
        <v>182.09380300065234</v>
      </c>
      <c r="V144" s="113">
        <f t="shared" si="32"/>
        <v>3.0348967166775389</v>
      </c>
      <c r="W144" s="114">
        <f t="shared" si="33"/>
        <v>0.43355667381107699</v>
      </c>
      <c r="X144" s="95"/>
      <c r="Y144" s="95"/>
      <c r="Z144" s="102"/>
      <c r="AA144" s="103">
        <v>45674</v>
      </c>
      <c r="AB144" s="103">
        <v>45704</v>
      </c>
      <c r="AC144" s="103"/>
      <c r="AD144" s="102">
        <f>IF(ISNA(VLOOKUP(D144,亚马逊入库配置费!B:F,5,0)),0,VLOOKUP(D144,亚马逊入库配置费!B:F,5,0))</f>
        <v>0.26829268292682901</v>
      </c>
      <c r="AE144" s="102">
        <f t="shared" si="28"/>
        <v>16.097560975609742</v>
      </c>
      <c r="AF144" s="103">
        <v>45716</v>
      </c>
      <c r="AG144" s="91">
        <f t="shared" si="29"/>
        <v>42</v>
      </c>
      <c r="AH144" s="103">
        <v>45716</v>
      </c>
      <c r="AI144" s="103">
        <v>45751</v>
      </c>
      <c r="AJ144" s="96">
        <v>60</v>
      </c>
      <c r="AK144" s="91">
        <f t="shared" si="30"/>
        <v>35</v>
      </c>
      <c r="AL144" s="96">
        <f t="shared" si="31"/>
        <v>77</v>
      </c>
      <c r="AM144" s="92"/>
      <c r="AN144" s="91"/>
      <c r="AO144" s="91"/>
    </row>
    <row r="145" spans="1:41" ht="14.5" x14ac:dyDescent="0.25">
      <c r="A145" s="92" t="s">
        <v>367</v>
      </c>
      <c r="B145" s="91"/>
      <c r="C145" s="91" t="s">
        <v>359</v>
      </c>
      <c r="D145" s="92" t="s">
        <v>368</v>
      </c>
      <c r="E145" s="91" t="s">
        <v>115</v>
      </c>
      <c r="F145" s="91" t="s">
        <v>0</v>
      </c>
      <c r="G145" s="56" t="s">
        <v>142</v>
      </c>
      <c r="H145" s="91">
        <v>360</v>
      </c>
      <c r="I145" s="91" t="s">
        <v>89</v>
      </c>
      <c r="J145" s="91" t="s">
        <v>8</v>
      </c>
      <c r="K145" s="92" t="s">
        <v>17</v>
      </c>
      <c r="L145" s="93" t="s">
        <v>3020</v>
      </c>
      <c r="M145" s="94" t="s">
        <v>3295</v>
      </c>
      <c r="N145" s="95" t="s">
        <v>2878</v>
      </c>
      <c r="O145" s="96">
        <v>12</v>
      </c>
      <c r="P145" s="111">
        <f t="shared" si="34"/>
        <v>175.42857142857142</v>
      </c>
      <c r="Q145" s="91" t="s">
        <v>16</v>
      </c>
      <c r="R145" s="91">
        <v>5.9</v>
      </c>
      <c r="S145" s="95"/>
      <c r="T145" s="98"/>
      <c r="U145" s="112">
        <f t="shared" si="35"/>
        <v>1092.5628180039139</v>
      </c>
      <c r="V145" s="113">
        <f t="shared" si="32"/>
        <v>3.0348967166775385</v>
      </c>
      <c r="W145" s="114">
        <f t="shared" si="33"/>
        <v>0.43355667381107693</v>
      </c>
      <c r="X145" s="95"/>
      <c r="Y145" s="95"/>
      <c r="Z145" s="102"/>
      <c r="AA145" s="103">
        <v>45674</v>
      </c>
      <c r="AB145" s="103">
        <v>45704</v>
      </c>
      <c r="AC145" s="103"/>
      <c r="AD145" s="102">
        <f>IF(ISNA(VLOOKUP(D145,亚马逊入库配置费!B:F,5,0)),0,VLOOKUP(D145,亚马逊入库配置费!B:F,5,0))</f>
        <v>0.28000000000000003</v>
      </c>
      <c r="AE145" s="102">
        <f t="shared" si="28"/>
        <v>100.80000000000001</v>
      </c>
      <c r="AF145" s="103">
        <v>45717</v>
      </c>
      <c r="AG145" s="91">
        <f t="shared" si="29"/>
        <v>43</v>
      </c>
      <c r="AH145" s="103">
        <v>45717</v>
      </c>
      <c r="AI145" s="103">
        <v>45749</v>
      </c>
      <c r="AJ145" s="96">
        <v>360</v>
      </c>
      <c r="AK145" s="91">
        <f t="shared" si="30"/>
        <v>32</v>
      </c>
      <c r="AL145" s="96">
        <f t="shared" si="31"/>
        <v>75</v>
      </c>
      <c r="AM145" s="92"/>
      <c r="AN145" s="91"/>
      <c r="AO145" s="91"/>
    </row>
    <row r="146" spans="1:41" ht="14.5" x14ac:dyDescent="0.25">
      <c r="A146" s="92" t="s">
        <v>369</v>
      </c>
      <c r="B146" s="91"/>
      <c r="C146" s="91" t="s">
        <v>359</v>
      </c>
      <c r="D146" s="92" t="s">
        <v>368</v>
      </c>
      <c r="E146" s="91" t="s">
        <v>115</v>
      </c>
      <c r="F146" s="91" t="s">
        <v>0</v>
      </c>
      <c r="G146" s="56" t="s">
        <v>211</v>
      </c>
      <c r="H146" s="91">
        <v>90</v>
      </c>
      <c r="I146" s="91" t="s">
        <v>89</v>
      </c>
      <c r="J146" s="91" t="s">
        <v>8</v>
      </c>
      <c r="K146" s="92" t="s">
        <v>17</v>
      </c>
      <c r="L146" s="93" t="s">
        <v>3034</v>
      </c>
      <c r="M146" s="94" t="s">
        <v>3312</v>
      </c>
      <c r="N146" s="95" t="s">
        <v>2869</v>
      </c>
      <c r="O146" s="96">
        <v>3</v>
      </c>
      <c r="P146" s="111">
        <f t="shared" si="34"/>
        <v>43.857142857142854</v>
      </c>
      <c r="Q146" s="91" t="s">
        <v>16</v>
      </c>
      <c r="R146" s="91">
        <v>5.9</v>
      </c>
      <c r="S146" s="95"/>
      <c r="T146" s="98"/>
      <c r="U146" s="112">
        <f t="shared" si="35"/>
        <v>273.14070450097847</v>
      </c>
      <c r="V146" s="113">
        <f t="shared" si="32"/>
        <v>3.0348967166775385</v>
      </c>
      <c r="W146" s="114">
        <f t="shared" si="33"/>
        <v>0.43355667381107693</v>
      </c>
      <c r="X146" s="95"/>
      <c r="Y146" s="95"/>
      <c r="Z146" s="102"/>
      <c r="AA146" s="103">
        <v>45674</v>
      </c>
      <c r="AB146" s="103">
        <v>45704</v>
      </c>
      <c r="AC146" s="103"/>
      <c r="AD146" s="102">
        <f>IF(ISNA(VLOOKUP(D146,亚马逊入库配置费!B:F,5,0)),0,VLOOKUP(D146,亚马逊入库配置费!B:F,5,0))</f>
        <v>0.28000000000000003</v>
      </c>
      <c r="AE146" s="102">
        <f t="shared" si="28"/>
        <v>25.200000000000003</v>
      </c>
      <c r="AF146" s="103">
        <v>45717</v>
      </c>
      <c r="AG146" s="91">
        <f t="shared" si="29"/>
        <v>43</v>
      </c>
      <c r="AH146" s="103">
        <v>45717</v>
      </c>
      <c r="AI146" s="103">
        <v>45749</v>
      </c>
      <c r="AJ146" s="96">
        <v>90</v>
      </c>
      <c r="AK146" s="91">
        <f t="shared" si="30"/>
        <v>32</v>
      </c>
      <c r="AL146" s="96">
        <f t="shared" si="31"/>
        <v>75</v>
      </c>
      <c r="AM146" s="92"/>
      <c r="AN146" s="91"/>
      <c r="AO146" s="91"/>
    </row>
    <row r="147" spans="1:41" ht="14.5" x14ac:dyDescent="0.25">
      <c r="A147" s="92" t="s">
        <v>370</v>
      </c>
      <c r="B147" s="91"/>
      <c r="C147" s="91" t="s">
        <v>359</v>
      </c>
      <c r="D147" s="92" t="s">
        <v>371</v>
      </c>
      <c r="E147" s="91" t="s">
        <v>97</v>
      </c>
      <c r="F147" s="91" t="s">
        <v>0</v>
      </c>
      <c r="G147" s="56" t="s">
        <v>228</v>
      </c>
      <c r="H147" s="91">
        <v>60</v>
      </c>
      <c r="I147" s="91" t="s">
        <v>89</v>
      </c>
      <c r="J147" s="91" t="s">
        <v>8</v>
      </c>
      <c r="K147" s="92" t="s">
        <v>13</v>
      </c>
      <c r="L147" s="93" t="s">
        <v>3036</v>
      </c>
      <c r="M147" s="94" t="s">
        <v>3315</v>
      </c>
      <c r="N147" s="95" t="s">
        <v>2870</v>
      </c>
      <c r="O147" s="96">
        <v>3</v>
      </c>
      <c r="P147" s="111">
        <f t="shared" ref="P147:P154" si="36">453/31*O147</f>
        <v>43.838709677419359</v>
      </c>
      <c r="Q147" s="91" t="s">
        <v>16</v>
      </c>
      <c r="R147" s="91">
        <v>5</v>
      </c>
      <c r="S147" s="95"/>
      <c r="T147" s="98"/>
      <c r="U147" s="112">
        <f t="shared" si="35"/>
        <v>233.5771100309324</v>
      </c>
      <c r="V147" s="113">
        <f t="shared" si="32"/>
        <v>3.8929518338488736</v>
      </c>
      <c r="W147" s="114">
        <f t="shared" si="33"/>
        <v>0.55613597626412481</v>
      </c>
      <c r="X147" s="95"/>
      <c r="Y147" s="95"/>
      <c r="Z147" s="102"/>
      <c r="AA147" s="103">
        <v>45674</v>
      </c>
      <c r="AB147" s="103">
        <v>45704</v>
      </c>
      <c r="AC147" s="103"/>
      <c r="AD147" s="102">
        <f>IF(ISNA(VLOOKUP(D147,亚马逊入库配置费!B:F,5,0)),0,VLOOKUP(D147,亚马逊入库配置费!B:F,5,0))</f>
        <v>0.27864406779661</v>
      </c>
      <c r="AE147" s="102">
        <f t="shared" si="28"/>
        <v>16.7186440677966</v>
      </c>
      <c r="AF147" s="103">
        <v>45722</v>
      </c>
      <c r="AG147" s="91">
        <f t="shared" si="29"/>
        <v>48</v>
      </c>
      <c r="AH147" s="103">
        <v>45722</v>
      </c>
      <c r="AI147" s="103">
        <v>45755</v>
      </c>
      <c r="AJ147" s="96">
        <v>60</v>
      </c>
      <c r="AK147" s="91">
        <f t="shared" si="30"/>
        <v>33</v>
      </c>
      <c r="AL147" s="96">
        <f t="shared" si="31"/>
        <v>81</v>
      </c>
      <c r="AM147" s="92"/>
      <c r="AN147" s="91"/>
      <c r="AO147" s="91"/>
    </row>
    <row r="148" spans="1:41" ht="14.5" x14ac:dyDescent="0.25">
      <c r="A148" s="92" t="s">
        <v>372</v>
      </c>
      <c r="B148" s="91"/>
      <c r="C148" s="91" t="s">
        <v>359</v>
      </c>
      <c r="D148" s="92" t="s">
        <v>371</v>
      </c>
      <c r="E148" s="91" t="s">
        <v>97</v>
      </c>
      <c r="F148" s="91" t="s">
        <v>0</v>
      </c>
      <c r="G148" s="56" t="s">
        <v>350</v>
      </c>
      <c r="H148" s="91">
        <v>80</v>
      </c>
      <c r="I148" s="91" t="s">
        <v>89</v>
      </c>
      <c r="J148" s="91" t="s">
        <v>8</v>
      </c>
      <c r="K148" s="92" t="s">
        <v>13</v>
      </c>
      <c r="L148" s="93" t="s">
        <v>3048</v>
      </c>
      <c r="M148" s="94" t="s">
        <v>3208</v>
      </c>
      <c r="N148" s="95" t="s">
        <v>2870</v>
      </c>
      <c r="O148" s="96">
        <v>2</v>
      </c>
      <c r="P148" s="111">
        <f t="shared" si="36"/>
        <v>29.225806451612904</v>
      </c>
      <c r="Q148" s="91" t="s">
        <v>16</v>
      </c>
      <c r="R148" s="91">
        <v>5</v>
      </c>
      <c r="S148" s="95"/>
      <c r="T148" s="98"/>
      <c r="U148" s="112">
        <f t="shared" si="35"/>
        <v>155.71807335395494</v>
      </c>
      <c r="V148" s="113">
        <f t="shared" si="32"/>
        <v>1.9464759169244368</v>
      </c>
      <c r="W148" s="114">
        <f t="shared" si="33"/>
        <v>0.2780679881320624</v>
      </c>
      <c r="X148" s="95"/>
      <c r="Y148" s="95"/>
      <c r="Z148" s="102"/>
      <c r="AA148" s="103">
        <v>45674</v>
      </c>
      <c r="AB148" s="103">
        <v>45704</v>
      </c>
      <c r="AC148" s="103"/>
      <c r="AD148" s="102">
        <f>IF(ISNA(VLOOKUP(D148,亚马逊入库配置费!B:F,5,0)),0,VLOOKUP(D148,亚马逊入库配置费!B:F,5,0))</f>
        <v>0.27864406779661</v>
      </c>
      <c r="AE148" s="102">
        <f t="shared" si="28"/>
        <v>22.2915254237288</v>
      </c>
      <c r="AF148" s="103">
        <v>45722</v>
      </c>
      <c r="AG148" s="91">
        <f t="shared" si="29"/>
        <v>48</v>
      </c>
      <c r="AH148" s="103">
        <v>45722</v>
      </c>
      <c r="AI148" s="103">
        <v>45755</v>
      </c>
      <c r="AJ148" s="96">
        <v>80</v>
      </c>
      <c r="AK148" s="91">
        <f t="shared" si="30"/>
        <v>33</v>
      </c>
      <c r="AL148" s="96">
        <f t="shared" si="31"/>
        <v>81</v>
      </c>
      <c r="AM148" s="92"/>
      <c r="AN148" s="91"/>
      <c r="AO148" s="91"/>
    </row>
    <row r="149" spans="1:41" ht="14.5" x14ac:dyDescent="0.25">
      <c r="A149" s="92" t="s">
        <v>373</v>
      </c>
      <c r="B149" s="91"/>
      <c r="C149" s="91" t="s">
        <v>359</v>
      </c>
      <c r="D149" s="92" t="s">
        <v>371</v>
      </c>
      <c r="E149" s="91" t="s">
        <v>97</v>
      </c>
      <c r="F149" s="91" t="s">
        <v>0</v>
      </c>
      <c r="G149" s="56" t="s">
        <v>165</v>
      </c>
      <c r="H149" s="91">
        <v>80</v>
      </c>
      <c r="I149" s="91" t="s">
        <v>89</v>
      </c>
      <c r="J149" s="91" t="s">
        <v>8</v>
      </c>
      <c r="K149" s="92" t="s">
        <v>13</v>
      </c>
      <c r="L149" s="93" t="s">
        <v>2880</v>
      </c>
      <c r="M149" s="94" t="s">
        <v>3209</v>
      </c>
      <c r="N149" s="95" t="s">
        <v>2870</v>
      </c>
      <c r="O149" s="96">
        <v>2</v>
      </c>
      <c r="P149" s="111">
        <f t="shared" si="36"/>
        <v>29.225806451612904</v>
      </c>
      <c r="Q149" s="91" t="s">
        <v>16</v>
      </c>
      <c r="R149" s="91">
        <v>5</v>
      </c>
      <c r="S149" s="95"/>
      <c r="T149" s="98"/>
      <c r="U149" s="112">
        <f t="shared" si="35"/>
        <v>155.71807335395494</v>
      </c>
      <c r="V149" s="113">
        <f t="shared" si="32"/>
        <v>1.9464759169244368</v>
      </c>
      <c r="W149" s="114">
        <f t="shared" si="33"/>
        <v>0.2780679881320624</v>
      </c>
      <c r="X149" s="95"/>
      <c r="Y149" s="95"/>
      <c r="Z149" s="102"/>
      <c r="AA149" s="103">
        <v>45674</v>
      </c>
      <c r="AB149" s="103">
        <v>45704</v>
      </c>
      <c r="AC149" s="103"/>
      <c r="AD149" s="102">
        <f>IF(ISNA(VLOOKUP(D149,亚马逊入库配置费!B:F,5,0)),0,VLOOKUP(D149,亚马逊入库配置费!B:F,5,0))</f>
        <v>0.27864406779661</v>
      </c>
      <c r="AE149" s="102">
        <f t="shared" si="28"/>
        <v>22.2915254237288</v>
      </c>
      <c r="AF149" s="103">
        <v>45722</v>
      </c>
      <c r="AG149" s="91">
        <f t="shared" si="29"/>
        <v>48</v>
      </c>
      <c r="AH149" s="103">
        <v>45722</v>
      </c>
      <c r="AI149" s="103">
        <v>45755</v>
      </c>
      <c r="AJ149" s="96">
        <v>80</v>
      </c>
      <c r="AK149" s="91">
        <f t="shared" si="30"/>
        <v>33</v>
      </c>
      <c r="AL149" s="96">
        <f t="shared" si="31"/>
        <v>81</v>
      </c>
      <c r="AM149" s="92"/>
      <c r="AN149" s="91"/>
      <c r="AO149" s="91"/>
    </row>
    <row r="150" spans="1:41" ht="14.5" x14ac:dyDescent="0.25">
      <c r="A150" s="92" t="s">
        <v>374</v>
      </c>
      <c r="B150" s="91"/>
      <c r="C150" s="91" t="s">
        <v>359</v>
      </c>
      <c r="D150" s="92" t="s">
        <v>371</v>
      </c>
      <c r="E150" s="91" t="s">
        <v>97</v>
      </c>
      <c r="F150" s="91" t="s">
        <v>0</v>
      </c>
      <c r="G150" s="56" t="s">
        <v>167</v>
      </c>
      <c r="H150" s="91">
        <v>180</v>
      </c>
      <c r="I150" s="91" t="s">
        <v>89</v>
      </c>
      <c r="J150" s="91" t="s">
        <v>8</v>
      </c>
      <c r="K150" s="92" t="s">
        <v>13</v>
      </c>
      <c r="L150" s="93" t="s">
        <v>3025</v>
      </c>
      <c r="M150" s="94" t="s">
        <v>3210</v>
      </c>
      <c r="N150" s="95" t="s">
        <v>2876</v>
      </c>
      <c r="O150" s="96">
        <v>6</v>
      </c>
      <c r="P150" s="111">
        <f t="shared" si="36"/>
        <v>87.677419354838719</v>
      </c>
      <c r="Q150" s="91" t="s">
        <v>16</v>
      </c>
      <c r="R150" s="91">
        <v>5</v>
      </c>
      <c r="S150" s="95"/>
      <c r="T150" s="98"/>
      <c r="U150" s="112">
        <f t="shared" si="35"/>
        <v>467.15422006186481</v>
      </c>
      <c r="V150" s="113">
        <f t="shared" si="32"/>
        <v>2.5953012225659156</v>
      </c>
      <c r="W150" s="114">
        <f t="shared" si="33"/>
        <v>0.37075731750941648</v>
      </c>
      <c r="X150" s="95"/>
      <c r="Y150" s="95"/>
      <c r="Z150" s="102"/>
      <c r="AA150" s="103">
        <v>45674</v>
      </c>
      <c r="AB150" s="103">
        <v>45704</v>
      </c>
      <c r="AC150" s="103"/>
      <c r="AD150" s="102">
        <f>IF(ISNA(VLOOKUP(D150,亚马逊入库配置费!B:F,5,0)),0,VLOOKUP(D150,亚马逊入库配置费!B:F,5,0))</f>
        <v>0.27864406779661</v>
      </c>
      <c r="AE150" s="102">
        <f t="shared" si="28"/>
        <v>50.155932203389796</v>
      </c>
      <c r="AF150" s="103">
        <v>45722</v>
      </c>
      <c r="AG150" s="91">
        <f t="shared" si="29"/>
        <v>48</v>
      </c>
      <c r="AH150" s="103">
        <v>45722</v>
      </c>
      <c r="AI150" s="103">
        <v>45755</v>
      </c>
      <c r="AJ150" s="96">
        <v>180</v>
      </c>
      <c r="AK150" s="91">
        <f t="shared" si="30"/>
        <v>33</v>
      </c>
      <c r="AL150" s="96">
        <f t="shared" si="31"/>
        <v>81</v>
      </c>
      <c r="AM150" s="92"/>
      <c r="AN150" s="91"/>
      <c r="AO150" s="91"/>
    </row>
    <row r="151" spans="1:41" ht="14.5" x14ac:dyDescent="0.25">
      <c r="A151" s="92" t="s">
        <v>375</v>
      </c>
      <c r="B151" s="91"/>
      <c r="C151" s="91" t="s">
        <v>359</v>
      </c>
      <c r="D151" s="92" t="s">
        <v>371</v>
      </c>
      <c r="E151" s="91" t="s">
        <v>97</v>
      </c>
      <c r="F151" s="91" t="s">
        <v>0</v>
      </c>
      <c r="G151" s="56" t="s">
        <v>171</v>
      </c>
      <c r="H151" s="91">
        <v>150</v>
      </c>
      <c r="I151" s="91" t="s">
        <v>89</v>
      </c>
      <c r="J151" s="91" t="s">
        <v>8</v>
      </c>
      <c r="K151" s="92" t="s">
        <v>13</v>
      </c>
      <c r="L151" s="93" t="s">
        <v>3027</v>
      </c>
      <c r="M151" s="94" t="s">
        <v>3212</v>
      </c>
      <c r="N151" s="95" t="s">
        <v>2876</v>
      </c>
      <c r="O151" s="96">
        <v>5</v>
      </c>
      <c r="P151" s="111">
        <f t="shared" si="36"/>
        <v>73.064516129032256</v>
      </c>
      <c r="Q151" s="91" t="s">
        <v>16</v>
      </c>
      <c r="R151" s="91">
        <v>5</v>
      </c>
      <c r="S151" s="95"/>
      <c r="T151" s="98"/>
      <c r="U151" s="112">
        <f t="shared" si="35"/>
        <v>389.29518338488731</v>
      </c>
      <c r="V151" s="113">
        <f t="shared" si="32"/>
        <v>2.5953012225659156</v>
      </c>
      <c r="W151" s="114">
        <f t="shared" si="33"/>
        <v>0.37075731750941648</v>
      </c>
      <c r="X151" s="95"/>
      <c r="Y151" s="95"/>
      <c r="Z151" s="102"/>
      <c r="AA151" s="103">
        <v>45674</v>
      </c>
      <c r="AB151" s="103">
        <v>45704</v>
      </c>
      <c r="AC151" s="103"/>
      <c r="AD151" s="102">
        <f>IF(ISNA(VLOOKUP(D151,亚马逊入库配置费!B:F,5,0)),0,VLOOKUP(D151,亚马逊入库配置费!B:F,5,0))</f>
        <v>0.27864406779661</v>
      </c>
      <c r="AE151" s="102">
        <f t="shared" si="28"/>
        <v>41.796610169491501</v>
      </c>
      <c r="AF151" s="103">
        <v>45722</v>
      </c>
      <c r="AG151" s="91">
        <f t="shared" si="29"/>
        <v>48</v>
      </c>
      <c r="AH151" s="103">
        <v>45722</v>
      </c>
      <c r="AI151" s="103">
        <v>45755</v>
      </c>
      <c r="AJ151" s="96">
        <v>150</v>
      </c>
      <c r="AK151" s="91">
        <f t="shared" si="30"/>
        <v>33</v>
      </c>
      <c r="AL151" s="96">
        <f t="shared" si="31"/>
        <v>81</v>
      </c>
      <c r="AM151" s="92"/>
      <c r="AN151" s="91"/>
      <c r="AO151" s="91"/>
    </row>
    <row r="152" spans="1:41" ht="14.5" x14ac:dyDescent="0.25">
      <c r="A152" s="92" t="s">
        <v>376</v>
      </c>
      <c r="B152" s="91"/>
      <c r="C152" s="91" t="s">
        <v>359</v>
      </c>
      <c r="D152" s="92" t="s">
        <v>371</v>
      </c>
      <c r="E152" s="91" t="s">
        <v>97</v>
      </c>
      <c r="F152" s="91" t="s">
        <v>0</v>
      </c>
      <c r="G152" s="56" t="s">
        <v>178</v>
      </c>
      <c r="H152" s="91">
        <v>60</v>
      </c>
      <c r="I152" s="91" t="s">
        <v>89</v>
      </c>
      <c r="J152" s="91" t="s">
        <v>8</v>
      </c>
      <c r="K152" s="92" t="s">
        <v>13</v>
      </c>
      <c r="L152" s="93" t="s">
        <v>3030</v>
      </c>
      <c r="M152" s="94" t="s">
        <v>3307</v>
      </c>
      <c r="N152" s="95" t="s">
        <v>2876</v>
      </c>
      <c r="O152" s="96">
        <v>2</v>
      </c>
      <c r="P152" s="111">
        <f t="shared" si="36"/>
        <v>29.225806451612904</v>
      </c>
      <c r="Q152" s="91" t="s">
        <v>16</v>
      </c>
      <c r="R152" s="91">
        <v>5</v>
      </c>
      <c r="S152" s="95"/>
      <c r="T152" s="98"/>
      <c r="U152" s="112">
        <f t="shared" si="35"/>
        <v>155.71807335395494</v>
      </c>
      <c r="V152" s="113">
        <f t="shared" si="32"/>
        <v>2.5953012225659156</v>
      </c>
      <c r="W152" s="114">
        <f t="shared" si="33"/>
        <v>0.37075731750941648</v>
      </c>
      <c r="X152" s="95"/>
      <c r="Y152" s="95"/>
      <c r="Z152" s="102"/>
      <c r="AA152" s="103">
        <v>45674</v>
      </c>
      <c r="AB152" s="103">
        <v>45704</v>
      </c>
      <c r="AC152" s="103"/>
      <c r="AD152" s="102">
        <f>IF(ISNA(VLOOKUP(D152,亚马逊入库配置费!B:F,5,0)),0,VLOOKUP(D152,亚马逊入库配置费!B:F,5,0))</f>
        <v>0.27864406779661</v>
      </c>
      <c r="AE152" s="102">
        <f t="shared" si="28"/>
        <v>16.7186440677966</v>
      </c>
      <c r="AF152" s="103">
        <v>45722</v>
      </c>
      <c r="AG152" s="91">
        <f t="shared" si="29"/>
        <v>48</v>
      </c>
      <c r="AH152" s="103">
        <v>45722</v>
      </c>
      <c r="AI152" s="103">
        <v>45755</v>
      </c>
      <c r="AJ152" s="96">
        <v>60</v>
      </c>
      <c r="AK152" s="91">
        <f t="shared" si="30"/>
        <v>33</v>
      </c>
      <c r="AL152" s="96">
        <f t="shared" si="31"/>
        <v>81</v>
      </c>
      <c r="AM152" s="92"/>
      <c r="AN152" s="91"/>
      <c r="AO152" s="91"/>
    </row>
    <row r="153" spans="1:41" ht="14.5" x14ac:dyDescent="0.25">
      <c r="A153" s="92" t="s">
        <v>377</v>
      </c>
      <c r="B153" s="91"/>
      <c r="C153" s="91" t="s">
        <v>359</v>
      </c>
      <c r="D153" s="92" t="s">
        <v>378</v>
      </c>
      <c r="E153" s="91" t="s">
        <v>115</v>
      </c>
      <c r="F153" s="91" t="s">
        <v>0</v>
      </c>
      <c r="G153" s="56" t="s">
        <v>142</v>
      </c>
      <c r="H153" s="91">
        <v>240</v>
      </c>
      <c r="I153" s="91" t="s">
        <v>89</v>
      </c>
      <c r="J153" s="91" t="s">
        <v>8</v>
      </c>
      <c r="K153" s="92" t="s">
        <v>13</v>
      </c>
      <c r="L153" s="93" t="s">
        <v>3020</v>
      </c>
      <c r="M153" s="94" t="s">
        <v>3295</v>
      </c>
      <c r="N153" s="95" t="s">
        <v>2878</v>
      </c>
      <c r="O153" s="96">
        <v>8</v>
      </c>
      <c r="P153" s="111">
        <f t="shared" si="36"/>
        <v>116.90322580645162</v>
      </c>
      <c r="Q153" s="91" t="s">
        <v>16</v>
      </c>
      <c r="R153" s="91">
        <v>5</v>
      </c>
      <c r="S153" s="95"/>
      <c r="T153" s="98"/>
      <c r="U153" s="112">
        <f t="shared" si="35"/>
        <v>622.87229341581974</v>
      </c>
      <c r="V153" s="113">
        <f t="shared" si="32"/>
        <v>2.5953012225659156</v>
      </c>
      <c r="W153" s="114">
        <f t="shared" si="33"/>
        <v>0.37075731750941648</v>
      </c>
      <c r="X153" s="95"/>
      <c r="Y153" s="95"/>
      <c r="Z153" s="102"/>
      <c r="AA153" s="103">
        <v>45674</v>
      </c>
      <c r="AB153" s="103">
        <v>45704</v>
      </c>
      <c r="AC153" s="103"/>
      <c r="AD153" s="102">
        <f>IF(ISNA(VLOOKUP(D153,亚马逊入库配置费!B:F,5,0)),0,VLOOKUP(D153,亚马逊入库配置费!B:F,5,0))</f>
        <v>0.292121212121212</v>
      </c>
      <c r="AE153" s="102">
        <f t="shared" si="28"/>
        <v>70.109090909090881</v>
      </c>
      <c r="AF153" s="103">
        <v>45722</v>
      </c>
      <c r="AG153" s="91">
        <f t="shared" si="29"/>
        <v>48</v>
      </c>
      <c r="AH153" s="103">
        <v>45722</v>
      </c>
      <c r="AI153" s="103">
        <v>45754</v>
      </c>
      <c r="AJ153" s="96">
        <v>233</v>
      </c>
      <c r="AK153" s="91">
        <f t="shared" si="30"/>
        <v>32</v>
      </c>
      <c r="AL153" s="96">
        <f t="shared" si="31"/>
        <v>80</v>
      </c>
      <c r="AM153" s="92"/>
      <c r="AN153" s="91"/>
      <c r="AO153" s="91"/>
    </row>
    <row r="154" spans="1:41" ht="14.5" x14ac:dyDescent="0.25">
      <c r="A154" s="92" t="s">
        <v>379</v>
      </c>
      <c r="B154" s="91"/>
      <c r="C154" s="91" t="s">
        <v>359</v>
      </c>
      <c r="D154" s="92" t="s">
        <v>378</v>
      </c>
      <c r="E154" s="91" t="s">
        <v>115</v>
      </c>
      <c r="F154" s="91" t="s">
        <v>0</v>
      </c>
      <c r="G154" s="56" t="s">
        <v>211</v>
      </c>
      <c r="H154" s="91">
        <v>90</v>
      </c>
      <c r="I154" s="91" t="s">
        <v>89</v>
      </c>
      <c r="J154" s="91" t="s">
        <v>8</v>
      </c>
      <c r="K154" s="92" t="s">
        <v>13</v>
      </c>
      <c r="L154" s="93" t="s">
        <v>3034</v>
      </c>
      <c r="M154" s="94" t="s">
        <v>3312</v>
      </c>
      <c r="N154" s="95" t="s">
        <v>2869</v>
      </c>
      <c r="O154" s="96">
        <v>3</v>
      </c>
      <c r="P154" s="111">
        <f t="shared" si="36"/>
        <v>43.838709677419359</v>
      </c>
      <c r="Q154" s="91" t="s">
        <v>16</v>
      </c>
      <c r="R154" s="91">
        <v>5</v>
      </c>
      <c r="S154" s="95"/>
      <c r="T154" s="98"/>
      <c r="U154" s="112">
        <f t="shared" si="35"/>
        <v>233.5771100309324</v>
      </c>
      <c r="V154" s="113">
        <f t="shared" si="32"/>
        <v>2.5953012225659156</v>
      </c>
      <c r="W154" s="114">
        <f t="shared" si="33"/>
        <v>0.37075731750941648</v>
      </c>
      <c r="X154" s="95"/>
      <c r="Y154" s="95"/>
      <c r="Z154" s="102"/>
      <c r="AA154" s="103">
        <v>45674</v>
      </c>
      <c r="AB154" s="103">
        <v>45704</v>
      </c>
      <c r="AC154" s="103"/>
      <c r="AD154" s="102">
        <f>IF(ISNA(VLOOKUP(D154,亚马逊入库配置费!B:F,5,0)),0,VLOOKUP(D154,亚马逊入库配置费!B:F,5,0))</f>
        <v>0.292121212121212</v>
      </c>
      <c r="AE154" s="102">
        <f t="shared" si="28"/>
        <v>26.290909090909082</v>
      </c>
      <c r="AF154" s="103">
        <v>45722</v>
      </c>
      <c r="AG154" s="91">
        <f t="shared" si="29"/>
        <v>48</v>
      </c>
      <c r="AH154" s="103">
        <v>45722</v>
      </c>
      <c r="AI154" s="103">
        <v>45754</v>
      </c>
      <c r="AJ154" s="96">
        <v>90</v>
      </c>
      <c r="AK154" s="91">
        <f t="shared" si="30"/>
        <v>32</v>
      </c>
      <c r="AL154" s="96">
        <f t="shared" si="31"/>
        <v>80</v>
      </c>
      <c r="AM154" s="92"/>
      <c r="AN154" s="91"/>
      <c r="AO154" s="91"/>
    </row>
    <row r="155" spans="1:41" ht="14.5" x14ac:dyDescent="0.25">
      <c r="A155" s="92" t="s">
        <v>380</v>
      </c>
      <c r="B155" s="91"/>
      <c r="C155" s="91" t="s">
        <v>381</v>
      </c>
      <c r="D155" s="92" t="s">
        <v>382</v>
      </c>
      <c r="E155" s="91" t="s">
        <v>97</v>
      </c>
      <c r="F155" s="91" t="s">
        <v>0</v>
      </c>
      <c r="G155" s="56" t="s">
        <v>228</v>
      </c>
      <c r="H155" s="91">
        <v>80</v>
      </c>
      <c r="I155" s="91" t="s">
        <v>89</v>
      </c>
      <c r="J155" s="91" t="s">
        <v>8</v>
      </c>
      <c r="K155" s="92" t="s">
        <v>14</v>
      </c>
      <c r="L155" s="93" t="s">
        <v>3036</v>
      </c>
      <c r="M155" s="94" t="s">
        <v>3315</v>
      </c>
      <c r="N155" s="95" t="s">
        <v>2870</v>
      </c>
      <c r="O155" s="96">
        <v>4</v>
      </c>
      <c r="P155" s="111">
        <f t="shared" ref="P155:P163" si="37">541/37*O155</f>
        <v>58.486486486486484</v>
      </c>
      <c r="Q155" s="91" t="s">
        <v>16</v>
      </c>
      <c r="R155" s="91">
        <v>5.9</v>
      </c>
      <c r="S155" s="95"/>
      <c r="T155" s="98"/>
      <c r="U155" s="112">
        <f t="shared" ref="U155:U163" si="38">R155*P155+350/37*O155</f>
        <v>382.90810810810808</v>
      </c>
      <c r="V155" s="113">
        <f t="shared" si="32"/>
        <v>4.7863513513513514</v>
      </c>
      <c r="W155" s="114">
        <f t="shared" si="33"/>
        <v>0.68376447876447877</v>
      </c>
      <c r="X155" s="95"/>
      <c r="Y155" s="95"/>
      <c r="Z155" s="102"/>
      <c r="AA155" s="103">
        <v>45674</v>
      </c>
      <c r="AB155" s="103">
        <v>45704</v>
      </c>
      <c r="AC155" s="103"/>
      <c r="AD155" s="102">
        <f>IF(ISNA(VLOOKUP(D155,亚马逊入库配置费!B:F,5,0)),0,VLOOKUP(D155,亚马逊入库配置费!B:F,5,0))</f>
        <v>0.26904109589041098</v>
      </c>
      <c r="AE155" s="102">
        <f t="shared" si="28"/>
        <v>21.523287671232879</v>
      </c>
      <c r="AF155" s="103">
        <v>45714</v>
      </c>
      <c r="AG155" s="91">
        <f t="shared" si="29"/>
        <v>40</v>
      </c>
      <c r="AH155" s="103">
        <v>45714</v>
      </c>
      <c r="AI155" s="103">
        <v>45747</v>
      </c>
      <c r="AJ155" s="96">
        <v>80</v>
      </c>
      <c r="AK155" s="91">
        <f t="shared" si="30"/>
        <v>33</v>
      </c>
      <c r="AL155" s="96">
        <f t="shared" si="31"/>
        <v>73</v>
      </c>
      <c r="AM155" s="92"/>
      <c r="AN155" s="91"/>
      <c r="AO155" s="91"/>
    </row>
    <row r="156" spans="1:41" ht="14.5" x14ac:dyDescent="0.25">
      <c r="A156" s="92" t="s">
        <v>383</v>
      </c>
      <c r="B156" s="91"/>
      <c r="C156" s="91" t="s">
        <v>381</v>
      </c>
      <c r="D156" s="92" t="s">
        <v>382</v>
      </c>
      <c r="E156" s="91" t="s">
        <v>97</v>
      </c>
      <c r="F156" s="91" t="s">
        <v>0</v>
      </c>
      <c r="G156" s="56" t="s">
        <v>350</v>
      </c>
      <c r="H156" s="91">
        <v>120</v>
      </c>
      <c r="I156" s="91" t="s">
        <v>89</v>
      </c>
      <c r="J156" s="91" t="s">
        <v>8</v>
      </c>
      <c r="K156" s="92" t="s">
        <v>14</v>
      </c>
      <c r="L156" s="93" t="s">
        <v>3048</v>
      </c>
      <c r="M156" s="94" t="s">
        <v>3208</v>
      </c>
      <c r="N156" s="95" t="s">
        <v>2870</v>
      </c>
      <c r="O156" s="96">
        <v>3</v>
      </c>
      <c r="P156" s="111">
        <f t="shared" si="37"/>
        <v>43.864864864864863</v>
      </c>
      <c r="Q156" s="91" t="s">
        <v>16</v>
      </c>
      <c r="R156" s="91">
        <v>5.9</v>
      </c>
      <c r="S156" s="95"/>
      <c r="T156" s="98"/>
      <c r="U156" s="112">
        <f t="shared" si="38"/>
        <v>287.18108108108112</v>
      </c>
      <c r="V156" s="113">
        <f t="shared" si="32"/>
        <v>2.3931756756756761</v>
      </c>
      <c r="W156" s="114">
        <f t="shared" si="33"/>
        <v>0.34188223938223944</v>
      </c>
      <c r="X156" s="95"/>
      <c r="Y156" s="95"/>
      <c r="Z156" s="102"/>
      <c r="AA156" s="103">
        <v>45674</v>
      </c>
      <c r="AB156" s="103">
        <v>45704</v>
      </c>
      <c r="AC156" s="103"/>
      <c r="AD156" s="102">
        <f>IF(ISNA(VLOOKUP(D156,亚马逊入库配置费!B:F,5,0)),0,VLOOKUP(D156,亚马逊入库配置费!B:F,5,0))</f>
        <v>0.26904109589041098</v>
      </c>
      <c r="AE156" s="102">
        <f t="shared" si="28"/>
        <v>32.284931506849318</v>
      </c>
      <c r="AF156" s="103">
        <v>45714</v>
      </c>
      <c r="AG156" s="91">
        <f t="shared" si="29"/>
        <v>40</v>
      </c>
      <c r="AH156" s="103">
        <v>45714</v>
      </c>
      <c r="AI156" s="103">
        <v>45747</v>
      </c>
      <c r="AJ156" s="96">
        <v>120</v>
      </c>
      <c r="AK156" s="91">
        <f t="shared" si="30"/>
        <v>33</v>
      </c>
      <c r="AL156" s="96">
        <f t="shared" si="31"/>
        <v>73</v>
      </c>
      <c r="AM156" s="92"/>
      <c r="AN156" s="91"/>
      <c r="AO156" s="91"/>
    </row>
    <row r="157" spans="1:41" ht="14.5" x14ac:dyDescent="0.25">
      <c r="A157" s="92" t="s">
        <v>384</v>
      </c>
      <c r="B157" s="91"/>
      <c r="C157" s="91" t="s">
        <v>381</v>
      </c>
      <c r="D157" s="92" t="s">
        <v>382</v>
      </c>
      <c r="E157" s="91" t="s">
        <v>97</v>
      </c>
      <c r="F157" s="91" t="s">
        <v>0</v>
      </c>
      <c r="G157" s="56" t="s">
        <v>165</v>
      </c>
      <c r="H157" s="91">
        <v>80</v>
      </c>
      <c r="I157" s="91" t="s">
        <v>89</v>
      </c>
      <c r="J157" s="91" t="s">
        <v>8</v>
      </c>
      <c r="K157" s="92" t="s">
        <v>14</v>
      </c>
      <c r="L157" s="93" t="s">
        <v>2880</v>
      </c>
      <c r="M157" s="94" t="s">
        <v>3209</v>
      </c>
      <c r="N157" s="95" t="s">
        <v>2870</v>
      </c>
      <c r="O157" s="96">
        <v>2</v>
      </c>
      <c r="P157" s="111">
        <f t="shared" si="37"/>
        <v>29.243243243243242</v>
      </c>
      <c r="Q157" s="91" t="s">
        <v>16</v>
      </c>
      <c r="R157" s="91">
        <v>5.9</v>
      </c>
      <c r="S157" s="95"/>
      <c r="T157" s="98"/>
      <c r="U157" s="112">
        <f t="shared" si="38"/>
        <v>191.45405405405404</v>
      </c>
      <c r="V157" s="113">
        <f t="shared" si="32"/>
        <v>2.3931756756756757</v>
      </c>
      <c r="W157" s="114">
        <f t="shared" si="33"/>
        <v>0.34188223938223938</v>
      </c>
      <c r="X157" s="95"/>
      <c r="Y157" s="95"/>
      <c r="Z157" s="102"/>
      <c r="AA157" s="103">
        <v>45674</v>
      </c>
      <c r="AB157" s="103">
        <v>45704</v>
      </c>
      <c r="AC157" s="103"/>
      <c r="AD157" s="102">
        <f>IF(ISNA(VLOOKUP(D157,亚马逊入库配置费!B:F,5,0)),0,VLOOKUP(D157,亚马逊入库配置费!B:F,5,0))</f>
        <v>0.26904109589041098</v>
      </c>
      <c r="AE157" s="102">
        <f t="shared" si="28"/>
        <v>21.523287671232879</v>
      </c>
      <c r="AF157" s="103">
        <v>45714</v>
      </c>
      <c r="AG157" s="91">
        <f t="shared" si="29"/>
        <v>40</v>
      </c>
      <c r="AH157" s="103">
        <v>45714</v>
      </c>
      <c r="AI157" s="103">
        <v>45747</v>
      </c>
      <c r="AJ157" s="96">
        <v>80</v>
      </c>
      <c r="AK157" s="91">
        <f t="shared" si="30"/>
        <v>33</v>
      </c>
      <c r="AL157" s="96">
        <f t="shared" si="31"/>
        <v>73</v>
      </c>
      <c r="AM157" s="92"/>
      <c r="AN157" s="91"/>
      <c r="AO157" s="91"/>
    </row>
    <row r="158" spans="1:41" ht="14.5" x14ac:dyDescent="0.25">
      <c r="A158" s="92" t="s">
        <v>385</v>
      </c>
      <c r="B158" s="91"/>
      <c r="C158" s="91" t="s">
        <v>381</v>
      </c>
      <c r="D158" s="92" t="s">
        <v>382</v>
      </c>
      <c r="E158" s="91" t="s">
        <v>97</v>
      </c>
      <c r="F158" s="91" t="s">
        <v>0</v>
      </c>
      <c r="G158" s="56" t="s">
        <v>167</v>
      </c>
      <c r="H158" s="91">
        <v>210</v>
      </c>
      <c r="I158" s="91" t="s">
        <v>89</v>
      </c>
      <c r="J158" s="91" t="s">
        <v>8</v>
      </c>
      <c r="K158" s="92" t="s">
        <v>14</v>
      </c>
      <c r="L158" s="93" t="s">
        <v>3025</v>
      </c>
      <c r="M158" s="94" t="s">
        <v>3210</v>
      </c>
      <c r="N158" s="95" t="s">
        <v>2876</v>
      </c>
      <c r="O158" s="96">
        <v>7</v>
      </c>
      <c r="P158" s="111">
        <f t="shared" si="37"/>
        <v>102.35135135135135</v>
      </c>
      <c r="Q158" s="91" t="s">
        <v>16</v>
      </c>
      <c r="R158" s="91">
        <v>5.9</v>
      </c>
      <c r="S158" s="95"/>
      <c r="T158" s="98"/>
      <c r="U158" s="112">
        <f t="shared" si="38"/>
        <v>670.08918918918926</v>
      </c>
      <c r="V158" s="113">
        <f t="shared" si="32"/>
        <v>3.1909009009009011</v>
      </c>
      <c r="W158" s="114">
        <f t="shared" si="33"/>
        <v>0.45584298584298588</v>
      </c>
      <c r="X158" s="95"/>
      <c r="Y158" s="95"/>
      <c r="Z158" s="102"/>
      <c r="AA158" s="103">
        <v>45674</v>
      </c>
      <c r="AB158" s="103">
        <v>45704</v>
      </c>
      <c r="AC158" s="103"/>
      <c r="AD158" s="102">
        <f>IF(ISNA(VLOOKUP(D158,亚马逊入库配置费!B:F,5,0)),0,VLOOKUP(D158,亚马逊入库配置费!B:F,5,0))</f>
        <v>0.26904109589041098</v>
      </c>
      <c r="AE158" s="102">
        <f t="shared" si="28"/>
        <v>56.498630136986307</v>
      </c>
      <c r="AF158" s="103">
        <v>45714</v>
      </c>
      <c r="AG158" s="91">
        <f t="shared" si="29"/>
        <v>40</v>
      </c>
      <c r="AH158" s="103">
        <v>45714</v>
      </c>
      <c r="AI158" s="103">
        <v>45747</v>
      </c>
      <c r="AJ158" s="96">
        <v>210</v>
      </c>
      <c r="AK158" s="91">
        <f t="shared" si="30"/>
        <v>33</v>
      </c>
      <c r="AL158" s="96">
        <f t="shared" si="31"/>
        <v>73</v>
      </c>
      <c r="AM158" s="92"/>
      <c r="AN158" s="91"/>
      <c r="AO158" s="91"/>
    </row>
    <row r="159" spans="1:41" ht="14.5" x14ac:dyDescent="0.25">
      <c r="A159" s="92" t="s">
        <v>386</v>
      </c>
      <c r="B159" s="91" t="s">
        <v>3338</v>
      </c>
      <c r="C159" s="91" t="s">
        <v>381</v>
      </c>
      <c r="D159" s="92" t="s">
        <v>382</v>
      </c>
      <c r="E159" s="91" t="s">
        <v>97</v>
      </c>
      <c r="F159" s="91" t="s">
        <v>0</v>
      </c>
      <c r="G159" s="56" t="s">
        <v>171</v>
      </c>
      <c r="H159" s="91">
        <v>150</v>
      </c>
      <c r="I159" s="91" t="s">
        <v>89</v>
      </c>
      <c r="J159" s="91" t="s">
        <v>8</v>
      </c>
      <c r="K159" s="92" t="s">
        <v>14</v>
      </c>
      <c r="L159" s="93" t="s">
        <v>3027</v>
      </c>
      <c r="M159" s="94" t="s">
        <v>3212</v>
      </c>
      <c r="N159" s="95" t="s">
        <v>2876</v>
      </c>
      <c r="O159" s="96">
        <v>5</v>
      </c>
      <c r="P159" s="111">
        <f t="shared" si="37"/>
        <v>73.108108108108098</v>
      </c>
      <c r="Q159" s="91" t="s">
        <v>16</v>
      </c>
      <c r="R159" s="91">
        <v>5.9</v>
      </c>
      <c r="S159" s="95"/>
      <c r="T159" s="98"/>
      <c r="U159" s="112">
        <f t="shared" si="38"/>
        <v>478.6351351351351</v>
      </c>
      <c r="V159" s="113">
        <f t="shared" si="32"/>
        <v>3.1909009009009006</v>
      </c>
      <c r="W159" s="114">
        <f t="shared" si="33"/>
        <v>0.45584298584298583</v>
      </c>
      <c r="X159" s="95"/>
      <c r="Y159" s="95"/>
      <c r="Z159" s="102"/>
      <c r="AA159" s="103">
        <v>45674</v>
      </c>
      <c r="AB159" s="103">
        <v>45704</v>
      </c>
      <c r="AC159" s="103"/>
      <c r="AD159" s="102">
        <f>IF(ISNA(VLOOKUP(D159,亚马逊入库配置费!B:F,5,0)),0,VLOOKUP(D159,亚马逊入库配置费!B:F,5,0))</f>
        <v>0.26904109589041098</v>
      </c>
      <c r="AE159" s="102">
        <f t="shared" si="28"/>
        <v>40.356164383561648</v>
      </c>
      <c r="AF159" s="103">
        <v>45714</v>
      </c>
      <c r="AG159" s="91">
        <f t="shared" si="29"/>
        <v>40</v>
      </c>
      <c r="AH159" s="103">
        <v>45714</v>
      </c>
      <c r="AI159" s="103">
        <v>45747</v>
      </c>
      <c r="AJ159" s="96">
        <v>147</v>
      </c>
      <c r="AK159" s="91">
        <f t="shared" si="30"/>
        <v>33</v>
      </c>
      <c r="AL159" s="96">
        <f t="shared" si="31"/>
        <v>73</v>
      </c>
      <c r="AM159" s="92"/>
      <c r="AN159" s="91"/>
      <c r="AO159" s="91"/>
    </row>
    <row r="160" spans="1:41" ht="14.5" x14ac:dyDescent="0.25">
      <c r="A160" s="92" t="s">
        <v>387</v>
      </c>
      <c r="B160" s="91"/>
      <c r="C160" s="91" t="s">
        <v>381</v>
      </c>
      <c r="D160" s="92" t="s">
        <v>382</v>
      </c>
      <c r="E160" s="91" t="s">
        <v>97</v>
      </c>
      <c r="F160" s="91" t="s">
        <v>0</v>
      </c>
      <c r="G160" s="56" t="s">
        <v>176</v>
      </c>
      <c r="H160" s="91">
        <v>30</v>
      </c>
      <c r="I160" s="91" t="s">
        <v>89</v>
      </c>
      <c r="J160" s="91" t="s">
        <v>8</v>
      </c>
      <c r="K160" s="92" t="s">
        <v>14</v>
      </c>
      <c r="L160" s="93" t="s">
        <v>3029</v>
      </c>
      <c r="M160" s="94" t="s">
        <v>3306</v>
      </c>
      <c r="N160" s="95" t="s">
        <v>2876</v>
      </c>
      <c r="O160" s="96">
        <v>1</v>
      </c>
      <c r="P160" s="111">
        <f t="shared" si="37"/>
        <v>14.621621621621621</v>
      </c>
      <c r="Q160" s="91" t="s">
        <v>16</v>
      </c>
      <c r="R160" s="91">
        <v>5.9</v>
      </c>
      <c r="S160" s="95"/>
      <c r="T160" s="98"/>
      <c r="U160" s="112">
        <f t="shared" si="38"/>
        <v>95.72702702702702</v>
      </c>
      <c r="V160" s="113">
        <f t="shared" si="32"/>
        <v>3.1909009009009006</v>
      </c>
      <c r="W160" s="114">
        <f t="shared" si="33"/>
        <v>0.45584298584298583</v>
      </c>
      <c r="X160" s="95"/>
      <c r="Y160" s="95"/>
      <c r="Z160" s="102"/>
      <c r="AA160" s="103">
        <v>45674</v>
      </c>
      <c r="AB160" s="103">
        <v>45704</v>
      </c>
      <c r="AC160" s="103"/>
      <c r="AD160" s="102">
        <f>IF(ISNA(VLOOKUP(D160,亚马逊入库配置费!B:F,5,0)),0,VLOOKUP(D160,亚马逊入库配置费!B:F,5,0))</f>
        <v>0.26904109589041098</v>
      </c>
      <c r="AE160" s="102">
        <f t="shared" si="28"/>
        <v>8.0712328767123296</v>
      </c>
      <c r="AF160" s="103">
        <v>45714</v>
      </c>
      <c r="AG160" s="91">
        <f t="shared" si="29"/>
        <v>40</v>
      </c>
      <c r="AH160" s="103">
        <v>45714</v>
      </c>
      <c r="AI160" s="103">
        <v>45747</v>
      </c>
      <c r="AJ160" s="96">
        <v>30</v>
      </c>
      <c r="AK160" s="91">
        <f t="shared" si="30"/>
        <v>33</v>
      </c>
      <c r="AL160" s="96">
        <f t="shared" si="31"/>
        <v>73</v>
      </c>
      <c r="AM160" s="92"/>
      <c r="AN160" s="91"/>
      <c r="AO160" s="91"/>
    </row>
    <row r="161" spans="1:41" ht="14.5" x14ac:dyDescent="0.25">
      <c r="A161" s="92" t="s">
        <v>388</v>
      </c>
      <c r="B161" s="91"/>
      <c r="C161" s="91" t="s">
        <v>381</v>
      </c>
      <c r="D161" s="92" t="s">
        <v>382</v>
      </c>
      <c r="E161" s="91" t="s">
        <v>97</v>
      </c>
      <c r="F161" s="91" t="s">
        <v>0</v>
      </c>
      <c r="G161" s="56" t="s">
        <v>178</v>
      </c>
      <c r="H161" s="91">
        <v>60</v>
      </c>
      <c r="I161" s="91" t="s">
        <v>89</v>
      </c>
      <c r="J161" s="91" t="s">
        <v>8</v>
      </c>
      <c r="K161" s="92" t="s">
        <v>14</v>
      </c>
      <c r="L161" s="93" t="s">
        <v>3030</v>
      </c>
      <c r="M161" s="94" t="s">
        <v>3307</v>
      </c>
      <c r="N161" s="95" t="s">
        <v>2876</v>
      </c>
      <c r="O161" s="96">
        <v>2</v>
      </c>
      <c r="P161" s="111">
        <f t="shared" si="37"/>
        <v>29.243243243243242</v>
      </c>
      <c r="Q161" s="91" t="s">
        <v>16</v>
      </c>
      <c r="R161" s="91">
        <v>5.9</v>
      </c>
      <c r="S161" s="95"/>
      <c r="T161" s="98"/>
      <c r="U161" s="112">
        <f t="shared" si="38"/>
        <v>191.45405405405404</v>
      </c>
      <c r="V161" s="113">
        <f t="shared" si="32"/>
        <v>3.1909009009009006</v>
      </c>
      <c r="W161" s="114">
        <f t="shared" si="33"/>
        <v>0.45584298584298583</v>
      </c>
      <c r="X161" s="95"/>
      <c r="Y161" s="95"/>
      <c r="Z161" s="102"/>
      <c r="AA161" s="103">
        <v>45674</v>
      </c>
      <c r="AB161" s="103">
        <v>45704</v>
      </c>
      <c r="AC161" s="103"/>
      <c r="AD161" s="102">
        <f>IF(ISNA(VLOOKUP(D161,亚马逊入库配置费!B:F,5,0)),0,VLOOKUP(D161,亚马逊入库配置费!B:F,5,0))</f>
        <v>0.26904109589041098</v>
      </c>
      <c r="AE161" s="102">
        <f t="shared" si="28"/>
        <v>16.142465753424659</v>
      </c>
      <c r="AF161" s="103">
        <v>45714</v>
      </c>
      <c r="AG161" s="91">
        <f t="shared" si="29"/>
        <v>40</v>
      </c>
      <c r="AH161" s="103">
        <v>45714</v>
      </c>
      <c r="AI161" s="103">
        <v>45747</v>
      </c>
      <c r="AJ161" s="96">
        <v>60</v>
      </c>
      <c r="AK161" s="91">
        <f t="shared" si="30"/>
        <v>33</v>
      </c>
      <c r="AL161" s="96">
        <f t="shared" si="31"/>
        <v>73</v>
      </c>
      <c r="AM161" s="92"/>
      <c r="AN161" s="91"/>
      <c r="AO161" s="91"/>
    </row>
    <row r="162" spans="1:41" ht="14.5" x14ac:dyDescent="0.25">
      <c r="A162" s="92" t="s">
        <v>389</v>
      </c>
      <c r="B162" s="91"/>
      <c r="C162" s="91" t="s">
        <v>381</v>
      </c>
      <c r="D162" s="92" t="s">
        <v>390</v>
      </c>
      <c r="E162" s="91" t="s">
        <v>115</v>
      </c>
      <c r="F162" s="91" t="s">
        <v>0</v>
      </c>
      <c r="G162" s="56" t="s">
        <v>142</v>
      </c>
      <c r="H162" s="91">
        <v>300</v>
      </c>
      <c r="I162" s="91" t="s">
        <v>89</v>
      </c>
      <c r="J162" s="91" t="s">
        <v>8</v>
      </c>
      <c r="K162" s="92" t="s">
        <v>14</v>
      </c>
      <c r="L162" s="93" t="s">
        <v>3020</v>
      </c>
      <c r="M162" s="94" t="s">
        <v>3295</v>
      </c>
      <c r="N162" s="95" t="s">
        <v>2878</v>
      </c>
      <c r="O162" s="96">
        <v>10</v>
      </c>
      <c r="P162" s="111">
        <f t="shared" si="37"/>
        <v>146.2162162162162</v>
      </c>
      <c r="Q162" s="91" t="s">
        <v>16</v>
      </c>
      <c r="R162" s="91">
        <v>5.9</v>
      </c>
      <c r="S162" s="95"/>
      <c r="T162" s="98"/>
      <c r="U162" s="112">
        <f t="shared" si="38"/>
        <v>957.2702702702702</v>
      </c>
      <c r="V162" s="113">
        <f t="shared" si="32"/>
        <v>3.1909009009009006</v>
      </c>
      <c r="W162" s="114">
        <f t="shared" si="33"/>
        <v>0.45584298584298583</v>
      </c>
      <c r="X162" s="95"/>
      <c r="Y162" s="95"/>
      <c r="Z162" s="102"/>
      <c r="AA162" s="103">
        <v>45674</v>
      </c>
      <c r="AB162" s="103">
        <v>45704</v>
      </c>
      <c r="AC162" s="103"/>
      <c r="AD162" s="102">
        <f>IF(ISNA(VLOOKUP(D162,亚马逊入库配置费!B:F,5,0)),0,VLOOKUP(D162,亚马逊入库配置费!B:F,5,0))</f>
        <v>0.28000000000000003</v>
      </c>
      <c r="AE162" s="102">
        <f t="shared" si="28"/>
        <v>84.000000000000014</v>
      </c>
      <c r="AF162" s="103">
        <v>45714</v>
      </c>
      <c r="AG162" s="91">
        <f t="shared" si="29"/>
        <v>40</v>
      </c>
      <c r="AH162" s="103">
        <v>45714</v>
      </c>
      <c r="AI162" s="103">
        <v>45744</v>
      </c>
      <c r="AJ162" s="96">
        <v>300</v>
      </c>
      <c r="AK162" s="91">
        <f t="shared" si="30"/>
        <v>30</v>
      </c>
      <c r="AL162" s="96">
        <f t="shared" si="31"/>
        <v>70</v>
      </c>
      <c r="AM162" s="92"/>
      <c r="AN162" s="91"/>
      <c r="AO162" s="91"/>
    </row>
    <row r="163" spans="1:41" ht="14.5" x14ac:dyDescent="0.25">
      <c r="A163" s="92" t="s">
        <v>391</v>
      </c>
      <c r="B163" s="91"/>
      <c r="C163" s="91" t="s">
        <v>381</v>
      </c>
      <c r="D163" s="92" t="s">
        <v>390</v>
      </c>
      <c r="E163" s="91" t="s">
        <v>115</v>
      </c>
      <c r="F163" s="91" t="s">
        <v>0</v>
      </c>
      <c r="G163" s="56" t="s">
        <v>211</v>
      </c>
      <c r="H163" s="91">
        <v>90</v>
      </c>
      <c r="I163" s="91" t="s">
        <v>89</v>
      </c>
      <c r="J163" s="91" t="s">
        <v>8</v>
      </c>
      <c r="K163" s="92" t="s">
        <v>14</v>
      </c>
      <c r="L163" s="93" t="s">
        <v>3034</v>
      </c>
      <c r="M163" s="94" t="s">
        <v>3312</v>
      </c>
      <c r="N163" s="95" t="s">
        <v>2869</v>
      </c>
      <c r="O163" s="96">
        <v>3</v>
      </c>
      <c r="P163" s="111">
        <f t="shared" si="37"/>
        <v>43.864864864864863</v>
      </c>
      <c r="Q163" s="91" t="s">
        <v>16</v>
      </c>
      <c r="R163" s="91">
        <v>5.9</v>
      </c>
      <c r="S163" s="95"/>
      <c r="T163" s="98"/>
      <c r="U163" s="112">
        <f t="shared" si="38"/>
        <v>287.18108108108112</v>
      </c>
      <c r="V163" s="113">
        <f t="shared" si="32"/>
        <v>3.1909009009009015</v>
      </c>
      <c r="W163" s="114">
        <f t="shared" si="33"/>
        <v>0.45584298584298594</v>
      </c>
      <c r="X163" s="95"/>
      <c r="Y163" s="95"/>
      <c r="Z163" s="102"/>
      <c r="AA163" s="103">
        <v>45674</v>
      </c>
      <c r="AB163" s="103">
        <v>45704</v>
      </c>
      <c r="AC163" s="103"/>
      <c r="AD163" s="102">
        <f>IF(ISNA(VLOOKUP(D163,亚马逊入库配置费!B:F,5,0)),0,VLOOKUP(D163,亚马逊入库配置费!B:F,5,0))</f>
        <v>0.28000000000000003</v>
      </c>
      <c r="AE163" s="102">
        <f t="shared" si="28"/>
        <v>25.200000000000003</v>
      </c>
      <c r="AF163" s="103">
        <v>45714</v>
      </c>
      <c r="AG163" s="91">
        <f t="shared" si="29"/>
        <v>40</v>
      </c>
      <c r="AH163" s="103">
        <v>45714</v>
      </c>
      <c r="AI163" s="103">
        <v>45744</v>
      </c>
      <c r="AJ163" s="96">
        <v>90</v>
      </c>
      <c r="AK163" s="91">
        <f t="shared" si="30"/>
        <v>30</v>
      </c>
      <c r="AL163" s="96">
        <f t="shared" si="31"/>
        <v>70</v>
      </c>
      <c r="AM163" s="92"/>
      <c r="AN163" s="91"/>
      <c r="AO163" s="91"/>
    </row>
    <row r="164" spans="1:41" ht="14.5" x14ac:dyDescent="0.25">
      <c r="A164" s="92" t="s">
        <v>392</v>
      </c>
      <c r="B164" s="91" t="s">
        <v>3339</v>
      </c>
      <c r="C164" s="91" t="s">
        <v>303</v>
      </c>
      <c r="D164" s="92" t="s">
        <v>393</v>
      </c>
      <c r="E164" s="91" t="s">
        <v>97</v>
      </c>
      <c r="F164" s="91" t="s">
        <v>0</v>
      </c>
      <c r="G164" s="56" t="s">
        <v>316</v>
      </c>
      <c r="H164" s="91">
        <v>540</v>
      </c>
      <c r="I164" s="91" t="s">
        <v>306</v>
      </c>
      <c r="J164" s="91" t="s">
        <v>6</v>
      </c>
      <c r="K164" s="92" t="s">
        <v>47</v>
      </c>
      <c r="L164" s="93" t="s">
        <v>3046</v>
      </c>
      <c r="M164" s="94" t="s">
        <v>3333</v>
      </c>
      <c r="N164" s="95" t="s">
        <v>3042</v>
      </c>
      <c r="O164" s="96">
        <v>6</v>
      </c>
      <c r="P164" s="111">
        <f>234/12*O164</f>
        <v>117</v>
      </c>
      <c r="Q164" s="91" t="s">
        <v>16</v>
      </c>
      <c r="R164" s="91">
        <v>5.2</v>
      </c>
      <c r="S164" s="95"/>
      <c r="T164" s="98"/>
      <c r="U164" s="112">
        <f>R164*P164</f>
        <v>608.4</v>
      </c>
      <c r="V164" s="113">
        <f t="shared" si="32"/>
        <v>1.1266666666666667</v>
      </c>
      <c r="W164" s="114">
        <f t="shared" si="33"/>
        <v>0.16095238095238096</v>
      </c>
      <c r="X164" s="95"/>
      <c r="Y164" s="95"/>
      <c r="Z164" s="102"/>
      <c r="AA164" s="103">
        <v>45675</v>
      </c>
      <c r="AB164" s="103">
        <v>45712</v>
      </c>
      <c r="AC164" s="103"/>
      <c r="AD164" s="102">
        <f>IF(ISNA(VLOOKUP(D164,亚马逊入库配置费!B:F,5,0)),0,VLOOKUP(D164,亚马逊入库配置费!B:F,5,0))</f>
        <v>0.34</v>
      </c>
      <c r="AE164" s="102">
        <f t="shared" si="28"/>
        <v>183.60000000000002</v>
      </c>
      <c r="AF164" s="103">
        <v>45719</v>
      </c>
      <c r="AG164" s="91">
        <f t="shared" si="29"/>
        <v>44</v>
      </c>
      <c r="AH164" s="103">
        <v>45719</v>
      </c>
      <c r="AI164" s="103">
        <v>45747</v>
      </c>
      <c r="AJ164" s="96">
        <v>539</v>
      </c>
      <c r="AK164" s="91">
        <f t="shared" si="30"/>
        <v>28</v>
      </c>
      <c r="AL164" s="96">
        <f t="shared" si="31"/>
        <v>72</v>
      </c>
      <c r="AM164" s="92"/>
      <c r="AN164" s="91"/>
      <c r="AO164" s="91"/>
    </row>
    <row r="165" spans="1:41" ht="14.5" x14ac:dyDescent="0.25">
      <c r="A165" s="92" t="s">
        <v>394</v>
      </c>
      <c r="B165" s="91" t="s">
        <v>3340</v>
      </c>
      <c r="C165" s="91" t="s">
        <v>303</v>
      </c>
      <c r="D165" s="92" t="s">
        <v>395</v>
      </c>
      <c r="E165" s="91" t="s">
        <v>97</v>
      </c>
      <c r="F165" s="91" t="s">
        <v>0</v>
      </c>
      <c r="G165" s="56" t="s">
        <v>305</v>
      </c>
      <c r="H165" s="91">
        <v>858</v>
      </c>
      <c r="I165" s="91" t="s">
        <v>306</v>
      </c>
      <c r="J165" s="91" t="s">
        <v>7</v>
      </c>
      <c r="K165" s="92" t="s">
        <v>21</v>
      </c>
      <c r="L165" s="93" t="s">
        <v>3041</v>
      </c>
      <c r="M165" s="94" t="s">
        <v>3329</v>
      </c>
      <c r="N165" s="95" t="s">
        <v>3042</v>
      </c>
      <c r="O165" s="96">
        <v>11</v>
      </c>
      <c r="P165" s="111">
        <f>322/15*O165</f>
        <v>236.13333333333333</v>
      </c>
      <c r="Q165" s="91" t="s">
        <v>16</v>
      </c>
      <c r="R165" s="91">
        <v>10.3</v>
      </c>
      <c r="S165" s="95"/>
      <c r="T165" s="98"/>
      <c r="U165" s="112">
        <f>R165*P165</f>
        <v>2432.1733333333336</v>
      </c>
      <c r="V165" s="113">
        <f t="shared" si="32"/>
        <v>2.8347008547008552</v>
      </c>
      <c r="W165" s="114">
        <f t="shared" si="33"/>
        <v>0.40495726495726503</v>
      </c>
      <c r="X165" s="95"/>
      <c r="Y165" s="95"/>
      <c r="Z165" s="102"/>
      <c r="AA165" s="103">
        <v>45675</v>
      </c>
      <c r="AB165" s="103">
        <v>45713</v>
      </c>
      <c r="AC165" s="103"/>
      <c r="AD165" s="102">
        <f>IF(ISNA(VLOOKUP(D165,亚马逊入库配置费!B:F,5,0)),0,VLOOKUP(D165,亚马逊入库配置费!B:F,5,0))</f>
        <v>0.34</v>
      </c>
      <c r="AE165" s="102">
        <f t="shared" si="28"/>
        <v>291.72000000000003</v>
      </c>
      <c r="AF165" s="103">
        <v>45727</v>
      </c>
      <c r="AG165" s="91">
        <f t="shared" si="29"/>
        <v>52</v>
      </c>
      <c r="AH165" s="103">
        <v>45727</v>
      </c>
      <c r="AI165" s="103">
        <v>45745</v>
      </c>
      <c r="AJ165" s="96">
        <v>854</v>
      </c>
      <c r="AK165" s="91">
        <f t="shared" si="30"/>
        <v>18</v>
      </c>
      <c r="AL165" s="96">
        <f t="shared" si="31"/>
        <v>70</v>
      </c>
      <c r="AM165" s="92"/>
      <c r="AN165" s="91"/>
      <c r="AO165" s="91"/>
    </row>
    <row r="166" spans="1:41" ht="14.5" x14ac:dyDescent="0.25">
      <c r="A166" s="92" t="s">
        <v>396</v>
      </c>
      <c r="B166" s="91"/>
      <c r="C166" s="91" t="s">
        <v>303</v>
      </c>
      <c r="D166" s="92" t="s">
        <v>397</v>
      </c>
      <c r="E166" s="91" t="s">
        <v>115</v>
      </c>
      <c r="F166" s="91" t="s">
        <v>0</v>
      </c>
      <c r="G166" s="56" t="s">
        <v>316</v>
      </c>
      <c r="H166" s="91">
        <v>540</v>
      </c>
      <c r="I166" s="91" t="s">
        <v>306</v>
      </c>
      <c r="J166" s="91" t="s">
        <v>6</v>
      </c>
      <c r="K166" s="92" t="s">
        <v>47</v>
      </c>
      <c r="L166" s="93" t="s">
        <v>3046</v>
      </c>
      <c r="M166" s="94" t="s">
        <v>3333</v>
      </c>
      <c r="N166" s="95" t="s">
        <v>3042</v>
      </c>
      <c r="O166" s="96">
        <v>6</v>
      </c>
      <c r="P166" s="111">
        <f>234/12*O166</f>
        <v>117</v>
      </c>
      <c r="Q166" s="91" t="s">
        <v>16</v>
      </c>
      <c r="R166" s="91">
        <v>5.2</v>
      </c>
      <c r="S166" s="95"/>
      <c r="T166" s="98"/>
      <c r="U166" s="112">
        <f>R166*P166</f>
        <v>608.4</v>
      </c>
      <c r="V166" s="113">
        <f t="shared" si="32"/>
        <v>1.1266666666666667</v>
      </c>
      <c r="W166" s="114">
        <f t="shared" si="33"/>
        <v>0.16095238095238096</v>
      </c>
      <c r="X166" s="95"/>
      <c r="Y166" s="95"/>
      <c r="Z166" s="102"/>
      <c r="AA166" s="103">
        <v>45675</v>
      </c>
      <c r="AB166" s="103">
        <v>45712</v>
      </c>
      <c r="AC166" s="103"/>
      <c r="AD166" s="102">
        <f>IF(ISNA(VLOOKUP(D166,亚马逊入库配置费!B:F,5,0)),0,VLOOKUP(D166,亚马逊入库配置费!B:F,5,0))</f>
        <v>0.34</v>
      </c>
      <c r="AE166" s="102">
        <f t="shared" si="28"/>
        <v>183.60000000000002</v>
      </c>
      <c r="AF166" s="103">
        <v>45719</v>
      </c>
      <c r="AG166" s="91">
        <f t="shared" si="29"/>
        <v>44</v>
      </c>
      <c r="AH166" s="103">
        <v>45728</v>
      </c>
      <c r="AI166" s="103">
        <v>45752</v>
      </c>
      <c r="AJ166" s="96">
        <v>539</v>
      </c>
      <c r="AK166" s="91">
        <f t="shared" si="30"/>
        <v>24</v>
      </c>
      <c r="AL166" s="96">
        <f t="shared" si="31"/>
        <v>68</v>
      </c>
      <c r="AM166" s="92"/>
      <c r="AN166" s="91"/>
      <c r="AO166" s="91"/>
    </row>
    <row r="167" spans="1:41" ht="14.5" x14ac:dyDescent="0.25">
      <c r="A167" s="92" t="s">
        <v>398</v>
      </c>
      <c r="B167" s="91"/>
      <c r="C167" s="91" t="s">
        <v>303</v>
      </c>
      <c r="D167" s="92" t="s">
        <v>399</v>
      </c>
      <c r="E167" s="91" t="s">
        <v>115</v>
      </c>
      <c r="F167" s="91" t="s">
        <v>0</v>
      </c>
      <c r="G167" s="56" t="s">
        <v>305</v>
      </c>
      <c r="H167" s="91">
        <v>312</v>
      </c>
      <c r="I167" s="91" t="s">
        <v>306</v>
      </c>
      <c r="J167" s="91" t="s">
        <v>7</v>
      </c>
      <c r="K167" s="92" t="s">
        <v>21</v>
      </c>
      <c r="L167" s="93" t="s">
        <v>3041</v>
      </c>
      <c r="M167" s="94" t="s">
        <v>3329</v>
      </c>
      <c r="N167" s="95" t="s">
        <v>3042</v>
      </c>
      <c r="O167" s="96">
        <v>4</v>
      </c>
      <c r="P167" s="111">
        <f>322/15*O167</f>
        <v>85.86666666666666</v>
      </c>
      <c r="Q167" s="91" t="s">
        <v>16</v>
      </c>
      <c r="R167" s="91">
        <v>10.3</v>
      </c>
      <c r="S167" s="95"/>
      <c r="T167" s="98"/>
      <c r="U167" s="112">
        <f>R167*P167</f>
        <v>884.42666666666662</v>
      </c>
      <c r="V167" s="113">
        <f t="shared" si="32"/>
        <v>2.8347008547008548</v>
      </c>
      <c r="W167" s="114">
        <f t="shared" si="33"/>
        <v>0.40495726495726497</v>
      </c>
      <c r="X167" s="95"/>
      <c r="Y167" s="95"/>
      <c r="Z167" s="102"/>
      <c r="AA167" s="103">
        <v>45675</v>
      </c>
      <c r="AB167" s="103">
        <v>45713</v>
      </c>
      <c r="AC167" s="103"/>
      <c r="AD167" s="102">
        <f>IF(ISNA(VLOOKUP(D167,亚马逊入库配置费!B:F,5,0)),0,VLOOKUP(D167,亚马逊入库配置费!B:F,5,0))</f>
        <v>0.34</v>
      </c>
      <c r="AE167" s="102">
        <f t="shared" si="28"/>
        <v>106.08000000000001</v>
      </c>
      <c r="AF167" s="103">
        <v>45728</v>
      </c>
      <c r="AG167" s="91">
        <f t="shared" si="29"/>
        <v>53</v>
      </c>
      <c r="AH167" s="103">
        <v>45728</v>
      </c>
      <c r="AI167" s="103">
        <v>45737</v>
      </c>
      <c r="AJ167" s="96">
        <v>312</v>
      </c>
      <c r="AK167" s="91">
        <f t="shared" si="30"/>
        <v>9</v>
      </c>
      <c r="AL167" s="96">
        <f t="shared" si="31"/>
        <v>62</v>
      </c>
      <c r="AM167" s="92"/>
      <c r="AN167" s="91"/>
      <c r="AO167" s="91"/>
    </row>
    <row r="168" spans="1:41" ht="14.5" x14ac:dyDescent="0.25">
      <c r="A168" s="92" t="s">
        <v>400</v>
      </c>
      <c r="B168" s="91"/>
      <c r="C168" s="91" t="s">
        <v>401</v>
      </c>
      <c r="D168" s="92" t="s">
        <v>402</v>
      </c>
      <c r="E168" s="91" t="s">
        <v>97</v>
      </c>
      <c r="F168" s="91" t="s">
        <v>0</v>
      </c>
      <c r="G168" s="56" t="s">
        <v>88</v>
      </c>
      <c r="H168" s="91">
        <v>72</v>
      </c>
      <c r="I168" s="91" t="s">
        <v>207</v>
      </c>
      <c r="J168" s="91" t="s">
        <v>8</v>
      </c>
      <c r="K168" s="92" t="s">
        <v>47</v>
      </c>
      <c r="L168" s="93" t="s">
        <v>3014</v>
      </c>
      <c r="M168" s="94" t="s">
        <v>3286</v>
      </c>
      <c r="N168" s="95" t="s">
        <v>2821</v>
      </c>
      <c r="O168" s="96">
        <v>4</v>
      </c>
      <c r="P168" s="111">
        <f>323/15*O168</f>
        <v>86.13333333333334</v>
      </c>
      <c r="Q168" s="91" t="s">
        <v>16</v>
      </c>
      <c r="R168" s="91">
        <v>5.5</v>
      </c>
      <c r="S168" s="95"/>
      <c r="T168" s="98"/>
      <c r="U168" s="112">
        <f>R168*P168+350/27*O168</f>
        <v>525.5851851851852</v>
      </c>
      <c r="V168" s="113">
        <f t="shared" si="32"/>
        <v>7.2997942386831278</v>
      </c>
      <c r="W168" s="114">
        <f t="shared" si="33"/>
        <v>1.0428277483833039</v>
      </c>
      <c r="X168" s="95"/>
      <c r="Y168" s="95"/>
      <c r="Z168" s="102"/>
      <c r="AA168" s="103">
        <v>45678</v>
      </c>
      <c r="AB168" s="103">
        <v>45708</v>
      </c>
      <c r="AC168" s="103"/>
      <c r="AD168" s="102">
        <f>IF(ISNA(VLOOKUP(D168,亚马逊入库配置费!B:F,5,0)),0,VLOOKUP(D168,亚马逊入库配置费!B:F,5,0))</f>
        <v>0.34</v>
      </c>
      <c r="AE168" s="102">
        <f t="shared" si="28"/>
        <v>24.48</v>
      </c>
      <c r="AF168" s="103">
        <v>45719</v>
      </c>
      <c r="AG168" s="91">
        <f t="shared" si="29"/>
        <v>41</v>
      </c>
      <c r="AH168" s="103">
        <v>45719</v>
      </c>
      <c r="AI168" s="103">
        <v>45749</v>
      </c>
      <c r="AJ168" s="96">
        <v>72</v>
      </c>
      <c r="AK168" s="91">
        <f t="shared" si="30"/>
        <v>30</v>
      </c>
      <c r="AL168" s="96">
        <f t="shared" si="31"/>
        <v>71</v>
      </c>
      <c r="AM168" s="92"/>
      <c r="AN168" s="91"/>
      <c r="AO168" s="91"/>
    </row>
    <row r="169" spans="1:41" ht="14.5" x14ac:dyDescent="0.25">
      <c r="A169" s="92" t="s">
        <v>403</v>
      </c>
      <c r="B169" s="91"/>
      <c r="C169" s="91" t="s">
        <v>401</v>
      </c>
      <c r="D169" s="92" t="s">
        <v>402</v>
      </c>
      <c r="E169" s="91" t="s">
        <v>97</v>
      </c>
      <c r="F169" s="91" t="s">
        <v>0</v>
      </c>
      <c r="G169" s="56" t="s">
        <v>93</v>
      </c>
      <c r="H169" s="91">
        <v>198</v>
      </c>
      <c r="I169" s="91" t="s">
        <v>207</v>
      </c>
      <c r="J169" s="91" t="s">
        <v>8</v>
      </c>
      <c r="K169" s="92" t="s">
        <v>47</v>
      </c>
      <c r="L169" s="93" t="s">
        <v>3015</v>
      </c>
      <c r="M169" s="94" t="s">
        <v>3288</v>
      </c>
      <c r="N169" s="95" t="s">
        <v>2821</v>
      </c>
      <c r="O169" s="96">
        <v>11</v>
      </c>
      <c r="P169" s="111">
        <f>323/15*O169</f>
        <v>236.86666666666667</v>
      </c>
      <c r="Q169" s="91" t="s">
        <v>16</v>
      </c>
      <c r="R169" s="91">
        <v>5.5</v>
      </c>
      <c r="S169" s="95"/>
      <c r="T169" s="98"/>
      <c r="U169" s="112">
        <f>R169*P169+350/27*O169</f>
        <v>1445.3592592592593</v>
      </c>
      <c r="V169" s="113">
        <f t="shared" si="32"/>
        <v>7.2997942386831278</v>
      </c>
      <c r="W169" s="114">
        <f t="shared" si="33"/>
        <v>1.0428277483833039</v>
      </c>
      <c r="X169" s="95"/>
      <c r="Y169" s="95"/>
      <c r="Z169" s="102"/>
      <c r="AA169" s="103">
        <v>45678</v>
      </c>
      <c r="AB169" s="103">
        <v>45708</v>
      </c>
      <c r="AC169" s="103"/>
      <c r="AD169" s="102">
        <f>IF(ISNA(VLOOKUP(D169,亚马逊入库配置费!B:F,5,0)),0,VLOOKUP(D169,亚马逊入库配置费!B:F,5,0))</f>
        <v>0.34</v>
      </c>
      <c r="AE169" s="102">
        <f t="shared" si="28"/>
        <v>67.320000000000007</v>
      </c>
      <c r="AF169" s="103">
        <v>45719</v>
      </c>
      <c r="AG169" s="91">
        <f t="shared" si="29"/>
        <v>41</v>
      </c>
      <c r="AH169" s="103">
        <v>45719</v>
      </c>
      <c r="AI169" s="103">
        <v>45749</v>
      </c>
      <c r="AJ169" s="96">
        <v>198</v>
      </c>
      <c r="AK169" s="91">
        <f t="shared" si="30"/>
        <v>30</v>
      </c>
      <c r="AL169" s="96">
        <f t="shared" si="31"/>
        <v>71</v>
      </c>
      <c r="AM169" s="92"/>
      <c r="AN169" s="91"/>
      <c r="AO169" s="91"/>
    </row>
    <row r="170" spans="1:41" ht="14.5" x14ac:dyDescent="0.25">
      <c r="A170" s="92" t="s">
        <v>404</v>
      </c>
      <c r="B170" s="91"/>
      <c r="C170" s="91" t="s">
        <v>405</v>
      </c>
      <c r="D170" s="92" t="s">
        <v>406</v>
      </c>
      <c r="E170" s="91" t="s">
        <v>97</v>
      </c>
      <c r="F170" s="91" t="s">
        <v>0</v>
      </c>
      <c r="G170" s="56" t="s">
        <v>88</v>
      </c>
      <c r="H170" s="91">
        <v>54</v>
      </c>
      <c r="I170" s="91" t="s">
        <v>207</v>
      </c>
      <c r="J170" s="91" t="s">
        <v>8</v>
      </c>
      <c r="K170" s="92" t="s">
        <v>13</v>
      </c>
      <c r="L170" s="93" t="s">
        <v>3014</v>
      </c>
      <c r="M170" s="94" t="s">
        <v>3286</v>
      </c>
      <c r="N170" s="95" t="s">
        <v>2821</v>
      </c>
      <c r="O170" s="96">
        <v>3</v>
      </c>
      <c r="P170" s="111">
        <f>237/11*O170</f>
        <v>64.63636363636364</v>
      </c>
      <c r="Q170" s="91" t="s">
        <v>16</v>
      </c>
      <c r="R170" s="91">
        <v>6.3</v>
      </c>
      <c r="S170" s="95"/>
      <c r="T170" s="98"/>
      <c r="U170" s="112">
        <f>R170*P170+350/20*O170</f>
        <v>459.70909090909095</v>
      </c>
      <c r="V170" s="113">
        <f t="shared" si="32"/>
        <v>8.5131313131313142</v>
      </c>
      <c r="W170" s="114">
        <f t="shared" si="33"/>
        <v>1.2161616161616162</v>
      </c>
      <c r="X170" s="95"/>
      <c r="Y170" s="95"/>
      <c r="Z170" s="102"/>
      <c r="AA170" s="103">
        <v>45678</v>
      </c>
      <c r="AB170" s="103">
        <v>45708</v>
      </c>
      <c r="AC170" s="103"/>
      <c r="AD170" s="102">
        <f>IF(ISNA(VLOOKUP(D170,亚马逊入库配置费!B:F,5,0)),0,VLOOKUP(D170,亚马逊入库配置费!B:F,5,0))</f>
        <v>0.34</v>
      </c>
      <c r="AE170" s="102">
        <f t="shared" si="28"/>
        <v>18.360000000000003</v>
      </c>
      <c r="AF170" s="103">
        <v>45727</v>
      </c>
      <c r="AG170" s="91">
        <f t="shared" si="29"/>
        <v>49</v>
      </c>
      <c r="AH170" s="103">
        <v>45727</v>
      </c>
      <c r="AI170" s="103">
        <v>45759</v>
      </c>
      <c r="AJ170" s="96">
        <v>54</v>
      </c>
      <c r="AK170" s="91">
        <f t="shared" si="30"/>
        <v>32</v>
      </c>
      <c r="AL170" s="96">
        <f t="shared" si="31"/>
        <v>81</v>
      </c>
      <c r="AM170" s="92"/>
      <c r="AN170" s="91"/>
      <c r="AO170" s="91"/>
    </row>
    <row r="171" spans="1:41" ht="14.5" x14ac:dyDescent="0.25">
      <c r="A171" s="92" t="s">
        <v>407</v>
      </c>
      <c r="B171" s="91"/>
      <c r="C171" s="91" t="s">
        <v>405</v>
      </c>
      <c r="D171" s="92" t="s">
        <v>406</v>
      </c>
      <c r="E171" s="91" t="s">
        <v>97</v>
      </c>
      <c r="F171" s="91" t="s">
        <v>0</v>
      </c>
      <c r="G171" s="56" t="s">
        <v>93</v>
      </c>
      <c r="H171" s="91">
        <v>144</v>
      </c>
      <c r="I171" s="91" t="s">
        <v>207</v>
      </c>
      <c r="J171" s="91" t="s">
        <v>8</v>
      </c>
      <c r="K171" s="92" t="s">
        <v>13</v>
      </c>
      <c r="L171" s="93" t="s">
        <v>3015</v>
      </c>
      <c r="M171" s="94" t="s">
        <v>3288</v>
      </c>
      <c r="N171" s="95" t="s">
        <v>2821</v>
      </c>
      <c r="O171" s="96">
        <v>8</v>
      </c>
      <c r="P171" s="111">
        <f>237/11*O171</f>
        <v>172.36363636363637</v>
      </c>
      <c r="Q171" s="91" t="s">
        <v>16</v>
      </c>
      <c r="R171" s="91">
        <v>6.3</v>
      </c>
      <c r="S171" s="95"/>
      <c r="T171" s="98"/>
      <c r="U171" s="112">
        <f>R171*P171+350/20*O171</f>
        <v>1225.8909090909092</v>
      </c>
      <c r="V171" s="113">
        <f t="shared" si="32"/>
        <v>8.5131313131313142</v>
      </c>
      <c r="W171" s="114">
        <f t="shared" si="33"/>
        <v>1.2161616161616162</v>
      </c>
      <c r="X171" s="95"/>
      <c r="Y171" s="95"/>
      <c r="Z171" s="102"/>
      <c r="AA171" s="103">
        <v>45678</v>
      </c>
      <c r="AB171" s="103">
        <v>45708</v>
      </c>
      <c r="AC171" s="103"/>
      <c r="AD171" s="102">
        <f>IF(ISNA(VLOOKUP(D171,亚马逊入库配置费!B:F,5,0)),0,VLOOKUP(D171,亚马逊入库配置费!B:F,5,0))</f>
        <v>0.34</v>
      </c>
      <c r="AE171" s="102">
        <f t="shared" si="28"/>
        <v>48.96</v>
      </c>
      <c r="AF171" s="103">
        <v>45727</v>
      </c>
      <c r="AG171" s="91">
        <f t="shared" si="29"/>
        <v>49</v>
      </c>
      <c r="AH171" s="103">
        <v>45727</v>
      </c>
      <c r="AI171" s="103">
        <v>45759</v>
      </c>
      <c r="AJ171" s="96">
        <v>144</v>
      </c>
      <c r="AK171" s="91">
        <f t="shared" si="30"/>
        <v>32</v>
      </c>
      <c r="AL171" s="96">
        <f t="shared" si="31"/>
        <v>81</v>
      </c>
      <c r="AM171" s="92"/>
      <c r="AN171" s="91"/>
      <c r="AO171" s="91"/>
    </row>
    <row r="172" spans="1:41" ht="14.5" x14ac:dyDescent="0.25">
      <c r="A172" s="92" t="s">
        <v>408</v>
      </c>
      <c r="B172" s="91"/>
      <c r="C172" s="91" t="s">
        <v>409</v>
      </c>
      <c r="D172" s="92" t="s">
        <v>410</v>
      </c>
      <c r="E172" s="91" t="s">
        <v>97</v>
      </c>
      <c r="F172" s="91" t="s">
        <v>0</v>
      </c>
      <c r="G172" s="56" t="s">
        <v>88</v>
      </c>
      <c r="H172" s="91">
        <v>72</v>
      </c>
      <c r="I172" s="91" t="s">
        <v>207</v>
      </c>
      <c r="J172" s="91" t="s">
        <v>8</v>
      </c>
      <c r="K172" s="92" t="s">
        <v>14</v>
      </c>
      <c r="L172" s="93" t="s">
        <v>3014</v>
      </c>
      <c r="M172" s="94" t="s">
        <v>3286</v>
      </c>
      <c r="N172" s="95" t="s">
        <v>2821</v>
      </c>
      <c r="O172" s="96">
        <v>4</v>
      </c>
      <c r="P172" s="111">
        <f>280/13*O172</f>
        <v>86.15384615384616</v>
      </c>
      <c r="Q172" s="91" t="s">
        <v>16</v>
      </c>
      <c r="R172" s="91">
        <v>8</v>
      </c>
      <c r="S172" s="95"/>
      <c r="T172" s="98"/>
      <c r="U172" s="112">
        <f>R172*P172+350/23*O172</f>
        <v>750.10033444816054</v>
      </c>
      <c r="V172" s="113">
        <f t="shared" si="32"/>
        <v>10.418060200668897</v>
      </c>
      <c r="W172" s="114">
        <f t="shared" si="33"/>
        <v>1.488294314381271</v>
      </c>
      <c r="X172" s="95"/>
      <c r="Y172" s="95"/>
      <c r="Z172" s="102"/>
      <c r="AA172" s="103">
        <v>45678</v>
      </c>
      <c r="AB172" s="103">
        <v>45708</v>
      </c>
      <c r="AC172" s="103"/>
      <c r="AD172" s="102">
        <f>IF(ISNA(VLOOKUP(D172,亚马逊入库配置费!B:F,5,0)),0,VLOOKUP(D172,亚马逊入库配置费!B:F,5,0))</f>
        <v>0.34</v>
      </c>
      <c r="AE172" s="102">
        <f t="shared" si="28"/>
        <v>24.48</v>
      </c>
      <c r="AF172" s="103">
        <v>45719</v>
      </c>
      <c r="AG172" s="91">
        <f t="shared" si="29"/>
        <v>41</v>
      </c>
      <c r="AH172" s="103">
        <v>45719</v>
      </c>
      <c r="AI172" s="103">
        <v>45751</v>
      </c>
      <c r="AJ172" s="96">
        <v>77</v>
      </c>
      <c r="AK172" s="91">
        <f t="shared" si="30"/>
        <v>32</v>
      </c>
      <c r="AL172" s="96">
        <f t="shared" si="31"/>
        <v>73</v>
      </c>
      <c r="AM172" s="92"/>
      <c r="AN172" s="91"/>
      <c r="AO172" s="91"/>
    </row>
    <row r="173" spans="1:41" ht="14.5" x14ac:dyDescent="0.25">
      <c r="A173" s="92" t="s">
        <v>411</v>
      </c>
      <c r="B173" s="91"/>
      <c r="C173" s="91" t="s">
        <v>409</v>
      </c>
      <c r="D173" s="92" t="s">
        <v>410</v>
      </c>
      <c r="E173" s="91" t="s">
        <v>97</v>
      </c>
      <c r="F173" s="91" t="s">
        <v>0</v>
      </c>
      <c r="G173" s="56" t="s">
        <v>93</v>
      </c>
      <c r="H173" s="91">
        <v>162</v>
      </c>
      <c r="I173" s="91" t="s">
        <v>207</v>
      </c>
      <c r="J173" s="91" t="s">
        <v>8</v>
      </c>
      <c r="K173" s="92" t="s">
        <v>14</v>
      </c>
      <c r="L173" s="93" t="s">
        <v>3015</v>
      </c>
      <c r="M173" s="94" t="s">
        <v>3288</v>
      </c>
      <c r="N173" s="95" t="s">
        <v>2821</v>
      </c>
      <c r="O173" s="96">
        <v>9</v>
      </c>
      <c r="P173" s="111">
        <f>280/13*O173</f>
        <v>193.84615384615387</v>
      </c>
      <c r="Q173" s="91" t="s">
        <v>16</v>
      </c>
      <c r="R173" s="91">
        <v>8</v>
      </c>
      <c r="S173" s="95"/>
      <c r="T173" s="98"/>
      <c r="U173" s="112">
        <f>R173*P173+350/23*O173</f>
        <v>1687.7257525083614</v>
      </c>
      <c r="V173" s="113">
        <f t="shared" si="32"/>
        <v>10.418060200668897</v>
      </c>
      <c r="W173" s="114">
        <f t="shared" si="33"/>
        <v>1.488294314381271</v>
      </c>
      <c r="X173" s="95"/>
      <c r="Y173" s="95"/>
      <c r="Z173" s="102"/>
      <c r="AA173" s="103">
        <v>45678</v>
      </c>
      <c r="AB173" s="103">
        <v>45708</v>
      </c>
      <c r="AC173" s="103"/>
      <c r="AD173" s="102">
        <f>IF(ISNA(VLOOKUP(D173,亚马逊入库配置费!B:F,5,0)),0,VLOOKUP(D173,亚马逊入库配置费!B:F,5,0))</f>
        <v>0.34</v>
      </c>
      <c r="AE173" s="102">
        <f t="shared" si="28"/>
        <v>55.080000000000005</v>
      </c>
      <c r="AF173" s="103">
        <v>45719</v>
      </c>
      <c r="AG173" s="91">
        <f t="shared" si="29"/>
        <v>41</v>
      </c>
      <c r="AH173" s="103">
        <v>45719</v>
      </c>
      <c r="AI173" s="103">
        <v>45751</v>
      </c>
      <c r="AJ173" s="96">
        <v>180</v>
      </c>
      <c r="AK173" s="91">
        <f t="shared" si="30"/>
        <v>32</v>
      </c>
      <c r="AL173" s="96">
        <f t="shared" si="31"/>
        <v>73</v>
      </c>
      <c r="AM173" s="92"/>
      <c r="AN173" s="91"/>
      <c r="AO173" s="91"/>
    </row>
    <row r="174" spans="1:41" ht="14.5" x14ac:dyDescent="0.25">
      <c r="A174" s="92" t="s">
        <v>412</v>
      </c>
      <c r="B174" s="91" t="s">
        <v>413</v>
      </c>
      <c r="C174" s="91" t="s">
        <v>414</v>
      </c>
      <c r="D174" s="92" t="s">
        <v>415</v>
      </c>
      <c r="E174" s="91" t="s">
        <v>416</v>
      </c>
      <c r="F174" s="91" t="s">
        <v>0</v>
      </c>
      <c r="G174" s="56" t="s">
        <v>417</v>
      </c>
      <c r="H174" s="91">
        <v>320</v>
      </c>
      <c r="I174" s="91" t="s">
        <v>418</v>
      </c>
      <c r="J174" s="91" t="s">
        <v>3</v>
      </c>
      <c r="K174" s="92" t="s">
        <v>23</v>
      </c>
      <c r="L174" s="93" t="s">
        <v>3052</v>
      </c>
      <c r="M174" s="94" t="s">
        <v>3341</v>
      </c>
      <c r="N174" s="95" t="s">
        <v>2905</v>
      </c>
      <c r="O174" s="96">
        <v>1</v>
      </c>
      <c r="P174" s="111">
        <f>42/3*O174</f>
        <v>14</v>
      </c>
      <c r="Q174" s="91" t="s">
        <v>16</v>
      </c>
      <c r="R174" s="91">
        <v>53</v>
      </c>
      <c r="S174" s="95"/>
      <c r="T174" s="98"/>
      <c r="U174" s="112">
        <f>R174*P174+(350+152.25)/3</f>
        <v>909.41666666666663</v>
      </c>
      <c r="V174" s="113">
        <f t="shared" si="32"/>
        <v>2.8419270833333332</v>
      </c>
      <c r="W174" s="114">
        <f t="shared" si="33"/>
        <v>0.40598958333333329</v>
      </c>
      <c r="X174" s="95"/>
      <c r="Y174" s="95"/>
      <c r="Z174" s="102"/>
      <c r="AA174" s="103">
        <v>45678</v>
      </c>
      <c r="AB174" s="103"/>
      <c r="AC174" s="103"/>
      <c r="AD174" s="102">
        <f>IF(ISNA(VLOOKUP(D174,亚马逊入库配置费!B:F,5,0)),0,VLOOKUP(D174,亚马逊入库配置费!B:F,5,0))</f>
        <v>0.21</v>
      </c>
      <c r="AE174" s="102">
        <f t="shared" si="28"/>
        <v>67.2</v>
      </c>
      <c r="AF174" s="103">
        <v>45695</v>
      </c>
      <c r="AG174" s="91">
        <f t="shared" si="29"/>
        <v>17</v>
      </c>
      <c r="AH174" s="103">
        <v>45695</v>
      </c>
      <c r="AI174" s="103">
        <v>45724</v>
      </c>
      <c r="AJ174" s="96">
        <v>320</v>
      </c>
      <c r="AK174" s="91">
        <f t="shared" si="30"/>
        <v>29</v>
      </c>
      <c r="AL174" s="96">
        <f t="shared" si="31"/>
        <v>46</v>
      </c>
      <c r="AM174" s="92" t="s">
        <v>419</v>
      </c>
      <c r="AN174" s="91"/>
      <c r="AO174" s="91"/>
    </row>
    <row r="175" spans="1:41" ht="14.5" x14ac:dyDescent="0.25">
      <c r="A175" s="92" t="s">
        <v>420</v>
      </c>
      <c r="B175" s="91" t="s">
        <v>413</v>
      </c>
      <c r="C175" s="91" t="s">
        <v>414</v>
      </c>
      <c r="D175" s="92" t="s">
        <v>415</v>
      </c>
      <c r="E175" s="91" t="s">
        <v>416</v>
      </c>
      <c r="F175" s="91" t="s">
        <v>0</v>
      </c>
      <c r="G175" s="56" t="s">
        <v>421</v>
      </c>
      <c r="H175" s="91">
        <v>200</v>
      </c>
      <c r="I175" s="91" t="s">
        <v>418</v>
      </c>
      <c r="J175" s="91" t="s">
        <v>3</v>
      </c>
      <c r="K175" s="92" t="s">
        <v>23</v>
      </c>
      <c r="L175" s="93" t="s">
        <v>3053</v>
      </c>
      <c r="M175" s="94" t="s">
        <v>3342</v>
      </c>
      <c r="N175" s="95" t="s">
        <v>2905</v>
      </c>
      <c r="O175" s="96">
        <v>1</v>
      </c>
      <c r="P175" s="111">
        <f>42/3*O175</f>
        <v>14</v>
      </c>
      <c r="Q175" s="91" t="s">
        <v>16</v>
      </c>
      <c r="R175" s="91">
        <v>53</v>
      </c>
      <c r="S175" s="95"/>
      <c r="T175" s="98"/>
      <c r="U175" s="112">
        <f>R175*P175+(350+152.25)/3</f>
        <v>909.41666666666663</v>
      </c>
      <c r="V175" s="113">
        <f t="shared" si="32"/>
        <v>4.5470833333333331</v>
      </c>
      <c r="W175" s="114">
        <f t="shared" si="33"/>
        <v>0.64958333333333329</v>
      </c>
      <c r="X175" s="95"/>
      <c r="Y175" s="95"/>
      <c r="Z175" s="102"/>
      <c r="AA175" s="103">
        <v>45678</v>
      </c>
      <c r="AB175" s="103"/>
      <c r="AC175" s="103"/>
      <c r="AD175" s="102">
        <f>IF(ISNA(VLOOKUP(D175,亚马逊入库配置费!B:F,5,0)),0,VLOOKUP(D175,亚马逊入库配置费!B:F,5,0))</f>
        <v>0.21</v>
      </c>
      <c r="AE175" s="102">
        <f t="shared" si="28"/>
        <v>42</v>
      </c>
      <c r="AF175" s="103">
        <v>45695</v>
      </c>
      <c r="AG175" s="91">
        <f t="shared" si="29"/>
        <v>17</v>
      </c>
      <c r="AH175" s="103">
        <v>45695</v>
      </c>
      <c r="AI175" s="103">
        <v>45724</v>
      </c>
      <c r="AJ175" s="96">
        <v>200</v>
      </c>
      <c r="AK175" s="91">
        <f t="shared" si="30"/>
        <v>29</v>
      </c>
      <c r="AL175" s="96">
        <f t="shared" si="31"/>
        <v>46</v>
      </c>
      <c r="AM175" s="92" t="s">
        <v>419</v>
      </c>
      <c r="AN175" s="91"/>
      <c r="AO175" s="91"/>
    </row>
    <row r="176" spans="1:41" ht="14.5" x14ac:dyDescent="0.25">
      <c r="A176" s="92" t="s">
        <v>422</v>
      </c>
      <c r="B176" s="91" t="s">
        <v>3343</v>
      </c>
      <c r="C176" s="91" t="s">
        <v>414</v>
      </c>
      <c r="D176" s="92" t="s">
        <v>423</v>
      </c>
      <c r="E176" s="91" t="s">
        <v>416</v>
      </c>
      <c r="F176" s="91" t="s">
        <v>0</v>
      </c>
      <c r="G176" s="56" t="s">
        <v>417</v>
      </c>
      <c r="H176" s="91">
        <v>320</v>
      </c>
      <c r="I176" s="91" t="s">
        <v>418</v>
      </c>
      <c r="J176" s="91" t="s">
        <v>3</v>
      </c>
      <c r="K176" s="92" t="s">
        <v>45</v>
      </c>
      <c r="L176" s="93" t="s">
        <v>3052</v>
      </c>
      <c r="M176" s="94" t="s">
        <v>3341</v>
      </c>
      <c r="N176" s="95" t="s">
        <v>2905</v>
      </c>
      <c r="O176" s="96">
        <v>1</v>
      </c>
      <c r="P176" s="111">
        <f>42/3*O176</f>
        <v>14</v>
      </c>
      <c r="Q176" s="91" t="s">
        <v>16</v>
      </c>
      <c r="R176" s="91">
        <v>53</v>
      </c>
      <c r="S176" s="95"/>
      <c r="T176" s="98"/>
      <c r="U176" s="112">
        <f>R176*P176+(350+152.25)/3</f>
        <v>909.41666666666663</v>
      </c>
      <c r="V176" s="113">
        <f t="shared" si="32"/>
        <v>2.8419270833333332</v>
      </c>
      <c r="W176" s="114">
        <f t="shared" si="33"/>
        <v>0.40598958333333329</v>
      </c>
      <c r="X176" s="95"/>
      <c r="Y176" s="95"/>
      <c r="Z176" s="102"/>
      <c r="AA176" s="103">
        <v>45678</v>
      </c>
      <c r="AB176" s="103"/>
      <c r="AC176" s="103"/>
      <c r="AD176" s="102">
        <f>IF(ISNA(VLOOKUP(D176,亚马逊入库配置费!B:F,5,0)),0,VLOOKUP(D176,亚马逊入库配置费!B:F,5,0))</f>
        <v>0.21</v>
      </c>
      <c r="AE176" s="102">
        <f t="shared" si="28"/>
        <v>67.2</v>
      </c>
      <c r="AF176" s="103">
        <v>45697</v>
      </c>
      <c r="AG176" s="91">
        <f t="shared" si="29"/>
        <v>19</v>
      </c>
      <c r="AH176" s="103">
        <v>45697</v>
      </c>
      <c r="AI176" s="103">
        <v>45720</v>
      </c>
      <c r="AJ176" s="117">
        <v>318</v>
      </c>
      <c r="AK176" s="91">
        <f t="shared" si="30"/>
        <v>23</v>
      </c>
      <c r="AL176" s="96">
        <f t="shared" si="31"/>
        <v>42</v>
      </c>
      <c r="AM176" s="92" t="s">
        <v>424</v>
      </c>
      <c r="AN176" s="91"/>
      <c r="AO176" s="91"/>
    </row>
    <row r="177" spans="1:41" ht="14.5" x14ac:dyDescent="0.25">
      <c r="A177" s="92" t="s">
        <v>425</v>
      </c>
      <c r="B177" s="91" t="s">
        <v>3344</v>
      </c>
      <c r="C177" s="91" t="s">
        <v>426</v>
      </c>
      <c r="D177" s="92" t="s">
        <v>427</v>
      </c>
      <c r="E177" s="91" t="s">
        <v>428</v>
      </c>
      <c r="F177" s="91" t="s">
        <v>87</v>
      </c>
      <c r="G177" s="56" t="s">
        <v>429</v>
      </c>
      <c r="H177" s="91">
        <v>400</v>
      </c>
      <c r="I177" s="91" t="s">
        <v>418</v>
      </c>
      <c r="J177" s="91" t="s">
        <v>430</v>
      </c>
      <c r="K177" s="92" t="s">
        <v>431</v>
      </c>
      <c r="L177" s="93" t="s">
        <v>3054</v>
      </c>
      <c r="M177" s="94" t="s">
        <v>3345</v>
      </c>
      <c r="N177" s="95" t="s">
        <v>2905</v>
      </c>
      <c r="O177" s="96">
        <v>2</v>
      </c>
      <c r="P177" s="111">
        <v>29</v>
      </c>
      <c r="Q177" s="91" t="s">
        <v>16</v>
      </c>
      <c r="R177" s="91">
        <v>57</v>
      </c>
      <c r="S177" s="95"/>
      <c r="T177" s="98"/>
      <c r="U177" s="112">
        <f>R177*P177+350+100+150</f>
        <v>2253</v>
      </c>
      <c r="V177" s="113">
        <f t="shared" si="32"/>
        <v>5.6325000000000003</v>
      </c>
      <c r="W177" s="114">
        <f t="shared" si="33"/>
        <v>0.80464285714285722</v>
      </c>
      <c r="X177" s="95"/>
      <c r="Y177" s="95"/>
      <c r="Z177" s="102"/>
      <c r="AA177" s="103">
        <v>45678</v>
      </c>
      <c r="AB177" s="103"/>
      <c r="AC177" s="103"/>
      <c r="AD177" s="102">
        <f>IF(ISNA(VLOOKUP(D177,亚马逊入库配置费!B:F,5,0)),0,VLOOKUP(D177,亚马逊入库配置费!B:F,5,0))</f>
        <v>0</v>
      </c>
      <c r="AE177" s="102">
        <f t="shared" si="28"/>
        <v>0</v>
      </c>
      <c r="AF177" s="103">
        <v>45697</v>
      </c>
      <c r="AG177" s="91">
        <f t="shared" si="29"/>
        <v>19</v>
      </c>
      <c r="AH177" s="103">
        <v>45697</v>
      </c>
      <c r="AI177" s="103">
        <v>45702</v>
      </c>
      <c r="AJ177" s="117">
        <v>397</v>
      </c>
      <c r="AK177" s="91">
        <f t="shared" si="30"/>
        <v>5</v>
      </c>
      <c r="AL177" s="96">
        <f t="shared" si="31"/>
        <v>24</v>
      </c>
      <c r="AM177" s="92" t="s">
        <v>432</v>
      </c>
      <c r="AN177" s="91"/>
      <c r="AO177" s="91"/>
    </row>
    <row r="178" spans="1:41" ht="14.5" x14ac:dyDescent="0.25">
      <c r="A178" s="92" t="s">
        <v>433</v>
      </c>
      <c r="B178" s="91"/>
      <c r="C178" s="91" t="s">
        <v>434</v>
      </c>
      <c r="D178" s="92" t="s">
        <v>435</v>
      </c>
      <c r="E178" s="91" t="s">
        <v>254</v>
      </c>
      <c r="F178" s="91" t="s">
        <v>255</v>
      </c>
      <c r="G178" s="56" t="s">
        <v>417</v>
      </c>
      <c r="H178" s="91">
        <v>260</v>
      </c>
      <c r="I178" s="91" t="s">
        <v>418</v>
      </c>
      <c r="J178" s="91" t="s">
        <v>436</v>
      </c>
      <c r="K178" s="92" t="s">
        <v>437</v>
      </c>
      <c r="L178" s="93" t="s">
        <v>3052</v>
      </c>
      <c r="M178" s="94" t="s">
        <v>3341</v>
      </c>
      <c r="N178" s="95" t="s">
        <v>2905</v>
      </c>
      <c r="O178" s="96">
        <v>0.8125</v>
      </c>
      <c r="P178" s="111">
        <f>28/2*O178</f>
        <v>11.375</v>
      </c>
      <c r="Q178" s="91" t="s">
        <v>16</v>
      </c>
      <c r="R178" s="91">
        <v>47.5</v>
      </c>
      <c r="S178" s="95"/>
      <c r="T178" s="98"/>
      <c r="U178" s="112">
        <f>R178*P178+600/2*O178</f>
        <v>784.0625</v>
      </c>
      <c r="V178" s="113">
        <f t="shared" si="32"/>
        <v>3.015625</v>
      </c>
      <c r="W178" s="114">
        <f t="shared" si="33"/>
        <v>0.43080357142857145</v>
      </c>
      <c r="X178" s="95"/>
      <c r="Y178" s="95"/>
      <c r="Z178" s="102"/>
      <c r="AA178" s="103">
        <v>45678</v>
      </c>
      <c r="AB178" s="103"/>
      <c r="AC178" s="103"/>
      <c r="AD178" s="102">
        <f>IF(ISNA(VLOOKUP(D178,亚马逊入库配置费!B:F,5,0)),0,VLOOKUP(D178,亚马逊入库配置费!B:F,5,0))</f>
        <v>0</v>
      </c>
      <c r="AE178" s="102">
        <f t="shared" si="28"/>
        <v>0</v>
      </c>
      <c r="AF178" s="103">
        <v>45695</v>
      </c>
      <c r="AG178" s="91">
        <f t="shared" si="29"/>
        <v>17</v>
      </c>
      <c r="AH178" s="103">
        <v>45695</v>
      </c>
      <c r="AI178" s="103">
        <v>45710</v>
      </c>
      <c r="AJ178" s="96">
        <v>260</v>
      </c>
      <c r="AK178" s="91">
        <f t="shared" si="30"/>
        <v>15</v>
      </c>
      <c r="AL178" s="96">
        <f t="shared" si="31"/>
        <v>32</v>
      </c>
      <c r="AM178" s="92" t="s">
        <v>438</v>
      </c>
      <c r="AN178" s="91"/>
      <c r="AO178" s="91"/>
    </row>
    <row r="179" spans="1:41" ht="14.5" x14ac:dyDescent="0.25">
      <c r="A179" s="92" t="s">
        <v>439</v>
      </c>
      <c r="B179" s="91"/>
      <c r="C179" s="91" t="s">
        <v>434</v>
      </c>
      <c r="D179" s="92" t="s">
        <v>435</v>
      </c>
      <c r="E179" s="91" t="s">
        <v>254</v>
      </c>
      <c r="F179" s="91" t="s">
        <v>255</v>
      </c>
      <c r="G179" s="56" t="s">
        <v>440</v>
      </c>
      <c r="H179" s="91">
        <v>60</v>
      </c>
      <c r="I179" s="91" t="s">
        <v>418</v>
      </c>
      <c r="J179" s="91" t="s">
        <v>436</v>
      </c>
      <c r="K179" s="92" t="s">
        <v>437</v>
      </c>
      <c r="L179" s="93" t="s">
        <v>3055</v>
      </c>
      <c r="M179" s="94" t="s">
        <v>3346</v>
      </c>
      <c r="N179" s="95" t="s">
        <v>2905</v>
      </c>
      <c r="O179" s="96">
        <v>0.1875</v>
      </c>
      <c r="P179" s="111">
        <f>28/2*O179</f>
        <v>2.625</v>
      </c>
      <c r="Q179" s="91" t="s">
        <v>16</v>
      </c>
      <c r="R179" s="91">
        <v>47.5</v>
      </c>
      <c r="S179" s="95"/>
      <c r="T179" s="98"/>
      <c r="U179" s="112">
        <f>R179*P179+600/2*O179</f>
        <v>180.9375</v>
      </c>
      <c r="V179" s="113">
        <f t="shared" si="32"/>
        <v>3.015625</v>
      </c>
      <c r="W179" s="114">
        <f t="shared" si="33"/>
        <v>0.43080357142857145</v>
      </c>
      <c r="X179" s="95"/>
      <c r="Y179" s="95"/>
      <c r="Z179" s="102"/>
      <c r="AA179" s="103">
        <v>45678</v>
      </c>
      <c r="AB179" s="103"/>
      <c r="AC179" s="103"/>
      <c r="AD179" s="102">
        <f>IF(ISNA(VLOOKUP(D179,亚马逊入库配置费!B:F,5,0)),0,VLOOKUP(D179,亚马逊入库配置费!B:F,5,0))</f>
        <v>0</v>
      </c>
      <c r="AE179" s="102">
        <f t="shared" si="28"/>
        <v>0</v>
      </c>
      <c r="AF179" s="103">
        <v>45695</v>
      </c>
      <c r="AG179" s="91">
        <f t="shared" si="29"/>
        <v>17</v>
      </c>
      <c r="AH179" s="103">
        <v>45695</v>
      </c>
      <c r="AI179" s="103">
        <v>45710</v>
      </c>
      <c r="AJ179" s="96">
        <v>60</v>
      </c>
      <c r="AK179" s="91">
        <f t="shared" si="30"/>
        <v>15</v>
      </c>
      <c r="AL179" s="96">
        <f t="shared" si="31"/>
        <v>32</v>
      </c>
      <c r="AM179" s="92" t="s">
        <v>438</v>
      </c>
      <c r="AN179" s="91"/>
      <c r="AO179" s="91"/>
    </row>
    <row r="180" spans="1:41" ht="14.5" x14ac:dyDescent="0.25">
      <c r="A180" s="92" t="s">
        <v>441</v>
      </c>
      <c r="B180" s="91"/>
      <c r="C180" s="91" t="s">
        <v>434</v>
      </c>
      <c r="D180" s="92" t="s">
        <v>435</v>
      </c>
      <c r="E180" s="91" t="s">
        <v>254</v>
      </c>
      <c r="F180" s="91" t="s">
        <v>255</v>
      </c>
      <c r="G180" s="56" t="s">
        <v>417</v>
      </c>
      <c r="H180" s="91">
        <v>220</v>
      </c>
      <c r="I180" s="91" t="s">
        <v>418</v>
      </c>
      <c r="J180" s="91" t="s">
        <v>436</v>
      </c>
      <c r="K180" s="92" t="s">
        <v>437</v>
      </c>
      <c r="L180" s="93" t="s">
        <v>3052</v>
      </c>
      <c r="M180" s="94" t="s">
        <v>3341</v>
      </c>
      <c r="N180" s="95" t="s">
        <v>2905</v>
      </c>
      <c r="O180" s="96">
        <v>0.6875</v>
      </c>
      <c r="P180" s="111">
        <f>28/2*O180</f>
        <v>9.625</v>
      </c>
      <c r="Q180" s="91" t="s">
        <v>16</v>
      </c>
      <c r="R180" s="91">
        <v>47.5</v>
      </c>
      <c r="S180" s="95"/>
      <c r="T180" s="98"/>
      <c r="U180" s="112">
        <f>R180*P180+600/2*O180</f>
        <v>663.4375</v>
      </c>
      <c r="V180" s="113">
        <f t="shared" si="32"/>
        <v>3.015625</v>
      </c>
      <c r="W180" s="114">
        <f t="shared" si="33"/>
        <v>0.43080357142857145</v>
      </c>
      <c r="X180" s="95"/>
      <c r="Y180" s="95"/>
      <c r="Z180" s="102"/>
      <c r="AA180" s="103">
        <v>45678</v>
      </c>
      <c r="AB180" s="103"/>
      <c r="AC180" s="103"/>
      <c r="AD180" s="102">
        <f>IF(ISNA(VLOOKUP(D180,亚马逊入库配置费!B:F,5,0)),0,VLOOKUP(D180,亚马逊入库配置费!B:F,5,0))</f>
        <v>0</v>
      </c>
      <c r="AE180" s="102">
        <f t="shared" si="28"/>
        <v>0</v>
      </c>
      <c r="AF180" s="103">
        <v>45695</v>
      </c>
      <c r="AG180" s="91">
        <f t="shared" si="29"/>
        <v>17</v>
      </c>
      <c r="AH180" s="103">
        <v>45695</v>
      </c>
      <c r="AI180" s="103">
        <v>45710</v>
      </c>
      <c r="AJ180" s="96">
        <v>219</v>
      </c>
      <c r="AK180" s="91">
        <f t="shared" si="30"/>
        <v>15</v>
      </c>
      <c r="AL180" s="96">
        <f t="shared" si="31"/>
        <v>32</v>
      </c>
      <c r="AM180" s="92" t="s">
        <v>438</v>
      </c>
      <c r="AN180" s="91"/>
      <c r="AO180" s="91"/>
    </row>
    <row r="181" spans="1:41" ht="14.5" x14ac:dyDescent="0.25">
      <c r="A181" s="92" t="s">
        <v>442</v>
      </c>
      <c r="B181" s="91"/>
      <c r="C181" s="91" t="s">
        <v>434</v>
      </c>
      <c r="D181" s="92" t="s">
        <v>435</v>
      </c>
      <c r="E181" s="91" t="s">
        <v>254</v>
      </c>
      <c r="F181" s="91" t="s">
        <v>255</v>
      </c>
      <c r="G181" s="56" t="s">
        <v>443</v>
      </c>
      <c r="H181" s="91">
        <v>50</v>
      </c>
      <c r="I181" s="91" t="s">
        <v>418</v>
      </c>
      <c r="J181" s="91" t="s">
        <v>436</v>
      </c>
      <c r="K181" s="92" t="s">
        <v>437</v>
      </c>
      <c r="L181" s="93" t="s">
        <v>2656</v>
      </c>
      <c r="M181" s="94" t="s">
        <v>3347</v>
      </c>
      <c r="N181" s="95" t="s">
        <v>2905</v>
      </c>
      <c r="O181" s="96">
        <v>0.15625</v>
      </c>
      <c r="P181" s="111">
        <f>28/2*O181</f>
        <v>2.1875</v>
      </c>
      <c r="Q181" s="91" t="s">
        <v>16</v>
      </c>
      <c r="R181" s="91">
        <v>47.5</v>
      </c>
      <c r="S181" s="95"/>
      <c r="T181" s="98"/>
      <c r="U181" s="112">
        <f>R181*P181+600/2*O181</f>
        <v>150.78125</v>
      </c>
      <c r="V181" s="113">
        <f t="shared" si="32"/>
        <v>3.015625</v>
      </c>
      <c r="W181" s="114">
        <f t="shared" si="33"/>
        <v>0.43080357142857145</v>
      </c>
      <c r="X181" s="95"/>
      <c r="Y181" s="95"/>
      <c r="Z181" s="102"/>
      <c r="AA181" s="103">
        <v>45678</v>
      </c>
      <c r="AB181" s="103"/>
      <c r="AC181" s="103"/>
      <c r="AD181" s="102">
        <f>IF(ISNA(VLOOKUP(D181,亚马逊入库配置费!B:F,5,0)),0,VLOOKUP(D181,亚马逊入库配置费!B:F,5,0))</f>
        <v>0</v>
      </c>
      <c r="AE181" s="102">
        <f t="shared" si="28"/>
        <v>0</v>
      </c>
      <c r="AF181" s="103">
        <v>45695</v>
      </c>
      <c r="AG181" s="91">
        <f t="shared" si="29"/>
        <v>17</v>
      </c>
      <c r="AH181" s="103">
        <v>45695</v>
      </c>
      <c r="AI181" s="103">
        <v>45710</v>
      </c>
      <c r="AJ181" s="96">
        <v>50</v>
      </c>
      <c r="AK181" s="91">
        <f t="shared" si="30"/>
        <v>15</v>
      </c>
      <c r="AL181" s="96">
        <f t="shared" si="31"/>
        <v>32</v>
      </c>
      <c r="AM181" s="92" t="s">
        <v>438</v>
      </c>
      <c r="AN181" s="91"/>
      <c r="AO181" s="91"/>
    </row>
    <row r="182" spans="1:41" ht="14.5" x14ac:dyDescent="0.25">
      <c r="A182" s="92" t="s">
        <v>444</v>
      </c>
      <c r="B182" s="91"/>
      <c r="C182" s="91" t="s">
        <v>434</v>
      </c>
      <c r="D182" s="92" t="s">
        <v>435</v>
      </c>
      <c r="E182" s="91" t="s">
        <v>254</v>
      </c>
      <c r="F182" s="91" t="s">
        <v>255</v>
      </c>
      <c r="G182" s="56" t="s">
        <v>440</v>
      </c>
      <c r="H182" s="91">
        <v>50</v>
      </c>
      <c r="I182" s="91" t="s">
        <v>418</v>
      </c>
      <c r="J182" s="91" t="s">
        <v>436</v>
      </c>
      <c r="K182" s="92" t="s">
        <v>437</v>
      </c>
      <c r="L182" s="93" t="s">
        <v>3055</v>
      </c>
      <c r="M182" s="94" t="s">
        <v>3346</v>
      </c>
      <c r="N182" s="95" t="s">
        <v>2905</v>
      </c>
      <c r="O182" s="96">
        <v>0.15625</v>
      </c>
      <c r="P182" s="111">
        <f>28/2*O182</f>
        <v>2.1875</v>
      </c>
      <c r="Q182" s="91" t="s">
        <v>16</v>
      </c>
      <c r="R182" s="91">
        <v>47.5</v>
      </c>
      <c r="S182" s="95"/>
      <c r="T182" s="98"/>
      <c r="U182" s="112">
        <f>R182*P182+600/2*O182</f>
        <v>150.78125</v>
      </c>
      <c r="V182" s="113">
        <f t="shared" si="32"/>
        <v>3.015625</v>
      </c>
      <c r="W182" s="114">
        <f t="shared" si="33"/>
        <v>0.43080357142857145</v>
      </c>
      <c r="X182" s="95"/>
      <c r="Y182" s="95"/>
      <c r="Z182" s="102"/>
      <c r="AA182" s="103">
        <v>45678</v>
      </c>
      <c r="AB182" s="103"/>
      <c r="AC182" s="103"/>
      <c r="AD182" s="102">
        <f>IF(ISNA(VLOOKUP(D182,亚马逊入库配置费!B:F,5,0)),0,VLOOKUP(D182,亚马逊入库配置费!B:F,5,0))</f>
        <v>0</v>
      </c>
      <c r="AE182" s="102">
        <f t="shared" si="28"/>
        <v>0</v>
      </c>
      <c r="AF182" s="103">
        <v>45695</v>
      </c>
      <c r="AG182" s="91">
        <f t="shared" si="29"/>
        <v>17</v>
      </c>
      <c r="AH182" s="103">
        <v>45695</v>
      </c>
      <c r="AI182" s="103">
        <v>45710</v>
      </c>
      <c r="AJ182" s="96">
        <v>50</v>
      </c>
      <c r="AK182" s="91">
        <f t="shared" si="30"/>
        <v>15</v>
      </c>
      <c r="AL182" s="96">
        <f t="shared" si="31"/>
        <v>32</v>
      </c>
      <c r="AM182" s="92" t="s">
        <v>438</v>
      </c>
      <c r="AN182" s="91"/>
      <c r="AO182" s="91"/>
    </row>
    <row r="183" spans="1:41" ht="14.5" x14ac:dyDescent="0.25">
      <c r="A183" s="92" t="s">
        <v>445</v>
      </c>
      <c r="B183" s="91"/>
      <c r="C183" s="91" t="s">
        <v>446</v>
      </c>
      <c r="D183" s="92" t="s">
        <v>447</v>
      </c>
      <c r="E183" s="91" t="s">
        <v>341</v>
      </c>
      <c r="F183" s="91" t="s">
        <v>342</v>
      </c>
      <c r="G183" s="56" t="s">
        <v>448</v>
      </c>
      <c r="H183" s="91">
        <v>70</v>
      </c>
      <c r="I183" s="91" t="s">
        <v>207</v>
      </c>
      <c r="J183" s="91" t="s">
        <v>343</v>
      </c>
      <c r="K183" s="92" t="s">
        <v>449</v>
      </c>
      <c r="L183" s="93" t="s">
        <v>3056</v>
      </c>
      <c r="M183" s="94" t="s">
        <v>3348</v>
      </c>
      <c r="N183" s="95" t="s">
        <v>2865</v>
      </c>
      <c r="O183" s="96">
        <v>1</v>
      </c>
      <c r="P183" s="111">
        <f>1/10*O183</f>
        <v>0.1</v>
      </c>
      <c r="Q183" s="96" t="s">
        <v>3264</v>
      </c>
      <c r="R183" s="91">
        <v>680</v>
      </c>
      <c r="S183" s="95"/>
      <c r="T183" s="98"/>
      <c r="U183" s="112">
        <f>R183*P183+350/10*O183+H183*2+O183*3</f>
        <v>246</v>
      </c>
      <c r="V183" s="113">
        <f t="shared" si="32"/>
        <v>3.5142857142857142</v>
      </c>
      <c r="W183" s="114">
        <f t="shared" si="33"/>
        <v>0.50204081632653064</v>
      </c>
      <c r="X183" s="95"/>
      <c r="Y183" s="95">
        <f>2678.35/470*H183</f>
        <v>398.90319148936169</v>
      </c>
      <c r="Z183" s="102" t="s">
        <v>345</v>
      </c>
      <c r="AA183" s="103">
        <v>45678</v>
      </c>
      <c r="AB183" s="103">
        <v>45699</v>
      </c>
      <c r="AC183" s="103"/>
      <c r="AD183" s="102">
        <f>IF(ISNA(VLOOKUP(D183,亚马逊入库配置费!B:F,5,0)),0,VLOOKUP(D183,亚马逊入库配置费!B:F,5,0))</f>
        <v>0</v>
      </c>
      <c r="AE183" s="102">
        <f t="shared" si="28"/>
        <v>0</v>
      </c>
      <c r="AF183" s="103">
        <v>45709</v>
      </c>
      <c r="AG183" s="91">
        <f t="shared" si="29"/>
        <v>31</v>
      </c>
      <c r="AH183" s="103">
        <v>45709</v>
      </c>
      <c r="AI183" s="103">
        <v>45719</v>
      </c>
      <c r="AJ183" s="96">
        <v>70</v>
      </c>
      <c r="AK183" s="91">
        <f t="shared" si="30"/>
        <v>10</v>
      </c>
      <c r="AL183" s="96">
        <f t="shared" si="31"/>
        <v>41</v>
      </c>
      <c r="AM183" s="92"/>
      <c r="AN183" s="91"/>
      <c r="AO183" s="91"/>
    </row>
    <row r="184" spans="1:41" ht="14.5" x14ac:dyDescent="0.25">
      <c r="A184" s="92" t="s">
        <v>450</v>
      </c>
      <c r="B184" s="91"/>
      <c r="C184" s="91" t="s">
        <v>446</v>
      </c>
      <c r="D184" s="92" t="s">
        <v>447</v>
      </c>
      <c r="E184" s="91" t="s">
        <v>341</v>
      </c>
      <c r="F184" s="91" t="s">
        <v>342</v>
      </c>
      <c r="G184" s="56" t="s">
        <v>451</v>
      </c>
      <c r="H184" s="91">
        <v>48</v>
      </c>
      <c r="I184" s="91" t="s">
        <v>207</v>
      </c>
      <c r="J184" s="91" t="s">
        <v>343</v>
      </c>
      <c r="K184" s="92" t="s">
        <v>449</v>
      </c>
      <c r="L184" s="93" t="s">
        <v>3057</v>
      </c>
      <c r="M184" s="94" t="s">
        <v>3349</v>
      </c>
      <c r="N184" s="95" t="s">
        <v>2865</v>
      </c>
      <c r="O184" s="96">
        <v>2</v>
      </c>
      <c r="P184" s="111">
        <f>1/10*O184</f>
        <v>0.2</v>
      </c>
      <c r="Q184" s="96" t="s">
        <v>3264</v>
      </c>
      <c r="R184" s="91">
        <v>680</v>
      </c>
      <c r="S184" s="95"/>
      <c r="T184" s="98"/>
      <c r="U184" s="112">
        <f>R184*P184+350/10*O184+H184*2+O184*3</f>
        <v>308</v>
      </c>
      <c r="V184" s="113">
        <f t="shared" si="32"/>
        <v>6.416666666666667</v>
      </c>
      <c r="W184" s="114">
        <f t="shared" si="33"/>
        <v>0.91666666666666674</v>
      </c>
      <c r="X184" s="95"/>
      <c r="Y184" s="95">
        <f>2678.35/470*H184</f>
        <v>273.53361702127654</v>
      </c>
      <c r="Z184" s="102" t="s">
        <v>345</v>
      </c>
      <c r="AA184" s="103">
        <v>45678</v>
      </c>
      <c r="AB184" s="103">
        <v>45699</v>
      </c>
      <c r="AC184" s="103"/>
      <c r="AD184" s="102">
        <f>IF(ISNA(VLOOKUP(D184,亚马逊入库配置费!B:F,5,0)),0,VLOOKUP(D184,亚马逊入库配置费!B:F,5,0))</f>
        <v>0</v>
      </c>
      <c r="AE184" s="102">
        <f t="shared" si="28"/>
        <v>0</v>
      </c>
      <c r="AF184" s="103">
        <v>45709</v>
      </c>
      <c r="AG184" s="91">
        <f t="shared" si="29"/>
        <v>31</v>
      </c>
      <c r="AH184" s="103">
        <v>45709</v>
      </c>
      <c r="AI184" s="103">
        <v>45719</v>
      </c>
      <c r="AJ184" s="96">
        <v>48</v>
      </c>
      <c r="AK184" s="91">
        <f t="shared" si="30"/>
        <v>10</v>
      </c>
      <c r="AL184" s="96">
        <f t="shared" si="31"/>
        <v>41</v>
      </c>
      <c r="AM184" s="92"/>
      <c r="AN184" s="91"/>
      <c r="AO184" s="91"/>
    </row>
    <row r="185" spans="1:41" ht="14.5" x14ac:dyDescent="0.25">
      <c r="A185" s="92" t="s">
        <v>452</v>
      </c>
      <c r="B185" s="91"/>
      <c r="C185" s="91" t="s">
        <v>446</v>
      </c>
      <c r="D185" s="92" t="s">
        <v>447</v>
      </c>
      <c r="E185" s="91" t="s">
        <v>341</v>
      </c>
      <c r="F185" s="91" t="s">
        <v>342</v>
      </c>
      <c r="G185" s="56" t="s">
        <v>453</v>
      </c>
      <c r="H185" s="91">
        <v>280</v>
      </c>
      <c r="I185" s="91" t="s">
        <v>207</v>
      </c>
      <c r="J185" s="91" t="s">
        <v>343</v>
      </c>
      <c r="K185" s="92" t="s">
        <v>449</v>
      </c>
      <c r="L185" s="93" t="s">
        <v>3058</v>
      </c>
      <c r="M185" s="94" t="s">
        <v>3350</v>
      </c>
      <c r="N185" s="95" t="s">
        <v>2865</v>
      </c>
      <c r="O185" s="96">
        <v>4</v>
      </c>
      <c r="P185" s="111">
        <f>1/10*O185</f>
        <v>0.4</v>
      </c>
      <c r="Q185" s="96" t="s">
        <v>3264</v>
      </c>
      <c r="R185" s="91">
        <v>680</v>
      </c>
      <c r="S185" s="95"/>
      <c r="T185" s="98"/>
      <c r="U185" s="112">
        <f>R185*P185+350/10*O185+H185*2+O185*3</f>
        <v>984</v>
      </c>
      <c r="V185" s="113">
        <f t="shared" si="32"/>
        <v>3.5142857142857142</v>
      </c>
      <c r="W185" s="114">
        <f t="shared" si="33"/>
        <v>0.50204081632653064</v>
      </c>
      <c r="X185" s="95"/>
      <c r="Y185" s="95">
        <f>2678.35/470*H185</f>
        <v>1595.6127659574468</v>
      </c>
      <c r="Z185" s="102" t="s">
        <v>345</v>
      </c>
      <c r="AA185" s="103">
        <v>45678</v>
      </c>
      <c r="AB185" s="103">
        <v>45699</v>
      </c>
      <c r="AC185" s="103"/>
      <c r="AD185" s="102">
        <f>IF(ISNA(VLOOKUP(D185,亚马逊入库配置费!B:F,5,0)),0,VLOOKUP(D185,亚马逊入库配置费!B:F,5,0))</f>
        <v>0</v>
      </c>
      <c r="AE185" s="102">
        <f t="shared" si="28"/>
        <v>0</v>
      </c>
      <c r="AF185" s="103">
        <v>45709</v>
      </c>
      <c r="AG185" s="91">
        <f t="shared" si="29"/>
        <v>31</v>
      </c>
      <c r="AH185" s="103">
        <v>45709</v>
      </c>
      <c r="AI185" s="103">
        <v>45719</v>
      </c>
      <c r="AJ185" s="96">
        <v>280</v>
      </c>
      <c r="AK185" s="91">
        <f t="shared" si="30"/>
        <v>10</v>
      </c>
      <c r="AL185" s="96">
        <f t="shared" si="31"/>
        <v>41</v>
      </c>
      <c r="AM185" s="92"/>
      <c r="AN185" s="91"/>
      <c r="AO185" s="91"/>
    </row>
    <row r="186" spans="1:41" ht="14.5" x14ac:dyDescent="0.25">
      <c r="A186" s="92" t="s">
        <v>454</v>
      </c>
      <c r="B186" s="91"/>
      <c r="C186" s="91" t="s">
        <v>446</v>
      </c>
      <c r="D186" s="92" t="s">
        <v>447</v>
      </c>
      <c r="E186" s="91" t="s">
        <v>341</v>
      </c>
      <c r="F186" s="91" t="s">
        <v>342</v>
      </c>
      <c r="G186" s="56" t="s">
        <v>455</v>
      </c>
      <c r="H186" s="91">
        <v>72</v>
      </c>
      <c r="I186" s="91" t="s">
        <v>207</v>
      </c>
      <c r="J186" s="91" t="s">
        <v>343</v>
      </c>
      <c r="K186" s="92" t="s">
        <v>449</v>
      </c>
      <c r="L186" s="93" t="s">
        <v>3059</v>
      </c>
      <c r="M186" s="94" t="s">
        <v>3351</v>
      </c>
      <c r="N186" s="95" t="s">
        <v>2865</v>
      </c>
      <c r="O186" s="96">
        <v>3</v>
      </c>
      <c r="P186" s="111">
        <f>1/10*O186</f>
        <v>0.30000000000000004</v>
      </c>
      <c r="Q186" s="96" t="s">
        <v>3264</v>
      </c>
      <c r="R186" s="91">
        <v>680</v>
      </c>
      <c r="S186" s="95"/>
      <c r="T186" s="98"/>
      <c r="U186" s="112">
        <f>R186*P186+350/10*O186+H186*2+O186*3</f>
        <v>462</v>
      </c>
      <c r="V186" s="113">
        <f t="shared" si="32"/>
        <v>6.416666666666667</v>
      </c>
      <c r="W186" s="114">
        <f t="shared" si="33"/>
        <v>0.91666666666666674</v>
      </c>
      <c r="X186" s="95"/>
      <c r="Y186" s="95">
        <f>2678.35/470*H186</f>
        <v>410.30042553191487</v>
      </c>
      <c r="Z186" s="102" t="s">
        <v>345</v>
      </c>
      <c r="AA186" s="103">
        <v>45678</v>
      </c>
      <c r="AB186" s="103">
        <v>45699</v>
      </c>
      <c r="AC186" s="103"/>
      <c r="AD186" s="102">
        <f>IF(ISNA(VLOOKUP(D186,亚马逊入库配置费!B:F,5,0)),0,VLOOKUP(D186,亚马逊入库配置费!B:F,5,0))</f>
        <v>0</v>
      </c>
      <c r="AE186" s="102">
        <f t="shared" si="28"/>
        <v>0</v>
      </c>
      <c r="AF186" s="103">
        <v>45709</v>
      </c>
      <c r="AG186" s="91">
        <f t="shared" si="29"/>
        <v>31</v>
      </c>
      <c r="AH186" s="103">
        <v>45709</v>
      </c>
      <c r="AI186" s="103">
        <v>45719</v>
      </c>
      <c r="AJ186" s="96">
        <v>72</v>
      </c>
      <c r="AK186" s="91">
        <f t="shared" si="30"/>
        <v>10</v>
      </c>
      <c r="AL186" s="96">
        <f t="shared" si="31"/>
        <v>41</v>
      </c>
      <c r="AM186" s="92"/>
      <c r="AN186" s="91"/>
      <c r="AO186" s="91"/>
    </row>
    <row r="187" spans="1:41" ht="14.5" x14ac:dyDescent="0.25">
      <c r="A187" s="92" t="s">
        <v>456</v>
      </c>
      <c r="B187" s="91"/>
      <c r="C187" s="91" t="s">
        <v>409</v>
      </c>
      <c r="D187" s="92" t="s">
        <v>457</v>
      </c>
      <c r="E187" s="91" t="s">
        <v>115</v>
      </c>
      <c r="F187" s="91" t="s">
        <v>0</v>
      </c>
      <c r="G187" s="56" t="s">
        <v>458</v>
      </c>
      <c r="H187" s="91">
        <v>30</v>
      </c>
      <c r="I187" s="91" t="s">
        <v>207</v>
      </c>
      <c r="J187" s="91" t="s">
        <v>8</v>
      </c>
      <c r="K187" s="92" t="s">
        <v>14</v>
      </c>
      <c r="L187" s="93" t="s">
        <v>3060</v>
      </c>
      <c r="M187" s="94" t="s">
        <v>3352</v>
      </c>
      <c r="N187" s="95" t="s">
        <v>3061</v>
      </c>
      <c r="O187" s="96">
        <v>0.35714285714285698</v>
      </c>
      <c r="P187" s="111">
        <f>144/10*O187</f>
        <v>5.1428571428571406</v>
      </c>
      <c r="Q187" s="91" t="s">
        <v>16</v>
      </c>
      <c r="R187" s="91">
        <v>8</v>
      </c>
      <c r="S187" s="95"/>
      <c r="T187" s="98"/>
      <c r="U187" s="112">
        <f>R187*P187+350/23*O187</f>
        <v>46.577639751552773</v>
      </c>
      <c r="V187" s="113">
        <f t="shared" si="32"/>
        <v>1.5525879917184258</v>
      </c>
      <c r="W187" s="114">
        <f t="shared" si="33"/>
        <v>0.22179828453120368</v>
      </c>
      <c r="X187" s="95"/>
      <c r="Y187" s="95"/>
      <c r="Z187" s="102"/>
      <c r="AA187" s="103">
        <v>45678</v>
      </c>
      <c r="AB187" s="103">
        <v>45708</v>
      </c>
      <c r="AC187" s="103"/>
      <c r="AD187" s="102">
        <f>IF(ISNA(VLOOKUP(D187,亚马逊入库配置费!B:F,5,0)),0,VLOOKUP(D187,亚马逊入库配置费!B:F,5,0))</f>
        <v>0.34</v>
      </c>
      <c r="AE187" s="102">
        <f t="shared" si="28"/>
        <v>10.200000000000001</v>
      </c>
      <c r="AF187" s="103">
        <v>45719</v>
      </c>
      <c r="AG187" s="91">
        <f t="shared" si="29"/>
        <v>41</v>
      </c>
      <c r="AH187" s="103">
        <v>45719</v>
      </c>
      <c r="AI187" s="103">
        <v>45744</v>
      </c>
      <c r="AJ187" s="96">
        <v>30</v>
      </c>
      <c r="AK187" s="91">
        <f t="shared" si="30"/>
        <v>25</v>
      </c>
      <c r="AL187" s="96">
        <f t="shared" si="31"/>
        <v>66</v>
      </c>
      <c r="AM187" s="92"/>
      <c r="AN187" s="91"/>
      <c r="AO187" s="91"/>
    </row>
    <row r="188" spans="1:41" ht="14.5" x14ac:dyDescent="0.25">
      <c r="A188" s="92" t="s">
        <v>459</v>
      </c>
      <c r="B188" s="91"/>
      <c r="C188" s="91" t="s">
        <v>409</v>
      </c>
      <c r="D188" s="92" t="s">
        <v>457</v>
      </c>
      <c r="E188" s="91" t="s">
        <v>115</v>
      </c>
      <c r="F188" s="91" t="s">
        <v>0</v>
      </c>
      <c r="G188" s="56" t="s">
        <v>460</v>
      </c>
      <c r="H188" s="91">
        <v>54</v>
      </c>
      <c r="I188" s="91" t="s">
        <v>207</v>
      </c>
      <c r="J188" s="91" t="s">
        <v>8</v>
      </c>
      <c r="K188" s="92" t="s">
        <v>14</v>
      </c>
      <c r="L188" s="93" t="s">
        <v>3062</v>
      </c>
      <c r="M188" s="94" t="s">
        <v>3353</v>
      </c>
      <c r="N188" s="95" t="s">
        <v>3061</v>
      </c>
      <c r="O188" s="96">
        <v>0.64285714285714302</v>
      </c>
      <c r="P188" s="111">
        <f>144/10*O188</f>
        <v>9.2571428571428598</v>
      </c>
      <c r="Q188" s="91" t="s">
        <v>16</v>
      </c>
      <c r="R188" s="91">
        <v>8</v>
      </c>
      <c r="S188" s="95"/>
      <c r="T188" s="98"/>
      <c r="U188" s="112">
        <f>R188*P188+350/23*O188</f>
        <v>83.83975155279505</v>
      </c>
      <c r="V188" s="113">
        <f t="shared" si="32"/>
        <v>1.5525879917184269</v>
      </c>
      <c r="W188" s="114">
        <f t="shared" si="33"/>
        <v>0.22179828453120384</v>
      </c>
      <c r="X188" s="95"/>
      <c r="Y188" s="95"/>
      <c r="Z188" s="102"/>
      <c r="AA188" s="103">
        <v>45678</v>
      </c>
      <c r="AB188" s="103">
        <v>45708</v>
      </c>
      <c r="AC188" s="103"/>
      <c r="AD188" s="102">
        <f>IF(ISNA(VLOOKUP(D188,亚马逊入库配置费!B:F,5,0)),0,VLOOKUP(D188,亚马逊入库配置费!B:F,5,0))</f>
        <v>0.34</v>
      </c>
      <c r="AE188" s="102">
        <f t="shared" si="28"/>
        <v>18.360000000000003</v>
      </c>
      <c r="AF188" s="103">
        <v>45719</v>
      </c>
      <c r="AG188" s="91">
        <f t="shared" si="29"/>
        <v>41</v>
      </c>
      <c r="AH188" s="103">
        <v>45719</v>
      </c>
      <c r="AI188" s="103">
        <v>45744</v>
      </c>
      <c r="AJ188" s="96">
        <v>54</v>
      </c>
      <c r="AK188" s="91">
        <f t="shared" si="30"/>
        <v>25</v>
      </c>
      <c r="AL188" s="96">
        <f t="shared" si="31"/>
        <v>66</v>
      </c>
      <c r="AM188" s="92"/>
      <c r="AN188" s="91"/>
      <c r="AO188" s="91"/>
    </row>
    <row r="189" spans="1:41" ht="14.5" x14ac:dyDescent="0.25">
      <c r="A189" s="92" t="s">
        <v>461</v>
      </c>
      <c r="B189" s="91"/>
      <c r="C189" s="91" t="s">
        <v>401</v>
      </c>
      <c r="D189" s="92" t="s">
        <v>462</v>
      </c>
      <c r="E189" s="91" t="s">
        <v>115</v>
      </c>
      <c r="F189" s="91" t="s">
        <v>0</v>
      </c>
      <c r="G189" s="56" t="s">
        <v>451</v>
      </c>
      <c r="H189" s="91">
        <v>144</v>
      </c>
      <c r="I189" s="91" t="s">
        <v>207</v>
      </c>
      <c r="J189" s="91" t="s">
        <v>8</v>
      </c>
      <c r="K189" s="92" t="s">
        <v>47</v>
      </c>
      <c r="L189" s="93" t="s">
        <v>3057</v>
      </c>
      <c r="M189" s="94" t="s">
        <v>3349</v>
      </c>
      <c r="N189" s="95" t="s">
        <v>2865</v>
      </c>
      <c r="O189" s="96">
        <v>6</v>
      </c>
      <c r="P189" s="111">
        <f>176/12*O189</f>
        <v>88</v>
      </c>
      <c r="Q189" s="91" t="s">
        <v>16</v>
      </c>
      <c r="R189" s="91">
        <v>5.5</v>
      </c>
      <c r="S189" s="95"/>
      <c r="T189" s="98"/>
      <c r="U189" s="112">
        <f>R189*P189+350/27*O189</f>
        <v>561.77777777777783</v>
      </c>
      <c r="V189" s="113">
        <f t="shared" si="32"/>
        <v>3.901234567901235</v>
      </c>
      <c r="W189" s="114">
        <f t="shared" si="33"/>
        <v>0.55731922398589073</v>
      </c>
      <c r="X189" s="95"/>
      <c r="Y189" s="95"/>
      <c r="Z189" s="102"/>
      <c r="AA189" s="103">
        <v>45678</v>
      </c>
      <c r="AB189" s="103">
        <v>45708</v>
      </c>
      <c r="AC189" s="103"/>
      <c r="AD189" s="102">
        <f>IF(ISNA(VLOOKUP(D189,亚马逊入库配置费!B:F,5,0)),0,VLOOKUP(D189,亚马逊入库配置费!B:F,5,0))</f>
        <v>0.24</v>
      </c>
      <c r="AE189" s="102">
        <f t="shared" si="28"/>
        <v>34.56</v>
      </c>
      <c r="AF189" s="103">
        <v>45719</v>
      </c>
      <c r="AG189" s="91">
        <f t="shared" si="29"/>
        <v>41</v>
      </c>
      <c r="AH189" s="103">
        <v>45719</v>
      </c>
      <c r="AI189" s="103">
        <v>45749</v>
      </c>
      <c r="AJ189" s="96">
        <v>144</v>
      </c>
      <c r="AK189" s="91">
        <f t="shared" si="30"/>
        <v>30</v>
      </c>
      <c r="AL189" s="96">
        <f t="shared" si="31"/>
        <v>71</v>
      </c>
      <c r="AM189" s="92"/>
      <c r="AN189" s="91"/>
      <c r="AO189" s="91"/>
    </row>
    <row r="190" spans="1:41" ht="14.5" x14ac:dyDescent="0.25">
      <c r="A190" s="92" t="s">
        <v>463</v>
      </c>
      <c r="B190" s="91"/>
      <c r="C190" s="91" t="s">
        <v>401</v>
      </c>
      <c r="D190" s="92" t="s">
        <v>462</v>
      </c>
      <c r="E190" s="91" t="s">
        <v>115</v>
      </c>
      <c r="F190" s="91" t="s">
        <v>0</v>
      </c>
      <c r="G190" s="56" t="s">
        <v>464</v>
      </c>
      <c r="H190" s="91">
        <v>105</v>
      </c>
      <c r="I190" s="91" t="s">
        <v>207</v>
      </c>
      <c r="J190" s="91" t="s">
        <v>8</v>
      </c>
      <c r="K190" s="92" t="s">
        <v>47</v>
      </c>
      <c r="L190" s="93" t="s">
        <v>3063</v>
      </c>
      <c r="M190" s="94" t="s">
        <v>3354</v>
      </c>
      <c r="N190" s="95" t="s">
        <v>3061</v>
      </c>
      <c r="O190" s="96">
        <v>1</v>
      </c>
      <c r="P190" s="111">
        <f>176/12*O190</f>
        <v>14.666666666666666</v>
      </c>
      <c r="Q190" s="91" t="s">
        <v>16</v>
      </c>
      <c r="R190" s="91">
        <v>5.5</v>
      </c>
      <c r="S190" s="95"/>
      <c r="T190" s="98"/>
      <c r="U190" s="112">
        <f>R190*P190+350/27*O190</f>
        <v>93.629629629629619</v>
      </c>
      <c r="V190" s="113">
        <f t="shared" si="32"/>
        <v>0.89171075837742497</v>
      </c>
      <c r="W190" s="114">
        <f t="shared" si="33"/>
        <v>0.12738725119677499</v>
      </c>
      <c r="X190" s="95"/>
      <c r="Y190" s="95"/>
      <c r="Z190" s="102"/>
      <c r="AA190" s="103">
        <v>45678</v>
      </c>
      <c r="AB190" s="103">
        <v>45708</v>
      </c>
      <c r="AC190" s="103"/>
      <c r="AD190" s="102">
        <f>IF(ISNA(VLOOKUP(D190,亚马逊入库配置费!B:F,5,0)),0,VLOOKUP(D190,亚马逊入库配置费!B:F,5,0))</f>
        <v>0.24</v>
      </c>
      <c r="AE190" s="102">
        <f t="shared" si="28"/>
        <v>25.2</v>
      </c>
      <c r="AF190" s="103">
        <v>45719</v>
      </c>
      <c r="AG190" s="91">
        <f t="shared" si="29"/>
        <v>41</v>
      </c>
      <c r="AH190" s="103">
        <v>45719</v>
      </c>
      <c r="AI190" s="103">
        <v>45749</v>
      </c>
      <c r="AJ190" s="96">
        <v>406</v>
      </c>
      <c r="AK190" s="91">
        <f t="shared" si="30"/>
        <v>30</v>
      </c>
      <c r="AL190" s="96">
        <f t="shared" si="31"/>
        <v>71</v>
      </c>
      <c r="AM190" s="92"/>
      <c r="AN190" s="91"/>
      <c r="AO190" s="91"/>
    </row>
    <row r="191" spans="1:41" ht="14.5" x14ac:dyDescent="0.25">
      <c r="A191" s="92" t="s">
        <v>465</v>
      </c>
      <c r="B191" s="91"/>
      <c r="C191" s="91" t="s">
        <v>401</v>
      </c>
      <c r="D191" s="92" t="s">
        <v>462</v>
      </c>
      <c r="E191" s="91" t="s">
        <v>115</v>
      </c>
      <c r="F191" s="91" t="s">
        <v>0</v>
      </c>
      <c r="G191" s="56" t="s">
        <v>453</v>
      </c>
      <c r="H191" s="91">
        <v>350</v>
      </c>
      <c r="I191" s="91" t="s">
        <v>207</v>
      </c>
      <c r="J191" s="91" t="s">
        <v>8</v>
      </c>
      <c r="K191" s="92" t="s">
        <v>47</v>
      </c>
      <c r="L191" s="93" t="s">
        <v>3058</v>
      </c>
      <c r="M191" s="94" t="s">
        <v>3350</v>
      </c>
      <c r="N191" s="95" t="s">
        <v>2865</v>
      </c>
      <c r="O191" s="96">
        <v>5</v>
      </c>
      <c r="P191" s="111">
        <f>176/12*O191</f>
        <v>73.333333333333329</v>
      </c>
      <c r="Q191" s="91" t="s">
        <v>16</v>
      </c>
      <c r="R191" s="91">
        <v>5.5</v>
      </c>
      <c r="S191" s="95"/>
      <c r="T191" s="98"/>
      <c r="U191" s="112">
        <f>R191*P191+350/27*O191</f>
        <v>468.14814814814815</v>
      </c>
      <c r="V191" s="113">
        <f t="shared" si="32"/>
        <v>1.3375661375661376</v>
      </c>
      <c r="W191" s="114">
        <f t="shared" si="33"/>
        <v>0.19108087679516253</v>
      </c>
      <c r="X191" s="95"/>
      <c r="Y191" s="95"/>
      <c r="Z191" s="102"/>
      <c r="AA191" s="103">
        <v>45678</v>
      </c>
      <c r="AB191" s="103">
        <v>45708</v>
      </c>
      <c r="AC191" s="103"/>
      <c r="AD191" s="102">
        <f>IF(ISNA(VLOOKUP(D191,亚马逊入库配置费!B:F,5,0)),0,VLOOKUP(D191,亚马逊入库配置费!B:F,5,0))</f>
        <v>0.24</v>
      </c>
      <c r="AE191" s="102">
        <f t="shared" si="28"/>
        <v>84</v>
      </c>
      <c r="AF191" s="103">
        <v>45719</v>
      </c>
      <c r="AG191" s="91">
        <f t="shared" si="29"/>
        <v>41</v>
      </c>
      <c r="AH191" s="103">
        <v>45719</v>
      </c>
      <c r="AI191" s="103">
        <v>45749</v>
      </c>
      <c r="AJ191" s="96">
        <v>351</v>
      </c>
      <c r="AK191" s="91">
        <f t="shared" si="30"/>
        <v>30</v>
      </c>
      <c r="AL191" s="96">
        <f t="shared" si="31"/>
        <v>71</v>
      </c>
      <c r="AM191" s="92"/>
      <c r="AN191" s="91"/>
      <c r="AO191" s="91"/>
    </row>
    <row r="192" spans="1:41" ht="14.5" x14ac:dyDescent="0.25">
      <c r="A192" s="92" t="s">
        <v>466</v>
      </c>
      <c r="B192" s="91" t="s">
        <v>3355</v>
      </c>
      <c r="C192" s="91" t="s">
        <v>405</v>
      </c>
      <c r="D192" s="92" t="s">
        <v>467</v>
      </c>
      <c r="E192" s="91" t="s">
        <v>115</v>
      </c>
      <c r="F192" s="91" t="s">
        <v>0</v>
      </c>
      <c r="G192" s="56" t="s">
        <v>453</v>
      </c>
      <c r="H192" s="91">
        <v>280</v>
      </c>
      <c r="I192" s="91" t="s">
        <v>207</v>
      </c>
      <c r="J192" s="91" t="s">
        <v>8</v>
      </c>
      <c r="K192" s="92" t="s">
        <v>13</v>
      </c>
      <c r="L192" s="93" t="s">
        <v>3058</v>
      </c>
      <c r="M192" s="94" t="s">
        <v>3350</v>
      </c>
      <c r="N192" s="95" t="s">
        <v>2865</v>
      </c>
      <c r="O192" s="96">
        <v>4</v>
      </c>
      <c r="P192" s="111">
        <f>131/9*O192</f>
        <v>58.222222222222221</v>
      </c>
      <c r="Q192" s="91" t="s">
        <v>16</v>
      </c>
      <c r="R192" s="91">
        <v>6.3</v>
      </c>
      <c r="S192" s="95"/>
      <c r="T192" s="98"/>
      <c r="U192" s="112">
        <f>R192*P192+350/20*O192</f>
        <v>436.8</v>
      </c>
      <c r="V192" s="113">
        <f t="shared" si="32"/>
        <v>1.56</v>
      </c>
      <c r="W192" s="114">
        <f t="shared" si="33"/>
        <v>0.22285714285714286</v>
      </c>
      <c r="X192" s="95"/>
      <c r="Y192" s="95"/>
      <c r="Z192" s="102"/>
      <c r="AA192" s="103">
        <v>45678</v>
      </c>
      <c r="AB192" s="103">
        <v>45708</v>
      </c>
      <c r="AC192" s="103"/>
      <c r="AD192" s="102">
        <f>IF(ISNA(VLOOKUP(D192,亚马逊入库配置费!B:F,5,0)),0,VLOOKUP(D192,亚马逊入库配置费!B:F,5,0))</f>
        <v>0.24</v>
      </c>
      <c r="AE192" s="102">
        <f t="shared" si="28"/>
        <v>67.2</v>
      </c>
      <c r="AF192" s="103">
        <v>45727</v>
      </c>
      <c r="AG192" s="91">
        <f t="shared" si="29"/>
        <v>49</v>
      </c>
      <c r="AH192" s="103">
        <v>45727</v>
      </c>
      <c r="AI192" s="103">
        <v>45757</v>
      </c>
      <c r="AJ192" s="96">
        <v>96</v>
      </c>
      <c r="AK192" s="91">
        <f t="shared" si="30"/>
        <v>30</v>
      </c>
      <c r="AL192" s="96">
        <f t="shared" si="31"/>
        <v>79</v>
      </c>
      <c r="AM192" s="92"/>
      <c r="AN192" s="91"/>
      <c r="AO192" s="91"/>
    </row>
    <row r="193" spans="1:41" ht="14.5" x14ac:dyDescent="0.25">
      <c r="A193" s="92" t="s">
        <v>468</v>
      </c>
      <c r="B193" s="91"/>
      <c r="C193" s="91" t="s">
        <v>405</v>
      </c>
      <c r="D193" s="92" t="s">
        <v>467</v>
      </c>
      <c r="E193" s="91" t="s">
        <v>115</v>
      </c>
      <c r="F193" s="91" t="s">
        <v>0</v>
      </c>
      <c r="G193" s="56" t="s">
        <v>451</v>
      </c>
      <c r="H193" s="91">
        <v>120</v>
      </c>
      <c r="I193" s="91" t="s">
        <v>207</v>
      </c>
      <c r="J193" s="91" t="s">
        <v>8</v>
      </c>
      <c r="K193" s="92" t="s">
        <v>13</v>
      </c>
      <c r="L193" s="93" t="s">
        <v>3057</v>
      </c>
      <c r="M193" s="94" t="s">
        <v>3349</v>
      </c>
      <c r="N193" s="95" t="s">
        <v>2865</v>
      </c>
      <c r="O193" s="96">
        <v>5</v>
      </c>
      <c r="P193" s="111">
        <f>131/9*O193</f>
        <v>72.777777777777771</v>
      </c>
      <c r="Q193" s="91" t="s">
        <v>16</v>
      </c>
      <c r="R193" s="91">
        <v>6.3</v>
      </c>
      <c r="S193" s="95"/>
      <c r="T193" s="98"/>
      <c r="U193" s="112">
        <f>R193*P193+350/20*O193</f>
        <v>546</v>
      </c>
      <c r="V193" s="113">
        <f t="shared" si="32"/>
        <v>4.55</v>
      </c>
      <c r="W193" s="114">
        <f t="shared" si="33"/>
        <v>0.65</v>
      </c>
      <c r="X193" s="95"/>
      <c r="Y193" s="95"/>
      <c r="Z193" s="102"/>
      <c r="AA193" s="103">
        <v>45678</v>
      </c>
      <c r="AB193" s="103">
        <v>45708</v>
      </c>
      <c r="AC193" s="103"/>
      <c r="AD193" s="102">
        <f>IF(ISNA(VLOOKUP(D193,亚马逊入库配置费!B:F,5,0)),0,VLOOKUP(D193,亚马逊入库配置费!B:F,5,0))</f>
        <v>0.24</v>
      </c>
      <c r="AE193" s="102">
        <f t="shared" si="28"/>
        <v>28.799999999999997</v>
      </c>
      <c r="AF193" s="103">
        <v>45727</v>
      </c>
      <c r="AG193" s="91">
        <f t="shared" si="29"/>
        <v>49</v>
      </c>
      <c r="AH193" s="103">
        <v>45727</v>
      </c>
      <c r="AI193" s="103">
        <v>45757</v>
      </c>
      <c r="AJ193" s="96">
        <v>280</v>
      </c>
      <c r="AK193" s="91">
        <f t="shared" si="30"/>
        <v>30</v>
      </c>
      <c r="AL193" s="96">
        <f t="shared" si="31"/>
        <v>79</v>
      </c>
      <c r="AM193" s="92"/>
      <c r="AN193" s="91"/>
      <c r="AO193" s="91"/>
    </row>
    <row r="194" spans="1:41" ht="14.5" x14ac:dyDescent="0.25">
      <c r="A194" s="92" t="s">
        <v>469</v>
      </c>
      <c r="B194" s="91"/>
      <c r="C194" s="91" t="s">
        <v>409</v>
      </c>
      <c r="D194" s="92" t="s">
        <v>470</v>
      </c>
      <c r="E194" s="91" t="s">
        <v>115</v>
      </c>
      <c r="F194" s="91" t="s">
        <v>0</v>
      </c>
      <c r="G194" s="56" t="s">
        <v>453</v>
      </c>
      <c r="H194" s="91">
        <v>280</v>
      </c>
      <c r="I194" s="91" t="s">
        <v>207</v>
      </c>
      <c r="J194" s="91" t="s">
        <v>8</v>
      </c>
      <c r="K194" s="92" t="s">
        <v>14</v>
      </c>
      <c r="L194" s="93" t="s">
        <v>3058</v>
      </c>
      <c r="M194" s="94" t="s">
        <v>3350</v>
      </c>
      <c r="N194" s="95" t="s">
        <v>2865</v>
      </c>
      <c r="O194" s="96">
        <v>4</v>
      </c>
      <c r="P194" s="111">
        <f>144/10*O194</f>
        <v>57.6</v>
      </c>
      <c r="Q194" s="91" t="s">
        <v>16</v>
      </c>
      <c r="R194" s="91">
        <v>8</v>
      </c>
      <c r="S194" s="95"/>
      <c r="T194" s="98"/>
      <c r="U194" s="112">
        <f>R194*P194+350/23*O194</f>
        <v>521.66956521739132</v>
      </c>
      <c r="V194" s="113">
        <f t="shared" si="32"/>
        <v>1.8631055900621118</v>
      </c>
      <c r="W194" s="114">
        <f t="shared" si="33"/>
        <v>0.26615794143744453</v>
      </c>
      <c r="X194" s="95"/>
      <c r="Y194" s="95"/>
      <c r="Z194" s="102"/>
      <c r="AA194" s="103">
        <v>45678</v>
      </c>
      <c r="AB194" s="103">
        <v>45708</v>
      </c>
      <c r="AC194" s="103"/>
      <c r="AD194" s="102">
        <f>IF(ISNA(VLOOKUP(D194,亚马逊入库配置费!B:F,5,0)),0,VLOOKUP(D194,亚马逊入库配置费!B:F,5,0))</f>
        <v>0.24</v>
      </c>
      <c r="AE194" s="102">
        <f t="shared" ref="AE194:AE257" si="39">H194*AD194</f>
        <v>67.2</v>
      </c>
      <c r="AF194" s="103">
        <v>45719</v>
      </c>
      <c r="AG194" s="91">
        <f t="shared" ref="AG194:AG257" si="40">AF194-AA194</f>
        <v>41</v>
      </c>
      <c r="AH194" s="103">
        <v>45719</v>
      </c>
      <c r="AI194" s="103">
        <v>45748</v>
      </c>
      <c r="AJ194" s="96">
        <v>280</v>
      </c>
      <c r="AK194" s="91">
        <f t="shared" ref="AK194:AK257" si="41">AI194-AH194</f>
        <v>29</v>
      </c>
      <c r="AL194" s="96">
        <f t="shared" ref="AL194:AL253" si="42">AG194+AK194</f>
        <v>70</v>
      </c>
      <c r="AM194" s="92"/>
      <c r="AN194" s="91"/>
      <c r="AO194" s="91"/>
    </row>
    <row r="195" spans="1:41" ht="14.5" x14ac:dyDescent="0.25">
      <c r="A195" s="92" t="s">
        <v>471</v>
      </c>
      <c r="B195" s="91"/>
      <c r="C195" s="91" t="s">
        <v>409</v>
      </c>
      <c r="D195" s="92" t="s">
        <v>470</v>
      </c>
      <c r="E195" s="91" t="s">
        <v>115</v>
      </c>
      <c r="F195" s="91" t="s">
        <v>0</v>
      </c>
      <c r="G195" s="56" t="s">
        <v>451</v>
      </c>
      <c r="H195" s="91">
        <v>120</v>
      </c>
      <c r="I195" s="91" t="s">
        <v>207</v>
      </c>
      <c r="J195" s="91" t="s">
        <v>8</v>
      </c>
      <c r="K195" s="92" t="s">
        <v>14</v>
      </c>
      <c r="L195" s="93" t="s">
        <v>3057</v>
      </c>
      <c r="M195" s="94" t="s">
        <v>3349</v>
      </c>
      <c r="N195" s="95" t="s">
        <v>2865</v>
      </c>
      <c r="O195" s="96">
        <v>5</v>
      </c>
      <c r="P195" s="111">
        <f>144/10*O195</f>
        <v>72</v>
      </c>
      <c r="Q195" s="91" t="s">
        <v>16</v>
      </c>
      <c r="R195" s="91">
        <v>8</v>
      </c>
      <c r="S195" s="95"/>
      <c r="T195" s="98"/>
      <c r="U195" s="112">
        <f>R195*P195+350/23*O195</f>
        <v>652.08695652173913</v>
      </c>
      <c r="V195" s="113">
        <f t="shared" ref="V195:V258" si="43">U195/H195</f>
        <v>5.4340579710144929</v>
      </c>
      <c r="W195" s="114">
        <f t="shared" ref="W195:W258" si="44">V195/7</f>
        <v>0.77629399585921333</v>
      </c>
      <c r="X195" s="95"/>
      <c r="Y195" s="95"/>
      <c r="Z195" s="102"/>
      <c r="AA195" s="103">
        <v>45678</v>
      </c>
      <c r="AB195" s="103">
        <v>45708</v>
      </c>
      <c r="AC195" s="103"/>
      <c r="AD195" s="102">
        <f>IF(ISNA(VLOOKUP(D195,亚马逊入库配置费!B:F,5,0)),0,VLOOKUP(D195,亚马逊入库配置费!B:F,5,0))</f>
        <v>0.24</v>
      </c>
      <c r="AE195" s="102">
        <f t="shared" si="39"/>
        <v>28.799999999999997</v>
      </c>
      <c r="AF195" s="103">
        <v>45719</v>
      </c>
      <c r="AG195" s="91">
        <f t="shared" si="40"/>
        <v>41</v>
      </c>
      <c r="AH195" s="103">
        <v>45719</v>
      </c>
      <c r="AI195" s="103">
        <v>45748</v>
      </c>
      <c r="AJ195" s="96">
        <v>120</v>
      </c>
      <c r="AK195" s="91">
        <f t="shared" si="41"/>
        <v>29</v>
      </c>
      <c r="AL195" s="96">
        <f t="shared" si="42"/>
        <v>70</v>
      </c>
      <c r="AM195" s="92"/>
      <c r="AN195" s="91"/>
      <c r="AO195" s="91"/>
    </row>
    <row r="196" spans="1:41" ht="14.5" x14ac:dyDescent="0.25">
      <c r="A196" s="92" t="s">
        <v>472</v>
      </c>
      <c r="B196" s="91"/>
      <c r="C196" s="119" t="s">
        <v>473</v>
      </c>
      <c r="D196" s="120" t="s">
        <v>474</v>
      </c>
      <c r="E196" s="119" t="s">
        <v>254</v>
      </c>
      <c r="F196" s="119" t="s">
        <v>255</v>
      </c>
      <c r="G196" s="121" t="s">
        <v>350</v>
      </c>
      <c r="H196" s="119">
        <v>400</v>
      </c>
      <c r="I196" s="122" t="s">
        <v>89</v>
      </c>
      <c r="J196" s="122" t="s">
        <v>256</v>
      </c>
      <c r="K196" s="120" t="s">
        <v>475</v>
      </c>
      <c r="L196" s="93" t="s">
        <v>3048</v>
      </c>
      <c r="M196" s="94" t="s">
        <v>3208</v>
      </c>
      <c r="N196" s="95" t="s">
        <v>2870</v>
      </c>
      <c r="O196" s="123">
        <v>10</v>
      </c>
      <c r="P196" s="111">
        <f>272/20*O196</f>
        <v>136</v>
      </c>
      <c r="Q196" s="122" t="s">
        <v>16</v>
      </c>
      <c r="R196" s="124">
        <v>6.8</v>
      </c>
      <c r="S196" s="95"/>
      <c r="T196" s="98"/>
      <c r="U196" s="125">
        <f>R196*P196+700/20*O196</f>
        <v>1274.8</v>
      </c>
      <c r="V196" s="113">
        <f t="shared" si="43"/>
        <v>3.1869999999999998</v>
      </c>
      <c r="W196" s="114">
        <f t="shared" si="44"/>
        <v>0.45528571428571424</v>
      </c>
      <c r="X196" s="95"/>
      <c r="Y196" s="95">
        <f>(1032.76+25.82)/800*H196</f>
        <v>529.29</v>
      </c>
      <c r="Z196" s="104" t="s">
        <v>476</v>
      </c>
      <c r="AA196" s="103">
        <v>45701</v>
      </c>
      <c r="AB196" s="103">
        <v>45742</v>
      </c>
      <c r="AC196" s="103"/>
      <c r="AD196" s="102">
        <f>IF(ISNA(VLOOKUP(D196,亚马逊入库配置费!B:F,5,0)),0,VLOOKUP(D196,亚马逊入库配置费!B:F,5,0))</f>
        <v>0</v>
      </c>
      <c r="AE196" s="102">
        <f t="shared" si="39"/>
        <v>0</v>
      </c>
      <c r="AF196" s="103">
        <v>45749</v>
      </c>
      <c r="AG196" s="91">
        <f t="shared" si="40"/>
        <v>48</v>
      </c>
      <c r="AH196" s="103">
        <v>45749</v>
      </c>
      <c r="AI196" s="103">
        <v>45763</v>
      </c>
      <c r="AJ196" s="96">
        <v>400</v>
      </c>
      <c r="AK196" s="91">
        <f t="shared" si="41"/>
        <v>14</v>
      </c>
      <c r="AL196" s="96">
        <f t="shared" si="42"/>
        <v>62</v>
      </c>
      <c r="AM196" s="92"/>
      <c r="AN196" s="91"/>
      <c r="AO196" s="91"/>
    </row>
    <row r="197" spans="1:41" ht="14.5" x14ac:dyDescent="0.25">
      <c r="A197" s="92" t="s">
        <v>477</v>
      </c>
      <c r="B197" s="91"/>
      <c r="C197" s="119" t="s">
        <v>473</v>
      </c>
      <c r="D197" s="120" t="s">
        <v>474</v>
      </c>
      <c r="E197" s="119" t="s">
        <v>254</v>
      </c>
      <c r="F197" s="119" t="s">
        <v>255</v>
      </c>
      <c r="G197" s="121" t="s">
        <v>352</v>
      </c>
      <c r="H197" s="119">
        <v>400</v>
      </c>
      <c r="I197" s="122" t="s">
        <v>89</v>
      </c>
      <c r="J197" s="122" t="s">
        <v>256</v>
      </c>
      <c r="K197" s="120" t="s">
        <v>475</v>
      </c>
      <c r="L197" s="93" t="s">
        <v>3049</v>
      </c>
      <c r="M197" s="94" t="s">
        <v>3336</v>
      </c>
      <c r="N197" s="95" t="s">
        <v>2870</v>
      </c>
      <c r="O197" s="123">
        <v>10</v>
      </c>
      <c r="P197" s="111">
        <f>272/20*O197</f>
        <v>136</v>
      </c>
      <c r="Q197" s="122" t="s">
        <v>16</v>
      </c>
      <c r="R197" s="124">
        <v>6.8</v>
      </c>
      <c r="S197" s="95"/>
      <c r="T197" s="98"/>
      <c r="U197" s="125">
        <f>R197*P197+700/20*O197</f>
        <v>1274.8</v>
      </c>
      <c r="V197" s="113">
        <f t="shared" si="43"/>
        <v>3.1869999999999998</v>
      </c>
      <c r="W197" s="114">
        <f t="shared" si="44"/>
        <v>0.45528571428571424</v>
      </c>
      <c r="X197" s="95"/>
      <c r="Y197" s="95">
        <f>(1032.76+25.82)/800*H197</f>
        <v>529.29</v>
      </c>
      <c r="Z197" s="104" t="s">
        <v>476</v>
      </c>
      <c r="AA197" s="103">
        <v>45701</v>
      </c>
      <c r="AB197" s="103">
        <v>45742</v>
      </c>
      <c r="AC197" s="103"/>
      <c r="AD197" s="102">
        <f>IF(ISNA(VLOOKUP(D197,亚马逊入库配置费!B:F,5,0)),0,VLOOKUP(D197,亚马逊入库配置费!B:F,5,0))</f>
        <v>0</v>
      </c>
      <c r="AE197" s="102">
        <f t="shared" si="39"/>
        <v>0</v>
      </c>
      <c r="AF197" s="103">
        <v>45749</v>
      </c>
      <c r="AG197" s="91">
        <f t="shared" si="40"/>
        <v>48</v>
      </c>
      <c r="AH197" s="103">
        <v>45749</v>
      </c>
      <c r="AI197" s="103">
        <v>45763</v>
      </c>
      <c r="AJ197" s="96">
        <v>400</v>
      </c>
      <c r="AK197" s="91">
        <f t="shared" si="41"/>
        <v>14</v>
      </c>
      <c r="AL197" s="96">
        <f t="shared" si="42"/>
        <v>62</v>
      </c>
      <c r="AM197" s="92"/>
      <c r="AN197" s="91"/>
      <c r="AO197" s="91"/>
    </row>
    <row r="198" spans="1:41" ht="14.5" x14ac:dyDescent="0.25">
      <c r="A198" s="92" t="s">
        <v>478</v>
      </c>
      <c r="B198" s="91"/>
      <c r="C198" s="119" t="s">
        <v>479</v>
      </c>
      <c r="D198" s="120" t="s">
        <v>480</v>
      </c>
      <c r="E198" s="119" t="s">
        <v>115</v>
      </c>
      <c r="F198" s="119" t="s">
        <v>0</v>
      </c>
      <c r="G198" s="121" t="s">
        <v>481</v>
      </c>
      <c r="H198" s="119">
        <v>300</v>
      </c>
      <c r="I198" s="122" t="s">
        <v>89</v>
      </c>
      <c r="J198" s="122" t="s">
        <v>8</v>
      </c>
      <c r="K198" s="120" t="s">
        <v>44</v>
      </c>
      <c r="L198" s="93" t="s">
        <v>3064</v>
      </c>
      <c r="M198" s="94" t="s">
        <v>3356</v>
      </c>
      <c r="N198" s="95" t="s">
        <v>2869</v>
      </c>
      <c r="O198" s="123">
        <v>10</v>
      </c>
      <c r="P198" s="111">
        <f t="shared" ref="P198:P209" si="45">972/73*O198</f>
        <v>133.15068493150685</v>
      </c>
      <c r="Q198" s="122" t="s">
        <v>16</v>
      </c>
      <c r="R198" s="124">
        <v>4.0999999999999996</v>
      </c>
      <c r="S198" s="95"/>
      <c r="T198" s="98"/>
      <c r="U198" s="125">
        <f t="shared" ref="U198:U213" si="46">R198*P198+350/140*O198</f>
        <v>570.91780821917803</v>
      </c>
      <c r="V198" s="113">
        <f t="shared" si="43"/>
        <v>1.9030593607305935</v>
      </c>
      <c r="W198" s="114">
        <f t="shared" si="44"/>
        <v>0.27186562296151334</v>
      </c>
      <c r="X198" s="95"/>
      <c r="Y198" s="95"/>
      <c r="Z198" s="102"/>
      <c r="AA198" s="103">
        <v>45703</v>
      </c>
      <c r="AB198" s="103">
        <v>45722</v>
      </c>
      <c r="AC198" s="103"/>
      <c r="AD198" s="102">
        <f>IF(ISNA(VLOOKUP(D198,亚马逊入库配置费!B:F,5,0)),0,VLOOKUP(D198,亚马逊入库配置费!B:F,5,0))</f>
        <v>0.41342105263157902</v>
      </c>
      <c r="AE198" s="102">
        <f t="shared" si="39"/>
        <v>124.02631578947371</v>
      </c>
      <c r="AF198" s="103">
        <v>45737</v>
      </c>
      <c r="AG198" s="91">
        <f t="shared" si="40"/>
        <v>34</v>
      </c>
      <c r="AH198" s="103">
        <v>45737</v>
      </c>
      <c r="AI198" s="103">
        <v>45764</v>
      </c>
      <c r="AJ198" s="96">
        <v>302</v>
      </c>
      <c r="AK198" s="91">
        <f t="shared" si="41"/>
        <v>27</v>
      </c>
      <c r="AL198" s="96">
        <f t="shared" si="42"/>
        <v>61</v>
      </c>
      <c r="AM198" s="92"/>
      <c r="AN198" s="91"/>
      <c r="AO198" s="91"/>
    </row>
    <row r="199" spans="1:41" ht="14.5" x14ac:dyDescent="0.25">
      <c r="A199" s="92" t="s">
        <v>482</v>
      </c>
      <c r="B199" s="91" t="s">
        <v>3357</v>
      </c>
      <c r="C199" s="119" t="s">
        <v>479</v>
      </c>
      <c r="D199" s="120" t="s">
        <v>480</v>
      </c>
      <c r="E199" s="119" t="s">
        <v>115</v>
      </c>
      <c r="F199" s="119" t="s">
        <v>0</v>
      </c>
      <c r="G199" s="121" t="s">
        <v>211</v>
      </c>
      <c r="H199" s="119">
        <v>600</v>
      </c>
      <c r="I199" s="119" t="s">
        <v>89</v>
      </c>
      <c r="J199" s="119" t="s">
        <v>8</v>
      </c>
      <c r="K199" s="120" t="s">
        <v>44</v>
      </c>
      <c r="L199" s="93" t="s">
        <v>3034</v>
      </c>
      <c r="M199" s="94" t="s">
        <v>3312</v>
      </c>
      <c r="N199" s="95" t="s">
        <v>2869</v>
      </c>
      <c r="O199" s="123">
        <v>20</v>
      </c>
      <c r="P199" s="111">
        <f t="shared" si="45"/>
        <v>266.30136986301369</v>
      </c>
      <c r="Q199" s="122" t="s">
        <v>16</v>
      </c>
      <c r="R199" s="124">
        <v>4.0999999999999996</v>
      </c>
      <c r="S199" s="95"/>
      <c r="T199" s="98"/>
      <c r="U199" s="125">
        <f t="shared" si="46"/>
        <v>1141.8356164383561</v>
      </c>
      <c r="V199" s="113">
        <f t="shared" si="43"/>
        <v>1.9030593607305935</v>
      </c>
      <c r="W199" s="114">
        <f t="shared" si="44"/>
        <v>0.27186562296151334</v>
      </c>
      <c r="X199" s="95"/>
      <c r="Y199" s="95"/>
      <c r="Z199" s="102"/>
      <c r="AA199" s="103">
        <v>45703</v>
      </c>
      <c r="AB199" s="103">
        <v>45722</v>
      </c>
      <c r="AC199" s="103"/>
      <c r="AD199" s="102">
        <f>IF(ISNA(VLOOKUP(D199,亚马逊入库配置费!B:F,5,0)),0,VLOOKUP(D199,亚马逊入库配置费!B:F,5,0))</f>
        <v>0.41342105263157902</v>
      </c>
      <c r="AE199" s="102">
        <f t="shared" si="39"/>
        <v>248.05263157894743</v>
      </c>
      <c r="AF199" s="103">
        <v>45737</v>
      </c>
      <c r="AG199" s="91">
        <f t="shared" si="40"/>
        <v>34</v>
      </c>
      <c r="AH199" s="103">
        <v>45737</v>
      </c>
      <c r="AI199" s="103">
        <v>45764</v>
      </c>
      <c r="AJ199" s="96">
        <v>575</v>
      </c>
      <c r="AK199" s="91">
        <f t="shared" si="41"/>
        <v>27</v>
      </c>
      <c r="AL199" s="96">
        <f t="shared" si="42"/>
        <v>61</v>
      </c>
      <c r="AM199" s="92"/>
      <c r="AN199" s="91"/>
      <c r="AO199" s="91"/>
    </row>
    <row r="200" spans="1:41" ht="14.5" x14ac:dyDescent="0.25">
      <c r="A200" s="92" t="s">
        <v>483</v>
      </c>
      <c r="B200" s="91"/>
      <c r="C200" s="119" t="s">
        <v>479</v>
      </c>
      <c r="D200" s="120" t="s">
        <v>480</v>
      </c>
      <c r="E200" s="119" t="s">
        <v>115</v>
      </c>
      <c r="F200" s="119" t="s">
        <v>0</v>
      </c>
      <c r="G200" s="121" t="s">
        <v>355</v>
      </c>
      <c r="H200" s="119">
        <v>200</v>
      </c>
      <c r="I200" s="119" t="s">
        <v>89</v>
      </c>
      <c r="J200" s="119" t="s">
        <v>8</v>
      </c>
      <c r="K200" s="120" t="s">
        <v>44</v>
      </c>
      <c r="L200" s="93" t="s">
        <v>2712</v>
      </c>
      <c r="M200" s="94" t="s">
        <v>3216</v>
      </c>
      <c r="N200" s="95" t="s">
        <v>3050</v>
      </c>
      <c r="O200" s="123">
        <v>1</v>
      </c>
      <c r="P200" s="111">
        <f t="shared" si="45"/>
        <v>13.315068493150685</v>
      </c>
      <c r="Q200" s="122" t="s">
        <v>16</v>
      </c>
      <c r="R200" s="124">
        <v>4.0999999999999996</v>
      </c>
      <c r="S200" s="95"/>
      <c r="T200" s="98"/>
      <c r="U200" s="125">
        <f t="shared" si="46"/>
        <v>57.091780821917801</v>
      </c>
      <c r="V200" s="113">
        <f t="shared" si="43"/>
        <v>0.28545890410958902</v>
      </c>
      <c r="W200" s="114">
        <f t="shared" si="44"/>
        <v>4.0779843444227006E-2</v>
      </c>
      <c r="X200" s="95"/>
      <c r="Y200" s="95"/>
      <c r="Z200" s="102"/>
      <c r="AA200" s="103">
        <v>45703</v>
      </c>
      <c r="AB200" s="103">
        <v>45722</v>
      </c>
      <c r="AC200" s="103"/>
      <c r="AD200" s="102">
        <f>IF(ISNA(VLOOKUP(D200,亚马逊入库配置费!B:F,5,0)),0,VLOOKUP(D200,亚马逊入库配置费!B:F,5,0))</f>
        <v>0.41342105263157902</v>
      </c>
      <c r="AE200" s="102">
        <f t="shared" si="39"/>
        <v>82.684210526315809</v>
      </c>
      <c r="AF200" s="103">
        <v>45737</v>
      </c>
      <c r="AG200" s="91">
        <f t="shared" si="40"/>
        <v>34</v>
      </c>
      <c r="AH200" s="103">
        <v>45737</v>
      </c>
      <c r="AI200" s="103">
        <v>45764</v>
      </c>
      <c r="AJ200" s="96">
        <v>200</v>
      </c>
      <c r="AK200" s="91">
        <f t="shared" si="41"/>
        <v>27</v>
      </c>
      <c r="AL200" s="96">
        <f t="shared" si="42"/>
        <v>61</v>
      </c>
      <c r="AM200" s="92"/>
      <c r="AN200" s="91"/>
      <c r="AO200" s="91"/>
    </row>
    <row r="201" spans="1:41" ht="14.5" x14ac:dyDescent="0.25">
      <c r="A201" s="92" t="s">
        <v>484</v>
      </c>
      <c r="B201" s="91"/>
      <c r="C201" s="119" t="s">
        <v>479</v>
      </c>
      <c r="D201" s="120" t="s">
        <v>480</v>
      </c>
      <c r="E201" s="119" t="s">
        <v>115</v>
      </c>
      <c r="F201" s="119" t="s">
        <v>0</v>
      </c>
      <c r="G201" s="121" t="s">
        <v>485</v>
      </c>
      <c r="H201" s="119">
        <v>120</v>
      </c>
      <c r="I201" s="119" t="s">
        <v>89</v>
      </c>
      <c r="J201" s="119" t="s">
        <v>8</v>
      </c>
      <c r="K201" s="120" t="s">
        <v>44</v>
      </c>
      <c r="L201" s="93" t="s">
        <v>3065</v>
      </c>
      <c r="M201" s="94" t="s">
        <v>3358</v>
      </c>
      <c r="N201" s="95" t="s">
        <v>2869</v>
      </c>
      <c r="O201" s="123">
        <v>4</v>
      </c>
      <c r="P201" s="111">
        <f t="shared" si="45"/>
        <v>53.260273972602739</v>
      </c>
      <c r="Q201" s="122" t="s">
        <v>16</v>
      </c>
      <c r="R201" s="124">
        <v>4.0999999999999996</v>
      </c>
      <c r="S201" s="95"/>
      <c r="T201" s="98"/>
      <c r="U201" s="125">
        <f t="shared" si="46"/>
        <v>228.36712328767121</v>
      </c>
      <c r="V201" s="113">
        <f t="shared" si="43"/>
        <v>1.9030593607305935</v>
      </c>
      <c r="W201" s="114">
        <f t="shared" si="44"/>
        <v>0.27186562296151334</v>
      </c>
      <c r="X201" s="95"/>
      <c r="Y201" s="95"/>
      <c r="Z201" s="102"/>
      <c r="AA201" s="103">
        <v>45703</v>
      </c>
      <c r="AB201" s="103">
        <v>45722</v>
      </c>
      <c r="AC201" s="103"/>
      <c r="AD201" s="102">
        <f>IF(ISNA(VLOOKUP(D201,亚马逊入库配置费!B:F,5,0)),0,VLOOKUP(D201,亚马逊入库配置费!B:F,5,0))</f>
        <v>0.41342105263157902</v>
      </c>
      <c r="AE201" s="102">
        <f t="shared" si="39"/>
        <v>49.610526315789485</v>
      </c>
      <c r="AF201" s="103">
        <v>45737</v>
      </c>
      <c r="AG201" s="91">
        <f t="shared" si="40"/>
        <v>34</v>
      </c>
      <c r="AH201" s="103">
        <v>45737</v>
      </c>
      <c r="AI201" s="103">
        <v>45764</v>
      </c>
      <c r="AJ201" s="96">
        <v>120</v>
      </c>
      <c r="AK201" s="91">
        <f t="shared" si="41"/>
        <v>27</v>
      </c>
      <c r="AL201" s="96">
        <f t="shared" si="42"/>
        <v>61</v>
      </c>
      <c r="AM201" s="92"/>
      <c r="AN201" s="91"/>
      <c r="AO201" s="91"/>
    </row>
    <row r="202" spans="1:41" ht="14.5" x14ac:dyDescent="0.25">
      <c r="A202" s="92" t="s">
        <v>486</v>
      </c>
      <c r="B202" s="91"/>
      <c r="C202" s="119" t="s">
        <v>479</v>
      </c>
      <c r="D202" s="120" t="s">
        <v>480</v>
      </c>
      <c r="E202" s="119" t="s">
        <v>115</v>
      </c>
      <c r="F202" s="119" t="s">
        <v>0</v>
      </c>
      <c r="G202" s="121" t="s">
        <v>487</v>
      </c>
      <c r="H202" s="119">
        <v>60</v>
      </c>
      <c r="I202" s="119" t="s">
        <v>89</v>
      </c>
      <c r="J202" s="119" t="s">
        <v>8</v>
      </c>
      <c r="K202" s="120" t="s">
        <v>44</v>
      </c>
      <c r="L202" s="93" t="s">
        <v>3066</v>
      </c>
      <c r="M202" s="94" t="s">
        <v>3359</v>
      </c>
      <c r="N202" s="95" t="s">
        <v>2869</v>
      </c>
      <c r="O202" s="123">
        <v>2</v>
      </c>
      <c r="P202" s="111">
        <f t="shared" si="45"/>
        <v>26.63013698630137</v>
      </c>
      <c r="Q202" s="122" t="s">
        <v>16</v>
      </c>
      <c r="R202" s="124">
        <v>4.0999999999999996</v>
      </c>
      <c r="S202" s="95"/>
      <c r="T202" s="98"/>
      <c r="U202" s="125">
        <f t="shared" si="46"/>
        <v>114.1835616438356</v>
      </c>
      <c r="V202" s="113">
        <f t="shared" si="43"/>
        <v>1.9030593607305935</v>
      </c>
      <c r="W202" s="114">
        <f t="shared" si="44"/>
        <v>0.27186562296151334</v>
      </c>
      <c r="X202" s="95"/>
      <c r="Y202" s="95"/>
      <c r="Z202" s="102"/>
      <c r="AA202" s="103">
        <v>45703</v>
      </c>
      <c r="AB202" s="103">
        <v>45722</v>
      </c>
      <c r="AC202" s="103"/>
      <c r="AD202" s="102">
        <f>IF(ISNA(VLOOKUP(D202,亚马逊入库配置费!B:F,5,0)),0,VLOOKUP(D202,亚马逊入库配置费!B:F,5,0))</f>
        <v>0.41342105263157902</v>
      </c>
      <c r="AE202" s="102">
        <f t="shared" si="39"/>
        <v>24.805263157894743</v>
      </c>
      <c r="AF202" s="103">
        <v>45737</v>
      </c>
      <c r="AG202" s="91">
        <f t="shared" si="40"/>
        <v>34</v>
      </c>
      <c r="AH202" s="103">
        <v>45737</v>
      </c>
      <c r="AI202" s="103">
        <v>45764</v>
      </c>
      <c r="AJ202" s="96">
        <v>61</v>
      </c>
      <c r="AK202" s="91">
        <f t="shared" si="41"/>
        <v>27</v>
      </c>
      <c r="AL202" s="96">
        <f t="shared" si="42"/>
        <v>61</v>
      </c>
      <c r="AM202" s="92"/>
      <c r="AN202" s="91"/>
      <c r="AO202" s="91"/>
    </row>
    <row r="203" spans="1:41" ht="14.5" x14ac:dyDescent="0.25">
      <c r="A203" s="92" t="s">
        <v>488</v>
      </c>
      <c r="B203" s="91"/>
      <c r="C203" s="119" t="s">
        <v>479</v>
      </c>
      <c r="D203" s="120" t="s">
        <v>480</v>
      </c>
      <c r="E203" s="119" t="s">
        <v>115</v>
      </c>
      <c r="F203" s="119" t="s">
        <v>0</v>
      </c>
      <c r="G203" s="121" t="s">
        <v>209</v>
      </c>
      <c r="H203" s="119">
        <v>240</v>
      </c>
      <c r="I203" s="119" t="s">
        <v>89</v>
      </c>
      <c r="J203" s="119" t="s">
        <v>8</v>
      </c>
      <c r="K203" s="120" t="s">
        <v>44</v>
      </c>
      <c r="L203" s="93" t="s">
        <v>3033</v>
      </c>
      <c r="M203" s="94" t="s">
        <v>3311</v>
      </c>
      <c r="N203" s="95" t="s">
        <v>2869</v>
      </c>
      <c r="O203" s="123">
        <v>15</v>
      </c>
      <c r="P203" s="111">
        <f t="shared" si="45"/>
        <v>199.72602739726028</v>
      </c>
      <c r="Q203" s="122" t="s">
        <v>16</v>
      </c>
      <c r="R203" s="124">
        <v>4.0999999999999996</v>
      </c>
      <c r="S203" s="95"/>
      <c r="T203" s="98"/>
      <c r="U203" s="125">
        <f t="shared" si="46"/>
        <v>856.3767123287671</v>
      </c>
      <c r="V203" s="113">
        <f t="shared" si="43"/>
        <v>3.568236301369863</v>
      </c>
      <c r="W203" s="114">
        <f t="shared" si="44"/>
        <v>0.50974804305283761</v>
      </c>
      <c r="X203" s="95"/>
      <c r="Y203" s="95"/>
      <c r="Z203" s="102"/>
      <c r="AA203" s="103">
        <v>45703</v>
      </c>
      <c r="AB203" s="103">
        <v>45722</v>
      </c>
      <c r="AC203" s="103"/>
      <c r="AD203" s="102">
        <f>IF(ISNA(VLOOKUP(D203,亚马逊入库配置费!B:F,5,0)),0,VLOOKUP(D203,亚马逊入库配置费!B:F,5,0))</f>
        <v>0.41342105263157902</v>
      </c>
      <c r="AE203" s="102">
        <f t="shared" si="39"/>
        <v>99.221052631578971</v>
      </c>
      <c r="AF203" s="103">
        <v>45737</v>
      </c>
      <c r="AG203" s="91">
        <f t="shared" si="40"/>
        <v>34</v>
      </c>
      <c r="AH203" s="103">
        <v>45737</v>
      </c>
      <c r="AI203" s="103">
        <v>45764</v>
      </c>
      <c r="AJ203" s="96">
        <v>247</v>
      </c>
      <c r="AK203" s="91">
        <f t="shared" si="41"/>
        <v>27</v>
      </c>
      <c r="AL203" s="96">
        <f t="shared" si="42"/>
        <v>61</v>
      </c>
      <c r="AM203" s="92"/>
      <c r="AN203" s="91"/>
      <c r="AO203" s="91"/>
    </row>
    <row r="204" spans="1:41" ht="14.5" x14ac:dyDescent="0.25">
      <c r="A204" s="92" t="s">
        <v>489</v>
      </c>
      <c r="B204" s="91"/>
      <c r="C204" s="119" t="s">
        <v>479</v>
      </c>
      <c r="D204" s="120" t="s">
        <v>490</v>
      </c>
      <c r="E204" s="119" t="s">
        <v>97</v>
      </c>
      <c r="F204" s="119" t="s">
        <v>0</v>
      </c>
      <c r="G204" s="121" t="s">
        <v>169</v>
      </c>
      <c r="H204" s="119">
        <v>90</v>
      </c>
      <c r="I204" s="119" t="s">
        <v>89</v>
      </c>
      <c r="J204" s="119" t="s">
        <v>8</v>
      </c>
      <c r="K204" s="120" t="s">
        <v>44</v>
      </c>
      <c r="L204" s="93" t="s">
        <v>3026</v>
      </c>
      <c r="M204" s="94" t="s">
        <v>3211</v>
      </c>
      <c r="N204" s="95" t="s">
        <v>2876</v>
      </c>
      <c r="O204" s="123">
        <v>3</v>
      </c>
      <c r="P204" s="111">
        <f t="shared" si="45"/>
        <v>39.945205479452056</v>
      </c>
      <c r="Q204" s="122" t="s">
        <v>16</v>
      </c>
      <c r="R204" s="124">
        <v>4.0999999999999996</v>
      </c>
      <c r="S204" s="95"/>
      <c r="T204" s="98"/>
      <c r="U204" s="125">
        <f t="shared" si="46"/>
        <v>171.27534246575343</v>
      </c>
      <c r="V204" s="113">
        <f t="shared" si="43"/>
        <v>1.9030593607305937</v>
      </c>
      <c r="W204" s="114">
        <f t="shared" si="44"/>
        <v>0.2718656229615134</v>
      </c>
      <c r="X204" s="95"/>
      <c r="Y204" s="95"/>
      <c r="Z204" s="102"/>
      <c r="AA204" s="103">
        <v>45703</v>
      </c>
      <c r="AB204" s="103">
        <v>45722</v>
      </c>
      <c r="AC204" s="103"/>
      <c r="AD204" s="102">
        <f>IF(ISNA(VLOOKUP(D204,亚马逊入库配置费!B:F,5,0)),0,VLOOKUP(D204,亚马逊入库配置费!B:F,5,0))</f>
        <v>0.388072289156627</v>
      </c>
      <c r="AE204" s="102">
        <f t="shared" si="39"/>
        <v>34.926506024096433</v>
      </c>
      <c r="AF204" s="103">
        <v>45737</v>
      </c>
      <c r="AG204" s="91">
        <f t="shared" si="40"/>
        <v>34</v>
      </c>
      <c r="AH204" s="103">
        <v>45737</v>
      </c>
      <c r="AI204" s="103">
        <v>45764</v>
      </c>
      <c r="AJ204" s="96">
        <v>90</v>
      </c>
      <c r="AK204" s="91">
        <f t="shared" si="41"/>
        <v>27</v>
      </c>
      <c r="AL204" s="96">
        <f t="shared" si="42"/>
        <v>61</v>
      </c>
      <c r="AM204" s="92"/>
      <c r="AN204" s="91"/>
      <c r="AO204" s="91"/>
    </row>
    <row r="205" spans="1:41" ht="14.5" x14ac:dyDescent="0.25">
      <c r="A205" s="92" t="s">
        <v>491</v>
      </c>
      <c r="B205" s="91"/>
      <c r="C205" s="119" t="s">
        <v>479</v>
      </c>
      <c r="D205" s="120" t="s">
        <v>490</v>
      </c>
      <c r="E205" s="119" t="s">
        <v>97</v>
      </c>
      <c r="F205" s="119" t="s">
        <v>0</v>
      </c>
      <c r="G205" s="121" t="s">
        <v>167</v>
      </c>
      <c r="H205" s="119">
        <v>300</v>
      </c>
      <c r="I205" s="119" t="s">
        <v>89</v>
      </c>
      <c r="J205" s="119" t="s">
        <v>8</v>
      </c>
      <c r="K205" s="120" t="s">
        <v>44</v>
      </c>
      <c r="L205" s="93" t="s">
        <v>3025</v>
      </c>
      <c r="M205" s="94" t="s">
        <v>3210</v>
      </c>
      <c r="N205" s="95" t="s">
        <v>2876</v>
      </c>
      <c r="O205" s="123">
        <v>10</v>
      </c>
      <c r="P205" s="111">
        <f t="shared" si="45"/>
        <v>133.15068493150685</v>
      </c>
      <c r="Q205" s="122" t="s">
        <v>16</v>
      </c>
      <c r="R205" s="124">
        <v>4.0999999999999996</v>
      </c>
      <c r="S205" s="95"/>
      <c r="T205" s="98"/>
      <c r="U205" s="125">
        <f t="shared" si="46"/>
        <v>570.91780821917803</v>
      </c>
      <c r="V205" s="113">
        <f t="shared" si="43"/>
        <v>1.9030593607305935</v>
      </c>
      <c r="W205" s="114">
        <f t="shared" si="44"/>
        <v>0.27186562296151334</v>
      </c>
      <c r="X205" s="95"/>
      <c r="Y205" s="95"/>
      <c r="Z205" s="102"/>
      <c r="AA205" s="103">
        <v>45703</v>
      </c>
      <c r="AB205" s="103">
        <v>45722</v>
      </c>
      <c r="AC205" s="103"/>
      <c r="AD205" s="102">
        <f>IF(ISNA(VLOOKUP(D205,亚马逊入库配置费!B:F,5,0)),0,VLOOKUP(D205,亚马逊入库配置费!B:F,5,0))</f>
        <v>0.388072289156627</v>
      </c>
      <c r="AE205" s="102">
        <f t="shared" si="39"/>
        <v>116.4216867469881</v>
      </c>
      <c r="AF205" s="103">
        <v>45737</v>
      </c>
      <c r="AG205" s="91">
        <f t="shared" si="40"/>
        <v>34</v>
      </c>
      <c r="AH205" s="103">
        <v>45737</v>
      </c>
      <c r="AI205" s="103">
        <v>45764</v>
      </c>
      <c r="AJ205" s="96">
        <v>301</v>
      </c>
      <c r="AK205" s="91">
        <f t="shared" si="41"/>
        <v>27</v>
      </c>
      <c r="AL205" s="96">
        <f t="shared" si="42"/>
        <v>61</v>
      </c>
      <c r="AM205" s="92"/>
      <c r="AN205" s="91"/>
      <c r="AO205" s="91"/>
    </row>
    <row r="206" spans="1:41" ht="14.5" x14ac:dyDescent="0.25">
      <c r="A206" s="92" t="s">
        <v>492</v>
      </c>
      <c r="B206" s="91"/>
      <c r="C206" s="119" t="s">
        <v>479</v>
      </c>
      <c r="D206" s="120" t="s">
        <v>490</v>
      </c>
      <c r="E206" s="119" t="s">
        <v>97</v>
      </c>
      <c r="F206" s="119" t="s">
        <v>0</v>
      </c>
      <c r="G206" s="121" t="s">
        <v>180</v>
      </c>
      <c r="H206" s="119">
        <v>90</v>
      </c>
      <c r="I206" s="119" t="s">
        <v>89</v>
      </c>
      <c r="J206" s="119" t="s">
        <v>8</v>
      </c>
      <c r="K206" s="120" t="s">
        <v>44</v>
      </c>
      <c r="L206" s="93" t="s">
        <v>3031</v>
      </c>
      <c r="M206" s="94" t="s">
        <v>3213</v>
      </c>
      <c r="N206" s="95" t="s">
        <v>2876</v>
      </c>
      <c r="O206" s="123">
        <v>3</v>
      </c>
      <c r="P206" s="111">
        <f t="shared" si="45"/>
        <v>39.945205479452056</v>
      </c>
      <c r="Q206" s="122" t="s">
        <v>16</v>
      </c>
      <c r="R206" s="124">
        <v>4.0999999999999996</v>
      </c>
      <c r="S206" s="95"/>
      <c r="T206" s="98"/>
      <c r="U206" s="125">
        <f t="shared" si="46"/>
        <v>171.27534246575343</v>
      </c>
      <c r="V206" s="113">
        <f t="shared" si="43"/>
        <v>1.9030593607305937</v>
      </c>
      <c r="W206" s="114">
        <f t="shared" si="44"/>
        <v>0.2718656229615134</v>
      </c>
      <c r="X206" s="95"/>
      <c r="Y206" s="95"/>
      <c r="Z206" s="102"/>
      <c r="AA206" s="103">
        <v>45703</v>
      </c>
      <c r="AB206" s="103">
        <v>45722</v>
      </c>
      <c r="AC206" s="103"/>
      <c r="AD206" s="102">
        <f>IF(ISNA(VLOOKUP(D206,亚马逊入库配置费!B:F,5,0)),0,VLOOKUP(D206,亚马逊入库配置费!B:F,5,0))</f>
        <v>0.388072289156627</v>
      </c>
      <c r="AE206" s="102">
        <f t="shared" si="39"/>
        <v>34.926506024096433</v>
      </c>
      <c r="AF206" s="103">
        <v>45737</v>
      </c>
      <c r="AG206" s="91">
        <f t="shared" si="40"/>
        <v>34</v>
      </c>
      <c r="AH206" s="103">
        <v>45737</v>
      </c>
      <c r="AI206" s="103">
        <v>45764</v>
      </c>
      <c r="AJ206" s="96">
        <v>90</v>
      </c>
      <c r="AK206" s="91">
        <f t="shared" si="41"/>
        <v>27</v>
      </c>
      <c r="AL206" s="96">
        <f t="shared" si="42"/>
        <v>61</v>
      </c>
      <c r="AM206" s="92"/>
      <c r="AN206" s="91"/>
      <c r="AO206" s="91"/>
    </row>
    <row r="207" spans="1:41" ht="14.5" x14ac:dyDescent="0.25">
      <c r="A207" s="92" t="s">
        <v>493</v>
      </c>
      <c r="B207" s="91"/>
      <c r="C207" s="119" t="s">
        <v>479</v>
      </c>
      <c r="D207" s="120" t="s">
        <v>490</v>
      </c>
      <c r="E207" s="119" t="s">
        <v>97</v>
      </c>
      <c r="F207" s="119" t="s">
        <v>0</v>
      </c>
      <c r="G207" s="121" t="s">
        <v>355</v>
      </c>
      <c r="H207" s="119">
        <v>200</v>
      </c>
      <c r="I207" s="119" t="s">
        <v>89</v>
      </c>
      <c r="J207" s="119" t="s">
        <v>8</v>
      </c>
      <c r="K207" s="120" t="s">
        <v>44</v>
      </c>
      <c r="L207" s="93" t="s">
        <v>2712</v>
      </c>
      <c r="M207" s="94" t="s">
        <v>3216</v>
      </c>
      <c r="N207" s="95" t="s">
        <v>3050</v>
      </c>
      <c r="O207" s="123">
        <v>1</v>
      </c>
      <c r="P207" s="111">
        <f t="shared" si="45"/>
        <v>13.315068493150685</v>
      </c>
      <c r="Q207" s="122" t="s">
        <v>16</v>
      </c>
      <c r="R207" s="124">
        <v>4.0999999999999996</v>
      </c>
      <c r="S207" s="95"/>
      <c r="T207" s="98"/>
      <c r="U207" s="125">
        <f t="shared" si="46"/>
        <v>57.091780821917801</v>
      </c>
      <c r="V207" s="113">
        <f t="shared" si="43"/>
        <v>0.28545890410958902</v>
      </c>
      <c r="W207" s="114">
        <f t="shared" si="44"/>
        <v>4.0779843444227006E-2</v>
      </c>
      <c r="X207" s="95"/>
      <c r="Y207" s="95"/>
      <c r="Z207" s="102"/>
      <c r="AA207" s="103">
        <v>45703</v>
      </c>
      <c r="AB207" s="103">
        <v>45722</v>
      </c>
      <c r="AC207" s="103"/>
      <c r="AD207" s="102">
        <f>IF(ISNA(VLOOKUP(D207,亚马逊入库配置费!B:F,5,0)),0,VLOOKUP(D207,亚马逊入库配置费!B:F,5,0))</f>
        <v>0.388072289156627</v>
      </c>
      <c r="AE207" s="102">
        <f t="shared" si="39"/>
        <v>77.614457831325396</v>
      </c>
      <c r="AF207" s="103">
        <v>45737</v>
      </c>
      <c r="AG207" s="91">
        <f t="shared" si="40"/>
        <v>34</v>
      </c>
      <c r="AH207" s="103">
        <v>45737</v>
      </c>
      <c r="AI207" s="103">
        <v>45764</v>
      </c>
      <c r="AJ207" s="96">
        <v>201</v>
      </c>
      <c r="AK207" s="91">
        <f t="shared" si="41"/>
        <v>27</v>
      </c>
      <c r="AL207" s="96">
        <f t="shared" si="42"/>
        <v>61</v>
      </c>
      <c r="AM207" s="92"/>
      <c r="AN207" s="91"/>
      <c r="AO207" s="91"/>
    </row>
    <row r="208" spans="1:41" ht="14.5" x14ac:dyDescent="0.25">
      <c r="A208" s="92" t="s">
        <v>494</v>
      </c>
      <c r="B208" s="91"/>
      <c r="C208" s="119" t="s">
        <v>479</v>
      </c>
      <c r="D208" s="120" t="s">
        <v>490</v>
      </c>
      <c r="E208" s="119" t="s">
        <v>97</v>
      </c>
      <c r="F208" s="119" t="s">
        <v>0</v>
      </c>
      <c r="G208" s="121" t="s">
        <v>173</v>
      </c>
      <c r="H208" s="119">
        <v>90</v>
      </c>
      <c r="I208" s="119" t="s">
        <v>89</v>
      </c>
      <c r="J208" s="119" t="s">
        <v>8</v>
      </c>
      <c r="K208" s="120" t="s">
        <v>44</v>
      </c>
      <c r="L208" s="93" t="s">
        <v>3028</v>
      </c>
      <c r="M208" s="94" t="s">
        <v>3304</v>
      </c>
      <c r="N208" s="95" t="s">
        <v>2876</v>
      </c>
      <c r="O208" s="123">
        <v>3</v>
      </c>
      <c r="P208" s="111">
        <f t="shared" si="45"/>
        <v>39.945205479452056</v>
      </c>
      <c r="Q208" s="122" t="s">
        <v>16</v>
      </c>
      <c r="R208" s="124">
        <v>4.0999999999999996</v>
      </c>
      <c r="S208" s="95"/>
      <c r="T208" s="98"/>
      <c r="U208" s="125">
        <f t="shared" si="46"/>
        <v>171.27534246575343</v>
      </c>
      <c r="V208" s="113">
        <f t="shared" si="43"/>
        <v>1.9030593607305937</v>
      </c>
      <c r="W208" s="114">
        <f t="shared" si="44"/>
        <v>0.2718656229615134</v>
      </c>
      <c r="X208" s="95"/>
      <c r="Y208" s="95"/>
      <c r="Z208" s="102"/>
      <c r="AA208" s="103">
        <v>45703</v>
      </c>
      <c r="AB208" s="103">
        <v>45722</v>
      </c>
      <c r="AC208" s="103"/>
      <c r="AD208" s="102">
        <f>IF(ISNA(VLOOKUP(D208,亚马逊入库配置费!B:F,5,0)),0,VLOOKUP(D208,亚马逊入库配置费!B:F,5,0))</f>
        <v>0.388072289156627</v>
      </c>
      <c r="AE208" s="102">
        <f t="shared" si="39"/>
        <v>34.926506024096433</v>
      </c>
      <c r="AF208" s="103">
        <v>45737</v>
      </c>
      <c r="AG208" s="91">
        <f t="shared" si="40"/>
        <v>34</v>
      </c>
      <c r="AH208" s="103">
        <v>45737</v>
      </c>
      <c r="AI208" s="103">
        <v>45764</v>
      </c>
      <c r="AJ208" s="96">
        <v>90</v>
      </c>
      <c r="AK208" s="91">
        <f t="shared" si="41"/>
        <v>27</v>
      </c>
      <c r="AL208" s="96">
        <f t="shared" si="42"/>
        <v>61</v>
      </c>
      <c r="AM208" s="92"/>
      <c r="AN208" s="91"/>
      <c r="AO208" s="91"/>
    </row>
    <row r="209" spans="1:41" ht="14.5" x14ac:dyDescent="0.25">
      <c r="A209" s="92" t="s">
        <v>495</v>
      </c>
      <c r="B209" s="91"/>
      <c r="C209" s="119" t="s">
        <v>479</v>
      </c>
      <c r="D209" s="120" t="s">
        <v>490</v>
      </c>
      <c r="E209" s="119" t="s">
        <v>97</v>
      </c>
      <c r="F209" s="119" t="s">
        <v>0</v>
      </c>
      <c r="G209" s="121" t="s">
        <v>496</v>
      </c>
      <c r="H209" s="119">
        <v>60</v>
      </c>
      <c r="I209" s="119" t="s">
        <v>89</v>
      </c>
      <c r="J209" s="119" t="s">
        <v>8</v>
      </c>
      <c r="K209" s="120" t="s">
        <v>44</v>
      </c>
      <c r="L209" s="93" t="s">
        <v>3067</v>
      </c>
      <c r="M209" s="94" t="s">
        <v>3360</v>
      </c>
      <c r="N209" s="95" t="s">
        <v>3068</v>
      </c>
      <c r="O209" s="123">
        <v>1</v>
      </c>
      <c r="P209" s="111">
        <f t="shared" si="45"/>
        <v>13.315068493150685</v>
      </c>
      <c r="Q209" s="122" t="s">
        <v>16</v>
      </c>
      <c r="R209" s="124">
        <v>4.0999999999999996</v>
      </c>
      <c r="S209" s="95"/>
      <c r="T209" s="98"/>
      <c r="U209" s="125">
        <f t="shared" si="46"/>
        <v>57.091780821917801</v>
      </c>
      <c r="V209" s="113">
        <f t="shared" si="43"/>
        <v>0.95152968036529673</v>
      </c>
      <c r="W209" s="114">
        <f t="shared" si="44"/>
        <v>0.13593281148075667</v>
      </c>
      <c r="X209" s="95"/>
      <c r="Y209" s="95"/>
      <c r="Z209" s="102"/>
      <c r="AA209" s="103">
        <v>45703</v>
      </c>
      <c r="AB209" s="103">
        <v>45722</v>
      </c>
      <c r="AC209" s="103"/>
      <c r="AD209" s="102">
        <f>IF(ISNA(VLOOKUP(D209,亚马逊入库配置费!B:F,5,0)),0,VLOOKUP(D209,亚马逊入库配置费!B:F,5,0))</f>
        <v>0.388072289156627</v>
      </c>
      <c r="AE209" s="102">
        <f t="shared" si="39"/>
        <v>23.284337349397621</v>
      </c>
      <c r="AF209" s="103">
        <v>45737</v>
      </c>
      <c r="AG209" s="91">
        <f t="shared" si="40"/>
        <v>34</v>
      </c>
      <c r="AH209" s="103">
        <v>45737</v>
      </c>
      <c r="AI209" s="103">
        <v>45764</v>
      </c>
      <c r="AJ209" s="96">
        <v>60</v>
      </c>
      <c r="AK209" s="91">
        <f t="shared" si="41"/>
        <v>27</v>
      </c>
      <c r="AL209" s="96">
        <f t="shared" si="42"/>
        <v>61</v>
      </c>
      <c r="AM209" s="92"/>
      <c r="AN209" s="91"/>
      <c r="AO209" s="91"/>
    </row>
    <row r="210" spans="1:41" ht="14.5" x14ac:dyDescent="0.25">
      <c r="A210" s="92" t="s">
        <v>497</v>
      </c>
      <c r="B210" s="91" t="s">
        <v>3361</v>
      </c>
      <c r="C210" s="119" t="s">
        <v>479</v>
      </c>
      <c r="D210" s="120" t="s">
        <v>498</v>
      </c>
      <c r="E210" s="119" t="s">
        <v>97</v>
      </c>
      <c r="F210" s="119" t="s">
        <v>0</v>
      </c>
      <c r="G210" s="121" t="s">
        <v>88</v>
      </c>
      <c r="H210" s="119">
        <v>378</v>
      </c>
      <c r="I210" s="119" t="s">
        <v>89</v>
      </c>
      <c r="J210" s="119" t="s">
        <v>8</v>
      </c>
      <c r="K210" s="120" t="s">
        <v>44</v>
      </c>
      <c r="L210" s="93" t="s">
        <v>3014</v>
      </c>
      <c r="M210" s="94" t="s">
        <v>3286</v>
      </c>
      <c r="N210" s="95" t="s">
        <v>2821</v>
      </c>
      <c r="O210" s="123">
        <v>21</v>
      </c>
      <c r="P210" s="111">
        <f>940/44*O210</f>
        <v>448.63636363636363</v>
      </c>
      <c r="Q210" s="122" t="s">
        <v>16</v>
      </c>
      <c r="R210" s="124">
        <v>4.0999999999999996</v>
      </c>
      <c r="S210" s="95"/>
      <c r="T210" s="98"/>
      <c r="U210" s="125">
        <f t="shared" si="46"/>
        <v>1891.9090909090908</v>
      </c>
      <c r="V210" s="113">
        <f t="shared" si="43"/>
        <v>5.0050505050505043</v>
      </c>
      <c r="W210" s="114">
        <f t="shared" si="44"/>
        <v>0.71500721500721487</v>
      </c>
      <c r="X210" s="95"/>
      <c r="Y210" s="95"/>
      <c r="Z210" s="102"/>
      <c r="AA210" s="103">
        <v>45703</v>
      </c>
      <c r="AB210" s="103">
        <v>45722</v>
      </c>
      <c r="AC210" s="103"/>
      <c r="AD210" s="102">
        <f>IF(ISNA(VLOOKUP(D210,亚马逊入库配置费!B:F,5,0)),0,VLOOKUP(D210,亚马逊入库配置费!B:F,5,0))</f>
        <v>0.49</v>
      </c>
      <c r="AE210" s="102">
        <f t="shared" si="39"/>
        <v>185.22</v>
      </c>
      <c r="AF210" s="103">
        <v>45709</v>
      </c>
      <c r="AG210" s="91">
        <f t="shared" si="40"/>
        <v>6</v>
      </c>
      <c r="AH210" s="103">
        <v>45709</v>
      </c>
      <c r="AI210" s="103">
        <v>45764</v>
      </c>
      <c r="AJ210" s="96">
        <v>375</v>
      </c>
      <c r="AK210" s="91">
        <f t="shared" si="41"/>
        <v>55</v>
      </c>
      <c r="AL210" s="96">
        <f t="shared" si="42"/>
        <v>61</v>
      </c>
      <c r="AM210" s="92"/>
      <c r="AN210" s="91"/>
      <c r="AO210" s="91"/>
    </row>
    <row r="211" spans="1:41" ht="14.5" x14ac:dyDescent="0.25">
      <c r="A211" s="92" t="s">
        <v>499</v>
      </c>
      <c r="B211" s="91" t="s">
        <v>3362</v>
      </c>
      <c r="C211" s="119" t="s">
        <v>479</v>
      </c>
      <c r="D211" s="120" t="s">
        <v>498</v>
      </c>
      <c r="E211" s="119" t="s">
        <v>97</v>
      </c>
      <c r="F211" s="119" t="s">
        <v>0</v>
      </c>
      <c r="G211" s="121" t="s">
        <v>93</v>
      </c>
      <c r="H211" s="119">
        <v>414</v>
      </c>
      <c r="I211" s="119" t="s">
        <v>89</v>
      </c>
      <c r="J211" s="119" t="s">
        <v>8</v>
      </c>
      <c r="K211" s="120" t="s">
        <v>44</v>
      </c>
      <c r="L211" s="93" t="s">
        <v>3015</v>
      </c>
      <c r="M211" s="94" t="s">
        <v>3288</v>
      </c>
      <c r="N211" s="95" t="s">
        <v>2821</v>
      </c>
      <c r="O211" s="123">
        <v>23</v>
      </c>
      <c r="P211" s="111">
        <f>940/44*O211</f>
        <v>491.36363636363637</v>
      </c>
      <c r="Q211" s="122" t="s">
        <v>16</v>
      </c>
      <c r="R211" s="124">
        <v>4.0999999999999996</v>
      </c>
      <c r="S211" s="95"/>
      <c r="T211" s="98"/>
      <c r="U211" s="125">
        <f t="shared" si="46"/>
        <v>2072.090909090909</v>
      </c>
      <c r="V211" s="113">
        <f t="shared" si="43"/>
        <v>5.0050505050505052</v>
      </c>
      <c r="W211" s="114">
        <f t="shared" si="44"/>
        <v>0.71500721500721498</v>
      </c>
      <c r="X211" s="95"/>
      <c r="Y211" s="95"/>
      <c r="Z211" s="102"/>
      <c r="AA211" s="103">
        <v>45703</v>
      </c>
      <c r="AB211" s="103">
        <v>45722</v>
      </c>
      <c r="AC211" s="103"/>
      <c r="AD211" s="102">
        <f>IF(ISNA(VLOOKUP(D211,亚马逊入库配置费!B:F,5,0)),0,VLOOKUP(D211,亚马逊入库配置费!B:F,5,0))</f>
        <v>0.49</v>
      </c>
      <c r="AE211" s="102">
        <f t="shared" si="39"/>
        <v>202.85999999999999</v>
      </c>
      <c r="AF211" s="103">
        <v>45709</v>
      </c>
      <c r="AG211" s="91">
        <f t="shared" si="40"/>
        <v>6</v>
      </c>
      <c r="AH211" s="103">
        <v>45709</v>
      </c>
      <c r="AI211" s="103">
        <v>45764</v>
      </c>
      <c r="AJ211" s="96">
        <v>374</v>
      </c>
      <c r="AK211" s="91">
        <f t="shared" si="41"/>
        <v>55</v>
      </c>
      <c r="AL211" s="96">
        <f t="shared" si="42"/>
        <v>61</v>
      </c>
      <c r="AM211" s="92"/>
      <c r="AN211" s="91"/>
      <c r="AO211" s="91"/>
    </row>
    <row r="212" spans="1:41" ht="14.5" x14ac:dyDescent="0.25">
      <c r="A212" s="92" t="s">
        <v>500</v>
      </c>
      <c r="B212" s="91"/>
      <c r="C212" s="126" t="s">
        <v>479</v>
      </c>
      <c r="D212" s="127" t="s">
        <v>501</v>
      </c>
      <c r="E212" s="126" t="s">
        <v>115</v>
      </c>
      <c r="F212" s="126" t="s">
        <v>175</v>
      </c>
      <c r="G212" s="121" t="s">
        <v>448</v>
      </c>
      <c r="H212" s="126">
        <v>490</v>
      </c>
      <c r="I212" s="126" t="s">
        <v>502</v>
      </c>
      <c r="J212" s="126" t="s">
        <v>503</v>
      </c>
      <c r="K212" s="127" t="s">
        <v>44</v>
      </c>
      <c r="L212" s="93" t="s">
        <v>3056</v>
      </c>
      <c r="M212" s="94" t="s">
        <v>3348</v>
      </c>
      <c r="N212" s="95" t="s">
        <v>2865</v>
      </c>
      <c r="O212" s="128">
        <v>7</v>
      </c>
      <c r="P212" s="129">
        <f>322/23*O212</f>
        <v>98</v>
      </c>
      <c r="Q212" s="122" t="s">
        <v>16</v>
      </c>
      <c r="R212" s="130">
        <v>4.0999999999999996</v>
      </c>
      <c r="S212" s="108"/>
      <c r="T212" s="131"/>
      <c r="U212" s="125">
        <f t="shared" si="46"/>
        <v>419.29999999999995</v>
      </c>
      <c r="V212" s="113">
        <f t="shared" si="43"/>
        <v>0.85571428571428565</v>
      </c>
      <c r="W212" s="114">
        <f t="shared" si="44"/>
        <v>0.12224489795918367</v>
      </c>
      <c r="X212" s="108"/>
      <c r="Y212" s="108"/>
      <c r="Z212" s="102"/>
      <c r="AA212" s="103">
        <v>45703</v>
      </c>
      <c r="AB212" s="103">
        <v>45722</v>
      </c>
      <c r="AC212" s="103"/>
      <c r="AD212" s="102">
        <f>IF(ISNA(VLOOKUP(D212,亚马逊入库配置费!B:F,5,0)),0,VLOOKUP(D212,亚马逊入库配置费!B:F,5,0))</f>
        <v>0.34</v>
      </c>
      <c r="AE212" s="102">
        <f t="shared" si="39"/>
        <v>166.60000000000002</v>
      </c>
      <c r="AF212" s="103">
        <v>45737</v>
      </c>
      <c r="AG212" s="91">
        <f t="shared" si="40"/>
        <v>34</v>
      </c>
      <c r="AH212" s="103">
        <v>45737</v>
      </c>
      <c r="AI212" s="103">
        <v>45764</v>
      </c>
      <c r="AJ212" s="96">
        <v>490</v>
      </c>
      <c r="AK212" s="91">
        <f t="shared" si="41"/>
        <v>27</v>
      </c>
      <c r="AL212" s="96">
        <f t="shared" si="42"/>
        <v>61</v>
      </c>
      <c r="AM212" s="92"/>
      <c r="AN212" s="91"/>
      <c r="AO212" s="91"/>
    </row>
    <row r="213" spans="1:41" ht="14.5" x14ac:dyDescent="0.25">
      <c r="A213" s="92" t="s">
        <v>504</v>
      </c>
      <c r="B213" s="91" t="s">
        <v>3363</v>
      </c>
      <c r="C213" s="126" t="s">
        <v>479</v>
      </c>
      <c r="D213" s="127" t="s">
        <v>501</v>
      </c>
      <c r="E213" s="126" t="s">
        <v>115</v>
      </c>
      <c r="F213" s="126" t="s">
        <v>175</v>
      </c>
      <c r="G213" s="121" t="s">
        <v>455</v>
      </c>
      <c r="H213" s="126">
        <v>384</v>
      </c>
      <c r="I213" s="126" t="s">
        <v>502</v>
      </c>
      <c r="J213" s="126" t="s">
        <v>503</v>
      </c>
      <c r="K213" s="127" t="s">
        <v>44</v>
      </c>
      <c r="L213" s="93" t="s">
        <v>3059</v>
      </c>
      <c r="M213" s="94" t="s">
        <v>3351</v>
      </c>
      <c r="N213" s="95" t="s">
        <v>2865</v>
      </c>
      <c r="O213" s="128">
        <v>16</v>
      </c>
      <c r="P213" s="129">
        <f>322/23*O213</f>
        <v>224</v>
      </c>
      <c r="Q213" s="122" t="s">
        <v>16</v>
      </c>
      <c r="R213" s="130">
        <v>4.0999999999999996</v>
      </c>
      <c r="S213" s="108"/>
      <c r="T213" s="131"/>
      <c r="U213" s="125">
        <f t="shared" si="46"/>
        <v>958.39999999999986</v>
      </c>
      <c r="V213" s="113">
        <f t="shared" si="43"/>
        <v>2.4958333333333331</v>
      </c>
      <c r="W213" s="114">
        <f t="shared" si="44"/>
        <v>0.356547619047619</v>
      </c>
      <c r="X213" s="108"/>
      <c r="Y213" s="108"/>
      <c r="Z213" s="102"/>
      <c r="AA213" s="103">
        <v>45703</v>
      </c>
      <c r="AB213" s="103">
        <v>45722</v>
      </c>
      <c r="AC213" s="103"/>
      <c r="AD213" s="102">
        <f>IF(ISNA(VLOOKUP(D213,亚马逊入库配置费!B:F,5,0)),0,VLOOKUP(D213,亚马逊入库配置费!B:F,5,0))</f>
        <v>0.34</v>
      </c>
      <c r="AE213" s="102">
        <f t="shared" si="39"/>
        <v>130.56</v>
      </c>
      <c r="AF213" s="103">
        <v>45737</v>
      </c>
      <c r="AG213" s="91">
        <f t="shared" si="40"/>
        <v>34</v>
      </c>
      <c r="AH213" s="103">
        <v>45737</v>
      </c>
      <c r="AI213" s="103">
        <v>45764</v>
      </c>
      <c r="AJ213" s="96">
        <v>372</v>
      </c>
      <c r="AK213" s="91">
        <f t="shared" si="41"/>
        <v>27</v>
      </c>
      <c r="AL213" s="96">
        <f t="shared" si="42"/>
        <v>61</v>
      </c>
      <c r="AM213" s="92"/>
      <c r="AN213" s="91"/>
      <c r="AO213" s="91"/>
    </row>
    <row r="214" spans="1:41" ht="14.5" x14ac:dyDescent="0.25">
      <c r="A214" s="92" t="s">
        <v>505</v>
      </c>
      <c r="B214" s="91" t="s">
        <v>3364</v>
      </c>
      <c r="C214" s="91" t="s">
        <v>506</v>
      </c>
      <c r="D214" s="92" t="s">
        <v>507</v>
      </c>
      <c r="E214" s="91" t="s">
        <v>115</v>
      </c>
      <c r="F214" s="91" t="s">
        <v>0</v>
      </c>
      <c r="G214" s="56" t="s">
        <v>209</v>
      </c>
      <c r="H214" s="91">
        <v>160</v>
      </c>
      <c r="I214" s="91" t="s">
        <v>89</v>
      </c>
      <c r="J214" s="91" t="s">
        <v>4</v>
      </c>
      <c r="K214" s="92" t="s">
        <v>44</v>
      </c>
      <c r="L214" s="93" t="s">
        <v>3033</v>
      </c>
      <c r="M214" s="94" t="s">
        <v>3311</v>
      </c>
      <c r="N214" s="95" t="s">
        <v>2869</v>
      </c>
      <c r="O214" s="96">
        <v>10</v>
      </c>
      <c r="P214" s="111">
        <f t="shared" ref="P214:P221" si="47">555/42*O214</f>
        <v>132.14285714285714</v>
      </c>
      <c r="Q214" s="91" t="s">
        <v>16</v>
      </c>
      <c r="R214" s="91">
        <v>8.5</v>
      </c>
      <c r="S214" s="95"/>
      <c r="T214" s="98"/>
      <c r="U214" s="112">
        <f t="shared" ref="U214:U221" si="48">R214*P214+350/42*O214</f>
        <v>1206.547619047619</v>
      </c>
      <c r="V214" s="113">
        <f t="shared" si="43"/>
        <v>7.5409226190476186</v>
      </c>
      <c r="W214" s="114">
        <f t="shared" si="44"/>
        <v>1.0772746598639455</v>
      </c>
      <c r="X214" s="95"/>
      <c r="Y214" s="95"/>
      <c r="Z214" s="102"/>
      <c r="AA214" s="103">
        <v>45703</v>
      </c>
      <c r="AB214" s="103">
        <v>45718</v>
      </c>
      <c r="AC214" s="103">
        <v>45727</v>
      </c>
      <c r="AD214" s="102">
        <f>IF(ISNA(VLOOKUP(D214,亚马逊入库配置费!B:F,5,0)),0,VLOOKUP(D214,亚马逊入库配置费!B:F,5,0))</f>
        <v>0.42505882352941199</v>
      </c>
      <c r="AE214" s="102">
        <f t="shared" si="39"/>
        <v>68.009411764705916</v>
      </c>
      <c r="AF214" s="103">
        <v>45727</v>
      </c>
      <c r="AG214" s="91">
        <f t="shared" si="40"/>
        <v>24</v>
      </c>
      <c r="AH214" s="103">
        <v>45727</v>
      </c>
      <c r="AI214" s="103">
        <v>45754</v>
      </c>
      <c r="AJ214" s="96">
        <v>157</v>
      </c>
      <c r="AK214" s="91">
        <f t="shared" si="41"/>
        <v>27</v>
      </c>
      <c r="AL214" s="96">
        <f t="shared" si="42"/>
        <v>51</v>
      </c>
      <c r="AM214" s="92"/>
      <c r="AN214" s="91"/>
      <c r="AO214" s="91"/>
    </row>
    <row r="215" spans="1:41" ht="14.5" x14ac:dyDescent="0.25">
      <c r="A215" s="92" t="s">
        <v>508</v>
      </c>
      <c r="B215" s="91"/>
      <c r="C215" s="91" t="s">
        <v>506</v>
      </c>
      <c r="D215" s="92" t="s">
        <v>507</v>
      </c>
      <c r="E215" s="91" t="s">
        <v>115</v>
      </c>
      <c r="F215" s="91" t="s">
        <v>0</v>
      </c>
      <c r="G215" s="56" t="s">
        <v>211</v>
      </c>
      <c r="H215" s="91">
        <v>150</v>
      </c>
      <c r="I215" s="91" t="s">
        <v>89</v>
      </c>
      <c r="J215" s="91" t="s">
        <v>4</v>
      </c>
      <c r="K215" s="92" t="s">
        <v>44</v>
      </c>
      <c r="L215" s="93" t="s">
        <v>3034</v>
      </c>
      <c r="M215" s="94" t="s">
        <v>3312</v>
      </c>
      <c r="N215" s="95" t="s">
        <v>2869</v>
      </c>
      <c r="O215" s="96">
        <v>5</v>
      </c>
      <c r="P215" s="111">
        <f t="shared" si="47"/>
        <v>66.071428571428569</v>
      </c>
      <c r="Q215" s="91" t="s">
        <v>16</v>
      </c>
      <c r="R215" s="91">
        <v>8.5</v>
      </c>
      <c r="S215" s="95"/>
      <c r="T215" s="98"/>
      <c r="U215" s="112">
        <f t="shared" si="48"/>
        <v>603.27380952380952</v>
      </c>
      <c r="V215" s="113">
        <f t="shared" si="43"/>
        <v>4.0218253968253972</v>
      </c>
      <c r="W215" s="114">
        <f t="shared" si="44"/>
        <v>0.57454648526077101</v>
      </c>
      <c r="X215" s="95"/>
      <c r="Y215" s="95"/>
      <c r="Z215" s="102"/>
      <c r="AA215" s="103">
        <v>45703</v>
      </c>
      <c r="AB215" s="103">
        <v>45718</v>
      </c>
      <c r="AC215" s="103">
        <v>45727</v>
      </c>
      <c r="AD215" s="102">
        <f>IF(ISNA(VLOOKUP(D215,亚马逊入库配置费!B:F,5,0)),0,VLOOKUP(D215,亚马逊入库配置费!B:F,5,0))</f>
        <v>0.42505882352941199</v>
      </c>
      <c r="AE215" s="102">
        <f t="shared" si="39"/>
        <v>63.758823529411799</v>
      </c>
      <c r="AF215" s="103">
        <v>45727</v>
      </c>
      <c r="AG215" s="91">
        <f t="shared" si="40"/>
        <v>24</v>
      </c>
      <c r="AH215" s="103">
        <v>45727</v>
      </c>
      <c r="AI215" s="103">
        <v>45754</v>
      </c>
      <c r="AJ215" s="96">
        <v>150</v>
      </c>
      <c r="AK215" s="91">
        <f t="shared" si="41"/>
        <v>27</v>
      </c>
      <c r="AL215" s="96">
        <f t="shared" si="42"/>
        <v>51</v>
      </c>
      <c r="AM215" s="92"/>
      <c r="AN215" s="91"/>
      <c r="AO215" s="91"/>
    </row>
    <row r="216" spans="1:41" ht="14.5" x14ac:dyDescent="0.25">
      <c r="A216" s="92" t="s">
        <v>509</v>
      </c>
      <c r="B216" s="91"/>
      <c r="C216" s="91" t="s">
        <v>506</v>
      </c>
      <c r="D216" s="92" t="s">
        <v>507</v>
      </c>
      <c r="E216" s="91" t="s">
        <v>115</v>
      </c>
      <c r="F216" s="91" t="s">
        <v>0</v>
      </c>
      <c r="G216" s="56" t="s">
        <v>485</v>
      </c>
      <c r="H216" s="91">
        <v>180</v>
      </c>
      <c r="I216" s="91" t="s">
        <v>89</v>
      </c>
      <c r="J216" s="91" t="s">
        <v>4</v>
      </c>
      <c r="K216" s="92" t="s">
        <v>44</v>
      </c>
      <c r="L216" s="93" t="s">
        <v>3065</v>
      </c>
      <c r="M216" s="94" t="s">
        <v>3358</v>
      </c>
      <c r="N216" s="95" t="s">
        <v>2869</v>
      </c>
      <c r="O216" s="96">
        <v>6</v>
      </c>
      <c r="P216" s="111">
        <f t="shared" si="47"/>
        <v>79.285714285714278</v>
      </c>
      <c r="Q216" s="91" t="s">
        <v>16</v>
      </c>
      <c r="R216" s="91">
        <v>8.5</v>
      </c>
      <c r="S216" s="95"/>
      <c r="T216" s="98"/>
      <c r="U216" s="112">
        <f t="shared" si="48"/>
        <v>723.92857142857133</v>
      </c>
      <c r="V216" s="113">
        <f t="shared" si="43"/>
        <v>4.0218253968253963</v>
      </c>
      <c r="W216" s="114">
        <f t="shared" si="44"/>
        <v>0.5745464852607709</v>
      </c>
      <c r="X216" s="95"/>
      <c r="Y216" s="95"/>
      <c r="Z216" s="102"/>
      <c r="AA216" s="103">
        <v>45703</v>
      </c>
      <c r="AB216" s="103">
        <v>45718</v>
      </c>
      <c r="AC216" s="103">
        <v>45727</v>
      </c>
      <c r="AD216" s="102">
        <f>IF(ISNA(VLOOKUP(D216,亚马逊入库配置费!B:F,5,0)),0,VLOOKUP(D216,亚马逊入库配置费!B:F,5,0))</f>
        <v>0.42505882352941199</v>
      </c>
      <c r="AE216" s="102">
        <f t="shared" si="39"/>
        <v>76.510588235294165</v>
      </c>
      <c r="AF216" s="103">
        <v>45727</v>
      </c>
      <c r="AG216" s="91">
        <f t="shared" si="40"/>
        <v>24</v>
      </c>
      <c r="AH216" s="103">
        <v>45727</v>
      </c>
      <c r="AI216" s="103">
        <v>45754</v>
      </c>
      <c r="AJ216" s="96">
        <v>180</v>
      </c>
      <c r="AK216" s="91">
        <f t="shared" si="41"/>
        <v>27</v>
      </c>
      <c r="AL216" s="96">
        <f t="shared" si="42"/>
        <v>51</v>
      </c>
      <c r="AM216" s="92"/>
      <c r="AN216" s="91"/>
      <c r="AO216" s="91"/>
    </row>
    <row r="217" spans="1:41" ht="14.5" x14ac:dyDescent="0.25">
      <c r="A217" s="92" t="s">
        <v>510</v>
      </c>
      <c r="B217" s="91" t="s">
        <v>3365</v>
      </c>
      <c r="C217" s="91" t="s">
        <v>506</v>
      </c>
      <c r="D217" s="92" t="s">
        <v>507</v>
      </c>
      <c r="E217" s="91" t="s">
        <v>115</v>
      </c>
      <c r="F217" s="91" t="s">
        <v>0</v>
      </c>
      <c r="G217" s="56" t="s">
        <v>487</v>
      </c>
      <c r="H217" s="91">
        <v>90</v>
      </c>
      <c r="I217" s="91" t="s">
        <v>89</v>
      </c>
      <c r="J217" s="91" t="s">
        <v>4</v>
      </c>
      <c r="K217" s="92" t="s">
        <v>44</v>
      </c>
      <c r="L217" s="93" t="s">
        <v>3066</v>
      </c>
      <c r="M217" s="94" t="s">
        <v>3359</v>
      </c>
      <c r="N217" s="95" t="s">
        <v>2869</v>
      </c>
      <c r="O217" s="96">
        <v>3</v>
      </c>
      <c r="P217" s="111">
        <f t="shared" si="47"/>
        <v>39.642857142857139</v>
      </c>
      <c r="Q217" s="91" t="s">
        <v>16</v>
      </c>
      <c r="R217" s="91">
        <v>8.5</v>
      </c>
      <c r="S217" s="95"/>
      <c r="T217" s="98"/>
      <c r="U217" s="112">
        <f t="shared" si="48"/>
        <v>361.96428571428567</v>
      </c>
      <c r="V217" s="113">
        <f t="shared" si="43"/>
        <v>4.0218253968253963</v>
      </c>
      <c r="W217" s="114">
        <f t="shared" si="44"/>
        <v>0.5745464852607709</v>
      </c>
      <c r="X217" s="95"/>
      <c r="Y217" s="95"/>
      <c r="Z217" s="102"/>
      <c r="AA217" s="103">
        <v>45703</v>
      </c>
      <c r="AB217" s="103">
        <v>45718</v>
      </c>
      <c r="AC217" s="103">
        <v>45727</v>
      </c>
      <c r="AD217" s="102">
        <f>IF(ISNA(VLOOKUP(D217,亚马逊入库配置费!B:F,5,0)),0,VLOOKUP(D217,亚马逊入库配置费!B:F,5,0))</f>
        <v>0.42505882352941199</v>
      </c>
      <c r="AE217" s="102">
        <f t="shared" si="39"/>
        <v>38.255294117647082</v>
      </c>
      <c r="AF217" s="103">
        <v>45727</v>
      </c>
      <c r="AG217" s="91">
        <f t="shared" si="40"/>
        <v>24</v>
      </c>
      <c r="AH217" s="103">
        <v>45727</v>
      </c>
      <c r="AI217" s="103">
        <v>45754</v>
      </c>
      <c r="AJ217" s="96">
        <v>89</v>
      </c>
      <c r="AK217" s="91">
        <f t="shared" si="41"/>
        <v>27</v>
      </c>
      <c r="AL217" s="96">
        <f t="shared" si="42"/>
        <v>51</v>
      </c>
      <c r="AM217" s="92"/>
      <c r="AN217" s="91"/>
      <c r="AO217" s="91"/>
    </row>
    <row r="218" spans="1:41" ht="14.5" x14ac:dyDescent="0.25">
      <c r="A218" s="92" t="s">
        <v>511</v>
      </c>
      <c r="B218" s="91" t="s">
        <v>3366</v>
      </c>
      <c r="C218" s="91" t="s">
        <v>506</v>
      </c>
      <c r="D218" s="92" t="s">
        <v>507</v>
      </c>
      <c r="E218" s="91" t="s">
        <v>115</v>
      </c>
      <c r="F218" s="91" t="s">
        <v>0</v>
      </c>
      <c r="G218" s="56" t="s">
        <v>481</v>
      </c>
      <c r="H218" s="91">
        <v>270</v>
      </c>
      <c r="I218" s="91" t="s">
        <v>89</v>
      </c>
      <c r="J218" s="91" t="s">
        <v>4</v>
      </c>
      <c r="K218" s="92" t="s">
        <v>44</v>
      </c>
      <c r="L218" s="93" t="s">
        <v>3064</v>
      </c>
      <c r="M218" s="94" t="s">
        <v>3356</v>
      </c>
      <c r="N218" s="95" t="s">
        <v>2869</v>
      </c>
      <c r="O218" s="96">
        <v>9</v>
      </c>
      <c r="P218" s="111">
        <f t="shared" si="47"/>
        <v>118.92857142857142</v>
      </c>
      <c r="Q218" s="91" t="s">
        <v>16</v>
      </c>
      <c r="R218" s="91">
        <v>8.5</v>
      </c>
      <c r="S218" s="95"/>
      <c r="T218" s="98"/>
      <c r="U218" s="112">
        <f t="shared" si="48"/>
        <v>1085.8928571428569</v>
      </c>
      <c r="V218" s="113">
        <f t="shared" si="43"/>
        <v>4.0218253968253963</v>
      </c>
      <c r="W218" s="114">
        <f t="shared" si="44"/>
        <v>0.5745464852607709</v>
      </c>
      <c r="X218" s="95"/>
      <c r="Y218" s="95"/>
      <c r="Z218" s="102"/>
      <c r="AA218" s="103">
        <v>45703</v>
      </c>
      <c r="AB218" s="103">
        <v>45718</v>
      </c>
      <c r="AC218" s="103">
        <v>45727</v>
      </c>
      <c r="AD218" s="102">
        <f>IF(ISNA(VLOOKUP(D218,亚马逊入库配置费!B:F,5,0)),0,VLOOKUP(D218,亚马逊入库配置费!B:F,5,0))</f>
        <v>0.42505882352941199</v>
      </c>
      <c r="AE218" s="102">
        <f t="shared" si="39"/>
        <v>114.76588235294123</v>
      </c>
      <c r="AF218" s="103">
        <v>45727</v>
      </c>
      <c r="AG218" s="91">
        <f t="shared" si="40"/>
        <v>24</v>
      </c>
      <c r="AH218" s="103">
        <v>45727</v>
      </c>
      <c r="AI218" s="103">
        <v>45754</v>
      </c>
      <c r="AJ218" s="96">
        <v>269</v>
      </c>
      <c r="AK218" s="91">
        <f t="shared" si="41"/>
        <v>27</v>
      </c>
      <c r="AL218" s="96">
        <f t="shared" si="42"/>
        <v>51</v>
      </c>
      <c r="AM218" s="92"/>
      <c r="AN218" s="91"/>
      <c r="AO218" s="91"/>
    </row>
    <row r="219" spans="1:41" ht="14.5" x14ac:dyDescent="0.25">
      <c r="A219" s="92" t="s">
        <v>512</v>
      </c>
      <c r="B219" s="91"/>
      <c r="C219" s="91" t="s">
        <v>506</v>
      </c>
      <c r="D219" s="92" t="s">
        <v>513</v>
      </c>
      <c r="E219" s="91" t="s">
        <v>97</v>
      </c>
      <c r="F219" s="91" t="s">
        <v>0</v>
      </c>
      <c r="G219" s="56" t="s">
        <v>167</v>
      </c>
      <c r="H219" s="91">
        <v>120</v>
      </c>
      <c r="I219" s="91" t="s">
        <v>89</v>
      </c>
      <c r="J219" s="91" t="s">
        <v>4</v>
      </c>
      <c r="K219" s="92" t="s">
        <v>44</v>
      </c>
      <c r="L219" s="93" t="s">
        <v>3025</v>
      </c>
      <c r="M219" s="94" t="s">
        <v>3210</v>
      </c>
      <c r="N219" s="95" t="s">
        <v>2876</v>
      </c>
      <c r="O219" s="96">
        <v>4</v>
      </c>
      <c r="P219" s="111">
        <f t="shared" si="47"/>
        <v>52.857142857142854</v>
      </c>
      <c r="Q219" s="91" t="s">
        <v>16</v>
      </c>
      <c r="R219" s="91">
        <v>8.5</v>
      </c>
      <c r="S219" s="95"/>
      <c r="T219" s="98"/>
      <c r="U219" s="112">
        <f t="shared" si="48"/>
        <v>482.61904761904759</v>
      </c>
      <c r="V219" s="113">
        <f t="shared" si="43"/>
        <v>4.0218253968253963</v>
      </c>
      <c r="W219" s="114">
        <f t="shared" si="44"/>
        <v>0.5745464852607709</v>
      </c>
      <c r="X219" s="95"/>
      <c r="Y219" s="95"/>
      <c r="Z219" s="102"/>
      <c r="AA219" s="103">
        <v>45703</v>
      </c>
      <c r="AB219" s="103">
        <v>45718</v>
      </c>
      <c r="AC219" s="103">
        <v>45727</v>
      </c>
      <c r="AD219" s="102">
        <f>IF(ISNA(VLOOKUP(D219,亚马逊入库配置费!B:F,5,0)),0,VLOOKUP(D219,亚马逊入库配置费!B:F,5,0))</f>
        <v>0.41</v>
      </c>
      <c r="AE219" s="102">
        <f t="shared" si="39"/>
        <v>49.199999999999996</v>
      </c>
      <c r="AF219" s="103">
        <v>45727</v>
      </c>
      <c r="AG219" s="91">
        <f t="shared" si="40"/>
        <v>24</v>
      </c>
      <c r="AH219" s="103">
        <v>45727</v>
      </c>
      <c r="AI219" s="103">
        <v>45755</v>
      </c>
      <c r="AJ219" s="96">
        <v>120</v>
      </c>
      <c r="AK219" s="91">
        <f t="shared" si="41"/>
        <v>28</v>
      </c>
      <c r="AL219" s="96">
        <f t="shared" si="42"/>
        <v>52</v>
      </c>
      <c r="AM219" s="92"/>
      <c r="AN219" s="91"/>
      <c r="AO219" s="91"/>
    </row>
    <row r="220" spans="1:41" ht="14.5" x14ac:dyDescent="0.25">
      <c r="A220" s="92" t="s">
        <v>514</v>
      </c>
      <c r="B220" s="91"/>
      <c r="C220" s="91" t="s">
        <v>506</v>
      </c>
      <c r="D220" s="92" t="s">
        <v>513</v>
      </c>
      <c r="E220" s="91" t="s">
        <v>97</v>
      </c>
      <c r="F220" s="91" t="s">
        <v>0</v>
      </c>
      <c r="G220" s="56" t="s">
        <v>169</v>
      </c>
      <c r="H220" s="91">
        <v>60</v>
      </c>
      <c r="I220" s="91" t="s">
        <v>89</v>
      </c>
      <c r="J220" s="91" t="s">
        <v>4</v>
      </c>
      <c r="K220" s="92" t="s">
        <v>44</v>
      </c>
      <c r="L220" s="93" t="s">
        <v>3026</v>
      </c>
      <c r="M220" s="94" t="s">
        <v>3211</v>
      </c>
      <c r="N220" s="95" t="s">
        <v>2876</v>
      </c>
      <c r="O220" s="96">
        <v>2</v>
      </c>
      <c r="P220" s="111">
        <f t="shared" si="47"/>
        <v>26.428571428571427</v>
      </c>
      <c r="Q220" s="91" t="s">
        <v>16</v>
      </c>
      <c r="R220" s="91">
        <v>8.5</v>
      </c>
      <c r="S220" s="95"/>
      <c r="T220" s="98"/>
      <c r="U220" s="112">
        <f t="shared" si="48"/>
        <v>241.3095238095238</v>
      </c>
      <c r="V220" s="113">
        <f t="shared" si="43"/>
        <v>4.0218253968253963</v>
      </c>
      <c r="W220" s="114">
        <f t="shared" si="44"/>
        <v>0.5745464852607709</v>
      </c>
      <c r="X220" s="95"/>
      <c r="Y220" s="95"/>
      <c r="Z220" s="102"/>
      <c r="AA220" s="103">
        <v>45703</v>
      </c>
      <c r="AB220" s="103">
        <v>45718</v>
      </c>
      <c r="AC220" s="103">
        <v>45727</v>
      </c>
      <c r="AD220" s="102">
        <f>IF(ISNA(VLOOKUP(D220,亚马逊入库配置费!B:F,5,0)),0,VLOOKUP(D220,亚马逊入库配置费!B:F,5,0))</f>
        <v>0.41</v>
      </c>
      <c r="AE220" s="102">
        <f t="shared" si="39"/>
        <v>24.599999999999998</v>
      </c>
      <c r="AF220" s="103">
        <v>45727</v>
      </c>
      <c r="AG220" s="91">
        <f t="shared" si="40"/>
        <v>24</v>
      </c>
      <c r="AH220" s="103">
        <v>45727</v>
      </c>
      <c r="AI220" s="103">
        <v>45755</v>
      </c>
      <c r="AJ220" s="96">
        <v>60</v>
      </c>
      <c r="AK220" s="91">
        <f t="shared" si="41"/>
        <v>28</v>
      </c>
      <c r="AL220" s="96">
        <f t="shared" si="42"/>
        <v>52</v>
      </c>
      <c r="AM220" s="92"/>
      <c r="AN220" s="91"/>
      <c r="AO220" s="91"/>
    </row>
    <row r="221" spans="1:41" ht="14.5" x14ac:dyDescent="0.25">
      <c r="A221" s="92" t="s">
        <v>515</v>
      </c>
      <c r="B221" s="91"/>
      <c r="C221" s="91" t="s">
        <v>506</v>
      </c>
      <c r="D221" s="92" t="s">
        <v>513</v>
      </c>
      <c r="E221" s="91" t="s">
        <v>97</v>
      </c>
      <c r="F221" s="91" t="s">
        <v>0</v>
      </c>
      <c r="G221" s="56" t="s">
        <v>180</v>
      </c>
      <c r="H221" s="91">
        <v>90</v>
      </c>
      <c r="I221" s="91" t="s">
        <v>89</v>
      </c>
      <c r="J221" s="91" t="s">
        <v>4</v>
      </c>
      <c r="K221" s="92" t="s">
        <v>44</v>
      </c>
      <c r="L221" s="93" t="s">
        <v>3031</v>
      </c>
      <c r="M221" s="94" t="s">
        <v>3213</v>
      </c>
      <c r="N221" s="95" t="s">
        <v>2876</v>
      </c>
      <c r="O221" s="96">
        <v>3</v>
      </c>
      <c r="P221" s="111">
        <f t="shared" si="47"/>
        <v>39.642857142857139</v>
      </c>
      <c r="Q221" s="91" t="s">
        <v>16</v>
      </c>
      <c r="R221" s="91">
        <v>8.5</v>
      </c>
      <c r="S221" s="95"/>
      <c r="T221" s="98"/>
      <c r="U221" s="112">
        <f t="shared" si="48"/>
        <v>361.96428571428567</v>
      </c>
      <c r="V221" s="113">
        <f t="shared" si="43"/>
        <v>4.0218253968253963</v>
      </c>
      <c r="W221" s="114">
        <f t="shared" si="44"/>
        <v>0.5745464852607709</v>
      </c>
      <c r="X221" s="95"/>
      <c r="Y221" s="95"/>
      <c r="Z221" s="102"/>
      <c r="AA221" s="103">
        <v>45703</v>
      </c>
      <c r="AB221" s="103">
        <v>45718</v>
      </c>
      <c r="AC221" s="103">
        <v>45727</v>
      </c>
      <c r="AD221" s="102">
        <f>IF(ISNA(VLOOKUP(D221,亚马逊入库配置费!B:F,5,0)),0,VLOOKUP(D221,亚马逊入库配置费!B:F,5,0))</f>
        <v>0.41</v>
      </c>
      <c r="AE221" s="102">
        <f t="shared" si="39"/>
        <v>36.9</v>
      </c>
      <c r="AF221" s="103">
        <v>45727</v>
      </c>
      <c r="AG221" s="91">
        <f t="shared" si="40"/>
        <v>24</v>
      </c>
      <c r="AH221" s="103">
        <v>45727</v>
      </c>
      <c r="AI221" s="103">
        <v>45755</v>
      </c>
      <c r="AJ221" s="96">
        <v>90</v>
      </c>
      <c r="AK221" s="91">
        <f t="shared" si="41"/>
        <v>28</v>
      </c>
      <c r="AL221" s="96">
        <f t="shared" si="42"/>
        <v>52</v>
      </c>
      <c r="AM221" s="92"/>
      <c r="AN221" s="91"/>
      <c r="AO221" s="91"/>
    </row>
    <row r="222" spans="1:41" ht="14.5" x14ac:dyDescent="0.25">
      <c r="A222" s="92" t="s">
        <v>516</v>
      </c>
      <c r="B222" s="91" t="s">
        <v>302</v>
      </c>
      <c r="C222" s="91" t="s">
        <v>303</v>
      </c>
      <c r="D222" s="92" t="s">
        <v>517</v>
      </c>
      <c r="E222" s="91" t="s">
        <v>115</v>
      </c>
      <c r="F222" s="91" t="s">
        <v>0</v>
      </c>
      <c r="G222" s="56" t="s">
        <v>305</v>
      </c>
      <c r="H222" s="91">
        <v>156</v>
      </c>
      <c r="I222" s="91" t="s">
        <v>306</v>
      </c>
      <c r="J222" s="91" t="s">
        <v>7</v>
      </c>
      <c r="K222" s="92" t="s">
        <v>26</v>
      </c>
      <c r="L222" s="93" t="s">
        <v>3041</v>
      </c>
      <c r="M222" s="94" t="s">
        <v>3329</v>
      </c>
      <c r="N222" s="95" t="s">
        <v>3042</v>
      </c>
      <c r="O222" s="96">
        <v>2</v>
      </c>
      <c r="P222" s="111">
        <f>99/5*O222</f>
        <v>39.6</v>
      </c>
      <c r="Q222" s="91" t="s">
        <v>16</v>
      </c>
      <c r="R222" s="91">
        <v>12.2</v>
      </c>
      <c r="S222" s="95"/>
      <c r="T222" s="98"/>
      <c r="U222" s="112">
        <f t="shared" ref="U222:U230" si="49">R222*P222</f>
        <v>483.12</v>
      </c>
      <c r="V222" s="113">
        <f t="shared" si="43"/>
        <v>3.0969230769230771</v>
      </c>
      <c r="W222" s="114">
        <f t="shared" si="44"/>
        <v>0.44241758241758244</v>
      </c>
      <c r="X222" s="95"/>
      <c r="Y222" s="95"/>
      <c r="Z222" s="102"/>
      <c r="AA222" s="103">
        <v>45703</v>
      </c>
      <c r="AB222" s="103">
        <v>45728</v>
      </c>
      <c r="AC222" s="103"/>
      <c r="AD222" s="102">
        <f>IF(ISNA(VLOOKUP(D222,亚马逊入库配置费!B:F,5,0)),0,VLOOKUP(D222,亚马逊入库配置费!B:F,5,0))</f>
        <v>0.28000000000000003</v>
      </c>
      <c r="AE222" s="102">
        <f t="shared" si="39"/>
        <v>43.680000000000007</v>
      </c>
      <c r="AF222" s="103">
        <v>45753</v>
      </c>
      <c r="AG222" s="91">
        <f t="shared" si="40"/>
        <v>50</v>
      </c>
      <c r="AH222" s="103">
        <v>45753</v>
      </c>
      <c r="AI222" s="103">
        <v>45759</v>
      </c>
      <c r="AJ222" s="96">
        <v>156</v>
      </c>
      <c r="AK222" s="91">
        <f t="shared" si="41"/>
        <v>6</v>
      </c>
      <c r="AL222" s="96">
        <f t="shared" si="42"/>
        <v>56</v>
      </c>
      <c r="AM222" s="92" t="s">
        <v>518</v>
      </c>
      <c r="AN222" s="91"/>
      <c r="AO222" s="91"/>
    </row>
    <row r="223" spans="1:41" ht="14.5" x14ac:dyDescent="0.25">
      <c r="A223" s="92" t="s">
        <v>519</v>
      </c>
      <c r="B223" s="91" t="s">
        <v>302</v>
      </c>
      <c r="C223" s="91" t="s">
        <v>303</v>
      </c>
      <c r="D223" s="92" t="s">
        <v>517</v>
      </c>
      <c r="E223" s="91" t="s">
        <v>115</v>
      </c>
      <c r="F223" s="91" t="s">
        <v>0</v>
      </c>
      <c r="G223" s="56" t="s">
        <v>311</v>
      </c>
      <c r="H223" s="91">
        <v>90</v>
      </c>
      <c r="I223" s="91" t="s">
        <v>306</v>
      </c>
      <c r="J223" s="91" t="s">
        <v>7</v>
      </c>
      <c r="K223" s="92" t="s">
        <v>26</v>
      </c>
      <c r="L223" s="93" t="s">
        <v>3044</v>
      </c>
      <c r="M223" s="94" t="s">
        <v>3331</v>
      </c>
      <c r="N223" s="95" t="s">
        <v>3042</v>
      </c>
      <c r="O223" s="96">
        <v>1</v>
      </c>
      <c r="P223" s="111">
        <f>99/5*O223</f>
        <v>19.8</v>
      </c>
      <c r="Q223" s="91" t="s">
        <v>16</v>
      </c>
      <c r="R223" s="91">
        <v>12.2</v>
      </c>
      <c r="S223" s="95"/>
      <c r="T223" s="98"/>
      <c r="U223" s="112">
        <f t="shared" si="49"/>
        <v>241.56</v>
      </c>
      <c r="V223" s="113">
        <f t="shared" si="43"/>
        <v>2.6840000000000002</v>
      </c>
      <c r="W223" s="114">
        <f t="shared" si="44"/>
        <v>0.38342857142857145</v>
      </c>
      <c r="X223" s="95"/>
      <c r="Y223" s="95"/>
      <c r="Z223" s="102"/>
      <c r="AA223" s="103">
        <v>45703</v>
      </c>
      <c r="AB223" s="103">
        <v>45728</v>
      </c>
      <c r="AC223" s="103"/>
      <c r="AD223" s="102">
        <f>IF(ISNA(VLOOKUP(D223,亚马逊入库配置费!B:F,5,0)),0,VLOOKUP(D223,亚马逊入库配置费!B:F,5,0))</f>
        <v>0.28000000000000003</v>
      </c>
      <c r="AE223" s="102">
        <f t="shared" si="39"/>
        <v>25.200000000000003</v>
      </c>
      <c r="AF223" s="103">
        <v>45753</v>
      </c>
      <c r="AG223" s="91">
        <f t="shared" si="40"/>
        <v>50</v>
      </c>
      <c r="AH223" s="103">
        <v>45753</v>
      </c>
      <c r="AI223" s="103">
        <v>45759</v>
      </c>
      <c r="AJ223" s="96">
        <v>90</v>
      </c>
      <c r="AK223" s="91">
        <f t="shared" si="41"/>
        <v>6</v>
      </c>
      <c r="AL223" s="96">
        <f t="shared" si="42"/>
        <v>56</v>
      </c>
      <c r="AM223" s="92" t="s">
        <v>518</v>
      </c>
      <c r="AN223" s="91"/>
      <c r="AO223" s="91"/>
    </row>
    <row r="224" spans="1:41" ht="14.5" x14ac:dyDescent="0.25">
      <c r="A224" s="92" t="s">
        <v>520</v>
      </c>
      <c r="B224" s="91" t="s">
        <v>302</v>
      </c>
      <c r="C224" s="91" t="s">
        <v>303</v>
      </c>
      <c r="D224" s="92" t="s">
        <v>517</v>
      </c>
      <c r="E224" s="91" t="s">
        <v>115</v>
      </c>
      <c r="F224" s="91" t="s">
        <v>0</v>
      </c>
      <c r="G224" s="56" t="s">
        <v>313</v>
      </c>
      <c r="H224" s="91">
        <v>90</v>
      </c>
      <c r="I224" s="91" t="s">
        <v>306</v>
      </c>
      <c r="J224" s="91" t="s">
        <v>7</v>
      </c>
      <c r="K224" s="92" t="s">
        <v>26</v>
      </c>
      <c r="L224" s="93" t="s">
        <v>3045</v>
      </c>
      <c r="M224" s="94" t="s">
        <v>3332</v>
      </c>
      <c r="N224" s="95" t="s">
        <v>3042</v>
      </c>
      <c r="O224" s="96">
        <v>1</v>
      </c>
      <c r="P224" s="111">
        <f>99/5*O224</f>
        <v>19.8</v>
      </c>
      <c r="Q224" s="91" t="s">
        <v>16</v>
      </c>
      <c r="R224" s="91">
        <v>12.2</v>
      </c>
      <c r="S224" s="95"/>
      <c r="T224" s="98"/>
      <c r="U224" s="112">
        <f t="shared" si="49"/>
        <v>241.56</v>
      </c>
      <c r="V224" s="113">
        <f t="shared" si="43"/>
        <v>2.6840000000000002</v>
      </c>
      <c r="W224" s="114">
        <f t="shared" si="44"/>
        <v>0.38342857142857145</v>
      </c>
      <c r="X224" s="95"/>
      <c r="Y224" s="95"/>
      <c r="Z224" s="102"/>
      <c r="AA224" s="103">
        <v>45703</v>
      </c>
      <c r="AB224" s="103">
        <v>45728</v>
      </c>
      <c r="AC224" s="103"/>
      <c r="AD224" s="102">
        <f>IF(ISNA(VLOOKUP(D224,亚马逊入库配置费!B:F,5,0)),0,VLOOKUP(D224,亚马逊入库配置费!B:F,5,0))</f>
        <v>0.28000000000000003</v>
      </c>
      <c r="AE224" s="102">
        <f t="shared" si="39"/>
        <v>25.200000000000003</v>
      </c>
      <c r="AF224" s="103">
        <v>45753</v>
      </c>
      <c r="AG224" s="91">
        <f t="shared" si="40"/>
        <v>50</v>
      </c>
      <c r="AH224" s="103">
        <v>45753</v>
      </c>
      <c r="AI224" s="103">
        <v>45759</v>
      </c>
      <c r="AJ224" s="96">
        <v>90</v>
      </c>
      <c r="AK224" s="91">
        <f t="shared" si="41"/>
        <v>6</v>
      </c>
      <c r="AL224" s="96">
        <f t="shared" si="42"/>
        <v>56</v>
      </c>
      <c r="AM224" s="92" t="s">
        <v>518</v>
      </c>
      <c r="AN224" s="91"/>
      <c r="AO224" s="91"/>
    </row>
    <row r="225" spans="1:41" ht="14.5" x14ac:dyDescent="0.25">
      <c r="A225" s="92" t="s">
        <v>521</v>
      </c>
      <c r="B225" s="91" t="s">
        <v>302</v>
      </c>
      <c r="C225" s="91" t="s">
        <v>303</v>
      </c>
      <c r="D225" s="92" t="s">
        <v>517</v>
      </c>
      <c r="E225" s="91" t="s">
        <v>115</v>
      </c>
      <c r="F225" s="91" t="s">
        <v>0</v>
      </c>
      <c r="G225" s="56" t="s">
        <v>311</v>
      </c>
      <c r="H225" s="91">
        <v>30</v>
      </c>
      <c r="I225" s="91" t="s">
        <v>306</v>
      </c>
      <c r="J225" s="91" t="s">
        <v>7</v>
      </c>
      <c r="K225" s="92" t="s">
        <v>26</v>
      </c>
      <c r="L225" s="93" t="s">
        <v>3044</v>
      </c>
      <c r="M225" s="94" t="s">
        <v>3331</v>
      </c>
      <c r="N225" s="95" t="s">
        <v>3042</v>
      </c>
      <c r="O225" s="96">
        <f>H225/90</f>
        <v>0.33333333333333331</v>
      </c>
      <c r="P225" s="111">
        <f>99/5*O225</f>
        <v>6.6</v>
      </c>
      <c r="Q225" s="91" t="s">
        <v>16</v>
      </c>
      <c r="R225" s="91">
        <v>12.2</v>
      </c>
      <c r="S225" s="95"/>
      <c r="T225" s="98"/>
      <c r="U225" s="112">
        <f t="shared" si="49"/>
        <v>80.52</v>
      </c>
      <c r="V225" s="113">
        <f t="shared" si="43"/>
        <v>2.6839999999999997</v>
      </c>
      <c r="W225" s="114">
        <f t="shared" si="44"/>
        <v>0.3834285714285714</v>
      </c>
      <c r="X225" s="95"/>
      <c r="Y225" s="95"/>
      <c r="Z225" s="102"/>
      <c r="AA225" s="103">
        <v>45703</v>
      </c>
      <c r="AB225" s="103">
        <v>45728</v>
      </c>
      <c r="AC225" s="103"/>
      <c r="AD225" s="102">
        <f>IF(ISNA(VLOOKUP(D225,亚马逊入库配置费!B:F,5,0)),0,VLOOKUP(D225,亚马逊入库配置费!B:F,5,0))</f>
        <v>0.28000000000000003</v>
      </c>
      <c r="AE225" s="102">
        <f t="shared" si="39"/>
        <v>8.4</v>
      </c>
      <c r="AF225" s="103">
        <v>45753</v>
      </c>
      <c r="AG225" s="91">
        <f t="shared" si="40"/>
        <v>50</v>
      </c>
      <c r="AH225" s="103">
        <v>45753</v>
      </c>
      <c r="AI225" s="103">
        <v>45759</v>
      </c>
      <c r="AJ225" s="96">
        <v>30</v>
      </c>
      <c r="AK225" s="91">
        <f t="shared" si="41"/>
        <v>6</v>
      </c>
      <c r="AL225" s="96">
        <f t="shared" si="42"/>
        <v>56</v>
      </c>
      <c r="AM225" s="92" t="s">
        <v>518</v>
      </c>
      <c r="AN225" s="91"/>
      <c r="AO225" s="91"/>
    </row>
    <row r="226" spans="1:41" ht="14.5" x14ac:dyDescent="0.25">
      <c r="A226" s="92" t="s">
        <v>522</v>
      </c>
      <c r="B226" s="91" t="s">
        <v>302</v>
      </c>
      <c r="C226" s="91" t="s">
        <v>303</v>
      </c>
      <c r="D226" s="92" t="s">
        <v>517</v>
      </c>
      <c r="E226" s="91" t="s">
        <v>115</v>
      </c>
      <c r="F226" s="91" t="s">
        <v>0</v>
      </c>
      <c r="G226" s="56" t="s">
        <v>309</v>
      </c>
      <c r="H226" s="91">
        <v>60</v>
      </c>
      <c r="I226" s="91" t="s">
        <v>306</v>
      </c>
      <c r="J226" s="91" t="s">
        <v>7</v>
      </c>
      <c r="K226" s="92" t="s">
        <v>26</v>
      </c>
      <c r="L226" s="93" t="s">
        <v>3043</v>
      </c>
      <c r="M226" s="94" t="s">
        <v>3330</v>
      </c>
      <c r="N226" s="95" t="s">
        <v>3042</v>
      </c>
      <c r="O226" s="96">
        <f>H226/90</f>
        <v>0.66666666666666663</v>
      </c>
      <c r="P226" s="111">
        <f>99/5*O226</f>
        <v>13.2</v>
      </c>
      <c r="Q226" s="91" t="s">
        <v>16</v>
      </c>
      <c r="R226" s="91">
        <v>12.2</v>
      </c>
      <c r="S226" s="95"/>
      <c r="T226" s="98"/>
      <c r="U226" s="112">
        <f t="shared" si="49"/>
        <v>161.04</v>
      </c>
      <c r="V226" s="113">
        <f t="shared" si="43"/>
        <v>2.6839999999999997</v>
      </c>
      <c r="W226" s="114">
        <f t="shared" si="44"/>
        <v>0.3834285714285714</v>
      </c>
      <c r="X226" s="95"/>
      <c r="Y226" s="95"/>
      <c r="Z226" s="102"/>
      <c r="AA226" s="103">
        <v>45703</v>
      </c>
      <c r="AB226" s="103">
        <v>45728</v>
      </c>
      <c r="AC226" s="103"/>
      <c r="AD226" s="102">
        <f>IF(ISNA(VLOOKUP(D226,亚马逊入库配置费!B:F,5,0)),0,VLOOKUP(D226,亚马逊入库配置费!B:F,5,0))</f>
        <v>0.28000000000000003</v>
      </c>
      <c r="AE226" s="102">
        <f t="shared" si="39"/>
        <v>16.8</v>
      </c>
      <c r="AF226" s="103">
        <v>45753</v>
      </c>
      <c r="AG226" s="91">
        <f t="shared" si="40"/>
        <v>50</v>
      </c>
      <c r="AH226" s="103">
        <v>45753</v>
      </c>
      <c r="AI226" s="103">
        <v>45759</v>
      </c>
      <c r="AJ226" s="96">
        <v>60</v>
      </c>
      <c r="AK226" s="91">
        <f t="shared" si="41"/>
        <v>6</v>
      </c>
      <c r="AL226" s="96">
        <f t="shared" si="42"/>
        <v>56</v>
      </c>
      <c r="AM226" s="92" t="s">
        <v>518</v>
      </c>
      <c r="AN226" s="91"/>
      <c r="AO226" s="91"/>
    </row>
    <row r="227" spans="1:41" ht="14.5" x14ac:dyDescent="0.25">
      <c r="A227" s="92" t="s">
        <v>523</v>
      </c>
      <c r="B227" s="91"/>
      <c r="C227" s="91" t="s">
        <v>303</v>
      </c>
      <c r="D227" s="92" t="s">
        <v>524</v>
      </c>
      <c r="E227" s="91" t="s">
        <v>97</v>
      </c>
      <c r="F227" s="91" t="s">
        <v>0</v>
      </c>
      <c r="G227" s="56" t="s">
        <v>316</v>
      </c>
      <c r="H227" s="91">
        <v>630</v>
      </c>
      <c r="I227" s="91" t="s">
        <v>306</v>
      </c>
      <c r="J227" s="91" t="s">
        <v>6</v>
      </c>
      <c r="K227" s="92" t="s">
        <v>42</v>
      </c>
      <c r="L227" s="93" t="s">
        <v>3046</v>
      </c>
      <c r="M227" s="94" t="s">
        <v>3333</v>
      </c>
      <c r="N227" s="95" t="s">
        <v>3042</v>
      </c>
      <c r="O227" s="96">
        <v>7</v>
      </c>
      <c r="P227" s="111">
        <f>214/11*O227</f>
        <v>136.18181818181819</v>
      </c>
      <c r="Q227" s="91" t="s">
        <v>16</v>
      </c>
      <c r="R227" s="91">
        <v>5.0999999999999996</v>
      </c>
      <c r="S227" s="95"/>
      <c r="T227" s="98"/>
      <c r="U227" s="112">
        <f t="shared" si="49"/>
        <v>694.5272727272727</v>
      </c>
      <c r="V227" s="113">
        <f t="shared" si="43"/>
        <v>1.1024242424242423</v>
      </c>
      <c r="W227" s="114">
        <f t="shared" si="44"/>
        <v>0.15748917748917748</v>
      </c>
      <c r="X227" s="95"/>
      <c r="Y227" s="95"/>
      <c r="Z227" s="102"/>
      <c r="AA227" s="103">
        <v>45703</v>
      </c>
      <c r="AB227" s="103">
        <v>45728</v>
      </c>
      <c r="AC227" s="103"/>
      <c r="AD227" s="102">
        <f>IF(ISNA(VLOOKUP(D227,亚马逊入库配置费!B:F,5,0)),0,VLOOKUP(D227,亚马逊入库配置费!B:F,5,0))</f>
        <v>0.34</v>
      </c>
      <c r="AE227" s="102">
        <f t="shared" si="39"/>
        <v>214.20000000000002</v>
      </c>
      <c r="AF227" s="103">
        <v>45741</v>
      </c>
      <c r="AG227" s="91">
        <f t="shared" si="40"/>
        <v>38</v>
      </c>
      <c r="AH227" s="103">
        <v>45741</v>
      </c>
      <c r="AI227" s="103">
        <v>45767</v>
      </c>
      <c r="AJ227" s="96">
        <v>630</v>
      </c>
      <c r="AK227" s="91">
        <f t="shared" si="41"/>
        <v>26</v>
      </c>
      <c r="AL227" s="96">
        <f t="shared" si="42"/>
        <v>64</v>
      </c>
      <c r="AM227" s="92"/>
      <c r="AN227" s="91"/>
      <c r="AO227" s="91"/>
    </row>
    <row r="228" spans="1:41" ht="14.5" x14ac:dyDescent="0.25">
      <c r="A228" s="92" t="s">
        <v>525</v>
      </c>
      <c r="B228" s="91"/>
      <c r="C228" s="91" t="s">
        <v>303</v>
      </c>
      <c r="D228" s="92" t="s">
        <v>524</v>
      </c>
      <c r="E228" s="91" t="s">
        <v>97</v>
      </c>
      <c r="F228" s="91" t="s">
        <v>0</v>
      </c>
      <c r="G228" s="56" t="s">
        <v>526</v>
      </c>
      <c r="H228" s="91">
        <v>270</v>
      </c>
      <c r="I228" s="91" t="s">
        <v>306</v>
      </c>
      <c r="J228" s="91" t="s">
        <v>6</v>
      </c>
      <c r="K228" s="92" t="s">
        <v>42</v>
      </c>
      <c r="L228" s="93" t="s">
        <v>3069</v>
      </c>
      <c r="M228" s="94" t="s">
        <v>3367</v>
      </c>
      <c r="N228" s="95" t="s">
        <v>3042</v>
      </c>
      <c r="O228" s="96">
        <v>3</v>
      </c>
      <c r="P228" s="111">
        <f>214/11*O228</f>
        <v>58.36363636363636</v>
      </c>
      <c r="Q228" s="91" t="s">
        <v>16</v>
      </c>
      <c r="R228" s="91">
        <v>5.0999999999999996</v>
      </c>
      <c r="S228" s="95"/>
      <c r="T228" s="98"/>
      <c r="U228" s="112">
        <f t="shared" si="49"/>
        <v>297.65454545454543</v>
      </c>
      <c r="V228" s="113">
        <f t="shared" si="43"/>
        <v>1.1024242424242423</v>
      </c>
      <c r="W228" s="114">
        <f t="shared" si="44"/>
        <v>0.15748917748917748</v>
      </c>
      <c r="X228" s="95"/>
      <c r="Y228" s="95"/>
      <c r="Z228" s="102"/>
      <c r="AA228" s="103">
        <v>45703</v>
      </c>
      <c r="AB228" s="103">
        <v>45728</v>
      </c>
      <c r="AC228" s="103"/>
      <c r="AD228" s="102">
        <f>IF(ISNA(VLOOKUP(D228,亚马逊入库配置费!B:F,5,0)),0,VLOOKUP(D228,亚马逊入库配置费!B:F,5,0))</f>
        <v>0.34</v>
      </c>
      <c r="AE228" s="102">
        <f t="shared" si="39"/>
        <v>91.800000000000011</v>
      </c>
      <c r="AF228" s="103">
        <v>45741</v>
      </c>
      <c r="AG228" s="91">
        <f t="shared" si="40"/>
        <v>38</v>
      </c>
      <c r="AH228" s="103">
        <v>45741</v>
      </c>
      <c r="AI228" s="103">
        <v>45767</v>
      </c>
      <c r="AJ228" s="96">
        <v>270</v>
      </c>
      <c r="AK228" s="91">
        <f t="shared" si="41"/>
        <v>26</v>
      </c>
      <c r="AL228" s="96">
        <f t="shared" si="42"/>
        <v>64</v>
      </c>
      <c r="AM228" s="92"/>
      <c r="AN228" s="91"/>
      <c r="AO228" s="91"/>
    </row>
    <row r="229" spans="1:41" ht="14.5" x14ac:dyDescent="0.25">
      <c r="A229" s="92" t="s">
        <v>527</v>
      </c>
      <c r="B229" s="91"/>
      <c r="C229" s="91" t="s">
        <v>303</v>
      </c>
      <c r="D229" s="92" t="s">
        <v>524</v>
      </c>
      <c r="E229" s="91" t="s">
        <v>97</v>
      </c>
      <c r="F229" s="91" t="s">
        <v>0</v>
      </c>
      <c r="G229" s="56" t="s">
        <v>316</v>
      </c>
      <c r="H229" s="91">
        <v>60</v>
      </c>
      <c r="I229" s="91" t="s">
        <v>306</v>
      </c>
      <c r="J229" s="91" t="s">
        <v>6</v>
      </c>
      <c r="K229" s="92" t="s">
        <v>42</v>
      </c>
      <c r="L229" s="93" t="s">
        <v>3046</v>
      </c>
      <c r="M229" s="94" t="s">
        <v>3333</v>
      </c>
      <c r="N229" s="95" t="s">
        <v>3042</v>
      </c>
      <c r="O229" s="96">
        <f>H229/90</f>
        <v>0.66666666666666663</v>
      </c>
      <c r="P229" s="111">
        <f>214/11*O229</f>
        <v>12.969696969696969</v>
      </c>
      <c r="Q229" s="91" t="s">
        <v>16</v>
      </c>
      <c r="R229" s="91">
        <v>5.0999999999999996</v>
      </c>
      <c r="S229" s="95"/>
      <c r="T229" s="98"/>
      <c r="U229" s="112">
        <f t="shared" si="49"/>
        <v>66.145454545454541</v>
      </c>
      <c r="V229" s="113">
        <f t="shared" si="43"/>
        <v>1.1024242424242423</v>
      </c>
      <c r="W229" s="114">
        <f t="shared" si="44"/>
        <v>0.15748917748917748</v>
      </c>
      <c r="X229" s="95"/>
      <c r="Y229" s="95"/>
      <c r="Z229" s="102"/>
      <c r="AA229" s="103">
        <v>45703</v>
      </c>
      <c r="AB229" s="103">
        <v>45728</v>
      </c>
      <c r="AC229" s="103"/>
      <c r="AD229" s="102">
        <f>IF(ISNA(VLOOKUP(D229,亚马逊入库配置费!B:F,5,0)),0,VLOOKUP(D229,亚马逊入库配置费!B:F,5,0))</f>
        <v>0.34</v>
      </c>
      <c r="AE229" s="102">
        <f t="shared" si="39"/>
        <v>20.400000000000002</v>
      </c>
      <c r="AF229" s="103">
        <v>45741</v>
      </c>
      <c r="AG229" s="91">
        <f t="shared" si="40"/>
        <v>38</v>
      </c>
      <c r="AH229" s="103">
        <v>45741</v>
      </c>
      <c r="AI229" s="103">
        <v>45767</v>
      </c>
      <c r="AJ229" s="96">
        <v>60</v>
      </c>
      <c r="AK229" s="91">
        <f t="shared" si="41"/>
        <v>26</v>
      </c>
      <c r="AL229" s="96">
        <f t="shared" si="42"/>
        <v>64</v>
      </c>
      <c r="AM229" s="92"/>
      <c r="AN229" s="91"/>
      <c r="AO229" s="91"/>
    </row>
    <row r="230" spans="1:41" ht="14.5" x14ac:dyDescent="0.25">
      <c r="A230" s="92" t="s">
        <v>528</v>
      </c>
      <c r="B230" s="91"/>
      <c r="C230" s="91" t="s">
        <v>303</v>
      </c>
      <c r="D230" s="92" t="s">
        <v>524</v>
      </c>
      <c r="E230" s="91" t="s">
        <v>97</v>
      </c>
      <c r="F230" s="91" t="s">
        <v>0</v>
      </c>
      <c r="G230" s="56" t="s">
        <v>526</v>
      </c>
      <c r="H230" s="91">
        <v>30</v>
      </c>
      <c r="I230" s="91" t="s">
        <v>306</v>
      </c>
      <c r="J230" s="91" t="s">
        <v>6</v>
      </c>
      <c r="K230" s="92" t="s">
        <v>42</v>
      </c>
      <c r="L230" s="93" t="s">
        <v>3069</v>
      </c>
      <c r="M230" s="94" t="s">
        <v>3367</v>
      </c>
      <c r="N230" s="95" t="s">
        <v>3042</v>
      </c>
      <c r="O230" s="96">
        <f>H230/90</f>
        <v>0.33333333333333331</v>
      </c>
      <c r="P230" s="111">
        <f>214/11*O230</f>
        <v>6.4848484848484844</v>
      </c>
      <c r="Q230" s="91" t="s">
        <v>16</v>
      </c>
      <c r="R230" s="91">
        <v>5.0999999999999996</v>
      </c>
      <c r="S230" s="95"/>
      <c r="T230" s="98"/>
      <c r="U230" s="112">
        <f t="shared" si="49"/>
        <v>33.072727272727271</v>
      </c>
      <c r="V230" s="113">
        <f t="shared" si="43"/>
        <v>1.1024242424242423</v>
      </c>
      <c r="W230" s="114">
        <f t="shared" si="44"/>
        <v>0.15748917748917748</v>
      </c>
      <c r="X230" s="95"/>
      <c r="Y230" s="95"/>
      <c r="Z230" s="102"/>
      <c r="AA230" s="103">
        <v>45703</v>
      </c>
      <c r="AB230" s="103">
        <v>45728</v>
      </c>
      <c r="AC230" s="103"/>
      <c r="AD230" s="102">
        <f>IF(ISNA(VLOOKUP(D230,亚马逊入库配置费!B:F,5,0)),0,VLOOKUP(D230,亚马逊入库配置费!B:F,5,0))</f>
        <v>0.34</v>
      </c>
      <c r="AE230" s="102">
        <f t="shared" si="39"/>
        <v>10.200000000000001</v>
      </c>
      <c r="AF230" s="103">
        <v>45741</v>
      </c>
      <c r="AG230" s="91">
        <f t="shared" si="40"/>
        <v>38</v>
      </c>
      <c r="AH230" s="103">
        <v>45741</v>
      </c>
      <c r="AI230" s="103">
        <v>45767</v>
      </c>
      <c r="AJ230" s="96">
        <v>30</v>
      </c>
      <c r="AK230" s="91">
        <f t="shared" si="41"/>
        <v>26</v>
      </c>
      <c r="AL230" s="96">
        <f t="shared" si="42"/>
        <v>64</v>
      </c>
      <c r="AM230" s="92"/>
      <c r="AN230" s="91"/>
      <c r="AO230" s="91"/>
    </row>
    <row r="231" spans="1:41" ht="14.5" x14ac:dyDescent="0.25">
      <c r="A231" s="92" t="s">
        <v>529</v>
      </c>
      <c r="B231" s="91" t="s">
        <v>3368</v>
      </c>
      <c r="C231" s="119" t="s">
        <v>530</v>
      </c>
      <c r="D231" s="120" t="s">
        <v>531</v>
      </c>
      <c r="E231" s="119" t="s">
        <v>341</v>
      </c>
      <c r="F231" s="119" t="s">
        <v>342</v>
      </c>
      <c r="G231" s="121" t="s">
        <v>173</v>
      </c>
      <c r="H231" s="119">
        <v>60</v>
      </c>
      <c r="I231" s="119" t="s">
        <v>207</v>
      </c>
      <c r="J231" s="119" t="s">
        <v>343</v>
      </c>
      <c r="K231" s="120" t="s">
        <v>532</v>
      </c>
      <c r="L231" s="93" t="s">
        <v>3028</v>
      </c>
      <c r="M231" s="94" t="s">
        <v>3304</v>
      </c>
      <c r="N231" s="95" t="s">
        <v>2876</v>
      </c>
      <c r="O231" s="123">
        <v>2</v>
      </c>
      <c r="P231" s="111">
        <f>1.42/29*O231</f>
        <v>9.7931034482758611E-2</v>
      </c>
      <c r="Q231" s="123" t="s">
        <v>3264</v>
      </c>
      <c r="R231" s="124">
        <v>680</v>
      </c>
      <c r="S231" s="95"/>
      <c r="T231" s="98"/>
      <c r="U231" s="125">
        <f>R231*P231+(350+300+38)/29*O231+H231*2+O231*3</f>
        <v>240.04137931034484</v>
      </c>
      <c r="V231" s="113">
        <f t="shared" si="43"/>
        <v>4.0006896551724136</v>
      </c>
      <c r="W231" s="114">
        <f t="shared" si="44"/>
        <v>0.57152709359605913</v>
      </c>
      <c r="X231" s="95"/>
      <c r="Y231" s="95">
        <f>7963.96/1020*H231</f>
        <v>468.46823529411768</v>
      </c>
      <c r="Z231" s="102" t="s">
        <v>345</v>
      </c>
      <c r="AA231" s="103">
        <v>45710</v>
      </c>
      <c r="AB231" s="103">
        <v>45727</v>
      </c>
      <c r="AC231" s="103"/>
      <c r="AD231" s="102">
        <f>IF(ISNA(VLOOKUP(D231,亚马逊入库配置费!B:F,5,0)),0,VLOOKUP(D231,亚马逊入库配置费!B:F,5,0))</f>
        <v>0</v>
      </c>
      <c r="AE231" s="102">
        <f t="shared" si="39"/>
        <v>0</v>
      </c>
      <c r="AF231" s="103">
        <v>45739</v>
      </c>
      <c r="AG231" s="91">
        <f t="shared" si="40"/>
        <v>29</v>
      </c>
      <c r="AH231" s="103">
        <v>45739</v>
      </c>
      <c r="AI231" s="103">
        <v>45747</v>
      </c>
      <c r="AJ231" s="117">
        <v>59</v>
      </c>
      <c r="AK231" s="91">
        <f t="shared" si="41"/>
        <v>8</v>
      </c>
      <c r="AL231" s="96">
        <f t="shared" si="42"/>
        <v>37</v>
      </c>
      <c r="AM231" s="92"/>
      <c r="AN231" s="91"/>
      <c r="AO231" s="91"/>
    </row>
    <row r="232" spans="1:41" ht="14.5" x14ac:dyDescent="0.25">
      <c r="A232" s="92" t="s">
        <v>533</v>
      </c>
      <c r="B232" s="91"/>
      <c r="C232" s="119" t="s">
        <v>530</v>
      </c>
      <c r="D232" s="120" t="s">
        <v>531</v>
      </c>
      <c r="E232" s="119" t="s">
        <v>341</v>
      </c>
      <c r="F232" s="119" t="s">
        <v>342</v>
      </c>
      <c r="G232" s="121" t="s">
        <v>178</v>
      </c>
      <c r="H232" s="119">
        <v>60</v>
      </c>
      <c r="I232" s="119" t="s">
        <v>207</v>
      </c>
      <c r="J232" s="119" t="s">
        <v>343</v>
      </c>
      <c r="K232" s="120" t="s">
        <v>532</v>
      </c>
      <c r="L232" s="93" t="s">
        <v>3030</v>
      </c>
      <c r="M232" s="94" t="s">
        <v>3307</v>
      </c>
      <c r="N232" s="95" t="s">
        <v>2876</v>
      </c>
      <c r="O232" s="123">
        <v>2</v>
      </c>
      <c r="P232" s="111">
        <f>1.42/29*O232</f>
        <v>9.7931034482758611E-2</v>
      </c>
      <c r="Q232" s="123" t="s">
        <v>3264</v>
      </c>
      <c r="R232" s="124">
        <v>680</v>
      </c>
      <c r="S232" s="95"/>
      <c r="T232" s="98"/>
      <c r="U232" s="125">
        <f>R232*P232+(350+300+38)/29*O232+H232*2+O232*3</f>
        <v>240.04137931034484</v>
      </c>
      <c r="V232" s="113">
        <f t="shared" si="43"/>
        <v>4.0006896551724136</v>
      </c>
      <c r="W232" s="114">
        <f t="shared" si="44"/>
        <v>0.57152709359605913</v>
      </c>
      <c r="X232" s="95"/>
      <c r="Y232" s="95">
        <f>7963.96/1020*H232</f>
        <v>468.46823529411768</v>
      </c>
      <c r="Z232" s="102" t="s">
        <v>345</v>
      </c>
      <c r="AA232" s="103">
        <v>45710</v>
      </c>
      <c r="AB232" s="103">
        <v>45727</v>
      </c>
      <c r="AC232" s="103"/>
      <c r="AD232" s="102">
        <f>IF(ISNA(VLOOKUP(D232,亚马逊入库配置费!B:F,5,0)),0,VLOOKUP(D232,亚马逊入库配置费!B:F,5,0))</f>
        <v>0</v>
      </c>
      <c r="AE232" s="102">
        <f t="shared" si="39"/>
        <v>0</v>
      </c>
      <c r="AF232" s="103">
        <v>45739</v>
      </c>
      <c r="AG232" s="91">
        <f t="shared" si="40"/>
        <v>29</v>
      </c>
      <c r="AH232" s="103">
        <v>45739</v>
      </c>
      <c r="AI232" s="103">
        <v>45747</v>
      </c>
      <c r="AJ232" s="96">
        <v>60</v>
      </c>
      <c r="AK232" s="91">
        <f t="shared" si="41"/>
        <v>8</v>
      </c>
      <c r="AL232" s="96">
        <f t="shared" si="42"/>
        <v>37</v>
      </c>
      <c r="AM232" s="92"/>
      <c r="AN232" s="91"/>
      <c r="AO232" s="91"/>
    </row>
    <row r="233" spans="1:41" ht="14.5" x14ac:dyDescent="0.25">
      <c r="A233" s="92" t="s">
        <v>534</v>
      </c>
      <c r="B233" s="91"/>
      <c r="C233" s="119" t="s">
        <v>530</v>
      </c>
      <c r="D233" s="120" t="s">
        <v>531</v>
      </c>
      <c r="E233" s="119" t="s">
        <v>341</v>
      </c>
      <c r="F233" s="119" t="s">
        <v>342</v>
      </c>
      <c r="G233" s="121" t="s">
        <v>180</v>
      </c>
      <c r="H233" s="119">
        <v>300</v>
      </c>
      <c r="I233" s="119" t="s">
        <v>207</v>
      </c>
      <c r="J233" s="119" t="s">
        <v>343</v>
      </c>
      <c r="K233" s="120" t="s">
        <v>532</v>
      </c>
      <c r="L233" s="93" t="s">
        <v>3031</v>
      </c>
      <c r="M233" s="94" t="s">
        <v>3213</v>
      </c>
      <c r="N233" s="95" t="s">
        <v>2876</v>
      </c>
      <c r="O233" s="123">
        <v>10</v>
      </c>
      <c r="P233" s="111">
        <f>1.42/29*O233</f>
        <v>0.48965517241379308</v>
      </c>
      <c r="Q233" s="123" t="s">
        <v>3264</v>
      </c>
      <c r="R233" s="124">
        <v>680</v>
      </c>
      <c r="S233" s="95"/>
      <c r="T233" s="98"/>
      <c r="U233" s="125">
        <f>R233*P233+(350+300+38)/29*O233+H233*2+O233*3</f>
        <v>1200.2068965517242</v>
      </c>
      <c r="V233" s="113">
        <f t="shared" si="43"/>
        <v>4.0006896551724136</v>
      </c>
      <c r="W233" s="114">
        <f t="shared" si="44"/>
        <v>0.57152709359605913</v>
      </c>
      <c r="X233" s="95"/>
      <c r="Y233" s="95">
        <f>7963.96/1020*H233</f>
        <v>2342.3411764705884</v>
      </c>
      <c r="Z233" s="102" t="s">
        <v>345</v>
      </c>
      <c r="AA233" s="103">
        <v>45710</v>
      </c>
      <c r="AB233" s="103">
        <v>45727</v>
      </c>
      <c r="AC233" s="103"/>
      <c r="AD233" s="102">
        <f>IF(ISNA(VLOOKUP(D233,亚马逊入库配置费!B:F,5,0)),0,VLOOKUP(D233,亚马逊入库配置费!B:F,5,0))</f>
        <v>0</v>
      </c>
      <c r="AE233" s="102">
        <f t="shared" si="39"/>
        <v>0</v>
      </c>
      <c r="AF233" s="103">
        <v>45739</v>
      </c>
      <c r="AG233" s="91">
        <f t="shared" si="40"/>
        <v>29</v>
      </c>
      <c r="AH233" s="103">
        <v>45739</v>
      </c>
      <c r="AI233" s="103">
        <v>45747</v>
      </c>
      <c r="AJ233" s="96">
        <v>300</v>
      </c>
      <c r="AK233" s="91">
        <f t="shared" si="41"/>
        <v>8</v>
      </c>
      <c r="AL233" s="96">
        <f t="shared" si="42"/>
        <v>37</v>
      </c>
      <c r="AM233" s="92"/>
      <c r="AN233" s="91"/>
      <c r="AO233" s="91"/>
    </row>
    <row r="234" spans="1:41" ht="14.5" x14ac:dyDescent="0.25">
      <c r="A234" s="92" t="s">
        <v>535</v>
      </c>
      <c r="B234" s="91"/>
      <c r="C234" s="119" t="s">
        <v>530</v>
      </c>
      <c r="D234" s="120" t="s">
        <v>531</v>
      </c>
      <c r="E234" s="119" t="s">
        <v>341</v>
      </c>
      <c r="F234" s="119" t="s">
        <v>342</v>
      </c>
      <c r="G234" s="121" t="s">
        <v>163</v>
      </c>
      <c r="H234" s="119">
        <v>400</v>
      </c>
      <c r="I234" s="119" t="s">
        <v>207</v>
      </c>
      <c r="J234" s="119" t="s">
        <v>343</v>
      </c>
      <c r="K234" s="120" t="s">
        <v>532</v>
      </c>
      <c r="L234" s="93" t="s">
        <v>2881</v>
      </c>
      <c r="M234" s="94" t="s">
        <v>3302</v>
      </c>
      <c r="N234" s="95" t="s">
        <v>2870</v>
      </c>
      <c r="O234" s="123">
        <v>10</v>
      </c>
      <c r="P234" s="111">
        <f>1.42/29*O234</f>
        <v>0.48965517241379308</v>
      </c>
      <c r="Q234" s="123" t="s">
        <v>3264</v>
      </c>
      <c r="R234" s="124">
        <v>680</v>
      </c>
      <c r="S234" s="95"/>
      <c r="T234" s="98"/>
      <c r="U234" s="125">
        <f>R234*P234+(350+300+38)/29*O234+H234*2+O234*3</f>
        <v>1400.2068965517242</v>
      </c>
      <c r="V234" s="113">
        <f t="shared" si="43"/>
        <v>3.5005172413793106</v>
      </c>
      <c r="W234" s="114">
        <f t="shared" si="44"/>
        <v>0.50007389162561577</v>
      </c>
      <c r="X234" s="95"/>
      <c r="Y234" s="95">
        <f>7963.96/1020*H234</f>
        <v>3123.1215686274509</v>
      </c>
      <c r="Z234" s="102" t="s">
        <v>345</v>
      </c>
      <c r="AA234" s="103">
        <v>45710</v>
      </c>
      <c r="AB234" s="103">
        <v>45727</v>
      </c>
      <c r="AC234" s="103"/>
      <c r="AD234" s="102">
        <f>IF(ISNA(VLOOKUP(D234,亚马逊入库配置费!B:F,5,0)),0,VLOOKUP(D234,亚马逊入库配置费!B:F,5,0))</f>
        <v>0</v>
      </c>
      <c r="AE234" s="102">
        <f t="shared" si="39"/>
        <v>0</v>
      </c>
      <c r="AF234" s="103">
        <v>45739</v>
      </c>
      <c r="AG234" s="91">
        <f t="shared" si="40"/>
        <v>29</v>
      </c>
      <c r="AH234" s="103">
        <v>45739</v>
      </c>
      <c r="AI234" s="103">
        <v>45747</v>
      </c>
      <c r="AJ234" s="96">
        <v>400</v>
      </c>
      <c r="AK234" s="91">
        <f t="shared" si="41"/>
        <v>8</v>
      </c>
      <c r="AL234" s="96">
        <f t="shared" si="42"/>
        <v>37</v>
      </c>
      <c r="AM234" s="92"/>
      <c r="AN234" s="91"/>
      <c r="AO234" s="91"/>
    </row>
    <row r="235" spans="1:41" ht="14.5" x14ac:dyDescent="0.25">
      <c r="A235" s="92" t="s">
        <v>536</v>
      </c>
      <c r="B235" s="91"/>
      <c r="C235" s="119" t="s">
        <v>530</v>
      </c>
      <c r="D235" s="120" t="s">
        <v>531</v>
      </c>
      <c r="E235" s="119" t="s">
        <v>341</v>
      </c>
      <c r="F235" s="119" t="s">
        <v>342</v>
      </c>
      <c r="G235" s="121" t="s">
        <v>165</v>
      </c>
      <c r="H235" s="119">
        <v>200</v>
      </c>
      <c r="I235" s="119" t="s">
        <v>207</v>
      </c>
      <c r="J235" s="119" t="s">
        <v>343</v>
      </c>
      <c r="K235" s="120" t="s">
        <v>532</v>
      </c>
      <c r="L235" s="93" t="s">
        <v>2880</v>
      </c>
      <c r="M235" s="94" t="s">
        <v>3209</v>
      </c>
      <c r="N235" s="95" t="s">
        <v>2870</v>
      </c>
      <c r="O235" s="123">
        <v>5</v>
      </c>
      <c r="P235" s="111">
        <f>1.42/29*O235</f>
        <v>0.24482758620689654</v>
      </c>
      <c r="Q235" s="123" t="s">
        <v>3264</v>
      </c>
      <c r="R235" s="124">
        <v>680</v>
      </c>
      <c r="S235" s="95"/>
      <c r="T235" s="98"/>
      <c r="U235" s="125">
        <f>R235*P235+(350+300+38)/29*O235+H235*2+O235*3</f>
        <v>700.10344827586209</v>
      </c>
      <c r="V235" s="113">
        <f t="shared" si="43"/>
        <v>3.5005172413793106</v>
      </c>
      <c r="W235" s="114">
        <f t="shared" si="44"/>
        <v>0.50007389162561577</v>
      </c>
      <c r="X235" s="95"/>
      <c r="Y235" s="95">
        <f>7963.96/1020*H235</f>
        <v>1561.5607843137254</v>
      </c>
      <c r="Z235" s="102" t="s">
        <v>345</v>
      </c>
      <c r="AA235" s="103">
        <v>45710</v>
      </c>
      <c r="AB235" s="103">
        <v>45727</v>
      </c>
      <c r="AC235" s="103"/>
      <c r="AD235" s="102">
        <f>IF(ISNA(VLOOKUP(D235,亚马逊入库配置费!B:F,5,0)),0,VLOOKUP(D235,亚马逊入库配置费!B:F,5,0))</f>
        <v>0</v>
      </c>
      <c r="AE235" s="102">
        <f t="shared" si="39"/>
        <v>0</v>
      </c>
      <c r="AF235" s="103">
        <v>45739</v>
      </c>
      <c r="AG235" s="91">
        <f t="shared" si="40"/>
        <v>29</v>
      </c>
      <c r="AH235" s="103">
        <v>45739</v>
      </c>
      <c r="AI235" s="103">
        <v>45747</v>
      </c>
      <c r="AJ235" s="96">
        <v>200</v>
      </c>
      <c r="AK235" s="91">
        <f t="shared" si="41"/>
        <v>8</v>
      </c>
      <c r="AL235" s="96">
        <f t="shared" si="42"/>
        <v>37</v>
      </c>
      <c r="AM235" s="92"/>
      <c r="AN235" s="91"/>
      <c r="AO235" s="91"/>
    </row>
    <row r="236" spans="1:41" ht="14.5" x14ac:dyDescent="0.25">
      <c r="A236" s="92" t="s">
        <v>537</v>
      </c>
      <c r="B236" s="91"/>
      <c r="C236" s="119" t="s">
        <v>538</v>
      </c>
      <c r="D236" s="120" t="s">
        <v>539</v>
      </c>
      <c r="E236" s="119" t="s">
        <v>115</v>
      </c>
      <c r="F236" s="119" t="s">
        <v>0</v>
      </c>
      <c r="G236" s="121" t="s">
        <v>142</v>
      </c>
      <c r="H236" s="119">
        <v>300</v>
      </c>
      <c r="I236" s="119" t="s">
        <v>89</v>
      </c>
      <c r="J236" s="119" t="s">
        <v>8</v>
      </c>
      <c r="K236" s="120" t="s">
        <v>44</v>
      </c>
      <c r="L236" s="93" t="s">
        <v>3020</v>
      </c>
      <c r="M236" s="94" t="s">
        <v>3295</v>
      </c>
      <c r="N236" s="95" t="s">
        <v>2878</v>
      </c>
      <c r="O236" s="132">
        <v>10</v>
      </c>
      <c r="P236" s="111">
        <f t="shared" ref="P236:P242" si="50">1234/93*O236</f>
        <v>132.68817204301075</v>
      </c>
      <c r="Q236" s="122" t="s">
        <v>16</v>
      </c>
      <c r="R236" s="124">
        <v>4.0999999999999996</v>
      </c>
      <c r="S236" s="95"/>
      <c r="T236" s="98"/>
      <c r="U236" s="125">
        <f t="shared" ref="U236:U244" si="51">P236*R236</f>
        <v>544.02150537634407</v>
      </c>
      <c r="V236" s="113">
        <f t="shared" si="43"/>
        <v>1.8134050179211469</v>
      </c>
      <c r="W236" s="114">
        <f t="shared" si="44"/>
        <v>0.25905785970302098</v>
      </c>
      <c r="X236" s="95"/>
      <c r="Y236" s="95"/>
      <c r="Z236" s="102"/>
      <c r="AA236" s="103">
        <v>45710</v>
      </c>
      <c r="AB236" s="103">
        <v>45729</v>
      </c>
      <c r="AC236" s="103"/>
      <c r="AD236" s="102">
        <f>IF(ISNA(VLOOKUP(D236,亚马逊入库配置费!B:F,5,0)),0,VLOOKUP(D236,亚马逊入库配置费!B:F,5,0))</f>
        <v>0.41</v>
      </c>
      <c r="AE236" s="102">
        <f t="shared" si="39"/>
        <v>122.99999999999999</v>
      </c>
      <c r="AF236" s="103">
        <v>45743</v>
      </c>
      <c r="AG236" s="91">
        <f t="shared" si="40"/>
        <v>33</v>
      </c>
      <c r="AH236" s="103">
        <v>45743</v>
      </c>
      <c r="AI236" s="103">
        <v>45772</v>
      </c>
      <c r="AJ236" s="96">
        <v>306</v>
      </c>
      <c r="AK236" s="91">
        <f t="shared" si="41"/>
        <v>29</v>
      </c>
      <c r="AL236" s="96">
        <f t="shared" si="42"/>
        <v>62</v>
      </c>
      <c r="AM236" s="92"/>
      <c r="AN236" s="91"/>
      <c r="AO236" s="91"/>
    </row>
    <row r="237" spans="1:41" ht="14.5" x14ac:dyDescent="0.25">
      <c r="A237" s="92" t="s">
        <v>540</v>
      </c>
      <c r="B237" s="91" t="s">
        <v>3296</v>
      </c>
      <c r="C237" s="119" t="s">
        <v>538</v>
      </c>
      <c r="D237" s="120" t="s">
        <v>539</v>
      </c>
      <c r="E237" s="119" t="s">
        <v>115</v>
      </c>
      <c r="F237" s="119" t="s">
        <v>0</v>
      </c>
      <c r="G237" s="121" t="s">
        <v>144</v>
      </c>
      <c r="H237" s="119">
        <v>180</v>
      </c>
      <c r="I237" s="119" t="s">
        <v>89</v>
      </c>
      <c r="J237" s="119" t="s">
        <v>8</v>
      </c>
      <c r="K237" s="120" t="s">
        <v>44</v>
      </c>
      <c r="L237" s="93" t="s">
        <v>3021</v>
      </c>
      <c r="M237" s="94" t="s">
        <v>3297</v>
      </c>
      <c r="N237" s="95" t="s">
        <v>2878</v>
      </c>
      <c r="O237" s="132">
        <v>6</v>
      </c>
      <c r="P237" s="111">
        <f t="shared" si="50"/>
        <v>79.612903225806463</v>
      </c>
      <c r="Q237" s="122" t="s">
        <v>16</v>
      </c>
      <c r="R237" s="124">
        <v>4.0999999999999996</v>
      </c>
      <c r="S237" s="95"/>
      <c r="T237" s="98"/>
      <c r="U237" s="125">
        <f t="shared" si="51"/>
        <v>326.41290322580647</v>
      </c>
      <c r="V237" s="113">
        <f t="shared" si="43"/>
        <v>1.8134050179211472</v>
      </c>
      <c r="W237" s="114">
        <f t="shared" si="44"/>
        <v>0.25905785970302103</v>
      </c>
      <c r="X237" s="95"/>
      <c r="Y237" s="95"/>
      <c r="Z237" s="102"/>
      <c r="AA237" s="103">
        <v>45710</v>
      </c>
      <c r="AB237" s="103">
        <v>45729</v>
      </c>
      <c r="AC237" s="103"/>
      <c r="AD237" s="102">
        <f>IF(ISNA(VLOOKUP(D237,亚马逊入库配置费!B:F,5,0)),0,VLOOKUP(D237,亚马逊入库配置费!B:F,5,0))</f>
        <v>0.41</v>
      </c>
      <c r="AE237" s="102">
        <f t="shared" si="39"/>
        <v>73.8</v>
      </c>
      <c r="AF237" s="103">
        <v>45743</v>
      </c>
      <c r="AG237" s="91">
        <f t="shared" si="40"/>
        <v>33</v>
      </c>
      <c r="AH237" s="103">
        <v>45743</v>
      </c>
      <c r="AI237" s="103">
        <v>45772</v>
      </c>
      <c r="AJ237" s="96">
        <v>179</v>
      </c>
      <c r="AK237" s="91">
        <f t="shared" si="41"/>
        <v>29</v>
      </c>
      <c r="AL237" s="96">
        <f t="shared" si="42"/>
        <v>62</v>
      </c>
      <c r="AM237" s="92"/>
      <c r="AN237" s="91"/>
      <c r="AO237" s="91"/>
    </row>
    <row r="238" spans="1:41" ht="14.5" x14ac:dyDescent="0.25">
      <c r="A238" s="92" t="s">
        <v>541</v>
      </c>
      <c r="B238" s="91"/>
      <c r="C238" s="119" t="s">
        <v>538</v>
      </c>
      <c r="D238" s="120" t="s">
        <v>539</v>
      </c>
      <c r="E238" s="119" t="s">
        <v>115</v>
      </c>
      <c r="F238" s="119" t="s">
        <v>0</v>
      </c>
      <c r="G238" s="121" t="s">
        <v>542</v>
      </c>
      <c r="H238" s="119">
        <v>300</v>
      </c>
      <c r="I238" s="119" t="s">
        <v>89</v>
      </c>
      <c r="J238" s="119" t="s">
        <v>8</v>
      </c>
      <c r="K238" s="120" t="s">
        <v>44</v>
      </c>
      <c r="L238" s="93" t="s">
        <v>3070</v>
      </c>
      <c r="M238" s="94" t="s">
        <v>3369</v>
      </c>
      <c r="N238" s="95" t="s">
        <v>2878</v>
      </c>
      <c r="O238" s="132">
        <v>10</v>
      </c>
      <c r="P238" s="111">
        <f t="shared" si="50"/>
        <v>132.68817204301075</v>
      </c>
      <c r="Q238" s="122" t="s">
        <v>16</v>
      </c>
      <c r="R238" s="124">
        <v>4.0999999999999996</v>
      </c>
      <c r="S238" s="95"/>
      <c r="T238" s="98"/>
      <c r="U238" s="125">
        <f t="shared" si="51"/>
        <v>544.02150537634407</v>
      </c>
      <c r="V238" s="113">
        <f t="shared" si="43"/>
        <v>1.8134050179211469</v>
      </c>
      <c r="W238" s="114">
        <f t="shared" si="44"/>
        <v>0.25905785970302098</v>
      </c>
      <c r="X238" s="95"/>
      <c r="Y238" s="95"/>
      <c r="Z238" s="102"/>
      <c r="AA238" s="103">
        <v>45710</v>
      </c>
      <c r="AB238" s="103">
        <v>45729</v>
      </c>
      <c r="AC238" s="103"/>
      <c r="AD238" s="102">
        <f>IF(ISNA(VLOOKUP(D238,亚马逊入库配置费!B:F,5,0)),0,VLOOKUP(D238,亚马逊入库配置费!B:F,5,0))</f>
        <v>0.41</v>
      </c>
      <c r="AE238" s="102">
        <f t="shared" si="39"/>
        <v>122.99999999999999</v>
      </c>
      <c r="AF238" s="103">
        <v>45743</v>
      </c>
      <c r="AG238" s="91">
        <f t="shared" si="40"/>
        <v>33</v>
      </c>
      <c r="AH238" s="103">
        <v>45743</v>
      </c>
      <c r="AI238" s="103">
        <v>45772</v>
      </c>
      <c r="AJ238" s="96">
        <v>300</v>
      </c>
      <c r="AK238" s="91">
        <f t="shared" si="41"/>
        <v>29</v>
      </c>
      <c r="AL238" s="96">
        <f t="shared" si="42"/>
        <v>62</v>
      </c>
      <c r="AM238" s="92"/>
      <c r="AN238" s="91"/>
      <c r="AO238" s="91"/>
    </row>
    <row r="239" spans="1:41" ht="14.5" x14ac:dyDescent="0.25">
      <c r="A239" s="92" t="s">
        <v>543</v>
      </c>
      <c r="B239" s="91"/>
      <c r="C239" s="119" t="s">
        <v>538</v>
      </c>
      <c r="D239" s="120" t="s">
        <v>539</v>
      </c>
      <c r="E239" s="119" t="s">
        <v>115</v>
      </c>
      <c r="F239" s="119" t="s">
        <v>0</v>
      </c>
      <c r="G239" s="121" t="s">
        <v>146</v>
      </c>
      <c r="H239" s="119">
        <v>90</v>
      </c>
      <c r="I239" s="119" t="s">
        <v>89</v>
      </c>
      <c r="J239" s="119" t="s">
        <v>8</v>
      </c>
      <c r="K239" s="120" t="s">
        <v>44</v>
      </c>
      <c r="L239" s="93" t="s">
        <v>3022</v>
      </c>
      <c r="M239" s="94" t="s">
        <v>3298</v>
      </c>
      <c r="N239" s="95" t="s">
        <v>2878</v>
      </c>
      <c r="O239" s="132">
        <v>3</v>
      </c>
      <c r="P239" s="111">
        <f t="shared" si="50"/>
        <v>39.806451612903231</v>
      </c>
      <c r="Q239" s="122" t="s">
        <v>16</v>
      </c>
      <c r="R239" s="124">
        <v>4.0999999999999996</v>
      </c>
      <c r="S239" s="95"/>
      <c r="T239" s="98"/>
      <c r="U239" s="125">
        <f t="shared" si="51"/>
        <v>163.20645161290324</v>
      </c>
      <c r="V239" s="113">
        <f t="shared" si="43"/>
        <v>1.8134050179211472</v>
      </c>
      <c r="W239" s="114">
        <f t="shared" si="44"/>
        <v>0.25905785970302103</v>
      </c>
      <c r="X239" s="95"/>
      <c r="Y239" s="95"/>
      <c r="Z239" s="102"/>
      <c r="AA239" s="103">
        <v>45710</v>
      </c>
      <c r="AB239" s="103">
        <v>45729</v>
      </c>
      <c r="AC239" s="103"/>
      <c r="AD239" s="102">
        <f>IF(ISNA(VLOOKUP(D239,亚马逊入库配置费!B:F,5,0)),0,VLOOKUP(D239,亚马逊入库配置费!B:F,5,0))</f>
        <v>0.41</v>
      </c>
      <c r="AE239" s="102">
        <f t="shared" si="39"/>
        <v>36.9</v>
      </c>
      <c r="AF239" s="103">
        <v>45743</v>
      </c>
      <c r="AG239" s="91">
        <f t="shared" si="40"/>
        <v>33</v>
      </c>
      <c r="AH239" s="103">
        <v>45743</v>
      </c>
      <c r="AI239" s="103">
        <v>45772</v>
      </c>
      <c r="AJ239" s="96">
        <v>90</v>
      </c>
      <c r="AK239" s="91">
        <f t="shared" si="41"/>
        <v>29</v>
      </c>
      <c r="AL239" s="96">
        <f t="shared" si="42"/>
        <v>62</v>
      </c>
      <c r="AM239" s="92"/>
      <c r="AN239" s="91"/>
      <c r="AO239" s="91"/>
    </row>
    <row r="240" spans="1:41" ht="14.5" x14ac:dyDescent="0.25">
      <c r="A240" s="92" t="s">
        <v>544</v>
      </c>
      <c r="B240" s="91"/>
      <c r="C240" s="119" t="s">
        <v>538</v>
      </c>
      <c r="D240" s="120" t="s">
        <v>539</v>
      </c>
      <c r="E240" s="119" t="s">
        <v>115</v>
      </c>
      <c r="F240" s="119" t="s">
        <v>0</v>
      </c>
      <c r="G240" s="121" t="s">
        <v>148</v>
      </c>
      <c r="H240" s="119">
        <v>120</v>
      </c>
      <c r="I240" s="119" t="s">
        <v>89</v>
      </c>
      <c r="J240" s="119" t="s">
        <v>8</v>
      </c>
      <c r="K240" s="120" t="s">
        <v>44</v>
      </c>
      <c r="L240" s="93" t="s">
        <v>3023</v>
      </c>
      <c r="M240" s="94" t="s">
        <v>3299</v>
      </c>
      <c r="N240" s="95" t="s">
        <v>2878</v>
      </c>
      <c r="O240" s="132">
        <v>4</v>
      </c>
      <c r="P240" s="111">
        <f t="shared" si="50"/>
        <v>53.075268817204304</v>
      </c>
      <c r="Q240" s="122" t="s">
        <v>16</v>
      </c>
      <c r="R240" s="124">
        <v>4.0999999999999996</v>
      </c>
      <c r="S240" s="95"/>
      <c r="T240" s="98"/>
      <c r="U240" s="125">
        <f t="shared" si="51"/>
        <v>217.60860215053762</v>
      </c>
      <c r="V240" s="113">
        <f t="shared" si="43"/>
        <v>1.8134050179211469</v>
      </c>
      <c r="W240" s="114">
        <f t="shared" si="44"/>
        <v>0.25905785970302098</v>
      </c>
      <c r="X240" s="95"/>
      <c r="Y240" s="95"/>
      <c r="Z240" s="102"/>
      <c r="AA240" s="103">
        <v>45710</v>
      </c>
      <c r="AB240" s="103">
        <v>45729</v>
      </c>
      <c r="AC240" s="103"/>
      <c r="AD240" s="102">
        <f>IF(ISNA(VLOOKUP(D240,亚马逊入库配置费!B:F,5,0)),0,VLOOKUP(D240,亚马逊入库配置费!B:F,5,0))</f>
        <v>0.41</v>
      </c>
      <c r="AE240" s="102">
        <f t="shared" si="39"/>
        <v>49.199999999999996</v>
      </c>
      <c r="AF240" s="103">
        <v>45743</v>
      </c>
      <c r="AG240" s="91">
        <f t="shared" si="40"/>
        <v>33</v>
      </c>
      <c r="AH240" s="103">
        <v>45743</v>
      </c>
      <c r="AI240" s="103">
        <v>45772</v>
      </c>
      <c r="AJ240" s="96">
        <v>120</v>
      </c>
      <c r="AK240" s="91">
        <f t="shared" si="41"/>
        <v>29</v>
      </c>
      <c r="AL240" s="96">
        <f t="shared" si="42"/>
        <v>62</v>
      </c>
      <c r="AM240" s="92"/>
      <c r="AN240" s="91"/>
      <c r="AO240" s="91"/>
    </row>
    <row r="241" spans="1:41" ht="14.5" x14ac:dyDescent="0.25">
      <c r="A241" s="92" t="s">
        <v>545</v>
      </c>
      <c r="B241" s="91" t="s">
        <v>3370</v>
      </c>
      <c r="C241" s="119" t="s">
        <v>538</v>
      </c>
      <c r="D241" s="120" t="s">
        <v>539</v>
      </c>
      <c r="E241" s="119" t="s">
        <v>115</v>
      </c>
      <c r="F241" s="119" t="s">
        <v>0</v>
      </c>
      <c r="G241" s="121" t="s">
        <v>211</v>
      </c>
      <c r="H241" s="119">
        <v>1530</v>
      </c>
      <c r="I241" s="119" t="s">
        <v>89</v>
      </c>
      <c r="J241" s="119" t="s">
        <v>8</v>
      </c>
      <c r="K241" s="120" t="s">
        <v>44</v>
      </c>
      <c r="L241" s="93" t="s">
        <v>3034</v>
      </c>
      <c r="M241" s="94" t="s">
        <v>3312</v>
      </c>
      <c r="N241" s="95" t="s">
        <v>2869</v>
      </c>
      <c r="O241" s="132">
        <v>51</v>
      </c>
      <c r="P241" s="111">
        <f t="shared" si="50"/>
        <v>676.70967741935488</v>
      </c>
      <c r="Q241" s="122" t="s">
        <v>16</v>
      </c>
      <c r="R241" s="124">
        <v>4.0999999999999996</v>
      </c>
      <c r="S241" s="95"/>
      <c r="T241" s="98"/>
      <c r="U241" s="125">
        <f t="shared" si="51"/>
        <v>2774.5096774193548</v>
      </c>
      <c r="V241" s="113">
        <f t="shared" si="43"/>
        <v>1.8134050179211469</v>
      </c>
      <c r="W241" s="114">
        <f t="shared" si="44"/>
        <v>0.25905785970302098</v>
      </c>
      <c r="X241" s="95"/>
      <c r="Y241" s="95"/>
      <c r="Z241" s="102"/>
      <c r="AA241" s="103">
        <v>45710</v>
      </c>
      <c r="AB241" s="103">
        <v>45729</v>
      </c>
      <c r="AC241" s="103"/>
      <c r="AD241" s="102">
        <f>IF(ISNA(VLOOKUP(D241,亚马逊入库配置费!B:F,5,0)),0,VLOOKUP(D241,亚马逊入库配置费!B:F,5,0))</f>
        <v>0.41</v>
      </c>
      <c r="AE241" s="102">
        <f t="shared" si="39"/>
        <v>627.29999999999995</v>
      </c>
      <c r="AF241" s="103">
        <v>45743</v>
      </c>
      <c r="AG241" s="91">
        <f t="shared" si="40"/>
        <v>33</v>
      </c>
      <c r="AH241" s="103">
        <v>45743</v>
      </c>
      <c r="AI241" s="103">
        <v>45772</v>
      </c>
      <c r="AJ241" s="96">
        <v>1529</v>
      </c>
      <c r="AK241" s="91">
        <f t="shared" si="41"/>
        <v>29</v>
      </c>
      <c r="AL241" s="96">
        <f t="shared" si="42"/>
        <v>62</v>
      </c>
      <c r="AM241" s="92"/>
      <c r="AN241" s="91"/>
      <c r="AO241" s="91"/>
    </row>
    <row r="242" spans="1:41" ht="14.5" x14ac:dyDescent="0.25">
      <c r="A242" s="92" t="s">
        <v>546</v>
      </c>
      <c r="B242" s="91"/>
      <c r="C242" s="119" t="s">
        <v>538</v>
      </c>
      <c r="D242" s="120" t="s">
        <v>539</v>
      </c>
      <c r="E242" s="119" t="s">
        <v>115</v>
      </c>
      <c r="F242" s="119" t="s">
        <v>0</v>
      </c>
      <c r="G242" s="121" t="s">
        <v>481</v>
      </c>
      <c r="H242" s="119">
        <v>270</v>
      </c>
      <c r="I242" s="119" t="s">
        <v>89</v>
      </c>
      <c r="J242" s="119" t="s">
        <v>8</v>
      </c>
      <c r="K242" s="120" t="s">
        <v>44</v>
      </c>
      <c r="L242" s="93" t="s">
        <v>3064</v>
      </c>
      <c r="M242" s="94" t="s">
        <v>3356</v>
      </c>
      <c r="N242" s="95" t="s">
        <v>2869</v>
      </c>
      <c r="O242" s="132">
        <v>9</v>
      </c>
      <c r="P242" s="111">
        <f t="shared" si="50"/>
        <v>119.41935483870968</v>
      </c>
      <c r="Q242" s="122" t="s">
        <v>16</v>
      </c>
      <c r="R242" s="124">
        <v>4.0999999999999996</v>
      </c>
      <c r="S242" s="95"/>
      <c r="T242" s="98"/>
      <c r="U242" s="125">
        <f t="shared" si="51"/>
        <v>489.61935483870963</v>
      </c>
      <c r="V242" s="113">
        <f t="shared" si="43"/>
        <v>1.8134050179211467</v>
      </c>
      <c r="W242" s="114">
        <f t="shared" si="44"/>
        <v>0.25905785970302098</v>
      </c>
      <c r="X242" s="95"/>
      <c r="Y242" s="95"/>
      <c r="Z242" s="102"/>
      <c r="AA242" s="103">
        <v>45710</v>
      </c>
      <c r="AB242" s="103">
        <v>45729</v>
      </c>
      <c r="AC242" s="103"/>
      <c r="AD242" s="102">
        <f>IF(ISNA(VLOOKUP(D242,亚马逊入库配置费!B:F,5,0)),0,VLOOKUP(D242,亚马逊入库配置费!B:F,5,0))</f>
        <v>0.41</v>
      </c>
      <c r="AE242" s="102">
        <f t="shared" si="39"/>
        <v>110.69999999999999</v>
      </c>
      <c r="AF242" s="103">
        <v>45743</v>
      </c>
      <c r="AG242" s="91">
        <f t="shared" si="40"/>
        <v>33</v>
      </c>
      <c r="AH242" s="103">
        <v>45743</v>
      </c>
      <c r="AI242" s="103">
        <v>45772</v>
      </c>
      <c r="AJ242" s="96">
        <v>270</v>
      </c>
      <c r="AK242" s="91">
        <f t="shared" si="41"/>
        <v>29</v>
      </c>
      <c r="AL242" s="96">
        <f t="shared" si="42"/>
        <v>62</v>
      </c>
      <c r="AM242" s="92"/>
      <c r="AN242" s="91"/>
      <c r="AO242" s="91"/>
    </row>
    <row r="243" spans="1:41" ht="14.5" x14ac:dyDescent="0.25">
      <c r="A243" s="92" t="s">
        <v>547</v>
      </c>
      <c r="B243" s="91"/>
      <c r="C243" s="119" t="s">
        <v>538</v>
      </c>
      <c r="D243" s="120" t="s">
        <v>548</v>
      </c>
      <c r="E243" s="119" t="s">
        <v>287</v>
      </c>
      <c r="F243" s="119" t="s">
        <v>0</v>
      </c>
      <c r="G243" s="121" t="s">
        <v>549</v>
      </c>
      <c r="H243" s="119">
        <v>160</v>
      </c>
      <c r="I243" s="119" t="s">
        <v>89</v>
      </c>
      <c r="J243" s="119" t="s">
        <v>8</v>
      </c>
      <c r="K243" s="120" t="s">
        <v>44</v>
      </c>
      <c r="L243" s="93" t="s">
        <v>3071</v>
      </c>
      <c r="M243" s="94" t="s">
        <v>3371</v>
      </c>
      <c r="N243" s="95" t="s">
        <v>2793</v>
      </c>
      <c r="O243" s="132">
        <v>10</v>
      </c>
      <c r="P243" s="111">
        <f>184/13*O243</f>
        <v>141.53846153846155</v>
      </c>
      <c r="Q243" s="122" t="s">
        <v>16</v>
      </c>
      <c r="R243" s="124">
        <v>4.0999999999999996</v>
      </c>
      <c r="S243" s="95"/>
      <c r="T243" s="98"/>
      <c r="U243" s="125">
        <f t="shared" si="51"/>
        <v>580.30769230769226</v>
      </c>
      <c r="V243" s="113">
        <f t="shared" si="43"/>
        <v>3.6269230769230765</v>
      </c>
      <c r="W243" s="114">
        <f t="shared" si="44"/>
        <v>0.51813186813186807</v>
      </c>
      <c r="X243" s="95"/>
      <c r="Y243" s="95"/>
      <c r="Z243" s="102"/>
      <c r="AA243" s="103">
        <v>45710</v>
      </c>
      <c r="AB243" s="103">
        <v>45729</v>
      </c>
      <c r="AC243" s="103"/>
      <c r="AD243" s="102">
        <f>IF(ISNA(VLOOKUP(D243,亚马逊入库配置费!B:F,5,0)),0,VLOOKUP(D243,亚马逊入库配置费!B:F,5,0))</f>
        <v>0.49</v>
      </c>
      <c r="AE243" s="102">
        <f t="shared" si="39"/>
        <v>78.400000000000006</v>
      </c>
      <c r="AF243" s="103">
        <v>45741</v>
      </c>
      <c r="AG243" s="91">
        <f t="shared" si="40"/>
        <v>31</v>
      </c>
      <c r="AH243" s="103">
        <v>45741</v>
      </c>
      <c r="AI243" s="103">
        <v>45769</v>
      </c>
      <c r="AJ243" s="96">
        <v>160</v>
      </c>
      <c r="AK243" s="91">
        <f t="shared" si="41"/>
        <v>28</v>
      </c>
      <c r="AL243" s="96">
        <f t="shared" si="42"/>
        <v>59</v>
      </c>
      <c r="AM243" s="92"/>
      <c r="AN243" s="91"/>
      <c r="AO243" s="91"/>
    </row>
    <row r="244" spans="1:41" ht="14.5" x14ac:dyDescent="0.25">
      <c r="A244" s="92" t="s">
        <v>550</v>
      </c>
      <c r="B244" s="91"/>
      <c r="C244" s="119" t="s">
        <v>538</v>
      </c>
      <c r="D244" s="120" t="s">
        <v>548</v>
      </c>
      <c r="E244" s="119" t="s">
        <v>287</v>
      </c>
      <c r="F244" s="119" t="s">
        <v>0</v>
      </c>
      <c r="G244" s="121" t="s">
        <v>551</v>
      </c>
      <c r="H244" s="119">
        <v>48</v>
      </c>
      <c r="I244" s="119" t="s">
        <v>89</v>
      </c>
      <c r="J244" s="119" t="s">
        <v>8</v>
      </c>
      <c r="K244" s="120" t="s">
        <v>44</v>
      </c>
      <c r="L244" s="93" t="s">
        <v>3072</v>
      </c>
      <c r="M244" s="94" t="s">
        <v>3372</v>
      </c>
      <c r="N244" s="95" t="s">
        <v>2793</v>
      </c>
      <c r="O244" s="132">
        <v>3</v>
      </c>
      <c r="P244" s="111">
        <f>184/13*O244</f>
        <v>42.46153846153846</v>
      </c>
      <c r="Q244" s="122" t="s">
        <v>16</v>
      </c>
      <c r="R244" s="124">
        <v>4.0999999999999996</v>
      </c>
      <c r="S244" s="95"/>
      <c r="T244" s="98"/>
      <c r="U244" s="125">
        <f t="shared" si="51"/>
        <v>174.09230769230766</v>
      </c>
      <c r="V244" s="113">
        <f t="shared" si="43"/>
        <v>3.626923076923076</v>
      </c>
      <c r="W244" s="114">
        <f t="shared" si="44"/>
        <v>0.51813186813186796</v>
      </c>
      <c r="X244" s="95"/>
      <c r="Y244" s="95"/>
      <c r="Z244" s="102"/>
      <c r="AA244" s="103">
        <v>45710</v>
      </c>
      <c r="AB244" s="103">
        <v>45729</v>
      </c>
      <c r="AC244" s="103"/>
      <c r="AD244" s="102">
        <f>IF(ISNA(VLOOKUP(D244,亚马逊入库配置费!B:F,5,0)),0,VLOOKUP(D244,亚马逊入库配置费!B:F,5,0))</f>
        <v>0.49</v>
      </c>
      <c r="AE244" s="102">
        <f t="shared" si="39"/>
        <v>23.52</v>
      </c>
      <c r="AF244" s="103">
        <v>45741</v>
      </c>
      <c r="AG244" s="91">
        <f t="shared" si="40"/>
        <v>31</v>
      </c>
      <c r="AH244" s="103">
        <v>45741</v>
      </c>
      <c r="AI244" s="103">
        <v>45769</v>
      </c>
      <c r="AJ244" s="96">
        <v>48</v>
      </c>
      <c r="AK244" s="91">
        <f t="shared" si="41"/>
        <v>28</v>
      </c>
      <c r="AL244" s="96">
        <f t="shared" si="42"/>
        <v>59</v>
      </c>
      <c r="AM244" s="92"/>
      <c r="AN244" s="91"/>
      <c r="AO244" s="91"/>
    </row>
    <row r="245" spans="1:41" ht="14.5" x14ac:dyDescent="0.25">
      <c r="A245" s="92" t="s">
        <v>552</v>
      </c>
      <c r="B245" s="91"/>
      <c r="C245" s="119" t="s">
        <v>553</v>
      </c>
      <c r="D245" s="120" t="s">
        <v>554</v>
      </c>
      <c r="E245" s="119" t="s">
        <v>278</v>
      </c>
      <c r="F245" s="119" t="s">
        <v>87</v>
      </c>
      <c r="G245" s="121" t="s">
        <v>284</v>
      </c>
      <c r="H245" s="119">
        <v>112</v>
      </c>
      <c r="I245" s="119" t="s">
        <v>89</v>
      </c>
      <c r="J245" s="119" t="s">
        <v>90</v>
      </c>
      <c r="K245" s="120" t="s">
        <v>431</v>
      </c>
      <c r="L245" s="93" t="s">
        <v>3039</v>
      </c>
      <c r="M245" s="94" t="s">
        <v>3323</v>
      </c>
      <c r="N245" s="95" t="s">
        <v>2915</v>
      </c>
      <c r="O245" s="132">
        <v>7</v>
      </c>
      <c r="P245" s="111">
        <f>192/13*O245</f>
        <v>103.38461538461539</v>
      </c>
      <c r="Q245" s="122" t="s">
        <v>16</v>
      </c>
      <c r="R245" s="124">
        <v>6.5</v>
      </c>
      <c r="S245" s="95"/>
      <c r="T245" s="98"/>
      <c r="U245" s="125">
        <f t="shared" ref="U245:U251" si="52">R245*P245+350/125*O245</f>
        <v>691.6</v>
      </c>
      <c r="V245" s="113">
        <f t="shared" si="43"/>
        <v>6.1749999999999998</v>
      </c>
      <c r="W245" s="114">
        <f t="shared" si="44"/>
        <v>0.88214285714285712</v>
      </c>
      <c r="X245" s="95"/>
      <c r="Y245" s="95"/>
      <c r="Z245" s="102"/>
      <c r="AA245" s="103">
        <v>45710</v>
      </c>
      <c r="AB245" s="103">
        <v>45758</v>
      </c>
      <c r="AC245" s="103"/>
      <c r="AD245" s="102">
        <f>IF(ISNA(VLOOKUP(D245,亚马逊入库配置费!B:F,5,0)),0,VLOOKUP(D245,亚马逊入库配置费!B:F,5,0))</f>
        <v>0</v>
      </c>
      <c r="AE245" s="102">
        <f t="shared" si="39"/>
        <v>0</v>
      </c>
      <c r="AF245" s="103">
        <v>45761</v>
      </c>
      <c r="AG245" s="91">
        <f t="shared" si="40"/>
        <v>51</v>
      </c>
      <c r="AH245" s="103">
        <v>45761</v>
      </c>
      <c r="AI245" s="103">
        <v>45777</v>
      </c>
      <c r="AJ245" s="96">
        <v>112</v>
      </c>
      <c r="AK245" s="91">
        <f t="shared" si="41"/>
        <v>16</v>
      </c>
      <c r="AL245" s="96">
        <f t="shared" si="42"/>
        <v>67</v>
      </c>
      <c r="AM245" s="92"/>
      <c r="AN245" s="91"/>
      <c r="AO245" s="91"/>
    </row>
    <row r="246" spans="1:41" ht="14.5" x14ac:dyDescent="0.25">
      <c r="A246" s="92" t="s">
        <v>555</v>
      </c>
      <c r="B246" s="91"/>
      <c r="C246" s="119" t="s">
        <v>553</v>
      </c>
      <c r="D246" s="120" t="s">
        <v>554</v>
      </c>
      <c r="E246" s="119" t="s">
        <v>278</v>
      </c>
      <c r="F246" s="119" t="s">
        <v>87</v>
      </c>
      <c r="G246" s="121" t="s">
        <v>556</v>
      </c>
      <c r="H246" s="119">
        <v>96</v>
      </c>
      <c r="I246" s="119" t="s">
        <v>89</v>
      </c>
      <c r="J246" s="119" t="s">
        <v>90</v>
      </c>
      <c r="K246" s="120" t="s">
        <v>431</v>
      </c>
      <c r="L246" s="93" t="s">
        <v>3073</v>
      </c>
      <c r="M246" s="94" t="s">
        <v>3373</v>
      </c>
      <c r="N246" s="95" t="s">
        <v>2915</v>
      </c>
      <c r="O246" s="132">
        <v>6</v>
      </c>
      <c r="P246" s="111">
        <f>192/13*O246</f>
        <v>88.615384615384613</v>
      </c>
      <c r="Q246" s="122" t="s">
        <v>16</v>
      </c>
      <c r="R246" s="124">
        <v>6.5</v>
      </c>
      <c r="S246" s="95"/>
      <c r="T246" s="98"/>
      <c r="U246" s="125">
        <f t="shared" si="52"/>
        <v>592.79999999999995</v>
      </c>
      <c r="V246" s="113">
        <f t="shared" si="43"/>
        <v>6.1749999999999998</v>
      </c>
      <c r="W246" s="114">
        <f t="shared" si="44"/>
        <v>0.88214285714285712</v>
      </c>
      <c r="X246" s="95"/>
      <c r="Y246" s="95"/>
      <c r="Z246" s="102"/>
      <c r="AA246" s="103">
        <v>45710</v>
      </c>
      <c r="AB246" s="103">
        <v>45758</v>
      </c>
      <c r="AC246" s="103"/>
      <c r="AD246" s="102">
        <f>IF(ISNA(VLOOKUP(D246,亚马逊入库配置费!B:F,5,0)),0,VLOOKUP(D246,亚马逊入库配置费!B:F,5,0))</f>
        <v>0</v>
      </c>
      <c r="AE246" s="102">
        <f t="shared" si="39"/>
        <v>0</v>
      </c>
      <c r="AF246" s="103">
        <v>45761</v>
      </c>
      <c r="AG246" s="91">
        <f t="shared" si="40"/>
        <v>51</v>
      </c>
      <c r="AH246" s="103">
        <v>45761</v>
      </c>
      <c r="AI246" s="103">
        <v>45777</v>
      </c>
      <c r="AJ246" s="96">
        <v>96</v>
      </c>
      <c r="AK246" s="91">
        <f t="shared" si="41"/>
        <v>16</v>
      </c>
      <c r="AL246" s="96">
        <f t="shared" si="42"/>
        <v>67</v>
      </c>
      <c r="AM246" s="92"/>
      <c r="AN246" s="91"/>
      <c r="AO246" s="91"/>
    </row>
    <row r="247" spans="1:41" ht="14.5" x14ac:dyDescent="0.25">
      <c r="A247" s="92" t="s">
        <v>557</v>
      </c>
      <c r="B247" s="91"/>
      <c r="C247" s="119" t="s">
        <v>553</v>
      </c>
      <c r="D247" s="120" t="s">
        <v>558</v>
      </c>
      <c r="E247" s="119" t="s">
        <v>295</v>
      </c>
      <c r="F247" s="119" t="s">
        <v>87</v>
      </c>
      <c r="G247" s="121" t="s">
        <v>298</v>
      </c>
      <c r="H247" s="119">
        <v>72</v>
      </c>
      <c r="I247" s="119" t="s">
        <v>89</v>
      </c>
      <c r="J247" s="119" t="s">
        <v>90</v>
      </c>
      <c r="K247" s="120" t="s">
        <v>280</v>
      </c>
      <c r="L247" s="93" t="s">
        <v>2689</v>
      </c>
      <c r="M247" s="94" t="s">
        <v>3327</v>
      </c>
      <c r="N247" s="95" t="s">
        <v>2919</v>
      </c>
      <c r="O247" s="132">
        <v>6</v>
      </c>
      <c r="P247" s="111">
        <f>1538/112*O247</f>
        <v>82.392857142857139</v>
      </c>
      <c r="Q247" s="122" t="s">
        <v>16</v>
      </c>
      <c r="R247" s="124">
        <v>5.9</v>
      </c>
      <c r="S247" s="95"/>
      <c r="T247" s="98"/>
      <c r="U247" s="125">
        <f t="shared" si="52"/>
        <v>502.91785714285714</v>
      </c>
      <c r="V247" s="113">
        <f t="shared" si="43"/>
        <v>6.9849702380952383</v>
      </c>
      <c r="W247" s="114">
        <f t="shared" si="44"/>
        <v>0.99785289115646258</v>
      </c>
      <c r="X247" s="95"/>
      <c r="Y247" s="95"/>
      <c r="Z247" s="102"/>
      <c r="AA247" s="103">
        <v>45710</v>
      </c>
      <c r="AB247" s="103">
        <v>45758</v>
      </c>
      <c r="AC247" s="103"/>
      <c r="AD247" s="102">
        <f>IF(ISNA(VLOOKUP(D247,亚马逊入库配置费!B:F,5,0)),0,VLOOKUP(D247,亚马逊入库配置费!B:F,5,0))</f>
        <v>0</v>
      </c>
      <c r="AE247" s="102">
        <f t="shared" si="39"/>
        <v>0</v>
      </c>
      <c r="AF247" s="103">
        <v>45761</v>
      </c>
      <c r="AG247" s="91">
        <f t="shared" si="40"/>
        <v>51</v>
      </c>
      <c r="AH247" s="103">
        <v>45761</v>
      </c>
      <c r="AI247" s="103">
        <v>45772</v>
      </c>
      <c r="AJ247" s="96">
        <v>72</v>
      </c>
      <c r="AK247" s="91">
        <f t="shared" si="41"/>
        <v>11</v>
      </c>
      <c r="AL247" s="96">
        <f t="shared" si="42"/>
        <v>62</v>
      </c>
      <c r="AM247" s="92"/>
      <c r="AN247" s="91"/>
      <c r="AO247" s="91"/>
    </row>
    <row r="248" spans="1:41" ht="14.5" x14ac:dyDescent="0.25">
      <c r="A248" s="92" t="s">
        <v>559</v>
      </c>
      <c r="B248" s="103"/>
      <c r="C248" s="119" t="s">
        <v>553</v>
      </c>
      <c r="D248" s="120" t="s">
        <v>558</v>
      </c>
      <c r="E248" s="119" t="s">
        <v>295</v>
      </c>
      <c r="F248" s="119" t="s">
        <v>87</v>
      </c>
      <c r="G248" s="121" t="s">
        <v>300</v>
      </c>
      <c r="H248" s="119">
        <v>600</v>
      </c>
      <c r="I248" s="119" t="s">
        <v>89</v>
      </c>
      <c r="J248" s="119" t="s">
        <v>90</v>
      </c>
      <c r="K248" s="120" t="s">
        <v>280</v>
      </c>
      <c r="L248" s="93" t="s">
        <v>2679</v>
      </c>
      <c r="M248" s="94" t="s">
        <v>3328</v>
      </c>
      <c r="N248" s="95" t="s">
        <v>2917</v>
      </c>
      <c r="O248" s="132">
        <v>50</v>
      </c>
      <c r="P248" s="111">
        <f>1538/112*O248</f>
        <v>686.60714285714289</v>
      </c>
      <c r="Q248" s="122" t="s">
        <v>16</v>
      </c>
      <c r="R248" s="124">
        <v>5.9</v>
      </c>
      <c r="S248" s="95"/>
      <c r="T248" s="98"/>
      <c r="U248" s="125">
        <f t="shared" si="52"/>
        <v>4190.9821428571431</v>
      </c>
      <c r="V248" s="113">
        <f t="shared" si="43"/>
        <v>6.9849702380952383</v>
      </c>
      <c r="W248" s="114">
        <f t="shared" si="44"/>
        <v>0.99785289115646258</v>
      </c>
      <c r="X248" s="95"/>
      <c r="Y248" s="95"/>
      <c r="Z248" s="102"/>
      <c r="AA248" s="103">
        <v>45710</v>
      </c>
      <c r="AB248" s="103">
        <v>45758</v>
      </c>
      <c r="AC248" s="103"/>
      <c r="AD248" s="102">
        <f>IF(ISNA(VLOOKUP(D248,亚马逊入库配置费!B:F,5,0)),0,VLOOKUP(D248,亚马逊入库配置费!B:F,5,0))</f>
        <v>0</v>
      </c>
      <c r="AE248" s="102">
        <f t="shared" si="39"/>
        <v>0</v>
      </c>
      <c r="AF248" s="103">
        <v>45761</v>
      </c>
      <c r="AG248" s="91">
        <f t="shared" si="40"/>
        <v>51</v>
      </c>
      <c r="AH248" s="103">
        <v>45761</v>
      </c>
      <c r="AI248" s="103">
        <v>45772</v>
      </c>
      <c r="AJ248" s="96">
        <v>600</v>
      </c>
      <c r="AK248" s="91">
        <f t="shared" si="41"/>
        <v>11</v>
      </c>
      <c r="AL248" s="96">
        <f t="shared" si="42"/>
        <v>62</v>
      </c>
      <c r="AM248" s="92"/>
      <c r="AN248" s="91"/>
      <c r="AO248" s="91"/>
    </row>
    <row r="249" spans="1:41" ht="14.5" x14ac:dyDescent="0.25">
      <c r="A249" s="92" t="s">
        <v>560</v>
      </c>
      <c r="B249" s="91"/>
      <c r="C249" s="119" t="s">
        <v>553</v>
      </c>
      <c r="D249" s="120" t="s">
        <v>558</v>
      </c>
      <c r="E249" s="119" t="s">
        <v>295</v>
      </c>
      <c r="F249" s="119" t="s">
        <v>87</v>
      </c>
      <c r="G249" s="121" t="s">
        <v>561</v>
      </c>
      <c r="H249" s="119">
        <v>168</v>
      </c>
      <c r="I249" s="119" t="s">
        <v>89</v>
      </c>
      <c r="J249" s="119" t="s">
        <v>90</v>
      </c>
      <c r="K249" s="120" t="s">
        <v>280</v>
      </c>
      <c r="L249" s="93" t="s">
        <v>2683</v>
      </c>
      <c r="M249" s="94" t="s">
        <v>3374</v>
      </c>
      <c r="N249" s="95" t="s">
        <v>2917</v>
      </c>
      <c r="O249" s="132">
        <v>14</v>
      </c>
      <c r="P249" s="111">
        <f>1538/112*O249</f>
        <v>192.25</v>
      </c>
      <c r="Q249" s="122" t="s">
        <v>16</v>
      </c>
      <c r="R249" s="124">
        <v>5.9</v>
      </c>
      <c r="S249" s="95"/>
      <c r="T249" s="98"/>
      <c r="U249" s="125">
        <f t="shared" si="52"/>
        <v>1173.4750000000001</v>
      </c>
      <c r="V249" s="113">
        <f t="shared" si="43"/>
        <v>6.9849702380952392</v>
      </c>
      <c r="W249" s="114">
        <f t="shared" si="44"/>
        <v>0.9978528911564627</v>
      </c>
      <c r="X249" s="95"/>
      <c r="Y249" s="95"/>
      <c r="Z249" s="102"/>
      <c r="AA249" s="103">
        <v>45710</v>
      </c>
      <c r="AB249" s="103">
        <v>45758</v>
      </c>
      <c r="AC249" s="103"/>
      <c r="AD249" s="102">
        <f>IF(ISNA(VLOOKUP(D249,亚马逊入库配置费!B:F,5,0)),0,VLOOKUP(D249,亚马逊入库配置费!B:F,5,0))</f>
        <v>0</v>
      </c>
      <c r="AE249" s="102">
        <f t="shared" si="39"/>
        <v>0</v>
      </c>
      <c r="AF249" s="103">
        <v>45761</v>
      </c>
      <c r="AG249" s="91">
        <f t="shared" si="40"/>
        <v>51</v>
      </c>
      <c r="AH249" s="103">
        <v>45761</v>
      </c>
      <c r="AI249" s="103">
        <v>45772</v>
      </c>
      <c r="AJ249" s="96">
        <v>168</v>
      </c>
      <c r="AK249" s="91">
        <f t="shared" si="41"/>
        <v>11</v>
      </c>
      <c r="AL249" s="96">
        <f t="shared" si="42"/>
        <v>62</v>
      </c>
      <c r="AM249" s="92"/>
      <c r="AN249" s="91"/>
      <c r="AO249" s="91"/>
    </row>
    <row r="250" spans="1:41" ht="14.5" x14ac:dyDescent="0.25">
      <c r="A250" s="92" t="s">
        <v>562</v>
      </c>
      <c r="B250" s="91"/>
      <c r="C250" s="119" t="s">
        <v>553</v>
      </c>
      <c r="D250" s="120" t="s">
        <v>558</v>
      </c>
      <c r="E250" s="119" t="s">
        <v>295</v>
      </c>
      <c r="F250" s="119" t="s">
        <v>87</v>
      </c>
      <c r="G250" s="121" t="s">
        <v>296</v>
      </c>
      <c r="H250" s="119">
        <v>216</v>
      </c>
      <c r="I250" s="119" t="s">
        <v>89</v>
      </c>
      <c r="J250" s="119" t="s">
        <v>90</v>
      </c>
      <c r="K250" s="120" t="s">
        <v>280</v>
      </c>
      <c r="L250" s="93" t="s">
        <v>2684</v>
      </c>
      <c r="M250" s="94" t="s">
        <v>3326</v>
      </c>
      <c r="N250" s="95" t="s">
        <v>2917</v>
      </c>
      <c r="O250" s="132">
        <v>18</v>
      </c>
      <c r="P250" s="111">
        <f>1538/112*O250</f>
        <v>247.17857142857144</v>
      </c>
      <c r="Q250" s="122" t="s">
        <v>16</v>
      </c>
      <c r="R250" s="124">
        <v>5.9</v>
      </c>
      <c r="S250" s="95"/>
      <c r="T250" s="98"/>
      <c r="U250" s="125">
        <f t="shared" si="52"/>
        <v>1508.7535714285716</v>
      </c>
      <c r="V250" s="113">
        <f t="shared" si="43"/>
        <v>6.9849702380952392</v>
      </c>
      <c r="W250" s="114">
        <f t="shared" si="44"/>
        <v>0.9978528911564627</v>
      </c>
      <c r="X250" s="95"/>
      <c r="Y250" s="95"/>
      <c r="Z250" s="102"/>
      <c r="AA250" s="103">
        <v>45710</v>
      </c>
      <c r="AB250" s="103">
        <v>45758</v>
      </c>
      <c r="AC250" s="103"/>
      <c r="AD250" s="102">
        <f>IF(ISNA(VLOOKUP(D250,亚马逊入库配置费!B:F,5,0)),0,VLOOKUP(D250,亚马逊入库配置费!B:F,5,0))</f>
        <v>0</v>
      </c>
      <c r="AE250" s="102">
        <f t="shared" si="39"/>
        <v>0</v>
      </c>
      <c r="AF250" s="103">
        <v>45761</v>
      </c>
      <c r="AG250" s="91">
        <f t="shared" si="40"/>
        <v>51</v>
      </c>
      <c r="AH250" s="103">
        <v>45761</v>
      </c>
      <c r="AI250" s="103">
        <v>45772</v>
      </c>
      <c r="AJ250" s="96">
        <v>216</v>
      </c>
      <c r="AK250" s="91">
        <f t="shared" si="41"/>
        <v>11</v>
      </c>
      <c r="AL250" s="96">
        <f t="shared" si="42"/>
        <v>62</v>
      </c>
      <c r="AM250" s="92"/>
      <c r="AN250" s="91"/>
      <c r="AO250" s="91"/>
    </row>
    <row r="251" spans="1:41" ht="14.5" x14ac:dyDescent="0.25">
      <c r="A251" s="92" t="s">
        <v>563</v>
      </c>
      <c r="B251" s="91"/>
      <c r="C251" s="119" t="s">
        <v>553</v>
      </c>
      <c r="D251" s="120" t="s">
        <v>558</v>
      </c>
      <c r="E251" s="119" t="s">
        <v>295</v>
      </c>
      <c r="F251" s="119" t="s">
        <v>87</v>
      </c>
      <c r="G251" s="121" t="s">
        <v>564</v>
      </c>
      <c r="H251" s="119">
        <v>288</v>
      </c>
      <c r="I251" s="119" t="s">
        <v>89</v>
      </c>
      <c r="J251" s="119" t="s">
        <v>90</v>
      </c>
      <c r="K251" s="120" t="s">
        <v>280</v>
      </c>
      <c r="L251" s="93" t="s">
        <v>3074</v>
      </c>
      <c r="M251" s="94" t="s">
        <v>3375</v>
      </c>
      <c r="N251" s="95" t="s">
        <v>2917</v>
      </c>
      <c r="O251" s="132">
        <v>24</v>
      </c>
      <c r="P251" s="111">
        <f>1538/112*O251</f>
        <v>329.57142857142856</v>
      </c>
      <c r="Q251" s="122" t="s">
        <v>16</v>
      </c>
      <c r="R251" s="124">
        <v>5.9</v>
      </c>
      <c r="S251" s="95"/>
      <c r="T251" s="98"/>
      <c r="U251" s="125">
        <f t="shared" si="52"/>
        <v>2011.6714285714286</v>
      </c>
      <c r="V251" s="113">
        <f t="shared" si="43"/>
        <v>6.9849702380952383</v>
      </c>
      <c r="W251" s="114">
        <f t="shared" si="44"/>
        <v>0.99785289115646258</v>
      </c>
      <c r="X251" s="95"/>
      <c r="Y251" s="95"/>
      <c r="Z251" s="102"/>
      <c r="AA251" s="103">
        <v>45710</v>
      </c>
      <c r="AB251" s="103">
        <v>45758</v>
      </c>
      <c r="AC251" s="103"/>
      <c r="AD251" s="102">
        <f>IF(ISNA(VLOOKUP(D251,亚马逊入库配置费!B:F,5,0)),0,VLOOKUP(D251,亚马逊入库配置费!B:F,5,0))</f>
        <v>0</v>
      </c>
      <c r="AE251" s="102">
        <f t="shared" si="39"/>
        <v>0</v>
      </c>
      <c r="AF251" s="103">
        <v>45761</v>
      </c>
      <c r="AG251" s="91">
        <f t="shared" si="40"/>
        <v>51</v>
      </c>
      <c r="AH251" s="103">
        <v>45761</v>
      </c>
      <c r="AI251" s="103">
        <v>45772</v>
      </c>
      <c r="AJ251" s="96">
        <v>288</v>
      </c>
      <c r="AK251" s="91">
        <f t="shared" si="41"/>
        <v>11</v>
      </c>
      <c r="AL251" s="96">
        <f t="shared" si="42"/>
        <v>62</v>
      </c>
      <c r="AM251" s="92"/>
      <c r="AN251" s="91"/>
      <c r="AO251" s="91"/>
    </row>
    <row r="252" spans="1:41" ht="14.5" x14ac:dyDescent="0.25">
      <c r="A252" s="92" t="s">
        <v>565</v>
      </c>
      <c r="B252" s="91"/>
      <c r="C252" s="119" t="s">
        <v>566</v>
      </c>
      <c r="D252" s="120" t="s">
        <v>567</v>
      </c>
      <c r="E252" s="119" t="s">
        <v>115</v>
      </c>
      <c r="F252" s="119" t="s">
        <v>0</v>
      </c>
      <c r="G252" s="121" t="s">
        <v>116</v>
      </c>
      <c r="H252" s="119">
        <v>16</v>
      </c>
      <c r="I252" s="119" t="s">
        <v>117</v>
      </c>
      <c r="J252" s="119" t="s">
        <v>8</v>
      </c>
      <c r="K252" s="120" t="s">
        <v>31</v>
      </c>
      <c r="L252" s="93" t="s">
        <v>3017</v>
      </c>
      <c r="M252" s="94" t="s">
        <v>3292</v>
      </c>
      <c r="N252" s="95" t="s">
        <v>2831</v>
      </c>
      <c r="O252" s="132">
        <v>4</v>
      </c>
      <c r="P252" s="111">
        <f>340/20*O252</f>
        <v>68</v>
      </c>
      <c r="Q252" s="122" t="s">
        <v>16</v>
      </c>
      <c r="R252" s="124">
        <v>7</v>
      </c>
      <c r="S252" s="95"/>
      <c r="T252" s="98"/>
      <c r="U252" s="125">
        <f>R252*P252+350/30*O252</f>
        <v>522.66666666666663</v>
      </c>
      <c r="V252" s="113">
        <f t="shared" si="43"/>
        <v>32.666666666666664</v>
      </c>
      <c r="W252" s="114">
        <f t="shared" si="44"/>
        <v>4.6666666666666661</v>
      </c>
      <c r="X252" s="95"/>
      <c r="Y252" s="95"/>
      <c r="Z252" s="102"/>
      <c r="AA252" s="103">
        <v>45710</v>
      </c>
      <c r="AB252" s="103">
        <v>45729</v>
      </c>
      <c r="AC252" s="103"/>
      <c r="AD252" s="102">
        <f>IF(ISNA(VLOOKUP(D252,亚马逊入库配置费!B:F,5,0)),0,VLOOKUP(D252,亚马逊入库配置费!B:F,5,0))</f>
        <v>0</v>
      </c>
      <c r="AE252" s="102">
        <f t="shared" si="39"/>
        <v>0</v>
      </c>
      <c r="AF252" s="103">
        <v>45766</v>
      </c>
      <c r="AG252" s="91">
        <f t="shared" si="40"/>
        <v>56</v>
      </c>
      <c r="AH252" s="103">
        <v>45766</v>
      </c>
      <c r="AI252" s="103">
        <v>45767</v>
      </c>
      <c r="AJ252" s="96">
        <v>16</v>
      </c>
      <c r="AK252" s="91">
        <f t="shared" si="41"/>
        <v>1</v>
      </c>
      <c r="AL252" s="96">
        <f t="shared" si="42"/>
        <v>57</v>
      </c>
      <c r="AM252" s="92"/>
      <c r="AN252" s="91"/>
      <c r="AO252" s="91"/>
    </row>
    <row r="253" spans="1:41" ht="14.5" x14ac:dyDescent="0.25">
      <c r="A253" s="92" t="s">
        <v>568</v>
      </c>
      <c r="B253" s="91"/>
      <c r="C253" s="119" t="s">
        <v>566</v>
      </c>
      <c r="D253" s="120" t="s">
        <v>567</v>
      </c>
      <c r="E253" s="119" t="s">
        <v>115</v>
      </c>
      <c r="F253" s="119" t="s">
        <v>0</v>
      </c>
      <c r="G253" s="121" t="s">
        <v>119</v>
      </c>
      <c r="H253" s="119">
        <v>64</v>
      </c>
      <c r="I253" s="119" t="s">
        <v>117</v>
      </c>
      <c r="J253" s="119" t="s">
        <v>8</v>
      </c>
      <c r="K253" s="120" t="s">
        <v>31</v>
      </c>
      <c r="L253" s="93" t="s">
        <v>3018</v>
      </c>
      <c r="M253" s="94" t="s">
        <v>3293</v>
      </c>
      <c r="N253" s="95" t="s">
        <v>2831</v>
      </c>
      <c r="O253" s="132">
        <v>16</v>
      </c>
      <c r="P253" s="111">
        <f>340/20*O253</f>
        <v>272</v>
      </c>
      <c r="Q253" s="122" t="s">
        <v>16</v>
      </c>
      <c r="R253" s="124">
        <v>7</v>
      </c>
      <c r="S253" s="95"/>
      <c r="T253" s="98"/>
      <c r="U253" s="125">
        <f>R253*P253+350/30*O253</f>
        <v>2090.6666666666665</v>
      </c>
      <c r="V253" s="113">
        <f t="shared" si="43"/>
        <v>32.666666666666664</v>
      </c>
      <c r="W253" s="114">
        <f t="shared" si="44"/>
        <v>4.6666666666666661</v>
      </c>
      <c r="X253" s="95"/>
      <c r="Y253" s="95"/>
      <c r="Z253" s="102"/>
      <c r="AA253" s="103">
        <v>45710</v>
      </c>
      <c r="AB253" s="103">
        <v>45729</v>
      </c>
      <c r="AC253" s="103"/>
      <c r="AD253" s="102">
        <f>IF(ISNA(VLOOKUP(D253,亚马逊入库配置费!B:F,5,0)),0,VLOOKUP(D253,亚马逊入库配置费!B:F,5,0))</f>
        <v>0</v>
      </c>
      <c r="AE253" s="102">
        <f t="shared" si="39"/>
        <v>0</v>
      </c>
      <c r="AF253" s="103">
        <v>45766</v>
      </c>
      <c r="AG253" s="91">
        <f t="shared" si="40"/>
        <v>56</v>
      </c>
      <c r="AH253" s="103">
        <v>45766</v>
      </c>
      <c r="AI253" s="103">
        <v>45767</v>
      </c>
      <c r="AJ253" s="96">
        <v>64</v>
      </c>
      <c r="AK253" s="91">
        <f t="shared" si="41"/>
        <v>1</v>
      </c>
      <c r="AL253" s="96">
        <f t="shared" si="42"/>
        <v>57</v>
      </c>
      <c r="AM253" s="92"/>
      <c r="AN253" s="91"/>
      <c r="AO253" s="91"/>
    </row>
    <row r="254" spans="1:41" ht="14.5" x14ac:dyDescent="0.25">
      <c r="A254" s="92" t="s">
        <v>569</v>
      </c>
      <c r="B254" s="91"/>
      <c r="C254" s="119" t="s">
        <v>570</v>
      </c>
      <c r="D254" s="120" t="s">
        <v>571</v>
      </c>
      <c r="E254" s="119" t="s">
        <v>115</v>
      </c>
      <c r="F254" s="119" t="s">
        <v>0</v>
      </c>
      <c r="G254" s="121" t="s">
        <v>116</v>
      </c>
      <c r="H254" s="119">
        <v>20</v>
      </c>
      <c r="I254" s="119" t="s">
        <v>89</v>
      </c>
      <c r="J254" s="119" t="s">
        <v>2</v>
      </c>
      <c r="K254" s="120" t="s">
        <v>49</v>
      </c>
      <c r="L254" s="93" t="s">
        <v>3017</v>
      </c>
      <c r="M254" s="94" t="s">
        <v>3292</v>
      </c>
      <c r="N254" s="95" t="s">
        <v>2831</v>
      </c>
      <c r="O254" s="132">
        <v>5</v>
      </c>
      <c r="P254" s="111">
        <v>83.913043478260903</v>
      </c>
      <c r="Q254" s="122" t="s">
        <v>16</v>
      </c>
      <c r="R254" s="124">
        <v>6.6</v>
      </c>
      <c r="S254" s="95"/>
      <c r="T254" s="98"/>
      <c r="U254" s="125">
        <f>R254*P254+350/34*O254</f>
        <v>605.29667519181612</v>
      </c>
      <c r="V254" s="113">
        <f t="shared" si="43"/>
        <v>30.264833759590807</v>
      </c>
      <c r="W254" s="114">
        <f t="shared" si="44"/>
        <v>4.3235476799415435</v>
      </c>
      <c r="X254" s="95"/>
      <c r="Y254" s="95"/>
      <c r="Z254" s="102"/>
      <c r="AA254" s="103">
        <v>45710</v>
      </c>
      <c r="AB254" s="103">
        <v>45760</v>
      </c>
      <c r="AC254" s="103"/>
      <c r="AD254" s="102">
        <f>IF(ISNA(VLOOKUP(D254,亚马逊入库配置费!B:F,5,0)),0,VLOOKUP(D254,亚马逊入库配置费!B:F,5,0))</f>
        <v>0</v>
      </c>
      <c r="AE254" s="102">
        <f t="shared" si="39"/>
        <v>0</v>
      </c>
      <c r="AF254" s="103">
        <v>45759</v>
      </c>
      <c r="AG254" s="91">
        <f t="shared" si="40"/>
        <v>49</v>
      </c>
      <c r="AH254" s="103">
        <v>45759</v>
      </c>
      <c r="AI254" s="103">
        <v>45762</v>
      </c>
      <c r="AJ254" s="96">
        <v>20</v>
      </c>
      <c r="AK254" s="91">
        <f t="shared" si="41"/>
        <v>3</v>
      </c>
      <c r="AL254" s="96"/>
      <c r="AM254" s="92"/>
      <c r="AN254" s="91"/>
      <c r="AO254" s="91"/>
    </row>
    <row r="255" spans="1:41" ht="14.5" x14ac:dyDescent="0.25">
      <c r="A255" s="92" t="s">
        <v>572</v>
      </c>
      <c r="B255" s="91"/>
      <c r="C255" s="119" t="s">
        <v>570</v>
      </c>
      <c r="D255" s="120" t="s">
        <v>571</v>
      </c>
      <c r="E255" s="119" t="s">
        <v>115</v>
      </c>
      <c r="F255" s="119" t="s">
        <v>0</v>
      </c>
      <c r="G255" s="121" t="s">
        <v>119</v>
      </c>
      <c r="H255" s="119">
        <v>72</v>
      </c>
      <c r="I255" s="119" t="s">
        <v>89</v>
      </c>
      <c r="J255" s="119" t="s">
        <v>2</v>
      </c>
      <c r="K255" s="120" t="s">
        <v>49</v>
      </c>
      <c r="L255" s="93" t="s">
        <v>3018</v>
      </c>
      <c r="M255" s="94" t="s">
        <v>3293</v>
      </c>
      <c r="N255" s="95" t="s">
        <v>2831</v>
      </c>
      <c r="O255" s="132">
        <v>18</v>
      </c>
      <c r="P255" s="111">
        <v>302.08695652173901</v>
      </c>
      <c r="Q255" s="122" t="s">
        <v>16</v>
      </c>
      <c r="R255" s="124">
        <v>6.6</v>
      </c>
      <c r="S255" s="95"/>
      <c r="T255" s="98"/>
      <c r="U255" s="125">
        <f>R255*P255+350/34*O255</f>
        <v>2179.0680306905365</v>
      </c>
      <c r="V255" s="113">
        <f t="shared" si="43"/>
        <v>30.264833759590786</v>
      </c>
      <c r="W255" s="114">
        <f t="shared" si="44"/>
        <v>4.3235476799415409</v>
      </c>
      <c r="X255" s="95"/>
      <c r="Y255" s="95"/>
      <c r="Z255" s="102"/>
      <c r="AA255" s="103">
        <v>45710</v>
      </c>
      <c r="AB255" s="103">
        <v>45760</v>
      </c>
      <c r="AC255" s="103"/>
      <c r="AD255" s="102">
        <f>IF(ISNA(VLOOKUP(D255,亚马逊入库配置费!B:F,5,0)),0,VLOOKUP(D255,亚马逊入库配置费!B:F,5,0))</f>
        <v>0</v>
      </c>
      <c r="AE255" s="102">
        <f t="shared" si="39"/>
        <v>0</v>
      </c>
      <c r="AF255" s="103">
        <v>45759</v>
      </c>
      <c r="AG255" s="91">
        <f t="shared" si="40"/>
        <v>49</v>
      </c>
      <c r="AH255" s="103">
        <v>45759</v>
      </c>
      <c r="AI255" s="103">
        <v>45762</v>
      </c>
      <c r="AJ255" s="96">
        <v>72</v>
      </c>
      <c r="AK255" s="91">
        <f t="shared" si="41"/>
        <v>3</v>
      </c>
      <c r="AL255" s="96"/>
      <c r="AM255" s="92"/>
      <c r="AN255" s="91"/>
      <c r="AO255" s="91"/>
    </row>
    <row r="256" spans="1:41" ht="14.5" x14ac:dyDescent="0.25">
      <c r="A256" s="92" t="s">
        <v>573</v>
      </c>
      <c r="B256" s="91"/>
      <c r="C256" s="119" t="s">
        <v>566</v>
      </c>
      <c r="D256" s="120" t="s">
        <v>574</v>
      </c>
      <c r="E256" s="119" t="s">
        <v>115</v>
      </c>
      <c r="F256" s="119" t="s">
        <v>0</v>
      </c>
      <c r="G256" s="121" t="s">
        <v>116</v>
      </c>
      <c r="H256" s="119">
        <v>8</v>
      </c>
      <c r="I256" s="119" t="s">
        <v>117</v>
      </c>
      <c r="J256" s="119" t="s">
        <v>8</v>
      </c>
      <c r="K256" s="120" t="s">
        <v>28</v>
      </c>
      <c r="L256" s="93" t="s">
        <v>3017</v>
      </c>
      <c r="M256" s="94" t="s">
        <v>3292</v>
      </c>
      <c r="N256" s="95" t="s">
        <v>2831</v>
      </c>
      <c r="O256" s="132">
        <v>2</v>
      </c>
      <c r="P256" s="111">
        <f>172/10*O256</f>
        <v>34.4</v>
      </c>
      <c r="Q256" s="122" t="s">
        <v>16</v>
      </c>
      <c r="R256" s="124">
        <v>7</v>
      </c>
      <c r="S256" s="95"/>
      <c r="T256" s="98"/>
      <c r="U256" s="125">
        <f>R256*P256+350/30*O256</f>
        <v>264.13333333333333</v>
      </c>
      <c r="V256" s="113">
        <f t="shared" si="43"/>
        <v>33.016666666666666</v>
      </c>
      <c r="W256" s="114">
        <f t="shared" si="44"/>
        <v>4.7166666666666668</v>
      </c>
      <c r="X256" s="95"/>
      <c r="Y256" s="95"/>
      <c r="Z256" s="102"/>
      <c r="AA256" s="103">
        <v>45710</v>
      </c>
      <c r="AB256" s="103">
        <v>45729</v>
      </c>
      <c r="AC256" s="103"/>
      <c r="AD256" s="102">
        <f>IF(ISNA(VLOOKUP(D256,亚马逊入库配置费!B:F,5,0)),0,VLOOKUP(D256,亚马逊入库配置费!B:F,5,0))</f>
        <v>0</v>
      </c>
      <c r="AE256" s="102">
        <f t="shared" si="39"/>
        <v>0</v>
      </c>
      <c r="AF256" s="103">
        <v>45762</v>
      </c>
      <c r="AG256" s="91">
        <f t="shared" si="40"/>
        <v>52</v>
      </c>
      <c r="AH256" s="103">
        <v>45762</v>
      </c>
      <c r="AI256" s="103">
        <v>45763</v>
      </c>
      <c r="AJ256" s="96">
        <v>8</v>
      </c>
      <c r="AK256" s="91">
        <f t="shared" si="41"/>
        <v>1</v>
      </c>
      <c r="AL256" s="96"/>
      <c r="AM256" s="92"/>
      <c r="AN256" s="91"/>
      <c r="AO256" s="91"/>
    </row>
    <row r="257" spans="1:41" ht="14.5" x14ac:dyDescent="0.25">
      <c r="A257" s="92" t="s">
        <v>575</v>
      </c>
      <c r="B257" s="91"/>
      <c r="C257" s="119" t="s">
        <v>566</v>
      </c>
      <c r="D257" s="120" t="s">
        <v>574</v>
      </c>
      <c r="E257" s="119" t="s">
        <v>115</v>
      </c>
      <c r="F257" s="119" t="s">
        <v>0</v>
      </c>
      <c r="G257" s="121" t="s">
        <v>119</v>
      </c>
      <c r="H257" s="119">
        <v>28</v>
      </c>
      <c r="I257" s="119" t="s">
        <v>117</v>
      </c>
      <c r="J257" s="119" t="s">
        <v>8</v>
      </c>
      <c r="K257" s="120" t="s">
        <v>28</v>
      </c>
      <c r="L257" s="93" t="s">
        <v>3018</v>
      </c>
      <c r="M257" s="94" t="s">
        <v>3293</v>
      </c>
      <c r="N257" s="95" t="s">
        <v>2831</v>
      </c>
      <c r="O257" s="132">
        <v>7</v>
      </c>
      <c r="P257" s="111">
        <f>172/10*O257</f>
        <v>120.39999999999999</v>
      </c>
      <c r="Q257" s="122" t="s">
        <v>16</v>
      </c>
      <c r="R257" s="124">
        <v>7</v>
      </c>
      <c r="S257" s="95"/>
      <c r="T257" s="98"/>
      <c r="U257" s="125">
        <f>R257*P257+350/30*O257</f>
        <v>924.46666666666658</v>
      </c>
      <c r="V257" s="113">
        <f t="shared" si="43"/>
        <v>33.016666666666666</v>
      </c>
      <c r="W257" s="114">
        <f t="shared" si="44"/>
        <v>4.7166666666666668</v>
      </c>
      <c r="X257" s="95"/>
      <c r="Y257" s="95"/>
      <c r="Z257" s="102"/>
      <c r="AA257" s="103">
        <v>45710</v>
      </c>
      <c r="AB257" s="103">
        <v>45729</v>
      </c>
      <c r="AC257" s="103"/>
      <c r="AD257" s="102">
        <f>IF(ISNA(VLOOKUP(D257,亚马逊入库配置费!B:F,5,0)),0,VLOOKUP(D257,亚马逊入库配置费!B:F,5,0))</f>
        <v>0</v>
      </c>
      <c r="AE257" s="102">
        <f t="shared" si="39"/>
        <v>0</v>
      </c>
      <c r="AF257" s="103">
        <v>45762</v>
      </c>
      <c r="AG257" s="91">
        <f t="shared" si="40"/>
        <v>52</v>
      </c>
      <c r="AH257" s="103">
        <v>45762</v>
      </c>
      <c r="AI257" s="103">
        <v>45763</v>
      </c>
      <c r="AJ257" s="96">
        <v>28</v>
      </c>
      <c r="AK257" s="91">
        <f t="shared" si="41"/>
        <v>1</v>
      </c>
      <c r="AL257" s="96"/>
      <c r="AM257" s="92"/>
      <c r="AN257" s="91"/>
      <c r="AO257" s="91"/>
    </row>
    <row r="258" spans="1:41" ht="14.5" x14ac:dyDescent="0.25">
      <c r="A258" s="92" t="s">
        <v>576</v>
      </c>
      <c r="B258" s="91"/>
      <c r="C258" s="119" t="s">
        <v>566</v>
      </c>
      <c r="D258" s="120" t="s">
        <v>574</v>
      </c>
      <c r="E258" s="119" t="s">
        <v>115</v>
      </c>
      <c r="F258" s="119" t="s">
        <v>0</v>
      </c>
      <c r="G258" s="121" t="s">
        <v>116</v>
      </c>
      <c r="H258" s="119">
        <v>2</v>
      </c>
      <c r="I258" s="119" t="s">
        <v>117</v>
      </c>
      <c r="J258" s="119" t="s">
        <v>8</v>
      </c>
      <c r="K258" s="120" t="s">
        <v>28</v>
      </c>
      <c r="L258" s="93" t="s">
        <v>3017</v>
      </c>
      <c r="M258" s="94" t="s">
        <v>3292</v>
      </c>
      <c r="N258" s="95" t="s">
        <v>2831</v>
      </c>
      <c r="O258" s="132">
        <v>0.5</v>
      </c>
      <c r="P258" s="111">
        <f>172/10*O258</f>
        <v>8.6</v>
      </c>
      <c r="Q258" s="122" t="s">
        <v>16</v>
      </c>
      <c r="R258" s="124">
        <v>7</v>
      </c>
      <c r="S258" s="95"/>
      <c r="T258" s="98"/>
      <c r="U258" s="125">
        <f>R258*P258+350/30*O258</f>
        <v>66.033333333333331</v>
      </c>
      <c r="V258" s="113">
        <f t="shared" si="43"/>
        <v>33.016666666666666</v>
      </c>
      <c r="W258" s="114">
        <f t="shared" si="44"/>
        <v>4.7166666666666668</v>
      </c>
      <c r="X258" s="95"/>
      <c r="Y258" s="95"/>
      <c r="Z258" s="102"/>
      <c r="AA258" s="103">
        <v>45710</v>
      </c>
      <c r="AB258" s="103">
        <v>45729</v>
      </c>
      <c r="AC258" s="103"/>
      <c r="AD258" s="102">
        <f>IF(ISNA(VLOOKUP(D258,亚马逊入库配置费!B:F,5,0)),0,VLOOKUP(D258,亚马逊入库配置费!B:F,5,0))</f>
        <v>0</v>
      </c>
      <c r="AE258" s="102">
        <f t="shared" ref="AE258:AE321" si="53">H258*AD258</f>
        <v>0</v>
      </c>
      <c r="AF258" s="103">
        <v>45762</v>
      </c>
      <c r="AG258" s="91">
        <f t="shared" ref="AG258:AG321" si="54">AF258-AA258</f>
        <v>52</v>
      </c>
      <c r="AH258" s="103">
        <v>45762</v>
      </c>
      <c r="AI258" s="103">
        <v>45763</v>
      </c>
      <c r="AJ258" s="96">
        <v>2</v>
      </c>
      <c r="AK258" s="91">
        <f t="shared" ref="AK258:AK321" si="55">AI258-AH258</f>
        <v>1</v>
      </c>
      <c r="AL258" s="96"/>
      <c r="AM258" s="92"/>
      <c r="AN258" s="91"/>
      <c r="AO258" s="91"/>
    </row>
    <row r="259" spans="1:41" ht="14.5" x14ac:dyDescent="0.25">
      <c r="A259" s="92" t="s">
        <v>577</v>
      </c>
      <c r="B259" s="91"/>
      <c r="C259" s="119" t="s">
        <v>566</v>
      </c>
      <c r="D259" s="120" t="s">
        <v>574</v>
      </c>
      <c r="E259" s="119" t="s">
        <v>115</v>
      </c>
      <c r="F259" s="119" t="s">
        <v>0</v>
      </c>
      <c r="G259" s="121" t="s">
        <v>119</v>
      </c>
      <c r="H259" s="119">
        <v>2</v>
      </c>
      <c r="I259" s="119" t="s">
        <v>117</v>
      </c>
      <c r="J259" s="119" t="s">
        <v>8</v>
      </c>
      <c r="K259" s="120" t="s">
        <v>28</v>
      </c>
      <c r="L259" s="93" t="s">
        <v>3018</v>
      </c>
      <c r="M259" s="94" t="s">
        <v>3293</v>
      </c>
      <c r="N259" s="95" t="s">
        <v>2831</v>
      </c>
      <c r="O259" s="132">
        <v>0.5</v>
      </c>
      <c r="P259" s="111">
        <f>172/10*O259</f>
        <v>8.6</v>
      </c>
      <c r="Q259" s="122" t="s">
        <v>16</v>
      </c>
      <c r="R259" s="124">
        <v>7</v>
      </c>
      <c r="S259" s="95"/>
      <c r="T259" s="98"/>
      <c r="U259" s="125">
        <f>R259*P259+350/30*O259</f>
        <v>66.033333333333331</v>
      </c>
      <c r="V259" s="113">
        <f t="shared" ref="V259:V322" si="56">U259/H259</f>
        <v>33.016666666666666</v>
      </c>
      <c r="W259" s="114">
        <f t="shared" ref="W259:W322" si="57">V259/7</f>
        <v>4.7166666666666668</v>
      </c>
      <c r="X259" s="95"/>
      <c r="Y259" s="95"/>
      <c r="Z259" s="102"/>
      <c r="AA259" s="103">
        <v>45710</v>
      </c>
      <c r="AB259" s="103">
        <v>45729</v>
      </c>
      <c r="AC259" s="103"/>
      <c r="AD259" s="102">
        <f>IF(ISNA(VLOOKUP(D259,亚马逊入库配置费!B:F,5,0)),0,VLOOKUP(D259,亚马逊入库配置费!B:F,5,0))</f>
        <v>0</v>
      </c>
      <c r="AE259" s="102">
        <f t="shared" si="53"/>
        <v>0</v>
      </c>
      <c r="AF259" s="103">
        <v>45762</v>
      </c>
      <c r="AG259" s="91">
        <f t="shared" si="54"/>
        <v>52</v>
      </c>
      <c r="AH259" s="103">
        <v>45762</v>
      </c>
      <c r="AI259" s="103">
        <v>45763</v>
      </c>
      <c r="AJ259" s="96">
        <v>2</v>
      </c>
      <c r="AK259" s="91">
        <f t="shared" si="55"/>
        <v>1</v>
      </c>
      <c r="AL259" s="96"/>
      <c r="AM259" s="92"/>
      <c r="AN259" s="91"/>
      <c r="AO259" s="91"/>
    </row>
    <row r="260" spans="1:41" ht="14.5" x14ac:dyDescent="0.25">
      <c r="A260" s="92" t="s">
        <v>578</v>
      </c>
      <c r="B260" s="91"/>
      <c r="C260" s="119" t="s">
        <v>570</v>
      </c>
      <c r="D260" s="120" t="s">
        <v>579</v>
      </c>
      <c r="E260" s="119" t="s">
        <v>115</v>
      </c>
      <c r="F260" s="119" t="s">
        <v>0</v>
      </c>
      <c r="G260" s="121" t="s">
        <v>116</v>
      </c>
      <c r="H260" s="119">
        <v>12</v>
      </c>
      <c r="I260" s="119" t="s">
        <v>89</v>
      </c>
      <c r="J260" s="119" t="s">
        <v>2</v>
      </c>
      <c r="K260" s="120" t="s">
        <v>25</v>
      </c>
      <c r="L260" s="93" t="s">
        <v>3017</v>
      </c>
      <c r="M260" s="94" t="s">
        <v>3292</v>
      </c>
      <c r="N260" s="95" t="s">
        <v>2831</v>
      </c>
      <c r="O260" s="132">
        <v>3</v>
      </c>
      <c r="P260" s="111">
        <v>50.181818181818201</v>
      </c>
      <c r="Q260" s="122" t="s">
        <v>16</v>
      </c>
      <c r="R260" s="124">
        <v>7.3</v>
      </c>
      <c r="S260" s="95"/>
      <c r="T260" s="98"/>
      <c r="U260" s="125">
        <f>R260*P260+350/34*O260</f>
        <v>397.20962566844935</v>
      </c>
      <c r="V260" s="113">
        <f t="shared" si="56"/>
        <v>33.100802139037448</v>
      </c>
      <c r="W260" s="114">
        <f t="shared" si="57"/>
        <v>4.7286860198624927</v>
      </c>
      <c r="X260" s="95"/>
      <c r="Y260" s="95"/>
      <c r="Z260" s="102"/>
      <c r="AA260" s="103">
        <v>45710</v>
      </c>
      <c r="AB260" s="103">
        <v>45760</v>
      </c>
      <c r="AC260" s="103"/>
      <c r="AD260" s="102">
        <f>IF(ISNA(VLOOKUP(D260,亚马逊入库配置费!B:F,5,0)),0,VLOOKUP(D260,亚马逊入库配置费!B:F,5,0))</f>
        <v>0</v>
      </c>
      <c r="AE260" s="102">
        <f t="shared" si="53"/>
        <v>0</v>
      </c>
      <c r="AF260" s="103">
        <v>45760</v>
      </c>
      <c r="AG260" s="91">
        <f t="shared" si="54"/>
        <v>50</v>
      </c>
      <c r="AH260" s="103">
        <v>45760</v>
      </c>
      <c r="AI260" s="103">
        <v>45765</v>
      </c>
      <c r="AJ260" s="96">
        <v>12</v>
      </c>
      <c r="AK260" s="91">
        <f t="shared" si="55"/>
        <v>5</v>
      </c>
      <c r="AL260" s="96">
        <f t="shared" ref="AL260:AL323" si="58">AG260+AK260</f>
        <v>55</v>
      </c>
      <c r="AM260" s="92"/>
      <c r="AN260" s="91"/>
      <c r="AO260" s="91"/>
    </row>
    <row r="261" spans="1:41" ht="14.5" x14ac:dyDescent="0.25">
      <c r="A261" s="92" t="s">
        <v>580</v>
      </c>
      <c r="B261" s="91"/>
      <c r="C261" s="119" t="s">
        <v>570</v>
      </c>
      <c r="D261" s="120" t="s">
        <v>579</v>
      </c>
      <c r="E261" s="119" t="s">
        <v>115</v>
      </c>
      <c r="F261" s="119" t="s">
        <v>0</v>
      </c>
      <c r="G261" s="121" t="s">
        <v>119</v>
      </c>
      <c r="H261" s="119">
        <v>32</v>
      </c>
      <c r="I261" s="119" t="s">
        <v>89</v>
      </c>
      <c r="J261" s="119" t="s">
        <v>2</v>
      </c>
      <c r="K261" s="120" t="s">
        <v>25</v>
      </c>
      <c r="L261" s="93" t="s">
        <v>3018</v>
      </c>
      <c r="M261" s="94" t="s">
        <v>3293</v>
      </c>
      <c r="N261" s="95" t="s">
        <v>2831</v>
      </c>
      <c r="O261" s="132">
        <v>8</v>
      </c>
      <c r="P261" s="111">
        <v>133.81818181818201</v>
      </c>
      <c r="Q261" s="122" t="s">
        <v>16</v>
      </c>
      <c r="R261" s="124">
        <v>7.3</v>
      </c>
      <c r="S261" s="95"/>
      <c r="T261" s="98"/>
      <c r="U261" s="125">
        <f>R261*P261+350/34*O261</f>
        <v>1059.2256684491992</v>
      </c>
      <c r="V261" s="113">
        <f t="shared" si="56"/>
        <v>33.100802139037476</v>
      </c>
      <c r="W261" s="114">
        <f t="shared" si="57"/>
        <v>4.7286860198624963</v>
      </c>
      <c r="X261" s="95"/>
      <c r="Y261" s="95"/>
      <c r="Z261" s="102"/>
      <c r="AA261" s="103">
        <v>45710</v>
      </c>
      <c r="AB261" s="103">
        <v>45760</v>
      </c>
      <c r="AC261" s="103"/>
      <c r="AD261" s="102">
        <f>IF(ISNA(VLOOKUP(D261,亚马逊入库配置费!B:F,5,0)),0,VLOOKUP(D261,亚马逊入库配置费!B:F,5,0))</f>
        <v>0</v>
      </c>
      <c r="AE261" s="102">
        <f t="shared" si="53"/>
        <v>0</v>
      </c>
      <c r="AF261" s="103">
        <v>45760</v>
      </c>
      <c r="AG261" s="91">
        <f t="shared" si="54"/>
        <v>50</v>
      </c>
      <c r="AH261" s="103">
        <v>45760</v>
      </c>
      <c r="AI261" s="103">
        <v>45765</v>
      </c>
      <c r="AJ261" s="96">
        <v>32</v>
      </c>
      <c r="AK261" s="91">
        <f t="shared" si="55"/>
        <v>5</v>
      </c>
      <c r="AL261" s="96">
        <f t="shared" si="58"/>
        <v>55</v>
      </c>
      <c r="AM261" s="92"/>
      <c r="AN261" s="91"/>
      <c r="AO261" s="91"/>
    </row>
    <row r="262" spans="1:41" ht="14.5" x14ac:dyDescent="0.25">
      <c r="A262" s="92" t="s">
        <v>581</v>
      </c>
      <c r="B262" s="91"/>
      <c r="C262" s="119" t="s">
        <v>582</v>
      </c>
      <c r="D262" s="120" t="s">
        <v>583</v>
      </c>
      <c r="E262" s="119" t="s">
        <v>115</v>
      </c>
      <c r="F262" s="119" t="s">
        <v>0</v>
      </c>
      <c r="G262" s="121" t="s">
        <v>116</v>
      </c>
      <c r="H262" s="119">
        <v>40</v>
      </c>
      <c r="I262" s="119" t="s">
        <v>117</v>
      </c>
      <c r="J262" s="119" t="s">
        <v>8</v>
      </c>
      <c r="K262" s="120" t="s">
        <v>48</v>
      </c>
      <c r="L262" s="93" t="s">
        <v>3017</v>
      </c>
      <c r="M262" s="94" t="s">
        <v>3292</v>
      </c>
      <c r="N262" s="95" t="s">
        <v>2831</v>
      </c>
      <c r="O262" s="132">
        <v>10</v>
      </c>
      <c r="P262" s="111">
        <f>647/38*O262</f>
        <v>170.26315789473685</v>
      </c>
      <c r="Q262" s="122" t="s">
        <v>16</v>
      </c>
      <c r="R262" s="124">
        <v>7.3</v>
      </c>
      <c r="S262" s="95"/>
      <c r="T262" s="98"/>
      <c r="U262" s="125">
        <f>R262*P262+350/38*O262</f>
        <v>1335.0263157894738</v>
      </c>
      <c r="V262" s="113">
        <f t="shared" si="56"/>
        <v>33.375657894736847</v>
      </c>
      <c r="W262" s="114">
        <f t="shared" si="57"/>
        <v>4.7679511278195497</v>
      </c>
      <c r="X262" s="95"/>
      <c r="Y262" s="95"/>
      <c r="Z262" s="102"/>
      <c r="AA262" s="103">
        <v>45710</v>
      </c>
      <c r="AB262" s="103">
        <v>45729</v>
      </c>
      <c r="AC262" s="103"/>
      <c r="AD262" s="102">
        <f>IF(ISNA(VLOOKUP(D262,亚马逊入库配置费!B:F,5,0)),0,VLOOKUP(D262,亚马逊入库配置费!B:F,5,0))</f>
        <v>0</v>
      </c>
      <c r="AE262" s="102">
        <f t="shared" si="53"/>
        <v>0</v>
      </c>
      <c r="AF262" s="103">
        <v>45762</v>
      </c>
      <c r="AG262" s="91">
        <f t="shared" si="54"/>
        <v>52</v>
      </c>
      <c r="AH262" s="103">
        <v>45762</v>
      </c>
      <c r="AI262" s="103">
        <v>45787</v>
      </c>
      <c r="AJ262" s="96">
        <v>40</v>
      </c>
      <c r="AK262" s="91">
        <f t="shared" si="55"/>
        <v>25</v>
      </c>
      <c r="AL262" s="96">
        <f t="shared" si="58"/>
        <v>77</v>
      </c>
      <c r="AM262" s="92"/>
      <c r="AN262" s="91"/>
      <c r="AO262" s="91"/>
    </row>
    <row r="263" spans="1:41" ht="14.5" x14ac:dyDescent="0.25">
      <c r="A263" s="92" t="s">
        <v>584</v>
      </c>
      <c r="B263" s="91"/>
      <c r="C263" s="119" t="s">
        <v>582</v>
      </c>
      <c r="D263" s="120" t="s">
        <v>583</v>
      </c>
      <c r="E263" s="119" t="s">
        <v>115</v>
      </c>
      <c r="F263" s="119" t="s">
        <v>0</v>
      </c>
      <c r="G263" s="121" t="s">
        <v>119</v>
      </c>
      <c r="H263" s="119">
        <v>112</v>
      </c>
      <c r="I263" s="119" t="s">
        <v>117</v>
      </c>
      <c r="J263" s="119" t="s">
        <v>8</v>
      </c>
      <c r="K263" s="120" t="s">
        <v>48</v>
      </c>
      <c r="L263" s="93" t="s">
        <v>3018</v>
      </c>
      <c r="M263" s="94" t="s">
        <v>3293</v>
      </c>
      <c r="N263" s="95" t="s">
        <v>2831</v>
      </c>
      <c r="O263" s="132">
        <v>28</v>
      </c>
      <c r="P263" s="111">
        <f>647/38*O263</f>
        <v>476.73684210526318</v>
      </c>
      <c r="Q263" s="122" t="s">
        <v>16</v>
      </c>
      <c r="R263" s="124">
        <v>7.3</v>
      </c>
      <c r="S263" s="95"/>
      <c r="T263" s="98"/>
      <c r="U263" s="125">
        <f>R263*P263+350/38*O263</f>
        <v>3738.0736842105266</v>
      </c>
      <c r="V263" s="113">
        <f t="shared" si="56"/>
        <v>33.375657894736847</v>
      </c>
      <c r="W263" s="114">
        <f t="shared" si="57"/>
        <v>4.7679511278195497</v>
      </c>
      <c r="X263" s="95"/>
      <c r="Y263" s="95"/>
      <c r="Z263" s="102"/>
      <c r="AA263" s="103">
        <v>45710</v>
      </c>
      <c r="AB263" s="103">
        <v>45729</v>
      </c>
      <c r="AC263" s="103"/>
      <c r="AD263" s="102">
        <f>IF(ISNA(VLOOKUP(D263,亚马逊入库配置费!B:F,5,0)),0,VLOOKUP(D263,亚马逊入库配置费!B:F,5,0))</f>
        <v>0</v>
      </c>
      <c r="AE263" s="102">
        <f t="shared" si="53"/>
        <v>0</v>
      </c>
      <c r="AF263" s="103">
        <v>45762</v>
      </c>
      <c r="AG263" s="91">
        <f t="shared" si="54"/>
        <v>52</v>
      </c>
      <c r="AH263" s="103">
        <v>45762</v>
      </c>
      <c r="AI263" s="103">
        <v>45787</v>
      </c>
      <c r="AJ263" s="96">
        <v>112</v>
      </c>
      <c r="AK263" s="91">
        <f t="shared" si="55"/>
        <v>25</v>
      </c>
      <c r="AL263" s="96">
        <f t="shared" si="58"/>
        <v>77</v>
      </c>
      <c r="AM263" s="92"/>
      <c r="AN263" s="91"/>
      <c r="AO263" s="91"/>
    </row>
    <row r="264" spans="1:41" ht="14.5" x14ac:dyDescent="0.25">
      <c r="A264" s="92" t="s">
        <v>585</v>
      </c>
      <c r="B264" s="91"/>
      <c r="C264" s="91" t="s">
        <v>586</v>
      </c>
      <c r="D264" s="92" t="s">
        <v>587</v>
      </c>
      <c r="E264" s="91" t="s">
        <v>254</v>
      </c>
      <c r="F264" s="91" t="s">
        <v>255</v>
      </c>
      <c r="G264" s="56" t="s">
        <v>542</v>
      </c>
      <c r="H264" s="91">
        <v>90</v>
      </c>
      <c r="I264" s="91" t="s">
        <v>207</v>
      </c>
      <c r="J264" s="133" t="s">
        <v>588</v>
      </c>
      <c r="K264" s="92" t="s">
        <v>589</v>
      </c>
      <c r="L264" s="93" t="s">
        <v>3070</v>
      </c>
      <c r="M264" s="94" t="s">
        <v>3369</v>
      </c>
      <c r="N264" s="95" t="s">
        <v>2878</v>
      </c>
      <c r="O264" s="96">
        <v>3</v>
      </c>
      <c r="P264" s="111">
        <f>1/15*O264</f>
        <v>0.2</v>
      </c>
      <c r="Q264" s="96" t="s">
        <v>3264</v>
      </c>
      <c r="R264" s="91">
        <v>860</v>
      </c>
      <c r="S264" s="95"/>
      <c r="T264" s="98"/>
      <c r="U264" s="112">
        <f>R264*P264+800/15*O264</f>
        <v>332</v>
      </c>
      <c r="V264" s="113">
        <f t="shared" si="56"/>
        <v>3.6888888888888891</v>
      </c>
      <c r="W264" s="114">
        <f t="shared" si="57"/>
        <v>0.526984126984127</v>
      </c>
      <c r="X264" s="95"/>
      <c r="Y264" s="95">
        <f>1258.7992/456*H264</f>
        <v>248.44721052631579</v>
      </c>
      <c r="Z264" s="104" t="s">
        <v>476</v>
      </c>
      <c r="AA264" s="103">
        <v>45716</v>
      </c>
      <c r="AB264" s="103">
        <v>45753</v>
      </c>
      <c r="AC264" s="103"/>
      <c r="AD264" s="102">
        <f>IF(ISNA(VLOOKUP(D264,亚马逊入库配置费!B:F,5,0)),0,VLOOKUP(D264,亚马逊入库配置费!B:F,5,0))</f>
        <v>0</v>
      </c>
      <c r="AE264" s="102">
        <f t="shared" si="53"/>
        <v>0</v>
      </c>
      <c r="AF264" s="103">
        <v>45770</v>
      </c>
      <c r="AG264" s="91">
        <f t="shared" si="54"/>
        <v>54</v>
      </c>
      <c r="AH264" s="103">
        <v>45770</v>
      </c>
      <c r="AI264" s="103">
        <v>45785</v>
      </c>
      <c r="AJ264" s="96">
        <v>90</v>
      </c>
      <c r="AK264" s="91">
        <f t="shared" si="55"/>
        <v>15</v>
      </c>
      <c r="AL264" s="96">
        <f t="shared" si="58"/>
        <v>69</v>
      </c>
      <c r="AM264" s="92"/>
      <c r="AN264" s="91"/>
      <c r="AO264" s="91"/>
    </row>
    <row r="265" spans="1:41" ht="14.5" x14ac:dyDescent="0.25">
      <c r="A265" s="92" t="s">
        <v>590</v>
      </c>
      <c r="B265" s="91"/>
      <c r="C265" s="91" t="s">
        <v>586</v>
      </c>
      <c r="D265" s="92" t="s">
        <v>587</v>
      </c>
      <c r="E265" s="91" t="s">
        <v>254</v>
      </c>
      <c r="F265" s="91" t="s">
        <v>255</v>
      </c>
      <c r="G265" s="56" t="s">
        <v>206</v>
      </c>
      <c r="H265" s="91">
        <v>150</v>
      </c>
      <c r="I265" s="91" t="s">
        <v>207</v>
      </c>
      <c r="J265" s="133" t="s">
        <v>588</v>
      </c>
      <c r="K265" s="92" t="s">
        <v>589</v>
      </c>
      <c r="L265" s="93" t="s">
        <v>3032</v>
      </c>
      <c r="M265" s="94" t="s">
        <v>3310</v>
      </c>
      <c r="N265" s="95" t="s">
        <v>2878</v>
      </c>
      <c r="O265" s="96">
        <v>5</v>
      </c>
      <c r="P265" s="111">
        <f>1/15*O265</f>
        <v>0.33333333333333331</v>
      </c>
      <c r="Q265" s="96" t="s">
        <v>3264</v>
      </c>
      <c r="R265" s="91">
        <v>860</v>
      </c>
      <c r="S265" s="95"/>
      <c r="T265" s="98"/>
      <c r="U265" s="112">
        <f>R265*P265+800/15*O265</f>
        <v>553.33333333333326</v>
      </c>
      <c r="V265" s="113">
        <f t="shared" si="56"/>
        <v>3.6888888888888882</v>
      </c>
      <c r="W265" s="114">
        <f t="shared" si="57"/>
        <v>0.52698412698412689</v>
      </c>
      <c r="X265" s="95"/>
      <c r="Y265" s="95">
        <f>1258.7992/456*H265</f>
        <v>414.07868421052632</v>
      </c>
      <c r="Z265" s="104" t="s">
        <v>476</v>
      </c>
      <c r="AA265" s="103">
        <v>45716</v>
      </c>
      <c r="AB265" s="103">
        <v>45753</v>
      </c>
      <c r="AC265" s="103"/>
      <c r="AD265" s="102">
        <f>IF(ISNA(VLOOKUP(D265,亚马逊入库配置费!B:F,5,0)),0,VLOOKUP(D265,亚马逊入库配置费!B:F,5,0))</f>
        <v>0</v>
      </c>
      <c r="AE265" s="102">
        <f t="shared" si="53"/>
        <v>0</v>
      </c>
      <c r="AF265" s="103">
        <v>45770</v>
      </c>
      <c r="AG265" s="91">
        <f t="shared" si="54"/>
        <v>54</v>
      </c>
      <c r="AH265" s="103">
        <v>45770</v>
      </c>
      <c r="AI265" s="103">
        <v>45785</v>
      </c>
      <c r="AJ265" s="96">
        <v>150</v>
      </c>
      <c r="AK265" s="91">
        <f t="shared" si="55"/>
        <v>15</v>
      </c>
      <c r="AL265" s="96">
        <f t="shared" si="58"/>
        <v>69</v>
      </c>
      <c r="AM265" s="92"/>
      <c r="AN265" s="91"/>
      <c r="AO265" s="91"/>
    </row>
    <row r="266" spans="1:41" ht="14.5" x14ac:dyDescent="0.25">
      <c r="A266" s="92" t="s">
        <v>591</v>
      </c>
      <c r="B266" s="91"/>
      <c r="C266" s="91" t="s">
        <v>586</v>
      </c>
      <c r="D266" s="92" t="s">
        <v>587</v>
      </c>
      <c r="E266" s="91" t="s">
        <v>254</v>
      </c>
      <c r="F266" s="91" t="s">
        <v>255</v>
      </c>
      <c r="G266" s="56" t="s">
        <v>167</v>
      </c>
      <c r="H266" s="91">
        <v>90</v>
      </c>
      <c r="I266" s="91" t="s">
        <v>207</v>
      </c>
      <c r="J266" s="133" t="s">
        <v>588</v>
      </c>
      <c r="K266" s="92" t="s">
        <v>589</v>
      </c>
      <c r="L266" s="93" t="s">
        <v>3025</v>
      </c>
      <c r="M266" s="94" t="s">
        <v>3210</v>
      </c>
      <c r="N266" s="95" t="s">
        <v>2876</v>
      </c>
      <c r="O266" s="96">
        <v>3</v>
      </c>
      <c r="P266" s="111">
        <f>1/15*O266</f>
        <v>0.2</v>
      </c>
      <c r="Q266" s="96" t="s">
        <v>3264</v>
      </c>
      <c r="R266" s="91">
        <v>860</v>
      </c>
      <c r="S266" s="95"/>
      <c r="T266" s="98"/>
      <c r="U266" s="112">
        <f>R266*P266+800/15*O266</f>
        <v>332</v>
      </c>
      <c r="V266" s="113">
        <f t="shared" si="56"/>
        <v>3.6888888888888891</v>
      </c>
      <c r="W266" s="114">
        <f t="shared" si="57"/>
        <v>0.526984126984127</v>
      </c>
      <c r="X266" s="95"/>
      <c r="Y266" s="95">
        <f>1258.7992/456*H266</f>
        <v>248.44721052631579</v>
      </c>
      <c r="Z266" s="104" t="s">
        <v>476</v>
      </c>
      <c r="AA266" s="103">
        <v>45716</v>
      </c>
      <c r="AB266" s="103">
        <v>45753</v>
      </c>
      <c r="AC266" s="103"/>
      <c r="AD266" s="102">
        <f>IF(ISNA(VLOOKUP(D266,亚马逊入库配置费!B:F,5,0)),0,VLOOKUP(D266,亚马逊入库配置费!B:F,5,0))</f>
        <v>0</v>
      </c>
      <c r="AE266" s="102">
        <f t="shared" si="53"/>
        <v>0</v>
      </c>
      <c r="AF266" s="103">
        <v>45770</v>
      </c>
      <c r="AG266" s="91">
        <f t="shared" si="54"/>
        <v>54</v>
      </c>
      <c r="AH266" s="103">
        <v>45770</v>
      </c>
      <c r="AI266" s="103">
        <v>45785</v>
      </c>
      <c r="AJ266" s="96">
        <v>90</v>
      </c>
      <c r="AK266" s="91">
        <f t="shared" si="55"/>
        <v>15</v>
      </c>
      <c r="AL266" s="96">
        <f t="shared" si="58"/>
        <v>69</v>
      </c>
      <c r="AM266" s="92"/>
      <c r="AN266" s="91"/>
      <c r="AO266" s="91"/>
    </row>
    <row r="267" spans="1:41" ht="14.5" x14ac:dyDescent="0.25">
      <c r="A267" s="92" t="s">
        <v>592</v>
      </c>
      <c r="B267" s="91"/>
      <c r="C267" s="91" t="s">
        <v>586</v>
      </c>
      <c r="D267" s="92" t="s">
        <v>587</v>
      </c>
      <c r="E267" s="91" t="s">
        <v>254</v>
      </c>
      <c r="F267" s="91" t="s">
        <v>255</v>
      </c>
      <c r="G267" s="56" t="s">
        <v>178</v>
      </c>
      <c r="H267" s="91">
        <v>90</v>
      </c>
      <c r="I267" s="91" t="s">
        <v>207</v>
      </c>
      <c r="J267" s="133" t="s">
        <v>588</v>
      </c>
      <c r="K267" s="92" t="s">
        <v>589</v>
      </c>
      <c r="L267" s="93" t="s">
        <v>3030</v>
      </c>
      <c r="M267" s="94" t="s">
        <v>3307</v>
      </c>
      <c r="N267" s="95" t="s">
        <v>2876</v>
      </c>
      <c r="O267" s="96">
        <v>3</v>
      </c>
      <c r="P267" s="111">
        <f>1/15*O267</f>
        <v>0.2</v>
      </c>
      <c r="Q267" s="96" t="s">
        <v>3264</v>
      </c>
      <c r="R267" s="91">
        <v>860</v>
      </c>
      <c r="S267" s="95"/>
      <c r="T267" s="98"/>
      <c r="U267" s="112">
        <f>R267*P267+800/15*O267</f>
        <v>332</v>
      </c>
      <c r="V267" s="113">
        <f t="shared" si="56"/>
        <v>3.6888888888888891</v>
      </c>
      <c r="W267" s="114">
        <f t="shared" si="57"/>
        <v>0.526984126984127</v>
      </c>
      <c r="X267" s="95"/>
      <c r="Y267" s="95">
        <f>1258.7992/456*H267</f>
        <v>248.44721052631579</v>
      </c>
      <c r="Z267" s="104" t="s">
        <v>476</v>
      </c>
      <c r="AA267" s="103">
        <v>45716</v>
      </c>
      <c r="AB267" s="103">
        <v>45753</v>
      </c>
      <c r="AC267" s="103"/>
      <c r="AD267" s="102">
        <f>IF(ISNA(VLOOKUP(D267,亚马逊入库配置费!B:F,5,0)),0,VLOOKUP(D267,亚马逊入库配置费!B:F,5,0))</f>
        <v>0</v>
      </c>
      <c r="AE267" s="102">
        <f t="shared" si="53"/>
        <v>0</v>
      </c>
      <c r="AF267" s="103">
        <v>45770</v>
      </c>
      <c r="AG267" s="91">
        <f t="shared" si="54"/>
        <v>54</v>
      </c>
      <c r="AH267" s="103">
        <v>45770</v>
      </c>
      <c r="AI267" s="103">
        <v>45785</v>
      </c>
      <c r="AJ267" s="96">
        <v>90</v>
      </c>
      <c r="AK267" s="91">
        <f t="shared" si="55"/>
        <v>15</v>
      </c>
      <c r="AL267" s="96">
        <f t="shared" si="58"/>
        <v>69</v>
      </c>
      <c r="AM267" s="92"/>
      <c r="AN267" s="91"/>
      <c r="AO267" s="91"/>
    </row>
    <row r="268" spans="1:41" ht="14.5" x14ac:dyDescent="0.25">
      <c r="A268" s="92" t="s">
        <v>593</v>
      </c>
      <c r="B268" s="91"/>
      <c r="C268" s="91" t="s">
        <v>586</v>
      </c>
      <c r="D268" s="92" t="s">
        <v>587</v>
      </c>
      <c r="E268" s="91" t="s">
        <v>254</v>
      </c>
      <c r="F268" s="91" t="s">
        <v>255</v>
      </c>
      <c r="G268" s="56" t="s">
        <v>594</v>
      </c>
      <c r="H268" s="91">
        <v>36</v>
      </c>
      <c r="I268" s="91" t="s">
        <v>207</v>
      </c>
      <c r="J268" s="133" t="s">
        <v>588</v>
      </c>
      <c r="K268" s="92" t="s">
        <v>589</v>
      </c>
      <c r="L268" s="93" t="s">
        <v>2694</v>
      </c>
      <c r="M268" s="94" t="s">
        <v>3214</v>
      </c>
      <c r="N268" s="95" t="s">
        <v>2822</v>
      </c>
      <c r="O268" s="96">
        <v>1</v>
      </c>
      <c r="P268" s="111">
        <f>1/15*O268</f>
        <v>6.6666666666666666E-2</v>
      </c>
      <c r="Q268" s="96" t="s">
        <v>3264</v>
      </c>
      <c r="R268" s="91">
        <v>860</v>
      </c>
      <c r="S268" s="95"/>
      <c r="T268" s="98"/>
      <c r="U268" s="112">
        <f>R268*P268+800/15*O268</f>
        <v>110.66666666666667</v>
      </c>
      <c r="V268" s="113">
        <f t="shared" si="56"/>
        <v>3.0740740740740744</v>
      </c>
      <c r="W268" s="114">
        <f t="shared" si="57"/>
        <v>0.43915343915343918</v>
      </c>
      <c r="X268" s="95"/>
      <c r="Y268" s="95">
        <f>1258.7992/456*H268</f>
        <v>99.378884210526309</v>
      </c>
      <c r="Z268" s="104" t="s">
        <v>476</v>
      </c>
      <c r="AA268" s="103">
        <v>45716</v>
      </c>
      <c r="AB268" s="103">
        <v>45753</v>
      </c>
      <c r="AC268" s="103"/>
      <c r="AD268" s="102">
        <f>IF(ISNA(VLOOKUP(D268,亚马逊入库配置费!B:F,5,0)),0,VLOOKUP(D268,亚马逊入库配置费!B:F,5,0))</f>
        <v>0</v>
      </c>
      <c r="AE268" s="102">
        <f t="shared" si="53"/>
        <v>0</v>
      </c>
      <c r="AF268" s="103">
        <v>45770</v>
      </c>
      <c r="AG268" s="91">
        <f t="shared" si="54"/>
        <v>54</v>
      </c>
      <c r="AH268" s="103">
        <v>45770</v>
      </c>
      <c r="AI268" s="103">
        <v>45785</v>
      </c>
      <c r="AJ268" s="96">
        <v>36</v>
      </c>
      <c r="AK268" s="91">
        <f t="shared" si="55"/>
        <v>15</v>
      </c>
      <c r="AL268" s="96">
        <f t="shared" si="58"/>
        <v>69</v>
      </c>
      <c r="AM268" s="92"/>
      <c r="AN268" s="91"/>
      <c r="AO268" s="91"/>
    </row>
    <row r="269" spans="1:41" ht="14.5" x14ac:dyDescent="0.25">
      <c r="A269" s="92" t="s">
        <v>595</v>
      </c>
      <c r="B269" s="91"/>
      <c r="C269" s="119" t="s">
        <v>596</v>
      </c>
      <c r="D269" s="120" t="s">
        <v>597</v>
      </c>
      <c r="E269" s="119" t="s">
        <v>341</v>
      </c>
      <c r="F269" s="119" t="s">
        <v>342</v>
      </c>
      <c r="G269" s="121" t="s">
        <v>167</v>
      </c>
      <c r="H269" s="119">
        <v>300</v>
      </c>
      <c r="I269" s="119" t="s">
        <v>207</v>
      </c>
      <c r="J269" s="119" t="s">
        <v>343</v>
      </c>
      <c r="K269" s="120" t="s">
        <v>532</v>
      </c>
      <c r="L269" s="93" t="s">
        <v>3025</v>
      </c>
      <c r="M269" s="94" t="s">
        <v>3210</v>
      </c>
      <c r="N269" s="95" t="s">
        <v>2876</v>
      </c>
      <c r="O269" s="132">
        <v>10</v>
      </c>
      <c r="P269" s="111">
        <f>1.18/23*O269</f>
        <v>0.5130434782608696</v>
      </c>
      <c r="Q269" s="132" t="s">
        <v>3264</v>
      </c>
      <c r="R269" s="124">
        <v>680</v>
      </c>
      <c r="S269" s="95"/>
      <c r="T269" s="98"/>
      <c r="U269" s="125">
        <f>R269*P269+(350+38)/23*O269+H269*2+O269*3</f>
        <v>1147.5652173913045</v>
      </c>
      <c r="V269" s="113">
        <f t="shared" si="56"/>
        <v>3.8252173913043483</v>
      </c>
      <c r="W269" s="114">
        <f t="shared" si="57"/>
        <v>0.54645962732919262</v>
      </c>
      <c r="X269" s="95"/>
      <c r="Y269" s="95">
        <f>5949.76/730*H269</f>
        <v>2445.1068493150683</v>
      </c>
      <c r="Z269" s="102" t="s">
        <v>345</v>
      </c>
      <c r="AA269" s="103">
        <v>45716</v>
      </c>
      <c r="AB269" s="103">
        <v>45728</v>
      </c>
      <c r="AC269" s="103"/>
      <c r="AD269" s="102">
        <f>IF(ISNA(VLOOKUP(D269,亚马逊入库配置费!B:F,5,0)),0,VLOOKUP(D269,亚马逊入库配置费!B:F,5,0))</f>
        <v>0</v>
      </c>
      <c r="AE269" s="102">
        <f t="shared" si="53"/>
        <v>0</v>
      </c>
      <c r="AF269" s="103">
        <v>45742</v>
      </c>
      <c r="AG269" s="91">
        <f t="shared" si="54"/>
        <v>26</v>
      </c>
      <c r="AH269" s="103">
        <v>45742</v>
      </c>
      <c r="AI269" s="103">
        <v>45747</v>
      </c>
      <c r="AJ269" s="96">
        <v>300</v>
      </c>
      <c r="AK269" s="91">
        <f t="shared" si="55"/>
        <v>5</v>
      </c>
      <c r="AL269" s="96">
        <f t="shared" si="58"/>
        <v>31</v>
      </c>
      <c r="AM269" s="92"/>
      <c r="AN269" s="91"/>
      <c r="AO269" s="91"/>
    </row>
    <row r="270" spans="1:41" ht="14.5" x14ac:dyDescent="0.25">
      <c r="A270" s="92" t="s">
        <v>598</v>
      </c>
      <c r="B270" s="91"/>
      <c r="C270" s="119" t="s">
        <v>596</v>
      </c>
      <c r="D270" s="120" t="s">
        <v>597</v>
      </c>
      <c r="E270" s="119" t="s">
        <v>341</v>
      </c>
      <c r="F270" s="119" t="s">
        <v>342</v>
      </c>
      <c r="G270" s="121" t="s">
        <v>171</v>
      </c>
      <c r="H270" s="119">
        <v>210</v>
      </c>
      <c r="I270" s="119" t="s">
        <v>207</v>
      </c>
      <c r="J270" s="119" t="s">
        <v>343</v>
      </c>
      <c r="K270" s="120" t="s">
        <v>532</v>
      </c>
      <c r="L270" s="93" t="s">
        <v>3027</v>
      </c>
      <c r="M270" s="94" t="s">
        <v>3212</v>
      </c>
      <c r="N270" s="95" t="s">
        <v>2876</v>
      </c>
      <c r="O270" s="132">
        <v>7</v>
      </c>
      <c r="P270" s="111">
        <f>1.18/23*O270</f>
        <v>0.3591304347826087</v>
      </c>
      <c r="Q270" s="132" t="s">
        <v>3264</v>
      </c>
      <c r="R270" s="124">
        <v>680</v>
      </c>
      <c r="S270" s="95"/>
      <c r="T270" s="98"/>
      <c r="U270" s="125">
        <f>R270*P270+(350+38)/23*O270+H270*2+O270*3</f>
        <v>803.29565217391303</v>
      </c>
      <c r="V270" s="113">
        <f t="shared" si="56"/>
        <v>3.8252173913043479</v>
      </c>
      <c r="W270" s="114">
        <f t="shared" si="57"/>
        <v>0.54645962732919251</v>
      </c>
      <c r="X270" s="95"/>
      <c r="Y270" s="95">
        <f>5949.76/730*H270</f>
        <v>1711.5747945205478</v>
      </c>
      <c r="Z270" s="102" t="s">
        <v>345</v>
      </c>
      <c r="AA270" s="103">
        <v>45716</v>
      </c>
      <c r="AB270" s="103">
        <v>45728</v>
      </c>
      <c r="AC270" s="103"/>
      <c r="AD270" s="102">
        <f>IF(ISNA(VLOOKUP(D270,亚马逊入库配置费!B:F,5,0)),0,VLOOKUP(D270,亚马逊入库配置费!B:F,5,0))</f>
        <v>0</v>
      </c>
      <c r="AE270" s="102">
        <f t="shared" si="53"/>
        <v>0</v>
      </c>
      <c r="AF270" s="103">
        <v>45742</v>
      </c>
      <c r="AG270" s="91">
        <f t="shared" si="54"/>
        <v>26</v>
      </c>
      <c r="AH270" s="103">
        <v>45742</v>
      </c>
      <c r="AI270" s="103">
        <v>45747</v>
      </c>
      <c r="AJ270" s="96">
        <v>210</v>
      </c>
      <c r="AK270" s="91">
        <f t="shared" si="55"/>
        <v>5</v>
      </c>
      <c r="AL270" s="96">
        <f t="shared" si="58"/>
        <v>31</v>
      </c>
      <c r="AM270" s="92"/>
      <c r="AN270" s="91"/>
      <c r="AO270" s="91"/>
    </row>
    <row r="271" spans="1:41" ht="14.5" x14ac:dyDescent="0.25">
      <c r="A271" s="92" t="s">
        <v>599</v>
      </c>
      <c r="B271" s="91"/>
      <c r="C271" s="119" t="s">
        <v>596</v>
      </c>
      <c r="D271" s="120" t="s">
        <v>597</v>
      </c>
      <c r="E271" s="119" t="s">
        <v>341</v>
      </c>
      <c r="F271" s="119" t="s">
        <v>342</v>
      </c>
      <c r="G271" s="121" t="s">
        <v>176</v>
      </c>
      <c r="H271" s="119">
        <v>60</v>
      </c>
      <c r="I271" s="119" t="s">
        <v>207</v>
      </c>
      <c r="J271" s="119" t="s">
        <v>343</v>
      </c>
      <c r="K271" s="120" t="s">
        <v>532</v>
      </c>
      <c r="L271" s="93" t="s">
        <v>3029</v>
      </c>
      <c r="M271" s="94" t="s">
        <v>3306</v>
      </c>
      <c r="N271" s="95" t="s">
        <v>2876</v>
      </c>
      <c r="O271" s="132">
        <v>2</v>
      </c>
      <c r="P271" s="111">
        <f>1.18/23*O271</f>
        <v>0.10260869565217391</v>
      </c>
      <c r="Q271" s="132" t="s">
        <v>3264</v>
      </c>
      <c r="R271" s="124">
        <v>680</v>
      </c>
      <c r="S271" s="95"/>
      <c r="T271" s="98"/>
      <c r="U271" s="125">
        <f>R271*P271+(350+38)/23*O271+H271*2+O271*3</f>
        <v>229.51304347826087</v>
      </c>
      <c r="V271" s="113">
        <f t="shared" si="56"/>
        <v>3.8252173913043479</v>
      </c>
      <c r="W271" s="114">
        <f t="shared" si="57"/>
        <v>0.54645962732919251</v>
      </c>
      <c r="X271" s="95"/>
      <c r="Y271" s="95">
        <f>5949.76/730*H271</f>
        <v>489.02136986301366</v>
      </c>
      <c r="Z271" s="102" t="s">
        <v>345</v>
      </c>
      <c r="AA271" s="103">
        <v>45716</v>
      </c>
      <c r="AB271" s="103">
        <v>45728</v>
      </c>
      <c r="AC271" s="103"/>
      <c r="AD271" s="102">
        <f>IF(ISNA(VLOOKUP(D271,亚马逊入库配置费!B:F,5,0)),0,VLOOKUP(D271,亚马逊入库配置费!B:F,5,0))</f>
        <v>0</v>
      </c>
      <c r="AE271" s="102">
        <f t="shared" si="53"/>
        <v>0</v>
      </c>
      <c r="AF271" s="103">
        <v>45742</v>
      </c>
      <c r="AG271" s="91">
        <f t="shared" si="54"/>
        <v>26</v>
      </c>
      <c r="AH271" s="103">
        <v>45742</v>
      </c>
      <c r="AI271" s="103">
        <v>45747</v>
      </c>
      <c r="AJ271" s="96">
        <v>60</v>
      </c>
      <c r="AK271" s="91">
        <f t="shared" si="55"/>
        <v>5</v>
      </c>
      <c r="AL271" s="96">
        <f t="shared" si="58"/>
        <v>31</v>
      </c>
      <c r="AM271" s="92"/>
      <c r="AN271" s="91"/>
      <c r="AO271" s="91"/>
    </row>
    <row r="272" spans="1:41" ht="14.5" x14ac:dyDescent="0.25">
      <c r="A272" s="92" t="s">
        <v>600</v>
      </c>
      <c r="B272" s="91"/>
      <c r="C272" s="119" t="s">
        <v>596</v>
      </c>
      <c r="D272" s="120" t="s">
        <v>597</v>
      </c>
      <c r="E272" s="119" t="s">
        <v>341</v>
      </c>
      <c r="F272" s="119" t="s">
        <v>342</v>
      </c>
      <c r="G272" s="121" t="s">
        <v>350</v>
      </c>
      <c r="H272" s="119">
        <v>80</v>
      </c>
      <c r="I272" s="119" t="s">
        <v>207</v>
      </c>
      <c r="J272" s="119" t="s">
        <v>343</v>
      </c>
      <c r="K272" s="120" t="s">
        <v>532</v>
      </c>
      <c r="L272" s="93" t="s">
        <v>3048</v>
      </c>
      <c r="M272" s="94" t="s">
        <v>3208</v>
      </c>
      <c r="N272" s="95" t="s">
        <v>2870</v>
      </c>
      <c r="O272" s="132">
        <v>2</v>
      </c>
      <c r="P272" s="111">
        <f>1.18/23*O272</f>
        <v>0.10260869565217391</v>
      </c>
      <c r="Q272" s="132" t="s">
        <v>3264</v>
      </c>
      <c r="R272" s="124">
        <v>680</v>
      </c>
      <c r="S272" s="95"/>
      <c r="T272" s="98"/>
      <c r="U272" s="125">
        <f>R272*P272+(350+38)/23*O272+H272*2+O272*3</f>
        <v>269.5130434782609</v>
      </c>
      <c r="V272" s="113">
        <f t="shared" si="56"/>
        <v>3.368913043478261</v>
      </c>
      <c r="W272" s="114">
        <f t="shared" si="57"/>
        <v>0.48127329192546586</v>
      </c>
      <c r="X272" s="95"/>
      <c r="Y272" s="95">
        <f>5949.76/730*H272</f>
        <v>652.02849315068488</v>
      </c>
      <c r="Z272" s="102" t="s">
        <v>345</v>
      </c>
      <c r="AA272" s="103">
        <v>45716</v>
      </c>
      <c r="AB272" s="103">
        <v>45728</v>
      </c>
      <c r="AC272" s="103"/>
      <c r="AD272" s="102">
        <f>IF(ISNA(VLOOKUP(D272,亚马逊入库配置费!B:F,5,0)),0,VLOOKUP(D272,亚马逊入库配置费!B:F,5,0))</f>
        <v>0</v>
      </c>
      <c r="AE272" s="102">
        <f t="shared" si="53"/>
        <v>0</v>
      </c>
      <c r="AF272" s="103">
        <v>45742</v>
      </c>
      <c r="AG272" s="91">
        <f t="shared" si="54"/>
        <v>26</v>
      </c>
      <c r="AH272" s="103">
        <v>45742</v>
      </c>
      <c r="AI272" s="103">
        <v>45747</v>
      </c>
      <c r="AJ272" s="96">
        <v>80</v>
      </c>
      <c r="AK272" s="91">
        <f t="shared" si="55"/>
        <v>5</v>
      </c>
      <c r="AL272" s="96">
        <f t="shared" si="58"/>
        <v>31</v>
      </c>
      <c r="AM272" s="92"/>
      <c r="AN272" s="91"/>
      <c r="AO272" s="91"/>
    </row>
    <row r="273" spans="1:41" ht="14.5" x14ac:dyDescent="0.25">
      <c r="A273" s="92" t="s">
        <v>601</v>
      </c>
      <c r="B273" s="91"/>
      <c r="C273" s="119" t="s">
        <v>596</v>
      </c>
      <c r="D273" s="120" t="s">
        <v>597</v>
      </c>
      <c r="E273" s="119" t="s">
        <v>341</v>
      </c>
      <c r="F273" s="119" t="s">
        <v>342</v>
      </c>
      <c r="G273" s="121" t="s">
        <v>352</v>
      </c>
      <c r="H273" s="119">
        <v>80</v>
      </c>
      <c r="I273" s="119" t="s">
        <v>207</v>
      </c>
      <c r="J273" s="119" t="s">
        <v>343</v>
      </c>
      <c r="K273" s="120" t="s">
        <v>532</v>
      </c>
      <c r="L273" s="93" t="s">
        <v>3049</v>
      </c>
      <c r="M273" s="94" t="s">
        <v>3336</v>
      </c>
      <c r="N273" s="95" t="s">
        <v>2870</v>
      </c>
      <c r="O273" s="132">
        <v>2</v>
      </c>
      <c r="P273" s="111">
        <f>1.18/23*O273</f>
        <v>0.10260869565217391</v>
      </c>
      <c r="Q273" s="132" t="s">
        <v>3264</v>
      </c>
      <c r="R273" s="124">
        <v>680</v>
      </c>
      <c r="S273" s="95"/>
      <c r="T273" s="98"/>
      <c r="U273" s="125">
        <f>R273*P273+(350+38)/23*O273+H273*2+O273*3</f>
        <v>269.5130434782609</v>
      </c>
      <c r="V273" s="113">
        <f t="shared" si="56"/>
        <v>3.368913043478261</v>
      </c>
      <c r="W273" s="114">
        <f t="shared" si="57"/>
        <v>0.48127329192546586</v>
      </c>
      <c r="X273" s="95"/>
      <c r="Y273" s="95">
        <f>5949.76/730*H273</f>
        <v>652.02849315068488</v>
      </c>
      <c r="Z273" s="102" t="s">
        <v>345</v>
      </c>
      <c r="AA273" s="103">
        <v>45716</v>
      </c>
      <c r="AB273" s="103">
        <v>45728</v>
      </c>
      <c r="AC273" s="103"/>
      <c r="AD273" s="102">
        <f>IF(ISNA(VLOOKUP(D273,亚马逊入库配置费!B:F,5,0)),0,VLOOKUP(D273,亚马逊入库配置费!B:F,5,0))</f>
        <v>0</v>
      </c>
      <c r="AE273" s="102">
        <f t="shared" si="53"/>
        <v>0</v>
      </c>
      <c r="AF273" s="103">
        <v>45742</v>
      </c>
      <c r="AG273" s="91">
        <f t="shared" si="54"/>
        <v>26</v>
      </c>
      <c r="AH273" s="103">
        <v>45742</v>
      </c>
      <c r="AI273" s="103">
        <v>45747</v>
      </c>
      <c r="AJ273" s="96">
        <v>80</v>
      </c>
      <c r="AK273" s="91">
        <f t="shared" si="55"/>
        <v>5</v>
      </c>
      <c r="AL273" s="96">
        <f t="shared" si="58"/>
        <v>31</v>
      </c>
      <c r="AM273" s="92"/>
      <c r="AN273" s="91"/>
      <c r="AO273" s="91"/>
    </row>
    <row r="274" spans="1:41" ht="14.5" x14ac:dyDescent="0.25">
      <c r="A274" s="92" t="s">
        <v>602</v>
      </c>
      <c r="B274" s="91"/>
      <c r="C274" s="119" t="s">
        <v>603</v>
      </c>
      <c r="D274" s="120" t="s">
        <v>604</v>
      </c>
      <c r="E274" s="119" t="s">
        <v>115</v>
      </c>
      <c r="F274" s="119" t="s">
        <v>0</v>
      </c>
      <c r="G274" s="121" t="s">
        <v>209</v>
      </c>
      <c r="H274" s="119">
        <v>496</v>
      </c>
      <c r="I274" s="119" t="s">
        <v>89</v>
      </c>
      <c r="J274" s="119" t="s">
        <v>8</v>
      </c>
      <c r="K274" s="120" t="s">
        <v>17</v>
      </c>
      <c r="L274" s="93" t="s">
        <v>3033</v>
      </c>
      <c r="M274" s="94" t="s">
        <v>3311</v>
      </c>
      <c r="N274" s="95" t="s">
        <v>2869</v>
      </c>
      <c r="O274" s="132">
        <v>31</v>
      </c>
      <c r="P274" s="111">
        <f t="shared" ref="P274:P284" si="59">1602/129*O274</f>
        <v>384.97674418604652</v>
      </c>
      <c r="Q274" s="122" t="s">
        <v>16</v>
      </c>
      <c r="R274" s="124">
        <v>6.3</v>
      </c>
      <c r="S274" s="95"/>
      <c r="T274" s="98"/>
      <c r="U274" s="125">
        <f t="shared" ref="U274:U290" si="60">R274*P274+350/192*O274</f>
        <v>2481.8639050387596</v>
      </c>
      <c r="V274" s="113">
        <f t="shared" si="56"/>
        <v>5.0037578730620158</v>
      </c>
      <c r="W274" s="114">
        <f t="shared" si="57"/>
        <v>0.71482255329457367</v>
      </c>
      <c r="X274" s="95"/>
      <c r="Y274" s="95"/>
      <c r="Z274" s="102"/>
      <c r="AA274" s="103">
        <v>45716</v>
      </c>
      <c r="AB274" s="103">
        <v>45740</v>
      </c>
      <c r="AC274" s="103"/>
      <c r="AD274" s="102">
        <f>IF(ISNA(VLOOKUP(D274,亚马逊入库配置费!B:F,5,0)),0,VLOOKUP(D274,亚马逊入库配置费!B:F,5,0))</f>
        <v>0.42251856082238698</v>
      </c>
      <c r="AE274" s="102">
        <f t="shared" si="53"/>
        <v>209.56920616790393</v>
      </c>
      <c r="AF274" s="103">
        <v>45748</v>
      </c>
      <c r="AG274" s="91">
        <f t="shared" si="54"/>
        <v>32</v>
      </c>
      <c r="AH274" s="103">
        <v>45748</v>
      </c>
      <c r="AI274" s="103">
        <v>45779</v>
      </c>
      <c r="AJ274" s="96">
        <v>494</v>
      </c>
      <c r="AK274" s="91">
        <f t="shared" si="55"/>
        <v>31</v>
      </c>
      <c r="AL274" s="96">
        <f t="shared" si="58"/>
        <v>63</v>
      </c>
      <c r="AM274" s="92"/>
      <c r="AN274" s="91"/>
      <c r="AO274" s="91"/>
    </row>
    <row r="275" spans="1:41" ht="14.5" x14ac:dyDescent="0.25">
      <c r="A275" s="92" t="s">
        <v>605</v>
      </c>
      <c r="B275" s="91"/>
      <c r="C275" s="119" t="s">
        <v>603</v>
      </c>
      <c r="D275" s="120" t="s">
        <v>604</v>
      </c>
      <c r="E275" s="119" t="s">
        <v>115</v>
      </c>
      <c r="F275" s="119" t="s">
        <v>0</v>
      </c>
      <c r="G275" s="121" t="s">
        <v>606</v>
      </c>
      <c r="H275" s="119">
        <v>210</v>
      </c>
      <c r="I275" s="119" t="s">
        <v>89</v>
      </c>
      <c r="J275" s="119" t="s">
        <v>8</v>
      </c>
      <c r="K275" s="120" t="s">
        <v>17</v>
      </c>
      <c r="L275" s="93" t="s">
        <v>3075</v>
      </c>
      <c r="M275" s="94" t="s">
        <v>3376</v>
      </c>
      <c r="N275" s="95" t="s">
        <v>2869</v>
      </c>
      <c r="O275" s="132">
        <v>7</v>
      </c>
      <c r="P275" s="111">
        <f t="shared" si="59"/>
        <v>86.930232558139537</v>
      </c>
      <c r="Q275" s="122" t="s">
        <v>16</v>
      </c>
      <c r="R275" s="124">
        <v>6.3</v>
      </c>
      <c r="S275" s="95"/>
      <c r="T275" s="98"/>
      <c r="U275" s="125">
        <f t="shared" si="60"/>
        <v>560.42088178294568</v>
      </c>
      <c r="V275" s="113">
        <f t="shared" si="56"/>
        <v>2.6686708656330747</v>
      </c>
      <c r="W275" s="114">
        <f t="shared" si="57"/>
        <v>0.38123869509043923</v>
      </c>
      <c r="X275" s="95"/>
      <c r="Y275" s="95"/>
      <c r="Z275" s="102"/>
      <c r="AA275" s="103">
        <v>45716</v>
      </c>
      <c r="AB275" s="103">
        <v>45740</v>
      </c>
      <c r="AC275" s="103"/>
      <c r="AD275" s="102">
        <f>IF(ISNA(VLOOKUP(D275,亚马逊入库配置费!B:F,5,0)),0,VLOOKUP(D275,亚马逊入库配置费!B:F,5,0))</f>
        <v>0.42251856082238698</v>
      </c>
      <c r="AE275" s="102">
        <f t="shared" si="53"/>
        <v>88.728897772701259</v>
      </c>
      <c r="AF275" s="103">
        <v>45748</v>
      </c>
      <c r="AG275" s="91">
        <f t="shared" si="54"/>
        <v>32</v>
      </c>
      <c r="AH275" s="103">
        <v>45748</v>
      </c>
      <c r="AI275" s="103">
        <v>45779</v>
      </c>
      <c r="AJ275" s="96">
        <v>207</v>
      </c>
      <c r="AK275" s="91">
        <f t="shared" si="55"/>
        <v>31</v>
      </c>
      <c r="AL275" s="96">
        <f t="shared" si="58"/>
        <v>63</v>
      </c>
      <c r="AM275" s="92"/>
      <c r="AN275" s="91"/>
      <c r="AO275" s="91"/>
    </row>
    <row r="276" spans="1:41" ht="14.5" x14ac:dyDescent="0.25">
      <c r="A276" s="92" t="s">
        <v>607</v>
      </c>
      <c r="B276" s="91"/>
      <c r="C276" s="119" t="s">
        <v>603</v>
      </c>
      <c r="D276" s="120" t="s">
        <v>604</v>
      </c>
      <c r="E276" s="119" t="s">
        <v>115</v>
      </c>
      <c r="F276" s="119" t="s">
        <v>0</v>
      </c>
      <c r="G276" s="121" t="s">
        <v>608</v>
      </c>
      <c r="H276" s="119">
        <v>240</v>
      </c>
      <c r="I276" s="119" t="s">
        <v>89</v>
      </c>
      <c r="J276" s="119" t="s">
        <v>8</v>
      </c>
      <c r="K276" s="120" t="s">
        <v>17</v>
      </c>
      <c r="L276" s="93" t="s">
        <v>3076</v>
      </c>
      <c r="M276" s="94" t="s">
        <v>3377</v>
      </c>
      <c r="N276" s="95" t="s">
        <v>2869</v>
      </c>
      <c r="O276" s="132">
        <v>8</v>
      </c>
      <c r="P276" s="111">
        <f t="shared" si="59"/>
        <v>99.348837209302332</v>
      </c>
      <c r="Q276" s="122" t="s">
        <v>16</v>
      </c>
      <c r="R276" s="124">
        <v>6.3</v>
      </c>
      <c r="S276" s="95"/>
      <c r="T276" s="98"/>
      <c r="U276" s="125">
        <f t="shared" si="60"/>
        <v>640.48100775193802</v>
      </c>
      <c r="V276" s="113">
        <f t="shared" si="56"/>
        <v>2.6686708656330751</v>
      </c>
      <c r="W276" s="114">
        <f t="shared" si="57"/>
        <v>0.38123869509043928</v>
      </c>
      <c r="X276" s="95"/>
      <c r="Y276" s="95"/>
      <c r="Z276" s="102"/>
      <c r="AA276" s="103">
        <v>45716</v>
      </c>
      <c r="AB276" s="103">
        <v>45740</v>
      </c>
      <c r="AC276" s="103"/>
      <c r="AD276" s="102">
        <f>IF(ISNA(VLOOKUP(D276,亚马逊入库配置费!B:F,5,0)),0,VLOOKUP(D276,亚马逊入库配置费!B:F,5,0))</f>
        <v>0.42251856082238698</v>
      </c>
      <c r="AE276" s="102">
        <f t="shared" si="53"/>
        <v>101.40445459737288</v>
      </c>
      <c r="AF276" s="103">
        <v>45748</v>
      </c>
      <c r="AG276" s="91">
        <f t="shared" si="54"/>
        <v>32</v>
      </c>
      <c r="AH276" s="103">
        <v>45748</v>
      </c>
      <c r="AI276" s="103">
        <v>45779</v>
      </c>
      <c r="AJ276" s="96">
        <v>237</v>
      </c>
      <c r="AK276" s="91">
        <f t="shared" si="55"/>
        <v>31</v>
      </c>
      <c r="AL276" s="96">
        <f t="shared" si="58"/>
        <v>63</v>
      </c>
      <c r="AM276" s="92"/>
      <c r="AN276" s="91"/>
      <c r="AO276" s="91"/>
    </row>
    <row r="277" spans="1:41" ht="14.5" x14ac:dyDescent="0.25">
      <c r="A277" s="92" t="s">
        <v>609</v>
      </c>
      <c r="B277" s="91"/>
      <c r="C277" s="119" t="s">
        <v>603</v>
      </c>
      <c r="D277" s="120" t="s">
        <v>604</v>
      </c>
      <c r="E277" s="119" t="s">
        <v>115</v>
      </c>
      <c r="F277" s="119" t="s">
        <v>0</v>
      </c>
      <c r="G277" s="121" t="s">
        <v>485</v>
      </c>
      <c r="H277" s="119">
        <v>1080</v>
      </c>
      <c r="I277" s="119" t="s">
        <v>89</v>
      </c>
      <c r="J277" s="119" t="s">
        <v>8</v>
      </c>
      <c r="K277" s="120" t="s">
        <v>17</v>
      </c>
      <c r="L277" s="93" t="s">
        <v>3065</v>
      </c>
      <c r="M277" s="94" t="s">
        <v>3358</v>
      </c>
      <c r="N277" s="95" t="s">
        <v>2869</v>
      </c>
      <c r="O277" s="132">
        <v>36</v>
      </c>
      <c r="P277" s="111">
        <f t="shared" si="59"/>
        <v>447.06976744186051</v>
      </c>
      <c r="Q277" s="122" t="s">
        <v>16</v>
      </c>
      <c r="R277" s="124">
        <v>6.3</v>
      </c>
      <c r="S277" s="95"/>
      <c r="T277" s="98"/>
      <c r="U277" s="125">
        <f t="shared" si="60"/>
        <v>2882.164534883721</v>
      </c>
      <c r="V277" s="113">
        <f t="shared" si="56"/>
        <v>2.6686708656330751</v>
      </c>
      <c r="W277" s="114">
        <f t="shared" si="57"/>
        <v>0.38123869509043928</v>
      </c>
      <c r="X277" s="95"/>
      <c r="Y277" s="95"/>
      <c r="Z277" s="102"/>
      <c r="AA277" s="103">
        <v>45716</v>
      </c>
      <c r="AB277" s="103">
        <v>45740</v>
      </c>
      <c r="AC277" s="103"/>
      <c r="AD277" s="102">
        <f>IF(ISNA(VLOOKUP(D277,亚马逊入库配置费!B:F,5,0)),0,VLOOKUP(D277,亚马逊入库配置费!B:F,5,0))</f>
        <v>0.42251856082238698</v>
      </c>
      <c r="AE277" s="102">
        <f t="shared" si="53"/>
        <v>456.32004568817791</v>
      </c>
      <c r="AF277" s="103">
        <v>45748</v>
      </c>
      <c r="AG277" s="91">
        <f t="shared" si="54"/>
        <v>32</v>
      </c>
      <c r="AH277" s="103">
        <v>45748</v>
      </c>
      <c r="AI277" s="103">
        <v>45779</v>
      </c>
      <c r="AJ277" s="96">
        <v>1051</v>
      </c>
      <c r="AK277" s="91">
        <f t="shared" si="55"/>
        <v>31</v>
      </c>
      <c r="AL277" s="96">
        <f t="shared" si="58"/>
        <v>63</v>
      </c>
      <c r="AM277" s="92"/>
      <c r="AN277" s="91"/>
      <c r="AO277" s="91"/>
    </row>
    <row r="278" spans="1:41" ht="14.5" x14ac:dyDescent="0.25">
      <c r="A278" s="92" t="s">
        <v>610</v>
      </c>
      <c r="B278" s="91"/>
      <c r="C278" s="119" t="s">
        <v>603</v>
      </c>
      <c r="D278" s="120" t="s">
        <v>604</v>
      </c>
      <c r="E278" s="119" t="s">
        <v>115</v>
      </c>
      <c r="F278" s="119" t="s">
        <v>0</v>
      </c>
      <c r="G278" s="121" t="s">
        <v>487</v>
      </c>
      <c r="H278" s="119">
        <v>300</v>
      </c>
      <c r="I278" s="119" t="s">
        <v>89</v>
      </c>
      <c r="J278" s="119" t="s">
        <v>8</v>
      </c>
      <c r="K278" s="120" t="s">
        <v>17</v>
      </c>
      <c r="L278" s="93" t="s">
        <v>3066</v>
      </c>
      <c r="M278" s="94" t="s">
        <v>3359</v>
      </c>
      <c r="N278" s="95" t="s">
        <v>2869</v>
      </c>
      <c r="O278" s="132">
        <v>10</v>
      </c>
      <c r="P278" s="111">
        <f t="shared" si="59"/>
        <v>124.18604651162792</v>
      </c>
      <c r="Q278" s="122" t="s">
        <v>16</v>
      </c>
      <c r="R278" s="124">
        <v>6.3</v>
      </c>
      <c r="S278" s="95"/>
      <c r="T278" s="98"/>
      <c r="U278" s="125">
        <f t="shared" si="60"/>
        <v>800.60125968992247</v>
      </c>
      <c r="V278" s="113">
        <f t="shared" si="56"/>
        <v>2.6686708656330751</v>
      </c>
      <c r="W278" s="114">
        <f t="shared" si="57"/>
        <v>0.38123869509043928</v>
      </c>
      <c r="X278" s="95"/>
      <c r="Y278" s="95"/>
      <c r="Z278" s="102"/>
      <c r="AA278" s="103">
        <v>45716</v>
      </c>
      <c r="AB278" s="103">
        <v>45740</v>
      </c>
      <c r="AC278" s="103"/>
      <c r="AD278" s="102">
        <f>IF(ISNA(VLOOKUP(D278,亚马逊入库配置费!B:F,5,0)),0,VLOOKUP(D278,亚马逊入库配置费!B:F,5,0))</f>
        <v>0.42251856082238698</v>
      </c>
      <c r="AE278" s="102">
        <f t="shared" si="53"/>
        <v>126.75556824671609</v>
      </c>
      <c r="AF278" s="103">
        <v>45748</v>
      </c>
      <c r="AG278" s="91">
        <f t="shared" si="54"/>
        <v>32</v>
      </c>
      <c r="AH278" s="103">
        <v>45748</v>
      </c>
      <c r="AI278" s="103">
        <v>45779</v>
      </c>
      <c r="AJ278" s="96">
        <v>300</v>
      </c>
      <c r="AK278" s="91">
        <f t="shared" si="55"/>
        <v>31</v>
      </c>
      <c r="AL278" s="96">
        <f t="shared" si="58"/>
        <v>63</v>
      </c>
      <c r="AM278" s="92"/>
      <c r="AN278" s="91"/>
      <c r="AO278" s="91"/>
    </row>
    <row r="279" spans="1:41" ht="14.5" x14ac:dyDescent="0.25">
      <c r="A279" s="92" t="s">
        <v>611</v>
      </c>
      <c r="B279" s="91"/>
      <c r="C279" s="119" t="s">
        <v>603</v>
      </c>
      <c r="D279" s="120" t="s">
        <v>604</v>
      </c>
      <c r="E279" s="119" t="s">
        <v>115</v>
      </c>
      <c r="F279" s="119" t="s">
        <v>0</v>
      </c>
      <c r="G279" s="121" t="s">
        <v>481</v>
      </c>
      <c r="H279" s="119">
        <v>330</v>
      </c>
      <c r="I279" s="119" t="s">
        <v>89</v>
      </c>
      <c r="J279" s="119" t="s">
        <v>8</v>
      </c>
      <c r="K279" s="120" t="s">
        <v>17</v>
      </c>
      <c r="L279" s="93" t="s">
        <v>3064</v>
      </c>
      <c r="M279" s="94" t="s">
        <v>3356</v>
      </c>
      <c r="N279" s="95" t="s">
        <v>2869</v>
      </c>
      <c r="O279" s="132">
        <v>11</v>
      </c>
      <c r="P279" s="111">
        <f t="shared" si="59"/>
        <v>136.6046511627907</v>
      </c>
      <c r="Q279" s="122" t="s">
        <v>16</v>
      </c>
      <c r="R279" s="124">
        <v>6.3</v>
      </c>
      <c r="S279" s="95"/>
      <c r="T279" s="98"/>
      <c r="U279" s="125">
        <f t="shared" si="60"/>
        <v>880.66138565891481</v>
      </c>
      <c r="V279" s="113">
        <f t="shared" si="56"/>
        <v>2.6686708656330751</v>
      </c>
      <c r="W279" s="114">
        <f t="shared" si="57"/>
        <v>0.38123869509043928</v>
      </c>
      <c r="X279" s="95"/>
      <c r="Y279" s="95"/>
      <c r="Z279" s="102"/>
      <c r="AA279" s="103">
        <v>45716</v>
      </c>
      <c r="AB279" s="103">
        <v>45740</v>
      </c>
      <c r="AC279" s="103"/>
      <c r="AD279" s="102">
        <f>IF(ISNA(VLOOKUP(D279,亚马逊入库配置费!B:F,5,0)),0,VLOOKUP(D279,亚马逊入库配置费!B:F,5,0))</f>
        <v>0.42251856082238698</v>
      </c>
      <c r="AE279" s="102">
        <f t="shared" si="53"/>
        <v>139.4311250713877</v>
      </c>
      <c r="AF279" s="103">
        <v>45748</v>
      </c>
      <c r="AG279" s="91">
        <f t="shared" si="54"/>
        <v>32</v>
      </c>
      <c r="AH279" s="103">
        <v>45748</v>
      </c>
      <c r="AI279" s="103">
        <v>45779</v>
      </c>
      <c r="AJ279" s="96">
        <v>330</v>
      </c>
      <c r="AK279" s="91">
        <f t="shared" si="55"/>
        <v>31</v>
      </c>
      <c r="AL279" s="96">
        <f t="shared" si="58"/>
        <v>63</v>
      </c>
      <c r="AM279" s="92"/>
      <c r="AN279" s="91"/>
      <c r="AO279" s="91"/>
    </row>
    <row r="280" spans="1:41" ht="14.5" x14ac:dyDescent="0.25">
      <c r="A280" s="92" t="s">
        <v>612</v>
      </c>
      <c r="B280" s="91"/>
      <c r="C280" s="119" t="s">
        <v>603</v>
      </c>
      <c r="D280" s="120" t="s">
        <v>604</v>
      </c>
      <c r="E280" s="119" t="s">
        <v>115</v>
      </c>
      <c r="F280" s="119" t="s">
        <v>0</v>
      </c>
      <c r="G280" s="121" t="s">
        <v>213</v>
      </c>
      <c r="H280" s="119">
        <v>450</v>
      </c>
      <c r="I280" s="119" t="s">
        <v>89</v>
      </c>
      <c r="J280" s="119" t="s">
        <v>8</v>
      </c>
      <c r="K280" s="120" t="s">
        <v>17</v>
      </c>
      <c r="L280" s="93" t="s">
        <v>3035</v>
      </c>
      <c r="M280" s="94" t="s">
        <v>3313</v>
      </c>
      <c r="N280" s="95" t="s">
        <v>2869</v>
      </c>
      <c r="O280" s="132">
        <v>15</v>
      </c>
      <c r="P280" s="111">
        <f t="shared" si="59"/>
        <v>186.27906976744188</v>
      </c>
      <c r="Q280" s="122" t="s">
        <v>16</v>
      </c>
      <c r="R280" s="124">
        <v>6.3</v>
      </c>
      <c r="S280" s="95"/>
      <c r="T280" s="98"/>
      <c r="U280" s="125">
        <f t="shared" si="60"/>
        <v>1200.9018895348838</v>
      </c>
      <c r="V280" s="113">
        <f t="shared" si="56"/>
        <v>2.6686708656330751</v>
      </c>
      <c r="W280" s="114">
        <f t="shared" si="57"/>
        <v>0.38123869509043928</v>
      </c>
      <c r="X280" s="95"/>
      <c r="Y280" s="95"/>
      <c r="Z280" s="102"/>
      <c r="AA280" s="103">
        <v>45716</v>
      </c>
      <c r="AB280" s="103">
        <v>45740</v>
      </c>
      <c r="AC280" s="103"/>
      <c r="AD280" s="102">
        <f>IF(ISNA(VLOOKUP(D280,亚马逊入库配置费!B:F,5,0)),0,VLOOKUP(D280,亚马逊入库配置费!B:F,5,0))</f>
        <v>0.42251856082238698</v>
      </c>
      <c r="AE280" s="102">
        <f t="shared" si="53"/>
        <v>190.13335237007414</v>
      </c>
      <c r="AF280" s="103">
        <v>45748</v>
      </c>
      <c r="AG280" s="91">
        <f t="shared" si="54"/>
        <v>32</v>
      </c>
      <c r="AH280" s="103">
        <v>45748</v>
      </c>
      <c r="AI280" s="103">
        <v>45779</v>
      </c>
      <c r="AJ280" s="96">
        <v>450</v>
      </c>
      <c r="AK280" s="91">
        <f t="shared" si="55"/>
        <v>31</v>
      </c>
      <c r="AL280" s="96">
        <f t="shared" si="58"/>
        <v>63</v>
      </c>
      <c r="AM280" s="92"/>
      <c r="AN280" s="91"/>
      <c r="AO280" s="91"/>
    </row>
    <row r="281" spans="1:41" ht="14.5" x14ac:dyDescent="0.25">
      <c r="A281" s="92" t="s">
        <v>613</v>
      </c>
      <c r="B281" s="91"/>
      <c r="C281" s="119" t="s">
        <v>603</v>
      </c>
      <c r="D281" s="120" t="s">
        <v>604</v>
      </c>
      <c r="E281" s="119" t="s">
        <v>115</v>
      </c>
      <c r="F281" s="119" t="s">
        <v>0</v>
      </c>
      <c r="G281" s="121" t="s">
        <v>614</v>
      </c>
      <c r="H281" s="119">
        <v>36</v>
      </c>
      <c r="I281" s="119" t="s">
        <v>89</v>
      </c>
      <c r="J281" s="119" t="s">
        <v>8</v>
      </c>
      <c r="K281" s="120" t="s">
        <v>17</v>
      </c>
      <c r="L281" s="93" t="s">
        <v>2695</v>
      </c>
      <c r="M281" s="94" t="s">
        <v>3215</v>
      </c>
      <c r="N281" s="95" t="s">
        <v>2822</v>
      </c>
      <c r="O281" s="132">
        <v>1</v>
      </c>
      <c r="P281" s="111">
        <f t="shared" si="59"/>
        <v>12.418604651162791</v>
      </c>
      <c r="Q281" s="122" t="s">
        <v>16</v>
      </c>
      <c r="R281" s="124">
        <v>6.3</v>
      </c>
      <c r="S281" s="95"/>
      <c r="T281" s="98"/>
      <c r="U281" s="125">
        <f t="shared" si="60"/>
        <v>80.060125968992253</v>
      </c>
      <c r="V281" s="113">
        <f t="shared" si="56"/>
        <v>2.2238923880275627</v>
      </c>
      <c r="W281" s="114">
        <f t="shared" si="57"/>
        <v>0.31769891257536609</v>
      </c>
      <c r="X281" s="95"/>
      <c r="Y281" s="95"/>
      <c r="Z281" s="102"/>
      <c r="AA281" s="103">
        <v>45716</v>
      </c>
      <c r="AB281" s="103">
        <v>45740</v>
      </c>
      <c r="AC281" s="103"/>
      <c r="AD281" s="102">
        <f>IF(ISNA(VLOOKUP(D281,亚马逊入库配置费!B:F,5,0)),0,VLOOKUP(D281,亚马逊入库配置费!B:F,5,0))</f>
        <v>0.42251856082238698</v>
      </c>
      <c r="AE281" s="102">
        <f t="shared" si="53"/>
        <v>15.210668189605931</v>
      </c>
      <c r="AF281" s="103">
        <v>45748</v>
      </c>
      <c r="AG281" s="91">
        <f t="shared" si="54"/>
        <v>32</v>
      </c>
      <c r="AH281" s="103">
        <v>45748</v>
      </c>
      <c r="AI281" s="103">
        <v>45779</v>
      </c>
      <c r="AJ281" s="96">
        <v>36</v>
      </c>
      <c r="AK281" s="91">
        <f t="shared" si="55"/>
        <v>31</v>
      </c>
      <c r="AL281" s="96">
        <f t="shared" si="58"/>
        <v>63</v>
      </c>
      <c r="AM281" s="92"/>
      <c r="AN281" s="91"/>
      <c r="AO281" s="91"/>
    </row>
    <row r="282" spans="1:41" ht="14.5" x14ac:dyDescent="0.25">
      <c r="A282" s="92" t="s">
        <v>615</v>
      </c>
      <c r="B282" s="91"/>
      <c r="C282" s="119" t="s">
        <v>603</v>
      </c>
      <c r="D282" s="120" t="s">
        <v>604</v>
      </c>
      <c r="E282" s="119" t="s">
        <v>115</v>
      </c>
      <c r="F282" s="119" t="s">
        <v>0</v>
      </c>
      <c r="G282" s="121" t="s">
        <v>594</v>
      </c>
      <c r="H282" s="119">
        <v>324</v>
      </c>
      <c r="I282" s="119" t="s">
        <v>89</v>
      </c>
      <c r="J282" s="119" t="s">
        <v>8</v>
      </c>
      <c r="K282" s="120" t="s">
        <v>17</v>
      </c>
      <c r="L282" s="93" t="s">
        <v>2694</v>
      </c>
      <c r="M282" s="94" t="s">
        <v>3214</v>
      </c>
      <c r="N282" s="95" t="s">
        <v>2822</v>
      </c>
      <c r="O282" s="132">
        <v>9</v>
      </c>
      <c r="P282" s="111">
        <f t="shared" si="59"/>
        <v>111.76744186046513</v>
      </c>
      <c r="Q282" s="122" t="s">
        <v>16</v>
      </c>
      <c r="R282" s="124">
        <v>6.3</v>
      </c>
      <c r="S282" s="95"/>
      <c r="T282" s="98"/>
      <c r="U282" s="125">
        <f t="shared" si="60"/>
        <v>720.54113372093025</v>
      </c>
      <c r="V282" s="113">
        <f t="shared" si="56"/>
        <v>2.2238923880275623</v>
      </c>
      <c r="W282" s="114">
        <f t="shared" si="57"/>
        <v>0.31769891257536603</v>
      </c>
      <c r="X282" s="95"/>
      <c r="Y282" s="95"/>
      <c r="Z282" s="102"/>
      <c r="AA282" s="103">
        <v>45716</v>
      </c>
      <c r="AB282" s="103">
        <v>45740</v>
      </c>
      <c r="AC282" s="103"/>
      <c r="AD282" s="102">
        <f>IF(ISNA(VLOOKUP(D282,亚马逊入库配置费!B:F,5,0)),0,VLOOKUP(D282,亚马逊入库配置费!B:F,5,0))</f>
        <v>0.42251856082238698</v>
      </c>
      <c r="AE282" s="102">
        <f t="shared" si="53"/>
        <v>136.89601370645337</v>
      </c>
      <c r="AF282" s="103">
        <v>45748</v>
      </c>
      <c r="AG282" s="91">
        <f t="shared" si="54"/>
        <v>32</v>
      </c>
      <c r="AH282" s="103">
        <v>45748</v>
      </c>
      <c r="AI282" s="103">
        <v>45779</v>
      </c>
      <c r="AJ282" s="96">
        <v>324</v>
      </c>
      <c r="AK282" s="91">
        <f t="shared" si="55"/>
        <v>31</v>
      </c>
      <c r="AL282" s="96">
        <f t="shared" si="58"/>
        <v>63</v>
      </c>
      <c r="AM282" s="92"/>
      <c r="AN282" s="91"/>
      <c r="AO282" s="91"/>
    </row>
    <row r="283" spans="1:41" ht="14.5" x14ac:dyDescent="0.25">
      <c r="A283" s="92" t="s">
        <v>616</v>
      </c>
      <c r="B283" s="91"/>
      <c r="C283" s="119" t="s">
        <v>603</v>
      </c>
      <c r="D283" s="120" t="s">
        <v>604</v>
      </c>
      <c r="E283" s="119" t="s">
        <v>115</v>
      </c>
      <c r="F283" s="119" t="s">
        <v>0</v>
      </c>
      <c r="G283" s="121" t="s">
        <v>614</v>
      </c>
      <c r="H283" s="119">
        <v>16</v>
      </c>
      <c r="I283" s="119" t="s">
        <v>89</v>
      </c>
      <c r="J283" s="119" t="s">
        <v>8</v>
      </c>
      <c r="K283" s="120" t="s">
        <v>17</v>
      </c>
      <c r="L283" s="93" t="s">
        <v>2695</v>
      </c>
      <c r="M283" s="94" t="s">
        <v>3215</v>
      </c>
      <c r="N283" s="95" t="s">
        <v>2822</v>
      </c>
      <c r="O283" s="132">
        <v>0.5</v>
      </c>
      <c r="P283" s="111">
        <f t="shared" si="59"/>
        <v>6.2093023255813957</v>
      </c>
      <c r="Q283" s="122" t="s">
        <v>16</v>
      </c>
      <c r="R283" s="124">
        <v>6.3</v>
      </c>
      <c r="S283" s="95"/>
      <c r="T283" s="98"/>
      <c r="U283" s="125">
        <f t="shared" si="60"/>
        <v>40.030062984496126</v>
      </c>
      <c r="V283" s="113">
        <f t="shared" si="56"/>
        <v>2.5018789365310079</v>
      </c>
      <c r="W283" s="114">
        <f t="shared" si="57"/>
        <v>0.35741127664728684</v>
      </c>
      <c r="X283" s="95"/>
      <c r="Y283" s="95"/>
      <c r="Z283" s="102"/>
      <c r="AA283" s="103">
        <v>45716</v>
      </c>
      <c r="AB283" s="103">
        <v>45740</v>
      </c>
      <c r="AC283" s="103"/>
      <c r="AD283" s="102">
        <f>IF(ISNA(VLOOKUP(D283,亚马逊入库配置费!B:F,5,0)),0,VLOOKUP(D283,亚马逊入库配置费!B:F,5,0))</f>
        <v>0.42251856082238698</v>
      </c>
      <c r="AE283" s="102">
        <f t="shared" si="53"/>
        <v>6.7602969731581917</v>
      </c>
      <c r="AF283" s="103">
        <v>45748</v>
      </c>
      <c r="AG283" s="91">
        <f t="shared" si="54"/>
        <v>32</v>
      </c>
      <c r="AH283" s="103">
        <v>45748</v>
      </c>
      <c r="AI283" s="103">
        <v>45779</v>
      </c>
      <c r="AJ283" s="96">
        <v>14</v>
      </c>
      <c r="AK283" s="91">
        <f t="shared" si="55"/>
        <v>31</v>
      </c>
      <c r="AL283" s="96">
        <f t="shared" si="58"/>
        <v>63</v>
      </c>
      <c r="AM283" s="92"/>
      <c r="AN283" s="91"/>
      <c r="AO283" s="91"/>
    </row>
    <row r="284" spans="1:41" ht="14.5" x14ac:dyDescent="0.25">
      <c r="A284" s="92" t="s">
        <v>617</v>
      </c>
      <c r="B284" s="91"/>
      <c r="C284" s="119" t="s">
        <v>603</v>
      </c>
      <c r="D284" s="120" t="s">
        <v>604</v>
      </c>
      <c r="E284" s="119" t="s">
        <v>115</v>
      </c>
      <c r="F284" s="119" t="s">
        <v>0</v>
      </c>
      <c r="G284" s="121" t="s">
        <v>594</v>
      </c>
      <c r="H284" s="119">
        <v>20</v>
      </c>
      <c r="I284" s="119" t="s">
        <v>89</v>
      </c>
      <c r="J284" s="119" t="s">
        <v>8</v>
      </c>
      <c r="K284" s="120" t="s">
        <v>17</v>
      </c>
      <c r="L284" s="93" t="s">
        <v>2694</v>
      </c>
      <c r="M284" s="94" t="s">
        <v>3214</v>
      </c>
      <c r="N284" s="95" t="s">
        <v>2822</v>
      </c>
      <c r="O284" s="132">
        <v>0.5</v>
      </c>
      <c r="P284" s="111">
        <f t="shared" si="59"/>
        <v>6.2093023255813957</v>
      </c>
      <c r="Q284" s="122" t="s">
        <v>16</v>
      </c>
      <c r="R284" s="124">
        <v>6.3</v>
      </c>
      <c r="S284" s="95"/>
      <c r="T284" s="98"/>
      <c r="U284" s="125">
        <f t="shared" si="60"/>
        <v>40.030062984496126</v>
      </c>
      <c r="V284" s="113">
        <f t="shared" si="56"/>
        <v>2.0015031492248063</v>
      </c>
      <c r="W284" s="114">
        <f t="shared" si="57"/>
        <v>0.28592902131782949</v>
      </c>
      <c r="X284" s="95"/>
      <c r="Y284" s="95"/>
      <c r="Z284" s="102"/>
      <c r="AA284" s="103">
        <v>45716</v>
      </c>
      <c r="AB284" s="103">
        <v>45740</v>
      </c>
      <c r="AC284" s="103"/>
      <c r="AD284" s="102">
        <f>IF(ISNA(VLOOKUP(D284,亚马逊入库配置费!B:F,5,0)),0,VLOOKUP(D284,亚马逊入库配置费!B:F,5,0))</f>
        <v>0.42251856082238698</v>
      </c>
      <c r="AE284" s="102">
        <f t="shared" si="53"/>
        <v>8.4503712164477403</v>
      </c>
      <c r="AF284" s="103">
        <v>45748</v>
      </c>
      <c r="AG284" s="91">
        <f t="shared" si="54"/>
        <v>32</v>
      </c>
      <c r="AH284" s="103">
        <v>45748</v>
      </c>
      <c r="AI284" s="103">
        <v>45779</v>
      </c>
      <c r="AJ284" s="96">
        <v>20</v>
      </c>
      <c r="AK284" s="91">
        <f t="shared" si="55"/>
        <v>31</v>
      </c>
      <c r="AL284" s="96">
        <f t="shared" si="58"/>
        <v>63</v>
      </c>
      <c r="AM284" s="92"/>
      <c r="AN284" s="91"/>
      <c r="AO284" s="91"/>
    </row>
    <row r="285" spans="1:41" ht="14.5" x14ac:dyDescent="0.25">
      <c r="A285" s="92" t="s">
        <v>618</v>
      </c>
      <c r="B285" s="91"/>
      <c r="C285" s="119" t="s">
        <v>603</v>
      </c>
      <c r="D285" s="120" t="s">
        <v>619</v>
      </c>
      <c r="E285" s="119" t="s">
        <v>416</v>
      </c>
      <c r="F285" s="119" t="s">
        <v>0</v>
      </c>
      <c r="G285" s="121" t="s">
        <v>448</v>
      </c>
      <c r="H285" s="119">
        <v>140</v>
      </c>
      <c r="I285" s="119" t="s">
        <v>89</v>
      </c>
      <c r="J285" s="119" t="s">
        <v>8</v>
      </c>
      <c r="K285" s="120" t="s">
        <v>10</v>
      </c>
      <c r="L285" s="93" t="s">
        <v>3056</v>
      </c>
      <c r="M285" s="94" t="s">
        <v>3348</v>
      </c>
      <c r="N285" s="95" t="s">
        <v>2865</v>
      </c>
      <c r="O285" s="132">
        <v>2</v>
      </c>
      <c r="P285" s="111">
        <v>32</v>
      </c>
      <c r="Q285" s="122" t="s">
        <v>16</v>
      </c>
      <c r="R285" s="124">
        <v>5.5</v>
      </c>
      <c r="S285" s="95"/>
      <c r="T285" s="98"/>
      <c r="U285" s="125">
        <f t="shared" si="60"/>
        <v>179.64583333333334</v>
      </c>
      <c r="V285" s="113">
        <f t="shared" si="56"/>
        <v>1.2831845238095239</v>
      </c>
      <c r="W285" s="114">
        <f t="shared" si="57"/>
        <v>0.18331207482993198</v>
      </c>
      <c r="X285" s="95"/>
      <c r="Y285" s="95"/>
      <c r="Z285" s="102"/>
      <c r="AA285" s="103">
        <v>45716</v>
      </c>
      <c r="AB285" s="103">
        <v>45740</v>
      </c>
      <c r="AC285" s="103"/>
      <c r="AD285" s="102">
        <f>IF(ISNA(VLOOKUP(D285,亚马逊入库配置费!B:F,5,0)),0,VLOOKUP(D285,亚马逊入库配置费!B:F,5,0))</f>
        <v>0.34</v>
      </c>
      <c r="AE285" s="102">
        <f t="shared" si="53"/>
        <v>47.6</v>
      </c>
      <c r="AF285" s="103">
        <v>45747</v>
      </c>
      <c r="AG285" s="91">
        <f t="shared" si="54"/>
        <v>31</v>
      </c>
      <c r="AH285" s="103">
        <v>45747</v>
      </c>
      <c r="AI285" s="103">
        <v>45777</v>
      </c>
      <c r="AJ285" s="96">
        <v>140</v>
      </c>
      <c r="AK285" s="91">
        <f t="shared" si="55"/>
        <v>30</v>
      </c>
      <c r="AL285" s="96">
        <f t="shared" si="58"/>
        <v>61</v>
      </c>
      <c r="AM285" s="92"/>
      <c r="AN285" s="91"/>
      <c r="AO285" s="91"/>
    </row>
    <row r="286" spans="1:41" ht="14.5" x14ac:dyDescent="0.25">
      <c r="A286" s="92" t="s">
        <v>620</v>
      </c>
      <c r="B286" s="91"/>
      <c r="C286" s="119" t="s">
        <v>603</v>
      </c>
      <c r="D286" s="120" t="s">
        <v>619</v>
      </c>
      <c r="E286" s="119" t="s">
        <v>416</v>
      </c>
      <c r="F286" s="119" t="s">
        <v>0</v>
      </c>
      <c r="G286" s="121" t="s">
        <v>453</v>
      </c>
      <c r="H286" s="119">
        <v>280</v>
      </c>
      <c r="I286" s="119" t="s">
        <v>89</v>
      </c>
      <c r="J286" s="119" t="s">
        <v>8</v>
      </c>
      <c r="K286" s="120" t="s">
        <v>10</v>
      </c>
      <c r="L286" s="93" t="s">
        <v>3058</v>
      </c>
      <c r="M286" s="94" t="s">
        <v>3350</v>
      </c>
      <c r="N286" s="95" t="s">
        <v>2865</v>
      </c>
      <c r="O286" s="132">
        <v>4</v>
      </c>
      <c r="P286" s="111">
        <v>64</v>
      </c>
      <c r="Q286" s="122" t="s">
        <v>16</v>
      </c>
      <c r="R286" s="124">
        <v>5.5</v>
      </c>
      <c r="S286" s="95"/>
      <c r="T286" s="98"/>
      <c r="U286" s="125">
        <f t="shared" si="60"/>
        <v>359.29166666666669</v>
      </c>
      <c r="V286" s="113">
        <f t="shared" si="56"/>
        <v>1.2831845238095239</v>
      </c>
      <c r="W286" s="114">
        <f t="shared" si="57"/>
        <v>0.18331207482993198</v>
      </c>
      <c r="X286" s="95"/>
      <c r="Y286" s="95"/>
      <c r="Z286" s="102"/>
      <c r="AA286" s="103">
        <v>45716</v>
      </c>
      <c r="AB286" s="103">
        <v>45740</v>
      </c>
      <c r="AC286" s="103"/>
      <c r="AD286" s="102">
        <f>IF(ISNA(VLOOKUP(D286,亚马逊入库配置费!B:F,5,0)),0,VLOOKUP(D286,亚马逊入库配置费!B:F,5,0))</f>
        <v>0.34</v>
      </c>
      <c r="AE286" s="102">
        <f t="shared" si="53"/>
        <v>95.2</v>
      </c>
      <c r="AF286" s="103">
        <v>45747</v>
      </c>
      <c r="AG286" s="91">
        <f t="shared" si="54"/>
        <v>31</v>
      </c>
      <c r="AH286" s="103">
        <v>45747</v>
      </c>
      <c r="AI286" s="103">
        <v>45777</v>
      </c>
      <c r="AJ286" s="96">
        <v>280</v>
      </c>
      <c r="AK286" s="91">
        <f t="shared" si="55"/>
        <v>30</v>
      </c>
      <c r="AL286" s="96">
        <f t="shared" si="58"/>
        <v>61</v>
      </c>
      <c r="AM286" s="92"/>
      <c r="AN286" s="91"/>
      <c r="AO286" s="91"/>
    </row>
    <row r="287" spans="1:41" ht="14.5" x14ac:dyDescent="0.25">
      <c r="A287" s="92" t="s">
        <v>621</v>
      </c>
      <c r="B287" s="91"/>
      <c r="C287" s="119" t="s">
        <v>603</v>
      </c>
      <c r="D287" s="120" t="s">
        <v>622</v>
      </c>
      <c r="E287" s="119" t="s">
        <v>115</v>
      </c>
      <c r="F287" s="119" t="s">
        <v>0</v>
      </c>
      <c r="G287" s="121" t="s">
        <v>448</v>
      </c>
      <c r="H287" s="119">
        <v>420</v>
      </c>
      <c r="I287" s="119" t="s">
        <v>89</v>
      </c>
      <c r="J287" s="119" t="s">
        <v>8</v>
      </c>
      <c r="K287" s="120" t="s">
        <v>10</v>
      </c>
      <c r="L287" s="93" t="s">
        <v>3056</v>
      </c>
      <c r="M287" s="94" t="s">
        <v>3348</v>
      </c>
      <c r="N287" s="95" t="s">
        <v>2865</v>
      </c>
      <c r="O287" s="132">
        <v>6</v>
      </c>
      <c r="P287" s="111">
        <v>96</v>
      </c>
      <c r="Q287" s="122" t="s">
        <v>16</v>
      </c>
      <c r="R287" s="124">
        <v>5.5</v>
      </c>
      <c r="S287" s="95"/>
      <c r="T287" s="98"/>
      <c r="U287" s="125">
        <f t="shared" si="60"/>
        <v>538.9375</v>
      </c>
      <c r="V287" s="113">
        <f t="shared" si="56"/>
        <v>1.2831845238095239</v>
      </c>
      <c r="W287" s="114">
        <f t="shared" si="57"/>
        <v>0.18331207482993198</v>
      </c>
      <c r="X287" s="95"/>
      <c r="Y287" s="95"/>
      <c r="Z287" s="102"/>
      <c r="AA287" s="103">
        <v>45716</v>
      </c>
      <c r="AB287" s="103">
        <v>45740</v>
      </c>
      <c r="AC287" s="103"/>
      <c r="AD287" s="102">
        <f>IF(ISNA(VLOOKUP(D287,亚马逊入库配置费!B:F,5,0)),0,VLOOKUP(D287,亚马逊入库配置费!B:F,5,0))</f>
        <v>0.34</v>
      </c>
      <c r="AE287" s="102">
        <f t="shared" si="53"/>
        <v>142.80000000000001</v>
      </c>
      <c r="AF287" s="103">
        <v>45747</v>
      </c>
      <c r="AG287" s="91">
        <f t="shared" si="54"/>
        <v>31</v>
      </c>
      <c r="AH287" s="103">
        <v>45747</v>
      </c>
      <c r="AI287" s="103">
        <v>45779</v>
      </c>
      <c r="AJ287" s="96">
        <v>420</v>
      </c>
      <c r="AK287" s="91">
        <f t="shared" si="55"/>
        <v>32</v>
      </c>
      <c r="AL287" s="96">
        <f t="shared" si="58"/>
        <v>63</v>
      </c>
      <c r="AM287" s="92"/>
      <c r="AN287" s="91"/>
      <c r="AO287" s="91"/>
    </row>
    <row r="288" spans="1:41" ht="14.5" x14ac:dyDescent="0.25">
      <c r="A288" s="92" t="s">
        <v>623</v>
      </c>
      <c r="B288" s="91"/>
      <c r="C288" s="119" t="s">
        <v>603</v>
      </c>
      <c r="D288" s="120" t="s">
        <v>622</v>
      </c>
      <c r="E288" s="119" t="s">
        <v>115</v>
      </c>
      <c r="F288" s="119" t="s">
        <v>0</v>
      </c>
      <c r="G288" s="121" t="s">
        <v>455</v>
      </c>
      <c r="H288" s="119">
        <v>192</v>
      </c>
      <c r="I288" s="119" t="s">
        <v>89</v>
      </c>
      <c r="J288" s="119" t="s">
        <v>8</v>
      </c>
      <c r="K288" s="120" t="s">
        <v>10</v>
      </c>
      <c r="L288" s="93" t="s">
        <v>3059</v>
      </c>
      <c r="M288" s="94" t="s">
        <v>3351</v>
      </c>
      <c r="N288" s="95" t="s">
        <v>2865</v>
      </c>
      <c r="O288" s="132">
        <v>8</v>
      </c>
      <c r="P288" s="111">
        <v>128</v>
      </c>
      <c r="Q288" s="122" t="s">
        <v>16</v>
      </c>
      <c r="R288" s="124">
        <v>5.5</v>
      </c>
      <c r="S288" s="95"/>
      <c r="T288" s="98"/>
      <c r="U288" s="125">
        <f t="shared" si="60"/>
        <v>718.58333333333337</v>
      </c>
      <c r="V288" s="113">
        <f t="shared" si="56"/>
        <v>3.7426215277777781</v>
      </c>
      <c r="W288" s="114">
        <f t="shared" si="57"/>
        <v>0.53466021825396826</v>
      </c>
      <c r="X288" s="95"/>
      <c r="Y288" s="95"/>
      <c r="Z288" s="102"/>
      <c r="AA288" s="103">
        <v>45716</v>
      </c>
      <c r="AB288" s="103">
        <v>45740</v>
      </c>
      <c r="AC288" s="103"/>
      <c r="AD288" s="102">
        <f>IF(ISNA(VLOOKUP(D288,亚马逊入库配置费!B:F,5,0)),0,VLOOKUP(D288,亚马逊入库配置费!B:F,5,0))</f>
        <v>0.34</v>
      </c>
      <c r="AE288" s="102">
        <f t="shared" si="53"/>
        <v>65.28</v>
      </c>
      <c r="AF288" s="103">
        <v>45747</v>
      </c>
      <c r="AG288" s="91">
        <f t="shared" si="54"/>
        <v>31</v>
      </c>
      <c r="AH288" s="103">
        <v>45747</v>
      </c>
      <c r="AI288" s="103">
        <v>45779</v>
      </c>
      <c r="AJ288" s="96">
        <v>192</v>
      </c>
      <c r="AK288" s="91">
        <f t="shared" si="55"/>
        <v>32</v>
      </c>
      <c r="AL288" s="96">
        <f t="shared" si="58"/>
        <v>63</v>
      </c>
      <c r="AM288" s="92"/>
      <c r="AN288" s="91"/>
      <c r="AO288" s="91"/>
    </row>
    <row r="289" spans="1:41" ht="14.5" x14ac:dyDescent="0.25">
      <c r="A289" s="92" t="s">
        <v>624</v>
      </c>
      <c r="B289" s="91"/>
      <c r="C289" s="119" t="s">
        <v>603</v>
      </c>
      <c r="D289" s="134" t="s">
        <v>625</v>
      </c>
      <c r="E289" s="119" t="s">
        <v>115</v>
      </c>
      <c r="F289" s="119" t="s">
        <v>0</v>
      </c>
      <c r="G289" s="121" t="s">
        <v>325</v>
      </c>
      <c r="H289" s="119">
        <v>80</v>
      </c>
      <c r="I289" s="119" t="s">
        <v>89</v>
      </c>
      <c r="J289" s="119" t="s">
        <v>8</v>
      </c>
      <c r="K289" s="120" t="s">
        <v>33</v>
      </c>
      <c r="L289" s="93" t="s">
        <v>3047</v>
      </c>
      <c r="M289" s="94" t="s">
        <v>3335</v>
      </c>
      <c r="N289" s="95" t="s">
        <v>2823</v>
      </c>
      <c r="O289" s="132">
        <v>20</v>
      </c>
      <c r="P289" s="111">
        <v>478</v>
      </c>
      <c r="Q289" s="122" t="s">
        <v>16</v>
      </c>
      <c r="R289" s="124">
        <v>7.1</v>
      </c>
      <c r="S289" s="95"/>
      <c r="T289" s="98"/>
      <c r="U289" s="125">
        <f t="shared" si="60"/>
        <v>3430.2583333333332</v>
      </c>
      <c r="V289" s="113">
        <f t="shared" si="56"/>
        <v>42.878229166666664</v>
      </c>
      <c r="W289" s="114">
        <f t="shared" si="57"/>
        <v>6.1254613095238089</v>
      </c>
      <c r="X289" s="95"/>
      <c r="Y289" s="95"/>
      <c r="Z289" s="102"/>
      <c r="AA289" s="103">
        <v>45716</v>
      </c>
      <c r="AB289" s="103">
        <v>45740</v>
      </c>
      <c r="AC289" s="103"/>
      <c r="AD289" s="102">
        <f>IF(ISNA(VLOOKUP(D289,亚马逊入库配置费!B:F,5,0)),0,VLOOKUP(D289,亚马逊入库配置费!B:F,5,0))</f>
        <v>0</v>
      </c>
      <c r="AE289" s="102">
        <f t="shared" si="53"/>
        <v>0</v>
      </c>
      <c r="AF289" s="103">
        <v>45759</v>
      </c>
      <c r="AG289" s="91">
        <f t="shared" si="54"/>
        <v>43</v>
      </c>
      <c r="AH289" s="103">
        <v>46124</v>
      </c>
      <c r="AI289" s="103">
        <v>45784</v>
      </c>
      <c r="AJ289" s="96">
        <v>80</v>
      </c>
      <c r="AK289" s="91">
        <f t="shared" si="55"/>
        <v>-340</v>
      </c>
      <c r="AL289" s="96">
        <f t="shared" si="58"/>
        <v>-297</v>
      </c>
      <c r="AM289" s="92"/>
      <c r="AN289" s="91"/>
      <c r="AO289" s="91"/>
    </row>
    <row r="290" spans="1:41" ht="14.5" x14ac:dyDescent="0.25">
      <c r="A290" s="92" t="s">
        <v>626</v>
      </c>
      <c r="B290" s="91" t="s">
        <v>3378</v>
      </c>
      <c r="C290" s="119" t="s">
        <v>603</v>
      </c>
      <c r="D290" s="120" t="s">
        <v>627</v>
      </c>
      <c r="E290" s="119" t="s">
        <v>115</v>
      </c>
      <c r="F290" s="119" t="s">
        <v>0</v>
      </c>
      <c r="G290" s="121" t="s">
        <v>325</v>
      </c>
      <c r="H290" s="119">
        <v>92</v>
      </c>
      <c r="I290" s="119" t="s">
        <v>89</v>
      </c>
      <c r="J290" s="119" t="s">
        <v>8</v>
      </c>
      <c r="K290" s="120" t="s">
        <v>36</v>
      </c>
      <c r="L290" s="93" t="s">
        <v>3047</v>
      </c>
      <c r="M290" s="94" t="s">
        <v>3335</v>
      </c>
      <c r="N290" s="95" t="s">
        <v>2823</v>
      </c>
      <c r="O290" s="132">
        <v>23</v>
      </c>
      <c r="P290" s="111">
        <v>545</v>
      </c>
      <c r="Q290" s="122" t="s">
        <v>16</v>
      </c>
      <c r="R290" s="124">
        <v>5.7</v>
      </c>
      <c r="S290" s="95"/>
      <c r="T290" s="98"/>
      <c r="U290" s="125">
        <f t="shared" si="60"/>
        <v>3148.4270833333335</v>
      </c>
      <c r="V290" s="113">
        <f t="shared" si="56"/>
        <v>34.222033514492757</v>
      </c>
      <c r="W290" s="114">
        <f t="shared" si="57"/>
        <v>4.8888619306418226</v>
      </c>
      <c r="X290" s="95"/>
      <c r="Y290" s="95"/>
      <c r="Z290" s="102"/>
      <c r="AA290" s="103">
        <v>45716</v>
      </c>
      <c r="AB290" s="103">
        <v>45740</v>
      </c>
      <c r="AC290" s="103"/>
      <c r="AD290" s="102">
        <f>IF(ISNA(VLOOKUP(D290,亚马逊入库配置费!B:F,5,0)),0,VLOOKUP(D290,亚马逊入库配置费!B:F,5,0))</f>
        <v>0</v>
      </c>
      <c r="AE290" s="102">
        <f t="shared" si="53"/>
        <v>0</v>
      </c>
      <c r="AF290" s="103">
        <v>45746</v>
      </c>
      <c r="AG290" s="91">
        <f t="shared" si="54"/>
        <v>30</v>
      </c>
      <c r="AH290" s="103">
        <v>45746</v>
      </c>
      <c r="AI290" s="103">
        <v>45768</v>
      </c>
      <c r="AJ290" s="96">
        <v>92</v>
      </c>
      <c r="AK290" s="91">
        <f t="shared" si="55"/>
        <v>22</v>
      </c>
      <c r="AL290" s="96">
        <f t="shared" si="58"/>
        <v>52</v>
      </c>
      <c r="AM290" s="92"/>
      <c r="AN290" s="91"/>
      <c r="AO290" s="91"/>
    </row>
    <row r="291" spans="1:41" ht="14.5" x14ac:dyDescent="0.25">
      <c r="A291" s="92" t="s">
        <v>628</v>
      </c>
      <c r="B291" s="91"/>
      <c r="C291" s="119" t="s">
        <v>629</v>
      </c>
      <c r="D291" s="120" t="s">
        <v>630</v>
      </c>
      <c r="E291" s="119" t="s">
        <v>115</v>
      </c>
      <c r="F291" s="119" t="s">
        <v>0</v>
      </c>
      <c r="G291" s="121" t="s">
        <v>325</v>
      </c>
      <c r="H291" s="119">
        <v>120</v>
      </c>
      <c r="I291" s="119" t="s">
        <v>89</v>
      </c>
      <c r="J291" s="119" t="s">
        <v>2</v>
      </c>
      <c r="K291" s="120" t="s">
        <v>27</v>
      </c>
      <c r="L291" s="93" t="s">
        <v>3047</v>
      </c>
      <c r="M291" s="94" t="s">
        <v>3335</v>
      </c>
      <c r="N291" s="95" t="s">
        <v>2823</v>
      </c>
      <c r="O291" s="132">
        <v>30</v>
      </c>
      <c r="P291" s="111">
        <v>711</v>
      </c>
      <c r="Q291" s="122" t="s">
        <v>16</v>
      </c>
      <c r="R291" s="124">
        <v>6.1</v>
      </c>
      <c r="S291" s="95"/>
      <c r="T291" s="98"/>
      <c r="U291" s="125">
        <f>P291*R291+350</f>
        <v>4687.0999999999995</v>
      </c>
      <c r="V291" s="113">
        <f t="shared" si="56"/>
        <v>39.059166666666663</v>
      </c>
      <c r="W291" s="114">
        <f t="shared" si="57"/>
        <v>5.5798809523809521</v>
      </c>
      <c r="X291" s="95"/>
      <c r="Y291" s="95"/>
      <c r="Z291" s="102"/>
      <c r="AA291" s="103">
        <v>45716</v>
      </c>
      <c r="AB291" s="103">
        <v>45760</v>
      </c>
      <c r="AC291" s="103"/>
      <c r="AD291" s="102">
        <f>IF(ISNA(VLOOKUP(D291,亚马逊入库配置费!B:F,5,0)),0,VLOOKUP(D291,亚马逊入库配置费!B:F,5,0))</f>
        <v>0</v>
      </c>
      <c r="AE291" s="102">
        <f t="shared" si="53"/>
        <v>0</v>
      </c>
      <c r="AF291" s="103">
        <v>45764</v>
      </c>
      <c r="AG291" s="91">
        <f t="shared" si="54"/>
        <v>48</v>
      </c>
      <c r="AH291" s="103">
        <v>45764</v>
      </c>
      <c r="AI291" s="103">
        <v>45789</v>
      </c>
      <c r="AJ291" s="96">
        <v>118</v>
      </c>
      <c r="AK291" s="91">
        <f t="shared" si="55"/>
        <v>25</v>
      </c>
      <c r="AL291" s="96">
        <f t="shared" si="58"/>
        <v>73</v>
      </c>
      <c r="AM291" s="92"/>
      <c r="AN291" s="91"/>
      <c r="AO291" s="91"/>
    </row>
    <row r="292" spans="1:41" ht="14.5" x14ac:dyDescent="0.25">
      <c r="A292" s="92" t="s">
        <v>631</v>
      </c>
      <c r="B292" s="91"/>
      <c r="C292" s="119" t="s">
        <v>632</v>
      </c>
      <c r="D292" s="120" t="s">
        <v>633</v>
      </c>
      <c r="E292" s="119" t="s">
        <v>115</v>
      </c>
      <c r="F292" s="119" t="s">
        <v>0</v>
      </c>
      <c r="G292" s="121" t="s">
        <v>325</v>
      </c>
      <c r="H292" s="119">
        <v>56</v>
      </c>
      <c r="I292" s="119" t="s">
        <v>89</v>
      </c>
      <c r="J292" s="119" t="s">
        <v>2</v>
      </c>
      <c r="K292" s="120" t="s">
        <v>22</v>
      </c>
      <c r="L292" s="93" t="s">
        <v>3047</v>
      </c>
      <c r="M292" s="94" t="s">
        <v>3335</v>
      </c>
      <c r="N292" s="95" t="s">
        <v>2823</v>
      </c>
      <c r="O292" s="132">
        <v>14</v>
      </c>
      <c r="P292" s="111">
        <v>332</v>
      </c>
      <c r="Q292" s="122" t="s">
        <v>16</v>
      </c>
      <c r="R292" s="124">
        <v>7</v>
      </c>
      <c r="S292" s="95"/>
      <c r="T292" s="98"/>
      <c r="U292" s="125">
        <f>P292*R292+350</f>
        <v>2674</v>
      </c>
      <c r="V292" s="113">
        <f t="shared" si="56"/>
        <v>47.75</v>
      </c>
      <c r="W292" s="114">
        <f t="shared" si="57"/>
        <v>6.8214285714285712</v>
      </c>
      <c r="X292" s="95"/>
      <c r="Y292" s="95"/>
      <c r="Z292" s="102"/>
      <c r="AA292" s="103">
        <v>45716</v>
      </c>
      <c r="AB292" s="103">
        <v>45764</v>
      </c>
      <c r="AC292" s="103"/>
      <c r="AD292" s="102">
        <f>IF(ISNA(VLOOKUP(D292,亚马逊入库配置费!B:F,5,0)),0,VLOOKUP(D292,亚马逊入库配置费!B:F,5,0))</f>
        <v>0</v>
      </c>
      <c r="AE292" s="102">
        <f t="shared" si="53"/>
        <v>0</v>
      </c>
      <c r="AF292" s="103">
        <v>45771</v>
      </c>
      <c r="AG292" s="91">
        <f t="shared" si="54"/>
        <v>55</v>
      </c>
      <c r="AH292" s="103">
        <v>45771</v>
      </c>
      <c r="AI292" s="103">
        <v>45772</v>
      </c>
      <c r="AJ292" s="96">
        <v>56</v>
      </c>
      <c r="AK292" s="91">
        <f t="shared" si="55"/>
        <v>1</v>
      </c>
      <c r="AL292" s="96">
        <f t="shared" si="58"/>
        <v>56</v>
      </c>
      <c r="AM292" s="92"/>
      <c r="AN292" s="91"/>
      <c r="AO292" s="91"/>
    </row>
    <row r="293" spans="1:41" ht="14.5" x14ac:dyDescent="0.25">
      <c r="A293" s="92" t="s">
        <v>634</v>
      </c>
      <c r="B293" s="91"/>
      <c r="C293" s="119" t="s">
        <v>635</v>
      </c>
      <c r="D293" s="120" t="s">
        <v>636</v>
      </c>
      <c r="E293" s="119" t="s">
        <v>115</v>
      </c>
      <c r="F293" s="119" t="s">
        <v>0</v>
      </c>
      <c r="G293" s="121" t="s">
        <v>325</v>
      </c>
      <c r="H293" s="119">
        <v>88</v>
      </c>
      <c r="I293" s="119" t="s">
        <v>117</v>
      </c>
      <c r="J293" s="119" t="s">
        <v>8</v>
      </c>
      <c r="K293" s="120" t="s">
        <v>19</v>
      </c>
      <c r="L293" s="93" t="s">
        <v>3047</v>
      </c>
      <c r="M293" s="94" t="s">
        <v>3335</v>
      </c>
      <c r="N293" s="95" t="s">
        <v>2823</v>
      </c>
      <c r="O293" s="132">
        <v>22</v>
      </c>
      <c r="P293" s="111">
        <v>526</v>
      </c>
      <c r="Q293" s="122" t="s">
        <v>16</v>
      </c>
      <c r="R293" s="124">
        <v>6.7</v>
      </c>
      <c r="S293" s="95"/>
      <c r="T293" s="98"/>
      <c r="U293" s="125">
        <f>R293*P293</f>
        <v>3524.2000000000003</v>
      </c>
      <c r="V293" s="113">
        <f t="shared" si="56"/>
        <v>40.047727272727279</v>
      </c>
      <c r="W293" s="114">
        <f t="shared" si="57"/>
        <v>5.7211038961038971</v>
      </c>
      <c r="X293" s="95"/>
      <c r="Y293" s="95"/>
      <c r="Z293" s="102"/>
      <c r="AA293" s="103">
        <v>45716</v>
      </c>
      <c r="AB293" s="103">
        <v>45740</v>
      </c>
      <c r="AC293" s="103"/>
      <c r="AD293" s="102">
        <f>IF(ISNA(VLOOKUP(D293,亚马逊入库配置费!B:F,5,0)),0,VLOOKUP(D293,亚马逊入库配置费!B:F,5,0))</f>
        <v>0</v>
      </c>
      <c r="AE293" s="102">
        <f t="shared" si="53"/>
        <v>0</v>
      </c>
      <c r="AF293" s="103">
        <v>45747</v>
      </c>
      <c r="AG293" s="91">
        <f t="shared" si="54"/>
        <v>31</v>
      </c>
      <c r="AH293" s="103">
        <v>45747</v>
      </c>
      <c r="AI293" s="103">
        <v>45750</v>
      </c>
      <c r="AJ293" s="96">
        <v>88</v>
      </c>
      <c r="AK293" s="91">
        <f t="shared" si="55"/>
        <v>3</v>
      </c>
      <c r="AL293" s="96">
        <f t="shared" si="58"/>
        <v>34</v>
      </c>
      <c r="AM293" s="92"/>
      <c r="AN293" s="91"/>
      <c r="AO293" s="91"/>
    </row>
    <row r="294" spans="1:41" ht="14.5" x14ac:dyDescent="0.25">
      <c r="A294" s="92" t="s">
        <v>637</v>
      </c>
      <c r="B294" s="91"/>
      <c r="C294" s="119" t="s">
        <v>638</v>
      </c>
      <c r="D294" s="120" t="s">
        <v>639</v>
      </c>
      <c r="E294" s="119" t="s">
        <v>115</v>
      </c>
      <c r="F294" s="119" t="s">
        <v>0</v>
      </c>
      <c r="G294" s="121" t="s">
        <v>481</v>
      </c>
      <c r="H294" s="119">
        <v>180</v>
      </c>
      <c r="I294" s="119" t="s">
        <v>89</v>
      </c>
      <c r="J294" s="119" t="s">
        <v>4</v>
      </c>
      <c r="K294" s="120" t="s">
        <v>17</v>
      </c>
      <c r="L294" s="93" t="s">
        <v>3064</v>
      </c>
      <c r="M294" s="94" t="s">
        <v>3356</v>
      </c>
      <c r="N294" s="95" t="s">
        <v>2869</v>
      </c>
      <c r="O294" s="132">
        <v>6</v>
      </c>
      <c r="P294" s="111">
        <v>73.764705882352899</v>
      </c>
      <c r="Q294" s="122" t="s">
        <v>16</v>
      </c>
      <c r="R294" s="124">
        <v>8.5</v>
      </c>
      <c r="S294" s="95"/>
      <c r="T294" s="98"/>
      <c r="U294" s="125">
        <f t="shared" ref="U294:U299" si="61">R294*P294+350/51*O294</f>
        <v>668.17647058823491</v>
      </c>
      <c r="V294" s="113">
        <f t="shared" si="56"/>
        <v>3.7120915032679718</v>
      </c>
      <c r="W294" s="114">
        <f t="shared" si="57"/>
        <v>0.53029878618113879</v>
      </c>
      <c r="X294" s="95"/>
      <c r="Y294" s="95"/>
      <c r="Z294" s="102"/>
      <c r="AA294" s="103">
        <v>45716</v>
      </c>
      <c r="AB294" s="103">
        <v>45732</v>
      </c>
      <c r="AC294" s="103"/>
      <c r="AD294" s="102">
        <f>IF(ISNA(VLOOKUP(D294,亚马逊入库配置费!B:F,5,0)),0,VLOOKUP(D294,亚马逊入库配置费!B:F,5,0))</f>
        <v>0.41</v>
      </c>
      <c r="AE294" s="102">
        <f t="shared" si="53"/>
        <v>73.8</v>
      </c>
      <c r="AF294" s="103">
        <v>45737</v>
      </c>
      <c r="AG294" s="91">
        <f t="shared" si="54"/>
        <v>21</v>
      </c>
      <c r="AH294" s="103">
        <v>45737</v>
      </c>
      <c r="AI294" s="103">
        <v>45769</v>
      </c>
      <c r="AJ294" s="96">
        <v>180</v>
      </c>
      <c r="AK294" s="91">
        <f t="shared" si="55"/>
        <v>32</v>
      </c>
      <c r="AL294" s="96">
        <f t="shared" si="58"/>
        <v>53</v>
      </c>
      <c r="AM294" s="92"/>
      <c r="AN294" s="91"/>
      <c r="AO294" s="91"/>
    </row>
    <row r="295" spans="1:41" ht="14.5" x14ac:dyDescent="0.25">
      <c r="A295" s="92" t="s">
        <v>640</v>
      </c>
      <c r="B295" s="91"/>
      <c r="C295" s="119" t="s">
        <v>638</v>
      </c>
      <c r="D295" s="120" t="s">
        <v>639</v>
      </c>
      <c r="E295" s="119" t="s">
        <v>115</v>
      </c>
      <c r="F295" s="119" t="s">
        <v>0</v>
      </c>
      <c r="G295" s="121" t="s">
        <v>608</v>
      </c>
      <c r="H295" s="119">
        <v>240</v>
      </c>
      <c r="I295" s="119" t="s">
        <v>89</v>
      </c>
      <c r="J295" s="119" t="s">
        <v>4</v>
      </c>
      <c r="K295" s="120" t="s">
        <v>17</v>
      </c>
      <c r="L295" s="93" t="s">
        <v>3076</v>
      </c>
      <c r="M295" s="94" t="s">
        <v>3377</v>
      </c>
      <c r="N295" s="95" t="s">
        <v>2869</v>
      </c>
      <c r="O295" s="132">
        <v>8</v>
      </c>
      <c r="P295" s="111">
        <v>98.352941176470594</v>
      </c>
      <c r="Q295" s="122" t="s">
        <v>16</v>
      </c>
      <c r="R295" s="124">
        <v>8.5</v>
      </c>
      <c r="S295" s="95"/>
      <c r="T295" s="98"/>
      <c r="U295" s="125">
        <f t="shared" si="61"/>
        <v>890.9019607843137</v>
      </c>
      <c r="V295" s="113">
        <f t="shared" si="56"/>
        <v>3.7120915032679735</v>
      </c>
      <c r="W295" s="114">
        <f t="shared" si="57"/>
        <v>0.53029878618113913</v>
      </c>
      <c r="X295" s="95"/>
      <c r="Y295" s="95"/>
      <c r="Z295" s="102"/>
      <c r="AA295" s="103">
        <v>45716</v>
      </c>
      <c r="AB295" s="103">
        <v>45732</v>
      </c>
      <c r="AC295" s="103"/>
      <c r="AD295" s="102">
        <f>IF(ISNA(VLOOKUP(D295,亚马逊入库配置费!B:F,5,0)),0,VLOOKUP(D295,亚马逊入库配置费!B:F,5,0))</f>
        <v>0.41</v>
      </c>
      <c r="AE295" s="102">
        <f t="shared" si="53"/>
        <v>98.399999999999991</v>
      </c>
      <c r="AF295" s="103">
        <v>45737</v>
      </c>
      <c r="AG295" s="91">
        <f t="shared" si="54"/>
        <v>21</v>
      </c>
      <c r="AH295" s="103">
        <v>45737</v>
      </c>
      <c r="AI295" s="103">
        <v>45769</v>
      </c>
      <c r="AJ295" s="96">
        <v>240</v>
      </c>
      <c r="AK295" s="91">
        <f t="shared" si="55"/>
        <v>32</v>
      </c>
      <c r="AL295" s="96">
        <f t="shared" si="58"/>
        <v>53</v>
      </c>
      <c r="AM295" s="92"/>
      <c r="AN295" s="91"/>
      <c r="AO295" s="91"/>
    </row>
    <row r="296" spans="1:41" ht="14.5" x14ac:dyDescent="0.25">
      <c r="A296" s="92" t="s">
        <v>641</v>
      </c>
      <c r="B296" s="91"/>
      <c r="C296" s="119" t="s">
        <v>638</v>
      </c>
      <c r="D296" s="120" t="s">
        <v>639</v>
      </c>
      <c r="E296" s="119" t="s">
        <v>115</v>
      </c>
      <c r="F296" s="119" t="s">
        <v>0</v>
      </c>
      <c r="G296" s="121" t="s">
        <v>213</v>
      </c>
      <c r="H296" s="119">
        <v>390</v>
      </c>
      <c r="I296" s="119" t="s">
        <v>89</v>
      </c>
      <c r="J296" s="119" t="s">
        <v>4</v>
      </c>
      <c r="K296" s="120" t="s">
        <v>17</v>
      </c>
      <c r="L296" s="93" t="s">
        <v>3035</v>
      </c>
      <c r="M296" s="94" t="s">
        <v>3313</v>
      </c>
      <c r="N296" s="95" t="s">
        <v>2869</v>
      </c>
      <c r="O296" s="132">
        <v>13</v>
      </c>
      <c r="P296" s="111">
        <v>159.82352941176501</v>
      </c>
      <c r="Q296" s="122" t="s">
        <v>16</v>
      </c>
      <c r="R296" s="124">
        <v>8.5</v>
      </c>
      <c r="S296" s="95"/>
      <c r="T296" s="98"/>
      <c r="U296" s="125">
        <f t="shared" si="61"/>
        <v>1447.7156862745123</v>
      </c>
      <c r="V296" s="113">
        <f t="shared" si="56"/>
        <v>3.7120915032679802</v>
      </c>
      <c r="W296" s="114">
        <f t="shared" si="57"/>
        <v>0.53029878618114001</v>
      </c>
      <c r="X296" s="95"/>
      <c r="Y296" s="95"/>
      <c r="Z296" s="102"/>
      <c r="AA296" s="103">
        <v>45716</v>
      </c>
      <c r="AB296" s="103">
        <v>45732</v>
      </c>
      <c r="AC296" s="103"/>
      <c r="AD296" s="102">
        <f>IF(ISNA(VLOOKUP(D296,亚马逊入库配置费!B:F,5,0)),0,VLOOKUP(D296,亚马逊入库配置费!B:F,5,0))</f>
        <v>0.41</v>
      </c>
      <c r="AE296" s="102">
        <f t="shared" si="53"/>
        <v>159.89999999999998</v>
      </c>
      <c r="AF296" s="103">
        <v>45737</v>
      </c>
      <c r="AG296" s="91">
        <f t="shared" si="54"/>
        <v>21</v>
      </c>
      <c r="AH296" s="103">
        <v>45737</v>
      </c>
      <c r="AI296" s="103">
        <v>45769</v>
      </c>
      <c r="AJ296" s="96">
        <v>390</v>
      </c>
      <c r="AK296" s="91">
        <f t="shared" si="55"/>
        <v>32</v>
      </c>
      <c r="AL296" s="96">
        <f t="shared" si="58"/>
        <v>53</v>
      </c>
      <c r="AM296" s="92"/>
      <c r="AN296" s="91"/>
      <c r="AO296" s="91"/>
    </row>
    <row r="297" spans="1:41" ht="14.5" x14ac:dyDescent="0.25">
      <c r="A297" s="92" t="s">
        <v>642</v>
      </c>
      <c r="B297" s="91" t="s">
        <v>3379</v>
      </c>
      <c r="C297" s="119" t="s">
        <v>638</v>
      </c>
      <c r="D297" s="120" t="s">
        <v>639</v>
      </c>
      <c r="E297" s="119" t="s">
        <v>115</v>
      </c>
      <c r="F297" s="119" t="s">
        <v>0</v>
      </c>
      <c r="G297" s="121" t="s">
        <v>485</v>
      </c>
      <c r="H297" s="119">
        <v>420</v>
      </c>
      <c r="I297" s="119" t="s">
        <v>89</v>
      </c>
      <c r="J297" s="119" t="s">
        <v>4</v>
      </c>
      <c r="K297" s="120" t="s">
        <v>17</v>
      </c>
      <c r="L297" s="93" t="s">
        <v>3065</v>
      </c>
      <c r="M297" s="94" t="s">
        <v>3358</v>
      </c>
      <c r="N297" s="95" t="s">
        <v>2869</v>
      </c>
      <c r="O297" s="132">
        <v>14</v>
      </c>
      <c r="P297" s="111">
        <v>172.11764705882399</v>
      </c>
      <c r="Q297" s="122" t="s">
        <v>16</v>
      </c>
      <c r="R297" s="124">
        <v>8.5</v>
      </c>
      <c r="S297" s="95"/>
      <c r="T297" s="98"/>
      <c r="U297" s="125">
        <f t="shared" si="61"/>
        <v>1559.0784313725528</v>
      </c>
      <c r="V297" s="113">
        <f t="shared" si="56"/>
        <v>3.7120915032679829</v>
      </c>
      <c r="W297" s="114">
        <f t="shared" si="57"/>
        <v>0.53029878618114046</v>
      </c>
      <c r="X297" s="95"/>
      <c r="Y297" s="95"/>
      <c r="Z297" s="102"/>
      <c r="AA297" s="103">
        <v>45716</v>
      </c>
      <c r="AB297" s="103">
        <v>45732</v>
      </c>
      <c r="AC297" s="103"/>
      <c r="AD297" s="102">
        <f>IF(ISNA(VLOOKUP(D297,亚马逊入库配置费!B:F,5,0)),0,VLOOKUP(D297,亚马逊入库配置费!B:F,5,0))</f>
        <v>0.41</v>
      </c>
      <c r="AE297" s="102">
        <f t="shared" si="53"/>
        <v>172.2</v>
      </c>
      <c r="AF297" s="103">
        <v>45737</v>
      </c>
      <c r="AG297" s="91">
        <f t="shared" si="54"/>
        <v>21</v>
      </c>
      <c r="AH297" s="103">
        <v>45737</v>
      </c>
      <c r="AI297" s="103">
        <v>45769</v>
      </c>
      <c r="AJ297" s="96">
        <v>419</v>
      </c>
      <c r="AK297" s="91">
        <f t="shared" si="55"/>
        <v>32</v>
      </c>
      <c r="AL297" s="96">
        <f t="shared" si="58"/>
        <v>53</v>
      </c>
      <c r="AM297" s="92"/>
      <c r="AN297" s="91"/>
      <c r="AO297" s="91"/>
    </row>
    <row r="298" spans="1:41" ht="14.5" x14ac:dyDescent="0.25">
      <c r="A298" s="92" t="s">
        <v>643</v>
      </c>
      <c r="B298" s="91"/>
      <c r="C298" s="119" t="s">
        <v>638</v>
      </c>
      <c r="D298" s="120" t="s">
        <v>639</v>
      </c>
      <c r="E298" s="119" t="s">
        <v>115</v>
      </c>
      <c r="F298" s="119" t="s">
        <v>0</v>
      </c>
      <c r="G298" s="121" t="s">
        <v>606</v>
      </c>
      <c r="H298" s="119">
        <v>90</v>
      </c>
      <c r="I298" s="119" t="s">
        <v>89</v>
      </c>
      <c r="J298" s="119" t="s">
        <v>4</v>
      </c>
      <c r="K298" s="120" t="s">
        <v>17</v>
      </c>
      <c r="L298" s="93" t="s">
        <v>3075</v>
      </c>
      <c r="M298" s="94" t="s">
        <v>3376</v>
      </c>
      <c r="N298" s="95" t="s">
        <v>2869</v>
      </c>
      <c r="O298" s="132">
        <v>3</v>
      </c>
      <c r="P298" s="111">
        <v>36.882352941176499</v>
      </c>
      <c r="Q298" s="122" t="s">
        <v>16</v>
      </c>
      <c r="R298" s="124">
        <v>8.5</v>
      </c>
      <c r="S298" s="95"/>
      <c r="T298" s="98"/>
      <c r="U298" s="125">
        <f t="shared" si="61"/>
        <v>334.08823529411785</v>
      </c>
      <c r="V298" s="113">
        <f t="shared" si="56"/>
        <v>3.7120915032679762</v>
      </c>
      <c r="W298" s="114">
        <f t="shared" si="57"/>
        <v>0.53029878618113946</v>
      </c>
      <c r="X298" s="95"/>
      <c r="Y298" s="95"/>
      <c r="Z298" s="102"/>
      <c r="AA298" s="103">
        <v>45716</v>
      </c>
      <c r="AB298" s="103">
        <v>45732</v>
      </c>
      <c r="AC298" s="103"/>
      <c r="AD298" s="102">
        <f>IF(ISNA(VLOOKUP(D298,亚马逊入库配置费!B:F,5,0)),0,VLOOKUP(D298,亚马逊入库配置费!B:F,5,0))</f>
        <v>0.41</v>
      </c>
      <c r="AE298" s="102">
        <f t="shared" si="53"/>
        <v>36.9</v>
      </c>
      <c r="AF298" s="103">
        <v>45737</v>
      </c>
      <c r="AG298" s="91">
        <f t="shared" si="54"/>
        <v>21</v>
      </c>
      <c r="AH298" s="103">
        <v>45737</v>
      </c>
      <c r="AI298" s="103">
        <v>45769</v>
      </c>
      <c r="AJ298" s="96">
        <v>90</v>
      </c>
      <c r="AK298" s="91">
        <f t="shared" si="55"/>
        <v>32</v>
      </c>
      <c r="AL298" s="96">
        <f t="shared" si="58"/>
        <v>53</v>
      </c>
      <c r="AM298" s="92"/>
      <c r="AN298" s="91"/>
      <c r="AO298" s="91"/>
    </row>
    <row r="299" spans="1:41" ht="14.5" x14ac:dyDescent="0.25">
      <c r="A299" s="92" t="s">
        <v>644</v>
      </c>
      <c r="B299" s="91"/>
      <c r="C299" s="119" t="s">
        <v>638</v>
      </c>
      <c r="D299" s="120" t="s">
        <v>639</v>
      </c>
      <c r="E299" s="119" t="s">
        <v>115</v>
      </c>
      <c r="F299" s="119" t="s">
        <v>0</v>
      </c>
      <c r="G299" s="121" t="s">
        <v>487</v>
      </c>
      <c r="H299" s="119">
        <v>210</v>
      </c>
      <c r="I299" s="119" t="s">
        <v>89</v>
      </c>
      <c r="J299" s="119" t="s">
        <v>4</v>
      </c>
      <c r="K299" s="120" t="s">
        <v>17</v>
      </c>
      <c r="L299" s="93" t="s">
        <v>3066</v>
      </c>
      <c r="M299" s="94" t="s">
        <v>3359</v>
      </c>
      <c r="N299" s="95" t="s">
        <v>2869</v>
      </c>
      <c r="O299" s="132">
        <v>7</v>
      </c>
      <c r="P299" s="111">
        <v>86.058823529411796</v>
      </c>
      <c r="Q299" s="122" t="s">
        <v>16</v>
      </c>
      <c r="R299" s="124">
        <v>8.5</v>
      </c>
      <c r="S299" s="95"/>
      <c r="T299" s="98"/>
      <c r="U299" s="125">
        <f t="shared" si="61"/>
        <v>779.5392156862747</v>
      </c>
      <c r="V299" s="113">
        <f t="shared" si="56"/>
        <v>3.7120915032679749</v>
      </c>
      <c r="W299" s="114">
        <f t="shared" si="57"/>
        <v>0.53029878618113924</v>
      </c>
      <c r="X299" s="95"/>
      <c r="Y299" s="95"/>
      <c r="Z299" s="102"/>
      <c r="AA299" s="103">
        <v>45716</v>
      </c>
      <c r="AB299" s="103">
        <v>45732</v>
      </c>
      <c r="AC299" s="103"/>
      <c r="AD299" s="102">
        <f>IF(ISNA(VLOOKUP(D299,亚马逊入库配置费!B:F,5,0)),0,VLOOKUP(D299,亚马逊入库配置费!B:F,5,0))</f>
        <v>0.41</v>
      </c>
      <c r="AE299" s="102">
        <f t="shared" si="53"/>
        <v>86.1</v>
      </c>
      <c r="AF299" s="103">
        <v>45737</v>
      </c>
      <c r="AG299" s="91">
        <f t="shared" si="54"/>
        <v>21</v>
      </c>
      <c r="AH299" s="103">
        <v>45737</v>
      </c>
      <c r="AI299" s="103">
        <v>45769</v>
      </c>
      <c r="AJ299" s="96">
        <v>212</v>
      </c>
      <c r="AK299" s="91">
        <f t="shared" si="55"/>
        <v>32</v>
      </c>
      <c r="AL299" s="96">
        <f t="shared" si="58"/>
        <v>53</v>
      </c>
      <c r="AM299" s="92"/>
      <c r="AN299" s="91"/>
      <c r="AO299" s="91"/>
    </row>
    <row r="300" spans="1:41" ht="14.5" x14ac:dyDescent="0.25">
      <c r="A300" s="92" t="s">
        <v>645</v>
      </c>
      <c r="B300" s="91"/>
      <c r="C300" s="91" t="s">
        <v>303</v>
      </c>
      <c r="D300" s="92" t="s">
        <v>646</v>
      </c>
      <c r="E300" s="91" t="s">
        <v>115</v>
      </c>
      <c r="F300" s="91" t="s">
        <v>0</v>
      </c>
      <c r="G300" s="56" t="s">
        <v>316</v>
      </c>
      <c r="H300" s="91">
        <v>450</v>
      </c>
      <c r="I300" s="91" t="s">
        <v>306</v>
      </c>
      <c r="J300" s="91" t="s">
        <v>6</v>
      </c>
      <c r="K300" s="92" t="s">
        <v>14</v>
      </c>
      <c r="L300" s="93" t="s">
        <v>3046</v>
      </c>
      <c r="M300" s="94" t="s">
        <v>3333</v>
      </c>
      <c r="N300" s="95" t="s">
        <v>3042</v>
      </c>
      <c r="O300" s="96">
        <v>5</v>
      </c>
      <c r="P300" s="111">
        <f t="shared" ref="P300:P307" si="62">599/31*O300</f>
        <v>96.612903225806463</v>
      </c>
      <c r="Q300" s="91" t="s">
        <v>16</v>
      </c>
      <c r="R300" s="91">
        <v>8.1999999999999993</v>
      </c>
      <c r="S300" s="95"/>
      <c r="T300" s="98"/>
      <c r="U300" s="112">
        <f t="shared" ref="U300:U307" si="63">R300*P300</f>
        <v>792.22580645161293</v>
      </c>
      <c r="V300" s="113">
        <f t="shared" si="56"/>
        <v>1.7605017921146955</v>
      </c>
      <c r="W300" s="114">
        <f t="shared" si="57"/>
        <v>0.25150025601638509</v>
      </c>
      <c r="X300" s="95"/>
      <c r="Y300" s="95"/>
      <c r="Z300" s="102"/>
      <c r="AA300" s="103">
        <v>45716</v>
      </c>
      <c r="AB300" s="103">
        <v>45742</v>
      </c>
      <c r="AC300" s="103"/>
      <c r="AD300" s="102">
        <f>IF(ISNA(VLOOKUP(D300,亚马逊入库配置费!B:F,5,0)),0,VLOOKUP(D300,亚马逊入库配置费!B:F,5,0))</f>
        <v>0.34</v>
      </c>
      <c r="AE300" s="102">
        <f t="shared" si="53"/>
        <v>153</v>
      </c>
      <c r="AF300" s="103">
        <v>45756</v>
      </c>
      <c r="AG300" s="91">
        <f t="shared" si="54"/>
        <v>40</v>
      </c>
      <c r="AH300" s="103">
        <v>45756</v>
      </c>
      <c r="AI300" s="103">
        <v>45795</v>
      </c>
      <c r="AJ300" s="96">
        <v>455</v>
      </c>
      <c r="AK300" s="91">
        <f t="shared" si="55"/>
        <v>39</v>
      </c>
      <c r="AL300" s="96">
        <f t="shared" si="58"/>
        <v>79</v>
      </c>
      <c r="AM300" s="92"/>
      <c r="AN300" s="91"/>
      <c r="AO300" s="91"/>
    </row>
    <row r="301" spans="1:41" ht="14.5" x14ac:dyDescent="0.25">
      <c r="A301" s="92" t="s">
        <v>647</v>
      </c>
      <c r="B301" s="91"/>
      <c r="C301" s="91" t="s">
        <v>303</v>
      </c>
      <c r="D301" s="92" t="s">
        <v>646</v>
      </c>
      <c r="E301" s="91" t="s">
        <v>115</v>
      </c>
      <c r="F301" s="91" t="s">
        <v>0</v>
      </c>
      <c r="G301" s="56" t="s">
        <v>648</v>
      </c>
      <c r="H301" s="91">
        <v>180</v>
      </c>
      <c r="I301" s="91" t="s">
        <v>306</v>
      </c>
      <c r="J301" s="91" t="s">
        <v>6</v>
      </c>
      <c r="K301" s="92" t="s">
        <v>14</v>
      </c>
      <c r="L301" s="93" t="s">
        <v>3077</v>
      </c>
      <c r="M301" s="94" t="s">
        <v>3380</v>
      </c>
      <c r="N301" s="95" t="s">
        <v>3042</v>
      </c>
      <c r="O301" s="96">
        <v>2</v>
      </c>
      <c r="P301" s="111">
        <f t="shared" si="62"/>
        <v>38.645161290322584</v>
      </c>
      <c r="Q301" s="91" t="s">
        <v>16</v>
      </c>
      <c r="R301" s="91">
        <v>8.1999999999999993</v>
      </c>
      <c r="S301" s="95"/>
      <c r="T301" s="98"/>
      <c r="U301" s="112">
        <f t="shared" si="63"/>
        <v>316.89032258064515</v>
      </c>
      <c r="V301" s="113">
        <f t="shared" si="56"/>
        <v>1.7605017921146953</v>
      </c>
      <c r="W301" s="114">
        <f t="shared" si="57"/>
        <v>0.25150025601638504</v>
      </c>
      <c r="X301" s="95"/>
      <c r="Y301" s="95"/>
      <c r="Z301" s="102"/>
      <c r="AA301" s="103">
        <v>45716</v>
      </c>
      <c r="AB301" s="103">
        <v>45742</v>
      </c>
      <c r="AC301" s="103"/>
      <c r="AD301" s="102">
        <f>IF(ISNA(VLOOKUP(D301,亚马逊入库配置费!B:F,5,0)),0,VLOOKUP(D301,亚马逊入库配置费!B:F,5,0))</f>
        <v>0.34</v>
      </c>
      <c r="AE301" s="102">
        <f t="shared" si="53"/>
        <v>61.2</v>
      </c>
      <c r="AF301" s="103">
        <v>45756</v>
      </c>
      <c r="AG301" s="91">
        <f t="shared" si="54"/>
        <v>40</v>
      </c>
      <c r="AH301" s="103">
        <v>45756</v>
      </c>
      <c r="AI301" s="103">
        <v>45795</v>
      </c>
      <c r="AJ301" s="96">
        <v>182</v>
      </c>
      <c r="AK301" s="91">
        <f t="shared" si="55"/>
        <v>39</v>
      </c>
      <c r="AL301" s="96">
        <f t="shared" si="58"/>
        <v>79</v>
      </c>
      <c r="AM301" s="92"/>
      <c r="AN301" s="91"/>
      <c r="AO301" s="91"/>
    </row>
    <row r="302" spans="1:41" ht="14.5" x14ac:dyDescent="0.25">
      <c r="A302" s="92" t="s">
        <v>649</v>
      </c>
      <c r="B302" s="91"/>
      <c r="C302" s="91" t="s">
        <v>303</v>
      </c>
      <c r="D302" s="92" t="s">
        <v>646</v>
      </c>
      <c r="E302" s="91" t="s">
        <v>115</v>
      </c>
      <c r="F302" s="91" t="s">
        <v>0</v>
      </c>
      <c r="G302" s="56" t="s">
        <v>650</v>
      </c>
      <c r="H302" s="91">
        <v>360</v>
      </c>
      <c r="I302" s="91" t="s">
        <v>306</v>
      </c>
      <c r="J302" s="91" t="s">
        <v>6</v>
      </c>
      <c r="K302" s="92" t="s">
        <v>14</v>
      </c>
      <c r="L302" s="93" t="s">
        <v>3078</v>
      </c>
      <c r="M302" s="94" t="s">
        <v>3381</v>
      </c>
      <c r="N302" s="95" t="s">
        <v>3042</v>
      </c>
      <c r="O302" s="96">
        <v>4</v>
      </c>
      <c r="P302" s="111">
        <f t="shared" si="62"/>
        <v>77.290322580645167</v>
      </c>
      <c r="Q302" s="91" t="s">
        <v>16</v>
      </c>
      <c r="R302" s="91">
        <v>8.1999999999999993</v>
      </c>
      <c r="S302" s="95"/>
      <c r="T302" s="98"/>
      <c r="U302" s="112">
        <f t="shared" si="63"/>
        <v>633.78064516129029</v>
      </c>
      <c r="V302" s="113">
        <f t="shared" si="56"/>
        <v>1.7605017921146953</v>
      </c>
      <c r="W302" s="114">
        <f t="shared" si="57"/>
        <v>0.25150025601638504</v>
      </c>
      <c r="X302" s="95"/>
      <c r="Y302" s="95"/>
      <c r="Z302" s="102"/>
      <c r="AA302" s="103">
        <v>45716</v>
      </c>
      <c r="AB302" s="103">
        <v>45742</v>
      </c>
      <c r="AC302" s="103"/>
      <c r="AD302" s="102">
        <f>IF(ISNA(VLOOKUP(D302,亚马逊入库配置费!B:F,5,0)),0,VLOOKUP(D302,亚马逊入库配置费!B:F,5,0))</f>
        <v>0.34</v>
      </c>
      <c r="AE302" s="102">
        <f t="shared" si="53"/>
        <v>122.4</v>
      </c>
      <c r="AF302" s="103">
        <v>45756</v>
      </c>
      <c r="AG302" s="91">
        <f t="shared" si="54"/>
        <v>40</v>
      </c>
      <c r="AH302" s="103">
        <v>45756</v>
      </c>
      <c r="AI302" s="103">
        <v>45795</v>
      </c>
      <c r="AJ302" s="96">
        <v>362</v>
      </c>
      <c r="AK302" s="91">
        <f t="shared" si="55"/>
        <v>39</v>
      </c>
      <c r="AL302" s="96">
        <f t="shared" si="58"/>
        <v>79</v>
      </c>
      <c r="AM302" s="92"/>
      <c r="AN302" s="91"/>
      <c r="AO302" s="91"/>
    </row>
    <row r="303" spans="1:41" ht="14.5" x14ac:dyDescent="0.25">
      <c r="A303" s="92" t="s">
        <v>651</v>
      </c>
      <c r="B303" s="91"/>
      <c r="C303" s="91" t="s">
        <v>303</v>
      </c>
      <c r="D303" s="92" t="s">
        <v>646</v>
      </c>
      <c r="E303" s="91" t="s">
        <v>115</v>
      </c>
      <c r="F303" s="91" t="s">
        <v>0</v>
      </c>
      <c r="G303" s="56" t="s">
        <v>652</v>
      </c>
      <c r="H303" s="91">
        <v>180</v>
      </c>
      <c r="I303" s="91" t="s">
        <v>306</v>
      </c>
      <c r="J303" s="91" t="s">
        <v>6</v>
      </c>
      <c r="K303" s="92" t="s">
        <v>14</v>
      </c>
      <c r="L303" s="93" t="s">
        <v>3079</v>
      </c>
      <c r="M303" s="94" t="s">
        <v>3382</v>
      </c>
      <c r="N303" s="95" t="s">
        <v>3042</v>
      </c>
      <c r="O303" s="96">
        <v>2</v>
      </c>
      <c r="P303" s="111">
        <f t="shared" si="62"/>
        <v>38.645161290322584</v>
      </c>
      <c r="Q303" s="91" t="s">
        <v>16</v>
      </c>
      <c r="R303" s="91">
        <v>8.1999999999999993</v>
      </c>
      <c r="S303" s="95"/>
      <c r="T303" s="98"/>
      <c r="U303" s="112">
        <f t="shared" si="63"/>
        <v>316.89032258064515</v>
      </c>
      <c r="V303" s="113">
        <f t="shared" si="56"/>
        <v>1.7605017921146953</v>
      </c>
      <c r="W303" s="114">
        <f t="shared" si="57"/>
        <v>0.25150025601638504</v>
      </c>
      <c r="X303" s="95"/>
      <c r="Y303" s="95"/>
      <c r="Z303" s="102"/>
      <c r="AA303" s="103">
        <v>45716</v>
      </c>
      <c r="AB303" s="103">
        <v>45742</v>
      </c>
      <c r="AC303" s="103"/>
      <c r="AD303" s="102">
        <f>IF(ISNA(VLOOKUP(D303,亚马逊入库配置费!B:F,5,0)),0,VLOOKUP(D303,亚马逊入库配置费!B:F,5,0))</f>
        <v>0.34</v>
      </c>
      <c r="AE303" s="102">
        <f t="shared" si="53"/>
        <v>61.2</v>
      </c>
      <c r="AF303" s="103">
        <v>45756</v>
      </c>
      <c r="AG303" s="91">
        <f t="shared" si="54"/>
        <v>40</v>
      </c>
      <c r="AH303" s="103">
        <v>45756</v>
      </c>
      <c r="AI303" s="103">
        <v>45795</v>
      </c>
      <c r="AJ303" s="96">
        <v>190</v>
      </c>
      <c r="AK303" s="91">
        <f t="shared" si="55"/>
        <v>39</v>
      </c>
      <c r="AL303" s="96">
        <f t="shared" si="58"/>
        <v>79</v>
      </c>
      <c r="AM303" s="92"/>
      <c r="AN303" s="91"/>
      <c r="AO303" s="91"/>
    </row>
    <row r="304" spans="1:41" ht="14.5" x14ac:dyDescent="0.25">
      <c r="A304" s="92" t="s">
        <v>653</v>
      </c>
      <c r="B304" s="91"/>
      <c r="C304" s="91" t="s">
        <v>303</v>
      </c>
      <c r="D304" s="92" t="s">
        <v>654</v>
      </c>
      <c r="E304" s="91" t="s">
        <v>97</v>
      </c>
      <c r="F304" s="91" t="s">
        <v>0</v>
      </c>
      <c r="G304" s="56" t="s">
        <v>316</v>
      </c>
      <c r="H304" s="91">
        <v>720</v>
      </c>
      <c r="I304" s="91" t="s">
        <v>306</v>
      </c>
      <c r="J304" s="91" t="s">
        <v>6</v>
      </c>
      <c r="K304" s="92" t="s">
        <v>14</v>
      </c>
      <c r="L304" s="93" t="s">
        <v>3046</v>
      </c>
      <c r="M304" s="94" t="s">
        <v>3333</v>
      </c>
      <c r="N304" s="95" t="s">
        <v>3042</v>
      </c>
      <c r="O304" s="96">
        <v>8</v>
      </c>
      <c r="P304" s="111">
        <f t="shared" si="62"/>
        <v>154.58064516129033</v>
      </c>
      <c r="Q304" s="91" t="s">
        <v>16</v>
      </c>
      <c r="R304" s="91">
        <v>8.1999999999999993</v>
      </c>
      <c r="S304" s="95"/>
      <c r="T304" s="98"/>
      <c r="U304" s="112">
        <f t="shared" si="63"/>
        <v>1267.5612903225806</v>
      </c>
      <c r="V304" s="113">
        <f t="shared" si="56"/>
        <v>1.7605017921146953</v>
      </c>
      <c r="W304" s="114">
        <f t="shared" si="57"/>
        <v>0.25150025601638504</v>
      </c>
      <c r="X304" s="95"/>
      <c r="Y304" s="95"/>
      <c r="Z304" s="102"/>
      <c r="AA304" s="103">
        <v>45716</v>
      </c>
      <c r="AB304" s="103">
        <v>45742</v>
      </c>
      <c r="AC304" s="103"/>
      <c r="AD304" s="102">
        <f>IF(ISNA(VLOOKUP(D304,亚马逊入库配置费!B:F,5,0)),0,VLOOKUP(D304,亚马逊入库配置费!B:F,5,0))</f>
        <v>0.34</v>
      </c>
      <c r="AE304" s="102">
        <f t="shared" si="53"/>
        <v>244.8</v>
      </c>
      <c r="AF304" s="103">
        <v>45756</v>
      </c>
      <c r="AG304" s="91">
        <f t="shared" si="54"/>
        <v>40</v>
      </c>
      <c r="AH304" s="103">
        <v>45756</v>
      </c>
      <c r="AI304" s="103">
        <v>45796</v>
      </c>
      <c r="AJ304" s="96">
        <v>718</v>
      </c>
      <c r="AK304" s="91">
        <f t="shared" si="55"/>
        <v>40</v>
      </c>
      <c r="AL304" s="96">
        <f t="shared" si="58"/>
        <v>80</v>
      </c>
      <c r="AM304" s="92"/>
      <c r="AN304" s="91"/>
      <c r="AO304" s="91"/>
    </row>
    <row r="305" spans="1:41" ht="14.5" x14ac:dyDescent="0.25">
      <c r="A305" s="92" t="s">
        <v>655</v>
      </c>
      <c r="B305" s="91"/>
      <c r="C305" s="91" t="s">
        <v>303</v>
      </c>
      <c r="D305" s="92" t="s">
        <v>654</v>
      </c>
      <c r="E305" s="91" t="s">
        <v>97</v>
      </c>
      <c r="F305" s="91" t="s">
        <v>0</v>
      </c>
      <c r="G305" s="56" t="s">
        <v>648</v>
      </c>
      <c r="H305" s="91">
        <v>180</v>
      </c>
      <c r="I305" s="91" t="s">
        <v>306</v>
      </c>
      <c r="J305" s="91" t="s">
        <v>6</v>
      </c>
      <c r="K305" s="92" t="s">
        <v>14</v>
      </c>
      <c r="L305" s="93" t="s">
        <v>3077</v>
      </c>
      <c r="M305" s="94" t="s">
        <v>3380</v>
      </c>
      <c r="N305" s="95" t="s">
        <v>3042</v>
      </c>
      <c r="O305" s="96">
        <v>2</v>
      </c>
      <c r="P305" s="111">
        <f t="shared" si="62"/>
        <v>38.645161290322584</v>
      </c>
      <c r="Q305" s="91" t="s">
        <v>16</v>
      </c>
      <c r="R305" s="91">
        <v>8.1999999999999993</v>
      </c>
      <c r="S305" s="95"/>
      <c r="T305" s="98"/>
      <c r="U305" s="112">
        <f t="shared" si="63"/>
        <v>316.89032258064515</v>
      </c>
      <c r="V305" s="113">
        <f t="shared" si="56"/>
        <v>1.7605017921146953</v>
      </c>
      <c r="W305" s="114">
        <f t="shared" si="57"/>
        <v>0.25150025601638504</v>
      </c>
      <c r="X305" s="95"/>
      <c r="Y305" s="95"/>
      <c r="Z305" s="102"/>
      <c r="AA305" s="103">
        <v>45716</v>
      </c>
      <c r="AB305" s="103">
        <v>45742</v>
      </c>
      <c r="AC305" s="103"/>
      <c r="AD305" s="102">
        <f>IF(ISNA(VLOOKUP(D305,亚马逊入库配置费!B:F,5,0)),0,VLOOKUP(D305,亚马逊入库配置费!B:F,5,0))</f>
        <v>0.34</v>
      </c>
      <c r="AE305" s="102">
        <f t="shared" si="53"/>
        <v>61.2</v>
      </c>
      <c r="AF305" s="103">
        <v>45756</v>
      </c>
      <c r="AG305" s="91">
        <f t="shared" si="54"/>
        <v>40</v>
      </c>
      <c r="AH305" s="103">
        <v>45756</v>
      </c>
      <c r="AI305" s="103">
        <v>45796</v>
      </c>
      <c r="AJ305" s="96">
        <v>182</v>
      </c>
      <c r="AK305" s="91">
        <f t="shared" si="55"/>
        <v>40</v>
      </c>
      <c r="AL305" s="96">
        <f t="shared" si="58"/>
        <v>80</v>
      </c>
      <c r="AM305" s="92"/>
      <c r="AN305" s="91"/>
      <c r="AO305" s="91"/>
    </row>
    <row r="306" spans="1:41" ht="14.5" x14ac:dyDescent="0.25">
      <c r="A306" s="92" t="s">
        <v>656</v>
      </c>
      <c r="B306" s="91"/>
      <c r="C306" s="91" t="s">
        <v>303</v>
      </c>
      <c r="D306" s="92" t="s">
        <v>654</v>
      </c>
      <c r="E306" s="91" t="s">
        <v>97</v>
      </c>
      <c r="F306" s="91" t="s">
        <v>0</v>
      </c>
      <c r="G306" s="56" t="s">
        <v>650</v>
      </c>
      <c r="H306" s="91">
        <v>540</v>
      </c>
      <c r="I306" s="91" t="s">
        <v>306</v>
      </c>
      <c r="J306" s="91" t="s">
        <v>6</v>
      </c>
      <c r="K306" s="92" t="s">
        <v>14</v>
      </c>
      <c r="L306" s="93" t="s">
        <v>3078</v>
      </c>
      <c r="M306" s="94" t="s">
        <v>3381</v>
      </c>
      <c r="N306" s="95" t="s">
        <v>3042</v>
      </c>
      <c r="O306" s="96">
        <v>6</v>
      </c>
      <c r="P306" s="111">
        <f t="shared" si="62"/>
        <v>115.93548387096774</v>
      </c>
      <c r="Q306" s="91" t="s">
        <v>16</v>
      </c>
      <c r="R306" s="91">
        <v>8.1999999999999993</v>
      </c>
      <c r="S306" s="95"/>
      <c r="T306" s="98"/>
      <c r="U306" s="112">
        <f t="shared" si="63"/>
        <v>950.67096774193544</v>
      </c>
      <c r="V306" s="113">
        <f t="shared" si="56"/>
        <v>1.7605017921146953</v>
      </c>
      <c r="W306" s="114">
        <f t="shared" si="57"/>
        <v>0.25150025601638504</v>
      </c>
      <c r="X306" s="95"/>
      <c r="Y306" s="95"/>
      <c r="Z306" s="102"/>
      <c r="AA306" s="103">
        <v>45716</v>
      </c>
      <c r="AB306" s="103">
        <v>45742</v>
      </c>
      <c r="AC306" s="103"/>
      <c r="AD306" s="102">
        <f>IF(ISNA(VLOOKUP(D306,亚马逊入库配置费!B:F,5,0)),0,VLOOKUP(D306,亚马逊入库配置费!B:F,5,0))</f>
        <v>0.34</v>
      </c>
      <c r="AE306" s="102">
        <f t="shared" si="53"/>
        <v>183.60000000000002</v>
      </c>
      <c r="AF306" s="103">
        <v>45756</v>
      </c>
      <c r="AG306" s="91">
        <f t="shared" si="54"/>
        <v>40</v>
      </c>
      <c r="AH306" s="103">
        <v>45756</v>
      </c>
      <c r="AI306" s="103">
        <v>45796</v>
      </c>
      <c r="AJ306" s="96">
        <v>557</v>
      </c>
      <c r="AK306" s="91">
        <f t="shared" si="55"/>
        <v>40</v>
      </c>
      <c r="AL306" s="96">
        <f t="shared" si="58"/>
        <v>80</v>
      </c>
      <c r="AM306" s="92"/>
      <c r="AN306" s="91"/>
      <c r="AO306" s="91"/>
    </row>
    <row r="307" spans="1:41" ht="14.5" x14ac:dyDescent="0.25">
      <c r="A307" s="92" t="s">
        <v>657</v>
      </c>
      <c r="B307" s="91"/>
      <c r="C307" s="91" t="s">
        <v>303</v>
      </c>
      <c r="D307" s="92" t="s">
        <v>654</v>
      </c>
      <c r="E307" s="91" t="s">
        <v>97</v>
      </c>
      <c r="F307" s="91" t="s">
        <v>0</v>
      </c>
      <c r="G307" s="56" t="s">
        <v>652</v>
      </c>
      <c r="H307" s="91">
        <v>180</v>
      </c>
      <c r="I307" s="91" t="s">
        <v>306</v>
      </c>
      <c r="J307" s="91" t="s">
        <v>6</v>
      </c>
      <c r="K307" s="92" t="s">
        <v>14</v>
      </c>
      <c r="L307" s="93" t="s">
        <v>3079</v>
      </c>
      <c r="M307" s="94" t="s">
        <v>3382</v>
      </c>
      <c r="N307" s="95" t="s">
        <v>3042</v>
      </c>
      <c r="O307" s="96">
        <v>2</v>
      </c>
      <c r="P307" s="111">
        <f t="shared" si="62"/>
        <v>38.645161290322584</v>
      </c>
      <c r="Q307" s="91" t="s">
        <v>16</v>
      </c>
      <c r="R307" s="91">
        <v>8.1999999999999993</v>
      </c>
      <c r="S307" s="95"/>
      <c r="T307" s="98"/>
      <c r="U307" s="112">
        <f t="shared" si="63"/>
        <v>316.89032258064515</v>
      </c>
      <c r="V307" s="113">
        <f t="shared" si="56"/>
        <v>1.7605017921146953</v>
      </c>
      <c r="W307" s="114">
        <f t="shared" si="57"/>
        <v>0.25150025601638504</v>
      </c>
      <c r="X307" s="95"/>
      <c r="Y307" s="95"/>
      <c r="Z307" s="102"/>
      <c r="AA307" s="103">
        <v>45716</v>
      </c>
      <c r="AB307" s="103">
        <v>45742</v>
      </c>
      <c r="AC307" s="103"/>
      <c r="AD307" s="102">
        <f>IF(ISNA(VLOOKUP(D307,亚马逊入库配置费!B:F,5,0)),0,VLOOKUP(D307,亚马逊入库配置费!B:F,5,0))</f>
        <v>0.34</v>
      </c>
      <c r="AE307" s="102">
        <f t="shared" si="53"/>
        <v>61.2</v>
      </c>
      <c r="AF307" s="103">
        <v>45756</v>
      </c>
      <c r="AG307" s="91">
        <f t="shared" si="54"/>
        <v>40</v>
      </c>
      <c r="AH307" s="103">
        <v>45756</v>
      </c>
      <c r="AI307" s="103">
        <v>45796</v>
      </c>
      <c r="AJ307" s="96">
        <v>176</v>
      </c>
      <c r="AK307" s="91">
        <f t="shared" si="55"/>
        <v>40</v>
      </c>
      <c r="AL307" s="96">
        <f t="shared" si="58"/>
        <v>80</v>
      </c>
      <c r="AM307" s="92"/>
      <c r="AN307" s="91"/>
      <c r="AO307" s="91"/>
    </row>
    <row r="308" spans="1:41" ht="14.5" x14ac:dyDescent="0.25">
      <c r="A308" s="92" t="s">
        <v>658</v>
      </c>
      <c r="B308" s="91"/>
      <c r="C308" s="119" t="s">
        <v>659</v>
      </c>
      <c r="D308" s="120" t="s">
        <v>660</v>
      </c>
      <c r="E308" s="119" t="s">
        <v>287</v>
      </c>
      <c r="F308" s="119" t="s">
        <v>0</v>
      </c>
      <c r="G308" s="121" t="s">
        <v>282</v>
      </c>
      <c r="H308" s="119">
        <v>160</v>
      </c>
      <c r="I308" s="119" t="s">
        <v>207</v>
      </c>
      <c r="J308" s="119" t="s">
        <v>8</v>
      </c>
      <c r="K308" s="120" t="s">
        <v>44</v>
      </c>
      <c r="L308" s="93" t="s">
        <v>2783</v>
      </c>
      <c r="M308" s="94" t="s">
        <v>3322</v>
      </c>
      <c r="N308" s="95" t="s">
        <v>2785</v>
      </c>
      <c r="O308" s="132">
        <v>10</v>
      </c>
      <c r="P308" s="111">
        <f>883/59*O308</f>
        <v>149.66101694915255</v>
      </c>
      <c r="Q308" s="122" t="s">
        <v>16</v>
      </c>
      <c r="R308" s="124">
        <v>4.5</v>
      </c>
      <c r="S308" s="95"/>
      <c r="T308" s="98"/>
      <c r="U308" s="125">
        <f>R308*P308+350/59*O308</f>
        <v>732.7966101694916</v>
      </c>
      <c r="V308" s="113">
        <f t="shared" si="56"/>
        <v>4.5799788135593227</v>
      </c>
      <c r="W308" s="114">
        <f t="shared" si="57"/>
        <v>0.6542826876513318</v>
      </c>
      <c r="X308" s="95"/>
      <c r="Y308" s="95"/>
      <c r="Z308" s="102"/>
      <c r="AA308" s="103">
        <v>45724</v>
      </c>
      <c r="AB308" s="103">
        <v>45747</v>
      </c>
      <c r="AC308" s="103"/>
      <c r="AD308" s="102">
        <f>IF(ISNA(VLOOKUP(D308,亚马逊入库配置费!B:F,5,0)),0,VLOOKUP(D308,亚马逊入库配置费!B:F,5,0))</f>
        <v>0.49</v>
      </c>
      <c r="AE308" s="102">
        <f t="shared" si="53"/>
        <v>78.400000000000006</v>
      </c>
      <c r="AF308" s="103">
        <v>45759</v>
      </c>
      <c r="AG308" s="91">
        <f t="shared" si="54"/>
        <v>35</v>
      </c>
      <c r="AH308" s="103">
        <v>45759</v>
      </c>
      <c r="AI308" s="103">
        <v>45800</v>
      </c>
      <c r="AJ308" s="96">
        <v>176</v>
      </c>
      <c r="AK308" s="91">
        <f t="shared" si="55"/>
        <v>41</v>
      </c>
      <c r="AL308" s="96">
        <f t="shared" si="58"/>
        <v>76</v>
      </c>
      <c r="AM308" s="92"/>
      <c r="AN308" s="91"/>
      <c r="AO308" s="91"/>
    </row>
    <row r="309" spans="1:41" ht="14.5" x14ac:dyDescent="0.25">
      <c r="A309" s="92" t="s">
        <v>661</v>
      </c>
      <c r="B309" s="91"/>
      <c r="C309" s="119" t="s">
        <v>659</v>
      </c>
      <c r="D309" s="120" t="s">
        <v>660</v>
      </c>
      <c r="E309" s="119" t="s">
        <v>287</v>
      </c>
      <c r="F309" s="119" t="s">
        <v>0</v>
      </c>
      <c r="G309" s="121" t="s">
        <v>284</v>
      </c>
      <c r="H309" s="119">
        <v>688</v>
      </c>
      <c r="I309" s="119" t="s">
        <v>207</v>
      </c>
      <c r="J309" s="119" t="s">
        <v>8</v>
      </c>
      <c r="K309" s="120" t="s">
        <v>44</v>
      </c>
      <c r="L309" s="93" t="s">
        <v>3039</v>
      </c>
      <c r="M309" s="94" t="s">
        <v>3323</v>
      </c>
      <c r="N309" s="95" t="s">
        <v>2915</v>
      </c>
      <c r="O309" s="132">
        <v>43</v>
      </c>
      <c r="P309" s="111">
        <f>883/59*O309</f>
        <v>643.54237288135596</v>
      </c>
      <c r="Q309" s="122" t="s">
        <v>16</v>
      </c>
      <c r="R309" s="124">
        <v>4.5</v>
      </c>
      <c r="S309" s="95"/>
      <c r="T309" s="98"/>
      <c r="U309" s="125">
        <f>R309*P309+350/59*O309</f>
        <v>3151.0254237288136</v>
      </c>
      <c r="V309" s="113">
        <f t="shared" si="56"/>
        <v>4.5799788135593218</v>
      </c>
      <c r="W309" s="114">
        <f t="shared" si="57"/>
        <v>0.65428268765133168</v>
      </c>
      <c r="X309" s="95"/>
      <c r="Y309" s="95"/>
      <c r="Z309" s="102"/>
      <c r="AA309" s="103">
        <v>45724</v>
      </c>
      <c r="AB309" s="103">
        <v>45747</v>
      </c>
      <c r="AC309" s="103"/>
      <c r="AD309" s="102">
        <f>IF(ISNA(VLOOKUP(D309,亚马逊入库配置费!B:F,5,0)),0,VLOOKUP(D309,亚马逊入库配置费!B:F,5,0))</f>
        <v>0.49</v>
      </c>
      <c r="AE309" s="102">
        <f t="shared" si="53"/>
        <v>337.12</v>
      </c>
      <c r="AF309" s="103">
        <v>45759</v>
      </c>
      <c r="AG309" s="91">
        <f t="shared" si="54"/>
        <v>35</v>
      </c>
      <c r="AH309" s="103">
        <v>45759</v>
      </c>
      <c r="AI309" s="103">
        <v>45800</v>
      </c>
      <c r="AJ309" s="96">
        <v>687</v>
      </c>
      <c r="AK309" s="91">
        <f t="shared" si="55"/>
        <v>41</v>
      </c>
      <c r="AL309" s="96">
        <f t="shared" si="58"/>
        <v>76</v>
      </c>
      <c r="AM309" s="92"/>
      <c r="AN309" s="91"/>
      <c r="AO309" s="91"/>
    </row>
    <row r="310" spans="1:41" ht="14.5" x14ac:dyDescent="0.25">
      <c r="A310" s="92" t="s">
        <v>662</v>
      </c>
      <c r="B310" s="91"/>
      <c r="C310" s="119" t="s">
        <v>659</v>
      </c>
      <c r="D310" s="120" t="s">
        <v>660</v>
      </c>
      <c r="E310" s="119" t="s">
        <v>287</v>
      </c>
      <c r="F310" s="119" t="s">
        <v>0</v>
      </c>
      <c r="G310" s="121" t="s">
        <v>663</v>
      </c>
      <c r="H310" s="119">
        <v>96</v>
      </c>
      <c r="I310" s="119" t="s">
        <v>207</v>
      </c>
      <c r="J310" s="119" t="s">
        <v>8</v>
      </c>
      <c r="K310" s="120" t="s">
        <v>44</v>
      </c>
      <c r="L310" s="93" t="s">
        <v>3080</v>
      </c>
      <c r="M310" s="94" t="s">
        <v>3383</v>
      </c>
      <c r="N310" s="95" t="s">
        <v>2915</v>
      </c>
      <c r="O310" s="132">
        <v>6</v>
      </c>
      <c r="P310" s="111">
        <f>883/59*O310</f>
        <v>89.79661016949153</v>
      </c>
      <c r="Q310" s="122" t="s">
        <v>16</v>
      </c>
      <c r="R310" s="124">
        <v>4.5</v>
      </c>
      <c r="S310" s="95"/>
      <c r="T310" s="98"/>
      <c r="U310" s="125">
        <f>R310*P310+350/59*O310</f>
        <v>439.67796610169489</v>
      </c>
      <c r="V310" s="113">
        <f t="shared" si="56"/>
        <v>4.5799788135593218</v>
      </c>
      <c r="W310" s="114">
        <f t="shared" si="57"/>
        <v>0.65428268765133168</v>
      </c>
      <c r="X310" s="95"/>
      <c r="Y310" s="95"/>
      <c r="Z310" s="102"/>
      <c r="AA310" s="103">
        <v>45724</v>
      </c>
      <c r="AB310" s="103">
        <v>45747</v>
      </c>
      <c r="AC310" s="103"/>
      <c r="AD310" s="102">
        <f>IF(ISNA(VLOOKUP(D310,亚马逊入库配置费!B:F,5,0)),0,VLOOKUP(D310,亚马逊入库配置费!B:F,5,0))</f>
        <v>0.49</v>
      </c>
      <c r="AE310" s="102">
        <f t="shared" si="53"/>
        <v>47.04</v>
      </c>
      <c r="AF310" s="103">
        <v>45759</v>
      </c>
      <c r="AG310" s="91">
        <f t="shared" si="54"/>
        <v>35</v>
      </c>
      <c r="AH310" s="103">
        <v>45759</v>
      </c>
      <c r="AI310" s="103">
        <v>45800</v>
      </c>
      <c r="AJ310" s="96">
        <v>96</v>
      </c>
      <c r="AK310" s="91">
        <f t="shared" si="55"/>
        <v>41</v>
      </c>
      <c r="AL310" s="96">
        <f t="shared" si="58"/>
        <v>76</v>
      </c>
      <c r="AM310" s="92"/>
      <c r="AN310" s="91"/>
      <c r="AO310" s="91"/>
    </row>
    <row r="311" spans="1:41" ht="14.5" x14ac:dyDescent="0.25">
      <c r="A311" s="92" t="s">
        <v>664</v>
      </c>
      <c r="B311" s="91"/>
      <c r="C311" s="119" t="s">
        <v>665</v>
      </c>
      <c r="D311" s="120" t="s">
        <v>666</v>
      </c>
      <c r="E311" s="119" t="s">
        <v>295</v>
      </c>
      <c r="F311" s="119" t="s">
        <v>87</v>
      </c>
      <c r="G311" s="121" t="s">
        <v>667</v>
      </c>
      <c r="H311" s="119">
        <v>240</v>
      </c>
      <c r="I311" s="119" t="s">
        <v>207</v>
      </c>
      <c r="J311" s="119" t="s">
        <v>90</v>
      </c>
      <c r="K311" s="120" t="s">
        <v>431</v>
      </c>
      <c r="L311" s="93" t="s">
        <v>2685</v>
      </c>
      <c r="M311" s="94" t="s">
        <v>3384</v>
      </c>
      <c r="N311" s="95" t="s">
        <v>2920</v>
      </c>
      <c r="O311" s="132">
        <v>20</v>
      </c>
      <c r="P311" s="111">
        <f t="shared" ref="P311:P317" si="64">762/54*O311</f>
        <v>282.22222222222223</v>
      </c>
      <c r="Q311" s="122" t="s">
        <v>16</v>
      </c>
      <c r="R311" s="124">
        <v>5.8</v>
      </c>
      <c r="S311" s="95"/>
      <c r="T311" s="98"/>
      <c r="U311" s="125">
        <f t="shared" ref="U311:U317" si="65">R311*P311+350/54*O311</f>
        <v>1766.5185185185185</v>
      </c>
      <c r="V311" s="113">
        <f t="shared" si="56"/>
        <v>7.3604938271604938</v>
      </c>
      <c r="W311" s="114">
        <f t="shared" si="57"/>
        <v>1.0514991181657849</v>
      </c>
      <c r="X311" s="95"/>
      <c r="Y311" s="95"/>
      <c r="Z311" s="102"/>
      <c r="AA311" s="103">
        <v>45724</v>
      </c>
      <c r="AB311" s="103">
        <v>45745</v>
      </c>
      <c r="AC311" s="103"/>
      <c r="AD311" s="102">
        <f>IF(ISNA(VLOOKUP(D311,亚马逊入库配置费!B:F,5,0)),0,VLOOKUP(D311,亚马逊入库配置费!B:F,5,0))</f>
        <v>0</v>
      </c>
      <c r="AE311" s="102">
        <f t="shared" si="53"/>
        <v>0</v>
      </c>
      <c r="AF311" s="103">
        <v>45762</v>
      </c>
      <c r="AG311" s="91">
        <f t="shared" si="54"/>
        <v>38</v>
      </c>
      <c r="AH311" s="103">
        <v>45762</v>
      </c>
      <c r="AI311" s="103">
        <v>45779</v>
      </c>
      <c r="AJ311" s="96">
        <v>240</v>
      </c>
      <c r="AK311" s="91">
        <f t="shared" si="55"/>
        <v>17</v>
      </c>
      <c r="AL311" s="96">
        <f t="shared" si="58"/>
        <v>55</v>
      </c>
      <c r="AM311" s="92"/>
      <c r="AN311" s="91"/>
      <c r="AO311" s="91"/>
    </row>
    <row r="312" spans="1:41" ht="14.5" x14ac:dyDescent="0.25">
      <c r="A312" s="92" t="s">
        <v>668</v>
      </c>
      <c r="B312" s="91"/>
      <c r="C312" s="119" t="s">
        <v>665</v>
      </c>
      <c r="D312" s="120" t="s">
        <v>666</v>
      </c>
      <c r="E312" s="119" t="s">
        <v>295</v>
      </c>
      <c r="F312" s="119" t="s">
        <v>87</v>
      </c>
      <c r="G312" s="121" t="s">
        <v>669</v>
      </c>
      <c r="H312" s="119">
        <v>72</v>
      </c>
      <c r="I312" s="119" t="s">
        <v>207</v>
      </c>
      <c r="J312" s="119" t="s">
        <v>90</v>
      </c>
      <c r="K312" s="120" t="s">
        <v>431</v>
      </c>
      <c r="L312" s="93" t="s">
        <v>2687</v>
      </c>
      <c r="M312" s="94" t="s">
        <v>3385</v>
      </c>
      <c r="N312" s="95" t="s">
        <v>2920</v>
      </c>
      <c r="O312" s="132">
        <v>6</v>
      </c>
      <c r="P312" s="111">
        <f t="shared" si="64"/>
        <v>84.666666666666657</v>
      </c>
      <c r="Q312" s="122" t="s">
        <v>16</v>
      </c>
      <c r="R312" s="124">
        <v>5.8</v>
      </c>
      <c r="S312" s="95"/>
      <c r="T312" s="98"/>
      <c r="U312" s="125">
        <f t="shared" si="65"/>
        <v>529.95555555555552</v>
      </c>
      <c r="V312" s="113">
        <f t="shared" si="56"/>
        <v>7.3604938271604929</v>
      </c>
      <c r="W312" s="114">
        <f t="shared" si="57"/>
        <v>1.0514991181657847</v>
      </c>
      <c r="X312" s="95"/>
      <c r="Y312" s="95"/>
      <c r="Z312" s="102"/>
      <c r="AA312" s="103">
        <v>45724</v>
      </c>
      <c r="AB312" s="103">
        <v>45745</v>
      </c>
      <c r="AC312" s="103"/>
      <c r="AD312" s="102">
        <f>IF(ISNA(VLOOKUP(D312,亚马逊入库配置费!B:F,5,0)),0,VLOOKUP(D312,亚马逊入库配置费!B:F,5,0))</f>
        <v>0</v>
      </c>
      <c r="AE312" s="102">
        <f t="shared" si="53"/>
        <v>0</v>
      </c>
      <c r="AF312" s="103">
        <v>45762</v>
      </c>
      <c r="AG312" s="91">
        <f t="shared" si="54"/>
        <v>38</v>
      </c>
      <c r="AH312" s="103">
        <v>45762</v>
      </c>
      <c r="AI312" s="103">
        <v>45779</v>
      </c>
      <c r="AJ312" s="96">
        <v>73</v>
      </c>
      <c r="AK312" s="91">
        <f t="shared" si="55"/>
        <v>17</v>
      </c>
      <c r="AL312" s="96">
        <f t="shared" si="58"/>
        <v>55</v>
      </c>
      <c r="AM312" s="92"/>
      <c r="AN312" s="91"/>
      <c r="AO312" s="91"/>
    </row>
    <row r="313" spans="1:41" ht="14.5" x14ac:dyDescent="0.25">
      <c r="A313" s="92" t="s">
        <v>670</v>
      </c>
      <c r="B313" s="91"/>
      <c r="C313" s="119" t="s">
        <v>665</v>
      </c>
      <c r="D313" s="120" t="s">
        <v>666</v>
      </c>
      <c r="E313" s="119" t="s">
        <v>295</v>
      </c>
      <c r="F313" s="119" t="s">
        <v>87</v>
      </c>
      <c r="G313" s="121" t="s">
        <v>671</v>
      </c>
      <c r="H313" s="119">
        <v>72</v>
      </c>
      <c r="I313" s="119" t="s">
        <v>207</v>
      </c>
      <c r="J313" s="119" t="s">
        <v>90</v>
      </c>
      <c r="K313" s="120" t="s">
        <v>431</v>
      </c>
      <c r="L313" s="93" t="s">
        <v>2691</v>
      </c>
      <c r="M313" s="94" t="s">
        <v>3386</v>
      </c>
      <c r="N313" s="95" t="s">
        <v>2919</v>
      </c>
      <c r="O313" s="132">
        <v>6</v>
      </c>
      <c r="P313" s="111">
        <f t="shared" si="64"/>
        <v>84.666666666666657</v>
      </c>
      <c r="Q313" s="122" t="s">
        <v>16</v>
      </c>
      <c r="R313" s="124">
        <v>5.8</v>
      </c>
      <c r="S313" s="95"/>
      <c r="T313" s="98"/>
      <c r="U313" s="125">
        <f t="shared" si="65"/>
        <v>529.95555555555552</v>
      </c>
      <c r="V313" s="113">
        <f t="shared" si="56"/>
        <v>7.3604938271604929</v>
      </c>
      <c r="W313" s="114">
        <f t="shared" si="57"/>
        <v>1.0514991181657847</v>
      </c>
      <c r="X313" s="95"/>
      <c r="Y313" s="95"/>
      <c r="Z313" s="102"/>
      <c r="AA313" s="103">
        <v>45724</v>
      </c>
      <c r="AB313" s="103">
        <v>45745</v>
      </c>
      <c r="AC313" s="103"/>
      <c r="AD313" s="102">
        <f>IF(ISNA(VLOOKUP(D313,亚马逊入库配置费!B:F,5,0)),0,VLOOKUP(D313,亚马逊入库配置费!B:F,5,0))</f>
        <v>0</v>
      </c>
      <c r="AE313" s="102">
        <f t="shared" si="53"/>
        <v>0</v>
      </c>
      <c r="AF313" s="103">
        <v>45762</v>
      </c>
      <c r="AG313" s="91">
        <f t="shared" si="54"/>
        <v>38</v>
      </c>
      <c r="AH313" s="103">
        <v>45762</v>
      </c>
      <c r="AI313" s="103">
        <v>45779</v>
      </c>
      <c r="AJ313" s="96">
        <v>72</v>
      </c>
      <c r="AK313" s="91">
        <f t="shared" si="55"/>
        <v>17</v>
      </c>
      <c r="AL313" s="96">
        <f t="shared" si="58"/>
        <v>55</v>
      </c>
      <c r="AM313" s="92"/>
      <c r="AN313" s="91"/>
      <c r="AO313" s="91"/>
    </row>
    <row r="314" spans="1:41" ht="14.5" x14ac:dyDescent="0.25">
      <c r="A314" s="92" t="s">
        <v>672</v>
      </c>
      <c r="B314" s="91"/>
      <c r="C314" s="119" t="s">
        <v>665</v>
      </c>
      <c r="D314" s="120" t="s">
        <v>666</v>
      </c>
      <c r="E314" s="119" t="s">
        <v>295</v>
      </c>
      <c r="F314" s="119" t="s">
        <v>87</v>
      </c>
      <c r="G314" s="121" t="s">
        <v>673</v>
      </c>
      <c r="H314" s="119">
        <v>72</v>
      </c>
      <c r="I314" s="119" t="s">
        <v>207</v>
      </c>
      <c r="J314" s="119" t="s">
        <v>90</v>
      </c>
      <c r="K314" s="120" t="s">
        <v>431</v>
      </c>
      <c r="L314" s="93" t="s">
        <v>2686</v>
      </c>
      <c r="M314" s="94" t="s">
        <v>3387</v>
      </c>
      <c r="N314" s="95" t="s">
        <v>2920</v>
      </c>
      <c r="O314" s="132">
        <v>6</v>
      </c>
      <c r="P314" s="111">
        <f t="shared" si="64"/>
        <v>84.666666666666657</v>
      </c>
      <c r="Q314" s="122" t="s">
        <v>16</v>
      </c>
      <c r="R314" s="124">
        <v>5.8</v>
      </c>
      <c r="S314" s="95"/>
      <c r="T314" s="98"/>
      <c r="U314" s="125">
        <f t="shared" si="65"/>
        <v>529.95555555555552</v>
      </c>
      <c r="V314" s="113">
        <f t="shared" si="56"/>
        <v>7.3604938271604929</v>
      </c>
      <c r="W314" s="114">
        <f t="shared" si="57"/>
        <v>1.0514991181657847</v>
      </c>
      <c r="X314" s="95"/>
      <c r="Y314" s="95"/>
      <c r="Z314" s="102"/>
      <c r="AA314" s="103">
        <v>45724</v>
      </c>
      <c r="AB314" s="103">
        <v>45745</v>
      </c>
      <c r="AC314" s="103"/>
      <c r="AD314" s="102">
        <f>IF(ISNA(VLOOKUP(D314,亚马逊入库配置费!B:F,5,0)),0,VLOOKUP(D314,亚马逊入库配置费!B:F,5,0))</f>
        <v>0</v>
      </c>
      <c r="AE314" s="102">
        <f t="shared" si="53"/>
        <v>0</v>
      </c>
      <c r="AF314" s="103">
        <v>45762</v>
      </c>
      <c r="AG314" s="91">
        <f t="shared" si="54"/>
        <v>38</v>
      </c>
      <c r="AH314" s="103">
        <v>45762</v>
      </c>
      <c r="AI314" s="103">
        <v>45779</v>
      </c>
      <c r="AJ314" s="96">
        <v>73</v>
      </c>
      <c r="AK314" s="91">
        <f t="shared" si="55"/>
        <v>17</v>
      </c>
      <c r="AL314" s="96">
        <f t="shared" si="58"/>
        <v>55</v>
      </c>
      <c r="AM314" s="92"/>
      <c r="AN314" s="91"/>
      <c r="AO314" s="91"/>
    </row>
    <row r="315" spans="1:41" ht="14.5" x14ac:dyDescent="0.25">
      <c r="A315" s="92" t="s">
        <v>674</v>
      </c>
      <c r="B315" s="91"/>
      <c r="C315" s="119" t="s">
        <v>665</v>
      </c>
      <c r="D315" s="120" t="s">
        <v>666</v>
      </c>
      <c r="E315" s="119" t="s">
        <v>295</v>
      </c>
      <c r="F315" s="119" t="s">
        <v>87</v>
      </c>
      <c r="G315" s="121" t="s">
        <v>675</v>
      </c>
      <c r="H315" s="119">
        <v>72</v>
      </c>
      <c r="I315" s="119" t="s">
        <v>207</v>
      </c>
      <c r="J315" s="119" t="s">
        <v>90</v>
      </c>
      <c r="K315" s="120" t="s">
        <v>431</v>
      </c>
      <c r="L315" s="93" t="s">
        <v>2690</v>
      </c>
      <c r="M315" s="94" t="s">
        <v>3388</v>
      </c>
      <c r="N315" s="95" t="s">
        <v>2919</v>
      </c>
      <c r="O315" s="132">
        <v>6</v>
      </c>
      <c r="P315" s="111">
        <f t="shared" si="64"/>
        <v>84.666666666666657</v>
      </c>
      <c r="Q315" s="122" t="s">
        <v>16</v>
      </c>
      <c r="R315" s="124">
        <v>5.8</v>
      </c>
      <c r="S315" s="95"/>
      <c r="T315" s="98"/>
      <c r="U315" s="125">
        <f t="shared" si="65"/>
        <v>529.95555555555552</v>
      </c>
      <c r="V315" s="113">
        <f t="shared" si="56"/>
        <v>7.3604938271604929</v>
      </c>
      <c r="W315" s="114">
        <f t="shared" si="57"/>
        <v>1.0514991181657847</v>
      </c>
      <c r="X315" s="95"/>
      <c r="Y315" s="95"/>
      <c r="Z315" s="102"/>
      <c r="AA315" s="103">
        <v>45724</v>
      </c>
      <c r="AB315" s="103">
        <v>45745</v>
      </c>
      <c r="AC315" s="103"/>
      <c r="AD315" s="102">
        <f>IF(ISNA(VLOOKUP(D315,亚马逊入库配置费!B:F,5,0)),0,VLOOKUP(D315,亚马逊入库配置费!B:F,5,0))</f>
        <v>0</v>
      </c>
      <c r="AE315" s="102">
        <f t="shared" si="53"/>
        <v>0</v>
      </c>
      <c r="AF315" s="103">
        <v>45762</v>
      </c>
      <c r="AG315" s="91">
        <f t="shared" si="54"/>
        <v>38</v>
      </c>
      <c r="AH315" s="103">
        <v>45762</v>
      </c>
      <c r="AI315" s="103">
        <v>45779</v>
      </c>
      <c r="AJ315" s="96">
        <v>72</v>
      </c>
      <c r="AK315" s="91">
        <f t="shared" si="55"/>
        <v>17</v>
      </c>
      <c r="AL315" s="96">
        <f t="shared" si="58"/>
        <v>55</v>
      </c>
      <c r="AM315" s="92"/>
      <c r="AN315" s="91"/>
      <c r="AO315" s="91"/>
    </row>
    <row r="316" spans="1:41" ht="14.5" x14ac:dyDescent="0.25">
      <c r="A316" s="92" t="s">
        <v>676</v>
      </c>
      <c r="B316" s="91"/>
      <c r="C316" s="119" t="s">
        <v>665</v>
      </c>
      <c r="D316" s="120" t="s">
        <v>666</v>
      </c>
      <c r="E316" s="119" t="s">
        <v>295</v>
      </c>
      <c r="F316" s="119" t="s">
        <v>87</v>
      </c>
      <c r="G316" s="121" t="s">
        <v>677</v>
      </c>
      <c r="H316" s="119">
        <v>72</v>
      </c>
      <c r="I316" s="119" t="s">
        <v>207</v>
      </c>
      <c r="J316" s="119" t="s">
        <v>90</v>
      </c>
      <c r="K316" s="120" t="s">
        <v>431</v>
      </c>
      <c r="L316" s="93" t="s">
        <v>2688</v>
      </c>
      <c r="M316" s="94" t="s">
        <v>3389</v>
      </c>
      <c r="N316" s="95" t="s">
        <v>2920</v>
      </c>
      <c r="O316" s="132">
        <v>6</v>
      </c>
      <c r="P316" s="111">
        <f t="shared" si="64"/>
        <v>84.666666666666657</v>
      </c>
      <c r="Q316" s="122" t="s">
        <v>16</v>
      </c>
      <c r="R316" s="124">
        <v>5.8</v>
      </c>
      <c r="S316" s="95"/>
      <c r="T316" s="98"/>
      <c r="U316" s="125">
        <f t="shared" si="65"/>
        <v>529.95555555555552</v>
      </c>
      <c r="V316" s="113">
        <f t="shared" si="56"/>
        <v>7.3604938271604929</v>
      </c>
      <c r="W316" s="114">
        <f t="shared" si="57"/>
        <v>1.0514991181657847</v>
      </c>
      <c r="X316" s="95"/>
      <c r="Y316" s="95"/>
      <c r="Z316" s="102"/>
      <c r="AA316" s="103">
        <v>45724</v>
      </c>
      <c r="AB316" s="103">
        <v>45745</v>
      </c>
      <c r="AC316" s="103"/>
      <c r="AD316" s="102">
        <f>IF(ISNA(VLOOKUP(D316,亚马逊入库配置费!B:F,5,0)),0,VLOOKUP(D316,亚马逊入库配置费!B:F,5,0))</f>
        <v>0</v>
      </c>
      <c r="AE316" s="102">
        <f t="shared" si="53"/>
        <v>0</v>
      </c>
      <c r="AF316" s="103">
        <v>45762</v>
      </c>
      <c r="AG316" s="91">
        <f t="shared" si="54"/>
        <v>38</v>
      </c>
      <c r="AH316" s="103">
        <v>45762</v>
      </c>
      <c r="AI316" s="103">
        <v>45779</v>
      </c>
      <c r="AJ316" s="96">
        <v>68</v>
      </c>
      <c r="AK316" s="91">
        <f t="shared" si="55"/>
        <v>17</v>
      </c>
      <c r="AL316" s="96">
        <f t="shared" si="58"/>
        <v>55</v>
      </c>
      <c r="AM316" s="92"/>
      <c r="AN316" s="91"/>
      <c r="AO316" s="91"/>
    </row>
    <row r="317" spans="1:41" ht="14.5" x14ac:dyDescent="0.25">
      <c r="A317" s="92" t="s">
        <v>678</v>
      </c>
      <c r="B317" s="91"/>
      <c r="C317" s="119" t="s">
        <v>665</v>
      </c>
      <c r="D317" s="120" t="s">
        <v>666</v>
      </c>
      <c r="E317" s="119" t="s">
        <v>295</v>
      </c>
      <c r="F317" s="119" t="s">
        <v>87</v>
      </c>
      <c r="G317" s="121" t="s">
        <v>564</v>
      </c>
      <c r="H317" s="119">
        <v>48</v>
      </c>
      <c r="I317" s="119" t="s">
        <v>207</v>
      </c>
      <c r="J317" s="119" t="s">
        <v>90</v>
      </c>
      <c r="K317" s="120" t="s">
        <v>431</v>
      </c>
      <c r="L317" s="93" t="s">
        <v>3074</v>
      </c>
      <c r="M317" s="94" t="s">
        <v>3375</v>
      </c>
      <c r="N317" s="95" t="s">
        <v>2917</v>
      </c>
      <c r="O317" s="132">
        <v>4</v>
      </c>
      <c r="P317" s="111">
        <f t="shared" si="64"/>
        <v>56.444444444444443</v>
      </c>
      <c r="Q317" s="122" t="s">
        <v>16</v>
      </c>
      <c r="R317" s="124">
        <v>5.8</v>
      </c>
      <c r="S317" s="95"/>
      <c r="T317" s="98"/>
      <c r="U317" s="125">
        <f t="shared" si="65"/>
        <v>353.30370370370366</v>
      </c>
      <c r="V317" s="113">
        <f t="shared" si="56"/>
        <v>7.3604938271604929</v>
      </c>
      <c r="W317" s="114">
        <f t="shared" si="57"/>
        <v>1.0514991181657847</v>
      </c>
      <c r="X317" s="95"/>
      <c r="Y317" s="95"/>
      <c r="Z317" s="102"/>
      <c r="AA317" s="103">
        <v>45724</v>
      </c>
      <c r="AB317" s="103">
        <v>45745</v>
      </c>
      <c r="AC317" s="103"/>
      <c r="AD317" s="102">
        <f>IF(ISNA(VLOOKUP(D317,亚马逊入库配置费!B:F,5,0)),0,VLOOKUP(D317,亚马逊入库配置费!B:F,5,0))</f>
        <v>0</v>
      </c>
      <c r="AE317" s="102">
        <f t="shared" si="53"/>
        <v>0</v>
      </c>
      <c r="AF317" s="103">
        <v>45762</v>
      </c>
      <c r="AG317" s="91">
        <f t="shared" si="54"/>
        <v>38</v>
      </c>
      <c r="AH317" s="103">
        <v>45762</v>
      </c>
      <c r="AI317" s="103">
        <v>45779</v>
      </c>
      <c r="AJ317" s="96">
        <v>48</v>
      </c>
      <c r="AK317" s="91">
        <f t="shared" si="55"/>
        <v>17</v>
      </c>
      <c r="AL317" s="96">
        <f t="shared" si="58"/>
        <v>55</v>
      </c>
      <c r="AM317" s="92"/>
      <c r="AN317" s="91"/>
      <c r="AO317" s="91"/>
    </row>
    <row r="318" spans="1:41" ht="14.5" x14ac:dyDescent="0.25">
      <c r="A318" s="92" t="s">
        <v>679</v>
      </c>
      <c r="B318" s="91"/>
      <c r="C318" s="119" t="s">
        <v>680</v>
      </c>
      <c r="D318" s="120" t="s">
        <v>681</v>
      </c>
      <c r="E318" s="119" t="s">
        <v>97</v>
      </c>
      <c r="F318" s="119" t="s">
        <v>0</v>
      </c>
      <c r="G318" s="121" t="s">
        <v>167</v>
      </c>
      <c r="H318" s="119">
        <v>600</v>
      </c>
      <c r="I318" s="119" t="s">
        <v>207</v>
      </c>
      <c r="J318" s="119" t="s">
        <v>8</v>
      </c>
      <c r="K318" s="120" t="s">
        <v>13</v>
      </c>
      <c r="L318" s="93" t="s">
        <v>3025</v>
      </c>
      <c r="M318" s="94" t="s">
        <v>3210</v>
      </c>
      <c r="N318" s="95" t="s">
        <v>2876</v>
      </c>
      <c r="O318" s="132">
        <v>20</v>
      </c>
      <c r="P318" s="111">
        <f t="shared" ref="P318:P323" si="66">1208/86*O318</f>
        <v>280.93023255813955</v>
      </c>
      <c r="Q318" s="122" t="s">
        <v>16</v>
      </c>
      <c r="R318" s="124">
        <v>4.3</v>
      </c>
      <c r="S318" s="95"/>
      <c r="T318" s="98"/>
      <c r="U318" s="125">
        <f t="shared" ref="U318:U323" si="67">R318*P318+350/86*O318</f>
        <v>1289.3953488372092</v>
      </c>
      <c r="V318" s="113">
        <f t="shared" si="56"/>
        <v>2.1489922480620152</v>
      </c>
      <c r="W318" s="114">
        <f t="shared" si="57"/>
        <v>0.3069988925802879</v>
      </c>
      <c r="X318" s="95"/>
      <c r="Y318" s="95"/>
      <c r="Z318" s="102"/>
      <c r="AA318" s="103">
        <v>45724</v>
      </c>
      <c r="AB318" s="103">
        <v>45747</v>
      </c>
      <c r="AC318" s="103"/>
      <c r="AD318" s="102">
        <f>IF(ISNA(VLOOKUP(D318,亚马逊入库配置费!B:F,5,0)),0,VLOOKUP(D318,亚马逊入库配置费!B:F,5,0))</f>
        <v>0.37666666666666698</v>
      </c>
      <c r="AE318" s="102">
        <f t="shared" si="53"/>
        <v>226.0000000000002</v>
      </c>
      <c r="AF318" s="103">
        <v>45757</v>
      </c>
      <c r="AG318" s="91">
        <f t="shared" si="54"/>
        <v>33</v>
      </c>
      <c r="AH318" s="103">
        <v>45757</v>
      </c>
      <c r="AI318" s="103">
        <v>45795</v>
      </c>
      <c r="AJ318" s="96">
        <v>200</v>
      </c>
      <c r="AK318" s="91">
        <f t="shared" si="55"/>
        <v>38</v>
      </c>
      <c r="AL318" s="96">
        <f t="shared" si="58"/>
        <v>71</v>
      </c>
      <c r="AM318" s="92"/>
      <c r="AN318" s="91"/>
      <c r="AO318" s="91"/>
    </row>
    <row r="319" spans="1:41" ht="14.5" x14ac:dyDescent="0.25">
      <c r="A319" s="92" t="s">
        <v>682</v>
      </c>
      <c r="B319" s="91"/>
      <c r="C319" s="119" t="s">
        <v>680</v>
      </c>
      <c r="D319" s="120" t="s">
        <v>681</v>
      </c>
      <c r="E319" s="119" t="s">
        <v>97</v>
      </c>
      <c r="F319" s="119" t="s">
        <v>0</v>
      </c>
      <c r="G319" s="121" t="s">
        <v>231</v>
      </c>
      <c r="H319" s="119">
        <v>320</v>
      </c>
      <c r="I319" s="119" t="s">
        <v>207</v>
      </c>
      <c r="J319" s="119" t="s">
        <v>8</v>
      </c>
      <c r="K319" s="120" t="s">
        <v>13</v>
      </c>
      <c r="L319" s="93" t="s">
        <v>3037</v>
      </c>
      <c r="M319" s="94" t="s">
        <v>3207</v>
      </c>
      <c r="N319" s="95" t="s">
        <v>2870</v>
      </c>
      <c r="O319" s="132">
        <v>16</v>
      </c>
      <c r="P319" s="111">
        <f t="shared" si="66"/>
        <v>224.74418604651163</v>
      </c>
      <c r="Q319" s="122" t="s">
        <v>16</v>
      </c>
      <c r="R319" s="124">
        <v>4.3</v>
      </c>
      <c r="S319" s="95"/>
      <c r="T319" s="98"/>
      <c r="U319" s="125">
        <f t="shared" si="67"/>
        <v>1031.5162790697675</v>
      </c>
      <c r="V319" s="113">
        <f t="shared" si="56"/>
        <v>3.2234883720930236</v>
      </c>
      <c r="W319" s="114">
        <f t="shared" si="57"/>
        <v>0.46049833887043196</v>
      </c>
      <c r="X319" s="95"/>
      <c r="Y319" s="95"/>
      <c r="Z319" s="102"/>
      <c r="AA319" s="103">
        <v>45724</v>
      </c>
      <c r="AB319" s="103">
        <v>45747</v>
      </c>
      <c r="AC319" s="103"/>
      <c r="AD319" s="102">
        <f>IF(ISNA(VLOOKUP(D319,亚马逊入库配置费!B:F,5,0)),0,VLOOKUP(D319,亚马逊入库配置费!B:F,5,0))</f>
        <v>0.37666666666666698</v>
      </c>
      <c r="AE319" s="102">
        <f t="shared" si="53"/>
        <v>120.53333333333343</v>
      </c>
      <c r="AF319" s="103">
        <v>45757</v>
      </c>
      <c r="AG319" s="91">
        <f t="shared" si="54"/>
        <v>33</v>
      </c>
      <c r="AH319" s="103">
        <v>45757</v>
      </c>
      <c r="AI319" s="103">
        <v>45795</v>
      </c>
      <c r="AJ319" s="96">
        <v>394</v>
      </c>
      <c r="AK319" s="91">
        <f t="shared" si="55"/>
        <v>38</v>
      </c>
      <c r="AL319" s="96">
        <f t="shared" si="58"/>
        <v>71</v>
      </c>
      <c r="AM319" s="92"/>
      <c r="AN319" s="91"/>
      <c r="AO319" s="91"/>
    </row>
    <row r="320" spans="1:41" ht="14.5" x14ac:dyDescent="0.25">
      <c r="A320" s="92" t="s">
        <v>683</v>
      </c>
      <c r="B320" s="91"/>
      <c r="C320" s="119" t="s">
        <v>680</v>
      </c>
      <c r="D320" s="120" t="s">
        <v>681</v>
      </c>
      <c r="E320" s="119" t="s">
        <v>97</v>
      </c>
      <c r="F320" s="119" t="s">
        <v>0</v>
      </c>
      <c r="G320" s="121" t="s">
        <v>352</v>
      </c>
      <c r="H320" s="119">
        <v>200</v>
      </c>
      <c r="I320" s="119" t="s">
        <v>207</v>
      </c>
      <c r="J320" s="119" t="s">
        <v>8</v>
      </c>
      <c r="K320" s="120" t="s">
        <v>13</v>
      </c>
      <c r="L320" s="93" t="s">
        <v>3049</v>
      </c>
      <c r="M320" s="94" t="s">
        <v>3336</v>
      </c>
      <c r="N320" s="95" t="s">
        <v>2870</v>
      </c>
      <c r="O320" s="132">
        <v>5</v>
      </c>
      <c r="P320" s="111">
        <f t="shared" si="66"/>
        <v>70.232558139534888</v>
      </c>
      <c r="Q320" s="122" t="s">
        <v>16</v>
      </c>
      <c r="R320" s="124">
        <v>4.3</v>
      </c>
      <c r="S320" s="95"/>
      <c r="T320" s="98"/>
      <c r="U320" s="125">
        <f t="shared" si="67"/>
        <v>322.3488372093023</v>
      </c>
      <c r="V320" s="113">
        <f t="shared" si="56"/>
        <v>1.6117441860465116</v>
      </c>
      <c r="W320" s="114">
        <f t="shared" si="57"/>
        <v>0.23024916943521595</v>
      </c>
      <c r="X320" s="95"/>
      <c r="Y320" s="95"/>
      <c r="Z320" s="102"/>
      <c r="AA320" s="103">
        <v>45724</v>
      </c>
      <c r="AB320" s="103">
        <v>45747</v>
      </c>
      <c r="AC320" s="103"/>
      <c r="AD320" s="102">
        <f>IF(ISNA(VLOOKUP(D320,亚马逊入库配置费!B:F,5,0)),0,VLOOKUP(D320,亚马逊入库配置费!B:F,5,0))</f>
        <v>0.37666666666666698</v>
      </c>
      <c r="AE320" s="102">
        <f t="shared" si="53"/>
        <v>75.3333333333334</v>
      </c>
      <c r="AF320" s="103">
        <v>45757</v>
      </c>
      <c r="AG320" s="91">
        <f t="shared" si="54"/>
        <v>33</v>
      </c>
      <c r="AH320" s="103">
        <v>45757</v>
      </c>
      <c r="AI320" s="103">
        <v>45795</v>
      </c>
      <c r="AJ320" s="96">
        <v>315</v>
      </c>
      <c r="AK320" s="91">
        <f t="shared" si="55"/>
        <v>38</v>
      </c>
      <c r="AL320" s="96">
        <f t="shared" si="58"/>
        <v>71</v>
      </c>
      <c r="AM320" s="92"/>
      <c r="AN320" s="91"/>
      <c r="AO320" s="91"/>
    </row>
    <row r="321" spans="1:41" ht="14.5" x14ac:dyDescent="0.25">
      <c r="A321" s="92" t="s">
        <v>684</v>
      </c>
      <c r="B321" s="91"/>
      <c r="C321" s="119" t="s">
        <v>680</v>
      </c>
      <c r="D321" s="120" t="s">
        <v>681</v>
      </c>
      <c r="E321" s="119" t="s">
        <v>97</v>
      </c>
      <c r="F321" s="119" t="s">
        <v>0</v>
      </c>
      <c r="G321" s="121" t="s">
        <v>350</v>
      </c>
      <c r="H321" s="119">
        <v>200</v>
      </c>
      <c r="I321" s="119" t="s">
        <v>207</v>
      </c>
      <c r="J321" s="119" t="s">
        <v>8</v>
      </c>
      <c r="K321" s="120" t="s">
        <v>13</v>
      </c>
      <c r="L321" s="93" t="s">
        <v>3048</v>
      </c>
      <c r="M321" s="94" t="s">
        <v>3208</v>
      </c>
      <c r="N321" s="95" t="s">
        <v>2870</v>
      </c>
      <c r="O321" s="132">
        <v>5</v>
      </c>
      <c r="P321" s="111">
        <f t="shared" si="66"/>
        <v>70.232558139534888</v>
      </c>
      <c r="Q321" s="122" t="s">
        <v>16</v>
      </c>
      <c r="R321" s="122">
        <v>4.3</v>
      </c>
      <c r="S321" s="95"/>
      <c r="T321" s="98"/>
      <c r="U321" s="125">
        <f t="shared" si="67"/>
        <v>322.3488372093023</v>
      </c>
      <c r="V321" s="113">
        <f t="shared" si="56"/>
        <v>1.6117441860465116</v>
      </c>
      <c r="W321" s="114">
        <f t="shared" si="57"/>
        <v>0.23024916943521595</v>
      </c>
      <c r="X321" s="95"/>
      <c r="Y321" s="95"/>
      <c r="Z321" s="102"/>
      <c r="AA321" s="103">
        <v>45724</v>
      </c>
      <c r="AB321" s="103">
        <v>45747</v>
      </c>
      <c r="AC321" s="103"/>
      <c r="AD321" s="102">
        <f>IF(ISNA(VLOOKUP(D321,亚马逊入库配置费!B:F,5,0)),0,VLOOKUP(D321,亚马逊入库配置费!B:F,5,0))</f>
        <v>0.37666666666666698</v>
      </c>
      <c r="AE321" s="102">
        <f t="shared" si="53"/>
        <v>75.3333333333334</v>
      </c>
      <c r="AF321" s="103">
        <v>45757</v>
      </c>
      <c r="AG321" s="91">
        <f t="shared" si="54"/>
        <v>33</v>
      </c>
      <c r="AH321" s="103">
        <v>45757</v>
      </c>
      <c r="AI321" s="103">
        <v>45795</v>
      </c>
      <c r="AJ321" s="96">
        <v>201</v>
      </c>
      <c r="AK321" s="91">
        <f t="shared" si="55"/>
        <v>38</v>
      </c>
      <c r="AL321" s="96">
        <f t="shared" si="58"/>
        <v>71</v>
      </c>
      <c r="AM321" s="92"/>
      <c r="AN321" s="91"/>
      <c r="AO321" s="91"/>
    </row>
    <row r="322" spans="1:41" ht="14.5" x14ac:dyDescent="0.25">
      <c r="A322" s="92" t="s">
        <v>685</v>
      </c>
      <c r="B322" s="91"/>
      <c r="C322" s="119" t="s">
        <v>680</v>
      </c>
      <c r="D322" s="120" t="s">
        <v>681</v>
      </c>
      <c r="E322" s="119" t="s">
        <v>97</v>
      </c>
      <c r="F322" s="119" t="s">
        <v>0</v>
      </c>
      <c r="G322" s="121" t="s">
        <v>228</v>
      </c>
      <c r="H322" s="119">
        <v>400</v>
      </c>
      <c r="I322" s="119" t="s">
        <v>207</v>
      </c>
      <c r="J322" s="119" t="s">
        <v>8</v>
      </c>
      <c r="K322" s="120" t="s">
        <v>13</v>
      </c>
      <c r="L322" s="93" t="s">
        <v>3036</v>
      </c>
      <c r="M322" s="94" t="s">
        <v>3315</v>
      </c>
      <c r="N322" s="95" t="s">
        <v>2870</v>
      </c>
      <c r="O322" s="132">
        <v>20</v>
      </c>
      <c r="P322" s="111">
        <f t="shared" si="66"/>
        <v>280.93023255813955</v>
      </c>
      <c r="Q322" s="122" t="s">
        <v>16</v>
      </c>
      <c r="R322" s="122">
        <v>4.3</v>
      </c>
      <c r="S322" s="95"/>
      <c r="T322" s="98"/>
      <c r="U322" s="125">
        <f t="shared" si="67"/>
        <v>1289.3953488372092</v>
      </c>
      <c r="V322" s="113">
        <f t="shared" si="56"/>
        <v>3.2234883720930232</v>
      </c>
      <c r="W322" s="114">
        <f t="shared" si="57"/>
        <v>0.4604983388704319</v>
      </c>
      <c r="X322" s="95"/>
      <c r="Y322" s="95"/>
      <c r="Z322" s="102"/>
      <c r="AA322" s="103">
        <v>45724</v>
      </c>
      <c r="AB322" s="103">
        <v>45747</v>
      </c>
      <c r="AC322" s="103"/>
      <c r="AD322" s="102">
        <f>IF(ISNA(VLOOKUP(D322,亚马逊入库配置费!B:F,5,0)),0,VLOOKUP(D322,亚马逊入库配置费!B:F,5,0))</f>
        <v>0.37666666666666698</v>
      </c>
      <c r="AE322" s="102">
        <f t="shared" ref="AE322:AE385" si="68">H322*AD322</f>
        <v>150.6666666666668</v>
      </c>
      <c r="AF322" s="103">
        <v>45757</v>
      </c>
      <c r="AG322" s="91">
        <f t="shared" ref="AG322:AG385" si="69">AF322-AA322</f>
        <v>33</v>
      </c>
      <c r="AH322" s="103">
        <v>45757</v>
      </c>
      <c r="AI322" s="103">
        <v>45795</v>
      </c>
      <c r="AJ322" s="96">
        <v>800</v>
      </c>
      <c r="AK322" s="91">
        <f t="shared" ref="AK322:AK385" si="70">AI322-AH322</f>
        <v>38</v>
      </c>
      <c r="AL322" s="96">
        <f t="shared" si="58"/>
        <v>71</v>
      </c>
      <c r="AM322" s="92"/>
      <c r="AN322" s="91"/>
      <c r="AO322" s="91"/>
    </row>
    <row r="323" spans="1:41" ht="14.5" x14ac:dyDescent="0.25">
      <c r="A323" s="92" t="s">
        <v>686</v>
      </c>
      <c r="B323" s="91"/>
      <c r="C323" s="119" t="s">
        <v>680</v>
      </c>
      <c r="D323" s="120" t="s">
        <v>681</v>
      </c>
      <c r="E323" s="119" t="s">
        <v>97</v>
      </c>
      <c r="F323" s="119" t="s">
        <v>0</v>
      </c>
      <c r="G323" s="121" t="s">
        <v>165</v>
      </c>
      <c r="H323" s="119">
        <v>800</v>
      </c>
      <c r="I323" s="119" t="s">
        <v>207</v>
      </c>
      <c r="J323" s="119" t="s">
        <v>8</v>
      </c>
      <c r="K323" s="120" t="s">
        <v>13</v>
      </c>
      <c r="L323" s="93" t="s">
        <v>2880</v>
      </c>
      <c r="M323" s="94" t="s">
        <v>3209</v>
      </c>
      <c r="N323" s="95" t="s">
        <v>2870</v>
      </c>
      <c r="O323" s="132">
        <v>20</v>
      </c>
      <c r="P323" s="111">
        <f t="shared" si="66"/>
        <v>280.93023255813955</v>
      </c>
      <c r="Q323" s="122" t="s">
        <v>16</v>
      </c>
      <c r="R323" s="122">
        <v>4.3</v>
      </c>
      <c r="S323" s="95"/>
      <c r="T323" s="98"/>
      <c r="U323" s="125">
        <f t="shared" si="67"/>
        <v>1289.3953488372092</v>
      </c>
      <c r="V323" s="113">
        <f t="shared" ref="V323:V386" si="71">U323/H323</f>
        <v>1.6117441860465116</v>
      </c>
      <c r="W323" s="114">
        <f t="shared" ref="W323:W386" si="72">V323/7</f>
        <v>0.23024916943521595</v>
      </c>
      <c r="X323" s="95"/>
      <c r="Y323" s="95"/>
      <c r="Z323" s="102"/>
      <c r="AA323" s="103">
        <v>45724</v>
      </c>
      <c r="AB323" s="103">
        <v>45747</v>
      </c>
      <c r="AC323" s="103"/>
      <c r="AD323" s="102">
        <f>IF(ISNA(VLOOKUP(D323,亚马逊入库配置费!B:F,5,0)),0,VLOOKUP(D323,亚马逊入库配置费!B:F,5,0))</f>
        <v>0.37666666666666698</v>
      </c>
      <c r="AE323" s="102">
        <f t="shared" si="68"/>
        <v>301.3333333333336</v>
      </c>
      <c r="AF323" s="103">
        <v>45757</v>
      </c>
      <c r="AG323" s="91">
        <f t="shared" si="69"/>
        <v>33</v>
      </c>
      <c r="AH323" s="103">
        <v>45757</v>
      </c>
      <c r="AI323" s="103">
        <v>45795</v>
      </c>
      <c r="AJ323" s="96">
        <v>570</v>
      </c>
      <c r="AK323" s="91">
        <f t="shared" si="70"/>
        <v>38</v>
      </c>
      <c r="AL323" s="96">
        <f t="shared" si="58"/>
        <v>71</v>
      </c>
      <c r="AM323" s="92"/>
      <c r="AN323" s="91"/>
      <c r="AO323" s="91"/>
    </row>
    <row r="324" spans="1:41" ht="14.5" x14ac:dyDescent="0.25">
      <c r="A324" s="92" t="s">
        <v>687</v>
      </c>
      <c r="B324" s="91"/>
      <c r="C324" s="119" t="s">
        <v>688</v>
      </c>
      <c r="D324" s="120" t="s">
        <v>689</v>
      </c>
      <c r="E324" s="119" t="s">
        <v>115</v>
      </c>
      <c r="F324" s="119" t="s">
        <v>0</v>
      </c>
      <c r="G324" s="121" t="s">
        <v>209</v>
      </c>
      <c r="H324" s="119">
        <v>384</v>
      </c>
      <c r="I324" s="119" t="s">
        <v>89</v>
      </c>
      <c r="J324" s="119" t="s">
        <v>8</v>
      </c>
      <c r="K324" s="120" t="s">
        <v>17</v>
      </c>
      <c r="L324" s="93" t="s">
        <v>3033</v>
      </c>
      <c r="M324" s="94" t="s">
        <v>3311</v>
      </c>
      <c r="N324" s="95" t="s">
        <v>2869</v>
      </c>
      <c r="O324" s="132">
        <v>24</v>
      </c>
      <c r="P324" s="111">
        <f t="shared" ref="P324:P332" si="73">2758/221*O324</f>
        <v>299.51131221719459</v>
      </c>
      <c r="Q324" s="122" t="s">
        <v>16</v>
      </c>
      <c r="R324" s="122">
        <v>6.2</v>
      </c>
      <c r="S324" s="95"/>
      <c r="T324" s="98"/>
      <c r="U324" s="125">
        <f t="shared" ref="U324:U332" si="74">R324*P324+350/221*O324</f>
        <v>1894.9791855203621</v>
      </c>
      <c r="V324" s="113">
        <f t="shared" si="71"/>
        <v>4.9348416289592762</v>
      </c>
      <c r="W324" s="114">
        <f t="shared" si="72"/>
        <v>0.70497737556561091</v>
      </c>
      <c r="X324" s="95"/>
      <c r="Y324" s="95"/>
      <c r="Z324" s="102"/>
      <c r="AA324" s="103">
        <v>45724</v>
      </c>
      <c r="AB324" s="103">
        <v>45743</v>
      </c>
      <c r="AC324" s="103"/>
      <c r="AD324" s="102">
        <f>IF(ISNA(VLOOKUP(D324,亚马逊入库配置费!B:F,5,0)),0,VLOOKUP(D324,亚马逊入库配置费!B:F,5,0))</f>
        <v>0.41854757929883102</v>
      </c>
      <c r="AE324" s="102">
        <f t="shared" si="68"/>
        <v>160.72227045075113</v>
      </c>
      <c r="AF324" s="103">
        <v>45756</v>
      </c>
      <c r="AG324" s="91">
        <f t="shared" si="69"/>
        <v>32</v>
      </c>
      <c r="AH324" s="103">
        <v>45756</v>
      </c>
      <c r="AI324" s="103">
        <v>45790</v>
      </c>
      <c r="AJ324" s="96">
        <v>386</v>
      </c>
      <c r="AK324" s="91">
        <f t="shared" si="70"/>
        <v>34</v>
      </c>
      <c r="AL324" s="96">
        <f t="shared" ref="AL324:AL387" si="75">AG324+AK324</f>
        <v>66</v>
      </c>
      <c r="AM324" s="92"/>
      <c r="AN324" s="91"/>
      <c r="AO324" s="91"/>
    </row>
    <row r="325" spans="1:41" ht="14.5" x14ac:dyDescent="0.25">
      <c r="A325" s="92" t="s">
        <v>690</v>
      </c>
      <c r="B325" s="91"/>
      <c r="C325" s="119" t="s">
        <v>688</v>
      </c>
      <c r="D325" s="120" t="s">
        <v>689</v>
      </c>
      <c r="E325" s="119" t="s">
        <v>115</v>
      </c>
      <c r="F325" s="119" t="s">
        <v>0</v>
      </c>
      <c r="G325" s="121" t="s">
        <v>211</v>
      </c>
      <c r="H325" s="119">
        <v>870</v>
      </c>
      <c r="I325" s="119" t="s">
        <v>89</v>
      </c>
      <c r="J325" s="119" t="s">
        <v>8</v>
      </c>
      <c r="K325" s="120" t="s">
        <v>17</v>
      </c>
      <c r="L325" s="93" t="s">
        <v>3034</v>
      </c>
      <c r="M325" s="94" t="s">
        <v>3312</v>
      </c>
      <c r="N325" s="95" t="s">
        <v>2869</v>
      </c>
      <c r="O325" s="132">
        <v>29</v>
      </c>
      <c r="P325" s="111">
        <f t="shared" si="73"/>
        <v>361.90950226244343</v>
      </c>
      <c r="Q325" s="122" t="s">
        <v>16</v>
      </c>
      <c r="R325" s="122">
        <v>6.2</v>
      </c>
      <c r="S325" s="95"/>
      <c r="T325" s="98"/>
      <c r="U325" s="125">
        <f t="shared" si="74"/>
        <v>2289.7665158371042</v>
      </c>
      <c r="V325" s="113">
        <f t="shared" si="71"/>
        <v>2.6319155354449473</v>
      </c>
      <c r="W325" s="114">
        <f t="shared" si="72"/>
        <v>0.37598793363499244</v>
      </c>
      <c r="X325" s="95"/>
      <c r="Y325" s="95"/>
      <c r="Z325" s="102"/>
      <c r="AA325" s="103">
        <v>45724</v>
      </c>
      <c r="AB325" s="103">
        <v>45743</v>
      </c>
      <c r="AC325" s="103"/>
      <c r="AD325" s="102">
        <f>IF(ISNA(VLOOKUP(D325,亚马逊入库配置费!B:F,5,0)),0,VLOOKUP(D325,亚马逊入库配置费!B:F,5,0))</f>
        <v>0.41854757929883102</v>
      </c>
      <c r="AE325" s="102">
        <f t="shared" si="68"/>
        <v>364.13639398998299</v>
      </c>
      <c r="AF325" s="103">
        <v>45756</v>
      </c>
      <c r="AG325" s="91">
        <f t="shared" si="69"/>
        <v>32</v>
      </c>
      <c r="AH325" s="103">
        <v>45756</v>
      </c>
      <c r="AI325" s="103">
        <v>45790</v>
      </c>
      <c r="AJ325" s="96">
        <v>870</v>
      </c>
      <c r="AK325" s="91">
        <f t="shared" si="70"/>
        <v>34</v>
      </c>
      <c r="AL325" s="96">
        <f t="shared" si="75"/>
        <v>66</v>
      </c>
      <c r="AM325" s="92"/>
      <c r="AN325" s="91"/>
      <c r="AO325" s="91"/>
    </row>
    <row r="326" spans="1:41" ht="14.5" x14ac:dyDescent="0.25">
      <c r="A326" s="92" t="s">
        <v>691</v>
      </c>
      <c r="B326" s="91"/>
      <c r="C326" s="119" t="s">
        <v>688</v>
      </c>
      <c r="D326" s="120" t="s">
        <v>689</v>
      </c>
      <c r="E326" s="119" t="s">
        <v>115</v>
      </c>
      <c r="F326" s="119" t="s">
        <v>0</v>
      </c>
      <c r="G326" s="121" t="s">
        <v>606</v>
      </c>
      <c r="H326" s="119">
        <v>180</v>
      </c>
      <c r="I326" s="119" t="s">
        <v>89</v>
      </c>
      <c r="J326" s="119" t="s">
        <v>8</v>
      </c>
      <c r="K326" s="120" t="s">
        <v>17</v>
      </c>
      <c r="L326" s="93" t="s">
        <v>3075</v>
      </c>
      <c r="M326" s="94" t="s">
        <v>3376</v>
      </c>
      <c r="N326" s="95" t="s">
        <v>2869</v>
      </c>
      <c r="O326" s="132">
        <v>6</v>
      </c>
      <c r="P326" s="111">
        <f t="shared" si="73"/>
        <v>74.877828054298647</v>
      </c>
      <c r="Q326" s="122" t="s">
        <v>16</v>
      </c>
      <c r="R326" s="122">
        <v>6.2</v>
      </c>
      <c r="S326" s="95"/>
      <c r="T326" s="98"/>
      <c r="U326" s="125">
        <f t="shared" si="74"/>
        <v>473.74479638009052</v>
      </c>
      <c r="V326" s="113">
        <f t="shared" si="71"/>
        <v>2.6319155354449473</v>
      </c>
      <c r="W326" s="114">
        <f t="shared" si="72"/>
        <v>0.37598793363499244</v>
      </c>
      <c r="X326" s="95"/>
      <c r="Y326" s="95"/>
      <c r="Z326" s="102"/>
      <c r="AA326" s="103">
        <v>45724</v>
      </c>
      <c r="AB326" s="103">
        <v>45743</v>
      </c>
      <c r="AC326" s="103"/>
      <c r="AD326" s="102">
        <f>IF(ISNA(VLOOKUP(D326,亚马逊入库配置费!B:F,5,0)),0,VLOOKUP(D326,亚马逊入库配置费!B:F,5,0))</f>
        <v>0.41854757929883102</v>
      </c>
      <c r="AE326" s="102">
        <f t="shared" si="68"/>
        <v>75.338564273789586</v>
      </c>
      <c r="AF326" s="103">
        <v>45756</v>
      </c>
      <c r="AG326" s="91">
        <f t="shared" si="69"/>
        <v>32</v>
      </c>
      <c r="AH326" s="103">
        <v>45756</v>
      </c>
      <c r="AI326" s="103">
        <v>45790</v>
      </c>
      <c r="AJ326" s="96">
        <v>180</v>
      </c>
      <c r="AK326" s="91">
        <f t="shared" si="70"/>
        <v>34</v>
      </c>
      <c r="AL326" s="96">
        <f t="shared" si="75"/>
        <v>66</v>
      </c>
      <c r="AM326" s="92"/>
      <c r="AN326" s="91"/>
      <c r="AO326" s="91"/>
    </row>
    <row r="327" spans="1:41" ht="14.5" x14ac:dyDescent="0.25">
      <c r="A327" s="92" t="s">
        <v>692</v>
      </c>
      <c r="B327" s="91"/>
      <c r="C327" s="119" t="s">
        <v>688</v>
      </c>
      <c r="D327" s="120" t="s">
        <v>689</v>
      </c>
      <c r="E327" s="119" t="s">
        <v>115</v>
      </c>
      <c r="F327" s="119" t="s">
        <v>0</v>
      </c>
      <c r="G327" s="121" t="s">
        <v>608</v>
      </c>
      <c r="H327" s="119">
        <v>900</v>
      </c>
      <c r="I327" s="119" t="s">
        <v>89</v>
      </c>
      <c r="J327" s="119" t="s">
        <v>8</v>
      </c>
      <c r="K327" s="120" t="s">
        <v>17</v>
      </c>
      <c r="L327" s="93" t="s">
        <v>3076</v>
      </c>
      <c r="M327" s="94" t="s">
        <v>3377</v>
      </c>
      <c r="N327" s="95" t="s">
        <v>2869</v>
      </c>
      <c r="O327" s="132">
        <v>30</v>
      </c>
      <c r="P327" s="111">
        <f t="shared" si="73"/>
        <v>374.3891402714932</v>
      </c>
      <c r="Q327" s="122" t="s">
        <v>16</v>
      </c>
      <c r="R327" s="122">
        <v>6.2</v>
      </c>
      <c r="S327" s="95"/>
      <c r="T327" s="98"/>
      <c r="U327" s="125">
        <f t="shared" si="74"/>
        <v>2368.7239819004526</v>
      </c>
      <c r="V327" s="113">
        <f t="shared" si="71"/>
        <v>2.6319155354449473</v>
      </c>
      <c r="W327" s="114">
        <f t="shared" si="72"/>
        <v>0.37598793363499244</v>
      </c>
      <c r="X327" s="95"/>
      <c r="Y327" s="95"/>
      <c r="Z327" s="102"/>
      <c r="AA327" s="103">
        <v>45724</v>
      </c>
      <c r="AB327" s="103">
        <v>45743</v>
      </c>
      <c r="AC327" s="103"/>
      <c r="AD327" s="102">
        <f>IF(ISNA(VLOOKUP(D327,亚马逊入库配置费!B:F,5,0)),0,VLOOKUP(D327,亚马逊入库配置费!B:F,5,0))</f>
        <v>0.41854757929883102</v>
      </c>
      <c r="AE327" s="102">
        <f t="shared" si="68"/>
        <v>376.69282136894793</v>
      </c>
      <c r="AF327" s="103">
        <v>45756</v>
      </c>
      <c r="AG327" s="91">
        <f t="shared" si="69"/>
        <v>32</v>
      </c>
      <c r="AH327" s="103">
        <v>45756</v>
      </c>
      <c r="AI327" s="103">
        <v>45790</v>
      </c>
      <c r="AJ327" s="96">
        <v>901</v>
      </c>
      <c r="AK327" s="91">
        <f t="shared" si="70"/>
        <v>34</v>
      </c>
      <c r="AL327" s="96">
        <f t="shared" si="75"/>
        <v>66</v>
      </c>
      <c r="AM327" s="92"/>
      <c r="AN327" s="91"/>
      <c r="AO327" s="91"/>
    </row>
    <row r="328" spans="1:41" ht="14.5" x14ac:dyDescent="0.25">
      <c r="A328" s="92" t="s">
        <v>693</v>
      </c>
      <c r="B328" s="91"/>
      <c r="C328" s="119" t="s">
        <v>688</v>
      </c>
      <c r="D328" s="120" t="s">
        <v>689</v>
      </c>
      <c r="E328" s="119" t="s">
        <v>115</v>
      </c>
      <c r="F328" s="119" t="s">
        <v>0</v>
      </c>
      <c r="G328" s="121" t="s">
        <v>485</v>
      </c>
      <c r="H328" s="119">
        <v>600</v>
      </c>
      <c r="I328" s="119" t="s">
        <v>89</v>
      </c>
      <c r="J328" s="119" t="s">
        <v>8</v>
      </c>
      <c r="K328" s="120" t="s">
        <v>17</v>
      </c>
      <c r="L328" s="93" t="s">
        <v>3065</v>
      </c>
      <c r="M328" s="94" t="s">
        <v>3358</v>
      </c>
      <c r="N328" s="95" t="s">
        <v>2869</v>
      </c>
      <c r="O328" s="132">
        <v>20</v>
      </c>
      <c r="P328" s="111">
        <f t="shared" si="73"/>
        <v>249.59276018099547</v>
      </c>
      <c r="Q328" s="122" t="s">
        <v>16</v>
      </c>
      <c r="R328" s="122">
        <v>6.2</v>
      </c>
      <c r="S328" s="95"/>
      <c r="T328" s="98"/>
      <c r="U328" s="125">
        <f t="shared" si="74"/>
        <v>1579.1493212669684</v>
      </c>
      <c r="V328" s="113">
        <f t="shared" si="71"/>
        <v>2.6319155354449473</v>
      </c>
      <c r="W328" s="114">
        <f t="shared" si="72"/>
        <v>0.37598793363499244</v>
      </c>
      <c r="X328" s="95"/>
      <c r="Y328" s="95"/>
      <c r="Z328" s="102"/>
      <c r="AA328" s="103">
        <v>45724</v>
      </c>
      <c r="AB328" s="103">
        <v>45743</v>
      </c>
      <c r="AC328" s="103"/>
      <c r="AD328" s="102">
        <f>IF(ISNA(VLOOKUP(D328,亚马逊入库配置费!B:F,5,0)),0,VLOOKUP(D328,亚马逊入库配置费!B:F,5,0))</f>
        <v>0.41854757929883102</v>
      </c>
      <c r="AE328" s="102">
        <f t="shared" si="68"/>
        <v>251.12854757929861</v>
      </c>
      <c r="AF328" s="103">
        <v>45756</v>
      </c>
      <c r="AG328" s="91">
        <f t="shared" si="69"/>
        <v>32</v>
      </c>
      <c r="AH328" s="103">
        <v>45756</v>
      </c>
      <c r="AI328" s="103">
        <v>45790</v>
      </c>
      <c r="AJ328" s="96">
        <v>600</v>
      </c>
      <c r="AK328" s="91">
        <f t="shared" si="70"/>
        <v>34</v>
      </c>
      <c r="AL328" s="96">
        <f t="shared" si="75"/>
        <v>66</v>
      </c>
      <c r="AM328" s="92"/>
      <c r="AN328" s="91"/>
      <c r="AO328" s="91"/>
    </row>
    <row r="329" spans="1:41" ht="14.5" x14ac:dyDescent="0.25">
      <c r="A329" s="92" t="s">
        <v>694</v>
      </c>
      <c r="B329" s="91"/>
      <c r="C329" s="119" t="s">
        <v>688</v>
      </c>
      <c r="D329" s="120" t="s">
        <v>689</v>
      </c>
      <c r="E329" s="119" t="s">
        <v>115</v>
      </c>
      <c r="F329" s="119" t="s">
        <v>0</v>
      </c>
      <c r="G329" s="121" t="s">
        <v>487</v>
      </c>
      <c r="H329" s="119">
        <v>360</v>
      </c>
      <c r="I329" s="119" t="s">
        <v>89</v>
      </c>
      <c r="J329" s="119" t="s">
        <v>8</v>
      </c>
      <c r="K329" s="120" t="s">
        <v>17</v>
      </c>
      <c r="L329" s="93" t="s">
        <v>3066</v>
      </c>
      <c r="M329" s="94" t="s">
        <v>3359</v>
      </c>
      <c r="N329" s="95" t="s">
        <v>2869</v>
      </c>
      <c r="O329" s="132">
        <v>12</v>
      </c>
      <c r="P329" s="111">
        <f t="shared" si="73"/>
        <v>149.75565610859729</v>
      </c>
      <c r="Q329" s="122" t="s">
        <v>16</v>
      </c>
      <c r="R329" s="122">
        <v>6.2</v>
      </c>
      <c r="S329" s="95"/>
      <c r="T329" s="98"/>
      <c r="U329" s="125">
        <f t="shared" si="74"/>
        <v>947.48959276018104</v>
      </c>
      <c r="V329" s="113">
        <f t="shared" si="71"/>
        <v>2.6319155354449473</v>
      </c>
      <c r="W329" s="114">
        <f t="shared" si="72"/>
        <v>0.37598793363499244</v>
      </c>
      <c r="X329" s="95"/>
      <c r="Y329" s="95"/>
      <c r="Z329" s="102"/>
      <c r="AA329" s="103">
        <v>45724</v>
      </c>
      <c r="AB329" s="103">
        <v>45743</v>
      </c>
      <c r="AC329" s="103"/>
      <c r="AD329" s="102">
        <f>IF(ISNA(VLOOKUP(D329,亚马逊入库配置费!B:F,5,0)),0,VLOOKUP(D329,亚马逊入库配置费!B:F,5,0))</f>
        <v>0.41854757929883102</v>
      </c>
      <c r="AE329" s="102">
        <f t="shared" si="68"/>
        <v>150.67712854757917</v>
      </c>
      <c r="AF329" s="103">
        <v>45756</v>
      </c>
      <c r="AG329" s="91">
        <f t="shared" si="69"/>
        <v>32</v>
      </c>
      <c r="AH329" s="103">
        <v>45756</v>
      </c>
      <c r="AI329" s="103">
        <v>45790</v>
      </c>
      <c r="AJ329" s="96">
        <v>361</v>
      </c>
      <c r="AK329" s="91">
        <f t="shared" si="70"/>
        <v>34</v>
      </c>
      <c r="AL329" s="96">
        <f t="shared" si="75"/>
        <v>66</v>
      </c>
      <c r="AM329" s="92"/>
      <c r="AN329" s="91"/>
      <c r="AO329" s="91"/>
    </row>
    <row r="330" spans="1:41" ht="14.5" x14ac:dyDescent="0.25">
      <c r="A330" s="92" t="s">
        <v>695</v>
      </c>
      <c r="B330" s="91"/>
      <c r="C330" s="119" t="s">
        <v>688</v>
      </c>
      <c r="D330" s="120" t="s">
        <v>689</v>
      </c>
      <c r="E330" s="119" t="s">
        <v>115</v>
      </c>
      <c r="F330" s="119" t="s">
        <v>0</v>
      </c>
      <c r="G330" s="121" t="s">
        <v>481</v>
      </c>
      <c r="H330" s="119">
        <v>300</v>
      </c>
      <c r="I330" s="119" t="s">
        <v>89</v>
      </c>
      <c r="J330" s="119" t="s">
        <v>8</v>
      </c>
      <c r="K330" s="120" t="s">
        <v>17</v>
      </c>
      <c r="L330" s="93" t="s">
        <v>3064</v>
      </c>
      <c r="M330" s="94" t="s">
        <v>3356</v>
      </c>
      <c r="N330" s="95" t="s">
        <v>2869</v>
      </c>
      <c r="O330" s="132">
        <v>10</v>
      </c>
      <c r="P330" s="111">
        <f t="shared" si="73"/>
        <v>124.79638009049773</v>
      </c>
      <c r="Q330" s="122" t="s">
        <v>16</v>
      </c>
      <c r="R330" s="122">
        <v>6.2</v>
      </c>
      <c r="S330" s="95"/>
      <c r="T330" s="98"/>
      <c r="U330" s="125">
        <f t="shared" si="74"/>
        <v>789.5746606334842</v>
      </c>
      <c r="V330" s="113">
        <f t="shared" si="71"/>
        <v>2.6319155354449473</v>
      </c>
      <c r="W330" s="114">
        <f t="shared" si="72"/>
        <v>0.37598793363499244</v>
      </c>
      <c r="X330" s="95"/>
      <c r="Y330" s="95"/>
      <c r="Z330" s="102"/>
      <c r="AA330" s="103">
        <v>45724</v>
      </c>
      <c r="AB330" s="103">
        <v>45743</v>
      </c>
      <c r="AC330" s="103"/>
      <c r="AD330" s="102">
        <f>IF(ISNA(VLOOKUP(D330,亚马逊入库配置费!B:F,5,0)),0,VLOOKUP(D330,亚马逊入库配置费!B:F,5,0))</f>
        <v>0.41854757929883102</v>
      </c>
      <c r="AE330" s="102">
        <f t="shared" si="68"/>
        <v>125.56427378964931</v>
      </c>
      <c r="AF330" s="103">
        <v>45756</v>
      </c>
      <c r="AG330" s="91">
        <f t="shared" si="69"/>
        <v>32</v>
      </c>
      <c r="AH330" s="103">
        <v>45756</v>
      </c>
      <c r="AI330" s="103">
        <v>45790</v>
      </c>
      <c r="AJ330" s="96">
        <v>301</v>
      </c>
      <c r="AK330" s="91">
        <f t="shared" si="70"/>
        <v>34</v>
      </c>
      <c r="AL330" s="96">
        <f t="shared" si="75"/>
        <v>66</v>
      </c>
      <c r="AM330" s="92"/>
      <c r="AN330" s="91"/>
      <c r="AO330" s="91"/>
    </row>
    <row r="331" spans="1:41" ht="14.5" x14ac:dyDescent="0.25">
      <c r="A331" s="92" t="s">
        <v>696</v>
      </c>
      <c r="B331" s="91"/>
      <c r="C331" s="119" t="s">
        <v>688</v>
      </c>
      <c r="D331" s="120" t="s">
        <v>697</v>
      </c>
      <c r="E331" s="119" t="s">
        <v>115</v>
      </c>
      <c r="F331" s="119" t="s">
        <v>0</v>
      </c>
      <c r="G331" s="121" t="s">
        <v>698</v>
      </c>
      <c r="H331" s="119">
        <v>720</v>
      </c>
      <c r="I331" s="119" t="s">
        <v>89</v>
      </c>
      <c r="J331" s="119" t="s">
        <v>8</v>
      </c>
      <c r="K331" s="120" t="s">
        <v>17</v>
      </c>
      <c r="L331" s="93" t="s">
        <v>3081</v>
      </c>
      <c r="M331" s="94" t="s">
        <v>3390</v>
      </c>
      <c r="N331" s="95" t="s">
        <v>2869</v>
      </c>
      <c r="O331" s="132">
        <v>45</v>
      </c>
      <c r="P331" s="111">
        <f t="shared" si="73"/>
        <v>561.58371040723978</v>
      </c>
      <c r="Q331" s="122" t="s">
        <v>16</v>
      </c>
      <c r="R331" s="122">
        <v>6.2</v>
      </c>
      <c r="S331" s="95"/>
      <c r="T331" s="98"/>
      <c r="U331" s="125">
        <f t="shared" si="74"/>
        <v>3553.0859728506784</v>
      </c>
      <c r="V331" s="113">
        <f t="shared" si="71"/>
        <v>4.9348416289592754</v>
      </c>
      <c r="W331" s="114">
        <f t="shared" si="72"/>
        <v>0.7049773755656108</v>
      </c>
      <c r="X331" s="95"/>
      <c r="Y331" s="95"/>
      <c r="Z331" s="102"/>
      <c r="AA331" s="103">
        <v>45724</v>
      </c>
      <c r="AB331" s="103">
        <v>45743</v>
      </c>
      <c r="AC331" s="103"/>
      <c r="AD331" s="102">
        <f>IF(ISNA(VLOOKUP(D331,亚马逊入库配置费!B:F,5,0)),0,VLOOKUP(D331,亚马逊入库配置费!B:F,5,0))</f>
        <v>0.41</v>
      </c>
      <c r="AE331" s="102">
        <f t="shared" si="68"/>
        <v>295.2</v>
      </c>
      <c r="AF331" s="103">
        <v>45756</v>
      </c>
      <c r="AG331" s="91">
        <f t="shared" si="69"/>
        <v>32</v>
      </c>
      <c r="AH331" s="103">
        <v>45756</v>
      </c>
      <c r="AI331" s="103">
        <v>45790</v>
      </c>
      <c r="AJ331" s="96">
        <v>720</v>
      </c>
      <c r="AK331" s="91">
        <f t="shared" si="70"/>
        <v>34</v>
      </c>
      <c r="AL331" s="96">
        <f t="shared" si="75"/>
        <v>66</v>
      </c>
      <c r="AM331" s="92"/>
      <c r="AN331" s="91"/>
      <c r="AO331" s="91"/>
    </row>
    <row r="332" spans="1:41" ht="14.5" x14ac:dyDescent="0.25">
      <c r="A332" s="92" t="s">
        <v>699</v>
      </c>
      <c r="B332" s="91"/>
      <c r="C332" s="119" t="s">
        <v>688</v>
      </c>
      <c r="D332" s="120" t="s">
        <v>697</v>
      </c>
      <c r="E332" s="119" t="s">
        <v>115</v>
      </c>
      <c r="F332" s="119" t="s">
        <v>0</v>
      </c>
      <c r="G332" s="121" t="s">
        <v>700</v>
      </c>
      <c r="H332" s="119">
        <v>720</v>
      </c>
      <c r="I332" s="119" t="s">
        <v>89</v>
      </c>
      <c r="J332" s="119" t="s">
        <v>8</v>
      </c>
      <c r="K332" s="120" t="s">
        <v>17</v>
      </c>
      <c r="L332" s="93" t="s">
        <v>3082</v>
      </c>
      <c r="M332" s="94" t="s">
        <v>3391</v>
      </c>
      <c r="N332" s="95" t="s">
        <v>2869</v>
      </c>
      <c r="O332" s="132">
        <v>45</v>
      </c>
      <c r="P332" s="111">
        <f t="shared" si="73"/>
        <v>561.58371040723978</v>
      </c>
      <c r="Q332" s="122" t="s">
        <v>16</v>
      </c>
      <c r="R332" s="122">
        <v>6.2</v>
      </c>
      <c r="S332" s="95"/>
      <c r="T332" s="98"/>
      <c r="U332" s="125">
        <f t="shared" si="74"/>
        <v>3553.0859728506784</v>
      </c>
      <c r="V332" s="113">
        <f t="shared" si="71"/>
        <v>4.9348416289592754</v>
      </c>
      <c r="W332" s="114">
        <f t="shared" si="72"/>
        <v>0.7049773755656108</v>
      </c>
      <c r="X332" s="95"/>
      <c r="Y332" s="95"/>
      <c r="Z332" s="102"/>
      <c r="AA332" s="103">
        <v>45724</v>
      </c>
      <c r="AB332" s="103">
        <v>45743</v>
      </c>
      <c r="AC332" s="103"/>
      <c r="AD332" s="102">
        <f>IF(ISNA(VLOOKUP(D332,亚马逊入库配置费!B:F,5,0)),0,VLOOKUP(D332,亚马逊入库配置费!B:F,5,0))</f>
        <v>0.41</v>
      </c>
      <c r="AE332" s="102">
        <f t="shared" si="68"/>
        <v>295.2</v>
      </c>
      <c r="AF332" s="103">
        <v>45756</v>
      </c>
      <c r="AG332" s="91">
        <f t="shared" si="69"/>
        <v>32</v>
      </c>
      <c r="AH332" s="103">
        <v>45756</v>
      </c>
      <c r="AI332" s="103">
        <v>45790</v>
      </c>
      <c r="AJ332" s="96">
        <v>719</v>
      </c>
      <c r="AK332" s="91">
        <f t="shared" si="70"/>
        <v>34</v>
      </c>
      <c r="AL332" s="96">
        <f t="shared" si="75"/>
        <v>66</v>
      </c>
      <c r="AM332" s="92"/>
      <c r="AN332" s="91"/>
      <c r="AO332" s="91"/>
    </row>
    <row r="333" spans="1:41" ht="14.5" x14ac:dyDescent="0.25">
      <c r="A333" s="92" t="s">
        <v>701</v>
      </c>
      <c r="B333" s="91"/>
      <c r="C333" s="119" t="s">
        <v>702</v>
      </c>
      <c r="D333" s="120" t="s">
        <v>703</v>
      </c>
      <c r="E333" s="119" t="s">
        <v>115</v>
      </c>
      <c r="F333" s="119" t="s">
        <v>0</v>
      </c>
      <c r="G333" s="121" t="s">
        <v>698</v>
      </c>
      <c r="H333" s="119">
        <v>240</v>
      </c>
      <c r="I333" s="119" t="s">
        <v>89</v>
      </c>
      <c r="J333" s="119" t="s">
        <v>4</v>
      </c>
      <c r="K333" s="120" t="s">
        <v>17</v>
      </c>
      <c r="L333" s="93" t="s">
        <v>3081</v>
      </c>
      <c r="M333" s="94" t="s">
        <v>3390</v>
      </c>
      <c r="N333" s="95" t="s">
        <v>2869</v>
      </c>
      <c r="O333" s="132">
        <v>15</v>
      </c>
      <c r="P333" s="111">
        <f>380/30*O333</f>
        <v>190</v>
      </c>
      <c r="Q333" s="122" t="s">
        <v>16</v>
      </c>
      <c r="R333" s="122">
        <v>8.5</v>
      </c>
      <c r="S333" s="95"/>
      <c r="T333" s="98"/>
      <c r="U333" s="125">
        <f>R333*P333+350/30*O333</f>
        <v>1790</v>
      </c>
      <c r="V333" s="113">
        <f t="shared" si="71"/>
        <v>7.458333333333333</v>
      </c>
      <c r="W333" s="114">
        <f t="shared" si="72"/>
        <v>1.0654761904761905</v>
      </c>
      <c r="X333" s="95"/>
      <c r="Y333" s="95"/>
      <c r="Z333" s="102"/>
      <c r="AA333" s="103">
        <v>45724</v>
      </c>
      <c r="AB333" s="103">
        <v>45739</v>
      </c>
      <c r="AC333" s="103"/>
      <c r="AD333" s="102">
        <f>IF(ISNA(VLOOKUP(D333,亚马逊入库配置费!B:F,5,0)),0,VLOOKUP(D333,亚马逊入库配置费!B:F,5,0))</f>
        <v>0.41</v>
      </c>
      <c r="AE333" s="102">
        <f t="shared" si="68"/>
        <v>98.399999999999991</v>
      </c>
      <c r="AF333" s="103">
        <v>45748</v>
      </c>
      <c r="AG333" s="91">
        <f t="shared" si="69"/>
        <v>24</v>
      </c>
      <c r="AH333" s="103">
        <v>45748</v>
      </c>
      <c r="AI333" s="103">
        <v>45782</v>
      </c>
      <c r="AJ333" s="96">
        <v>240</v>
      </c>
      <c r="AK333" s="91">
        <f t="shared" si="70"/>
        <v>34</v>
      </c>
      <c r="AL333" s="96">
        <f t="shared" si="75"/>
        <v>58</v>
      </c>
      <c r="AM333" s="92"/>
      <c r="AN333" s="91"/>
      <c r="AO333" s="91"/>
    </row>
    <row r="334" spans="1:41" ht="14.5" x14ac:dyDescent="0.25">
      <c r="A334" s="92" t="s">
        <v>704</v>
      </c>
      <c r="B334" s="91"/>
      <c r="C334" s="119" t="s">
        <v>702</v>
      </c>
      <c r="D334" s="120" t="s">
        <v>703</v>
      </c>
      <c r="E334" s="119" t="s">
        <v>115</v>
      </c>
      <c r="F334" s="119" t="s">
        <v>0</v>
      </c>
      <c r="G334" s="121" t="s">
        <v>700</v>
      </c>
      <c r="H334" s="119">
        <v>240</v>
      </c>
      <c r="I334" s="119" t="s">
        <v>89</v>
      </c>
      <c r="J334" s="119" t="s">
        <v>4</v>
      </c>
      <c r="K334" s="120" t="s">
        <v>17</v>
      </c>
      <c r="L334" s="93" t="s">
        <v>3082</v>
      </c>
      <c r="M334" s="94" t="s">
        <v>3391</v>
      </c>
      <c r="N334" s="95" t="s">
        <v>2869</v>
      </c>
      <c r="O334" s="132">
        <v>15</v>
      </c>
      <c r="P334" s="111">
        <f>380/30*O334</f>
        <v>190</v>
      </c>
      <c r="Q334" s="122" t="s">
        <v>16</v>
      </c>
      <c r="R334" s="122">
        <v>8.5</v>
      </c>
      <c r="S334" s="95"/>
      <c r="T334" s="98"/>
      <c r="U334" s="125">
        <f>R334*P334+350/30*O334</f>
        <v>1790</v>
      </c>
      <c r="V334" s="113">
        <f t="shared" si="71"/>
        <v>7.458333333333333</v>
      </c>
      <c r="W334" s="114">
        <f t="shared" si="72"/>
        <v>1.0654761904761905</v>
      </c>
      <c r="X334" s="95"/>
      <c r="Y334" s="95"/>
      <c r="Z334" s="102"/>
      <c r="AA334" s="103">
        <v>45724</v>
      </c>
      <c r="AB334" s="103">
        <v>45739</v>
      </c>
      <c r="AC334" s="103"/>
      <c r="AD334" s="102">
        <f>IF(ISNA(VLOOKUP(D334,亚马逊入库配置费!B:F,5,0)),0,VLOOKUP(D334,亚马逊入库配置费!B:F,5,0))</f>
        <v>0.41</v>
      </c>
      <c r="AE334" s="102">
        <f t="shared" si="68"/>
        <v>98.399999999999991</v>
      </c>
      <c r="AF334" s="103">
        <v>45748</v>
      </c>
      <c r="AG334" s="91">
        <f t="shared" si="69"/>
        <v>24</v>
      </c>
      <c r="AH334" s="103">
        <v>45748</v>
      </c>
      <c r="AI334" s="103">
        <v>45782</v>
      </c>
      <c r="AJ334" s="96">
        <v>240</v>
      </c>
      <c r="AK334" s="91">
        <f t="shared" si="70"/>
        <v>34</v>
      </c>
      <c r="AL334" s="96">
        <f t="shared" si="75"/>
        <v>58</v>
      </c>
      <c r="AM334" s="92"/>
      <c r="AN334" s="91"/>
      <c r="AO334" s="91"/>
    </row>
    <row r="335" spans="1:41" ht="14.5" x14ac:dyDescent="0.25">
      <c r="A335" s="92" t="s">
        <v>705</v>
      </c>
      <c r="B335" s="91"/>
      <c r="C335" s="119" t="s">
        <v>706</v>
      </c>
      <c r="D335" s="120" t="s">
        <v>707</v>
      </c>
      <c r="E335" s="135" t="s">
        <v>708</v>
      </c>
      <c r="F335" s="135" t="s">
        <v>709</v>
      </c>
      <c r="G335" s="58" t="s">
        <v>167</v>
      </c>
      <c r="H335" s="119">
        <v>90</v>
      </c>
      <c r="I335" s="119" t="s">
        <v>207</v>
      </c>
      <c r="J335" s="119" t="s">
        <v>710</v>
      </c>
      <c r="K335" s="120" t="s">
        <v>711</v>
      </c>
      <c r="L335" s="93" t="s">
        <v>3025</v>
      </c>
      <c r="M335" s="94" t="s">
        <v>3210</v>
      </c>
      <c r="N335" s="95" t="s">
        <v>2876</v>
      </c>
      <c r="O335" s="132">
        <v>3</v>
      </c>
      <c r="P335" s="111">
        <f t="shared" ref="P335:P346" si="76">529/36*O335</f>
        <v>44.083333333333336</v>
      </c>
      <c r="Q335" s="122" t="s">
        <v>16</v>
      </c>
      <c r="R335" s="122">
        <v>10.5</v>
      </c>
      <c r="S335" s="95"/>
      <c r="T335" s="98"/>
      <c r="U335" s="125">
        <f t="shared" ref="U335:U346" si="77">R335*P335+350/36*O335</f>
        <v>492.04166666666669</v>
      </c>
      <c r="V335" s="113">
        <f t="shared" si="71"/>
        <v>5.4671296296296301</v>
      </c>
      <c r="W335" s="114">
        <f t="shared" si="72"/>
        <v>0.78101851851851856</v>
      </c>
      <c r="X335" s="95"/>
      <c r="Y335" s="95"/>
      <c r="Z335" s="102"/>
      <c r="AA335" s="103">
        <v>45730</v>
      </c>
      <c r="AB335" s="103">
        <v>45763</v>
      </c>
      <c r="AC335" s="103"/>
      <c r="AD335" s="102">
        <f>IF(ISNA(VLOOKUP(D335,亚马逊入库配置费!B:F,5,0)),0,VLOOKUP(D335,亚马逊入库配置费!B:F,5,0))</f>
        <v>0</v>
      </c>
      <c r="AE335" s="102">
        <f t="shared" si="68"/>
        <v>0</v>
      </c>
      <c r="AF335" s="103">
        <v>45787</v>
      </c>
      <c r="AG335" s="91">
        <f t="shared" si="69"/>
        <v>57</v>
      </c>
      <c r="AH335" s="103">
        <v>45787</v>
      </c>
      <c r="AI335" s="103">
        <v>45817</v>
      </c>
      <c r="AJ335" s="96">
        <v>90</v>
      </c>
      <c r="AK335" s="91">
        <f t="shared" si="70"/>
        <v>30</v>
      </c>
      <c r="AL335" s="96">
        <f t="shared" si="75"/>
        <v>87</v>
      </c>
      <c r="AM335" s="92"/>
      <c r="AN335" s="91"/>
      <c r="AO335" s="91"/>
    </row>
    <row r="336" spans="1:41" ht="14.5" x14ac:dyDescent="0.25">
      <c r="A336" s="92" t="s">
        <v>712</v>
      </c>
      <c r="B336" s="91"/>
      <c r="C336" s="119" t="s">
        <v>706</v>
      </c>
      <c r="D336" s="120" t="s">
        <v>707</v>
      </c>
      <c r="E336" s="135" t="s">
        <v>708</v>
      </c>
      <c r="F336" s="135" t="s">
        <v>709</v>
      </c>
      <c r="G336" s="58" t="s">
        <v>169</v>
      </c>
      <c r="H336" s="119">
        <v>60</v>
      </c>
      <c r="I336" s="119" t="s">
        <v>207</v>
      </c>
      <c r="J336" s="119" t="s">
        <v>710</v>
      </c>
      <c r="K336" s="120" t="s">
        <v>711</v>
      </c>
      <c r="L336" s="93" t="s">
        <v>3026</v>
      </c>
      <c r="M336" s="94" t="s">
        <v>3211</v>
      </c>
      <c r="N336" s="95" t="s">
        <v>2876</v>
      </c>
      <c r="O336" s="132">
        <v>2</v>
      </c>
      <c r="P336" s="111">
        <f t="shared" si="76"/>
        <v>29.388888888888889</v>
      </c>
      <c r="Q336" s="122" t="s">
        <v>16</v>
      </c>
      <c r="R336" s="122">
        <v>10.5</v>
      </c>
      <c r="S336" s="95"/>
      <c r="T336" s="98"/>
      <c r="U336" s="125">
        <f t="shared" si="77"/>
        <v>328.02777777777777</v>
      </c>
      <c r="V336" s="113">
        <f t="shared" si="71"/>
        <v>5.4671296296296292</v>
      </c>
      <c r="W336" s="114">
        <f t="shared" si="72"/>
        <v>0.78101851851851845</v>
      </c>
      <c r="X336" s="95"/>
      <c r="Y336" s="95"/>
      <c r="Z336" s="102"/>
      <c r="AA336" s="103">
        <v>45730</v>
      </c>
      <c r="AB336" s="103">
        <v>45763</v>
      </c>
      <c r="AC336" s="103"/>
      <c r="AD336" s="102">
        <f>IF(ISNA(VLOOKUP(D336,亚马逊入库配置费!B:F,5,0)),0,VLOOKUP(D336,亚马逊入库配置费!B:F,5,0))</f>
        <v>0</v>
      </c>
      <c r="AE336" s="102">
        <f t="shared" si="68"/>
        <v>0</v>
      </c>
      <c r="AF336" s="103">
        <v>45787</v>
      </c>
      <c r="AG336" s="91">
        <f t="shared" si="69"/>
        <v>57</v>
      </c>
      <c r="AH336" s="103">
        <v>45787</v>
      </c>
      <c r="AI336" s="103">
        <v>45817</v>
      </c>
      <c r="AJ336" s="96">
        <v>60</v>
      </c>
      <c r="AK336" s="91">
        <f t="shared" si="70"/>
        <v>30</v>
      </c>
      <c r="AL336" s="96">
        <f t="shared" si="75"/>
        <v>87</v>
      </c>
      <c r="AM336" s="92"/>
      <c r="AN336" s="91"/>
      <c r="AO336" s="91"/>
    </row>
    <row r="337" spans="1:41" ht="14.5" x14ac:dyDescent="0.25">
      <c r="A337" s="92" t="s">
        <v>713</v>
      </c>
      <c r="B337" s="91"/>
      <c r="C337" s="119" t="s">
        <v>706</v>
      </c>
      <c r="D337" s="120" t="s">
        <v>707</v>
      </c>
      <c r="E337" s="135" t="s">
        <v>708</v>
      </c>
      <c r="F337" s="135" t="s">
        <v>709</v>
      </c>
      <c r="G337" s="58" t="s">
        <v>171</v>
      </c>
      <c r="H337" s="119">
        <v>90</v>
      </c>
      <c r="I337" s="119" t="s">
        <v>207</v>
      </c>
      <c r="J337" s="119" t="s">
        <v>710</v>
      </c>
      <c r="K337" s="120" t="s">
        <v>711</v>
      </c>
      <c r="L337" s="93" t="s">
        <v>3027</v>
      </c>
      <c r="M337" s="94" t="s">
        <v>3212</v>
      </c>
      <c r="N337" s="95" t="s">
        <v>2876</v>
      </c>
      <c r="O337" s="132">
        <v>3</v>
      </c>
      <c r="P337" s="111">
        <f t="shared" si="76"/>
        <v>44.083333333333336</v>
      </c>
      <c r="Q337" s="122" t="s">
        <v>16</v>
      </c>
      <c r="R337" s="122">
        <v>10.5</v>
      </c>
      <c r="S337" s="95"/>
      <c r="T337" s="98"/>
      <c r="U337" s="125">
        <f t="shared" si="77"/>
        <v>492.04166666666669</v>
      </c>
      <c r="V337" s="113">
        <f t="shared" si="71"/>
        <v>5.4671296296296301</v>
      </c>
      <c r="W337" s="114">
        <f t="shared" si="72"/>
        <v>0.78101851851851856</v>
      </c>
      <c r="X337" s="95"/>
      <c r="Y337" s="95"/>
      <c r="Z337" s="102"/>
      <c r="AA337" s="103">
        <v>45730</v>
      </c>
      <c r="AB337" s="103">
        <v>45763</v>
      </c>
      <c r="AC337" s="103"/>
      <c r="AD337" s="102">
        <f>IF(ISNA(VLOOKUP(D337,亚马逊入库配置费!B:F,5,0)),0,VLOOKUP(D337,亚马逊入库配置费!B:F,5,0))</f>
        <v>0</v>
      </c>
      <c r="AE337" s="102">
        <f t="shared" si="68"/>
        <v>0</v>
      </c>
      <c r="AF337" s="103">
        <v>45787</v>
      </c>
      <c r="AG337" s="91">
        <f t="shared" si="69"/>
        <v>57</v>
      </c>
      <c r="AH337" s="103">
        <v>45787</v>
      </c>
      <c r="AI337" s="103">
        <v>45817</v>
      </c>
      <c r="AJ337" s="96">
        <v>90</v>
      </c>
      <c r="AK337" s="91">
        <f t="shared" si="70"/>
        <v>30</v>
      </c>
      <c r="AL337" s="96">
        <f t="shared" si="75"/>
        <v>87</v>
      </c>
      <c r="AM337" s="92"/>
      <c r="AN337" s="91"/>
      <c r="AO337" s="91"/>
    </row>
    <row r="338" spans="1:41" ht="14.5" x14ac:dyDescent="0.25">
      <c r="A338" s="92" t="s">
        <v>714</v>
      </c>
      <c r="B338" s="91"/>
      <c r="C338" s="119" t="s">
        <v>706</v>
      </c>
      <c r="D338" s="120" t="s">
        <v>707</v>
      </c>
      <c r="E338" s="135" t="s">
        <v>708</v>
      </c>
      <c r="F338" s="135" t="s">
        <v>709</v>
      </c>
      <c r="G338" s="58" t="s">
        <v>173</v>
      </c>
      <c r="H338" s="119">
        <v>60</v>
      </c>
      <c r="I338" s="119" t="s">
        <v>207</v>
      </c>
      <c r="J338" s="119" t="s">
        <v>710</v>
      </c>
      <c r="K338" s="120" t="s">
        <v>711</v>
      </c>
      <c r="L338" s="93" t="s">
        <v>3028</v>
      </c>
      <c r="M338" s="94" t="s">
        <v>3304</v>
      </c>
      <c r="N338" s="95" t="s">
        <v>2876</v>
      </c>
      <c r="O338" s="132">
        <v>2</v>
      </c>
      <c r="P338" s="111">
        <f t="shared" si="76"/>
        <v>29.388888888888889</v>
      </c>
      <c r="Q338" s="122" t="s">
        <v>16</v>
      </c>
      <c r="R338" s="122">
        <v>10.5</v>
      </c>
      <c r="S338" s="95"/>
      <c r="T338" s="98"/>
      <c r="U338" s="125">
        <f t="shared" si="77"/>
        <v>328.02777777777777</v>
      </c>
      <c r="V338" s="113">
        <f t="shared" si="71"/>
        <v>5.4671296296296292</v>
      </c>
      <c r="W338" s="114">
        <f t="shared" si="72"/>
        <v>0.78101851851851845</v>
      </c>
      <c r="X338" s="95"/>
      <c r="Y338" s="95"/>
      <c r="Z338" s="102"/>
      <c r="AA338" s="103">
        <v>45730</v>
      </c>
      <c r="AB338" s="103">
        <v>45763</v>
      </c>
      <c r="AC338" s="103"/>
      <c r="AD338" s="102">
        <f>IF(ISNA(VLOOKUP(D338,亚马逊入库配置费!B:F,5,0)),0,VLOOKUP(D338,亚马逊入库配置费!B:F,5,0))</f>
        <v>0</v>
      </c>
      <c r="AE338" s="102">
        <f t="shared" si="68"/>
        <v>0</v>
      </c>
      <c r="AF338" s="103">
        <v>45787</v>
      </c>
      <c r="AG338" s="91">
        <f t="shared" si="69"/>
        <v>57</v>
      </c>
      <c r="AH338" s="103">
        <v>45787</v>
      </c>
      <c r="AI338" s="103">
        <v>45817</v>
      </c>
      <c r="AJ338" s="96">
        <v>60</v>
      </c>
      <c r="AK338" s="91">
        <f t="shared" si="70"/>
        <v>30</v>
      </c>
      <c r="AL338" s="96">
        <f t="shared" si="75"/>
        <v>87</v>
      </c>
      <c r="AM338" s="92"/>
      <c r="AN338" s="91"/>
      <c r="AO338" s="91"/>
    </row>
    <row r="339" spans="1:41" ht="14.5" x14ac:dyDescent="0.25">
      <c r="A339" s="92" t="s">
        <v>715</v>
      </c>
      <c r="B339" s="91"/>
      <c r="C339" s="119" t="s">
        <v>706</v>
      </c>
      <c r="D339" s="120" t="s">
        <v>707</v>
      </c>
      <c r="E339" s="135" t="s">
        <v>708</v>
      </c>
      <c r="F339" s="135" t="s">
        <v>709</v>
      </c>
      <c r="G339" s="58" t="s">
        <v>176</v>
      </c>
      <c r="H339" s="119">
        <v>60</v>
      </c>
      <c r="I339" s="119" t="s">
        <v>207</v>
      </c>
      <c r="J339" s="119" t="s">
        <v>710</v>
      </c>
      <c r="K339" s="120" t="s">
        <v>711</v>
      </c>
      <c r="L339" s="93" t="s">
        <v>3029</v>
      </c>
      <c r="M339" s="94" t="s">
        <v>3306</v>
      </c>
      <c r="N339" s="95" t="s">
        <v>2876</v>
      </c>
      <c r="O339" s="132">
        <v>2</v>
      </c>
      <c r="P339" s="111">
        <f t="shared" si="76"/>
        <v>29.388888888888889</v>
      </c>
      <c r="Q339" s="122" t="s">
        <v>16</v>
      </c>
      <c r="R339" s="122">
        <v>10.5</v>
      </c>
      <c r="S339" s="95"/>
      <c r="T339" s="98"/>
      <c r="U339" s="125">
        <f t="shared" si="77"/>
        <v>328.02777777777777</v>
      </c>
      <c r="V339" s="113">
        <f t="shared" si="71"/>
        <v>5.4671296296296292</v>
      </c>
      <c r="W339" s="114">
        <f t="shared" si="72"/>
        <v>0.78101851851851845</v>
      </c>
      <c r="X339" s="95"/>
      <c r="Y339" s="95"/>
      <c r="Z339" s="102"/>
      <c r="AA339" s="103">
        <v>45730</v>
      </c>
      <c r="AB339" s="103">
        <v>45763</v>
      </c>
      <c r="AC339" s="103"/>
      <c r="AD339" s="102">
        <f>IF(ISNA(VLOOKUP(D339,亚马逊入库配置费!B:F,5,0)),0,VLOOKUP(D339,亚马逊入库配置费!B:F,5,0))</f>
        <v>0</v>
      </c>
      <c r="AE339" s="102">
        <f t="shared" si="68"/>
        <v>0</v>
      </c>
      <c r="AF339" s="103">
        <v>45787</v>
      </c>
      <c r="AG339" s="91">
        <f t="shared" si="69"/>
        <v>57</v>
      </c>
      <c r="AH339" s="103">
        <v>45787</v>
      </c>
      <c r="AI339" s="103">
        <v>45817</v>
      </c>
      <c r="AJ339" s="96">
        <v>60</v>
      </c>
      <c r="AK339" s="91">
        <f t="shared" si="70"/>
        <v>30</v>
      </c>
      <c r="AL339" s="96">
        <f t="shared" si="75"/>
        <v>87</v>
      </c>
      <c r="AM339" s="92"/>
      <c r="AN339" s="91"/>
      <c r="AO339" s="91"/>
    </row>
    <row r="340" spans="1:41" ht="14.5" x14ac:dyDescent="0.25">
      <c r="A340" s="92" t="s">
        <v>716</v>
      </c>
      <c r="B340" s="91"/>
      <c r="C340" s="119" t="s">
        <v>706</v>
      </c>
      <c r="D340" s="120" t="s">
        <v>707</v>
      </c>
      <c r="E340" s="135" t="s">
        <v>708</v>
      </c>
      <c r="F340" s="135" t="s">
        <v>709</v>
      </c>
      <c r="G340" s="58" t="s">
        <v>178</v>
      </c>
      <c r="H340" s="119">
        <v>60</v>
      </c>
      <c r="I340" s="119" t="s">
        <v>207</v>
      </c>
      <c r="J340" s="119" t="s">
        <v>710</v>
      </c>
      <c r="K340" s="120" t="s">
        <v>711</v>
      </c>
      <c r="L340" s="93" t="s">
        <v>3030</v>
      </c>
      <c r="M340" s="94" t="s">
        <v>3307</v>
      </c>
      <c r="N340" s="95" t="s">
        <v>2876</v>
      </c>
      <c r="O340" s="132">
        <v>2</v>
      </c>
      <c r="P340" s="111">
        <f t="shared" si="76"/>
        <v>29.388888888888889</v>
      </c>
      <c r="Q340" s="122" t="s">
        <v>16</v>
      </c>
      <c r="R340" s="122">
        <v>10.5</v>
      </c>
      <c r="S340" s="95"/>
      <c r="T340" s="98"/>
      <c r="U340" s="125">
        <f t="shared" si="77"/>
        <v>328.02777777777777</v>
      </c>
      <c r="V340" s="113">
        <f t="shared" si="71"/>
        <v>5.4671296296296292</v>
      </c>
      <c r="W340" s="114">
        <f t="shared" si="72"/>
        <v>0.78101851851851845</v>
      </c>
      <c r="X340" s="95"/>
      <c r="Y340" s="95"/>
      <c r="Z340" s="102"/>
      <c r="AA340" s="103">
        <v>45730</v>
      </c>
      <c r="AB340" s="103">
        <v>45763</v>
      </c>
      <c r="AC340" s="103"/>
      <c r="AD340" s="102">
        <f>IF(ISNA(VLOOKUP(D340,亚马逊入库配置费!B:F,5,0)),0,VLOOKUP(D340,亚马逊入库配置费!B:F,5,0))</f>
        <v>0</v>
      </c>
      <c r="AE340" s="102">
        <f t="shared" si="68"/>
        <v>0</v>
      </c>
      <c r="AF340" s="103">
        <v>45787</v>
      </c>
      <c r="AG340" s="91">
        <f t="shared" si="69"/>
        <v>57</v>
      </c>
      <c r="AH340" s="103">
        <v>45787</v>
      </c>
      <c r="AI340" s="103">
        <v>45817</v>
      </c>
      <c r="AJ340" s="96">
        <v>60</v>
      </c>
      <c r="AK340" s="91">
        <f t="shared" si="70"/>
        <v>30</v>
      </c>
      <c r="AL340" s="96">
        <f t="shared" si="75"/>
        <v>87</v>
      </c>
      <c r="AM340" s="92"/>
      <c r="AN340" s="91"/>
      <c r="AO340" s="91"/>
    </row>
    <row r="341" spans="1:41" ht="14.5" x14ac:dyDescent="0.25">
      <c r="A341" s="92" t="s">
        <v>717</v>
      </c>
      <c r="B341" s="91"/>
      <c r="C341" s="119" t="s">
        <v>706</v>
      </c>
      <c r="D341" s="120" t="s">
        <v>707</v>
      </c>
      <c r="E341" s="135" t="s">
        <v>708</v>
      </c>
      <c r="F341" s="135" t="s">
        <v>709</v>
      </c>
      <c r="G341" s="58" t="s">
        <v>180</v>
      </c>
      <c r="H341" s="119">
        <v>90</v>
      </c>
      <c r="I341" s="119" t="s">
        <v>207</v>
      </c>
      <c r="J341" s="119" t="s">
        <v>710</v>
      </c>
      <c r="K341" s="120" t="s">
        <v>711</v>
      </c>
      <c r="L341" s="93" t="s">
        <v>3031</v>
      </c>
      <c r="M341" s="94" t="s">
        <v>3213</v>
      </c>
      <c r="N341" s="95" t="s">
        <v>2876</v>
      </c>
      <c r="O341" s="132">
        <v>3</v>
      </c>
      <c r="P341" s="111">
        <f t="shared" si="76"/>
        <v>44.083333333333336</v>
      </c>
      <c r="Q341" s="122" t="s">
        <v>16</v>
      </c>
      <c r="R341" s="124">
        <v>10.5</v>
      </c>
      <c r="S341" s="95"/>
      <c r="T341" s="98"/>
      <c r="U341" s="125">
        <f t="shared" si="77"/>
        <v>492.04166666666669</v>
      </c>
      <c r="V341" s="113">
        <f t="shared" si="71"/>
        <v>5.4671296296296301</v>
      </c>
      <c r="W341" s="114">
        <f t="shared" si="72"/>
        <v>0.78101851851851856</v>
      </c>
      <c r="X341" s="95"/>
      <c r="Y341" s="95"/>
      <c r="Z341" s="102"/>
      <c r="AA341" s="103">
        <v>45730</v>
      </c>
      <c r="AB341" s="103">
        <v>45763</v>
      </c>
      <c r="AC341" s="103"/>
      <c r="AD341" s="102">
        <f>IF(ISNA(VLOOKUP(D341,亚马逊入库配置费!B:F,5,0)),0,VLOOKUP(D341,亚马逊入库配置费!B:F,5,0))</f>
        <v>0</v>
      </c>
      <c r="AE341" s="102">
        <f t="shared" si="68"/>
        <v>0</v>
      </c>
      <c r="AF341" s="103">
        <v>45787</v>
      </c>
      <c r="AG341" s="91">
        <f t="shared" si="69"/>
        <v>57</v>
      </c>
      <c r="AH341" s="103">
        <v>45787</v>
      </c>
      <c r="AI341" s="103">
        <v>45817</v>
      </c>
      <c r="AJ341" s="96">
        <v>90</v>
      </c>
      <c r="AK341" s="91">
        <f t="shared" si="70"/>
        <v>30</v>
      </c>
      <c r="AL341" s="96">
        <f t="shared" si="75"/>
        <v>87</v>
      </c>
      <c r="AM341" s="92"/>
      <c r="AN341" s="91"/>
      <c r="AO341" s="91"/>
    </row>
    <row r="342" spans="1:41" ht="14.5" x14ac:dyDescent="0.25">
      <c r="A342" s="92" t="s">
        <v>718</v>
      </c>
      <c r="B342" s="91"/>
      <c r="C342" s="119" t="s">
        <v>706</v>
      </c>
      <c r="D342" s="120" t="s">
        <v>707</v>
      </c>
      <c r="E342" s="135" t="s">
        <v>708</v>
      </c>
      <c r="F342" s="135" t="s">
        <v>709</v>
      </c>
      <c r="G342" s="58" t="s">
        <v>163</v>
      </c>
      <c r="H342" s="119">
        <v>200</v>
      </c>
      <c r="I342" s="119" t="s">
        <v>207</v>
      </c>
      <c r="J342" s="119" t="s">
        <v>710</v>
      </c>
      <c r="K342" s="120" t="s">
        <v>711</v>
      </c>
      <c r="L342" s="93" t="s">
        <v>2881</v>
      </c>
      <c r="M342" s="94" t="s">
        <v>3302</v>
      </c>
      <c r="N342" s="95" t="s">
        <v>2870</v>
      </c>
      <c r="O342" s="132">
        <v>5</v>
      </c>
      <c r="P342" s="111">
        <f t="shared" si="76"/>
        <v>73.472222222222229</v>
      </c>
      <c r="Q342" s="122" t="s">
        <v>16</v>
      </c>
      <c r="R342" s="124">
        <v>10.5</v>
      </c>
      <c r="S342" s="95"/>
      <c r="T342" s="98"/>
      <c r="U342" s="125">
        <f t="shared" si="77"/>
        <v>820.06944444444446</v>
      </c>
      <c r="V342" s="113">
        <f t="shared" si="71"/>
        <v>4.1003472222222221</v>
      </c>
      <c r="W342" s="114">
        <f t="shared" si="72"/>
        <v>0.58576388888888886</v>
      </c>
      <c r="X342" s="95"/>
      <c r="Y342" s="95"/>
      <c r="Z342" s="102"/>
      <c r="AA342" s="103">
        <v>45730</v>
      </c>
      <c r="AB342" s="103">
        <v>45763</v>
      </c>
      <c r="AC342" s="103"/>
      <c r="AD342" s="102">
        <f>IF(ISNA(VLOOKUP(D342,亚马逊入库配置费!B:F,5,0)),0,VLOOKUP(D342,亚马逊入库配置费!B:F,5,0))</f>
        <v>0</v>
      </c>
      <c r="AE342" s="102">
        <f t="shared" si="68"/>
        <v>0</v>
      </c>
      <c r="AF342" s="103">
        <v>45787</v>
      </c>
      <c r="AG342" s="91">
        <f t="shared" si="69"/>
        <v>57</v>
      </c>
      <c r="AH342" s="103">
        <v>45787</v>
      </c>
      <c r="AI342" s="103">
        <v>45817</v>
      </c>
      <c r="AJ342" s="117">
        <v>79</v>
      </c>
      <c r="AK342" s="91">
        <f t="shared" si="70"/>
        <v>30</v>
      </c>
      <c r="AL342" s="96">
        <f t="shared" si="75"/>
        <v>87</v>
      </c>
      <c r="AM342" s="92"/>
      <c r="AN342" s="91"/>
      <c r="AO342" s="91"/>
    </row>
    <row r="343" spans="1:41" ht="14.5" x14ac:dyDescent="0.25">
      <c r="A343" s="92" t="s">
        <v>719</v>
      </c>
      <c r="B343" s="91"/>
      <c r="C343" s="119" t="s">
        <v>706</v>
      </c>
      <c r="D343" s="120" t="s">
        <v>707</v>
      </c>
      <c r="E343" s="135" t="s">
        <v>708</v>
      </c>
      <c r="F343" s="135" t="s">
        <v>709</v>
      </c>
      <c r="G343" s="58" t="s">
        <v>228</v>
      </c>
      <c r="H343" s="119">
        <v>60</v>
      </c>
      <c r="I343" s="119" t="s">
        <v>207</v>
      </c>
      <c r="J343" s="119" t="s">
        <v>710</v>
      </c>
      <c r="K343" s="120" t="s">
        <v>711</v>
      </c>
      <c r="L343" s="93" t="s">
        <v>3036</v>
      </c>
      <c r="M343" s="94" t="s">
        <v>3315</v>
      </c>
      <c r="N343" s="95" t="s">
        <v>2870</v>
      </c>
      <c r="O343" s="132">
        <v>3</v>
      </c>
      <c r="P343" s="111">
        <f t="shared" si="76"/>
        <v>44.083333333333336</v>
      </c>
      <c r="Q343" s="122" t="s">
        <v>16</v>
      </c>
      <c r="R343" s="124">
        <v>10.5</v>
      </c>
      <c r="S343" s="95"/>
      <c r="T343" s="98"/>
      <c r="U343" s="125">
        <f t="shared" si="77"/>
        <v>492.04166666666669</v>
      </c>
      <c r="V343" s="113">
        <f t="shared" si="71"/>
        <v>8.2006944444444443</v>
      </c>
      <c r="W343" s="114">
        <f t="shared" si="72"/>
        <v>1.1715277777777777</v>
      </c>
      <c r="X343" s="95"/>
      <c r="Y343" s="95"/>
      <c r="Z343" s="102"/>
      <c r="AA343" s="103">
        <v>45730</v>
      </c>
      <c r="AB343" s="103">
        <v>45763</v>
      </c>
      <c r="AC343" s="103"/>
      <c r="AD343" s="102">
        <f>IF(ISNA(VLOOKUP(D343,亚马逊入库配置费!B:F,5,0)),0,VLOOKUP(D343,亚马逊入库配置费!B:F,5,0))</f>
        <v>0</v>
      </c>
      <c r="AE343" s="102">
        <f t="shared" si="68"/>
        <v>0</v>
      </c>
      <c r="AF343" s="103">
        <v>45787</v>
      </c>
      <c r="AG343" s="91">
        <f t="shared" si="69"/>
        <v>57</v>
      </c>
      <c r="AH343" s="103">
        <v>45787</v>
      </c>
      <c r="AI343" s="103">
        <v>45817</v>
      </c>
      <c r="AJ343" s="96">
        <v>60</v>
      </c>
      <c r="AK343" s="91">
        <f t="shared" si="70"/>
        <v>30</v>
      </c>
      <c r="AL343" s="96">
        <f t="shared" si="75"/>
        <v>87</v>
      </c>
      <c r="AM343" s="92"/>
      <c r="AN343" s="91"/>
      <c r="AO343" s="91"/>
    </row>
    <row r="344" spans="1:41" ht="14.5" x14ac:dyDescent="0.25">
      <c r="A344" s="92" t="s">
        <v>720</v>
      </c>
      <c r="B344" s="91"/>
      <c r="C344" s="119" t="s">
        <v>706</v>
      </c>
      <c r="D344" s="120" t="s">
        <v>707</v>
      </c>
      <c r="E344" s="135" t="s">
        <v>708</v>
      </c>
      <c r="F344" s="135" t="s">
        <v>709</v>
      </c>
      <c r="G344" s="58" t="s">
        <v>350</v>
      </c>
      <c r="H344" s="119">
        <v>120</v>
      </c>
      <c r="I344" s="119" t="s">
        <v>207</v>
      </c>
      <c r="J344" s="119" t="s">
        <v>710</v>
      </c>
      <c r="K344" s="120" t="s">
        <v>711</v>
      </c>
      <c r="L344" s="93" t="s">
        <v>3048</v>
      </c>
      <c r="M344" s="94" t="s">
        <v>3208</v>
      </c>
      <c r="N344" s="95" t="s">
        <v>2870</v>
      </c>
      <c r="O344" s="132">
        <v>3</v>
      </c>
      <c r="P344" s="111">
        <f t="shared" si="76"/>
        <v>44.083333333333336</v>
      </c>
      <c r="Q344" s="122" t="s">
        <v>16</v>
      </c>
      <c r="R344" s="124">
        <v>10.5</v>
      </c>
      <c r="S344" s="95"/>
      <c r="T344" s="98"/>
      <c r="U344" s="125">
        <f t="shared" si="77"/>
        <v>492.04166666666669</v>
      </c>
      <c r="V344" s="113">
        <f t="shared" si="71"/>
        <v>4.1003472222222221</v>
      </c>
      <c r="W344" s="114">
        <f t="shared" si="72"/>
        <v>0.58576388888888886</v>
      </c>
      <c r="X344" s="95"/>
      <c r="Y344" s="95"/>
      <c r="Z344" s="102"/>
      <c r="AA344" s="103">
        <v>45730</v>
      </c>
      <c r="AB344" s="103">
        <v>45763</v>
      </c>
      <c r="AC344" s="103"/>
      <c r="AD344" s="102">
        <f>IF(ISNA(VLOOKUP(D344,亚马逊入库配置费!B:F,5,0)),0,VLOOKUP(D344,亚马逊入库配置费!B:F,5,0))</f>
        <v>0</v>
      </c>
      <c r="AE344" s="102">
        <f t="shared" si="68"/>
        <v>0</v>
      </c>
      <c r="AF344" s="103">
        <v>45787</v>
      </c>
      <c r="AG344" s="91">
        <f t="shared" si="69"/>
        <v>57</v>
      </c>
      <c r="AH344" s="103">
        <v>45787</v>
      </c>
      <c r="AI344" s="103">
        <v>45817</v>
      </c>
      <c r="AJ344" s="117">
        <v>80</v>
      </c>
      <c r="AK344" s="91">
        <f t="shared" si="70"/>
        <v>30</v>
      </c>
      <c r="AL344" s="96">
        <f t="shared" si="75"/>
        <v>87</v>
      </c>
      <c r="AM344" s="92"/>
      <c r="AN344" s="91"/>
      <c r="AO344" s="91"/>
    </row>
    <row r="345" spans="1:41" ht="14.5" x14ac:dyDescent="0.25">
      <c r="A345" s="92" t="s">
        <v>721</v>
      </c>
      <c r="B345" s="91"/>
      <c r="C345" s="119" t="s">
        <v>706</v>
      </c>
      <c r="D345" s="120" t="s">
        <v>707</v>
      </c>
      <c r="E345" s="135" t="s">
        <v>708</v>
      </c>
      <c r="F345" s="135" t="s">
        <v>709</v>
      </c>
      <c r="G345" s="58" t="s">
        <v>352</v>
      </c>
      <c r="H345" s="119">
        <v>120</v>
      </c>
      <c r="I345" s="119" t="s">
        <v>207</v>
      </c>
      <c r="J345" s="119" t="s">
        <v>710</v>
      </c>
      <c r="K345" s="120" t="s">
        <v>711</v>
      </c>
      <c r="L345" s="93" t="s">
        <v>3049</v>
      </c>
      <c r="M345" s="94" t="s">
        <v>3336</v>
      </c>
      <c r="N345" s="95" t="s">
        <v>2870</v>
      </c>
      <c r="O345" s="132">
        <v>3</v>
      </c>
      <c r="P345" s="111">
        <f t="shared" si="76"/>
        <v>44.083333333333336</v>
      </c>
      <c r="Q345" s="122" t="s">
        <v>16</v>
      </c>
      <c r="R345" s="124">
        <v>10.5</v>
      </c>
      <c r="S345" s="95"/>
      <c r="T345" s="98"/>
      <c r="U345" s="125">
        <f t="shared" si="77"/>
        <v>492.04166666666669</v>
      </c>
      <c r="V345" s="113">
        <f t="shared" si="71"/>
        <v>4.1003472222222221</v>
      </c>
      <c r="W345" s="114">
        <f t="shared" si="72"/>
        <v>0.58576388888888886</v>
      </c>
      <c r="X345" s="95"/>
      <c r="Y345" s="95"/>
      <c r="Z345" s="102"/>
      <c r="AA345" s="103">
        <v>45730</v>
      </c>
      <c r="AB345" s="103">
        <v>45763</v>
      </c>
      <c r="AC345" s="103"/>
      <c r="AD345" s="102">
        <f>IF(ISNA(VLOOKUP(D345,亚马逊入库配置费!B:F,5,0)),0,VLOOKUP(D345,亚马逊入库配置费!B:F,5,0))</f>
        <v>0</v>
      </c>
      <c r="AE345" s="102">
        <f t="shared" si="68"/>
        <v>0</v>
      </c>
      <c r="AF345" s="103">
        <v>45787</v>
      </c>
      <c r="AG345" s="91">
        <f t="shared" si="69"/>
        <v>57</v>
      </c>
      <c r="AH345" s="103">
        <v>45787</v>
      </c>
      <c r="AI345" s="103">
        <v>45817</v>
      </c>
      <c r="AJ345" s="96">
        <v>120</v>
      </c>
      <c r="AK345" s="91">
        <f t="shared" si="70"/>
        <v>30</v>
      </c>
      <c r="AL345" s="96">
        <f t="shared" si="75"/>
        <v>87</v>
      </c>
      <c r="AM345" s="92"/>
      <c r="AN345" s="91"/>
      <c r="AO345" s="91"/>
    </row>
    <row r="346" spans="1:41" ht="14.5" x14ac:dyDescent="0.25">
      <c r="A346" s="92" t="s">
        <v>722</v>
      </c>
      <c r="B346" s="91"/>
      <c r="C346" s="119" t="s">
        <v>706</v>
      </c>
      <c r="D346" s="120" t="s">
        <v>707</v>
      </c>
      <c r="E346" s="135" t="s">
        <v>708</v>
      </c>
      <c r="F346" s="135" t="s">
        <v>709</v>
      </c>
      <c r="G346" s="58" t="s">
        <v>165</v>
      </c>
      <c r="H346" s="119">
        <v>200</v>
      </c>
      <c r="I346" s="119" t="s">
        <v>207</v>
      </c>
      <c r="J346" s="119" t="s">
        <v>710</v>
      </c>
      <c r="K346" s="120" t="s">
        <v>711</v>
      </c>
      <c r="L346" s="93" t="s">
        <v>2880</v>
      </c>
      <c r="M346" s="94" t="s">
        <v>3209</v>
      </c>
      <c r="N346" s="95" t="s">
        <v>2870</v>
      </c>
      <c r="O346" s="132">
        <v>5</v>
      </c>
      <c r="P346" s="111">
        <f t="shared" si="76"/>
        <v>73.472222222222229</v>
      </c>
      <c r="Q346" s="122" t="s">
        <v>16</v>
      </c>
      <c r="R346" s="124">
        <v>10.5</v>
      </c>
      <c r="S346" s="95"/>
      <c r="T346" s="98"/>
      <c r="U346" s="125">
        <f t="shared" si="77"/>
        <v>820.06944444444446</v>
      </c>
      <c r="V346" s="113">
        <f t="shared" si="71"/>
        <v>4.1003472222222221</v>
      </c>
      <c r="W346" s="114">
        <f t="shared" si="72"/>
        <v>0.58576388888888886</v>
      </c>
      <c r="X346" s="95"/>
      <c r="Y346" s="95"/>
      <c r="Z346" s="102"/>
      <c r="AA346" s="103">
        <v>45730</v>
      </c>
      <c r="AB346" s="103">
        <v>45763</v>
      </c>
      <c r="AC346" s="103"/>
      <c r="AD346" s="102">
        <f>IF(ISNA(VLOOKUP(D346,亚马逊入库配置费!B:F,5,0)),0,VLOOKUP(D346,亚马逊入库配置费!B:F,5,0))</f>
        <v>0</v>
      </c>
      <c r="AE346" s="102">
        <f t="shared" si="68"/>
        <v>0</v>
      </c>
      <c r="AF346" s="103">
        <v>45787</v>
      </c>
      <c r="AG346" s="91">
        <f t="shared" si="69"/>
        <v>57</v>
      </c>
      <c r="AH346" s="103">
        <v>45787</v>
      </c>
      <c r="AI346" s="103">
        <v>45817</v>
      </c>
      <c r="AJ346" s="117">
        <v>160</v>
      </c>
      <c r="AK346" s="91">
        <f t="shared" si="70"/>
        <v>30</v>
      </c>
      <c r="AL346" s="96">
        <f t="shared" si="75"/>
        <v>87</v>
      </c>
      <c r="AM346" s="92"/>
      <c r="AN346" s="91"/>
      <c r="AO346" s="91"/>
    </row>
    <row r="347" spans="1:41" ht="14.5" x14ac:dyDescent="0.25">
      <c r="A347" s="92" t="s">
        <v>723</v>
      </c>
      <c r="B347" s="91"/>
      <c r="C347" s="136" t="s">
        <v>724</v>
      </c>
      <c r="D347" s="134" t="s">
        <v>725</v>
      </c>
      <c r="E347" s="137" t="s">
        <v>341</v>
      </c>
      <c r="F347" s="137" t="s">
        <v>726</v>
      </c>
      <c r="G347" s="58" t="s">
        <v>163</v>
      </c>
      <c r="H347" s="136">
        <v>600</v>
      </c>
      <c r="I347" s="136" t="s">
        <v>727</v>
      </c>
      <c r="J347" s="136" t="s">
        <v>728</v>
      </c>
      <c r="K347" s="134" t="s">
        <v>532</v>
      </c>
      <c r="L347" s="93" t="s">
        <v>2881</v>
      </c>
      <c r="M347" s="94" t="s">
        <v>3302</v>
      </c>
      <c r="N347" s="95" t="s">
        <v>2870</v>
      </c>
      <c r="O347" s="138">
        <v>15</v>
      </c>
      <c r="P347" s="139">
        <f>1.18/25*O347</f>
        <v>0.70799999999999996</v>
      </c>
      <c r="Q347" s="138" t="s">
        <v>3392</v>
      </c>
      <c r="R347" s="140">
        <v>680</v>
      </c>
      <c r="S347" s="106"/>
      <c r="T347" s="141"/>
      <c r="U347" s="142">
        <f>R347*P347+(350+75+1000+38)/25*O347</f>
        <v>1359.24</v>
      </c>
      <c r="V347" s="113">
        <f t="shared" si="71"/>
        <v>2.2654000000000001</v>
      </c>
      <c r="W347" s="114">
        <f t="shared" si="72"/>
        <v>0.32362857142857143</v>
      </c>
      <c r="X347" s="106"/>
      <c r="Y347" s="106">
        <f>11136.5436/1000*H347</f>
        <v>6681.9261600000009</v>
      </c>
      <c r="Z347" s="102" t="s">
        <v>345</v>
      </c>
      <c r="AA347" s="103">
        <v>45730</v>
      </c>
      <c r="AB347" s="103">
        <v>45740</v>
      </c>
      <c r="AC347" s="103"/>
      <c r="AD347" s="102">
        <f>IF(ISNA(VLOOKUP(D347,亚马逊入库配置费!B:F,5,0)),0,VLOOKUP(D347,亚马逊入库配置费!B:F,5,0))</f>
        <v>0</v>
      </c>
      <c r="AE347" s="102">
        <f t="shared" si="68"/>
        <v>0</v>
      </c>
      <c r="AF347" s="103">
        <v>45763</v>
      </c>
      <c r="AG347" s="91">
        <f t="shared" si="69"/>
        <v>33</v>
      </c>
      <c r="AH347" s="103">
        <v>45763</v>
      </c>
      <c r="AI347" s="103">
        <v>45768</v>
      </c>
      <c r="AJ347" s="96">
        <v>600</v>
      </c>
      <c r="AK347" s="91">
        <f t="shared" si="70"/>
        <v>5</v>
      </c>
      <c r="AL347" s="96">
        <f t="shared" si="75"/>
        <v>38</v>
      </c>
      <c r="AM347" s="92"/>
      <c r="AN347" s="91"/>
      <c r="AO347" s="91"/>
    </row>
    <row r="348" spans="1:41" ht="14.5" x14ac:dyDescent="0.25">
      <c r="A348" s="92" t="s">
        <v>729</v>
      </c>
      <c r="B348" s="91" t="s">
        <v>3393</v>
      </c>
      <c r="C348" s="136" t="s">
        <v>724</v>
      </c>
      <c r="D348" s="134" t="s">
        <v>725</v>
      </c>
      <c r="E348" s="137" t="s">
        <v>341</v>
      </c>
      <c r="F348" s="137" t="s">
        <v>726</v>
      </c>
      <c r="G348" s="58" t="s">
        <v>165</v>
      </c>
      <c r="H348" s="136">
        <v>400</v>
      </c>
      <c r="I348" s="136" t="s">
        <v>727</v>
      </c>
      <c r="J348" s="136" t="s">
        <v>728</v>
      </c>
      <c r="K348" s="134" t="s">
        <v>532</v>
      </c>
      <c r="L348" s="93" t="s">
        <v>2880</v>
      </c>
      <c r="M348" s="94" t="s">
        <v>3209</v>
      </c>
      <c r="N348" s="95" t="s">
        <v>2870</v>
      </c>
      <c r="O348" s="138">
        <v>10</v>
      </c>
      <c r="P348" s="139">
        <f>1.18/25*O348</f>
        <v>0.47199999999999998</v>
      </c>
      <c r="Q348" s="138" t="s">
        <v>3392</v>
      </c>
      <c r="R348" s="140">
        <v>680</v>
      </c>
      <c r="S348" s="106"/>
      <c r="T348" s="141"/>
      <c r="U348" s="142">
        <f>R348*P348+(350+75+1000+38)/25*O348</f>
        <v>906.16000000000008</v>
      </c>
      <c r="V348" s="113">
        <f t="shared" si="71"/>
        <v>2.2654000000000001</v>
      </c>
      <c r="W348" s="114">
        <f t="shared" si="72"/>
        <v>0.32362857142857143</v>
      </c>
      <c r="X348" s="106"/>
      <c r="Y348" s="106">
        <f>11136.5436/1000*H348</f>
        <v>4454.6174400000009</v>
      </c>
      <c r="Z348" s="102" t="s">
        <v>345</v>
      </c>
      <c r="AA348" s="103">
        <v>45730</v>
      </c>
      <c r="AB348" s="103">
        <v>45740</v>
      </c>
      <c r="AC348" s="103"/>
      <c r="AD348" s="102">
        <f>IF(ISNA(VLOOKUP(D348,亚马逊入库配置费!B:F,5,0)),0,VLOOKUP(D348,亚马逊入库配置费!B:F,5,0))</f>
        <v>0</v>
      </c>
      <c r="AE348" s="102">
        <f t="shared" si="68"/>
        <v>0</v>
      </c>
      <c r="AF348" s="103">
        <v>45763</v>
      </c>
      <c r="AG348" s="91">
        <f t="shared" si="69"/>
        <v>33</v>
      </c>
      <c r="AH348" s="103">
        <v>45763</v>
      </c>
      <c r="AI348" s="103">
        <v>45768</v>
      </c>
      <c r="AJ348" s="96">
        <v>393</v>
      </c>
      <c r="AK348" s="91">
        <f t="shared" si="70"/>
        <v>5</v>
      </c>
      <c r="AL348" s="96">
        <f t="shared" si="75"/>
        <v>38</v>
      </c>
      <c r="AM348" s="92"/>
      <c r="AN348" s="91"/>
      <c r="AO348" s="91"/>
    </row>
    <row r="349" spans="1:41" ht="14.5" x14ac:dyDescent="0.25">
      <c r="A349" s="92" t="s">
        <v>730</v>
      </c>
      <c r="B349" s="91"/>
      <c r="C349" s="119" t="s">
        <v>731</v>
      </c>
      <c r="D349" s="120" t="s">
        <v>732</v>
      </c>
      <c r="E349" s="135" t="s">
        <v>254</v>
      </c>
      <c r="F349" s="135" t="s">
        <v>255</v>
      </c>
      <c r="G349" s="58" t="s">
        <v>142</v>
      </c>
      <c r="H349" s="119">
        <v>90</v>
      </c>
      <c r="I349" s="119" t="s">
        <v>207</v>
      </c>
      <c r="J349" s="119" t="s">
        <v>256</v>
      </c>
      <c r="K349" s="120" t="s">
        <v>437</v>
      </c>
      <c r="L349" s="93" t="s">
        <v>3020</v>
      </c>
      <c r="M349" s="94" t="s">
        <v>3295</v>
      </c>
      <c r="N349" s="95" t="s">
        <v>2878</v>
      </c>
      <c r="O349" s="132">
        <v>3</v>
      </c>
      <c r="P349" s="111">
        <f>110/7*O349</f>
        <v>47.142857142857139</v>
      </c>
      <c r="Q349" s="122" t="s">
        <v>16</v>
      </c>
      <c r="R349" s="124">
        <v>5.2</v>
      </c>
      <c r="S349" s="95"/>
      <c r="T349" s="98"/>
      <c r="U349" s="125">
        <f>R349*P349+700/7*O349</f>
        <v>545.14285714285711</v>
      </c>
      <c r="V349" s="113">
        <f t="shared" si="71"/>
        <v>6.0571428571428569</v>
      </c>
      <c r="W349" s="114">
        <f t="shared" si="72"/>
        <v>0.86530612244897953</v>
      </c>
      <c r="X349" s="95"/>
      <c r="Y349" s="95">
        <f>615.2/7*O349</f>
        <v>263.65714285714284</v>
      </c>
      <c r="Z349" s="104" t="s">
        <v>476</v>
      </c>
      <c r="AA349" s="103">
        <v>45729</v>
      </c>
      <c r="AB349" s="103">
        <v>45737</v>
      </c>
      <c r="AC349" s="103"/>
      <c r="AD349" s="102">
        <f>IF(ISNA(VLOOKUP(D349,亚马逊入库配置费!B:F,5,0)),0,VLOOKUP(D349,亚马逊入库配置费!B:F,5,0))</f>
        <v>0</v>
      </c>
      <c r="AE349" s="102">
        <f t="shared" si="68"/>
        <v>0</v>
      </c>
      <c r="AF349" s="103">
        <v>45787</v>
      </c>
      <c r="AG349" s="91">
        <f t="shared" si="69"/>
        <v>58</v>
      </c>
      <c r="AH349" s="103">
        <v>45787</v>
      </c>
      <c r="AI349" s="103">
        <v>45802</v>
      </c>
      <c r="AJ349" s="96">
        <v>90</v>
      </c>
      <c r="AK349" s="91">
        <f t="shared" si="70"/>
        <v>15</v>
      </c>
      <c r="AL349" s="96">
        <f t="shared" si="75"/>
        <v>73</v>
      </c>
      <c r="AM349" s="92"/>
      <c r="AN349" s="91"/>
      <c r="AO349" s="91"/>
    </row>
    <row r="350" spans="1:41" ht="14.5" x14ac:dyDescent="0.25">
      <c r="A350" s="92" t="s">
        <v>733</v>
      </c>
      <c r="B350" s="91"/>
      <c r="C350" s="119" t="s">
        <v>731</v>
      </c>
      <c r="D350" s="120" t="s">
        <v>732</v>
      </c>
      <c r="E350" s="135" t="s">
        <v>254</v>
      </c>
      <c r="F350" s="135" t="s">
        <v>255</v>
      </c>
      <c r="G350" s="58" t="s">
        <v>542</v>
      </c>
      <c r="H350" s="119">
        <v>60</v>
      </c>
      <c r="I350" s="119" t="s">
        <v>207</v>
      </c>
      <c r="J350" s="119" t="s">
        <v>256</v>
      </c>
      <c r="K350" s="120" t="s">
        <v>437</v>
      </c>
      <c r="L350" s="93" t="s">
        <v>3070</v>
      </c>
      <c r="M350" s="94" t="s">
        <v>3369</v>
      </c>
      <c r="N350" s="95" t="s">
        <v>2878</v>
      </c>
      <c r="O350" s="132">
        <v>2</v>
      </c>
      <c r="P350" s="111">
        <f>110/7*O350</f>
        <v>31.428571428571427</v>
      </c>
      <c r="Q350" s="122" t="s">
        <v>16</v>
      </c>
      <c r="R350" s="124">
        <v>5.2</v>
      </c>
      <c r="S350" s="95"/>
      <c r="T350" s="98"/>
      <c r="U350" s="125">
        <f>R350*P350+700/7*O350</f>
        <v>363.42857142857144</v>
      </c>
      <c r="V350" s="113">
        <f t="shared" si="71"/>
        <v>6.0571428571428578</v>
      </c>
      <c r="W350" s="114">
        <f t="shared" si="72"/>
        <v>0.86530612244897964</v>
      </c>
      <c r="X350" s="95"/>
      <c r="Y350" s="95">
        <f>615.2/7*O350</f>
        <v>175.77142857142857</v>
      </c>
      <c r="Z350" s="104" t="s">
        <v>476</v>
      </c>
      <c r="AA350" s="103">
        <v>45729</v>
      </c>
      <c r="AB350" s="103">
        <v>45737</v>
      </c>
      <c r="AC350" s="103"/>
      <c r="AD350" s="102">
        <f>IF(ISNA(VLOOKUP(D350,亚马逊入库配置费!B:F,5,0)),0,VLOOKUP(D350,亚马逊入库配置费!B:F,5,0))</f>
        <v>0</v>
      </c>
      <c r="AE350" s="102">
        <f t="shared" si="68"/>
        <v>0</v>
      </c>
      <c r="AF350" s="103">
        <v>45787</v>
      </c>
      <c r="AG350" s="91">
        <f t="shared" si="69"/>
        <v>58</v>
      </c>
      <c r="AH350" s="103">
        <v>45787</v>
      </c>
      <c r="AI350" s="103">
        <v>45802</v>
      </c>
      <c r="AJ350" s="96">
        <v>60</v>
      </c>
      <c r="AK350" s="91">
        <f t="shared" si="70"/>
        <v>15</v>
      </c>
      <c r="AL350" s="96">
        <f t="shared" si="75"/>
        <v>73</v>
      </c>
      <c r="AM350" s="92"/>
      <c r="AN350" s="91"/>
      <c r="AO350" s="91"/>
    </row>
    <row r="351" spans="1:41" ht="14.5" x14ac:dyDescent="0.25">
      <c r="A351" s="92" t="s">
        <v>734</v>
      </c>
      <c r="B351" s="91"/>
      <c r="C351" s="119" t="s">
        <v>731</v>
      </c>
      <c r="D351" s="120" t="s">
        <v>732</v>
      </c>
      <c r="E351" s="135" t="s">
        <v>254</v>
      </c>
      <c r="F351" s="135" t="s">
        <v>255</v>
      </c>
      <c r="G351" s="58" t="s">
        <v>206</v>
      </c>
      <c r="H351" s="119">
        <v>60</v>
      </c>
      <c r="I351" s="119" t="s">
        <v>207</v>
      </c>
      <c r="J351" s="119" t="s">
        <v>256</v>
      </c>
      <c r="K351" s="120" t="s">
        <v>437</v>
      </c>
      <c r="L351" s="93" t="s">
        <v>3032</v>
      </c>
      <c r="M351" s="94" t="s">
        <v>3310</v>
      </c>
      <c r="N351" s="95" t="s">
        <v>2878</v>
      </c>
      <c r="O351" s="132">
        <v>2</v>
      </c>
      <c r="P351" s="111">
        <f>110/7*O351</f>
        <v>31.428571428571427</v>
      </c>
      <c r="Q351" s="122" t="s">
        <v>16</v>
      </c>
      <c r="R351" s="124">
        <v>5.2</v>
      </c>
      <c r="S351" s="95"/>
      <c r="T351" s="98"/>
      <c r="U351" s="125">
        <f>R351*P351+700/7*O351</f>
        <v>363.42857142857144</v>
      </c>
      <c r="V351" s="113">
        <f t="shared" si="71"/>
        <v>6.0571428571428578</v>
      </c>
      <c r="W351" s="114">
        <f t="shared" si="72"/>
        <v>0.86530612244897964</v>
      </c>
      <c r="X351" s="95"/>
      <c r="Y351" s="95">
        <f>615.2/7*O351</f>
        <v>175.77142857142857</v>
      </c>
      <c r="Z351" s="104" t="s">
        <v>476</v>
      </c>
      <c r="AA351" s="103">
        <v>45729</v>
      </c>
      <c r="AB351" s="103">
        <v>45737</v>
      </c>
      <c r="AC351" s="103"/>
      <c r="AD351" s="102">
        <f>IF(ISNA(VLOOKUP(D351,亚马逊入库配置费!B:F,5,0)),0,VLOOKUP(D351,亚马逊入库配置费!B:F,5,0))</f>
        <v>0</v>
      </c>
      <c r="AE351" s="102">
        <f t="shared" si="68"/>
        <v>0</v>
      </c>
      <c r="AF351" s="103">
        <v>45787</v>
      </c>
      <c r="AG351" s="91">
        <f t="shared" si="69"/>
        <v>58</v>
      </c>
      <c r="AH351" s="103">
        <v>45787</v>
      </c>
      <c r="AI351" s="103">
        <v>45802</v>
      </c>
      <c r="AJ351" s="96">
        <v>60</v>
      </c>
      <c r="AK351" s="91">
        <f t="shared" si="70"/>
        <v>15</v>
      </c>
      <c r="AL351" s="96">
        <f t="shared" si="75"/>
        <v>73</v>
      </c>
      <c r="AM351" s="92"/>
      <c r="AN351" s="91"/>
      <c r="AO351" s="91"/>
    </row>
    <row r="352" spans="1:41" ht="14.5" x14ac:dyDescent="0.25">
      <c r="A352" s="92" t="s">
        <v>735</v>
      </c>
      <c r="B352" s="91"/>
      <c r="C352" s="119" t="s">
        <v>303</v>
      </c>
      <c r="D352" s="120" t="s">
        <v>736</v>
      </c>
      <c r="E352" s="135" t="s">
        <v>115</v>
      </c>
      <c r="F352" s="135" t="s">
        <v>0</v>
      </c>
      <c r="G352" s="58" t="s">
        <v>316</v>
      </c>
      <c r="H352" s="119">
        <v>180</v>
      </c>
      <c r="I352" s="119" t="s">
        <v>306</v>
      </c>
      <c r="J352" s="119" t="s">
        <v>6</v>
      </c>
      <c r="K352" s="120" t="s">
        <v>50</v>
      </c>
      <c r="L352" s="93" t="s">
        <v>3046</v>
      </c>
      <c r="M352" s="94" t="s">
        <v>3333</v>
      </c>
      <c r="N352" s="95" t="s">
        <v>3042</v>
      </c>
      <c r="O352" s="132">
        <v>2</v>
      </c>
      <c r="P352" s="111">
        <f t="shared" ref="P352:P360" si="78">390/20*O352</f>
        <v>39</v>
      </c>
      <c r="Q352" s="122" t="s">
        <v>16</v>
      </c>
      <c r="R352" s="122">
        <v>6.8</v>
      </c>
      <c r="S352" s="95"/>
      <c r="T352" s="98"/>
      <c r="U352" s="125">
        <f t="shared" ref="U352:U360" si="79">R352*P352</f>
        <v>265.2</v>
      </c>
      <c r="V352" s="113">
        <f t="shared" si="71"/>
        <v>1.4733333333333332</v>
      </c>
      <c r="W352" s="114">
        <f t="shared" si="72"/>
        <v>0.21047619047619046</v>
      </c>
      <c r="X352" s="95"/>
      <c r="Y352" s="95"/>
      <c r="Z352" s="102"/>
      <c r="AA352" s="103">
        <v>45731</v>
      </c>
      <c r="AB352" s="103">
        <v>45756</v>
      </c>
      <c r="AC352" s="103"/>
      <c r="AD352" s="102">
        <f>IF(ISNA(VLOOKUP(D352,亚马逊入库配置费!B:F,5,0)),0,VLOOKUP(D352,亚马逊入库配置费!B:F,5,0))</f>
        <v>0.34</v>
      </c>
      <c r="AE352" s="102">
        <f t="shared" si="68"/>
        <v>61.2</v>
      </c>
      <c r="AF352" s="103">
        <v>45780</v>
      </c>
      <c r="AG352" s="91">
        <f t="shared" si="69"/>
        <v>49</v>
      </c>
      <c r="AH352" s="103">
        <v>45780</v>
      </c>
      <c r="AI352" s="103">
        <v>45808</v>
      </c>
      <c r="AJ352" s="96">
        <v>176</v>
      </c>
      <c r="AK352" s="91">
        <f t="shared" si="70"/>
        <v>28</v>
      </c>
      <c r="AL352" s="96">
        <f t="shared" si="75"/>
        <v>77</v>
      </c>
      <c r="AM352" s="92"/>
      <c r="AN352" s="91"/>
      <c r="AO352" s="91"/>
    </row>
    <row r="353" spans="1:41" ht="14.5" x14ac:dyDescent="0.25">
      <c r="A353" s="92" t="s">
        <v>737</v>
      </c>
      <c r="B353" s="91"/>
      <c r="C353" s="119" t="s">
        <v>303</v>
      </c>
      <c r="D353" s="120" t="s">
        <v>736</v>
      </c>
      <c r="E353" s="135" t="s">
        <v>115</v>
      </c>
      <c r="F353" s="135" t="s">
        <v>0</v>
      </c>
      <c r="G353" s="58" t="s">
        <v>648</v>
      </c>
      <c r="H353" s="119">
        <v>90</v>
      </c>
      <c r="I353" s="119" t="s">
        <v>306</v>
      </c>
      <c r="J353" s="119" t="s">
        <v>6</v>
      </c>
      <c r="K353" s="120" t="s">
        <v>50</v>
      </c>
      <c r="L353" s="93" t="s">
        <v>3077</v>
      </c>
      <c r="M353" s="94" t="s">
        <v>3380</v>
      </c>
      <c r="N353" s="95" t="s">
        <v>3042</v>
      </c>
      <c r="O353" s="132">
        <v>1</v>
      </c>
      <c r="P353" s="111">
        <f t="shared" si="78"/>
        <v>19.5</v>
      </c>
      <c r="Q353" s="122" t="s">
        <v>16</v>
      </c>
      <c r="R353" s="122">
        <v>6.8</v>
      </c>
      <c r="S353" s="95"/>
      <c r="T353" s="98"/>
      <c r="U353" s="125">
        <f t="shared" si="79"/>
        <v>132.6</v>
      </c>
      <c r="V353" s="113">
        <f t="shared" si="71"/>
        <v>1.4733333333333332</v>
      </c>
      <c r="W353" s="114">
        <f t="shared" si="72"/>
        <v>0.21047619047619046</v>
      </c>
      <c r="X353" s="95"/>
      <c r="Y353" s="95"/>
      <c r="Z353" s="102"/>
      <c r="AA353" s="103">
        <v>45731</v>
      </c>
      <c r="AB353" s="103">
        <v>45756</v>
      </c>
      <c r="AC353" s="103"/>
      <c r="AD353" s="102">
        <f>IF(ISNA(VLOOKUP(D353,亚马逊入库配置费!B:F,5,0)),0,VLOOKUP(D353,亚马逊入库配置费!B:F,5,0))</f>
        <v>0.34</v>
      </c>
      <c r="AE353" s="102">
        <f t="shared" si="68"/>
        <v>30.6</v>
      </c>
      <c r="AF353" s="103">
        <v>45780</v>
      </c>
      <c r="AG353" s="91">
        <f t="shared" si="69"/>
        <v>49</v>
      </c>
      <c r="AH353" s="103">
        <v>45780</v>
      </c>
      <c r="AI353" s="103">
        <v>45808</v>
      </c>
      <c r="AJ353" s="96">
        <v>0</v>
      </c>
      <c r="AK353" s="91">
        <f t="shared" si="70"/>
        <v>28</v>
      </c>
      <c r="AL353" s="96">
        <f t="shared" si="75"/>
        <v>77</v>
      </c>
      <c r="AM353" s="92"/>
      <c r="AN353" s="91"/>
      <c r="AO353" s="91"/>
    </row>
    <row r="354" spans="1:41" ht="14.5" x14ac:dyDescent="0.25">
      <c r="A354" s="92" t="s">
        <v>738</v>
      </c>
      <c r="B354" s="91"/>
      <c r="C354" s="119" t="s">
        <v>303</v>
      </c>
      <c r="D354" s="120" t="s">
        <v>736</v>
      </c>
      <c r="E354" s="135" t="s">
        <v>115</v>
      </c>
      <c r="F354" s="135" t="s">
        <v>0</v>
      </c>
      <c r="G354" s="58" t="s">
        <v>650</v>
      </c>
      <c r="H354" s="119">
        <v>90</v>
      </c>
      <c r="I354" s="119" t="s">
        <v>306</v>
      </c>
      <c r="J354" s="119" t="s">
        <v>6</v>
      </c>
      <c r="K354" s="120" t="s">
        <v>50</v>
      </c>
      <c r="L354" s="93" t="s">
        <v>3078</v>
      </c>
      <c r="M354" s="94" t="s">
        <v>3381</v>
      </c>
      <c r="N354" s="95" t="s">
        <v>3042</v>
      </c>
      <c r="O354" s="132">
        <v>1</v>
      </c>
      <c r="P354" s="111">
        <f t="shared" si="78"/>
        <v>19.5</v>
      </c>
      <c r="Q354" s="122" t="s">
        <v>16</v>
      </c>
      <c r="R354" s="122">
        <v>6.8</v>
      </c>
      <c r="S354" s="95"/>
      <c r="T354" s="98"/>
      <c r="U354" s="125">
        <f t="shared" si="79"/>
        <v>132.6</v>
      </c>
      <c r="V354" s="113">
        <f t="shared" si="71"/>
        <v>1.4733333333333332</v>
      </c>
      <c r="W354" s="114">
        <f t="shared" si="72"/>
        <v>0.21047619047619046</v>
      </c>
      <c r="X354" s="95"/>
      <c r="Y354" s="95"/>
      <c r="Z354" s="102"/>
      <c r="AA354" s="103">
        <v>45731</v>
      </c>
      <c r="AB354" s="103">
        <v>45756</v>
      </c>
      <c r="AC354" s="103"/>
      <c r="AD354" s="102">
        <f>IF(ISNA(VLOOKUP(D354,亚马逊入库配置费!B:F,5,0)),0,VLOOKUP(D354,亚马逊入库配置费!B:F,5,0))</f>
        <v>0.34</v>
      </c>
      <c r="AE354" s="102">
        <f t="shared" si="68"/>
        <v>30.6</v>
      </c>
      <c r="AF354" s="103">
        <v>45780</v>
      </c>
      <c r="AG354" s="91">
        <f t="shared" si="69"/>
        <v>49</v>
      </c>
      <c r="AH354" s="103">
        <v>45780</v>
      </c>
      <c r="AI354" s="103">
        <v>45808</v>
      </c>
      <c r="AJ354" s="96">
        <v>90</v>
      </c>
      <c r="AK354" s="91">
        <f t="shared" si="70"/>
        <v>28</v>
      </c>
      <c r="AL354" s="96">
        <f t="shared" si="75"/>
        <v>77</v>
      </c>
      <c r="AM354" s="92"/>
      <c r="AN354" s="91"/>
      <c r="AO354" s="91"/>
    </row>
    <row r="355" spans="1:41" ht="14.5" x14ac:dyDescent="0.25">
      <c r="A355" s="92" t="s">
        <v>739</v>
      </c>
      <c r="B355" s="91"/>
      <c r="C355" s="119" t="s">
        <v>303</v>
      </c>
      <c r="D355" s="120" t="s">
        <v>736</v>
      </c>
      <c r="E355" s="135" t="s">
        <v>115</v>
      </c>
      <c r="F355" s="135" t="s">
        <v>0</v>
      </c>
      <c r="G355" s="58" t="s">
        <v>652</v>
      </c>
      <c r="H355" s="119">
        <v>90</v>
      </c>
      <c r="I355" s="119" t="s">
        <v>306</v>
      </c>
      <c r="J355" s="119" t="s">
        <v>6</v>
      </c>
      <c r="K355" s="120" t="s">
        <v>50</v>
      </c>
      <c r="L355" s="93" t="s">
        <v>3079</v>
      </c>
      <c r="M355" s="94" t="s">
        <v>3382</v>
      </c>
      <c r="N355" s="95" t="s">
        <v>3042</v>
      </c>
      <c r="O355" s="132">
        <v>1</v>
      </c>
      <c r="P355" s="111">
        <f t="shared" si="78"/>
        <v>19.5</v>
      </c>
      <c r="Q355" s="122" t="s">
        <v>16</v>
      </c>
      <c r="R355" s="122">
        <v>6.8</v>
      </c>
      <c r="S355" s="95"/>
      <c r="T355" s="98"/>
      <c r="U355" s="125">
        <f t="shared" si="79"/>
        <v>132.6</v>
      </c>
      <c r="V355" s="113">
        <f t="shared" si="71"/>
        <v>1.4733333333333332</v>
      </c>
      <c r="W355" s="114">
        <f t="shared" si="72"/>
        <v>0.21047619047619046</v>
      </c>
      <c r="X355" s="95"/>
      <c r="Y355" s="95"/>
      <c r="Z355" s="102"/>
      <c r="AA355" s="103">
        <v>45731</v>
      </c>
      <c r="AB355" s="103">
        <v>45756</v>
      </c>
      <c r="AC355" s="103"/>
      <c r="AD355" s="102">
        <f>IF(ISNA(VLOOKUP(D355,亚马逊入库配置费!B:F,5,0)),0,VLOOKUP(D355,亚马逊入库配置费!B:F,5,0))</f>
        <v>0.34</v>
      </c>
      <c r="AE355" s="102">
        <f t="shared" si="68"/>
        <v>30.6</v>
      </c>
      <c r="AF355" s="103">
        <v>45780</v>
      </c>
      <c r="AG355" s="91">
        <f t="shared" si="69"/>
        <v>49</v>
      </c>
      <c r="AH355" s="103">
        <v>45780</v>
      </c>
      <c r="AI355" s="103">
        <v>45808</v>
      </c>
      <c r="AJ355" s="96">
        <v>0</v>
      </c>
      <c r="AK355" s="91">
        <f t="shared" si="70"/>
        <v>28</v>
      </c>
      <c r="AL355" s="96">
        <f t="shared" si="75"/>
        <v>77</v>
      </c>
      <c r="AM355" s="92"/>
      <c r="AN355" s="91"/>
      <c r="AO355" s="91"/>
    </row>
    <row r="356" spans="1:41" ht="14.5" x14ac:dyDescent="0.25">
      <c r="A356" s="92" t="s">
        <v>740</v>
      </c>
      <c r="B356" s="91"/>
      <c r="C356" s="119" t="s">
        <v>303</v>
      </c>
      <c r="D356" s="120" t="s">
        <v>736</v>
      </c>
      <c r="E356" s="135" t="s">
        <v>115</v>
      </c>
      <c r="F356" s="135" t="s">
        <v>0</v>
      </c>
      <c r="G356" s="58" t="s">
        <v>526</v>
      </c>
      <c r="H356" s="119">
        <v>630</v>
      </c>
      <c r="I356" s="119" t="s">
        <v>306</v>
      </c>
      <c r="J356" s="119" t="s">
        <v>6</v>
      </c>
      <c r="K356" s="120" t="s">
        <v>50</v>
      </c>
      <c r="L356" s="93" t="s">
        <v>3069</v>
      </c>
      <c r="M356" s="94" t="s">
        <v>3367</v>
      </c>
      <c r="N356" s="95" t="s">
        <v>3042</v>
      </c>
      <c r="O356" s="132">
        <v>7</v>
      </c>
      <c r="P356" s="111">
        <f t="shared" si="78"/>
        <v>136.5</v>
      </c>
      <c r="Q356" s="122" t="s">
        <v>16</v>
      </c>
      <c r="R356" s="122">
        <v>6.8</v>
      </c>
      <c r="S356" s="95"/>
      <c r="T356" s="98"/>
      <c r="U356" s="125">
        <f t="shared" si="79"/>
        <v>928.19999999999993</v>
      </c>
      <c r="V356" s="113">
        <f t="shared" si="71"/>
        <v>1.4733333333333332</v>
      </c>
      <c r="W356" s="114">
        <f t="shared" si="72"/>
        <v>0.21047619047619046</v>
      </c>
      <c r="X356" s="95"/>
      <c r="Y356" s="95"/>
      <c r="Z356" s="102"/>
      <c r="AA356" s="103">
        <v>45731</v>
      </c>
      <c r="AB356" s="103">
        <v>45756</v>
      </c>
      <c r="AC356" s="103"/>
      <c r="AD356" s="102">
        <f>IF(ISNA(VLOOKUP(D356,亚马逊入库配置费!B:F,5,0)),0,VLOOKUP(D356,亚马逊入库配置费!B:F,5,0))</f>
        <v>0.34</v>
      </c>
      <c r="AE356" s="102">
        <f t="shared" si="68"/>
        <v>214.20000000000002</v>
      </c>
      <c r="AF356" s="103">
        <v>45780</v>
      </c>
      <c r="AG356" s="91">
        <f t="shared" si="69"/>
        <v>49</v>
      </c>
      <c r="AH356" s="103">
        <v>45780</v>
      </c>
      <c r="AI356" s="103">
        <v>45808</v>
      </c>
      <c r="AJ356" s="96">
        <v>632</v>
      </c>
      <c r="AK356" s="91">
        <f t="shared" si="70"/>
        <v>28</v>
      </c>
      <c r="AL356" s="96">
        <f t="shared" si="75"/>
        <v>77</v>
      </c>
      <c r="AM356" s="92"/>
      <c r="AN356" s="91"/>
      <c r="AO356" s="91"/>
    </row>
    <row r="357" spans="1:41" ht="14.5" x14ac:dyDescent="0.25">
      <c r="A357" s="92" t="s">
        <v>741</v>
      </c>
      <c r="B357" s="91"/>
      <c r="C357" s="119" t="s">
        <v>303</v>
      </c>
      <c r="D357" s="120" t="s">
        <v>742</v>
      </c>
      <c r="E357" s="135" t="s">
        <v>97</v>
      </c>
      <c r="F357" s="135" t="s">
        <v>0</v>
      </c>
      <c r="G357" s="58" t="s">
        <v>648</v>
      </c>
      <c r="H357" s="119">
        <v>90</v>
      </c>
      <c r="I357" s="119" t="s">
        <v>306</v>
      </c>
      <c r="J357" s="119" t="s">
        <v>6</v>
      </c>
      <c r="K357" s="120" t="s">
        <v>50</v>
      </c>
      <c r="L357" s="93" t="s">
        <v>3077</v>
      </c>
      <c r="M357" s="94" t="s">
        <v>3380</v>
      </c>
      <c r="N357" s="95" t="s">
        <v>3042</v>
      </c>
      <c r="O357" s="132">
        <v>1</v>
      </c>
      <c r="P357" s="111">
        <f t="shared" si="78"/>
        <v>19.5</v>
      </c>
      <c r="Q357" s="122" t="s">
        <v>16</v>
      </c>
      <c r="R357" s="122">
        <v>6.8</v>
      </c>
      <c r="S357" s="95"/>
      <c r="T357" s="98"/>
      <c r="U357" s="125">
        <f t="shared" si="79"/>
        <v>132.6</v>
      </c>
      <c r="V357" s="113">
        <f t="shared" si="71"/>
        <v>1.4733333333333332</v>
      </c>
      <c r="W357" s="114">
        <f t="shared" si="72"/>
        <v>0.21047619047619046</v>
      </c>
      <c r="X357" s="95"/>
      <c r="Y357" s="95"/>
      <c r="Z357" s="102"/>
      <c r="AA357" s="103">
        <v>45731</v>
      </c>
      <c r="AB357" s="103">
        <v>45756</v>
      </c>
      <c r="AC357" s="103"/>
      <c r="AD357" s="102">
        <f>IF(ISNA(VLOOKUP(D357,亚马逊入库配置费!B:F,5,0)),0,VLOOKUP(D357,亚马逊入库配置费!B:F,5,0))</f>
        <v>0.34</v>
      </c>
      <c r="AE357" s="102">
        <f t="shared" si="68"/>
        <v>30.6</v>
      </c>
      <c r="AF357" s="103">
        <v>45780</v>
      </c>
      <c r="AG357" s="91">
        <f t="shared" si="69"/>
        <v>49</v>
      </c>
      <c r="AH357" s="103">
        <v>45780</v>
      </c>
      <c r="AI357" s="103">
        <v>45806</v>
      </c>
      <c r="AJ357" s="96">
        <v>0</v>
      </c>
      <c r="AK357" s="91">
        <f t="shared" si="70"/>
        <v>26</v>
      </c>
      <c r="AL357" s="96">
        <f t="shared" si="75"/>
        <v>75</v>
      </c>
      <c r="AM357" s="92"/>
      <c r="AN357" s="91"/>
      <c r="AO357" s="91"/>
    </row>
    <row r="358" spans="1:41" ht="14.5" x14ac:dyDescent="0.25">
      <c r="A358" s="92" t="s">
        <v>743</v>
      </c>
      <c r="B358" s="91"/>
      <c r="C358" s="119" t="s">
        <v>303</v>
      </c>
      <c r="D358" s="120" t="s">
        <v>742</v>
      </c>
      <c r="E358" s="135" t="s">
        <v>97</v>
      </c>
      <c r="F358" s="135" t="s">
        <v>0</v>
      </c>
      <c r="G358" s="58" t="s">
        <v>650</v>
      </c>
      <c r="H358" s="119">
        <v>90</v>
      </c>
      <c r="I358" s="119" t="s">
        <v>306</v>
      </c>
      <c r="J358" s="119" t="s">
        <v>6</v>
      </c>
      <c r="K358" s="120" t="s">
        <v>50</v>
      </c>
      <c r="L358" s="93" t="s">
        <v>3078</v>
      </c>
      <c r="M358" s="94" t="s">
        <v>3381</v>
      </c>
      <c r="N358" s="95" t="s">
        <v>3042</v>
      </c>
      <c r="O358" s="132">
        <v>1</v>
      </c>
      <c r="P358" s="111">
        <f t="shared" si="78"/>
        <v>19.5</v>
      </c>
      <c r="Q358" s="122" t="s">
        <v>16</v>
      </c>
      <c r="R358" s="122">
        <v>6.8</v>
      </c>
      <c r="S358" s="95"/>
      <c r="T358" s="98"/>
      <c r="U358" s="125">
        <f t="shared" si="79"/>
        <v>132.6</v>
      </c>
      <c r="V358" s="113">
        <f t="shared" si="71"/>
        <v>1.4733333333333332</v>
      </c>
      <c r="W358" s="114">
        <f t="shared" si="72"/>
        <v>0.21047619047619046</v>
      </c>
      <c r="X358" s="95"/>
      <c r="Y358" s="95"/>
      <c r="Z358" s="102"/>
      <c r="AA358" s="103">
        <v>45731</v>
      </c>
      <c r="AB358" s="103">
        <v>45756</v>
      </c>
      <c r="AC358" s="103"/>
      <c r="AD358" s="102">
        <f>IF(ISNA(VLOOKUP(D358,亚马逊入库配置费!B:F,5,0)),0,VLOOKUP(D358,亚马逊入库配置费!B:F,5,0))</f>
        <v>0.34</v>
      </c>
      <c r="AE358" s="102">
        <f t="shared" si="68"/>
        <v>30.6</v>
      </c>
      <c r="AF358" s="103">
        <v>45780</v>
      </c>
      <c r="AG358" s="91">
        <f t="shared" si="69"/>
        <v>49</v>
      </c>
      <c r="AH358" s="103">
        <v>45780</v>
      </c>
      <c r="AI358" s="103">
        <v>45806</v>
      </c>
      <c r="AJ358" s="96">
        <v>71</v>
      </c>
      <c r="AK358" s="91">
        <f t="shared" si="70"/>
        <v>26</v>
      </c>
      <c r="AL358" s="96">
        <f t="shared" si="75"/>
        <v>75</v>
      </c>
      <c r="AM358" s="92"/>
      <c r="AN358" s="91"/>
      <c r="AO358" s="91"/>
    </row>
    <row r="359" spans="1:41" ht="14.5" x14ac:dyDescent="0.25">
      <c r="A359" s="92" t="s">
        <v>744</v>
      </c>
      <c r="B359" s="91"/>
      <c r="C359" s="119" t="s">
        <v>303</v>
      </c>
      <c r="D359" s="120" t="s">
        <v>742</v>
      </c>
      <c r="E359" s="135" t="s">
        <v>97</v>
      </c>
      <c r="F359" s="135" t="s">
        <v>0</v>
      </c>
      <c r="G359" s="58" t="s">
        <v>652</v>
      </c>
      <c r="H359" s="119">
        <v>90</v>
      </c>
      <c r="I359" s="119" t="s">
        <v>306</v>
      </c>
      <c r="J359" s="119" t="s">
        <v>6</v>
      </c>
      <c r="K359" s="120" t="s">
        <v>50</v>
      </c>
      <c r="L359" s="93" t="s">
        <v>3079</v>
      </c>
      <c r="M359" s="94" t="s">
        <v>3382</v>
      </c>
      <c r="N359" s="95" t="s">
        <v>3042</v>
      </c>
      <c r="O359" s="132">
        <v>1</v>
      </c>
      <c r="P359" s="111">
        <f t="shared" si="78"/>
        <v>19.5</v>
      </c>
      <c r="Q359" s="122" t="s">
        <v>16</v>
      </c>
      <c r="R359" s="122">
        <v>6.8</v>
      </c>
      <c r="S359" s="95"/>
      <c r="T359" s="98"/>
      <c r="U359" s="125">
        <f t="shared" si="79"/>
        <v>132.6</v>
      </c>
      <c r="V359" s="113">
        <f t="shared" si="71"/>
        <v>1.4733333333333332</v>
      </c>
      <c r="W359" s="114">
        <f t="shared" si="72"/>
        <v>0.21047619047619046</v>
      </c>
      <c r="X359" s="95"/>
      <c r="Y359" s="95"/>
      <c r="Z359" s="102"/>
      <c r="AA359" s="103">
        <v>45731</v>
      </c>
      <c r="AB359" s="103">
        <v>45756</v>
      </c>
      <c r="AC359" s="103"/>
      <c r="AD359" s="102">
        <f>IF(ISNA(VLOOKUP(D359,亚马逊入库配置费!B:F,5,0)),0,VLOOKUP(D359,亚马逊入库配置费!B:F,5,0))</f>
        <v>0.34</v>
      </c>
      <c r="AE359" s="102">
        <f t="shared" si="68"/>
        <v>30.6</v>
      </c>
      <c r="AF359" s="103">
        <v>45780</v>
      </c>
      <c r="AG359" s="91">
        <f t="shared" si="69"/>
        <v>49</v>
      </c>
      <c r="AH359" s="103">
        <v>45780</v>
      </c>
      <c r="AI359" s="103">
        <v>45806</v>
      </c>
      <c r="AJ359" s="96">
        <v>91</v>
      </c>
      <c r="AK359" s="91">
        <f t="shared" si="70"/>
        <v>26</v>
      </c>
      <c r="AL359" s="96">
        <f t="shared" si="75"/>
        <v>75</v>
      </c>
      <c r="AM359" s="92"/>
      <c r="AN359" s="91"/>
      <c r="AO359" s="91"/>
    </row>
    <row r="360" spans="1:41" ht="14.5" x14ac:dyDescent="0.25">
      <c r="A360" s="92" t="s">
        <v>745</v>
      </c>
      <c r="B360" s="91"/>
      <c r="C360" s="119" t="s">
        <v>303</v>
      </c>
      <c r="D360" s="120" t="s">
        <v>742</v>
      </c>
      <c r="E360" s="135" t="s">
        <v>97</v>
      </c>
      <c r="F360" s="135" t="s">
        <v>0</v>
      </c>
      <c r="G360" s="58" t="s">
        <v>526</v>
      </c>
      <c r="H360" s="119">
        <v>450</v>
      </c>
      <c r="I360" s="119" t="s">
        <v>306</v>
      </c>
      <c r="J360" s="119" t="s">
        <v>6</v>
      </c>
      <c r="K360" s="120" t="s">
        <v>50</v>
      </c>
      <c r="L360" s="93" t="s">
        <v>3069</v>
      </c>
      <c r="M360" s="94" t="s">
        <v>3367</v>
      </c>
      <c r="N360" s="95" t="s">
        <v>3042</v>
      </c>
      <c r="O360" s="132">
        <v>5</v>
      </c>
      <c r="P360" s="111">
        <f t="shared" si="78"/>
        <v>97.5</v>
      </c>
      <c r="Q360" s="122" t="s">
        <v>16</v>
      </c>
      <c r="R360" s="122">
        <v>6.8</v>
      </c>
      <c r="S360" s="95"/>
      <c r="T360" s="98"/>
      <c r="U360" s="125">
        <f t="shared" si="79"/>
        <v>663</v>
      </c>
      <c r="V360" s="113">
        <f t="shared" si="71"/>
        <v>1.4733333333333334</v>
      </c>
      <c r="W360" s="114">
        <f t="shared" si="72"/>
        <v>0.21047619047619048</v>
      </c>
      <c r="X360" s="95"/>
      <c r="Y360" s="95"/>
      <c r="Z360" s="102"/>
      <c r="AA360" s="103">
        <v>45731</v>
      </c>
      <c r="AB360" s="103">
        <v>45756</v>
      </c>
      <c r="AC360" s="103"/>
      <c r="AD360" s="102">
        <f>IF(ISNA(VLOOKUP(D360,亚马逊入库配置费!B:F,5,0)),0,VLOOKUP(D360,亚马逊入库配置费!B:F,5,0))</f>
        <v>0.34</v>
      </c>
      <c r="AE360" s="102">
        <f t="shared" si="68"/>
        <v>153</v>
      </c>
      <c r="AF360" s="103">
        <v>45780</v>
      </c>
      <c r="AG360" s="91">
        <f t="shared" si="69"/>
        <v>49</v>
      </c>
      <c r="AH360" s="103">
        <v>45780</v>
      </c>
      <c r="AI360" s="103">
        <v>45806</v>
      </c>
      <c r="AJ360" s="96">
        <v>449</v>
      </c>
      <c r="AK360" s="91">
        <f t="shared" si="70"/>
        <v>26</v>
      </c>
      <c r="AL360" s="96">
        <f t="shared" si="75"/>
        <v>75</v>
      </c>
      <c r="AM360" s="92"/>
      <c r="AN360" s="91"/>
      <c r="AO360" s="91"/>
    </row>
    <row r="361" spans="1:41" ht="14.5" x14ac:dyDescent="0.25">
      <c r="A361" s="92" t="s">
        <v>746</v>
      </c>
      <c r="B361" s="143"/>
      <c r="C361" s="119" t="s">
        <v>747</v>
      </c>
      <c r="D361" s="120" t="s">
        <v>748</v>
      </c>
      <c r="E361" s="135" t="s">
        <v>97</v>
      </c>
      <c r="F361" s="135" t="s">
        <v>0</v>
      </c>
      <c r="G361" s="58" t="s">
        <v>228</v>
      </c>
      <c r="H361" s="119">
        <v>360</v>
      </c>
      <c r="I361" s="119" t="s">
        <v>89</v>
      </c>
      <c r="J361" s="119" t="s">
        <v>8</v>
      </c>
      <c r="K361" s="120" t="s">
        <v>17</v>
      </c>
      <c r="L361" s="93" t="s">
        <v>3036</v>
      </c>
      <c r="M361" s="94" t="s">
        <v>3315</v>
      </c>
      <c r="N361" s="95" t="s">
        <v>2870</v>
      </c>
      <c r="O361" s="132">
        <v>18</v>
      </c>
      <c r="P361" s="111">
        <f t="shared" ref="P361:P369" si="80">767/54*O361</f>
        <v>255.66666666666669</v>
      </c>
      <c r="Q361" s="122" t="s">
        <v>16</v>
      </c>
      <c r="R361" s="122">
        <v>5.3</v>
      </c>
      <c r="S361" s="95"/>
      <c r="T361" s="98"/>
      <c r="U361" s="125">
        <f t="shared" ref="U361:U373" si="81">R361*P361+350/91*O361</f>
        <v>1424.2641025641026</v>
      </c>
      <c r="V361" s="113">
        <f t="shared" si="71"/>
        <v>3.9562891737891737</v>
      </c>
      <c r="W361" s="114">
        <f t="shared" si="72"/>
        <v>0.56518416768416768</v>
      </c>
      <c r="X361" s="95"/>
      <c r="Y361" s="95"/>
      <c r="Z361" s="102"/>
      <c r="AA361" s="103">
        <v>45731</v>
      </c>
      <c r="AB361" s="103">
        <v>45752</v>
      </c>
      <c r="AC361" s="103"/>
      <c r="AD361" s="102">
        <f>IF(ISNA(VLOOKUP(D361,亚马逊入库配置费!B:F,5,0)),0,VLOOKUP(D361,亚马逊入库配置费!B:F,5,0))</f>
        <v>0.391169590643275</v>
      </c>
      <c r="AE361" s="102">
        <f t="shared" si="68"/>
        <v>140.82105263157899</v>
      </c>
      <c r="AF361" s="103">
        <v>45768</v>
      </c>
      <c r="AG361" s="91">
        <f t="shared" si="69"/>
        <v>37</v>
      </c>
      <c r="AH361" s="103">
        <v>45768</v>
      </c>
      <c r="AI361" s="103">
        <v>45841</v>
      </c>
      <c r="AJ361" s="96">
        <v>335</v>
      </c>
      <c r="AK361" s="91">
        <f t="shared" si="70"/>
        <v>73</v>
      </c>
      <c r="AL361" s="96">
        <f t="shared" si="75"/>
        <v>110</v>
      </c>
      <c r="AM361" s="92"/>
      <c r="AN361" s="91"/>
      <c r="AO361" s="91"/>
    </row>
    <row r="362" spans="1:41" ht="14.5" x14ac:dyDescent="0.25">
      <c r="A362" s="92" t="s">
        <v>749</v>
      </c>
      <c r="B362" s="143"/>
      <c r="C362" s="119" t="s">
        <v>747</v>
      </c>
      <c r="D362" s="120" t="s">
        <v>748</v>
      </c>
      <c r="E362" s="135" t="s">
        <v>97</v>
      </c>
      <c r="F362" s="135" t="s">
        <v>0</v>
      </c>
      <c r="G362" s="58" t="s">
        <v>231</v>
      </c>
      <c r="H362" s="119">
        <v>200</v>
      </c>
      <c r="I362" s="119" t="s">
        <v>89</v>
      </c>
      <c r="J362" s="119" t="s">
        <v>8</v>
      </c>
      <c r="K362" s="120" t="s">
        <v>17</v>
      </c>
      <c r="L362" s="93" t="s">
        <v>3037</v>
      </c>
      <c r="M362" s="94" t="s">
        <v>3207</v>
      </c>
      <c r="N362" s="95" t="s">
        <v>2870</v>
      </c>
      <c r="O362" s="132">
        <v>10</v>
      </c>
      <c r="P362" s="111">
        <f t="shared" si="80"/>
        <v>142.03703703703704</v>
      </c>
      <c r="Q362" s="122" t="s">
        <v>16</v>
      </c>
      <c r="R362" s="122">
        <v>5.3</v>
      </c>
      <c r="S362" s="95"/>
      <c r="T362" s="98"/>
      <c r="U362" s="125">
        <f t="shared" si="81"/>
        <v>791.25783475783476</v>
      </c>
      <c r="V362" s="113">
        <f t="shared" si="71"/>
        <v>3.9562891737891737</v>
      </c>
      <c r="W362" s="114">
        <f t="shared" si="72"/>
        <v>0.56518416768416768</v>
      </c>
      <c r="X362" s="95"/>
      <c r="Y362" s="95"/>
      <c r="Z362" s="102"/>
      <c r="AA362" s="103">
        <v>45731</v>
      </c>
      <c r="AB362" s="103">
        <v>45752</v>
      </c>
      <c r="AC362" s="103"/>
      <c r="AD362" s="102">
        <f>IF(ISNA(VLOOKUP(D362,亚马逊入库配置费!B:F,5,0)),0,VLOOKUP(D362,亚马逊入库配置费!B:F,5,0))</f>
        <v>0.391169590643275</v>
      </c>
      <c r="AE362" s="102">
        <f t="shared" si="68"/>
        <v>78.233918128655006</v>
      </c>
      <c r="AF362" s="103">
        <v>45768</v>
      </c>
      <c r="AG362" s="91">
        <f t="shared" si="69"/>
        <v>37</v>
      </c>
      <c r="AH362" s="103">
        <v>45768</v>
      </c>
      <c r="AI362" s="103">
        <v>45841</v>
      </c>
      <c r="AJ362" s="96">
        <v>200</v>
      </c>
      <c r="AK362" s="91">
        <f t="shared" si="70"/>
        <v>73</v>
      </c>
      <c r="AL362" s="96">
        <f t="shared" si="75"/>
        <v>110</v>
      </c>
      <c r="AM362" s="92"/>
      <c r="AN362" s="91"/>
      <c r="AO362" s="91"/>
    </row>
    <row r="363" spans="1:41" ht="14.5" x14ac:dyDescent="0.25">
      <c r="A363" s="92" t="s">
        <v>750</v>
      </c>
      <c r="B363" s="143"/>
      <c r="C363" s="119" t="s">
        <v>747</v>
      </c>
      <c r="D363" s="120" t="s">
        <v>748</v>
      </c>
      <c r="E363" s="135" t="s">
        <v>97</v>
      </c>
      <c r="F363" s="135" t="s">
        <v>0</v>
      </c>
      <c r="G363" s="58" t="s">
        <v>169</v>
      </c>
      <c r="H363" s="119">
        <v>180</v>
      </c>
      <c r="I363" s="119" t="s">
        <v>89</v>
      </c>
      <c r="J363" s="119" t="s">
        <v>8</v>
      </c>
      <c r="K363" s="120" t="s">
        <v>17</v>
      </c>
      <c r="L363" s="93" t="s">
        <v>3026</v>
      </c>
      <c r="M363" s="94" t="s">
        <v>3211</v>
      </c>
      <c r="N363" s="95" t="s">
        <v>2876</v>
      </c>
      <c r="O363" s="132">
        <v>6</v>
      </c>
      <c r="P363" s="111">
        <f t="shared" si="80"/>
        <v>85.222222222222229</v>
      </c>
      <c r="Q363" s="122" t="s">
        <v>16</v>
      </c>
      <c r="R363" s="122">
        <v>5.3</v>
      </c>
      <c r="S363" s="95"/>
      <c r="T363" s="98"/>
      <c r="U363" s="125">
        <f t="shared" si="81"/>
        <v>474.7547008547009</v>
      </c>
      <c r="V363" s="113">
        <f t="shared" si="71"/>
        <v>2.6375261158594494</v>
      </c>
      <c r="W363" s="114">
        <f t="shared" si="72"/>
        <v>0.37678944512277851</v>
      </c>
      <c r="X363" s="95"/>
      <c r="Y363" s="95"/>
      <c r="Z363" s="102"/>
      <c r="AA363" s="103">
        <v>45731</v>
      </c>
      <c r="AB363" s="103">
        <v>45752</v>
      </c>
      <c r="AC363" s="103"/>
      <c r="AD363" s="102">
        <f>IF(ISNA(VLOOKUP(D363,亚马逊入库配置费!B:F,5,0)),0,VLOOKUP(D363,亚马逊入库配置费!B:F,5,0))</f>
        <v>0.391169590643275</v>
      </c>
      <c r="AE363" s="102">
        <f t="shared" si="68"/>
        <v>70.410526315789497</v>
      </c>
      <c r="AF363" s="103">
        <v>45768</v>
      </c>
      <c r="AG363" s="91">
        <f t="shared" si="69"/>
        <v>37</v>
      </c>
      <c r="AH363" s="103">
        <v>45768</v>
      </c>
      <c r="AI363" s="103">
        <v>45841</v>
      </c>
      <c r="AJ363" s="96">
        <v>180</v>
      </c>
      <c r="AK363" s="91">
        <f t="shared" si="70"/>
        <v>73</v>
      </c>
      <c r="AL363" s="96">
        <f t="shared" si="75"/>
        <v>110</v>
      </c>
      <c r="AM363" s="92"/>
      <c r="AN363" s="91"/>
      <c r="AO363" s="91"/>
    </row>
    <row r="364" spans="1:41" ht="14.5" x14ac:dyDescent="0.25">
      <c r="A364" s="92" t="s">
        <v>751</v>
      </c>
      <c r="B364" s="143"/>
      <c r="C364" s="119" t="s">
        <v>747</v>
      </c>
      <c r="D364" s="120" t="s">
        <v>748</v>
      </c>
      <c r="E364" s="135" t="s">
        <v>97</v>
      </c>
      <c r="F364" s="135" t="s">
        <v>0</v>
      </c>
      <c r="G364" s="58" t="s">
        <v>173</v>
      </c>
      <c r="H364" s="119">
        <v>360</v>
      </c>
      <c r="I364" s="119" t="s">
        <v>89</v>
      </c>
      <c r="J364" s="119" t="s">
        <v>8</v>
      </c>
      <c r="K364" s="120" t="s">
        <v>17</v>
      </c>
      <c r="L364" s="93" t="s">
        <v>3028</v>
      </c>
      <c r="M364" s="94" t="s">
        <v>3304</v>
      </c>
      <c r="N364" s="95" t="s">
        <v>2876</v>
      </c>
      <c r="O364" s="132">
        <v>12</v>
      </c>
      <c r="P364" s="111">
        <f t="shared" si="80"/>
        <v>170.44444444444446</v>
      </c>
      <c r="Q364" s="122" t="s">
        <v>16</v>
      </c>
      <c r="R364" s="122">
        <v>5.3</v>
      </c>
      <c r="S364" s="95"/>
      <c r="T364" s="98"/>
      <c r="U364" s="125">
        <f t="shared" si="81"/>
        <v>949.5094017094018</v>
      </c>
      <c r="V364" s="113">
        <f t="shared" si="71"/>
        <v>2.6375261158594494</v>
      </c>
      <c r="W364" s="114">
        <f t="shared" si="72"/>
        <v>0.37678944512277851</v>
      </c>
      <c r="X364" s="95"/>
      <c r="Y364" s="95"/>
      <c r="Z364" s="102"/>
      <c r="AA364" s="103">
        <v>45731</v>
      </c>
      <c r="AB364" s="103">
        <v>45752</v>
      </c>
      <c r="AC364" s="103"/>
      <c r="AD364" s="102">
        <f>IF(ISNA(VLOOKUP(D364,亚马逊入库配置费!B:F,5,0)),0,VLOOKUP(D364,亚马逊入库配置费!B:F,5,0))</f>
        <v>0.391169590643275</v>
      </c>
      <c r="AE364" s="102">
        <f t="shared" si="68"/>
        <v>140.82105263157899</v>
      </c>
      <c r="AF364" s="103">
        <v>45768</v>
      </c>
      <c r="AG364" s="91">
        <f t="shared" si="69"/>
        <v>37</v>
      </c>
      <c r="AH364" s="103">
        <v>45768</v>
      </c>
      <c r="AI364" s="103">
        <v>45841</v>
      </c>
      <c r="AJ364" s="96">
        <v>360</v>
      </c>
      <c r="AK364" s="91">
        <f t="shared" si="70"/>
        <v>73</v>
      </c>
      <c r="AL364" s="96">
        <f t="shared" si="75"/>
        <v>110</v>
      </c>
      <c r="AM364" s="92"/>
      <c r="AN364" s="91"/>
      <c r="AO364" s="91"/>
    </row>
    <row r="365" spans="1:41" ht="14.5" x14ac:dyDescent="0.25">
      <c r="A365" s="92" t="s">
        <v>752</v>
      </c>
      <c r="B365" s="143"/>
      <c r="C365" s="119" t="s">
        <v>747</v>
      </c>
      <c r="D365" s="120" t="s">
        <v>748</v>
      </c>
      <c r="E365" s="135" t="s">
        <v>97</v>
      </c>
      <c r="F365" s="135" t="s">
        <v>0</v>
      </c>
      <c r="G365" s="58" t="s">
        <v>180</v>
      </c>
      <c r="H365" s="119">
        <v>150</v>
      </c>
      <c r="I365" s="119" t="s">
        <v>89</v>
      </c>
      <c r="J365" s="119" t="s">
        <v>8</v>
      </c>
      <c r="K365" s="120" t="s">
        <v>17</v>
      </c>
      <c r="L365" s="93" t="s">
        <v>3031</v>
      </c>
      <c r="M365" s="94" t="s">
        <v>3213</v>
      </c>
      <c r="N365" s="95" t="s">
        <v>2876</v>
      </c>
      <c r="O365" s="132">
        <v>5</v>
      </c>
      <c r="P365" s="111">
        <f t="shared" si="80"/>
        <v>71.018518518518519</v>
      </c>
      <c r="Q365" s="122" t="s">
        <v>16</v>
      </c>
      <c r="R365" s="122">
        <v>5.3</v>
      </c>
      <c r="S365" s="95"/>
      <c r="T365" s="98"/>
      <c r="U365" s="125">
        <f t="shared" si="81"/>
        <v>395.62891737891738</v>
      </c>
      <c r="V365" s="113">
        <f t="shared" si="71"/>
        <v>2.6375261158594494</v>
      </c>
      <c r="W365" s="114">
        <f t="shared" si="72"/>
        <v>0.37678944512277851</v>
      </c>
      <c r="X365" s="95"/>
      <c r="Y365" s="95"/>
      <c r="Z365" s="102"/>
      <c r="AA365" s="103">
        <v>45731</v>
      </c>
      <c r="AB365" s="103">
        <v>45752</v>
      </c>
      <c r="AC365" s="103"/>
      <c r="AD365" s="102">
        <f>IF(ISNA(VLOOKUP(D365,亚马逊入库配置费!B:F,5,0)),0,VLOOKUP(D365,亚马逊入库配置费!B:F,5,0))</f>
        <v>0.391169590643275</v>
      </c>
      <c r="AE365" s="102">
        <f t="shared" si="68"/>
        <v>58.675438596491247</v>
      </c>
      <c r="AF365" s="103">
        <v>45768</v>
      </c>
      <c r="AG365" s="91">
        <f t="shared" si="69"/>
        <v>37</v>
      </c>
      <c r="AH365" s="103">
        <v>45768</v>
      </c>
      <c r="AI365" s="103">
        <v>45841</v>
      </c>
      <c r="AJ365" s="96">
        <v>154</v>
      </c>
      <c r="AK365" s="91">
        <f t="shared" si="70"/>
        <v>73</v>
      </c>
      <c r="AL365" s="96">
        <f t="shared" si="75"/>
        <v>110</v>
      </c>
      <c r="AM365" s="92"/>
      <c r="AN365" s="91"/>
      <c r="AO365" s="91"/>
    </row>
    <row r="366" spans="1:41" ht="14.5" x14ac:dyDescent="0.25">
      <c r="A366" s="92" t="s">
        <v>753</v>
      </c>
      <c r="B366" s="143"/>
      <c r="C366" s="119" t="s">
        <v>747</v>
      </c>
      <c r="D366" s="120" t="s">
        <v>748</v>
      </c>
      <c r="E366" s="135" t="s">
        <v>97</v>
      </c>
      <c r="F366" s="135" t="s">
        <v>0</v>
      </c>
      <c r="G366" s="58" t="s">
        <v>496</v>
      </c>
      <c r="H366" s="119">
        <v>60</v>
      </c>
      <c r="I366" s="119" t="s">
        <v>89</v>
      </c>
      <c r="J366" s="119" t="s">
        <v>8</v>
      </c>
      <c r="K366" s="120" t="s">
        <v>17</v>
      </c>
      <c r="L366" s="93" t="s">
        <v>3067</v>
      </c>
      <c r="M366" s="94" t="s">
        <v>3360</v>
      </c>
      <c r="N366" s="95" t="s">
        <v>3068</v>
      </c>
      <c r="O366" s="132">
        <v>1</v>
      </c>
      <c r="P366" s="111">
        <f t="shared" si="80"/>
        <v>14.203703703703704</v>
      </c>
      <c r="Q366" s="122" t="s">
        <v>16</v>
      </c>
      <c r="R366" s="122">
        <v>5.3</v>
      </c>
      <c r="S366" s="95"/>
      <c r="T366" s="98"/>
      <c r="U366" s="125">
        <f t="shared" si="81"/>
        <v>79.125783475783464</v>
      </c>
      <c r="V366" s="113">
        <f t="shared" si="71"/>
        <v>1.3187630579297245</v>
      </c>
      <c r="W366" s="114">
        <f t="shared" si="72"/>
        <v>0.1883947225613892</v>
      </c>
      <c r="X366" s="95"/>
      <c r="Y366" s="95"/>
      <c r="Z366" s="102"/>
      <c r="AA366" s="103">
        <v>45731</v>
      </c>
      <c r="AB366" s="103">
        <v>45752</v>
      </c>
      <c r="AC366" s="103"/>
      <c r="AD366" s="102">
        <f>IF(ISNA(VLOOKUP(D366,亚马逊入库配置费!B:F,5,0)),0,VLOOKUP(D366,亚马逊入库配置费!B:F,5,0))</f>
        <v>0.391169590643275</v>
      </c>
      <c r="AE366" s="102">
        <f t="shared" si="68"/>
        <v>23.470175438596499</v>
      </c>
      <c r="AF366" s="103">
        <v>45768</v>
      </c>
      <c r="AG366" s="91">
        <f t="shared" si="69"/>
        <v>37</v>
      </c>
      <c r="AH366" s="103">
        <v>45768</v>
      </c>
      <c r="AI366" s="103">
        <v>45841</v>
      </c>
      <c r="AJ366" s="96">
        <v>310</v>
      </c>
      <c r="AK366" s="91">
        <f t="shared" si="70"/>
        <v>73</v>
      </c>
      <c r="AL366" s="96">
        <f t="shared" si="75"/>
        <v>110</v>
      </c>
      <c r="AM366" s="92"/>
      <c r="AN366" s="91"/>
      <c r="AO366" s="91"/>
    </row>
    <row r="367" spans="1:41" ht="14.5" x14ac:dyDescent="0.25">
      <c r="A367" s="92" t="s">
        <v>754</v>
      </c>
      <c r="B367" s="143"/>
      <c r="C367" s="119" t="s">
        <v>747</v>
      </c>
      <c r="D367" s="120" t="s">
        <v>748</v>
      </c>
      <c r="E367" s="135" t="s">
        <v>97</v>
      </c>
      <c r="F367" s="135" t="s">
        <v>0</v>
      </c>
      <c r="G367" s="58" t="s">
        <v>355</v>
      </c>
      <c r="H367" s="119">
        <v>200</v>
      </c>
      <c r="I367" s="119" t="s">
        <v>89</v>
      </c>
      <c r="J367" s="119" t="s">
        <v>8</v>
      </c>
      <c r="K367" s="120" t="s">
        <v>17</v>
      </c>
      <c r="L367" s="93" t="s">
        <v>2712</v>
      </c>
      <c r="M367" s="94" t="s">
        <v>3216</v>
      </c>
      <c r="N367" s="95" t="s">
        <v>3050</v>
      </c>
      <c r="O367" s="132">
        <v>1</v>
      </c>
      <c r="P367" s="111">
        <f t="shared" si="80"/>
        <v>14.203703703703704</v>
      </c>
      <c r="Q367" s="122" t="s">
        <v>16</v>
      </c>
      <c r="R367" s="122">
        <v>5.3</v>
      </c>
      <c r="S367" s="95"/>
      <c r="T367" s="98"/>
      <c r="U367" s="125">
        <f t="shared" si="81"/>
        <v>79.125783475783464</v>
      </c>
      <c r="V367" s="113">
        <f t="shared" si="71"/>
        <v>0.39562891737891731</v>
      </c>
      <c r="W367" s="114">
        <f t="shared" si="72"/>
        <v>5.6518416768416756E-2</v>
      </c>
      <c r="X367" s="95"/>
      <c r="Y367" s="95"/>
      <c r="Z367" s="102"/>
      <c r="AA367" s="103">
        <v>45731</v>
      </c>
      <c r="AB367" s="103">
        <v>45752</v>
      </c>
      <c r="AC367" s="103"/>
      <c r="AD367" s="102">
        <f>IF(ISNA(VLOOKUP(D367,亚马逊入库配置费!B:F,5,0)),0,VLOOKUP(D367,亚马逊入库配置费!B:F,5,0))</f>
        <v>0.391169590643275</v>
      </c>
      <c r="AE367" s="102">
        <f t="shared" si="68"/>
        <v>78.233918128655006</v>
      </c>
      <c r="AF367" s="103">
        <v>45768</v>
      </c>
      <c r="AG367" s="91">
        <f t="shared" si="69"/>
        <v>37</v>
      </c>
      <c r="AH367" s="103">
        <v>45768</v>
      </c>
      <c r="AI367" s="103">
        <v>45841</v>
      </c>
      <c r="AJ367" s="96">
        <v>200</v>
      </c>
      <c r="AK367" s="91">
        <f t="shared" si="70"/>
        <v>73</v>
      </c>
      <c r="AL367" s="96">
        <f t="shared" si="75"/>
        <v>110</v>
      </c>
      <c r="AM367" s="92"/>
      <c r="AN367" s="91"/>
      <c r="AO367" s="91"/>
    </row>
    <row r="368" spans="1:41" ht="14.5" x14ac:dyDescent="0.25">
      <c r="A368" s="92" t="s">
        <v>755</v>
      </c>
      <c r="B368" s="143"/>
      <c r="C368" s="119" t="s">
        <v>747</v>
      </c>
      <c r="D368" s="120" t="s">
        <v>748</v>
      </c>
      <c r="E368" s="135" t="s">
        <v>97</v>
      </c>
      <c r="F368" s="135" t="s">
        <v>0</v>
      </c>
      <c r="G368" s="58" t="s">
        <v>355</v>
      </c>
      <c r="H368" s="119">
        <v>100</v>
      </c>
      <c r="I368" s="119" t="s">
        <v>89</v>
      </c>
      <c r="J368" s="119" t="s">
        <v>8</v>
      </c>
      <c r="K368" s="120" t="s">
        <v>17</v>
      </c>
      <c r="L368" s="93" t="s">
        <v>2712</v>
      </c>
      <c r="M368" s="94" t="s">
        <v>3216</v>
      </c>
      <c r="N368" s="95" t="s">
        <v>3050</v>
      </c>
      <c r="O368" s="132">
        <v>0.5</v>
      </c>
      <c r="P368" s="111">
        <f t="shared" si="80"/>
        <v>7.1018518518518521</v>
      </c>
      <c r="Q368" s="122" t="s">
        <v>16</v>
      </c>
      <c r="R368" s="122">
        <v>5.3</v>
      </c>
      <c r="S368" s="95"/>
      <c r="T368" s="98"/>
      <c r="U368" s="125">
        <f t="shared" si="81"/>
        <v>39.562891737891732</v>
      </c>
      <c r="V368" s="113">
        <f t="shared" si="71"/>
        <v>0.39562891737891731</v>
      </c>
      <c r="W368" s="114">
        <f t="shared" si="72"/>
        <v>5.6518416768416756E-2</v>
      </c>
      <c r="X368" s="95"/>
      <c r="Y368" s="95"/>
      <c r="Z368" s="102"/>
      <c r="AA368" s="103">
        <v>45731</v>
      </c>
      <c r="AB368" s="103">
        <v>45752</v>
      </c>
      <c r="AC368" s="103"/>
      <c r="AD368" s="102">
        <f>IF(ISNA(VLOOKUP(D368,亚马逊入库配置费!B:F,5,0)),0,VLOOKUP(D368,亚马逊入库配置费!B:F,5,0))</f>
        <v>0.391169590643275</v>
      </c>
      <c r="AE368" s="102">
        <f t="shared" si="68"/>
        <v>39.116959064327503</v>
      </c>
      <c r="AF368" s="103">
        <v>45768</v>
      </c>
      <c r="AG368" s="91">
        <f t="shared" si="69"/>
        <v>37</v>
      </c>
      <c r="AH368" s="103">
        <v>45768</v>
      </c>
      <c r="AI368" s="103">
        <v>45841</v>
      </c>
      <c r="AJ368" s="96">
        <v>110</v>
      </c>
      <c r="AK368" s="91">
        <f t="shared" si="70"/>
        <v>73</v>
      </c>
      <c r="AL368" s="96">
        <f t="shared" si="75"/>
        <v>110</v>
      </c>
      <c r="AM368" s="92"/>
      <c r="AN368" s="91"/>
      <c r="AO368" s="91"/>
    </row>
    <row r="369" spans="1:41" ht="14.5" x14ac:dyDescent="0.25">
      <c r="A369" s="92" t="s">
        <v>756</v>
      </c>
      <c r="B369" s="143"/>
      <c r="C369" s="119" t="s">
        <v>747</v>
      </c>
      <c r="D369" s="120" t="s">
        <v>748</v>
      </c>
      <c r="E369" s="135" t="s">
        <v>97</v>
      </c>
      <c r="F369" s="135" t="s">
        <v>0</v>
      </c>
      <c r="G369" s="58" t="s">
        <v>357</v>
      </c>
      <c r="H369" s="119">
        <v>100</v>
      </c>
      <c r="I369" s="119" t="s">
        <v>89</v>
      </c>
      <c r="J369" s="119" t="s">
        <v>8</v>
      </c>
      <c r="K369" s="120" t="s">
        <v>17</v>
      </c>
      <c r="L369" s="93" t="s">
        <v>3051</v>
      </c>
      <c r="M369" s="94" t="s">
        <v>3337</v>
      </c>
      <c r="N369" s="95" t="s">
        <v>3050</v>
      </c>
      <c r="O369" s="132">
        <v>0.5</v>
      </c>
      <c r="P369" s="111">
        <f t="shared" si="80"/>
        <v>7.1018518518518521</v>
      </c>
      <c r="Q369" s="122" t="s">
        <v>16</v>
      </c>
      <c r="R369" s="122">
        <v>5.3</v>
      </c>
      <c r="S369" s="95"/>
      <c r="T369" s="98"/>
      <c r="U369" s="125">
        <f t="shared" si="81"/>
        <v>39.562891737891732</v>
      </c>
      <c r="V369" s="113">
        <f t="shared" si="71"/>
        <v>0.39562891737891731</v>
      </c>
      <c r="W369" s="114">
        <f t="shared" si="72"/>
        <v>5.6518416768416756E-2</v>
      </c>
      <c r="X369" s="95"/>
      <c r="Y369" s="95"/>
      <c r="Z369" s="102"/>
      <c r="AA369" s="103">
        <v>45731</v>
      </c>
      <c r="AB369" s="103">
        <v>45752</v>
      </c>
      <c r="AC369" s="103"/>
      <c r="AD369" s="102">
        <f>IF(ISNA(VLOOKUP(D369,亚马逊入库配置费!B:F,5,0)),0,VLOOKUP(D369,亚马逊入库配置费!B:F,5,0))</f>
        <v>0.391169590643275</v>
      </c>
      <c r="AE369" s="102">
        <f t="shared" si="68"/>
        <v>39.116959064327503</v>
      </c>
      <c r="AF369" s="103">
        <v>45768</v>
      </c>
      <c r="AG369" s="91">
        <f t="shared" si="69"/>
        <v>37</v>
      </c>
      <c r="AH369" s="103">
        <v>45768</v>
      </c>
      <c r="AI369" s="103">
        <v>45841</v>
      </c>
      <c r="AJ369" s="96">
        <v>101</v>
      </c>
      <c r="AK369" s="91">
        <f t="shared" si="70"/>
        <v>73</v>
      </c>
      <c r="AL369" s="96">
        <f t="shared" si="75"/>
        <v>110</v>
      </c>
      <c r="AM369" s="92"/>
      <c r="AN369" s="91"/>
      <c r="AO369" s="91"/>
    </row>
    <row r="370" spans="1:41" ht="14.5" x14ac:dyDescent="0.25">
      <c r="A370" s="92" t="s">
        <v>757</v>
      </c>
      <c r="B370" s="143"/>
      <c r="C370" s="119" t="s">
        <v>747</v>
      </c>
      <c r="D370" s="120" t="s">
        <v>758</v>
      </c>
      <c r="E370" s="135" t="s">
        <v>115</v>
      </c>
      <c r="F370" s="135" t="s">
        <v>0</v>
      </c>
      <c r="G370" s="58" t="s">
        <v>169</v>
      </c>
      <c r="H370" s="119">
        <v>180</v>
      </c>
      <c r="I370" s="119" t="s">
        <v>89</v>
      </c>
      <c r="J370" s="119" t="s">
        <v>8</v>
      </c>
      <c r="K370" s="120" t="s">
        <v>17</v>
      </c>
      <c r="L370" s="93" t="s">
        <v>3026</v>
      </c>
      <c r="M370" s="94" t="s">
        <v>3211</v>
      </c>
      <c r="N370" s="95" t="s">
        <v>2876</v>
      </c>
      <c r="O370" s="132">
        <v>6</v>
      </c>
      <c r="P370" s="111">
        <f>469/37*O370</f>
        <v>76.054054054054049</v>
      </c>
      <c r="Q370" s="122" t="s">
        <v>16</v>
      </c>
      <c r="R370" s="122">
        <v>5.3</v>
      </c>
      <c r="S370" s="95"/>
      <c r="T370" s="98"/>
      <c r="U370" s="125">
        <f t="shared" si="81"/>
        <v>426.16340956340952</v>
      </c>
      <c r="V370" s="113">
        <f t="shared" si="71"/>
        <v>2.3675744975744974</v>
      </c>
      <c r="W370" s="114">
        <f t="shared" si="72"/>
        <v>0.33822492822492822</v>
      </c>
      <c r="X370" s="95"/>
      <c r="Y370" s="95"/>
      <c r="Z370" s="102"/>
      <c r="AA370" s="103">
        <v>45731</v>
      </c>
      <c r="AB370" s="103">
        <v>45752</v>
      </c>
      <c r="AC370" s="103"/>
      <c r="AD370" s="102">
        <f>IF(ISNA(VLOOKUP(D370,亚马逊入库配置费!B:F,5,0)),0,VLOOKUP(D370,亚马逊入库配置费!B:F,5,0))</f>
        <v>0.41</v>
      </c>
      <c r="AE370" s="102">
        <f t="shared" si="68"/>
        <v>73.8</v>
      </c>
      <c r="AF370" s="103">
        <v>45768</v>
      </c>
      <c r="AG370" s="91">
        <f t="shared" si="69"/>
        <v>37</v>
      </c>
      <c r="AH370" s="103">
        <v>45768</v>
      </c>
      <c r="AI370" s="103">
        <v>45842</v>
      </c>
      <c r="AJ370" s="96">
        <v>180</v>
      </c>
      <c r="AK370" s="91">
        <f t="shared" si="70"/>
        <v>74</v>
      </c>
      <c r="AL370" s="96">
        <f t="shared" si="75"/>
        <v>111</v>
      </c>
      <c r="AM370" s="92"/>
      <c r="AN370" s="91"/>
      <c r="AO370" s="91"/>
    </row>
    <row r="371" spans="1:41" ht="14.5" x14ac:dyDescent="0.25">
      <c r="A371" s="92" t="s">
        <v>759</v>
      </c>
      <c r="B371" s="143"/>
      <c r="C371" s="119" t="s">
        <v>747</v>
      </c>
      <c r="D371" s="120" t="s">
        <v>758</v>
      </c>
      <c r="E371" s="135" t="s">
        <v>115</v>
      </c>
      <c r="F371" s="135" t="s">
        <v>0</v>
      </c>
      <c r="G371" s="58" t="s">
        <v>211</v>
      </c>
      <c r="H371" s="119">
        <v>450</v>
      </c>
      <c r="I371" s="119" t="s">
        <v>89</v>
      </c>
      <c r="J371" s="119" t="s">
        <v>8</v>
      </c>
      <c r="K371" s="120" t="s">
        <v>17</v>
      </c>
      <c r="L371" s="93" t="s">
        <v>3034</v>
      </c>
      <c r="M371" s="94" t="s">
        <v>3312</v>
      </c>
      <c r="N371" s="95" t="s">
        <v>2869</v>
      </c>
      <c r="O371" s="132">
        <v>15</v>
      </c>
      <c r="P371" s="111">
        <f>469/37*O371</f>
        <v>190.13513513513513</v>
      </c>
      <c r="Q371" s="122" t="s">
        <v>16</v>
      </c>
      <c r="R371" s="122">
        <v>5.3</v>
      </c>
      <c r="S371" s="95"/>
      <c r="T371" s="98"/>
      <c r="U371" s="125">
        <f t="shared" si="81"/>
        <v>1065.4085239085239</v>
      </c>
      <c r="V371" s="113">
        <f t="shared" si="71"/>
        <v>2.3675744975744974</v>
      </c>
      <c r="W371" s="114">
        <f t="shared" si="72"/>
        <v>0.33822492822492822</v>
      </c>
      <c r="X371" s="95"/>
      <c r="Y371" s="95"/>
      <c r="Z371" s="102"/>
      <c r="AA371" s="103">
        <v>45731</v>
      </c>
      <c r="AB371" s="103">
        <v>45752</v>
      </c>
      <c r="AC371" s="103"/>
      <c r="AD371" s="102">
        <f>IF(ISNA(VLOOKUP(D371,亚马逊入库配置费!B:F,5,0)),0,VLOOKUP(D371,亚马逊入库配置费!B:F,5,0))</f>
        <v>0.41</v>
      </c>
      <c r="AE371" s="102">
        <f t="shared" si="68"/>
        <v>184.5</v>
      </c>
      <c r="AF371" s="103">
        <v>45768</v>
      </c>
      <c r="AG371" s="91">
        <f t="shared" si="69"/>
        <v>37</v>
      </c>
      <c r="AH371" s="103">
        <v>45768</v>
      </c>
      <c r="AI371" s="103">
        <v>45842</v>
      </c>
      <c r="AJ371" s="96">
        <v>450</v>
      </c>
      <c r="AK371" s="91">
        <f t="shared" si="70"/>
        <v>74</v>
      </c>
      <c r="AL371" s="96">
        <f t="shared" si="75"/>
        <v>111</v>
      </c>
      <c r="AM371" s="92"/>
      <c r="AN371" s="91"/>
      <c r="AO371" s="91"/>
    </row>
    <row r="372" spans="1:41" ht="14.5" x14ac:dyDescent="0.25">
      <c r="A372" s="92" t="s">
        <v>760</v>
      </c>
      <c r="B372" s="143"/>
      <c r="C372" s="119" t="s">
        <v>747</v>
      </c>
      <c r="D372" s="120" t="s">
        <v>758</v>
      </c>
      <c r="E372" s="135" t="s">
        <v>115</v>
      </c>
      <c r="F372" s="135" t="s">
        <v>0</v>
      </c>
      <c r="G372" s="58" t="s">
        <v>608</v>
      </c>
      <c r="H372" s="119">
        <v>270</v>
      </c>
      <c r="I372" s="119" t="s">
        <v>89</v>
      </c>
      <c r="J372" s="119" t="s">
        <v>8</v>
      </c>
      <c r="K372" s="120" t="s">
        <v>17</v>
      </c>
      <c r="L372" s="93" t="s">
        <v>3076</v>
      </c>
      <c r="M372" s="94" t="s">
        <v>3377</v>
      </c>
      <c r="N372" s="95" t="s">
        <v>2869</v>
      </c>
      <c r="O372" s="132">
        <v>9</v>
      </c>
      <c r="P372" s="111">
        <f>469/37*O372</f>
        <v>114.08108108108108</v>
      </c>
      <c r="Q372" s="122" t="s">
        <v>16</v>
      </c>
      <c r="R372" s="122">
        <v>5.3</v>
      </c>
      <c r="S372" s="95"/>
      <c r="T372" s="98"/>
      <c r="U372" s="125">
        <f t="shared" si="81"/>
        <v>639.2451143451143</v>
      </c>
      <c r="V372" s="113">
        <f t="shared" si="71"/>
        <v>2.3675744975744974</v>
      </c>
      <c r="W372" s="114">
        <f t="shared" si="72"/>
        <v>0.33822492822492822</v>
      </c>
      <c r="X372" s="95"/>
      <c r="Y372" s="95"/>
      <c r="Z372" s="102"/>
      <c r="AA372" s="103">
        <v>45731</v>
      </c>
      <c r="AB372" s="103">
        <v>45752</v>
      </c>
      <c r="AC372" s="103"/>
      <c r="AD372" s="102">
        <f>IF(ISNA(VLOOKUP(D372,亚马逊入库配置费!B:F,5,0)),0,VLOOKUP(D372,亚马逊入库配置费!B:F,5,0))</f>
        <v>0.41</v>
      </c>
      <c r="AE372" s="102">
        <f t="shared" si="68"/>
        <v>110.69999999999999</v>
      </c>
      <c r="AF372" s="103">
        <v>45768</v>
      </c>
      <c r="AG372" s="91">
        <f t="shared" si="69"/>
        <v>37</v>
      </c>
      <c r="AH372" s="103">
        <v>45768</v>
      </c>
      <c r="AI372" s="103">
        <v>45842</v>
      </c>
      <c r="AJ372" s="96">
        <v>280</v>
      </c>
      <c r="AK372" s="91">
        <f t="shared" si="70"/>
        <v>74</v>
      </c>
      <c r="AL372" s="96">
        <f t="shared" si="75"/>
        <v>111</v>
      </c>
      <c r="AM372" s="92"/>
      <c r="AN372" s="91"/>
      <c r="AO372" s="91"/>
    </row>
    <row r="373" spans="1:41" ht="14.5" x14ac:dyDescent="0.25">
      <c r="A373" s="92" t="s">
        <v>761</v>
      </c>
      <c r="B373" s="143"/>
      <c r="C373" s="119" t="s">
        <v>747</v>
      </c>
      <c r="D373" s="120" t="s">
        <v>758</v>
      </c>
      <c r="E373" s="135" t="s">
        <v>115</v>
      </c>
      <c r="F373" s="135" t="s">
        <v>0</v>
      </c>
      <c r="G373" s="58" t="s">
        <v>213</v>
      </c>
      <c r="H373" s="119">
        <v>210</v>
      </c>
      <c r="I373" s="119" t="s">
        <v>89</v>
      </c>
      <c r="J373" s="119" t="s">
        <v>8</v>
      </c>
      <c r="K373" s="120" t="s">
        <v>17</v>
      </c>
      <c r="L373" s="93" t="s">
        <v>3035</v>
      </c>
      <c r="M373" s="94" t="s">
        <v>3313</v>
      </c>
      <c r="N373" s="95" t="s">
        <v>2869</v>
      </c>
      <c r="O373" s="132">
        <v>7</v>
      </c>
      <c r="P373" s="111">
        <f>469/37*O373</f>
        <v>88.729729729729726</v>
      </c>
      <c r="Q373" s="122" t="s">
        <v>16</v>
      </c>
      <c r="R373" s="122">
        <v>5.3</v>
      </c>
      <c r="S373" s="95"/>
      <c r="T373" s="98"/>
      <c r="U373" s="125">
        <f t="shared" si="81"/>
        <v>497.19064449064444</v>
      </c>
      <c r="V373" s="113">
        <f t="shared" si="71"/>
        <v>2.3675744975744974</v>
      </c>
      <c r="W373" s="114">
        <f t="shared" si="72"/>
        <v>0.33822492822492822</v>
      </c>
      <c r="X373" s="95"/>
      <c r="Y373" s="95"/>
      <c r="Z373" s="102"/>
      <c r="AA373" s="103">
        <v>45731</v>
      </c>
      <c r="AB373" s="103">
        <v>45752</v>
      </c>
      <c r="AC373" s="103"/>
      <c r="AD373" s="102">
        <f>IF(ISNA(VLOOKUP(D373,亚马逊入库配置费!B:F,5,0)),0,VLOOKUP(D373,亚马逊入库配置费!B:F,5,0))</f>
        <v>0.41</v>
      </c>
      <c r="AE373" s="102">
        <f t="shared" si="68"/>
        <v>86.1</v>
      </c>
      <c r="AF373" s="103">
        <v>45768</v>
      </c>
      <c r="AG373" s="91">
        <f t="shared" si="69"/>
        <v>37</v>
      </c>
      <c r="AH373" s="103">
        <v>45768</v>
      </c>
      <c r="AI373" s="103">
        <v>45842</v>
      </c>
      <c r="AJ373" s="96">
        <v>216</v>
      </c>
      <c r="AK373" s="91">
        <f t="shared" si="70"/>
        <v>74</v>
      </c>
      <c r="AL373" s="96">
        <f t="shared" si="75"/>
        <v>111</v>
      </c>
      <c r="AM373" s="92"/>
      <c r="AN373" s="91"/>
      <c r="AO373" s="91"/>
    </row>
    <row r="374" spans="1:41" ht="14.5" x14ac:dyDescent="0.25">
      <c r="A374" s="92" t="s">
        <v>762</v>
      </c>
      <c r="B374" s="91"/>
      <c r="C374" s="119" t="s">
        <v>763</v>
      </c>
      <c r="D374" s="120" t="s">
        <v>764</v>
      </c>
      <c r="E374" s="135" t="s">
        <v>97</v>
      </c>
      <c r="F374" s="135" t="s">
        <v>0</v>
      </c>
      <c r="G374" s="58" t="s">
        <v>163</v>
      </c>
      <c r="H374" s="119">
        <v>2000</v>
      </c>
      <c r="I374" s="119" t="s">
        <v>89</v>
      </c>
      <c r="J374" s="119" t="s">
        <v>8</v>
      </c>
      <c r="K374" s="120" t="s">
        <v>17</v>
      </c>
      <c r="L374" s="93" t="s">
        <v>2881</v>
      </c>
      <c r="M374" s="94" t="s">
        <v>3302</v>
      </c>
      <c r="N374" s="95" t="s">
        <v>2870</v>
      </c>
      <c r="O374" s="122">
        <v>50</v>
      </c>
      <c r="P374" s="111">
        <f t="shared" ref="P374:P380" si="82">1876/130*O374</f>
        <v>721.53846153846155</v>
      </c>
      <c r="Q374" s="122" t="s">
        <v>16</v>
      </c>
      <c r="R374" s="122">
        <v>5.3</v>
      </c>
      <c r="S374" s="95"/>
      <c r="T374" s="98"/>
      <c r="U374" s="125">
        <f t="shared" ref="U374:U389" si="83">R374*P374+350/238*O374</f>
        <v>3897.683257918552</v>
      </c>
      <c r="V374" s="113">
        <f t="shared" si="71"/>
        <v>1.948841628959276</v>
      </c>
      <c r="W374" s="114">
        <f t="shared" si="72"/>
        <v>0.27840594699418231</v>
      </c>
      <c r="X374" s="95"/>
      <c r="Y374" s="95"/>
      <c r="Z374" s="102"/>
      <c r="AA374" s="103">
        <v>45738</v>
      </c>
      <c r="AB374" s="103">
        <v>45757</v>
      </c>
      <c r="AC374" s="103"/>
      <c r="AD374" s="102">
        <f>IF(ISNA(VLOOKUP(D374,亚马逊入库配置费!B:F,5,0)),0,VLOOKUP(D374,亚马逊入库配置费!B:F,5,0))</f>
        <v>0.38318681318681302</v>
      </c>
      <c r="AE374" s="102">
        <f t="shared" si="68"/>
        <v>766.37362637362605</v>
      </c>
      <c r="AF374" s="103">
        <v>45766</v>
      </c>
      <c r="AG374" s="91">
        <f t="shared" si="69"/>
        <v>28</v>
      </c>
      <c r="AH374" s="103">
        <v>45766</v>
      </c>
      <c r="AI374" s="103">
        <v>45801</v>
      </c>
      <c r="AJ374" s="96">
        <v>1691</v>
      </c>
      <c r="AK374" s="91">
        <f t="shared" si="70"/>
        <v>35</v>
      </c>
      <c r="AL374" s="96">
        <f t="shared" si="75"/>
        <v>63</v>
      </c>
      <c r="AM374" s="92"/>
      <c r="AN374" s="91"/>
      <c r="AO374" s="91"/>
    </row>
    <row r="375" spans="1:41" ht="14.5" x14ac:dyDescent="0.25">
      <c r="A375" s="92" t="s">
        <v>765</v>
      </c>
      <c r="B375" s="91"/>
      <c r="C375" s="119" t="s">
        <v>763</v>
      </c>
      <c r="D375" s="120" t="s">
        <v>764</v>
      </c>
      <c r="E375" s="135" t="s">
        <v>97</v>
      </c>
      <c r="F375" s="135" t="s">
        <v>0</v>
      </c>
      <c r="G375" s="58" t="s">
        <v>350</v>
      </c>
      <c r="H375" s="119">
        <v>200</v>
      </c>
      <c r="I375" s="119" t="s">
        <v>89</v>
      </c>
      <c r="J375" s="119" t="s">
        <v>8</v>
      </c>
      <c r="K375" s="120" t="s">
        <v>17</v>
      </c>
      <c r="L375" s="93" t="s">
        <v>3048</v>
      </c>
      <c r="M375" s="94" t="s">
        <v>3208</v>
      </c>
      <c r="N375" s="95" t="s">
        <v>2870</v>
      </c>
      <c r="O375" s="122">
        <v>5</v>
      </c>
      <c r="P375" s="111">
        <f t="shared" si="82"/>
        <v>72.15384615384616</v>
      </c>
      <c r="Q375" s="122" t="s">
        <v>16</v>
      </c>
      <c r="R375" s="122">
        <v>5.3</v>
      </c>
      <c r="S375" s="95"/>
      <c r="T375" s="98"/>
      <c r="U375" s="125">
        <f t="shared" si="83"/>
        <v>389.76832579185526</v>
      </c>
      <c r="V375" s="113">
        <f t="shared" si="71"/>
        <v>1.9488416289592763</v>
      </c>
      <c r="W375" s="114">
        <f t="shared" si="72"/>
        <v>0.27840594699418231</v>
      </c>
      <c r="X375" s="95"/>
      <c r="Y375" s="95"/>
      <c r="Z375" s="102"/>
      <c r="AA375" s="103">
        <v>45738</v>
      </c>
      <c r="AB375" s="103">
        <v>45757</v>
      </c>
      <c r="AC375" s="103"/>
      <c r="AD375" s="102">
        <f>IF(ISNA(VLOOKUP(D375,亚马逊入库配置费!B:F,5,0)),0,VLOOKUP(D375,亚马逊入库配置费!B:F,5,0))</f>
        <v>0.38318681318681302</v>
      </c>
      <c r="AE375" s="102">
        <f t="shared" si="68"/>
        <v>76.6373626373626</v>
      </c>
      <c r="AF375" s="103">
        <v>45766</v>
      </c>
      <c r="AG375" s="91">
        <f t="shared" si="69"/>
        <v>28</v>
      </c>
      <c r="AH375" s="103">
        <v>45766</v>
      </c>
      <c r="AI375" s="103">
        <v>45801</v>
      </c>
      <c r="AJ375" s="96">
        <v>211</v>
      </c>
      <c r="AK375" s="91">
        <f t="shared" si="70"/>
        <v>35</v>
      </c>
      <c r="AL375" s="96">
        <f t="shared" si="75"/>
        <v>63</v>
      </c>
      <c r="AM375" s="92"/>
      <c r="AN375" s="91"/>
      <c r="AO375" s="91"/>
    </row>
    <row r="376" spans="1:41" ht="14.5" x14ac:dyDescent="0.25">
      <c r="A376" s="92" t="s">
        <v>766</v>
      </c>
      <c r="B376" s="91"/>
      <c r="C376" s="119" t="s">
        <v>763</v>
      </c>
      <c r="D376" s="120" t="s">
        <v>764</v>
      </c>
      <c r="E376" s="135" t="s">
        <v>97</v>
      </c>
      <c r="F376" s="135" t="s">
        <v>0</v>
      </c>
      <c r="G376" s="58" t="s">
        <v>165</v>
      </c>
      <c r="H376" s="119">
        <v>400</v>
      </c>
      <c r="I376" s="119" t="s">
        <v>89</v>
      </c>
      <c r="J376" s="119" t="s">
        <v>8</v>
      </c>
      <c r="K376" s="120" t="s">
        <v>17</v>
      </c>
      <c r="L376" s="93" t="s">
        <v>2880</v>
      </c>
      <c r="M376" s="94" t="s">
        <v>3209</v>
      </c>
      <c r="N376" s="95" t="s">
        <v>2870</v>
      </c>
      <c r="O376" s="122">
        <v>10</v>
      </c>
      <c r="P376" s="111">
        <f t="shared" si="82"/>
        <v>144.30769230769232</v>
      </c>
      <c r="Q376" s="122" t="s">
        <v>16</v>
      </c>
      <c r="R376" s="122">
        <v>5.3</v>
      </c>
      <c r="S376" s="95"/>
      <c r="T376" s="98"/>
      <c r="U376" s="125">
        <f t="shared" si="83"/>
        <v>779.53665158371052</v>
      </c>
      <c r="V376" s="113">
        <f t="shared" si="71"/>
        <v>1.9488416289592763</v>
      </c>
      <c r="W376" s="114">
        <f t="shared" si="72"/>
        <v>0.27840594699418231</v>
      </c>
      <c r="X376" s="95"/>
      <c r="Y376" s="95"/>
      <c r="Z376" s="102"/>
      <c r="AA376" s="103">
        <v>45738</v>
      </c>
      <c r="AB376" s="103">
        <v>45757</v>
      </c>
      <c r="AC376" s="103"/>
      <c r="AD376" s="102">
        <f>IF(ISNA(VLOOKUP(D376,亚马逊入库配置费!B:F,5,0)),0,VLOOKUP(D376,亚马逊入库配置费!B:F,5,0))</f>
        <v>0.38318681318681302</v>
      </c>
      <c r="AE376" s="102">
        <f t="shared" si="68"/>
        <v>153.2747252747252</v>
      </c>
      <c r="AF376" s="103">
        <v>45766</v>
      </c>
      <c r="AG376" s="91">
        <f t="shared" si="69"/>
        <v>28</v>
      </c>
      <c r="AH376" s="103">
        <v>45766</v>
      </c>
      <c r="AI376" s="103">
        <v>45801</v>
      </c>
      <c r="AJ376" s="96">
        <v>400</v>
      </c>
      <c r="AK376" s="91">
        <f t="shared" si="70"/>
        <v>35</v>
      </c>
      <c r="AL376" s="96">
        <f t="shared" si="75"/>
        <v>63</v>
      </c>
      <c r="AM376" s="92"/>
      <c r="AN376" s="91"/>
      <c r="AO376" s="91"/>
    </row>
    <row r="377" spans="1:41" ht="14.5" x14ac:dyDescent="0.25">
      <c r="A377" s="92" t="s">
        <v>767</v>
      </c>
      <c r="B377" s="91"/>
      <c r="C377" s="119" t="s">
        <v>763</v>
      </c>
      <c r="D377" s="120" t="s">
        <v>764</v>
      </c>
      <c r="E377" s="135" t="s">
        <v>97</v>
      </c>
      <c r="F377" s="135" t="s">
        <v>0</v>
      </c>
      <c r="G377" s="58" t="s">
        <v>167</v>
      </c>
      <c r="H377" s="119">
        <v>810</v>
      </c>
      <c r="I377" s="119" t="s">
        <v>89</v>
      </c>
      <c r="J377" s="119" t="s">
        <v>8</v>
      </c>
      <c r="K377" s="120" t="s">
        <v>17</v>
      </c>
      <c r="L377" s="93" t="s">
        <v>3025</v>
      </c>
      <c r="M377" s="94" t="s">
        <v>3210</v>
      </c>
      <c r="N377" s="95" t="s">
        <v>2876</v>
      </c>
      <c r="O377" s="122">
        <v>27</v>
      </c>
      <c r="P377" s="111">
        <f t="shared" si="82"/>
        <v>389.63076923076926</v>
      </c>
      <c r="Q377" s="122" t="s">
        <v>16</v>
      </c>
      <c r="R377" s="122">
        <v>5.3</v>
      </c>
      <c r="S377" s="95"/>
      <c r="T377" s="98"/>
      <c r="U377" s="125">
        <f t="shared" si="83"/>
        <v>2104.748959276018</v>
      </c>
      <c r="V377" s="113">
        <f t="shared" si="71"/>
        <v>2.5984555052790346</v>
      </c>
      <c r="W377" s="114">
        <f t="shared" si="72"/>
        <v>0.37120792932557639</v>
      </c>
      <c r="X377" s="95"/>
      <c r="Y377" s="95"/>
      <c r="Z377" s="102"/>
      <c r="AA377" s="103">
        <v>45738</v>
      </c>
      <c r="AB377" s="103">
        <v>45757</v>
      </c>
      <c r="AC377" s="103"/>
      <c r="AD377" s="102">
        <f>IF(ISNA(VLOOKUP(D377,亚马逊入库配置费!B:F,5,0)),0,VLOOKUP(D377,亚马逊入库配置费!B:F,5,0))</f>
        <v>0.38318681318681302</v>
      </c>
      <c r="AE377" s="102">
        <f t="shared" si="68"/>
        <v>310.38131868131853</v>
      </c>
      <c r="AF377" s="103">
        <v>45766</v>
      </c>
      <c r="AG377" s="91">
        <f t="shared" si="69"/>
        <v>28</v>
      </c>
      <c r="AH377" s="103">
        <v>45766</v>
      </c>
      <c r="AI377" s="103">
        <v>45801</v>
      </c>
      <c r="AJ377" s="96">
        <v>840</v>
      </c>
      <c r="AK377" s="91">
        <f t="shared" si="70"/>
        <v>35</v>
      </c>
      <c r="AL377" s="96">
        <f t="shared" si="75"/>
        <v>63</v>
      </c>
      <c r="AM377" s="92"/>
      <c r="AN377" s="91"/>
      <c r="AO377" s="91"/>
    </row>
    <row r="378" spans="1:41" ht="14.5" x14ac:dyDescent="0.25">
      <c r="A378" s="92" t="s">
        <v>768</v>
      </c>
      <c r="B378" s="91"/>
      <c r="C378" s="119" t="s">
        <v>763</v>
      </c>
      <c r="D378" s="120" t="s">
        <v>764</v>
      </c>
      <c r="E378" s="135" t="s">
        <v>97</v>
      </c>
      <c r="F378" s="135" t="s">
        <v>0</v>
      </c>
      <c r="G378" s="58" t="s">
        <v>169</v>
      </c>
      <c r="H378" s="119">
        <v>390</v>
      </c>
      <c r="I378" s="119" t="s">
        <v>89</v>
      </c>
      <c r="J378" s="119" t="s">
        <v>8</v>
      </c>
      <c r="K378" s="120" t="s">
        <v>17</v>
      </c>
      <c r="L378" s="93" t="s">
        <v>3026</v>
      </c>
      <c r="M378" s="94" t="s">
        <v>3211</v>
      </c>
      <c r="N378" s="95" t="s">
        <v>2876</v>
      </c>
      <c r="O378" s="122">
        <v>13</v>
      </c>
      <c r="P378" s="111">
        <f t="shared" si="82"/>
        <v>187.6</v>
      </c>
      <c r="Q378" s="122" t="s">
        <v>16</v>
      </c>
      <c r="R378" s="122">
        <v>5.3</v>
      </c>
      <c r="S378" s="95"/>
      <c r="T378" s="98"/>
      <c r="U378" s="125">
        <f t="shared" si="83"/>
        <v>1013.3976470588235</v>
      </c>
      <c r="V378" s="113">
        <f t="shared" si="71"/>
        <v>2.5984555052790346</v>
      </c>
      <c r="W378" s="114">
        <f t="shared" si="72"/>
        <v>0.37120792932557639</v>
      </c>
      <c r="X378" s="95"/>
      <c r="Y378" s="95"/>
      <c r="Z378" s="102"/>
      <c r="AA378" s="103">
        <v>45738</v>
      </c>
      <c r="AB378" s="103">
        <v>45757</v>
      </c>
      <c r="AC378" s="103"/>
      <c r="AD378" s="102">
        <f>IF(ISNA(VLOOKUP(D378,亚马逊入库配置费!B:F,5,0)),0,VLOOKUP(D378,亚马逊入库配置费!B:F,5,0))</f>
        <v>0.38318681318681302</v>
      </c>
      <c r="AE378" s="102">
        <f t="shared" si="68"/>
        <v>149.44285714285709</v>
      </c>
      <c r="AF378" s="103">
        <v>45766</v>
      </c>
      <c r="AG378" s="91">
        <f t="shared" si="69"/>
        <v>28</v>
      </c>
      <c r="AH378" s="103">
        <v>45766</v>
      </c>
      <c r="AI378" s="103">
        <v>45801</v>
      </c>
      <c r="AJ378" s="96">
        <v>388</v>
      </c>
      <c r="AK378" s="91">
        <f t="shared" si="70"/>
        <v>35</v>
      </c>
      <c r="AL378" s="96">
        <f t="shared" si="75"/>
        <v>63</v>
      </c>
      <c r="AM378" s="92"/>
      <c r="AN378" s="91"/>
      <c r="AO378" s="91"/>
    </row>
    <row r="379" spans="1:41" ht="14.5" x14ac:dyDescent="0.25">
      <c r="A379" s="92" t="s">
        <v>769</v>
      </c>
      <c r="B379" s="91"/>
      <c r="C379" s="119" t="s">
        <v>763</v>
      </c>
      <c r="D379" s="120" t="s">
        <v>764</v>
      </c>
      <c r="E379" s="135" t="s">
        <v>97</v>
      </c>
      <c r="F379" s="135" t="s">
        <v>0</v>
      </c>
      <c r="G379" s="58" t="s">
        <v>171</v>
      </c>
      <c r="H379" s="119">
        <v>600</v>
      </c>
      <c r="I379" s="119" t="s">
        <v>89</v>
      </c>
      <c r="J379" s="119" t="s">
        <v>8</v>
      </c>
      <c r="K379" s="120" t="s">
        <v>17</v>
      </c>
      <c r="L379" s="93" t="s">
        <v>3027</v>
      </c>
      <c r="M379" s="94" t="s">
        <v>3212</v>
      </c>
      <c r="N379" s="95" t="s">
        <v>2876</v>
      </c>
      <c r="O379" s="122">
        <v>20</v>
      </c>
      <c r="P379" s="111">
        <f t="shared" si="82"/>
        <v>288.61538461538464</v>
      </c>
      <c r="Q379" s="122" t="s">
        <v>16</v>
      </c>
      <c r="R379" s="122">
        <v>5.3</v>
      </c>
      <c r="S379" s="95"/>
      <c r="T379" s="98"/>
      <c r="U379" s="125">
        <f t="shared" si="83"/>
        <v>1559.073303167421</v>
      </c>
      <c r="V379" s="113">
        <f t="shared" si="71"/>
        <v>2.598455505279035</v>
      </c>
      <c r="W379" s="114">
        <f t="shared" si="72"/>
        <v>0.37120792932557645</v>
      </c>
      <c r="X379" s="95"/>
      <c r="Y379" s="95"/>
      <c r="Z379" s="102"/>
      <c r="AA379" s="103">
        <v>45738</v>
      </c>
      <c r="AB379" s="103">
        <v>45757</v>
      </c>
      <c r="AC379" s="103"/>
      <c r="AD379" s="102">
        <f>IF(ISNA(VLOOKUP(D379,亚马逊入库配置费!B:F,5,0)),0,VLOOKUP(D379,亚马逊入库配置费!B:F,5,0))</f>
        <v>0.38318681318681302</v>
      </c>
      <c r="AE379" s="102">
        <f t="shared" si="68"/>
        <v>229.91208791208783</v>
      </c>
      <c r="AF379" s="103">
        <v>45766</v>
      </c>
      <c r="AG379" s="91">
        <f t="shared" si="69"/>
        <v>28</v>
      </c>
      <c r="AH379" s="103">
        <v>45766</v>
      </c>
      <c r="AI379" s="103">
        <v>45801</v>
      </c>
      <c r="AJ379" s="96">
        <v>600</v>
      </c>
      <c r="AK379" s="91">
        <f t="shared" si="70"/>
        <v>35</v>
      </c>
      <c r="AL379" s="96">
        <f t="shared" si="75"/>
        <v>63</v>
      </c>
      <c r="AM379" s="92"/>
      <c r="AN379" s="91"/>
      <c r="AO379" s="91"/>
    </row>
    <row r="380" spans="1:41" ht="14.5" x14ac:dyDescent="0.25">
      <c r="A380" s="92" t="s">
        <v>770</v>
      </c>
      <c r="B380" s="91"/>
      <c r="C380" s="119" t="s">
        <v>763</v>
      </c>
      <c r="D380" s="120" t="s">
        <v>764</v>
      </c>
      <c r="E380" s="135" t="s">
        <v>97</v>
      </c>
      <c r="F380" s="135" t="s">
        <v>0</v>
      </c>
      <c r="G380" s="58" t="s">
        <v>176</v>
      </c>
      <c r="H380" s="119">
        <v>150</v>
      </c>
      <c r="I380" s="119" t="s">
        <v>89</v>
      </c>
      <c r="J380" s="119" t="s">
        <v>8</v>
      </c>
      <c r="K380" s="120" t="s">
        <v>17</v>
      </c>
      <c r="L380" s="93" t="s">
        <v>3029</v>
      </c>
      <c r="M380" s="94" t="s">
        <v>3306</v>
      </c>
      <c r="N380" s="95" t="s">
        <v>2876</v>
      </c>
      <c r="O380" s="122">
        <v>5</v>
      </c>
      <c r="P380" s="111">
        <f t="shared" si="82"/>
        <v>72.15384615384616</v>
      </c>
      <c r="Q380" s="122" t="s">
        <v>16</v>
      </c>
      <c r="R380" s="122">
        <v>5.3</v>
      </c>
      <c r="S380" s="95"/>
      <c r="T380" s="98"/>
      <c r="U380" s="125">
        <f t="shared" si="83"/>
        <v>389.76832579185526</v>
      </c>
      <c r="V380" s="113">
        <f t="shared" si="71"/>
        <v>2.598455505279035</v>
      </c>
      <c r="W380" s="114">
        <f t="shared" si="72"/>
        <v>0.37120792932557645</v>
      </c>
      <c r="X380" s="95"/>
      <c r="Y380" s="95"/>
      <c r="Z380" s="102"/>
      <c r="AA380" s="103">
        <v>45738</v>
      </c>
      <c r="AB380" s="103">
        <v>45757</v>
      </c>
      <c r="AC380" s="103"/>
      <c r="AD380" s="102">
        <f>IF(ISNA(VLOOKUP(D380,亚马逊入库配置费!B:F,5,0)),0,VLOOKUP(D380,亚马逊入库配置费!B:F,5,0))</f>
        <v>0.38318681318681302</v>
      </c>
      <c r="AE380" s="102">
        <f t="shared" si="68"/>
        <v>57.478021978021957</v>
      </c>
      <c r="AF380" s="103">
        <v>45766</v>
      </c>
      <c r="AG380" s="91">
        <f t="shared" si="69"/>
        <v>28</v>
      </c>
      <c r="AH380" s="103">
        <v>45766</v>
      </c>
      <c r="AI380" s="103">
        <v>45801</v>
      </c>
      <c r="AJ380" s="96">
        <v>150</v>
      </c>
      <c r="AK380" s="91">
        <f t="shared" si="70"/>
        <v>35</v>
      </c>
      <c r="AL380" s="96">
        <f t="shared" si="75"/>
        <v>63</v>
      </c>
      <c r="AM380" s="92"/>
      <c r="AN380" s="91"/>
      <c r="AO380" s="91"/>
    </row>
    <row r="381" spans="1:41" ht="14.5" x14ac:dyDescent="0.25">
      <c r="A381" s="92" t="s">
        <v>771</v>
      </c>
      <c r="B381" s="91"/>
      <c r="C381" s="119" t="s">
        <v>763</v>
      </c>
      <c r="D381" s="120" t="s">
        <v>772</v>
      </c>
      <c r="E381" s="135" t="s">
        <v>115</v>
      </c>
      <c r="F381" s="135" t="s">
        <v>0</v>
      </c>
      <c r="G381" s="58" t="s">
        <v>211</v>
      </c>
      <c r="H381" s="119">
        <v>600</v>
      </c>
      <c r="I381" s="119" t="s">
        <v>89</v>
      </c>
      <c r="J381" s="119" t="s">
        <v>8</v>
      </c>
      <c r="K381" s="120" t="s">
        <v>14</v>
      </c>
      <c r="L381" s="93" t="s">
        <v>3034</v>
      </c>
      <c r="M381" s="94" t="s">
        <v>3312</v>
      </c>
      <c r="N381" s="95" t="s">
        <v>2869</v>
      </c>
      <c r="O381" s="122">
        <v>20</v>
      </c>
      <c r="P381" s="111">
        <f>239/20*O381</f>
        <v>239</v>
      </c>
      <c r="Q381" s="122" t="s">
        <v>16</v>
      </c>
      <c r="R381" s="122">
        <v>6</v>
      </c>
      <c r="S381" s="95"/>
      <c r="T381" s="98"/>
      <c r="U381" s="125">
        <f t="shared" si="83"/>
        <v>1463.4117647058824</v>
      </c>
      <c r="V381" s="113">
        <f t="shared" si="71"/>
        <v>2.4390196078431372</v>
      </c>
      <c r="W381" s="114">
        <f t="shared" si="72"/>
        <v>0.34843137254901962</v>
      </c>
      <c r="X381" s="95"/>
      <c r="Y381" s="95"/>
      <c r="Z381" s="102"/>
      <c r="AA381" s="103">
        <v>45738</v>
      </c>
      <c r="AB381" s="103">
        <v>45757</v>
      </c>
      <c r="AC381" s="103"/>
      <c r="AD381" s="102">
        <f>IF(ISNA(VLOOKUP(D381,亚马逊入库配置费!B:F,5,0)),0,VLOOKUP(D381,亚马逊入库配置费!B:F,5,0))</f>
        <v>0.41</v>
      </c>
      <c r="AE381" s="102">
        <f t="shared" si="68"/>
        <v>245.99999999999997</v>
      </c>
      <c r="AF381" s="103">
        <v>45768</v>
      </c>
      <c r="AG381" s="91">
        <f t="shared" si="69"/>
        <v>30</v>
      </c>
      <c r="AH381" s="103">
        <v>45768</v>
      </c>
      <c r="AI381" s="103">
        <v>45800</v>
      </c>
      <c r="AJ381" s="96">
        <v>598</v>
      </c>
      <c r="AK381" s="91">
        <f t="shared" si="70"/>
        <v>32</v>
      </c>
      <c r="AL381" s="96">
        <f t="shared" si="75"/>
        <v>62</v>
      </c>
      <c r="AM381" s="92"/>
      <c r="AN381" s="91"/>
      <c r="AO381" s="91"/>
    </row>
    <row r="382" spans="1:41" ht="14.5" x14ac:dyDescent="0.25">
      <c r="A382" s="92" t="s">
        <v>773</v>
      </c>
      <c r="B382" s="91"/>
      <c r="C382" s="119" t="s">
        <v>763</v>
      </c>
      <c r="D382" s="120" t="s">
        <v>774</v>
      </c>
      <c r="E382" s="135" t="s">
        <v>287</v>
      </c>
      <c r="F382" s="135" t="s">
        <v>0</v>
      </c>
      <c r="G382" s="58" t="s">
        <v>282</v>
      </c>
      <c r="H382" s="119">
        <v>256</v>
      </c>
      <c r="I382" s="119" t="s">
        <v>89</v>
      </c>
      <c r="J382" s="119" t="s">
        <v>8</v>
      </c>
      <c r="K382" s="120" t="s">
        <v>14</v>
      </c>
      <c r="L382" s="93" t="s">
        <v>2783</v>
      </c>
      <c r="M382" s="94" t="s">
        <v>3322</v>
      </c>
      <c r="N382" s="95" t="s">
        <v>2785</v>
      </c>
      <c r="O382" s="122">
        <v>16</v>
      </c>
      <c r="P382" s="111">
        <f t="shared" ref="P382:P389" si="84">1283/88*O382</f>
        <v>233.27272727272728</v>
      </c>
      <c r="Q382" s="122" t="s">
        <v>16</v>
      </c>
      <c r="R382" s="122">
        <v>6</v>
      </c>
      <c r="S382" s="95"/>
      <c r="T382" s="98"/>
      <c r="U382" s="125">
        <f t="shared" si="83"/>
        <v>1423.1657754010696</v>
      </c>
      <c r="V382" s="113">
        <f t="shared" si="71"/>
        <v>5.5592413101604281</v>
      </c>
      <c r="W382" s="114">
        <f t="shared" si="72"/>
        <v>0.79417733002291835</v>
      </c>
      <c r="X382" s="95"/>
      <c r="Y382" s="95"/>
      <c r="Z382" s="102"/>
      <c r="AA382" s="103">
        <v>45738</v>
      </c>
      <c r="AB382" s="103">
        <v>45757</v>
      </c>
      <c r="AC382" s="103"/>
      <c r="AD382" s="102">
        <f>IF(ISNA(VLOOKUP(D382,亚马逊入库配置费!B:F,5,0)),0,VLOOKUP(D382,亚马逊入库配置费!B:F,5,0))</f>
        <v>0.49</v>
      </c>
      <c r="AE382" s="102">
        <f t="shared" si="68"/>
        <v>125.44</v>
      </c>
      <c r="AF382" s="103">
        <v>45768</v>
      </c>
      <c r="AG382" s="91">
        <f t="shared" si="69"/>
        <v>30</v>
      </c>
      <c r="AH382" s="103">
        <v>45768</v>
      </c>
      <c r="AI382" s="103">
        <v>45800</v>
      </c>
      <c r="AJ382" s="96">
        <v>256</v>
      </c>
      <c r="AK382" s="91">
        <f t="shared" si="70"/>
        <v>32</v>
      </c>
      <c r="AL382" s="96">
        <f t="shared" si="75"/>
        <v>62</v>
      </c>
      <c r="AM382" s="92"/>
      <c r="AN382" s="91"/>
      <c r="AO382" s="91"/>
    </row>
    <row r="383" spans="1:41" ht="14.5" x14ac:dyDescent="0.25">
      <c r="A383" s="92" t="s">
        <v>775</v>
      </c>
      <c r="B383" s="91"/>
      <c r="C383" s="119" t="s">
        <v>763</v>
      </c>
      <c r="D383" s="120" t="s">
        <v>774</v>
      </c>
      <c r="E383" s="135" t="s">
        <v>287</v>
      </c>
      <c r="F383" s="135" t="s">
        <v>0</v>
      </c>
      <c r="G383" s="58" t="s">
        <v>288</v>
      </c>
      <c r="H383" s="119">
        <v>336</v>
      </c>
      <c r="I383" s="119" t="s">
        <v>89</v>
      </c>
      <c r="J383" s="119" t="s">
        <v>8</v>
      </c>
      <c r="K383" s="120" t="s">
        <v>14</v>
      </c>
      <c r="L383" s="93" t="s">
        <v>3040</v>
      </c>
      <c r="M383" s="94" t="s">
        <v>3324</v>
      </c>
      <c r="N383" s="95" t="s">
        <v>2785</v>
      </c>
      <c r="O383" s="122">
        <v>21</v>
      </c>
      <c r="P383" s="111">
        <f t="shared" si="84"/>
        <v>306.17045454545456</v>
      </c>
      <c r="Q383" s="122" t="s">
        <v>16</v>
      </c>
      <c r="R383" s="122">
        <v>6</v>
      </c>
      <c r="S383" s="95"/>
      <c r="T383" s="98"/>
      <c r="U383" s="125">
        <f t="shared" si="83"/>
        <v>1867.9050802139041</v>
      </c>
      <c r="V383" s="113">
        <f t="shared" si="71"/>
        <v>5.559241310160429</v>
      </c>
      <c r="W383" s="114">
        <f t="shared" si="72"/>
        <v>0.79417733002291846</v>
      </c>
      <c r="X383" s="95"/>
      <c r="Y383" s="95"/>
      <c r="Z383" s="102"/>
      <c r="AA383" s="103">
        <v>45738</v>
      </c>
      <c r="AB383" s="103">
        <v>45757</v>
      </c>
      <c r="AC383" s="103"/>
      <c r="AD383" s="102">
        <f>IF(ISNA(VLOOKUP(D383,亚马逊入库配置费!B:F,5,0)),0,VLOOKUP(D383,亚马逊入库配置费!B:F,5,0))</f>
        <v>0.49</v>
      </c>
      <c r="AE383" s="102">
        <f t="shared" si="68"/>
        <v>164.64</v>
      </c>
      <c r="AF383" s="103">
        <v>45768</v>
      </c>
      <c r="AG383" s="91">
        <f t="shared" si="69"/>
        <v>30</v>
      </c>
      <c r="AH383" s="103">
        <v>45768</v>
      </c>
      <c r="AI383" s="103">
        <v>45800</v>
      </c>
      <c r="AJ383" s="96">
        <v>336</v>
      </c>
      <c r="AK383" s="91">
        <f t="shared" si="70"/>
        <v>32</v>
      </c>
      <c r="AL383" s="96">
        <f t="shared" si="75"/>
        <v>62</v>
      </c>
      <c r="AM383" s="92"/>
      <c r="AN383" s="91"/>
      <c r="AO383" s="91"/>
    </row>
    <row r="384" spans="1:41" ht="14.5" x14ac:dyDescent="0.25">
      <c r="A384" s="92" t="s">
        <v>776</v>
      </c>
      <c r="B384" s="91"/>
      <c r="C384" s="119" t="s">
        <v>763</v>
      </c>
      <c r="D384" s="120" t="s">
        <v>774</v>
      </c>
      <c r="E384" s="135" t="s">
        <v>287</v>
      </c>
      <c r="F384" s="135" t="s">
        <v>0</v>
      </c>
      <c r="G384" s="58" t="s">
        <v>284</v>
      </c>
      <c r="H384" s="119">
        <v>288</v>
      </c>
      <c r="I384" s="119" t="s">
        <v>89</v>
      </c>
      <c r="J384" s="119" t="s">
        <v>8</v>
      </c>
      <c r="K384" s="120" t="s">
        <v>14</v>
      </c>
      <c r="L384" s="93" t="s">
        <v>3039</v>
      </c>
      <c r="M384" s="94" t="s">
        <v>3323</v>
      </c>
      <c r="N384" s="95" t="s">
        <v>2915</v>
      </c>
      <c r="O384" s="122">
        <v>18</v>
      </c>
      <c r="P384" s="111">
        <f t="shared" si="84"/>
        <v>262.43181818181819</v>
      </c>
      <c r="Q384" s="122" t="s">
        <v>16</v>
      </c>
      <c r="R384" s="122">
        <v>6</v>
      </c>
      <c r="S384" s="95"/>
      <c r="T384" s="98"/>
      <c r="U384" s="125">
        <f t="shared" si="83"/>
        <v>1601.0614973262032</v>
      </c>
      <c r="V384" s="113">
        <f t="shared" si="71"/>
        <v>5.5592413101604272</v>
      </c>
      <c r="W384" s="114">
        <f t="shared" si="72"/>
        <v>0.79417733002291813</v>
      </c>
      <c r="X384" s="95"/>
      <c r="Y384" s="95"/>
      <c r="Z384" s="102"/>
      <c r="AA384" s="103">
        <v>45738</v>
      </c>
      <c r="AB384" s="103">
        <v>45757</v>
      </c>
      <c r="AC384" s="103"/>
      <c r="AD384" s="102">
        <f>IF(ISNA(VLOOKUP(D384,亚马逊入库配置费!B:F,5,0)),0,VLOOKUP(D384,亚马逊入库配置费!B:F,5,0))</f>
        <v>0.49</v>
      </c>
      <c r="AE384" s="102">
        <f t="shared" si="68"/>
        <v>141.12</v>
      </c>
      <c r="AF384" s="103">
        <v>45768</v>
      </c>
      <c r="AG384" s="91">
        <f t="shared" si="69"/>
        <v>30</v>
      </c>
      <c r="AH384" s="103">
        <v>45768</v>
      </c>
      <c r="AI384" s="103">
        <v>45800</v>
      </c>
      <c r="AJ384" s="96">
        <v>288</v>
      </c>
      <c r="AK384" s="91">
        <f t="shared" si="70"/>
        <v>32</v>
      </c>
      <c r="AL384" s="96">
        <f t="shared" si="75"/>
        <v>62</v>
      </c>
      <c r="AM384" s="92"/>
      <c r="AN384" s="91"/>
      <c r="AO384" s="91"/>
    </row>
    <row r="385" spans="1:41" ht="14.5" x14ac:dyDescent="0.25">
      <c r="A385" s="92" t="s">
        <v>777</v>
      </c>
      <c r="B385" s="91"/>
      <c r="C385" s="119" t="s">
        <v>763</v>
      </c>
      <c r="D385" s="120" t="s">
        <v>774</v>
      </c>
      <c r="E385" s="135" t="s">
        <v>287</v>
      </c>
      <c r="F385" s="135" t="s">
        <v>0</v>
      </c>
      <c r="G385" s="58" t="s">
        <v>663</v>
      </c>
      <c r="H385" s="119">
        <v>304</v>
      </c>
      <c r="I385" s="119" t="s">
        <v>89</v>
      </c>
      <c r="J385" s="119" t="s">
        <v>8</v>
      </c>
      <c r="K385" s="120" t="s">
        <v>14</v>
      </c>
      <c r="L385" s="93" t="s">
        <v>3080</v>
      </c>
      <c r="M385" s="94" t="s">
        <v>3383</v>
      </c>
      <c r="N385" s="95" t="s">
        <v>2915</v>
      </c>
      <c r="O385" s="122">
        <v>19</v>
      </c>
      <c r="P385" s="111">
        <f t="shared" si="84"/>
        <v>277.01136363636363</v>
      </c>
      <c r="Q385" s="122" t="s">
        <v>16</v>
      </c>
      <c r="R385" s="122">
        <v>6</v>
      </c>
      <c r="S385" s="95"/>
      <c r="T385" s="98"/>
      <c r="U385" s="125">
        <f t="shared" si="83"/>
        <v>1690.00935828877</v>
      </c>
      <c r="V385" s="113">
        <f t="shared" si="71"/>
        <v>5.5592413101604281</v>
      </c>
      <c r="W385" s="114">
        <f t="shared" si="72"/>
        <v>0.79417733002291835</v>
      </c>
      <c r="X385" s="95"/>
      <c r="Y385" s="95"/>
      <c r="Z385" s="102"/>
      <c r="AA385" s="103">
        <v>45738</v>
      </c>
      <c r="AB385" s="103">
        <v>45757</v>
      </c>
      <c r="AC385" s="103"/>
      <c r="AD385" s="102">
        <f>IF(ISNA(VLOOKUP(D385,亚马逊入库配置费!B:F,5,0)),0,VLOOKUP(D385,亚马逊入库配置费!B:F,5,0))</f>
        <v>0.49</v>
      </c>
      <c r="AE385" s="102">
        <f t="shared" si="68"/>
        <v>148.96</v>
      </c>
      <c r="AF385" s="103">
        <v>45768</v>
      </c>
      <c r="AG385" s="91">
        <f t="shared" si="69"/>
        <v>30</v>
      </c>
      <c r="AH385" s="103">
        <v>45768</v>
      </c>
      <c r="AI385" s="103">
        <v>45800</v>
      </c>
      <c r="AJ385" s="96">
        <v>304</v>
      </c>
      <c r="AK385" s="91">
        <f t="shared" si="70"/>
        <v>32</v>
      </c>
      <c r="AL385" s="96">
        <f t="shared" si="75"/>
        <v>62</v>
      </c>
      <c r="AM385" s="92"/>
      <c r="AN385" s="91"/>
      <c r="AO385" s="91"/>
    </row>
    <row r="386" spans="1:41" ht="14.5" x14ac:dyDescent="0.25">
      <c r="A386" s="92" t="s">
        <v>778</v>
      </c>
      <c r="B386" s="91"/>
      <c r="C386" s="119" t="s">
        <v>763</v>
      </c>
      <c r="D386" s="120" t="s">
        <v>774</v>
      </c>
      <c r="E386" s="135" t="s">
        <v>287</v>
      </c>
      <c r="F386" s="135" t="s">
        <v>0</v>
      </c>
      <c r="G386" s="58" t="s">
        <v>779</v>
      </c>
      <c r="H386" s="119">
        <v>192</v>
      </c>
      <c r="I386" s="119" t="s">
        <v>89</v>
      </c>
      <c r="J386" s="119" t="s">
        <v>8</v>
      </c>
      <c r="K386" s="120" t="s">
        <v>14</v>
      </c>
      <c r="L386" s="93" t="s">
        <v>3083</v>
      </c>
      <c r="M386" s="94" t="s">
        <v>3394</v>
      </c>
      <c r="N386" s="95" t="s">
        <v>2793</v>
      </c>
      <c r="O386" s="122">
        <v>12</v>
      </c>
      <c r="P386" s="111">
        <f t="shared" si="84"/>
        <v>174.95454545454547</v>
      </c>
      <c r="Q386" s="122" t="s">
        <v>16</v>
      </c>
      <c r="R386" s="122">
        <v>6</v>
      </c>
      <c r="S386" s="95"/>
      <c r="T386" s="98"/>
      <c r="U386" s="125">
        <f t="shared" si="83"/>
        <v>1067.3743315508023</v>
      </c>
      <c r="V386" s="113">
        <f t="shared" si="71"/>
        <v>5.5592413101604281</v>
      </c>
      <c r="W386" s="114">
        <f t="shared" si="72"/>
        <v>0.79417733002291835</v>
      </c>
      <c r="X386" s="95"/>
      <c r="Y386" s="95"/>
      <c r="Z386" s="102"/>
      <c r="AA386" s="103">
        <v>45738</v>
      </c>
      <c r="AB386" s="103">
        <v>45757</v>
      </c>
      <c r="AC386" s="103"/>
      <c r="AD386" s="102">
        <f>IF(ISNA(VLOOKUP(D386,亚马逊入库配置费!B:F,5,0)),0,VLOOKUP(D386,亚马逊入库配置费!B:F,5,0))</f>
        <v>0.49</v>
      </c>
      <c r="AE386" s="102">
        <f t="shared" ref="AE386:AE449" si="85">H386*AD386</f>
        <v>94.08</v>
      </c>
      <c r="AF386" s="103">
        <v>45768</v>
      </c>
      <c r="AG386" s="91">
        <f t="shared" ref="AG386:AG449" si="86">AF386-AA386</f>
        <v>30</v>
      </c>
      <c r="AH386" s="103">
        <v>45768</v>
      </c>
      <c r="AI386" s="103">
        <v>45800</v>
      </c>
      <c r="AJ386" s="96">
        <v>192</v>
      </c>
      <c r="AK386" s="91">
        <f t="shared" ref="AK386:AK449" si="87">AI386-AH386</f>
        <v>32</v>
      </c>
      <c r="AL386" s="96">
        <f t="shared" si="75"/>
        <v>62</v>
      </c>
      <c r="AM386" s="92"/>
      <c r="AN386" s="91"/>
      <c r="AO386" s="91"/>
    </row>
    <row r="387" spans="1:41" ht="14.5" x14ac:dyDescent="0.25">
      <c r="A387" s="92" t="s">
        <v>780</v>
      </c>
      <c r="B387" s="91"/>
      <c r="C387" s="119" t="s">
        <v>763</v>
      </c>
      <c r="D387" s="120" t="s">
        <v>774</v>
      </c>
      <c r="E387" s="135" t="s">
        <v>287</v>
      </c>
      <c r="F387" s="135" t="s">
        <v>0</v>
      </c>
      <c r="G387" s="58" t="s">
        <v>549</v>
      </c>
      <c r="H387" s="119">
        <v>16</v>
      </c>
      <c r="I387" s="119" t="s">
        <v>89</v>
      </c>
      <c r="J387" s="119" t="s">
        <v>8</v>
      </c>
      <c r="K387" s="120" t="s">
        <v>14</v>
      </c>
      <c r="L387" s="93" t="s">
        <v>3071</v>
      </c>
      <c r="M387" s="94" t="s">
        <v>3371</v>
      </c>
      <c r="N387" s="95" t="s">
        <v>2793</v>
      </c>
      <c r="O387" s="122">
        <v>1</v>
      </c>
      <c r="P387" s="111">
        <f t="shared" si="84"/>
        <v>14.579545454545455</v>
      </c>
      <c r="Q387" s="122" t="s">
        <v>16</v>
      </c>
      <c r="R387" s="122">
        <v>6</v>
      </c>
      <c r="S387" s="95"/>
      <c r="T387" s="98"/>
      <c r="U387" s="125">
        <f t="shared" si="83"/>
        <v>88.94786096256685</v>
      </c>
      <c r="V387" s="113">
        <f t="shared" ref="V387:V450" si="88">U387/H387</f>
        <v>5.5592413101604281</v>
      </c>
      <c r="W387" s="114">
        <f t="shared" ref="W387:W450" si="89">V387/7</f>
        <v>0.79417733002291835</v>
      </c>
      <c r="X387" s="95"/>
      <c r="Y387" s="95"/>
      <c r="Z387" s="102"/>
      <c r="AA387" s="103">
        <v>45738</v>
      </c>
      <c r="AB387" s="103">
        <v>45757</v>
      </c>
      <c r="AC387" s="103"/>
      <c r="AD387" s="102">
        <f>IF(ISNA(VLOOKUP(D387,亚马逊入库配置费!B:F,5,0)),0,VLOOKUP(D387,亚马逊入库配置费!B:F,5,0))</f>
        <v>0.49</v>
      </c>
      <c r="AE387" s="102">
        <f t="shared" si="85"/>
        <v>7.84</v>
      </c>
      <c r="AF387" s="103">
        <v>45768</v>
      </c>
      <c r="AG387" s="91">
        <f t="shared" si="86"/>
        <v>30</v>
      </c>
      <c r="AH387" s="103">
        <v>45768</v>
      </c>
      <c r="AI387" s="103">
        <v>45800</v>
      </c>
      <c r="AJ387" s="96">
        <v>16</v>
      </c>
      <c r="AK387" s="91">
        <f t="shared" si="87"/>
        <v>32</v>
      </c>
      <c r="AL387" s="96">
        <f t="shared" si="75"/>
        <v>62</v>
      </c>
      <c r="AM387" s="92"/>
      <c r="AN387" s="91"/>
      <c r="AO387" s="91"/>
    </row>
    <row r="388" spans="1:41" ht="14.5" x14ac:dyDescent="0.25">
      <c r="A388" s="92" t="s">
        <v>781</v>
      </c>
      <c r="B388" s="91"/>
      <c r="C388" s="119" t="s">
        <v>763</v>
      </c>
      <c r="D388" s="120" t="s">
        <v>774</v>
      </c>
      <c r="E388" s="135" t="s">
        <v>287</v>
      </c>
      <c r="F388" s="135" t="s">
        <v>0</v>
      </c>
      <c r="G388" s="58" t="s">
        <v>663</v>
      </c>
      <c r="H388" s="119">
        <v>8</v>
      </c>
      <c r="I388" s="119" t="s">
        <v>89</v>
      </c>
      <c r="J388" s="119" t="s">
        <v>8</v>
      </c>
      <c r="K388" s="120" t="s">
        <v>14</v>
      </c>
      <c r="L388" s="93" t="s">
        <v>3080</v>
      </c>
      <c r="M388" s="94" t="s">
        <v>3383</v>
      </c>
      <c r="N388" s="95" t="s">
        <v>2915</v>
      </c>
      <c r="O388" s="122">
        <v>0.5</v>
      </c>
      <c r="P388" s="111">
        <f t="shared" si="84"/>
        <v>7.2897727272727275</v>
      </c>
      <c r="Q388" s="122" t="s">
        <v>16</v>
      </c>
      <c r="R388" s="122">
        <v>6</v>
      </c>
      <c r="S388" s="95"/>
      <c r="T388" s="98"/>
      <c r="U388" s="125">
        <f t="shared" si="83"/>
        <v>44.473930481283425</v>
      </c>
      <c r="V388" s="113">
        <f t="shared" si="88"/>
        <v>5.5592413101604281</v>
      </c>
      <c r="W388" s="114">
        <f t="shared" si="89"/>
        <v>0.79417733002291835</v>
      </c>
      <c r="X388" s="95"/>
      <c r="Y388" s="95"/>
      <c r="Z388" s="102"/>
      <c r="AA388" s="103">
        <v>45738</v>
      </c>
      <c r="AB388" s="103">
        <v>45757</v>
      </c>
      <c r="AC388" s="103"/>
      <c r="AD388" s="102">
        <f>IF(ISNA(VLOOKUP(D388,亚马逊入库配置费!B:F,5,0)),0,VLOOKUP(D388,亚马逊入库配置费!B:F,5,0))</f>
        <v>0.49</v>
      </c>
      <c r="AE388" s="102">
        <f t="shared" si="85"/>
        <v>3.92</v>
      </c>
      <c r="AF388" s="103">
        <v>45768</v>
      </c>
      <c r="AG388" s="91">
        <f t="shared" si="86"/>
        <v>30</v>
      </c>
      <c r="AH388" s="103">
        <v>45768</v>
      </c>
      <c r="AI388" s="103">
        <v>45800</v>
      </c>
      <c r="AJ388" s="96">
        <v>8</v>
      </c>
      <c r="AK388" s="91">
        <f t="shared" si="87"/>
        <v>32</v>
      </c>
      <c r="AL388" s="96">
        <f t="shared" ref="AL388:AL451" si="90">AG388+AK388</f>
        <v>62</v>
      </c>
      <c r="AM388" s="92"/>
      <c r="AN388" s="91"/>
      <c r="AO388" s="91"/>
    </row>
    <row r="389" spans="1:41" ht="14.5" x14ac:dyDescent="0.25">
      <c r="A389" s="92" t="s">
        <v>782</v>
      </c>
      <c r="B389" s="91"/>
      <c r="C389" s="119" t="s">
        <v>763</v>
      </c>
      <c r="D389" s="120" t="s">
        <v>774</v>
      </c>
      <c r="E389" s="135" t="s">
        <v>287</v>
      </c>
      <c r="F389" s="135" t="s">
        <v>0</v>
      </c>
      <c r="G389" s="58" t="s">
        <v>779</v>
      </c>
      <c r="H389" s="119">
        <v>8</v>
      </c>
      <c r="I389" s="119" t="s">
        <v>89</v>
      </c>
      <c r="J389" s="119" t="s">
        <v>8</v>
      </c>
      <c r="K389" s="120" t="s">
        <v>14</v>
      </c>
      <c r="L389" s="93" t="s">
        <v>3083</v>
      </c>
      <c r="M389" s="94" t="s">
        <v>3394</v>
      </c>
      <c r="N389" s="95" t="s">
        <v>2793</v>
      </c>
      <c r="O389" s="122">
        <v>0.5</v>
      </c>
      <c r="P389" s="111">
        <f t="shared" si="84"/>
        <v>7.2897727272727275</v>
      </c>
      <c r="Q389" s="122" t="s">
        <v>16</v>
      </c>
      <c r="R389" s="122">
        <v>6</v>
      </c>
      <c r="S389" s="95"/>
      <c r="T389" s="98"/>
      <c r="U389" s="125">
        <f t="shared" si="83"/>
        <v>44.473930481283425</v>
      </c>
      <c r="V389" s="113">
        <f t="shared" si="88"/>
        <v>5.5592413101604281</v>
      </c>
      <c r="W389" s="114">
        <f t="shared" si="89"/>
        <v>0.79417733002291835</v>
      </c>
      <c r="X389" s="95"/>
      <c r="Y389" s="95"/>
      <c r="Z389" s="102"/>
      <c r="AA389" s="103">
        <v>45738</v>
      </c>
      <c r="AB389" s="103">
        <v>45757</v>
      </c>
      <c r="AC389" s="103"/>
      <c r="AD389" s="102">
        <f>IF(ISNA(VLOOKUP(D389,亚马逊入库配置费!B:F,5,0)),0,VLOOKUP(D389,亚马逊入库配置费!B:F,5,0))</f>
        <v>0.49</v>
      </c>
      <c r="AE389" s="102">
        <f t="shared" si="85"/>
        <v>3.92</v>
      </c>
      <c r="AF389" s="103">
        <v>45768</v>
      </c>
      <c r="AG389" s="91">
        <f t="shared" si="86"/>
        <v>30</v>
      </c>
      <c r="AH389" s="103">
        <v>45768</v>
      </c>
      <c r="AI389" s="103">
        <v>45800</v>
      </c>
      <c r="AJ389" s="96">
        <v>8</v>
      </c>
      <c r="AK389" s="91">
        <f t="shared" si="87"/>
        <v>32</v>
      </c>
      <c r="AL389" s="96">
        <f t="shared" si="90"/>
        <v>62</v>
      </c>
      <c r="AM389" s="92"/>
      <c r="AN389" s="91"/>
      <c r="AO389" s="91"/>
    </row>
    <row r="390" spans="1:41" ht="78" x14ac:dyDescent="0.25">
      <c r="A390" s="92" t="s">
        <v>783</v>
      </c>
      <c r="B390" s="91"/>
      <c r="C390" s="119" t="s">
        <v>784</v>
      </c>
      <c r="D390" s="120" t="s">
        <v>785</v>
      </c>
      <c r="E390" s="135" t="s">
        <v>97</v>
      </c>
      <c r="F390" s="135" t="s">
        <v>0</v>
      </c>
      <c r="G390" s="58" t="s">
        <v>786</v>
      </c>
      <c r="H390" s="119">
        <v>80</v>
      </c>
      <c r="I390" s="119" t="s">
        <v>207</v>
      </c>
      <c r="J390" s="119" t="s">
        <v>3</v>
      </c>
      <c r="K390" s="120" t="s">
        <v>11</v>
      </c>
      <c r="L390" s="93" t="s">
        <v>786</v>
      </c>
      <c r="M390" s="94" t="s">
        <v>3395</v>
      </c>
      <c r="N390" s="95" t="s">
        <v>2870</v>
      </c>
      <c r="O390" s="122">
        <v>2</v>
      </c>
      <c r="P390" s="111">
        <v>28</v>
      </c>
      <c r="Q390" s="122" t="s">
        <v>16</v>
      </c>
      <c r="R390" s="124">
        <v>52.5</v>
      </c>
      <c r="S390" s="95"/>
      <c r="T390" s="98"/>
      <c r="U390" s="125">
        <f>P390*R390+350</f>
        <v>1820</v>
      </c>
      <c r="V390" s="113">
        <f t="shared" si="88"/>
        <v>22.75</v>
      </c>
      <c r="W390" s="114">
        <f t="shared" si="89"/>
        <v>3.25</v>
      </c>
      <c r="X390" s="95"/>
      <c r="Y390" s="95"/>
      <c r="Z390" s="102"/>
      <c r="AA390" s="103">
        <v>45740</v>
      </c>
      <c r="AB390" s="103"/>
      <c r="AC390" s="103"/>
      <c r="AD390" s="102">
        <f>IF(ISNA(VLOOKUP(D390,亚马逊入库配置费!B:F,5,0)),0,VLOOKUP(D390,亚马逊入库配置费!B:F,5,0))</f>
        <v>0.34</v>
      </c>
      <c r="AE390" s="102">
        <f t="shared" si="85"/>
        <v>27.200000000000003</v>
      </c>
      <c r="AF390" s="103">
        <v>45757</v>
      </c>
      <c r="AG390" s="91">
        <f t="shared" si="86"/>
        <v>17</v>
      </c>
      <c r="AH390" s="103">
        <v>45757</v>
      </c>
      <c r="AI390" s="103">
        <v>45785</v>
      </c>
      <c r="AJ390" s="96">
        <v>80</v>
      </c>
      <c r="AK390" s="91">
        <f t="shared" si="87"/>
        <v>28</v>
      </c>
      <c r="AL390" s="96">
        <f t="shared" si="90"/>
        <v>45</v>
      </c>
      <c r="AM390" s="144" t="s">
        <v>787</v>
      </c>
      <c r="AN390" s="91"/>
      <c r="AO390" s="91"/>
    </row>
    <row r="391" spans="1:41" ht="14.5" x14ac:dyDescent="0.25">
      <c r="A391" s="92" t="s">
        <v>788</v>
      </c>
      <c r="B391" s="91"/>
      <c r="C391" s="119" t="s">
        <v>789</v>
      </c>
      <c r="D391" s="120" t="s">
        <v>790</v>
      </c>
      <c r="E391" s="135" t="s">
        <v>115</v>
      </c>
      <c r="F391" s="135" t="s">
        <v>0</v>
      </c>
      <c r="G391" s="58" t="s">
        <v>206</v>
      </c>
      <c r="H391" s="119">
        <v>480</v>
      </c>
      <c r="I391" s="119" t="s">
        <v>89</v>
      </c>
      <c r="J391" s="119" t="s">
        <v>8</v>
      </c>
      <c r="K391" s="120" t="s">
        <v>11</v>
      </c>
      <c r="L391" s="93" t="s">
        <v>3032</v>
      </c>
      <c r="M391" s="94" t="s">
        <v>3310</v>
      </c>
      <c r="N391" s="95" t="s">
        <v>2878</v>
      </c>
      <c r="O391" s="122">
        <v>16</v>
      </c>
      <c r="P391" s="111">
        <f t="shared" ref="P391:P403" si="91">2406/177*O391</f>
        <v>217.4915254237288</v>
      </c>
      <c r="Q391" s="122" t="s">
        <v>16</v>
      </c>
      <c r="R391" s="124">
        <v>4</v>
      </c>
      <c r="S391" s="95"/>
      <c r="T391" s="98"/>
      <c r="U391" s="125">
        <f t="shared" ref="U391:U403" si="92">R391*P391+350/177*O391</f>
        <v>901.60451977401124</v>
      </c>
      <c r="V391" s="113">
        <f t="shared" si="88"/>
        <v>1.87834274952919</v>
      </c>
      <c r="W391" s="114">
        <f t="shared" si="89"/>
        <v>0.26833467850416998</v>
      </c>
      <c r="X391" s="95"/>
      <c r="Y391" s="95"/>
      <c r="Z391" s="102"/>
      <c r="AA391" s="103">
        <v>45744</v>
      </c>
      <c r="AB391" s="103">
        <v>45766</v>
      </c>
      <c r="AC391" s="103"/>
      <c r="AD391" s="102">
        <f>IF(ISNA(VLOOKUP(D391,亚马逊入库配置费!B:F,5,0)),0,VLOOKUP(D391,亚马逊入库配置费!B:F,5,0))</f>
        <v>0.41</v>
      </c>
      <c r="AE391" s="102">
        <f t="shared" si="85"/>
        <v>196.79999999999998</v>
      </c>
      <c r="AF391" s="103">
        <v>45780</v>
      </c>
      <c r="AG391" s="91">
        <f t="shared" si="86"/>
        <v>36</v>
      </c>
      <c r="AH391" s="103">
        <v>45780</v>
      </c>
      <c r="AI391" s="103">
        <v>45813</v>
      </c>
      <c r="AJ391" s="96">
        <v>480</v>
      </c>
      <c r="AK391" s="91">
        <f t="shared" si="87"/>
        <v>33</v>
      </c>
      <c r="AL391" s="96">
        <f t="shared" si="90"/>
        <v>69</v>
      </c>
      <c r="AM391" s="92"/>
      <c r="AN391" s="91"/>
      <c r="AO391" s="91"/>
    </row>
    <row r="392" spans="1:41" ht="14.5" x14ac:dyDescent="0.25">
      <c r="A392" s="92" t="s">
        <v>791</v>
      </c>
      <c r="B392" s="91"/>
      <c r="C392" s="119" t="s">
        <v>789</v>
      </c>
      <c r="D392" s="120" t="s">
        <v>790</v>
      </c>
      <c r="E392" s="135" t="s">
        <v>115</v>
      </c>
      <c r="F392" s="135" t="s">
        <v>0</v>
      </c>
      <c r="G392" s="58" t="s">
        <v>211</v>
      </c>
      <c r="H392" s="119">
        <v>990</v>
      </c>
      <c r="I392" s="119" t="s">
        <v>89</v>
      </c>
      <c r="J392" s="119" t="s">
        <v>8</v>
      </c>
      <c r="K392" s="120" t="s">
        <v>11</v>
      </c>
      <c r="L392" s="93" t="s">
        <v>3034</v>
      </c>
      <c r="M392" s="94" t="s">
        <v>3312</v>
      </c>
      <c r="N392" s="95" t="s">
        <v>2869</v>
      </c>
      <c r="O392" s="122">
        <v>33</v>
      </c>
      <c r="P392" s="111">
        <f t="shared" si="91"/>
        <v>448.57627118644064</v>
      </c>
      <c r="Q392" s="122" t="s">
        <v>16</v>
      </c>
      <c r="R392" s="124">
        <v>4</v>
      </c>
      <c r="S392" s="95"/>
      <c r="T392" s="98"/>
      <c r="U392" s="125">
        <f t="shared" si="92"/>
        <v>1859.5593220338981</v>
      </c>
      <c r="V392" s="113">
        <f t="shared" si="88"/>
        <v>1.87834274952919</v>
      </c>
      <c r="W392" s="114">
        <f t="shared" si="89"/>
        <v>0.26833467850416998</v>
      </c>
      <c r="X392" s="95"/>
      <c r="Y392" s="95"/>
      <c r="Z392" s="102"/>
      <c r="AA392" s="103">
        <v>45744</v>
      </c>
      <c r="AB392" s="103">
        <v>45766</v>
      </c>
      <c r="AC392" s="103"/>
      <c r="AD392" s="102">
        <f>IF(ISNA(VLOOKUP(D392,亚马逊入库配置费!B:F,5,0)),0,VLOOKUP(D392,亚马逊入库配置费!B:F,5,0))</f>
        <v>0.41</v>
      </c>
      <c r="AE392" s="102">
        <f t="shared" si="85"/>
        <v>405.9</v>
      </c>
      <c r="AF392" s="103">
        <v>45780</v>
      </c>
      <c r="AG392" s="91">
        <f t="shared" si="86"/>
        <v>36</v>
      </c>
      <c r="AH392" s="103">
        <v>45780</v>
      </c>
      <c r="AI392" s="103">
        <v>45813</v>
      </c>
      <c r="AJ392" s="96">
        <v>995</v>
      </c>
      <c r="AK392" s="91">
        <f t="shared" si="87"/>
        <v>33</v>
      </c>
      <c r="AL392" s="96">
        <f t="shared" si="90"/>
        <v>69</v>
      </c>
      <c r="AM392" s="92"/>
      <c r="AN392" s="91"/>
      <c r="AO392" s="91"/>
    </row>
    <row r="393" spans="1:41" ht="14.5" x14ac:dyDescent="0.25">
      <c r="A393" s="92" t="s">
        <v>792</v>
      </c>
      <c r="B393" s="91"/>
      <c r="C393" s="119" t="s">
        <v>789</v>
      </c>
      <c r="D393" s="120" t="s">
        <v>790</v>
      </c>
      <c r="E393" s="135" t="s">
        <v>115</v>
      </c>
      <c r="F393" s="135" t="s">
        <v>0</v>
      </c>
      <c r="G393" s="58" t="s">
        <v>606</v>
      </c>
      <c r="H393" s="119">
        <v>180</v>
      </c>
      <c r="I393" s="119" t="s">
        <v>89</v>
      </c>
      <c r="J393" s="119" t="s">
        <v>8</v>
      </c>
      <c r="K393" s="120" t="s">
        <v>11</v>
      </c>
      <c r="L393" s="93" t="s">
        <v>3075</v>
      </c>
      <c r="M393" s="94" t="s">
        <v>3376</v>
      </c>
      <c r="N393" s="95" t="s">
        <v>2869</v>
      </c>
      <c r="O393" s="122">
        <v>6</v>
      </c>
      <c r="P393" s="111">
        <f t="shared" si="91"/>
        <v>81.559322033898297</v>
      </c>
      <c r="Q393" s="122" t="s">
        <v>16</v>
      </c>
      <c r="R393" s="124">
        <v>4</v>
      </c>
      <c r="S393" s="95"/>
      <c r="T393" s="98"/>
      <c r="U393" s="125">
        <f t="shared" si="92"/>
        <v>338.1016949152542</v>
      </c>
      <c r="V393" s="113">
        <f t="shared" si="88"/>
        <v>1.87834274952919</v>
      </c>
      <c r="W393" s="114">
        <f t="shared" si="89"/>
        <v>0.26833467850416998</v>
      </c>
      <c r="X393" s="95"/>
      <c r="Y393" s="95"/>
      <c r="Z393" s="102"/>
      <c r="AA393" s="103">
        <v>45744</v>
      </c>
      <c r="AB393" s="103">
        <v>45766</v>
      </c>
      <c r="AC393" s="103"/>
      <c r="AD393" s="102">
        <f>IF(ISNA(VLOOKUP(D393,亚马逊入库配置费!B:F,5,0)),0,VLOOKUP(D393,亚马逊入库配置费!B:F,5,0))</f>
        <v>0.41</v>
      </c>
      <c r="AE393" s="102">
        <f t="shared" si="85"/>
        <v>73.8</v>
      </c>
      <c r="AF393" s="103">
        <v>45780</v>
      </c>
      <c r="AG393" s="91">
        <f t="shared" si="86"/>
        <v>36</v>
      </c>
      <c r="AH393" s="103">
        <v>45780</v>
      </c>
      <c r="AI393" s="103">
        <v>45813</v>
      </c>
      <c r="AJ393" s="96">
        <v>180</v>
      </c>
      <c r="AK393" s="91">
        <f t="shared" si="87"/>
        <v>33</v>
      </c>
      <c r="AL393" s="96">
        <f t="shared" si="90"/>
        <v>69</v>
      </c>
      <c r="AM393" s="92"/>
      <c r="AN393" s="91"/>
      <c r="AO393" s="91"/>
    </row>
    <row r="394" spans="1:41" ht="14.5" x14ac:dyDescent="0.25">
      <c r="A394" s="92" t="s">
        <v>793</v>
      </c>
      <c r="B394" s="91"/>
      <c r="C394" s="119" t="s">
        <v>789</v>
      </c>
      <c r="D394" s="120" t="s">
        <v>790</v>
      </c>
      <c r="E394" s="135" t="s">
        <v>115</v>
      </c>
      <c r="F394" s="135" t="s">
        <v>0</v>
      </c>
      <c r="G394" s="58" t="s">
        <v>608</v>
      </c>
      <c r="H394" s="119">
        <v>120</v>
      </c>
      <c r="I394" s="119" t="s">
        <v>89</v>
      </c>
      <c r="J394" s="119" t="s">
        <v>8</v>
      </c>
      <c r="K394" s="120" t="s">
        <v>11</v>
      </c>
      <c r="L394" s="93" t="s">
        <v>3076</v>
      </c>
      <c r="M394" s="94" t="s">
        <v>3377</v>
      </c>
      <c r="N394" s="95" t="s">
        <v>2869</v>
      </c>
      <c r="O394" s="122">
        <v>4</v>
      </c>
      <c r="P394" s="111">
        <f t="shared" si="91"/>
        <v>54.372881355932201</v>
      </c>
      <c r="Q394" s="122" t="s">
        <v>16</v>
      </c>
      <c r="R394" s="124">
        <v>4</v>
      </c>
      <c r="S394" s="95"/>
      <c r="T394" s="98"/>
      <c r="U394" s="125">
        <f t="shared" si="92"/>
        <v>225.40112994350281</v>
      </c>
      <c r="V394" s="113">
        <f t="shared" si="88"/>
        <v>1.87834274952919</v>
      </c>
      <c r="W394" s="114">
        <f t="shared" si="89"/>
        <v>0.26833467850416998</v>
      </c>
      <c r="X394" s="95"/>
      <c r="Y394" s="95"/>
      <c r="Z394" s="102"/>
      <c r="AA394" s="103">
        <v>45744</v>
      </c>
      <c r="AB394" s="103">
        <v>45766</v>
      </c>
      <c r="AC394" s="103"/>
      <c r="AD394" s="102">
        <f>IF(ISNA(VLOOKUP(D394,亚马逊入库配置费!B:F,5,0)),0,VLOOKUP(D394,亚马逊入库配置费!B:F,5,0))</f>
        <v>0.41</v>
      </c>
      <c r="AE394" s="102">
        <f t="shared" si="85"/>
        <v>49.199999999999996</v>
      </c>
      <c r="AF394" s="103">
        <v>45780</v>
      </c>
      <c r="AG394" s="91">
        <f t="shared" si="86"/>
        <v>36</v>
      </c>
      <c r="AH394" s="103">
        <v>45780</v>
      </c>
      <c r="AI394" s="103">
        <v>45813</v>
      </c>
      <c r="AJ394" s="96">
        <v>120</v>
      </c>
      <c r="AK394" s="91">
        <f t="shared" si="87"/>
        <v>33</v>
      </c>
      <c r="AL394" s="96">
        <f t="shared" si="90"/>
        <v>69</v>
      </c>
      <c r="AM394" s="92"/>
      <c r="AN394" s="91"/>
      <c r="AO394" s="91"/>
    </row>
    <row r="395" spans="1:41" ht="14.5" x14ac:dyDescent="0.25">
      <c r="A395" s="92" t="s">
        <v>794</v>
      </c>
      <c r="B395" s="91"/>
      <c r="C395" s="119" t="s">
        <v>789</v>
      </c>
      <c r="D395" s="120" t="s">
        <v>790</v>
      </c>
      <c r="E395" s="135" t="s">
        <v>115</v>
      </c>
      <c r="F395" s="135" t="s">
        <v>0</v>
      </c>
      <c r="G395" s="58" t="s">
        <v>213</v>
      </c>
      <c r="H395" s="119">
        <v>300</v>
      </c>
      <c r="I395" s="119" t="s">
        <v>89</v>
      </c>
      <c r="J395" s="119" t="s">
        <v>8</v>
      </c>
      <c r="K395" s="120" t="s">
        <v>11</v>
      </c>
      <c r="L395" s="93" t="s">
        <v>3035</v>
      </c>
      <c r="M395" s="94" t="s">
        <v>3313</v>
      </c>
      <c r="N395" s="95" t="s">
        <v>2869</v>
      </c>
      <c r="O395" s="122">
        <v>10</v>
      </c>
      <c r="P395" s="111">
        <f t="shared" si="91"/>
        <v>135.93220338983051</v>
      </c>
      <c r="Q395" s="122" t="s">
        <v>16</v>
      </c>
      <c r="R395" s="124">
        <v>4</v>
      </c>
      <c r="S395" s="95"/>
      <c r="T395" s="98"/>
      <c r="U395" s="125">
        <f t="shared" si="92"/>
        <v>563.50282485875709</v>
      </c>
      <c r="V395" s="113">
        <f t="shared" si="88"/>
        <v>1.8783427495291902</v>
      </c>
      <c r="W395" s="114">
        <f t="shared" si="89"/>
        <v>0.26833467850417003</v>
      </c>
      <c r="X395" s="95"/>
      <c r="Y395" s="95"/>
      <c r="Z395" s="102"/>
      <c r="AA395" s="103">
        <v>45744</v>
      </c>
      <c r="AB395" s="103">
        <v>45766</v>
      </c>
      <c r="AC395" s="103"/>
      <c r="AD395" s="102">
        <f>IF(ISNA(VLOOKUP(D395,亚马逊入库配置费!B:F,5,0)),0,VLOOKUP(D395,亚马逊入库配置费!B:F,5,0))</f>
        <v>0.41</v>
      </c>
      <c r="AE395" s="102">
        <f t="shared" si="85"/>
        <v>122.99999999999999</v>
      </c>
      <c r="AF395" s="103">
        <v>45780</v>
      </c>
      <c r="AG395" s="91">
        <f t="shared" si="86"/>
        <v>36</v>
      </c>
      <c r="AH395" s="103">
        <v>45780</v>
      </c>
      <c r="AI395" s="103">
        <v>45813</v>
      </c>
      <c r="AJ395" s="96">
        <v>298</v>
      </c>
      <c r="AK395" s="91">
        <f t="shared" si="87"/>
        <v>33</v>
      </c>
      <c r="AL395" s="96">
        <f t="shared" si="90"/>
        <v>69</v>
      </c>
      <c r="AM395" s="92"/>
      <c r="AN395" s="91"/>
      <c r="AO395" s="91"/>
    </row>
    <row r="396" spans="1:41" ht="14.5" x14ac:dyDescent="0.25">
      <c r="A396" s="92" t="s">
        <v>795</v>
      </c>
      <c r="B396" s="91"/>
      <c r="C396" s="119" t="s">
        <v>789</v>
      </c>
      <c r="D396" s="120" t="s">
        <v>796</v>
      </c>
      <c r="E396" s="135" t="s">
        <v>97</v>
      </c>
      <c r="F396" s="135" t="s">
        <v>0</v>
      </c>
      <c r="G396" s="58" t="s">
        <v>228</v>
      </c>
      <c r="H396" s="119">
        <v>400</v>
      </c>
      <c r="I396" s="119" t="s">
        <v>89</v>
      </c>
      <c r="J396" s="119" t="s">
        <v>8</v>
      </c>
      <c r="K396" s="120" t="s">
        <v>11</v>
      </c>
      <c r="L396" s="93" t="s">
        <v>3036</v>
      </c>
      <c r="M396" s="94" t="s">
        <v>3315</v>
      </c>
      <c r="N396" s="95" t="s">
        <v>2870</v>
      </c>
      <c r="O396" s="122">
        <v>20</v>
      </c>
      <c r="P396" s="111">
        <f t="shared" si="91"/>
        <v>271.86440677966101</v>
      </c>
      <c r="Q396" s="122" t="s">
        <v>16</v>
      </c>
      <c r="R396" s="124">
        <v>4</v>
      </c>
      <c r="S396" s="95"/>
      <c r="T396" s="98"/>
      <c r="U396" s="125">
        <f t="shared" si="92"/>
        <v>1127.0056497175142</v>
      </c>
      <c r="V396" s="113">
        <f t="shared" si="88"/>
        <v>2.8175141242937856</v>
      </c>
      <c r="W396" s="114">
        <f t="shared" si="89"/>
        <v>0.4025020177562551</v>
      </c>
      <c r="X396" s="95"/>
      <c r="Y396" s="95"/>
      <c r="Z396" s="102"/>
      <c r="AA396" s="103">
        <v>45744</v>
      </c>
      <c r="AB396" s="103">
        <v>45766</v>
      </c>
      <c r="AC396" s="103"/>
      <c r="AD396" s="102">
        <f>IF(ISNA(VLOOKUP(D396,亚马逊入库配置费!B:F,5,0)),0,VLOOKUP(D396,亚马逊入库配置费!B:F,5,0))</f>
        <v>0.40696969696969698</v>
      </c>
      <c r="AE396" s="102">
        <f t="shared" si="85"/>
        <v>162.78787878787878</v>
      </c>
      <c r="AF396" s="103">
        <v>45780</v>
      </c>
      <c r="AG396" s="91">
        <f t="shared" si="86"/>
        <v>36</v>
      </c>
      <c r="AH396" s="103">
        <v>45780</v>
      </c>
      <c r="AI396" s="103">
        <v>45811</v>
      </c>
      <c r="AJ396" s="96">
        <v>400</v>
      </c>
      <c r="AK396" s="91">
        <f t="shared" si="87"/>
        <v>31</v>
      </c>
      <c r="AL396" s="96">
        <f t="shared" si="90"/>
        <v>67</v>
      </c>
      <c r="AM396" s="92"/>
      <c r="AN396" s="91"/>
      <c r="AO396" s="91"/>
    </row>
    <row r="397" spans="1:41" ht="14.5" x14ac:dyDescent="0.25">
      <c r="A397" s="92" t="s">
        <v>797</v>
      </c>
      <c r="B397" s="91"/>
      <c r="C397" s="119" t="s">
        <v>789</v>
      </c>
      <c r="D397" s="120" t="s">
        <v>796</v>
      </c>
      <c r="E397" s="135" t="s">
        <v>97</v>
      </c>
      <c r="F397" s="135" t="s">
        <v>0</v>
      </c>
      <c r="G397" s="58" t="s">
        <v>163</v>
      </c>
      <c r="H397" s="119">
        <v>1000</v>
      </c>
      <c r="I397" s="119" t="s">
        <v>89</v>
      </c>
      <c r="J397" s="119" t="s">
        <v>8</v>
      </c>
      <c r="K397" s="120" t="s">
        <v>11</v>
      </c>
      <c r="L397" s="93" t="s">
        <v>2881</v>
      </c>
      <c r="M397" s="94" t="s">
        <v>3302</v>
      </c>
      <c r="N397" s="95" t="s">
        <v>2870</v>
      </c>
      <c r="O397" s="122">
        <v>25</v>
      </c>
      <c r="P397" s="111">
        <f t="shared" si="91"/>
        <v>339.83050847457628</v>
      </c>
      <c r="Q397" s="122" t="s">
        <v>16</v>
      </c>
      <c r="R397" s="124">
        <v>4</v>
      </c>
      <c r="S397" s="95"/>
      <c r="T397" s="98"/>
      <c r="U397" s="125">
        <f t="shared" si="92"/>
        <v>1408.7570621468926</v>
      </c>
      <c r="V397" s="113">
        <f t="shared" si="88"/>
        <v>1.4087570621468926</v>
      </c>
      <c r="W397" s="114">
        <f t="shared" si="89"/>
        <v>0.2012510088781275</v>
      </c>
      <c r="X397" s="95"/>
      <c r="Y397" s="95"/>
      <c r="Z397" s="102"/>
      <c r="AA397" s="103">
        <v>45744</v>
      </c>
      <c r="AB397" s="103">
        <v>45766</v>
      </c>
      <c r="AC397" s="103"/>
      <c r="AD397" s="102">
        <f>IF(ISNA(VLOOKUP(D397,亚马逊入库配置费!B:F,5,0)),0,VLOOKUP(D397,亚马逊入库配置费!B:F,5,0))</f>
        <v>0.40696969696969698</v>
      </c>
      <c r="AE397" s="102">
        <f t="shared" si="85"/>
        <v>406.969696969697</v>
      </c>
      <c r="AF397" s="103">
        <v>45780</v>
      </c>
      <c r="AG397" s="91">
        <f t="shared" si="86"/>
        <v>36</v>
      </c>
      <c r="AH397" s="103">
        <v>45780</v>
      </c>
      <c r="AI397" s="103">
        <v>45811</v>
      </c>
      <c r="AJ397" s="96">
        <v>818</v>
      </c>
      <c r="AK397" s="91">
        <f t="shared" si="87"/>
        <v>31</v>
      </c>
      <c r="AL397" s="96">
        <f t="shared" si="90"/>
        <v>67</v>
      </c>
      <c r="AM397" s="92"/>
      <c r="AN397" s="91"/>
      <c r="AO397" s="91"/>
    </row>
    <row r="398" spans="1:41" ht="14.5" x14ac:dyDescent="0.25">
      <c r="A398" s="92" t="s">
        <v>798</v>
      </c>
      <c r="B398" s="91"/>
      <c r="C398" s="119" t="s">
        <v>789</v>
      </c>
      <c r="D398" s="120" t="s">
        <v>796</v>
      </c>
      <c r="E398" s="135" t="s">
        <v>97</v>
      </c>
      <c r="F398" s="135" t="s">
        <v>0</v>
      </c>
      <c r="G398" s="58" t="s">
        <v>352</v>
      </c>
      <c r="H398" s="119">
        <v>240</v>
      </c>
      <c r="I398" s="119" t="s">
        <v>89</v>
      </c>
      <c r="J398" s="119" t="s">
        <v>8</v>
      </c>
      <c r="K398" s="120" t="s">
        <v>11</v>
      </c>
      <c r="L398" s="93" t="s">
        <v>3049</v>
      </c>
      <c r="M398" s="94" t="s">
        <v>3336</v>
      </c>
      <c r="N398" s="95" t="s">
        <v>2870</v>
      </c>
      <c r="O398" s="122">
        <v>6</v>
      </c>
      <c r="P398" s="111">
        <f t="shared" si="91"/>
        <v>81.559322033898297</v>
      </c>
      <c r="Q398" s="122" t="s">
        <v>16</v>
      </c>
      <c r="R398" s="124">
        <v>4</v>
      </c>
      <c r="S398" s="95"/>
      <c r="T398" s="98"/>
      <c r="U398" s="125">
        <f t="shared" si="92"/>
        <v>338.1016949152542</v>
      </c>
      <c r="V398" s="113">
        <f t="shared" si="88"/>
        <v>1.4087570621468926</v>
      </c>
      <c r="W398" s="114">
        <f t="shared" si="89"/>
        <v>0.2012510088781275</v>
      </c>
      <c r="X398" s="95"/>
      <c r="Y398" s="95"/>
      <c r="Z398" s="102"/>
      <c r="AA398" s="103">
        <v>45744</v>
      </c>
      <c r="AB398" s="103">
        <v>45766</v>
      </c>
      <c r="AC398" s="103"/>
      <c r="AD398" s="102">
        <f>IF(ISNA(VLOOKUP(D398,亚马逊入库配置费!B:F,5,0)),0,VLOOKUP(D398,亚马逊入库配置费!B:F,5,0))</f>
        <v>0.40696969696969698</v>
      </c>
      <c r="AE398" s="102">
        <f t="shared" si="85"/>
        <v>97.672727272727272</v>
      </c>
      <c r="AF398" s="103">
        <v>45780</v>
      </c>
      <c r="AG398" s="91">
        <f t="shared" si="86"/>
        <v>36</v>
      </c>
      <c r="AH398" s="103">
        <v>45780</v>
      </c>
      <c r="AI398" s="103">
        <v>45811</v>
      </c>
      <c r="AJ398" s="96">
        <v>287</v>
      </c>
      <c r="AK398" s="91">
        <f t="shared" si="87"/>
        <v>31</v>
      </c>
      <c r="AL398" s="96">
        <f t="shared" si="90"/>
        <v>67</v>
      </c>
      <c r="AM398" s="92"/>
      <c r="AN398" s="91"/>
      <c r="AO398" s="91"/>
    </row>
    <row r="399" spans="1:41" ht="14.5" x14ac:dyDescent="0.25">
      <c r="A399" s="92" t="s">
        <v>799</v>
      </c>
      <c r="B399" s="91"/>
      <c r="C399" s="119" t="s">
        <v>789</v>
      </c>
      <c r="D399" s="120" t="s">
        <v>796</v>
      </c>
      <c r="E399" s="135" t="s">
        <v>97</v>
      </c>
      <c r="F399" s="135" t="s">
        <v>0</v>
      </c>
      <c r="G399" s="58" t="s">
        <v>165</v>
      </c>
      <c r="H399" s="119">
        <v>1000</v>
      </c>
      <c r="I399" s="119" t="s">
        <v>89</v>
      </c>
      <c r="J399" s="119" t="s">
        <v>8</v>
      </c>
      <c r="K399" s="120" t="s">
        <v>11</v>
      </c>
      <c r="L399" s="93" t="s">
        <v>2880</v>
      </c>
      <c r="M399" s="94" t="s">
        <v>3209</v>
      </c>
      <c r="N399" s="95" t="s">
        <v>2870</v>
      </c>
      <c r="O399" s="122">
        <v>25</v>
      </c>
      <c r="P399" s="111">
        <f t="shared" si="91"/>
        <v>339.83050847457628</v>
      </c>
      <c r="Q399" s="122" t="s">
        <v>16</v>
      </c>
      <c r="R399" s="124">
        <v>4</v>
      </c>
      <c r="S399" s="95"/>
      <c r="T399" s="98"/>
      <c r="U399" s="125">
        <f t="shared" si="92"/>
        <v>1408.7570621468926</v>
      </c>
      <c r="V399" s="113">
        <f t="shared" si="88"/>
        <v>1.4087570621468926</v>
      </c>
      <c r="W399" s="114">
        <f t="shared" si="89"/>
        <v>0.2012510088781275</v>
      </c>
      <c r="X399" s="95"/>
      <c r="Y399" s="95"/>
      <c r="Z399" s="102"/>
      <c r="AA399" s="103">
        <v>45744</v>
      </c>
      <c r="AB399" s="103">
        <v>45766</v>
      </c>
      <c r="AC399" s="103"/>
      <c r="AD399" s="102">
        <f>IF(ISNA(VLOOKUP(D399,亚马逊入库配置费!B:F,5,0)),0,VLOOKUP(D399,亚马逊入库配置费!B:F,5,0))</f>
        <v>0.40696969696969698</v>
      </c>
      <c r="AE399" s="102">
        <f t="shared" si="85"/>
        <v>406.969696969697</v>
      </c>
      <c r="AF399" s="103">
        <v>45780</v>
      </c>
      <c r="AG399" s="91">
        <f t="shared" si="86"/>
        <v>36</v>
      </c>
      <c r="AH399" s="103">
        <v>45780</v>
      </c>
      <c r="AI399" s="103">
        <v>45811</v>
      </c>
      <c r="AJ399" s="96">
        <v>1000</v>
      </c>
      <c r="AK399" s="91">
        <f t="shared" si="87"/>
        <v>31</v>
      </c>
      <c r="AL399" s="96">
        <f t="shared" si="90"/>
        <v>67</v>
      </c>
      <c r="AM399" s="92"/>
      <c r="AN399" s="91"/>
      <c r="AO399" s="91"/>
    </row>
    <row r="400" spans="1:41" ht="14.5" x14ac:dyDescent="0.25">
      <c r="A400" s="92" t="s">
        <v>800</v>
      </c>
      <c r="B400" s="91"/>
      <c r="C400" s="119" t="s">
        <v>789</v>
      </c>
      <c r="D400" s="120" t="s">
        <v>796</v>
      </c>
      <c r="E400" s="135" t="s">
        <v>97</v>
      </c>
      <c r="F400" s="135" t="s">
        <v>0</v>
      </c>
      <c r="G400" s="58" t="s">
        <v>169</v>
      </c>
      <c r="H400" s="119">
        <v>600</v>
      </c>
      <c r="I400" s="119" t="s">
        <v>89</v>
      </c>
      <c r="J400" s="119" t="s">
        <v>8</v>
      </c>
      <c r="K400" s="120" t="s">
        <v>11</v>
      </c>
      <c r="L400" s="93" t="s">
        <v>3026</v>
      </c>
      <c r="M400" s="94" t="s">
        <v>3211</v>
      </c>
      <c r="N400" s="95" t="s">
        <v>2876</v>
      </c>
      <c r="O400" s="122">
        <v>20</v>
      </c>
      <c r="P400" s="111">
        <f t="shared" si="91"/>
        <v>271.86440677966101</v>
      </c>
      <c r="Q400" s="122" t="s">
        <v>16</v>
      </c>
      <c r="R400" s="124">
        <v>4</v>
      </c>
      <c r="S400" s="95"/>
      <c r="T400" s="98"/>
      <c r="U400" s="125">
        <f t="shared" si="92"/>
        <v>1127.0056497175142</v>
      </c>
      <c r="V400" s="113">
        <f t="shared" si="88"/>
        <v>1.8783427495291902</v>
      </c>
      <c r="W400" s="114">
        <f t="shared" si="89"/>
        <v>0.26833467850417003</v>
      </c>
      <c r="X400" s="95"/>
      <c r="Y400" s="95"/>
      <c r="Z400" s="102"/>
      <c r="AA400" s="103">
        <v>45744</v>
      </c>
      <c r="AB400" s="103">
        <v>45766</v>
      </c>
      <c r="AC400" s="103"/>
      <c r="AD400" s="102">
        <f>IF(ISNA(VLOOKUP(D400,亚马逊入库配置费!B:F,5,0)),0,VLOOKUP(D400,亚马逊入库配置费!B:F,5,0))</f>
        <v>0.40696969696969698</v>
      </c>
      <c r="AE400" s="102">
        <f t="shared" si="85"/>
        <v>244.18181818181819</v>
      </c>
      <c r="AF400" s="103">
        <v>45780</v>
      </c>
      <c r="AG400" s="91">
        <f t="shared" si="86"/>
        <v>36</v>
      </c>
      <c r="AH400" s="103">
        <v>45780</v>
      </c>
      <c r="AI400" s="103">
        <v>45811</v>
      </c>
      <c r="AJ400" s="96">
        <v>600</v>
      </c>
      <c r="AK400" s="91">
        <f t="shared" si="87"/>
        <v>31</v>
      </c>
      <c r="AL400" s="96">
        <f t="shared" si="90"/>
        <v>67</v>
      </c>
      <c r="AM400" s="92"/>
      <c r="AN400" s="91"/>
      <c r="AO400" s="91"/>
    </row>
    <row r="401" spans="1:41" ht="14.5" x14ac:dyDescent="0.25">
      <c r="A401" s="92" t="s">
        <v>801</v>
      </c>
      <c r="B401" s="91"/>
      <c r="C401" s="119" t="s">
        <v>789</v>
      </c>
      <c r="D401" s="120" t="s">
        <v>796</v>
      </c>
      <c r="E401" s="135" t="s">
        <v>97</v>
      </c>
      <c r="F401" s="135" t="s">
        <v>0</v>
      </c>
      <c r="G401" s="58" t="s">
        <v>173</v>
      </c>
      <c r="H401" s="119">
        <v>180</v>
      </c>
      <c r="I401" s="119" t="s">
        <v>89</v>
      </c>
      <c r="J401" s="119" t="s">
        <v>8</v>
      </c>
      <c r="K401" s="120" t="s">
        <v>11</v>
      </c>
      <c r="L401" s="93" t="s">
        <v>3028</v>
      </c>
      <c r="M401" s="94" t="s">
        <v>3304</v>
      </c>
      <c r="N401" s="95" t="s">
        <v>2876</v>
      </c>
      <c r="O401" s="122">
        <v>6</v>
      </c>
      <c r="P401" s="111">
        <f t="shared" si="91"/>
        <v>81.559322033898297</v>
      </c>
      <c r="Q401" s="122" t="s">
        <v>16</v>
      </c>
      <c r="R401" s="124">
        <v>4</v>
      </c>
      <c r="S401" s="95"/>
      <c r="T401" s="98"/>
      <c r="U401" s="125">
        <f t="shared" si="92"/>
        <v>338.1016949152542</v>
      </c>
      <c r="V401" s="113">
        <f t="shared" si="88"/>
        <v>1.87834274952919</v>
      </c>
      <c r="W401" s="114">
        <f t="shared" si="89"/>
        <v>0.26833467850416998</v>
      </c>
      <c r="X401" s="95"/>
      <c r="Y401" s="95"/>
      <c r="Z401" s="102"/>
      <c r="AA401" s="103">
        <v>45744</v>
      </c>
      <c r="AB401" s="103">
        <v>45766</v>
      </c>
      <c r="AC401" s="103"/>
      <c r="AD401" s="102">
        <f>IF(ISNA(VLOOKUP(D401,亚马逊入库配置费!B:F,5,0)),0,VLOOKUP(D401,亚马逊入库配置费!B:F,5,0))</f>
        <v>0.40696969696969698</v>
      </c>
      <c r="AE401" s="102">
        <f t="shared" si="85"/>
        <v>73.25454545454545</v>
      </c>
      <c r="AF401" s="103">
        <v>45780</v>
      </c>
      <c r="AG401" s="91">
        <f t="shared" si="86"/>
        <v>36</v>
      </c>
      <c r="AH401" s="103">
        <v>45780</v>
      </c>
      <c r="AI401" s="103">
        <v>45811</v>
      </c>
      <c r="AJ401" s="96">
        <v>180</v>
      </c>
      <c r="AK401" s="91">
        <f t="shared" si="87"/>
        <v>31</v>
      </c>
      <c r="AL401" s="96">
        <f t="shared" si="90"/>
        <v>67</v>
      </c>
      <c r="AM401" s="92"/>
      <c r="AN401" s="91"/>
      <c r="AO401" s="91"/>
    </row>
    <row r="402" spans="1:41" ht="14.5" x14ac:dyDescent="0.25">
      <c r="A402" s="92" t="s">
        <v>802</v>
      </c>
      <c r="B402" s="91"/>
      <c r="C402" s="119" t="s">
        <v>789</v>
      </c>
      <c r="D402" s="120" t="s">
        <v>796</v>
      </c>
      <c r="E402" s="135" t="s">
        <v>97</v>
      </c>
      <c r="F402" s="135" t="s">
        <v>0</v>
      </c>
      <c r="G402" s="58" t="s">
        <v>180</v>
      </c>
      <c r="H402" s="119">
        <v>150</v>
      </c>
      <c r="I402" s="119" t="s">
        <v>89</v>
      </c>
      <c r="J402" s="119" t="s">
        <v>8</v>
      </c>
      <c r="K402" s="120" t="s">
        <v>11</v>
      </c>
      <c r="L402" s="93" t="s">
        <v>3031</v>
      </c>
      <c r="M402" s="94" t="s">
        <v>3213</v>
      </c>
      <c r="N402" s="95" t="s">
        <v>2876</v>
      </c>
      <c r="O402" s="122">
        <v>5</v>
      </c>
      <c r="P402" s="111">
        <f t="shared" si="91"/>
        <v>67.966101694915253</v>
      </c>
      <c r="Q402" s="122" t="s">
        <v>16</v>
      </c>
      <c r="R402" s="124">
        <v>4</v>
      </c>
      <c r="S402" s="95"/>
      <c r="T402" s="98"/>
      <c r="U402" s="125">
        <f t="shared" si="92"/>
        <v>281.75141242937855</v>
      </c>
      <c r="V402" s="113">
        <f t="shared" si="88"/>
        <v>1.8783427495291902</v>
      </c>
      <c r="W402" s="114">
        <f t="shared" si="89"/>
        <v>0.26833467850417003</v>
      </c>
      <c r="X402" s="95"/>
      <c r="Y402" s="95"/>
      <c r="Z402" s="102"/>
      <c r="AA402" s="103">
        <v>45744</v>
      </c>
      <c r="AB402" s="103">
        <v>45766</v>
      </c>
      <c r="AC402" s="103"/>
      <c r="AD402" s="102">
        <f>IF(ISNA(VLOOKUP(D402,亚马逊入库配置费!B:F,5,0)),0,VLOOKUP(D402,亚马逊入库配置费!B:F,5,0))</f>
        <v>0.40696969696969698</v>
      </c>
      <c r="AE402" s="102">
        <f t="shared" si="85"/>
        <v>61.045454545454547</v>
      </c>
      <c r="AF402" s="103">
        <v>45780</v>
      </c>
      <c r="AG402" s="91">
        <f t="shared" si="86"/>
        <v>36</v>
      </c>
      <c r="AH402" s="103">
        <v>45780</v>
      </c>
      <c r="AI402" s="103">
        <v>45811</v>
      </c>
      <c r="AJ402" s="96">
        <v>155</v>
      </c>
      <c r="AK402" s="91">
        <f t="shared" si="87"/>
        <v>31</v>
      </c>
      <c r="AL402" s="96">
        <f t="shared" si="90"/>
        <v>67</v>
      </c>
      <c r="AM402" s="92"/>
      <c r="AN402" s="91"/>
      <c r="AO402" s="91"/>
    </row>
    <row r="403" spans="1:41" ht="14.5" x14ac:dyDescent="0.25">
      <c r="A403" s="92" t="s">
        <v>803</v>
      </c>
      <c r="B403" s="91"/>
      <c r="C403" s="119" t="s">
        <v>789</v>
      </c>
      <c r="D403" s="120" t="s">
        <v>796</v>
      </c>
      <c r="E403" s="135" t="s">
        <v>97</v>
      </c>
      <c r="F403" s="135" t="s">
        <v>0</v>
      </c>
      <c r="G403" s="58" t="s">
        <v>496</v>
      </c>
      <c r="H403" s="119">
        <v>60</v>
      </c>
      <c r="I403" s="119" t="s">
        <v>89</v>
      </c>
      <c r="J403" s="119" t="s">
        <v>8</v>
      </c>
      <c r="K403" s="120" t="s">
        <v>11</v>
      </c>
      <c r="L403" s="93" t="s">
        <v>3067</v>
      </c>
      <c r="M403" s="94" t="s">
        <v>3360</v>
      </c>
      <c r="N403" s="95" t="s">
        <v>3068</v>
      </c>
      <c r="O403" s="122">
        <v>1</v>
      </c>
      <c r="P403" s="111">
        <f t="shared" si="91"/>
        <v>13.59322033898305</v>
      </c>
      <c r="Q403" s="122" t="s">
        <v>16</v>
      </c>
      <c r="R403" s="124">
        <v>4</v>
      </c>
      <c r="S403" s="95"/>
      <c r="T403" s="98"/>
      <c r="U403" s="125">
        <f t="shared" si="92"/>
        <v>56.350282485875702</v>
      </c>
      <c r="V403" s="113">
        <f t="shared" si="88"/>
        <v>0.939171374764595</v>
      </c>
      <c r="W403" s="114">
        <f t="shared" si="89"/>
        <v>0.13416733925208499</v>
      </c>
      <c r="X403" s="95"/>
      <c r="Y403" s="95"/>
      <c r="Z403" s="102"/>
      <c r="AA403" s="103">
        <v>45744</v>
      </c>
      <c r="AB403" s="103">
        <v>45766</v>
      </c>
      <c r="AC403" s="103"/>
      <c r="AD403" s="102">
        <f>IF(ISNA(VLOOKUP(D403,亚马逊入库配置费!B:F,5,0)),0,VLOOKUP(D403,亚马逊入库配置费!B:F,5,0))</f>
        <v>0.40696969696969698</v>
      </c>
      <c r="AE403" s="102">
        <f t="shared" si="85"/>
        <v>24.418181818181818</v>
      </c>
      <c r="AF403" s="103">
        <v>45780</v>
      </c>
      <c r="AG403" s="91">
        <f t="shared" si="86"/>
        <v>36</v>
      </c>
      <c r="AH403" s="103">
        <v>45780</v>
      </c>
      <c r="AI403" s="103">
        <v>45811</v>
      </c>
      <c r="AJ403" s="96">
        <v>61</v>
      </c>
      <c r="AK403" s="91">
        <f t="shared" si="87"/>
        <v>31</v>
      </c>
      <c r="AL403" s="96">
        <f t="shared" si="90"/>
        <v>67</v>
      </c>
      <c r="AM403" s="92"/>
      <c r="AN403" s="91"/>
      <c r="AO403" s="91"/>
    </row>
    <row r="404" spans="1:41" ht="14.5" x14ac:dyDescent="0.25">
      <c r="A404" s="92" t="s">
        <v>804</v>
      </c>
      <c r="B404" s="91"/>
      <c r="C404" s="119" t="s">
        <v>805</v>
      </c>
      <c r="D404" s="120" t="s">
        <v>806</v>
      </c>
      <c r="E404" s="135" t="s">
        <v>270</v>
      </c>
      <c r="F404" s="135" t="s">
        <v>271</v>
      </c>
      <c r="G404" s="58" t="s">
        <v>163</v>
      </c>
      <c r="H404" s="119">
        <v>160</v>
      </c>
      <c r="I404" s="119" t="s">
        <v>263</v>
      </c>
      <c r="J404" s="119" t="s">
        <v>272</v>
      </c>
      <c r="K404" s="120" t="s">
        <v>273</v>
      </c>
      <c r="L404" s="93" t="s">
        <v>2881</v>
      </c>
      <c r="M404" s="94" t="s">
        <v>3302</v>
      </c>
      <c r="N404" s="95" t="s">
        <v>2870</v>
      </c>
      <c r="O404" s="122">
        <v>4</v>
      </c>
      <c r="P404" s="111">
        <f t="shared" ref="P404:P409" si="93">0.9/18*O404</f>
        <v>0.2</v>
      </c>
      <c r="Q404" s="122" t="s">
        <v>3264</v>
      </c>
      <c r="R404" s="124">
        <v>790</v>
      </c>
      <c r="S404" s="95"/>
      <c r="T404" s="98"/>
      <c r="U404" s="125">
        <f t="shared" ref="U404:U409" si="94">R404*P404+(600+84.86)/18*O404</f>
        <v>310.19111111111113</v>
      </c>
      <c r="V404" s="113">
        <f t="shared" si="88"/>
        <v>1.9386944444444445</v>
      </c>
      <c r="W404" s="114">
        <f t="shared" si="89"/>
        <v>0.27695634920634921</v>
      </c>
      <c r="X404" s="95"/>
      <c r="Y404" s="95"/>
      <c r="Z404" s="102"/>
      <c r="AA404" s="103">
        <v>45744</v>
      </c>
      <c r="AB404" s="103">
        <v>45768</v>
      </c>
      <c r="AC404" s="103"/>
      <c r="AD404" s="102">
        <f>IF(ISNA(VLOOKUP(D404,亚马逊入库配置费!B:F,5,0)),0,VLOOKUP(D404,亚马逊入库配置费!B:F,5,0))</f>
        <v>0</v>
      </c>
      <c r="AE404" s="102">
        <f t="shared" si="85"/>
        <v>0</v>
      </c>
      <c r="AF404" s="103">
        <v>45776</v>
      </c>
      <c r="AG404" s="91">
        <f t="shared" si="86"/>
        <v>32</v>
      </c>
      <c r="AH404" s="103">
        <v>45776</v>
      </c>
      <c r="AI404" s="103">
        <v>45791</v>
      </c>
      <c r="AJ404" s="96">
        <v>160</v>
      </c>
      <c r="AK404" s="91">
        <f t="shared" si="87"/>
        <v>15</v>
      </c>
      <c r="AL404" s="96">
        <f t="shared" si="90"/>
        <v>47</v>
      </c>
      <c r="AM404" s="92"/>
      <c r="AN404" s="91"/>
      <c r="AO404" s="91"/>
    </row>
    <row r="405" spans="1:41" ht="14.5" x14ac:dyDescent="0.25">
      <c r="A405" s="92" t="s">
        <v>807</v>
      </c>
      <c r="B405" s="91"/>
      <c r="C405" s="119" t="s">
        <v>805</v>
      </c>
      <c r="D405" s="120" t="s">
        <v>806</v>
      </c>
      <c r="E405" s="135" t="s">
        <v>270</v>
      </c>
      <c r="F405" s="135" t="s">
        <v>271</v>
      </c>
      <c r="G405" s="58" t="s">
        <v>165</v>
      </c>
      <c r="H405" s="119">
        <v>80</v>
      </c>
      <c r="I405" s="119" t="s">
        <v>263</v>
      </c>
      <c r="J405" s="119" t="s">
        <v>272</v>
      </c>
      <c r="K405" s="120" t="s">
        <v>273</v>
      </c>
      <c r="L405" s="93" t="s">
        <v>2880</v>
      </c>
      <c r="M405" s="94" t="s">
        <v>3209</v>
      </c>
      <c r="N405" s="95" t="s">
        <v>2870</v>
      </c>
      <c r="O405" s="122">
        <v>2</v>
      </c>
      <c r="P405" s="111">
        <f t="shared" si="93"/>
        <v>0.1</v>
      </c>
      <c r="Q405" s="122" t="s">
        <v>3264</v>
      </c>
      <c r="R405" s="124">
        <v>790</v>
      </c>
      <c r="S405" s="95"/>
      <c r="T405" s="98"/>
      <c r="U405" s="125">
        <f t="shared" si="94"/>
        <v>155.09555555555556</v>
      </c>
      <c r="V405" s="113">
        <f t="shared" si="88"/>
        <v>1.9386944444444445</v>
      </c>
      <c r="W405" s="114">
        <f t="shared" si="89"/>
        <v>0.27695634920634921</v>
      </c>
      <c r="X405" s="95"/>
      <c r="Y405" s="95"/>
      <c r="Z405" s="102"/>
      <c r="AA405" s="103">
        <v>45744</v>
      </c>
      <c r="AB405" s="103">
        <v>45768</v>
      </c>
      <c r="AC405" s="103"/>
      <c r="AD405" s="102">
        <f>IF(ISNA(VLOOKUP(D405,亚马逊入库配置费!B:F,5,0)),0,VLOOKUP(D405,亚马逊入库配置费!B:F,5,0))</f>
        <v>0</v>
      </c>
      <c r="AE405" s="102">
        <f t="shared" si="85"/>
        <v>0</v>
      </c>
      <c r="AF405" s="103">
        <v>45776</v>
      </c>
      <c r="AG405" s="91">
        <f t="shared" si="86"/>
        <v>32</v>
      </c>
      <c r="AH405" s="103">
        <v>45776</v>
      </c>
      <c r="AI405" s="103">
        <v>45791</v>
      </c>
      <c r="AJ405" s="96">
        <v>80</v>
      </c>
      <c r="AK405" s="91">
        <f t="shared" si="87"/>
        <v>15</v>
      </c>
      <c r="AL405" s="96">
        <f t="shared" si="90"/>
        <v>47</v>
      </c>
      <c r="AM405" s="92"/>
      <c r="AN405" s="91"/>
      <c r="AO405" s="91"/>
    </row>
    <row r="406" spans="1:41" ht="14.5" x14ac:dyDescent="0.25">
      <c r="A406" s="92" t="s">
        <v>808</v>
      </c>
      <c r="B406" s="91"/>
      <c r="C406" s="119" t="s">
        <v>805</v>
      </c>
      <c r="D406" s="120" t="s">
        <v>806</v>
      </c>
      <c r="E406" s="135" t="s">
        <v>270</v>
      </c>
      <c r="F406" s="135" t="s">
        <v>271</v>
      </c>
      <c r="G406" s="58" t="s">
        <v>167</v>
      </c>
      <c r="H406" s="119">
        <v>90</v>
      </c>
      <c r="I406" s="119" t="s">
        <v>263</v>
      </c>
      <c r="J406" s="119" t="s">
        <v>272</v>
      </c>
      <c r="K406" s="120" t="s">
        <v>273</v>
      </c>
      <c r="L406" s="93" t="s">
        <v>3025</v>
      </c>
      <c r="M406" s="94" t="s">
        <v>3210</v>
      </c>
      <c r="N406" s="95" t="s">
        <v>2876</v>
      </c>
      <c r="O406" s="122">
        <v>3</v>
      </c>
      <c r="P406" s="111">
        <f t="shared" si="93"/>
        <v>0.15000000000000002</v>
      </c>
      <c r="Q406" s="122" t="s">
        <v>3264</v>
      </c>
      <c r="R406" s="124">
        <v>790</v>
      </c>
      <c r="S406" s="95"/>
      <c r="T406" s="98"/>
      <c r="U406" s="125">
        <f t="shared" si="94"/>
        <v>232.64333333333337</v>
      </c>
      <c r="V406" s="113">
        <f t="shared" si="88"/>
        <v>2.5849259259259263</v>
      </c>
      <c r="W406" s="114">
        <f t="shared" si="89"/>
        <v>0.36927513227513231</v>
      </c>
      <c r="X406" s="95"/>
      <c r="Y406" s="95"/>
      <c r="Z406" s="102"/>
      <c r="AA406" s="103">
        <v>45744</v>
      </c>
      <c r="AB406" s="103">
        <v>45768</v>
      </c>
      <c r="AC406" s="103"/>
      <c r="AD406" s="102">
        <f>IF(ISNA(VLOOKUP(D406,亚马逊入库配置费!B:F,5,0)),0,VLOOKUP(D406,亚马逊入库配置费!B:F,5,0))</f>
        <v>0</v>
      </c>
      <c r="AE406" s="102">
        <f t="shared" si="85"/>
        <v>0</v>
      </c>
      <c r="AF406" s="103">
        <v>45776</v>
      </c>
      <c r="AG406" s="91">
        <f t="shared" si="86"/>
        <v>32</v>
      </c>
      <c r="AH406" s="103">
        <v>45776</v>
      </c>
      <c r="AI406" s="103">
        <v>45791</v>
      </c>
      <c r="AJ406" s="96">
        <v>90</v>
      </c>
      <c r="AK406" s="91">
        <f t="shared" si="87"/>
        <v>15</v>
      </c>
      <c r="AL406" s="96">
        <f t="shared" si="90"/>
        <v>47</v>
      </c>
      <c r="AM406" s="92"/>
      <c r="AN406" s="91"/>
      <c r="AO406" s="91"/>
    </row>
    <row r="407" spans="1:41" ht="14.5" x14ac:dyDescent="0.25">
      <c r="A407" s="92" t="s">
        <v>809</v>
      </c>
      <c r="B407" s="91"/>
      <c r="C407" s="119" t="s">
        <v>805</v>
      </c>
      <c r="D407" s="120" t="s">
        <v>806</v>
      </c>
      <c r="E407" s="135" t="s">
        <v>270</v>
      </c>
      <c r="F407" s="135" t="s">
        <v>271</v>
      </c>
      <c r="G407" s="58" t="s">
        <v>169</v>
      </c>
      <c r="H407" s="119">
        <v>90</v>
      </c>
      <c r="I407" s="119" t="s">
        <v>263</v>
      </c>
      <c r="J407" s="119" t="s">
        <v>272</v>
      </c>
      <c r="K407" s="120" t="s">
        <v>273</v>
      </c>
      <c r="L407" s="93" t="s">
        <v>3026</v>
      </c>
      <c r="M407" s="94" t="s">
        <v>3211</v>
      </c>
      <c r="N407" s="95" t="s">
        <v>2876</v>
      </c>
      <c r="O407" s="122">
        <v>3</v>
      </c>
      <c r="P407" s="111">
        <f t="shared" si="93"/>
        <v>0.15000000000000002</v>
      </c>
      <c r="Q407" s="122" t="s">
        <v>3264</v>
      </c>
      <c r="R407" s="124">
        <v>790</v>
      </c>
      <c r="S407" s="95"/>
      <c r="T407" s="98"/>
      <c r="U407" s="125">
        <f t="shared" si="94"/>
        <v>232.64333333333337</v>
      </c>
      <c r="V407" s="113">
        <f t="shared" si="88"/>
        <v>2.5849259259259263</v>
      </c>
      <c r="W407" s="114">
        <f t="shared" si="89"/>
        <v>0.36927513227513231</v>
      </c>
      <c r="X407" s="95"/>
      <c r="Y407" s="95"/>
      <c r="Z407" s="102"/>
      <c r="AA407" s="103">
        <v>45744</v>
      </c>
      <c r="AB407" s="103">
        <v>45768</v>
      </c>
      <c r="AC407" s="103"/>
      <c r="AD407" s="102">
        <f>IF(ISNA(VLOOKUP(D407,亚马逊入库配置费!B:F,5,0)),0,VLOOKUP(D407,亚马逊入库配置费!B:F,5,0))</f>
        <v>0</v>
      </c>
      <c r="AE407" s="102">
        <f t="shared" si="85"/>
        <v>0</v>
      </c>
      <c r="AF407" s="103">
        <v>45776</v>
      </c>
      <c r="AG407" s="91">
        <f t="shared" si="86"/>
        <v>32</v>
      </c>
      <c r="AH407" s="103">
        <v>45776</v>
      </c>
      <c r="AI407" s="103">
        <v>45791</v>
      </c>
      <c r="AJ407" s="96">
        <v>90</v>
      </c>
      <c r="AK407" s="91">
        <f t="shared" si="87"/>
        <v>15</v>
      </c>
      <c r="AL407" s="96">
        <f t="shared" si="90"/>
        <v>47</v>
      </c>
      <c r="AM407" s="92"/>
      <c r="AN407" s="91"/>
      <c r="AO407" s="91"/>
    </row>
    <row r="408" spans="1:41" ht="14.5" x14ac:dyDescent="0.25">
      <c r="A408" s="92" t="s">
        <v>810</v>
      </c>
      <c r="B408" s="91"/>
      <c r="C408" s="119" t="s">
        <v>805</v>
      </c>
      <c r="D408" s="120" t="s">
        <v>806</v>
      </c>
      <c r="E408" s="135" t="s">
        <v>270</v>
      </c>
      <c r="F408" s="135" t="s">
        <v>271</v>
      </c>
      <c r="G408" s="58" t="s">
        <v>211</v>
      </c>
      <c r="H408" s="119">
        <v>90</v>
      </c>
      <c r="I408" s="119" t="s">
        <v>263</v>
      </c>
      <c r="J408" s="119" t="s">
        <v>272</v>
      </c>
      <c r="K408" s="120" t="s">
        <v>273</v>
      </c>
      <c r="L408" s="93" t="s">
        <v>3034</v>
      </c>
      <c r="M408" s="94" t="s">
        <v>3312</v>
      </c>
      <c r="N408" s="95" t="s">
        <v>2869</v>
      </c>
      <c r="O408" s="122">
        <v>3</v>
      </c>
      <c r="P408" s="111">
        <f t="shared" si="93"/>
        <v>0.15000000000000002</v>
      </c>
      <c r="Q408" s="122" t="s">
        <v>3264</v>
      </c>
      <c r="R408" s="124">
        <v>790</v>
      </c>
      <c r="S408" s="95"/>
      <c r="T408" s="98"/>
      <c r="U408" s="125">
        <f t="shared" si="94"/>
        <v>232.64333333333337</v>
      </c>
      <c r="V408" s="113">
        <f t="shared" si="88"/>
        <v>2.5849259259259263</v>
      </c>
      <c r="W408" s="114">
        <f t="shared" si="89"/>
        <v>0.36927513227513231</v>
      </c>
      <c r="X408" s="95"/>
      <c r="Y408" s="95"/>
      <c r="Z408" s="102"/>
      <c r="AA408" s="103">
        <v>45744</v>
      </c>
      <c r="AB408" s="103">
        <v>45768</v>
      </c>
      <c r="AC408" s="103"/>
      <c r="AD408" s="102">
        <f>IF(ISNA(VLOOKUP(D408,亚马逊入库配置费!B:F,5,0)),0,VLOOKUP(D408,亚马逊入库配置费!B:F,5,0))</f>
        <v>0</v>
      </c>
      <c r="AE408" s="102">
        <f t="shared" si="85"/>
        <v>0</v>
      </c>
      <c r="AF408" s="103">
        <v>45776</v>
      </c>
      <c r="AG408" s="91">
        <f t="shared" si="86"/>
        <v>32</v>
      </c>
      <c r="AH408" s="103">
        <v>45776</v>
      </c>
      <c r="AI408" s="103">
        <v>45791</v>
      </c>
      <c r="AJ408" s="96">
        <v>90</v>
      </c>
      <c r="AK408" s="91">
        <f t="shared" si="87"/>
        <v>15</v>
      </c>
      <c r="AL408" s="96">
        <f t="shared" si="90"/>
        <v>47</v>
      </c>
      <c r="AM408" s="92"/>
      <c r="AN408" s="91"/>
      <c r="AO408" s="91"/>
    </row>
    <row r="409" spans="1:41" ht="14.5" x14ac:dyDescent="0.25">
      <c r="A409" s="92" t="s">
        <v>811</v>
      </c>
      <c r="B409" s="91"/>
      <c r="C409" s="119" t="s">
        <v>805</v>
      </c>
      <c r="D409" s="120" t="s">
        <v>806</v>
      </c>
      <c r="E409" s="135" t="s">
        <v>270</v>
      </c>
      <c r="F409" s="135" t="s">
        <v>271</v>
      </c>
      <c r="G409" s="58" t="s">
        <v>485</v>
      </c>
      <c r="H409" s="119">
        <v>90</v>
      </c>
      <c r="I409" s="119" t="s">
        <v>263</v>
      </c>
      <c r="J409" s="119" t="s">
        <v>272</v>
      </c>
      <c r="K409" s="120" t="s">
        <v>273</v>
      </c>
      <c r="L409" s="93" t="s">
        <v>3065</v>
      </c>
      <c r="M409" s="94" t="s">
        <v>3358</v>
      </c>
      <c r="N409" s="95" t="s">
        <v>2869</v>
      </c>
      <c r="O409" s="122">
        <v>3</v>
      </c>
      <c r="P409" s="111">
        <f t="shared" si="93"/>
        <v>0.15000000000000002</v>
      </c>
      <c r="Q409" s="122" t="s">
        <v>3264</v>
      </c>
      <c r="R409" s="124">
        <v>790</v>
      </c>
      <c r="S409" s="95"/>
      <c r="T409" s="98"/>
      <c r="U409" s="125">
        <f t="shared" si="94"/>
        <v>232.64333333333337</v>
      </c>
      <c r="V409" s="113">
        <f t="shared" si="88"/>
        <v>2.5849259259259263</v>
      </c>
      <c r="W409" s="114">
        <f t="shared" si="89"/>
        <v>0.36927513227513231</v>
      </c>
      <c r="X409" s="95"/>
      <c r="Y409" s="95"/>
      <c r="Z409" s="102"/>
      <c r="AA409" s="103">
        <v>45744</v>
      </c>
      <c r="AB409" s="103">
        <v>45768</v>
      </c>
      <c r="AC409" s="103"/>
      <c r="AD409" s="102">
        <f>IF(ISNA(VLOOKUP(D409,亚马逊入库配置费!B:F,5,0)),0,VLOOKUP(D409,亚马逊入库配置费!B:F,5,0))</f>
        <v>0</v>
      </c>
      <c r="AE409" s="102">
        <f t="shared" si="85"/>
        <v>0</v>
      </c>
      <c r="AF409" s="103">
        <v>45776</v>
      </c>
      <c r="AG409" s="91">
        <f t="shared" si="86"/>
        <v>32</v>
      </c>
      <c r="AH409" s="103">
        <v>45776</v>
      </c>
      <c r="AI409" s="103">
        <v>45791</v>
      </c>
      <c r="AJ409" s="96">
        <v>90</v>
      </c>
      <c r="AK409" s="91">
        <f t="shared" si="87"/>
        <v>15</v>
      </c>
      <c r="AL409" s="96">
        <f t="shared" si="90"/>
        <v>47</v>
      </c>
      <c r="AM409" s="92"/>
      <c r="AN409" s="91"/>
      <c r="AO409" s="91"/>
    </row>
    <row r="410" spans="1:41" ht="14.5" x14ac:dyDescent="0.25">
      <c r="A410" s="92" t="s">
        <v>812</v>
      </c>
      <c r="B410" s="91"/>
      <c r="C410" s="119" t="s">
        <v>813</v>
      </c>
      <c r="D410" s="120" t="s">
        <v>814</v>
      </c>
      <c r="E410" s="135" t="s">
        <v>295</v>
      </c>
      <c r="F410" s="135" t="s">
        <v>87</v>
      </c>
      <c r="G410" s="58" t="s">
        <v>300</v>
      </c>
      <c r="H410" s="119">
        <v>876</v>
      </c>
      <c r="I410" s="119" t="s">
        <v>207</v>
      </c>
      <c r="J410" s="119" t="s">
        <v>90</v>
      </c>
      <c r="K410" s="120" t="s">
        <v>815</v>
      </c>
      <c r="L410" s="93" t="s">
        <v>2679</v>
      </c>
      <c r="M410" s="94" t="s">
        <v>3328</v>
      </c>
      <c r="N410" s="95" t="s">
        <v>2917</v>
      </c>
      <c r="O410" s="122">
        <v>73</v>
      </c>
      <c r="P410" s="111">
        <f>1375/101*O410</f>
        <v>993.81188118811883</v>
      </c>
      <c r="Q410" s="122" t="s">
        <v>16</v>
      </c>
      <c r="R410" s="124">
        <v>4.5</v>
      </c>
      <c r="S410" s="95"/>
      <c r="T410" s="98"/>
      <c r="U410" s="125">
        <f>R410*P410+350/101*O410</f>
        <v>4725.1237623762381</v>
      </c>
      <c r="V410" s="113">
        <f t="shared" si="88"/>
        <v>5.39397689768977</v>
      </c>
      <c r="W410" s="114">
        <f t="shared" si="89"/>
        <v>0.77056812824139576</v>
      </c>
      <c r="X410" s="95"/>
      <c r="Y410" s="95"/>
      <c r="Z410" s="102"/>
      <c r="AA410" s="103">
        <v>45744</v>
      </c>
      <c r="AB410" s="103">
        <v>45766</v>
      </c>
      <c r="AC410" s="103"/>
      <c r="AD410" s="102">
        <f>IF(ISNA(VLOOKUP(D410,亚马逊入库配置费!B:F,5,0)),0,VLOOKUP(D410,亚马逊入库配置费!B:F,5,0))</f>
        <v>0</v>
      </c>
      <c r="AE410" s="102">
        <f t="shared" si="85"/>
        <v>0</v>
      </c>
      <c r="AF410" s="103">
        <v>45799</v>
      </c>
      <c r="AG410" s="91">
        <f t="shared" si="86"/>
        <v>55</v>
      </c>
      <c r="AH410" s="103">
        <v>45799</v>
      </c>
      <c r="AI410" s="103">
        <v>45841</v>
      </c>
      <c r="AJ410" s="96">
        <v>876</v>
      </c>
      <c r="AK410" s="91">
        <f t="shared" si="87"/>
        <v>42</v>
      </c>
      <c r="AL410" s="96">
        <f t="shared" si="90"/>
        <v>97</v>
      </c>
      <c r="AM410" s="92"/>
      <c r="AN410" s="91"/>
      <c r="AO410" s="91"/>
    </row>
    <row r="411" spans="1:41" ht="14.5" x14ac:dyDescent="0.25">
      <c r="A411" s="92" t="s">
        <v>816</v>
      </c>
      <c r="B411" s="91"/>
      <c r="C411" s="119" t="s">
        <v>813</v>
      </c>
      <c r="D411" s="120" t="s">
        <v>814</v>
      </c>
      <c r="E411" s="135" t="s">
        <v>295</v>
      </c>
      <c r="F411" s="135" t="s">
        <v>87</v>
      </c>
      <c r="G411" s="58" t="s">
        <v>561</v>
      </c>
      <c r="H411" s="119">
        <v>240</v>
      </c>
      <c r="I411" s="119" t="s">
        <v>207</v>
      </c>
      <c r="J411" s="119" t="s">
        <v>90</v>
      </c>
      <c r="K411" s="120" t="s">
        <v>815</v>
      </c>
      <c r="L411" s="93" t="s">
        <v>2683</v>
      </c>
      <c r="M411" s="94" t="s">
        <v>3374</v>
      </c>
      <c r="N411" s="95" t="s">
        <v>2917</v>
      </c>
      <c r="O411" s="122">
        <v>20</v>
      </c>
      <c r="P411" s="111">
        <f>1375/101*O411</f>
        <v>272.2772277227723</v>
      </c>
      <c r="Q411" s="122" t="s">
        <v>16</v>
      </c>
      <c r="R411" s="124">
        <v>4.5</v>
      </c>
      <c r="S411" s="95"/>
      <c r="T411" s="98"/>
      <c r="U411" s="125">
        <f>R411*P411+350/101*O411</f>
        <v>1294.5544554455446</v>
      </c>
      <c r="V411" s="113">
        <f t="shared" si="88"/>
        <v>5.3939768976897691</v>
      </c>
      <c r="W411" s="114">
        <f t="shared" si="89"/>
        <v>0.77056812824139553</v>
      </c>
      <c r="X411" s="95"/>
      <c r="Y411" s="95"/>
      <c r="Z411" s="102"/>
      <c r="AA411" s="103">
        <v>45744</v>
      </c>
      <c r="AB411" s="103">
        <v>45766</v>
      </c>
      <c r="AC411" s="103"/>
      <c r="AD411" s="102">
        <f>IF(ISNA(VLOOKUP(D411,亚马逊入库配置费!B:F,5,0)),0,VLOOKUP(D411,亚马逊入库配置费!B:F,5,0))</f>
        <v>0</v>
      </c>
      <c r="AE411" s="102">
        <f t="shared" si="85"/>
        <v>0</v>
      </c>
      <c r="AF411" s="103">
        <v>45799</v>
      </c>
      <c r="AG411" s="91">
        <f t="shared" si="86"/>
        <v>55</v>
      </c>
      <c r="AH411" s="103">
        <v>45799</v>
      </c>
      <c r="AI411" s="103">
        <v>45841</v>
      </c>
      <c r="AJ411" s="96">
        <v>240</v>
      </c>
      <c r="AK411" s="91">
        <f t="shared" si="87"/>
        <v>42</v>
      </c>
      <c r="AL411" s="96">
        <f t="shared" si="90"/>
        <v>97</v>
      </c>
      <c r="AM411" s="92"/>
      <c r="AN411" s="91"/>
      <c r="AO411" s="91"/>
    </row>
    <row r="412" spans="1:41" ht="14.5" x14ac:dyDescent="0.25">
      <c r="A412" s="92" t="s">
        <v>817</v>
      </c>
      <c r="B412" s="91"/>
      <c r="C412" s="119" t="s">
        <v>813</v>
      </c>
      <c r="D412" s="120" t="s">
        <v>814</v>
      </c>
      <c r="E412" s="135" t="s">
        <v>295</v>
      </c>
      <c r="F412" s="135" t="s">
        <v>87</v>
      </c>
      <c r="G412" s="58" t="s">
        <v>296</v>
      </c>
      <c r="H412" s="119">
        <v>84</v>
      </c>
      <c r="I412" s="119" t="s">
        <v>207</v>
      </c>
      <c r="J412" s="119" t="s">
        <v>90</v>
      </c>
      <c r="K412" s="120" t="s">
        <v>815</v>
      </c>
      <c r="L412" s="93" t="s">
        <v>2684</v>
      </c>
      <c r="M412" s="94" t="s">
        <v>3326</v>
      </c>
      <c r="N412" s="95" t="s">
        <v>2917</v>
      </c>
      <c r="O412" s="122">
        <v>7</v>
      </c>
      <c r="P412" s="111">
        <f>1375/101*O412</f>
        <v>95.297029702970306</v>
      </c>
      <c r="Q412" s="122" t="s">
        <v>16</v>
      </c>
      <c r="R412" s="124">
        <v>4.5</v>
      </c>
      <c r="S412" s="95"/>
      <c r="T412" s="98"/>
      <c r="U412" s="125">
        <f>R412*P412+350/101*O412</f>
        <v>453.09405940594064</v>
      </c>
      <c r="V412" s="113">
        <f t="shared" si="88"/>
        <v>5.39397689768977</v>
      </c>
      <c r="W412" s="114">
        <f t="shared" si="89"/>
        <v>0.77056812824139576</v>
      </c>
      <c r="X412" s="95"/>
      <c r="Y412" s="95"/>
      <c r="Z412" s="102"/>
      <c r="AA412" s="103">
        <v>45744</v>
      </c>
      <c r="AB412" s="103">
        <v>45766</v>
      </c>
      <c r="AC412" s="103"/>
      <c r="AD412" s="102">
        <f>IF(ISNA(VLOOKUP(D412,亚马逊入库配置费!B:F,5,0)),0,VLOOKUP(D412,亚马逊入库配置费!B:F,5,0))</f>
        <v>0</v>
      </c>
      <c r="AE412" s="102">
        <f t="shared" si="85"/>
        <v>0</v>
      </c>
      <c r="AF412" s="103">
        <v>45799</v>
      </c>
      <c r="AG412" s="91">
        <f t="shared" si="86"/>
        <v>55</v>
      </c>
      <c r="AH412" s="103">
        <v>45799</v>
      </c>
      <c r="AI412" s="103">
        <v>45841</v>
      </c>
      <c r="AJ412" s="96">
        <v>84</v>
      </c>
      <c r="AK412" s="91">
        <f t="shared" si="87"/>
        <v>42</v>
      </c>
      <c r="AL412" s="96">
        <f t="shared" si="90"/>
        <v>97</v>
      </c>
      <c r="AM412" s="92"/>
      <c r="AN412" s="91"/>
      <c r="AO412" s="91"/>
    </row>
    <row r="413" spans="1:41" ht="14.5" x14ac:dyDescent="0.25">
      <c r="A413" s="92" t="s">
        <v>818</v>
      </c>
      <c r="B413" s="91"/>
      <c r="C413" s="119" t="s">
        <v>813</v>
      </c>
      <c r="D413" s="120" t="s">
        <v>814</v>
      </c>
      <c r="E413" s="135" t="s">
        <v>295</v>
      </c>
      <c r="F413" s="135" t="s">
        <v>87</v>
      </c>
      <c r="G413" s="58" t="s">
        <v>561</v>
      </c>
      <c r="H413" s="119">
        <v>5</v>
      </c>
      <c r="I413" s="119" t="s">
        <v>207</v>
      </c>
      <c r="J413" s="119" t="s">
        <v>90</v>
      </c>
      <c r="K413" s="120" t="s">
        <v>815</v>
      </c>
      <c r="L413" s="93" t="s">
        <v>2683</v>
      </c>
      <c r="M413" s="94" t="s">
        <v>3374</v>
      </c>
      <c r="N413" s="95" t="s">
        <v>2917</v>
      </c>
      <c r="O413" s="122">
        <v>0.5</v>
      </c>
      <c r="P413" s="111">
        <f>1375/101*O413</f>
        <v>6.8069306930693072</v>
      </c>
      <c r="Q413" s="122" t="s">
        <v>16</v>
      </c>
      <c r="R413" s="124">
        <v>4.5</v>
      </c>
      <c r="S413" s="95"/>
      <c r="T413" s="98"/>
      <c r="U413" s="125">
        <f>R413*P413+350/101*O413</f>
        <v>32.363861386138616</v>
      </c>
      <c r="V413" s="113">
        <f t="shared" si="88"/>
        <v>6.4727722772277234</v>
      </c>
      <c r="W413" s="114">
        <f t="shared" si="89"/>
        <v>0.92468175388967477</v>
      </c>
      <c r="X413" s="95"/>
      <c r="Y413" s="95"/>
      <c r="Z413" s="102"/>
      <c r="AA413" s="103">
        <v>45744</v>
      </c>
      <c r="AB413" s="103">
        <v>45766</v>
      </c>
      <c r="AC413" s="103"/>
      <c r="AD413" s="102">
        <f>IF(ISNA(VLOOKUP(D413,亚马逊入库配置费!B:F,5,0)),0,VLOOKUP(D413,亚马逊入库配置费!B:F,5,0))</f>
        <v>0</v>
      </c>
      <c r="AE413" s="102">
        <f t="shared" si="85"/>
        <v>0</v>
      </c>
      <c r="AF413" s="103">
        <v>45799</v>
      </c>
      <c r="AG413" s="91">
        <f t="shared" si="86"/>
        <v>55</v>
      </c>
      <c r="AH413" s="103">
        <v>45799</v>
      </c>
      <c r="AI413" s="103">
        <v>45841</v>
      </c>
      <c r="AJ413" s="96">
        <v>5</v>
      </c>
      <c r="AK413" s="91">
        <f t="shared" si="87"/>
        <v>42</v>
      </c>
      <c r="AL413" s="96">
        <f t="shared" si="90"/>
        <v>97</v>
      </c>
      <c r="AM413" s="92"/>
      <c r="AN413" s="91"/>
      <c r="AO413" s="91"/>
    </row>
    <row r="414" spans="1:41" ht="14.5" x14ac:dyDescent="0.25">
      <c r="A414" s="92" t="s">
        <v>819</v>
      </c>
      <c r="B414" s="91"/>
      <c r="C414" s="119" t="s">
        <v>813</v>
      </c>
      <c r="D414" s="120" t="s">
        <v>814</v>
      </c>
      <c r="E414" s="135" t="s">
        <v>295</v>
      </c>
      <c r="F414" s="135" t="s">
        <v>87</v>
      </c>
      <c r="G414" s="58" t="s">
        <v>296</v>
      </c>
      <c r="H414" s="119">
        <v>7</v>
      </c>
      <c r="I414" s="119" t="s">
        <v>207</v>
      </c>
      <c r="J414" s="119" t="s">
        <v>90</v>
      </c>
      <c r="K414" s="120" t="s">
        <v>815</v>
      </c>
      <c r="L414" s="93" t="s">
        <v>2684</v>
      </c>
      <c r="M414" s="94" t="s">
        <v>3326</v>
      </c>
      <c r="N414" s="95" t="s">
        <v>2917</v>
      </c>
      <c r="O414" s="122">
        <v>0.5</v>
      </c>
      <c r="P414" s="111">
        <f>1375/101*O414</f>
        <v>6.8069306930693072</v>
      </c>
      <c r="Q414" s="122" t="s">
        <v>16</v>
      </c>
      <c r="R414" s="124">
        <v>4.5</v>
      </c>
      <c r="S414" s="95"/>
      <c r="T414" s="98"/>
      <c r="U414" s="125">
        <f>R414*P414+350/101*O414</f>
        <v>32.363861386138616</v>
      </c>
      <c r="V414" s="113">
        <f t="shared" si="88"/>
        <v>4.6234087694483739</v>
      </c>
      <c r="W414" s="114">
        <f t="shared" si="89"/>
        <v>0.66048696706405341</v>
      </c>
      <c r="X414" s="95"/>
      <c r="Y414" s="95"/>
      <c r="Z414" s="102"/>
      <c r="AA414" s="103">
        <v>45744</v>
      </c>
      <c r="AB414" s="103">
        <v>45766</v>
      </c>
      <c r="AC414" s="103"/>
      <c r="AD414" s="102">
        <f>IF(ISNA(VLOOKUP(D414,亚马逊入库配置费!B:F,5,0)),0,VLOOKUP(D414,亚马逊入库配置费!B:F,5,0))</f>
        <v>0</v>
      </c>
      <c r="AE414" s="102">
        <f t="shared" si="85"/>
        <v>0</v>
      </c>
      <c r="AF414" s="103">
        <v>45799</v>
      </c>
      <c r="AG414" s="91">
        <f t="shared" si="86"/>
        <v>55</v>
      </c>
      <c r="AH414" s="103">
        <v>45799</v>
      </c>
      <c r="AI414" s="103">
        <v>45841</v>
      </c>
      <c r="AJ414" s="96">
        <v>7</v>
      </c>
      <c r="AK414" s="91">
        <f t="shared" si="87"/>
        <v>42</v>
      </c>
      <c r="AL414" s="96">
        <f t="shared" si="90"/>
        <v>97</v>
      </c>
      <c r="AM414" s="92"/>
      <c r="AN414" s="91"/>
      <c r="AO414" s="91"/>
    </row>
    <row r="415" spans="1:41" ht="14.5" x14ac:dyDescent="0.25">
      <c r="A415" s="92" t="s">
        <v>820</v>
      </c>
      <c r="B415" s="91"/>
      <c r="C415" s="119" t="s">
        <v>821</v>
      </c>
      <c r="D415" s="120" t="s">
        <v>822</v>
      </c>
      <c r="E415" s="135" t="s">
        <v>97</v>
      </c>
      <c r="F415" s="135" t="s">
        <v>0</v>
      </c>
      <c r="G415" s="58" t="s">
        <v>228</v>
      </c>
      <c r="H415" s="119">
        <v>600</v>
      </c>
      <c r="I415" s="119" t="s">
        <v>89</v>
      </c>
      <c r="J415" s="119" t="s">
        <v>8</v>
      </c>
      <c r="K415" s="120" t="s">
        <v>17</v>
      </c>
      <c r="L415" s="93" t="s">
        <v>3036</v>
      </c>
      <c r="M415" s="94" t="s">
        <v>3315</v>
      </c>
      <c r="N415" s="95" t="s">
        <v>2870</v>
      </c>
      <c r="O415" s="122">
        <v>30</v>
      </c>
      <c r="P415" s="111">
        <f t="shared" ref="P415:P420" si="95">1420/103*O415</f>
        <v>413.59223300970871</v>
      </c>
      <c r="Q415" s="122" t="s">
        <v>16</v>
      </c>
      <c r="R415" s="124">
        <f>5.5+6958/1420</f>
        <v>10.4</v>
      </c>
      <c r="S415" s="95"/>
      <c r="T415" s="98"/>
      <c r="U415" s="125">
        <f t="shared" ref="U415:U428" si="96">R415*P415+350/192*O415</f>
        <v>4356.0467233009704</v>
      </c>
      <c r="V415" s="113">
        <f t="shared" si="88"/>
        <v>7.2600778721682842</v>
      </c>
      <c r="W415" s="114">
        <f t="shared" si="89"/>
        <v>1.0371539817383264</v>
      </c>
      <c r="X415" s="95"/>
      <c r="Y415" s="95"/>
      <c r="Z415" s="102"/>
      <c r="AA415" s="103">
        <v>45750</v>
      </c>
      <c r="AB415" s="103">
        <v>45772</v>
      </c>
      <c r="AC415" s="103"/>
      <c r="AD415" s="102">
        <f>IF(ISNA(VLOOKUP(D415,亚马逊入库配置费!B:F,5,0)),0,VLOOKUP(D415,亚马逊入库配置费!B:F,5,0))</f>
        <v>0.40469026548672599</v>
      </c>
      <c r="AE415" s="102">
        <f t="shared" si="85"/>
        <v>242.81415929203558</v>
      </c>
      <c r="AF415" s="103">
        <v>45784</v>
      </c>
      <c r="AG415" s="91">
        <f t="shared" si="86"/>
        <v>34</v>
      </c>
      <c r="AH415" s="103">
        <v>45784</v>
      </c>
      <c r="AI415" s="103">
        <v>45819</v>
      </c>
      <c r="AJ415" s="96">
        <v>679</v>
      </c>
      <c r="AK415" s="91">
        <f t="shared" si="87"/>
        <v>35</v>
      </c>
      <c r="AL415" s="96">
        <f t="shared" si="90"/>
        <v>69</v>
      </c>
      <c r="AM415" s="92"/>
      <c r="AN415" s="91"/>
      <c r="AO415" s="91"/>
    </row>
    <row r="416" spans="1:41" ht="14.5" x14ac:dyDescent="0.25">
      <c r="A416" s="92" t="s">
        <v>823</v>
      </c>
      <c r="B416" s="91"/>
      <c r="C416" s="119" t="s">
        <v>821</v>
      </c>
      <c r="D416" s="120" t="s">
        <v>822</v>
      </c>
      <c r="E416" s="135" t="s">
        <v>97</v>
      </c>
      <c r="F416" s="135" t="s">
        <v>0</v>
      </c>
      <c r="G416" s="58" t="s">
        <v>163</v>
      </c>
      <c r="H416" s="119">
        <v>600</v>
      </c>
      <c r="I416" s="119" t="s">
        <v>89</v>
      </c>
      <c r="J416" s="119" t="s">
        <v>8</v>
      </c>
      <c r="K416" s="120" t="s">
        <v>17</v>
      </c>
      <c r="L416" s="93" t="s">
        <v>2881</v>
      </c>
      <c r="M416" s="94" t="s">
        <v>3302</v>
      </c>
      <c r="N416" s="95" t="s">
        <v>2870</v>
      </c>
      <c r="O416" s="122">
        <v>15</v>
      </c>
      <c r="P416" s="111">
        <f t="shared" si="95"/>
        <v>206.79611650485435</v>
      </c>
      <c r="Q416" s="122" t="s">
        <v>16</v>
      </c>
      <c r="R416" s="124">
        <f t="shared" ref="R416:R420" si="97">5.5+6958/1420</f>
        <v>10.4</v>
      </c>
      <c r="S416" s="95"/>
      <c r="T416" s="98"/>
      <c r="U416" s="125">
        <f t="shared" si="96"/>
        <v>2178.0233616504852</v>
      </c>
      <c r="V416" s="113">
        <f t="shared" si="88"/>
        <v>3.6300389360841421</v>
      </c>
      <c r="W416" s="114">
        <f t="shared" si="89"/>
        <v>0.5185769908691632</v>
      </c>
      <c r="X416" s="95"/>
      <c r="Y416" s="95"/>
      <c r="Z416" s="102"/>
      <c r="AA416" s="103">
        <v>45750</v>
      </c>
      <c r="AB416" s="103">
        <v>45772</v>
      </c>
      <c r="AC416" s="103"/>
      <c r="AD416" s="102">
        <f>IF(ISNA(VLOOKUP(D416,亚马逊入库配置费!B:F,5,0)),0,VLOOKUP(D416,亚马逊入库配置费!B:F,5,0))</f>
        <v>0.40469026548672599</v>
      </c>
      <c r="AE416" s="102">
        <f t="shared" si="85"/>
        <v>242.81415929203558</v>
      </c>
      <c r="AF416" s="103">
        <v>45784</v>
      </c>
      <c r="AG416" s="91">
        <f t="shared" si="86"/>
        <v>34</v>
      </c>
      <c r="AH416" s="103">
        <v>45784</v>
      </c>
      <c r="AI416" s="103">
        <v>45819</v>
      </c>
      <c r="AJ416" s="96">
        <v>600</v>
      </c>
      <c r="AK416" s="91">
        <f t="shared" si="87"/>
        <v>35</v>
      </c>
      <c r="AL416" s="96">
        <f t="shared" si="90"/>
        <v>69</v>
      </c>
      <c r="AM416" s="92"/>
      <c r="AN416" s="91"/>
      <c r="AO416" s="91"/>
    </row>
    <row r="417" spans="1:41" ht="14.5" x14ac:dyDescent="0.25">
      <c r="A417" s="92" t="s">
        <v>824</v>
      </c>
      <c r="B417" s="91"/>
      <c r="C417" s="119" t="s">
        <v>821</v>
      </c>
      <c r="D417" s="120" t="s">
        <v>822</v>
      </c>
      <c r="E417" s="135" t="s">
        <v>97</v>
      </c>
      <c r="F417" s="135" t="s">
        <v>0</v>
      </c>
      <c r="G417" s="58" t="s">
        <v>350</v>
      </c>
      <c r="H417" s="119">
        <v>400</v>
      </c>
      <c r="I417" s="119" t="s">
        <v>89</v>
      </c>
      <c r="J417" s="119" t="s">
        <v>8</v>
      </c>
      <c r="K417" s="120" t="s">
        <v>17</v>
      </c>
      <c r="L417" s="93" t="s">
        <v>3048</v>
      </c>
      <c r="M417" s="94" t="s">
        <v>3208</v>
      </c>
      <c r="N417" s="95" t="s">
        <v>2870</v>
      </c>
      <c r="O417" s="122">
        <v>10</v>
      </c>
      <c r="P417" s="111">
        <f t="shared" si="95"/>
        <v>137.86407766990291</v>
      </c>
      <c r="Q417" s="122" t="s">
        <v>16</v>
      </c>
      <c r="R417" s="124">
        <f t="shared" si="97"/>
        <v>10.4</v>
      </c>
      <c r="S417" s="95"/>
      <c r="T417" s="98"/>
      <c r="U417" s="125">
        <f t="shared" si="96"/>
        <v>1452.0155744336571</v>
      </c>
      <c r="V417" s="113">
        <f t="shared" si="88"/>
        <v>3.6300389360841425</v>
      </c>
      <c r="W417" s="114">
        <f t="shared" si="89"/>
        <v>0.5185769908691632</v>
      </c>
      <c r="X417" s="95"/>
      <c r="Y417" s="95"/>
      <c r="Z417" s="102"/>
      <c r="AA417" s="103">
        <v>45750</v>
      </c>
      <c r="AB417" s="103">
        <v>45772</v>
      </c>
      <c r="AC417" s="103"/>
      <c r="AD417" s="102">
        <f>IF(ISNA(VLOOKUP(D417,亚马逊入库配置费!B:F,5,0)),0,VLOOKUP(D417,亚马逊入库配置费!B:F,5,0))</f>
        <v>0.40469026548672599</v>
      </c>
      <c r="AE417" s="102">
        <f t="shared" si="85"/>
        <v>161.87610619469041</v>
      </c>
      <c r="AF417" s="103">
        <v>45784</v>
      </c>
      <c r="AG417" s="91">
        <f t="shared" si="86"/>
        <v>34</v>
      </c>
      <c r="AH417" s="103">
        <v>45784</v>
      </c>
      <c r="AI417" s="103">
        <v>45819</v>
      </c>
      <c r="AJ417" s="96">
        <v>387</v>
      </c>
      <c r="AK417" s="91">
        <f t="shared" si="87"/>
        <v>35</v>
      </c>
      <c r="AL417" s="96">
        <f t="shared" si="90"/>
        <v>69</v>
      </c>
      <c r="AM417" s="92"/>
      <c r="AN417" s="91"/>
      <c r="AO417" s="91"/>
    </row>
    <row r="418" spans="1:41" ht="14.5" x14ac:dyDescent="0.25">
      <c r="A418" s="92" t="s">
        <v>825</v>
      </c>
      <c r="B418" s="91"/>
      <c r="C418" s="119" t="s">
        <v>821</v>
      </c>
      <c r="D418" s="120" t="s">
        <v>822</v>
      </c>
      <c r="E418" s="135" t="s">
        <v>97</v>
      </c>
      <c r="F418" s="135" t="s">
        <v>0</v>
      </c>
      <c r="G418" s="58" t="s">
        <v>165</v>
      </c>
      <c r="H418" s="119">
        <v>1000</v>
      </c>
      <c r="I418" s="119" t="s">
        <v>89</v>
      </c>
      <c r="J418" s="119" t="s">
        <v>8</v>
      </c>
      <c r="K418" s="120" t="s">
        <v>17</v>
      </c>
      <c r="L418" s="93" t="s">
        <v>2880</v>
      </c>
      <c r="M418" s="94" t="s">
        <v>3209</v>
      </c>
      <c r="N418" s="95" t="s">
        <v>2870</v>
      </c>
      <c r="O418" s="122">
        <v>25</v>
      </c>
      <c r="P418" s="111">
        <f t="shared" si="95"/>
        <v>344.66019417475724</v>
      </c>
      <c r="Q418" s="122" t="s">
        <v>16</v>
      </c>
      <c r="R418" s="124">
        <f t="shared" si="97"/>
        <v>10.4</v>
      </c>
      <c r="S418" s="95"/>
      <c r="T418" s="98"/>
      <c r="U418" s="125">
        <f t="shared" si="96"/>
        <v>3630.0389360841418</v>
      </c>
      <c r="V418" s="113">
        <f t="shared" si="88"/>
        <v>3.6300389360841416</v>
      </c>
      <c r="W418" s="114">
        <f t="shared" si="89"/>
        <v>0.51857699086916309</v>
      </c>
      <c r="X418" s="95"/>
      <c r="Y418" s="95"/>
      <c r="Z418" s="102"/>
      <c r="AA418" s="103">
        <v>45750</v>
      </c>
      <c r="AB418" s="103">
        <v>45772</v>
      </c>
      <c r="AC418" s="103"/>
      <c r="AD418" s="102">
        <f>IF(ISNA(VLOOKUP(D418,亚马逊入库配置费!B:F,5,0)),0,VLOOKUP(D418,亚马逊入库配置费!B:F,5,0))</f>
        <v>0.40469026548672599</v>
      </c>
      <c r="AE418" s="102">
        <f t="shared" si="85"/>
        <v>404.69026548672599</v>
      </c>
      <c r="AF418" s="103">
        <v>45784</v>
      </c>
      <c r="AG418" s="91">
        <f t="shared" si="86"/>
        <v>34</v>
      </c>
      <c r="AH418" s="103">
        <v>45784</v>
      </c>
      <c r="AI418" s="103">
        <v>45819</v>
      </c>
      <c r="AJ418" s="96">
        <v>999</v>
      </c>
      <c r="AK418" s="91">
        <f t="shared" si="87"/>
        <v>35</v>
      </c>
      <c r="AL418" s="96">
        <f t="shared" si="90"/>
        <v>69</v>
      </c>
      <c r="AM418" s="92"/>
      <c r="AN418" s="91"/>
      <c r="AO418" s="91"/>
    </row>
    <row r="419" spans="1:41" ht="14.5" x14ac:dyDescent="0.25">
      <c r="A419" s="92" t="s">
        <v>826</v>
      </c>
      <c r="B419" s="91"/>
      <c r="C419" s="119" t="s">
        <v>821</v>
      </c>
      <c r="D419" s="120" t="s">
        <v>822</v>
      </c>
      <c r="E419" s="135" t="s">
        <v>97</v>
      </c>
      <c r="F419" s="135" t="s">
        <v>0</v>
      </c>
      <c r="G419" s="58" t="s">
        <v>786</v>
      </c>
      <c r="H419" s="119">
        <v>400</v>
      </c>
      <c r="I419" s="119" t="s">
        <v>89</v>
      </c>
      <c r="J419" s="119" t="s">
        <v>8</v>
      </c>
      <c r="K419" s="120" t="s">
        <v>17</v>
      </c>
      <c r="L419" s="93" t="s">
        <v>786</v>
      </c>
      <c r="M419" s="94" t="s">
        <v>3395</v>
      </c>
      <c r="N419" s="95" t="s">
        <v>2870</v>
      </c>
      <c r="O419" s="122">
        <v>10</v>
      </c>
      <c r="P419" s="111">
        <f t="shared" si="95"/>
        <v>137.86407766990291</v>
      </c>
      <c r="Q419" s="122" t="s">
        <v>16</v>
      </c>
      <c r="R419" s="124">
        <f t="shared" si="97"/>
        <v>10.4</v>
      </c>
      <c r="S419" s="95"/>
      <c r="T419" s="98"/>
      <c r="U419" s="125">
        <f t="shared" si="96"/>
        <v>1452.0155744336571</v>
      </c>
      <c r="V419" s="113">
        <f t="shared" si="88"/>
        <v>3.6300389360841425</v>
      </c>
      <c r="W419" s="114">
        <f t="shared" si="89"/>
        <v>0.5185769908691632</v>
      </c>
      <c r="X419" s="95"/>
      <c r="Y419" s="95"/>
      <c r="Z419" s="102"/>
      <c r="AA419" s="103">
        <v>45750</v>
      </c>
      <c r="AB419" s="103">
        <v>45772</v>
      </c>
      <c r="AC419" s="103"/>
      <c r="AD419" s="102">
        <f>IF(ISNA(VLOOKUP(D419,亚马逊入库配置费!B:F,5,0)),0,VLOOKUP(D419,亚马逊入库配置费!B:F,5,0))</f>
        <v>0.40469026548672599</v>
      </c>
      <c r="AE419" s="102">
        <f t="shared" si="85"/>
        <v>161.87610619469041</v>
      </c>
      <c r="AF419" s="103">
        <v>45784</v>
      </c>
      <c r="AG419" s="91">
        <f t="shared" si="86"/>
        <v>34</v>
      </c>
      <c r="AH419" s="103">
        <v>45784</v>
      </c>
      <c r="AI419" s="103">
        <v>45819</v>
      </c>
      <c r="AJ419" s="96">
        <v>397</v>
      </c>
      <c r="AK419" s="91">
        <f t="shared" si="87"/>
        <v>35</v>
      </c>
      <c r="AL419" s="96">
        <f t="shared" si="90"/>
        <v>69</v>
      </c>
      <c r="AM419" s="92"/>
      <c r="AN419" s="91"/>
      <c r="AO419" s="91"/>
    </row>
    <row r="420" spans="1:41" ht="14.5" x14ac:dyDescent="0.25">
      <c r="A420" s="92" t="s">
        <v>827</v>
      </c>
      <c r="B420" s="91"/>
      <c r="C420" s="119" t="s">
        <v>821</v>
      </c>
      <c r="D420" s="120" t="s">
        <v>822</v>
      </c>
      <c r="E420" s="135" t="s">
        <v>97</v>
      </c>
      <c r="F420" s="135" t="s">
        <v>0</v>
      </c>
      <c r="G420" s="58" t="s">
        <v>167</v>
      </c>
      <c r="H420" s="119">
        <v>390</v>
      </c>
      <c r="I420" s="119" t="s">
        <v>89</v>
      </c>
      <c r="J420" s="119" t="s">
        <v>8</v>
      </c>
      <c r="K420" s="120" t="s">
        <v>17</v>
      </c>
      <c r="L420" s="93" t="s">
        <v>3025</v>
      </c>
      <c r="M420" s="94" t="s">
        <v>3210</v>
      </c>
      <c r="N420" s="95" t="s">
        <v>2876</v>
      </c>
      <c r="O420" s="122">
        <v>13</v>
      </c>
      <c r="P420" s="111">
        <f t="shared" si="95"/>
        <v>179.22330097087377</v>
      </c>
      <c r="Q420" s="122" t="s">
        <v>16</v>
      </c>
      <c r="R420" s="124">
        <f t="shared" si="97"/>
        <v>10.4</v>
      </c>
      <c r="S420" s="95"/>
      <c r="T420" s="98"/>
      <c r="U420" s="125">
        <f t="shared" si="96"/>
        <v>1887.620246763754</v>
      </c>
      <c r="V420" s="113">
        <f t="shared" si="88"/>
        <v>4.8400519147788561</v>
      </c>
      <c r="W420" s="114">
        <f t="shared" si="89"/>
        <v>0.69143598782555082</v>
      </c>
      <c r="X420" s="95"/>
      <c r="Y420" s="95"/>
      <c r="Z420" s="102"/>
      <c r="AA420" s="103">
        <v>45750</v>
      </c>
      <c r="AB420" s="103">
        <v>45772</v>
      </c>
      <c r="AC420" s="103"/>
      <c r="AD420" s="102">
        <f>IF(ISNA(VLOOKUP(D420,亚马逊入库配置费!B:F,5,0)),0,VLOOKUP(D420,亚马逊入库配置费!B:F,5,0))</f>
        <v>0.40469026548672599</v>
      </c>
      <c r="AE420" s="102">
        <f t="shared" si="85"/>
        <v>157.82920353982314</v>
      </c>
      <c r="AF420" s="103">
        <v>45784</v>
      </c>
      <c r="AG420" s="91">
        <f t="shared" si="86"/>
        <v>34</v>
      </c>
      <c r="AH420" s="103">
        <v>45784</v>
      </c>
      <c r="AI420" s="103">
        <v>45819</v>
      </c>
      <c r="AJ420" s="96">
        <v>390</v>
      </c>
      <c r="AK420" s="91">
        <f t="shared" si="87"/>
        <v>35</v>
      </c>
      <c r="AL420" s="96">
        <f t="shared" si="90"/>
        <v>69</v>
      </c>
      <c r="AM420" s="92"/>
      <c r="AN420" s="91"/>
      <c r="AO420" s="91"/>
    </row>
    <row r="421" spans="1:41" ht="14.5" x14ac:dyDescent="0.25">
      <c r="A421" s="92" t="s">
        <v>828</v>
      </c>
      <c r="B421" s="91"/>
      <c r="C421" s="119" t="s">
        <v>821</v>
      </c>
      <c r="D421" s="120" t="s">
        <v>829</v>
      </c>
      <c r="E421" s="135" t="s">
        <v>115</v>
      </c>
      <c r="F421" s="135" t="s">
        <v>0</v>
      </c>
      <c r="G421" s="58" t="s">
        <v>211</v>
      </c>
      <c r="H421" s="119">
        <v>990</v>
      </c>
      <c r="I421" s="119" t="s">
        <v>89</v>
      </c>
      <c r="J421" s="119" t="s">
        <v>8</v>
      </c>
      <c r="K421" s="120" t="s">
        <v>14</v>
      </c>
      <c r="L421" s="93" t="s">
        <v>3034</v>
      </c>
      <c r="M421" s="94" t="s">
        <v>3312</v>
      </c>
      <c r="N421" s="95" t="s">
        <v>2869</v>
      </c>
      <c r="O421" s="122">
        <v>33</v>
      </c>
      <c r="P421" s="111">
        <f t="shared" ref="P421:P428" si="98">1117/89*O421</f>
        <v>414.16853932584274</v>
      </c>
      <c r="Q421" s="122" t="s">
        <v>16</v>
      </c>
      <c r="R421" s="124">
        <f>6+5473.3/1117</f>
        <v>10.9</v>
      </c>
      <c r="S421" s="95"/>
      <c r="T421" s="98"/>
      <c r="U421" s="125">
        <f t="shared" si="96"/>
        <v>4574.5933286516856</v>
      </c>
      <c r="V421" s="113">
        <f t="shared" si="88"/>
        <v>4.6208013420724097</v>
      </c>
      <c r="W421" s="114">
        <f t="shared" si="89"/>
        <v>0.66011447743891571</v>
      </c>
      <c r="X421" s="95"/>
      <c r="Y421" s="95"/>
      <c r="Z421" s="102"/>
      <c r="AA421" s="103">
        <v>45750</v>
      </c>
      <c r="AB421" s="103">
        <v>45772</v>
      </c>
      <c r="AC421" s="103"/>
      <c r="AD421" s="102">
        <f>IF(ISNA(VLOOKUP(D421,亚马逊入库配置费!B:F,5,0)),0,VLOOKUP(D421,亚马逊入库配置费!B:F,5,0))</f>
        <v>0.42070000000000002</v>
      </c>
      <c r="AE421" s="102">
        <f t="shared" si="85"/>
        <v>416.49299999999999</v>
      </c>
      <c r="AF421" s="103">
        <v>45782</v>
      </c>
      <c r="AG421" s="91">
        <f t="shared" si="86"/>
        <v>32</v>
      </c>
      <c r="AH421" s="103">
        <v>45782</v>
      </c>
      <c r="AI421" s="103">
        <v>45815</v>
      </c>
      <c r="AJ421" s="96">
        <v>990</v>
      </c>
      <c r="AK421" s="91">
        <f t="shared" si="87"/>
        <v>33</v>
      </c>
      <c r="AL421" s="96">
        <f t="shared" si="90"/>
        <v>65</v>
      </c>
      <c r="AM421" s="92"/>
      <c r="AN421" s="91"/>
      <c r="AO421" s="91"/>
    </row>
    <row r="422" spans="1:41" ht="14.5" x14ac:dyDescent="0.25">
      <c r="A422" s="92" t="s">
        <v>830</v>
      </c>
      <c r="B422" s="91"/>
      <c r="C422" s="119" t="s">
        <v>821</v>
      </c>
      <c r="D422" s="120" t="s">
        <v>829</v>
      </c>
      <c r="E422" s="135" t="s">
        <v>115</v>
      </c>
      <c r="F422" s="135" t="s">
        <v>0</v>
      </c>
      <c r="G422" s="58" t="s">
        <v>698</v>
      </c>
      <c r="H422" s="119">
        <v>160</v>
      </c>
      <c r="I422" s="119" t="s">
        <v>89</v>
      </c>
      <c r="J422" s="119" t="s">
        <v>8</v>
      </c>
      <c r="K422" s="120" t="s">
        <v>14</v>
      </c>
      <c r="L422" s="93" t="s">
        <v>3081</v>
      </c>
      <c r="M422" s="94" t="s">
        <v>3390</v>
      </c>
      <c r="N422" s="95" t="s">
        <v>2869</v>
      </c>
      <c r="O422" s="122">
        <v>10</v>
      </c>
      <c r="P422" s="111">
        <f t="shared" si="98"/>
        <v>125.50561797752809</v>
      </c>
      <c r="Q422" s="122" t="s">
        <v>16</v>
      </c>
      <c r="R422" s="124">
        <f t="shared" ref="R422:R428" si="99">6+5473.3/1117</f>
        <v>10.9</v>
      </c>
      <c r="S422" s="95"/>
      <c r="T422" s="98"/>
      <c r="U422" s="125">
        <f t="shared" si="96"/>
        <v>1386.240402621723</v>
      </c>
      <c r="V422" s="113">
        <f t="shared" si="88"/>
        <v>8.6640025163857679</v>
      </c>
      <c r="W422" s="114">
        <f t="shared" si="89"/>
        <v>1.2377146451979668</v>
      </c>
      <c r="X422" s="95"/>
      <c r="Y422" s="95"/>
      <c r="Z422" s="102"/>
      <c r="AA422" s="103">
        <v>45750</v>
      </c>
      <c r="AB422" s="103">
        <v>45772</v>
      </c>
      <c r="AC422" s="103"/>
      <c r="AD422" s="102">
        <f>IF(ISNA(VLOOKUP(D422,亚马逊入库配置费!B:F,5,0)),0,VLOOKUP(D422,亚马逊入库配置费!B:F,5,0))</f>
        <v>0.42070000000000002</v>
      </c>
      <c r="AE422" s="102">
        <f t="shared" si="85"/>
        <v>67.311999999999998</v>
      </c>
      <c r="AF422" s="103">
        <v>45782</v>
      </c>
      <c r="AG422" s="91">
        <f t="shared" si="86"/>
        <v>32</v>
      </c>
      <c r="AH422" s="103">
        <v>45782</v>
      </c>
      <c r="AI422" s="103">
        <v>45815</v>
      </c>
      <c r="AJ422" s="96">
        <v>160</v>
      </c>
      <c r="AK422" s="91">
        <f t="shared" si="87"/>
        <v>33</v>
      </c>
      <c r="AL422" s="96">
        <f t="shared" si="90"/>
        <v>65</v>
      </c>
      <c r="AM422" s="92"/>
      <c r="AN422" s="91"/>
      <c r="AO422" s="91"/>
    </row>
    <row r="423" spans="1:41" ht="14.5" x14ac:dyDescent="0.25">
      <c r="A423" s="92" t="s">
        <v>831</v>
      </c>
      <c r="B423" s="91"/>
      <c r="C423" s="119" t="s">
        <v>821</v>
      </c>
      <c r="D423" s="120" t="s">
        <v>829</v>
      </c>
      <c r="E423" s="135" t="s">
        <v>115</v>
      </c>
      <c r="F423" s="135" t="s">
        <v>0</v>
      </c>
      <c r="G423" s="58" t="s">
        <v>700</v>
      </c>
      <c r="H423" s="119">
        <v>160</v>
      </c>
      <c r="I423" s="119" t="s">
        <v>89</v>
      </c>
      <c r="J423" s="119" t="s">
        <v>8</v>
      </c>
      <c r="K423" s="120" t="s">
        <v>14</v>
      </c>
      <c r="L423" s="93" t="s">
        <v>3082</v>
      </c>
      <c r="M423" s="94" t="s">
        <v>3391</v>
      </c>
      <c r="N423" s="95" t="s">
        <v>2869</v>
      </c>
      <c r="O423" s="122">
        <v>10</v>
      </c>
      <c r="P423" s="111">
        <f t="shared" si="98"/>
        <v>125.50561797752809</v>
      </c>
      <c r="Q423" s="122" t="s">
        <v>16</v>
      </c>
      <c r="R423" s="124">
        <f t="shared" si="99"/>
        <v>10.9</v>
      </c>
      <c r="S423" s="95"/>
      <c r="T423" s="98"/>
      <c r="U423" s="125">
        <f t="shared" si="96"/>
        <v>1386.240402621723</v>
      </c>
      <c r="V423" s="113">
        <f t="shared" si="88"/>
        <v>8.6640025163857679</v>
      </c>
      <c r="W423" s="114">
        <f t="shared" si="89"/>
        <v>1.2377146451979668</v>
      </c>
      <c r="X423" s="95"/>
      <c r="Y423" s="95"/>
      <c r="Z423" s="102"/>
      <c r="AA423" s="103">
        <v>45750</v>
      </c>
      <c r="AB423" s="103">
        <v>45772</v>
      </c>
      <c r="AC423" s="103"/>
      <c r="AD423" s="102">
        <f>IF(ISNA(VLOOKUP(D423,亚马逊入库配置费!B:F,5,0)),0,VLOOKUP(D423,亚马逊入库配置费!B:F,5,0))</f>
        <v>0.42070000000000002</v>
      </c>
      <c r="AE423" s="102">
        <f t="shared" si="85"/>
        <v>67.311999999999998</v>
      </c>
      <c r="AF423" s="103">
        <v>45782</v>
      </c>
      <c r="AG423" s="91">
        <f t="shared" si="86"/>
        <v>32</v>
      </c>
      <c r="AH423" s="103">
        <v>45782</v>
      </c>
      <c r="AI423" s="103">
        <v>45815</v>
      </c>
      <c r="AJ423" s="96">
        <v>159</v>
      </c>
      <c r="AK423" s="91">
        <f t="shared" si="87"/>
        <v>33</v>
      </c>
      <c r="AL423" s="96">
        <f t="shared" si="90"/>
        <v>65</v>
      </c>
      <c r="AM423" s="92"/>
      <c r="AN423" s="91"/>
      <c r="AO423" s="91"/>
    </row>
    <row r="424" spans="1:41" ht="14.5" x14ac:dyDescent="0.25">
      <c r="A424" s="92" t="s">
        <v>832</v>
      </c>
      <c r="B424" s="91"/>
      <c r="C424" s="119" t="s">
        <v>821</v>
      </c>
      <c r="D424" s="120" t="s">
        <v>829</v>
      </c>
      <c r="E424" s="135" t="s">
        <v>115</v>
      </c>
      <c r="F424" s="135" t="s">
        <v>0</v>
      </c>
      <c r="G424" s="58" t="s">
        <v>608</v>
      </c>
      <c r="H424" s="119">
        <v>390</v>
      </c>
      <c r="I424" s="119" t="s">
        <v>89</v>
      </c>
      <c r="J424" s="119" t="s">
        <v>8</v>
      </c>
      <c r="K424" s="120" t="s">
        <v>14</v>
      </c>
      <c r="L424" s="93" t="s">
        <v>3076</v>
      </c>
      <c r="M424" s="94" t="s">
        <v>3377</v>
      </c>
      <c r="N424" s="95" t="s">
        <v>2869</v>
      </c>
      <c r="O424" s="122">
        <v>13</v>
      </c>
      <c r="P424" s="111">
        <f t="shared" si="98"/>
        <v>163.15730337078654</v>
      </c>
      <c r="Q424" s="122" t="s">
        <v>16</v>
      </c>
      <c r="R424" s="124">
        <f t="shared" si="99"/>
        <v>10.9</v>
      </c>
      <c r="S424" s="95"/>
      <c r="T424" s="98"/>
      <c r="U424" s="125">
        <f t="shared" si="96"/>
        <v>1802.1125234082401</v>
      </c>
      <c r="V424" s="113">
        <f t="shared" si="88"/>
        <v>4.6208013420724106</v>
      </c>
      <c r="W424" s="114">
        <f t="shared" si="89"/>
        <v>0.66011447743891583</v>
      </c>
      <c r="X424" s="95"/>
      <c r="Y424" s="95"/>
      <c r="Z424" s="102"/>
      <c r="AA424" s="103">
        <v>45750</v>
      </c>
      <c r="AB424" s="103">
        <v>45772</v>
      </c>
      <c r="AC424" s="103"/>
      <c r="AD424" s="102">
        <f>IF(ISNA(VLOOKUP(D424,亚马逊入库配置费!B:F,5,0)),0,VLOOKUP(D424,亚马逊入库配置费!B:F,5,0))</f>
        <v>0.42070000000000002</v>
      </c>
      <c r="AE424" s="102">
        <f t="shared" si="85"/>
        <v>164.07300000000001</v>
      </c>
      <c r="AF424" s="103">
        <v>45782</v>
      </c>
      <c r="AG424" s="91">
        <f t="shared" si="86"/>
        <v>32</v>
      </c>
      <c r="AH424" s="103">
        <v>45782</v>
      </c>
      <c r="AI424" s="103">
        <v>45815</v>
      </c>
      <c r="AJ424" s="96">
        <v>390</v>
      </c>
      <c r="AK424" s="91">
        <f t="shared" si="87"/>
        <v>33</v>
      </c>
      <c r="AL424" s="96">
        <f t="shared" si="90"/>
        <v>65</v>
      </c>
      <c r="AM424" s="92"/>
      <c r="AN424" s="91"/>
      <c r="AO424" s="91"/>
    </row>
    <row r="425" spans="1:41" ht="14.5" x14ac:dyDescent="0.25">
      <c r="A425" s="92" t="s">
        <v>833</v>
      </c>
      <c r="B425" s="91"/>
      <c r="C425" s="119" t="s">
        <v>821</v>
      </c>
      <c r="D425" s="120" t="s">
        <v>829</v>
      </c>
      <c r="E425" s="135" t="s">
        <v>115</v>
      </c>
      <c r="F425" s="135" t="s">
        <v>0</v>
      </c>
      <c r="G425" s="58" t="s">
        <v>487</v>
      </c>
      <c r="H425" s="119">
        <v>240</v>
      </c>
      <c r="I425" s="119" t="s">
        <v>89</v>
      </c>
      <c r="J425" s="119" t="s">
        <v>8</v>
      </c>
      <c r="K425" s="120" t="s">
        <v>14</v>
      </c>
      <c r="L425" s="93" t="s">
        <v>3066</v>
      </c>
      <c r="M425" s="94" t="s">
        <v>3359</v>
      </c>
      <c r="N425" s="95" t="s">
        <v>2869</v>
      </c>
      <c r="O425" s="122">
        <v>8</v>
      </c>
      <c r="P425" s="111">
        <f t="shared" si="98"/>
        <v>100.40449438202248</v>
      </c>
      <c r="Q425" s="122" t="s">
        <v>16</v>
      </c>
      <c r="R425" s="124">
        <f t="shared" si="99"/>
        <v>10.9</v>
      </c>
      <c r="S425" s="95"/>
      <c r="T425" s="98"/>
      <c r="U425" s="125">
        <f t="shared" si="96"/>
        <v>1108.9923220973783</v>
      </c>
      <c r="V425" s="113">
        <f t="shared" si="88"/>
        <v>4.6208013420724097</v>
      </c>
      <c r="W425" s="114">
        <f t="shared" si="89"/>
        <v>0.66011447743891571</v>
      </c>
      <c r="X425" s="95"/>
      <c r="Y425" s="95"/>
      <c r="Z425" s="102"/>
      <c r="AA425" s="103">
        <v>45750</v>
      </c>
      <c r="AB425" s="103">
        <v>45772</v>
      </c>
      <c r="AC425" s="103"/>
      <c r="AD425" s="102">
        <f>IF(ISNA(VLOOKUP(D425,亚马逊入库配置费!B:F,5,0)),0,VLOOKUP(D425,亚马逊入库配置费!B:F,5,0))</f>
        <v>0.42070000000000002</v>
      </c>
      <c r="AE425" s="102">
        <f t="shared" si="85"/>
        <v>100.968</v>
      </c>
      <c r="AF425" s="103">
        <v>45782</v>
      </c>
      <c r="AG425" s="91">
        <f t="shared" si="86"/>
        <v>32</v>
      </c>
      <c r="AH425" s="103">
        <v>45782</v>
      </c>
      <c r="AI425" s="103">
        <v>45815</v>
      </c>
      <c r="AJ425" s="96">
        <v>270</v>
      </c>
      <c r="AK425" s="91">
        <f t="shared" si="87"/>
        <v>33</v>
      </c>
      <c r="AL425" s="96">
        <f t="shared" si="90"/>
        <v>65</v>
      </c>
      <c r="AM425" s="92"/>
      <c r="AN425" s="91"/>
      <c r="AO425" s="91"/>
    </row>
    <row r="426" spans="1:41" ht="14.5" x14ac:dyDescent="0.25">
      <c r="A426" s="92" t="s">
        <v>834</v>
      </c>
      <c r="B426" s="91"/>
      <c r="C426" s="119" t="s">
        <v>821</v>
      </c>
      <c r="D426" s="120" t="s">
        <v>829</v>
      </c>
      <c r="E426" s="135" t="s">
        <v>115</v>
      </c>
      <c r="F426" s="135" t="s">
        <v>0</v>
      </c>
      <c r="G426" s="58" t="s">
        <v>496</v>
      </c>
      <c r="H426" s="119">
        <v>60</v>
      </c>
      <c r="I426" s="119" t="s">
        <v>89</v>
      </c>
      <c r="J426" s="119" t="s">
        <v>8</v>
      </c>
      <c r="K426" s="120" t="s">
        <v>14</v>
      </c>
      <c r="L426" s="93" t="s">
        <v>3067</v>
      </c>
      <c r="M426" s="94" t="s">
        <v>3360</v>
      </c>
      <c r="N426" s="95" t="s">
        <v>3068</v>
      </c>
      <c r="O426" s="122">
        <v>1</v>
      </c>
      <c r="P426" s="111">
        <f t="shared" si="98"/>
        <v>12.55056179775281</v>
      </c>
      <c r="Q426" s="122" t="s">
        <v>16</v>
      </c>
      <c r="R426" s="124">
        <f t="shared" si="99"/>
        <v>10.9</v>
      </c>
      <c r="S426" s="95"/>
      <c r="T426" s="98"/>
      <c r="U426" s="125">
        <f t="shared" si="96"/>
        <v>138.62404026217229</v>
      </c>
      <c r="V426" s="113">
        <f t="shared" si="88"/>
        <v>2.3104006710362048</v>
      </c>
      <c r="W426" s="114">
        <f t="shared" si="89"/>
        <v>0.33005723871945786</v>
      </c>
      <c r="X426" s="95"/>
      <c r="Y426" s="95"/>
      <c r="Z426" s="102"/>
      <c r="AA426" s="103">
        <v>45750</v>
      </c>
      <c r="AB426" s="103">
        <v>45772</v>
      </c>
      <c r="AC426" s="103"/>
      <c r="AD426" s="102">
        <f>IF(ISNA(VLOOKUP(D426,亚马逊入库配置费!B:F,5,0)),0,VLOOKUP(D426,亚马逊入库配置费!B:F,5,0))</f>
        <v>0.42070000000000002</v>
      </c>
      <c r="AE426" s="102">
        <f t="shared" si="85"/>
        <v>25.242000000000001</v>
      </c>
      <c r="AF426" s="103">
        <v>45782</v>
      </c>
      <c r="AG426" s="91">
        <f t="shared" si="86"/>
        <v>32</v>
      </c>
      <c r="AH426" s="103">
        <v>45782</v>
      </c>
      <c r="AI426" s="103">
        <v>45815</v>
      </c>
      <c r="AJ426" s="96">
        <v>60</v>
      </c>
      <c r="AK426" s="91">
        <f t="shared" si="87"/>
        <v>33</v>
      </c>
      <c r="AL426" s="96">
        <f t="shared" si="90"/>
        <v>65</v>
      </c>
      <c r="AM426" s="92"/>
      <c r="AN426" s="91"/>
      <c r="AO426" s="91"/>
    </row>
    <row r="427" spans="1:41" ht="14.5" x14ac:dyDescent="0.25">
      <c r="A427" s="92" t="s">
        <v>835</v>
      </c>
      <c r="B427" s="91"/>
      <c r="C427" s="119" t="s">
        <v>821</v>
      </c>
      <c r="D427" s="120" t="s">
        <v>836</v>
      </c>
      <c r="E427" s="135" t="s">
        <v>115</v>
      </c>
      <c r="F427" s="135" t="s">
        <v>0</v>
      </c>
      <c r="G427" s="58" t="s">
        <v>614</v>
      </c>
      <c r="H427" s="119">
        <v>72</v>
      </c>
      <c r="I427" s="119" t="s">
        <v>89</v>
      </c>
      <c r="J427" s="119" t="s">
        <v>8</v>
      </c>
      <c r="K427" s="120" t="s">
        <v>14</v>
      </c>
      <c r="L427" s="93" t="s">
        <v>2695</v>
      </c>
      <c r="M427" s="94" t="s">
        <v>3215</v>
      </c>
      <c r="N427" s="95" t="s">
        <v>2822</v>
      </c>
      <c r="O427" s="122">
        <v>2</v>
      </c>
      <c r="P427" s="111">
        <f t="shared" si="98"/>
        <v>25.101123595505619</v>
      </c>
      <c r="Q427" s="122" t="s">
        <v>16</v>
      </c>
      <c r="R427" s="124">
        <f t="shared" si="99"/>
        <v>10.9</v>
      </c>
      <c r="S427" s="95"/>
      <c r="T427" s="98"/>
      <c r="U427" s="125">
        <f t="shared" si="96"/>
        <v>277.24808052434457</v>
      </c>
      <c r="V427" s="113">
        <f t="shared" si="88"/>
        <v>3.8506677850603412</v>
      </c>
      <c r="W427" s="114">
        <f t="shared" si="89"/>
        <v>0.550095397865763</v>
      </c>
      <c r="X427" s="95"/>
      <c r="Y427" s="95"/>
      <c r="Z427" s="102"/>
      <c r="AA427" s="103">
        <v>45750</v>
      </c>
      <c r="AB427" s="103">
        <v>45772</v>
      </c>
      <c r="AC427" s="103"/>
      <c r="AD427" s="102">
        <f>IF(ISNA(VLOOKUP(D427,亚马逊入库配置费!B:F,5,0)),0,VLOOKUP(D427,亚马逊入库配置费!B:F,5,0))</f>
        <v>0.42142857142857099</v>
      </c>
      <c r="AE427" s="102">
        <f t="shared" si="85"/>
        <v>30.34285714285711</v>
      </c>
      <c r="AF427" s="103">
        <v>45782</v>
      </c>
      <c r="AG427" s="91">
        <f t="shared" si="86"/>
        <v>32</v>
      </c>
      <c r="AH427" s="103">
        <v>45782</v>
      </c>
      <c r="AI427" s="103">
        <v>45815</v>
      </c>
      <c r="AJ427" s="96">
        <v>72</v>
      </c>
      <c r="AK427" s="91">
        <f t="shared" si="87"/>
        <v>33</v>
      </c>
      <c r="AL427" s="96">
        <f t="shared" si="90"/>
        <v>65</v>
      </c>
      <c r="AM427" s="92"/>
      <c r="AN427" s="91"/>
      <c r="AO427" s="91"/>
    </row>
    <row r="428" spans="1:41" ht="14.5" x14ac:dyDescent="0.25">
      <c r="A428" s="92" t="s">
        <v>837</v>
      </c>
      <c r="B428" s="91"/>
      <c r="C428" s="119" t="s">
        <v>821</v>
      </c>
      <c r="D428" s="120" t="s">
        <v>836</v>
      </c>
      <c r="E428" s="135" t="s">
        <v>115</v>
      </c>
      <c r="F428" s="135" t="s">
        <v>0</v>
      </c>
      <c r="G428" s="58" t="s">
        <v>594</v>
      </c>
      <c r="H428" s="119">
        <v>432</v>
      </c>
      <c r="I428" s="119" t="s">
        <v>89</v>
      </c>
      <c r="J428" s="119" t="s">
        <v>8</v>
      </c>
      <c r="K428" s="120" t="s">
        <v>14</v>
      </c>
      <c r="L428" s="93" t="s">
        <v>2694</v>
      </c>
      <c r="M428" s="94" t="s">
        <v>3214</v>
      </c>
      <c r="N428" s="95" t="s">
        <v>2822</v>
      </c>
      <c r="O428" s="122">
        <v>12</v>
      </c>
      <c r="P428" s="111">
        <f t="shared" si="98"/>
        <v>150.60674157303373</v>
      </c>
      <c r="Q428" s="122" t="s">
        <v>16</v>
      </c>
      <c r="R428" s="124">
        <f t="shared" si="99"/>
        <v>10.9</v>
      </c>
      <c r="S428" s="95"/>
      <c r="T428" s="98"/>
      <c r="U428" s="125">
        <f t="shared" si="96"/>
        <v>1663.4884831460677</v>
      </c>
      <c r="V428" s="113">
        <f t="shared" si="88"/>
        <v>3.8506677850603417</v>
      </c>
      <c r="W428" s="114">
        <f t="shared" si="89"/>
        <v>0.55009539786576311</v>
      </c>
      <c r="X428" s="95"/>
      <c r="Y428" s="95"/>
      <c r="Z428" s="102"/>
      <c r="AA428" s="103">
        <v>45750</v>
      </c>
      <c r="AB428" s="103">
        <v>45772</v>
      </c>
      <c r="AC428" s="103"/>
      <c r="AD428" s="102">
        <f>IF(ISNA(VLOOKUP(D428,亚马逊入库配置费!B:F,5,0)),0,VLOOKUP(D428,亚马逊入库配置费!B:F,5,0))</f>
        <v>0.42142857142857099</v>
      </c>
      <c r="AE428" s="102">
        <f t="shared" si="85"/>
        <v>182.05714285714268</v>
      </c>
      <c r="AF428" s="103">
        <v>45782</v>
      </c>
      <c r="AG428" s="91">
        <f t="shared" si="86"/>
        <v>32</v>
      </c>
      <c r="AH428" s="103">
        <v>45782</v>
      </c>
      <c r="AI428" s="103">
        <v>45815</v>
      </c>
      <c r="AJ428" s="96">
        <v>432</v>
      </c>
      <c r="AK428" s="91">
        <f t="shared" si="87"/>
        <v>33</v>
      </c>
      <c r="AL428" s="96">
        <f t="shared" si="90"/>
        <v>65</v>
      </c>
      <c r="AM428" s="92"/>
      <c r="AN428" s="91"/>
      <c r="AO428" s="91"/>
    </row>
    <row r="429" spans="1:41" ht="14.5" x14ac:dyDescent="0.25">
      <c r="A429" s="92" t="s">
        <v>838</v>
      </c>
      <c r="B429" s="91"/>
      <c r="C429" s="119" t="s">
        <v>303</v>
      </c>
      <c r="D429" s="120" t="s">
        <v>839</v>
      </c>
      <c r="E429" s="135" t="s">
        <v>115</v>
      </c>
      <c r="F429" s="135" t="s">
        <v>0</v>
      </c>
      <c r="G429" s="58" t="s">
        <v>316</v>
      </c>
      <c r="H429" s="119">
        <v>630</v>
      </c>
      <c r="I429" s="119" t="s">
        <v>306</v>
      </c>
      <c r="J429" s="119" t="s">
        <v>6</v>
      </c>
      <c r="K429" s="120" t="s">
        <v>14</v>
      </c>
      <c r="L429" s="93" t="s">
        <v>3046</v>
      </c>
      <c r="M429" s="94" t="s">
        <v>3333</v>
      </c>
      <c r="N429" s="95" t="s">
        <v>3042</v>
      </c>
      <c r="O429" s="122">
        <v>7</v>
      </c>
      <c r="P429" s="111">
        <f>136/7*O429</f>
        <v>136</v>
      </c>
      <c r="Q429" s="122" t="s">
        <v>16</v>
      </c>
      <c r="R429" s="145">
        <v>10.199999999999999</v>
      </c>
      <c r="S429" s="95"/>
      <c r="T429" s="98"/>
      <c r="U429" s="125">
        <f>R429*P429</f>
        <v>1387.1999999999998</v>
      </c>
      <c r="V429" s="113">
        <f t="shared" si="88"/>
        <v>2.2019047619047618</v>
      </c>
      <c r="W429" s="114">
        <f t="shared" si="89"/>
        <v>0.31455782312925168</v>
      </c>
      <c r="X429" s="95"/>
      <c r="Y429" s="95"/>
      <c r="Z429" s="102"/>
      <c r="AA429" s="103">
        <v>45750</v>
      </c>
      <c r="AB429" s="103">
        <v>45768</v>
      </c>
      <c r="AC429" s="103"/>
      <c r="AD429" s="102">
        <f>IF(ISNA(VLOOKUP(D429,亚马逊入库配置费!B:F,5,0)),0,VLOOKUP(D429,亚马逊入库配置费!B:F,5,0))</f>
        <v>0.34</v>
      </c>
      <c r="AE429" s="102">
        <f t="shared" si="85"/>
        <v>214.20000000000002</v>
      </c>
      <c r="AF429" s="103">
        <v>45781</v>
      </c>
      <c r="AG429" s="91">
        <f t="shared" si="86"/>
        <v>31</v>
      </c>
      <c r="AH429" s="103">
        <v>45781</v>
      </c>
      <c r="AI429" s="103">
        <v>45812</v>
      </c>
      <c r="AJ429" s="96">
        <v>628</v>
      </c>
      <c r="AK429" s="91">
        <f t="shared" si="87"/>
        <v>31</v>
      </c>
      <c r="AL429" s="96">
        <f t="shared" si="90"/>
        <v>62</v>
      </c>
      <c r="AM429" s="92"/>
      <c r="AN429" s="91"/>
      <c r="AO429" s="91"/>
    </row>
    <row r="430" spans="1:41" ht="14.5" x14ac:dyDescent="0.25">
      <c r="A430" s="92" t="s">
        <v>840</v>
      </c>
      <c r="B430" s="91"/>
      <c r="C430" s="119" t="s">
        <v>841</v>
      </c>
      <c r="D430" s="120" t="s">
        <v>842</v>
      </c>
      <c r="E430" s="135" t="s">
        <v>254</v>
      </c>
      <c r="F430" s="135" t="s">
        <v>255</v>
      </c>
      <c r="G430" s="58" t="s">
        <v>211</v>
      </c>
      <c r="H430" s="119">
        <v>210</v>
      </c>
      <c r="I430" s="119" t="s">
        <v>207</v>
      </c>
      <c r="J430" s="119" t="s">
        <v>843</v>
      </c>
      <c r="K430" s="120" t="s">
        <v>437</v>
      </c>
      <c r="L430" s="93" t="s">
        <v>3034</v>
      </c>
      <c r="M430" s="94" t="s">
        <v>3312</v>
      </c>
      <c r="N430" s="95" t="s">
        <v>2869</v>
      </c>
      <c r="O430" s="122">
        <v>7</v>
      </c>
      <c r="P430" s="111">
        <f t="shared" ref="P430:P436" si="100">1/17*O430</f>
        <v>0.41176470588235292</v>
      </c>
      <c r="Q430" s="122" t="s">
        <v>3264</v>
      </c>
      <c r="R430" s="146">
        <v>850</v>
      </c>
      <c r="S430" s="95"/>
      <c r="T430" s="98"/>
      <c r="U430" s="125">
        <f t="shared" ref="U430:U436" si="101">R430*P430+700/17*O430</f>
        <v>638.23529411764707</v>
      </c>
      <c r="V430" s="113">
        <f t="shared" si="88"/>
        <v>3.0392156862745097</v>
      </c>
      <c r="W430" s="114">
        <f t="shared" si="89"/>
        <v>0.43417366946778707</v>
      </c>
      <c r="X430" s="95"/>
      <c r="Y430" s="95">
        <f>1408.336/17*O430</f>
        <v>579.90305882352948</v>
      </c>
      <c r="Z430" s="104" t="s">
        <v>476</v>
      </c>
      <c r="AA430" s="103">
        <v>45750</v>
      </c>
      <c r="AB430" s="103">
        <v>45792</v>
      </c>
      <c r="AC430" s="103"/>
      <c r="AD430" s="102">
        <f>IF(ISNA(VLOOKUP(D430,亚马逊入库配置费!B:F,5,0)),0,VLOOKUP(D430,亚马逊入库配置费!B:F,5,0))</f>
        <v>0</v>
      </c>
      <c r="AE430" s="102">
        <f t="shared" si="85"/>
        <v>0</v>
      </c>
      <c r="AF430" s="103">
        <v>45799</v>
      </c>
      <c r="AG430" s="91">
        <f t="shared" si="86"/>
        <v>49</v>
      </c>
      <c r="AH430" s="103">
        <v>45799</v>
      </c>
      <c r="AI430" s="103">
        <v>45814</v>
      </c>
      <c r="AJ430" s="96">
        <v>210</v>
      </c>
      <c r="AK430" s="91">
        <f t="shared" si="87"/>
        <v>15</v>
      </c>
      <c r="AL430" s="96">
        <f t="shared" si="90"/>
        <v>64</v>
      </c>
      <c r="AM430" s="92"/>
      <c r="AN430" s="91"/>
      <c r="AO430" s="91"/>
    </row>
    <row r="431" spans="1:41" ht="14.5" x14ac:dyDescent="0.25">
      <c r="A431" s="92" t="s">
        <v>844</v>
      </c>
      <c r="B431" s="91"/>
      <c r="C431" s="119" t="s">
        <v>841</v>
      </c>
      <c r="D431" s="120" t="s">
        <v>842</v>
      </c>
      <c r="E431" s="135" t="s">
        <v>254</v>
      </c>
      <c r="F431" s="135" t="s">
        <v>255</v>
      </c>
      <c r="G431" s="58" t="s">
        <v>213</v>
      </c>
      <c r="H431" s="119">
        <v>30</v>
      </c>
      <c r="I431" s="119" t="s">
        <v>207</v>
      </c>
      <c r="J431" s="119" t="s">
        <v>843</v>
      </c>
      <c r="K431" s="120" t="s">
        <v>437</v>
      </c>
      <c r="L431" s="93" t="s">
        <v>3035</v>
      </c>
      <c r="M431" s="94" t="s">
        <v>3313</v>
      </c>
      <c r="N431" s="95" t="s">
        <v>2869</v>
      </c>
      <c r="O431" s="122">
        <v>1</v>
      </c>
      <c r="P431" s="111">
        <f t="shared" si="100"/>
        <v>5.8823529411764705E-2</v>
      </c>
      <c r="Q431" s="122" t="s">
        <v>3264</v>
      </c>
      <c r="R431" s="146">
        <v>850</v>
      </c>
      <c r="S431" s="95"/>
      <c r="T431" s="98"/>
      <c r="U431" s="125">
        <f t="shared" si="101"/>
        <v>91.176470588235304</v>
      </c>
      <c r="V431" s="113">
        <f t="shared" si="88"/>
        <v>3.0392156862745101</v>
      </c>
      <c r="W431" s="114">
        <f t="shared" si="89"/>
        <v>0.43417366946778718</v>
      </c>
      <c r="X431" s="95"/>
      <c r="Y431" s="95">
        <f t="shared" ref="Y431:Y436" si="102">1408.336/17*O431</f>
        <v>82.843294117647062</v>
      </c>
      <c r="Z431" s="104" t="s">
        <v>476</v>
      </c>
      <c r="AA431" s="103">
        <v>45750</v>
      </c>
      <c r="AB431" s="103">
        <v>45792</v>
      </c>
      <c r="AC431" s="103"/>
      <c r="AD431" s="102">
        <f>IF(ISNA(VLOOKUP(D431,亚马逊入库配置费!B:F,5,0)),0,VLOOKUP(D431,亚马逊入库配置费!B:F,5,0))</f>
        <v>0</v>
      </c>
      <c r="AE431" s="102">
        <f t="shared" si="85"/>
        <v>0</v>
      </c>
      <c r="AF431" s="103">
        <v>45799</v>
      </c>
      <c r="AG431" s="91">
        <f t="shared" si="86"/>
        <v>49</v>
      </c>
      <c r="AH431" s="103">
        <v>45799</v>
      </c>
      <c r="AI431" s="103">
        <v>45814</v>
      </c>
      <c r="AJ431" s="96">
        <v>30</v>
      </c>
      <c r="AK431" s="91">
        <f t="shared" si="87"/>
        <v>15</v>
      </c>
      <c r="AL431" s="96">
        <f t="shared" si="90"/>
        <v>64</v>
      </c>
      <c r="AM431" s="92"/>
      <c r="AN431" s="91"/>
      <c r="AO431" s="91"/>
    </row>
    <row r="432" spans="1:41" ht="14.5" x14ac:dyDescent="0.25">
      <c r="A432" s="92" t="s">
        <v>845</v>
      </c>
      <c r="B432" s="91"/>
      <c r="C432" s="119" t="s">
        <v>841</v>
      </c>
      <c r="D432" s="120" t="s">
        <v>842</v>
      </c>
      <c r="E432" s="135" t="s">
        <v>254</v>
      </c>
      <c r="F432" s="135" t="s">
        <v>255</v>
      </c>
      <c r="G432" s="58" t="s">
        <v>485</v>
      </c>
      <c r="H432" s="119">
        <v>120</v>
      </c>
      <c r="I432" s="119" t="s">
        <v>207</v>
      </c>
      <c r="J432" s="119" t="s">
        <v>843</v>
      </c>
      <c r="K432" s="120" t="s">
        <v>437</v>
      </c>
      <c r="L432" s="93" t="s">
        <v>3065</v>
      </c>
      <c r="M432" s="94" t="s">
        <v>3358</v>
      </c>
      <c r="N432" s="95" t="s">
        <v>2869</v>
      </c>
      <c r="O432" s="122">
        <v>4</v>
      </c>
      <c r="P432" s="111">
        <f t="shared" si="100"/>
        <v>0.23529411764705882</v>
      </c>
      <c r="Q432" s="122" t="s">
        <v>3264</v>
      </c>
      <c r="R432" s="146">
        <v>850</v>
      </c>
      <c r="S432" s="95"/>
      <c r="T432" s="98"/>
      <c r="U432" s="125">
        <f t="shared" si="101"/>
        <v>364.70588235294122</v>
      </c>
      <c r="V432" s="113">
        <f t="shared" si="88"/>
        <v>3.0392156862745101</v>
      </c>
      <c r="W432" s="114">
        <f t="shared" si="89"/>
        <v>0.43417366946778718</v>
      </c>
      <c r="X432" s="95"/>
      <c r="Y432" s="95">
        <f t="shared" si="102"/>
        <v>331.37317647058825</v>
      </c>
      <c r="Z432" s="104" t="s">
        <v>476</v>
      </c>
      <c r="AA432" s="103">
        <v>45750</v>
      </c>
      <c r="AB432" s="103">
        <v>45792</v>
      </c>
      <c r="AC432" s="103"/>
      <c r="AD432" s="102">
        <f>IF(ISNA(VLOOKUP(D432,亚马逊入库配置费!B:F,5,0)),0,VLOOKUP(D432,亚马逊入库配置费!B:F,5,0))</f>
        <v>0</v>
      </c>
      <c r="AE432" s="102">
        <f t="shared" si="85"/>
        <v>0</v>
      </c>
      <c r="AF432" s="103">
        <v>45799</v>
      </c>
      <c r="AG432" s="91">
        <f t="shared" si="86"/>
        <v>49</v>
      </c>
      <c r="AH432" s="103">
        <v>45799</v>
      </c>
      <c r="AI432" s="103">
        <v>45814</v>
      </c>
      <c r="AJ432" s="96">
        <v>120</v>
      </c>
      <c r="AK432" s="91">
        <f t="shared" si="87"/>
        <v>15</v>
      </c>
      <c r="AL432" s="96">
        <f t="shared" si="90"/>
        <v>64</v>
      </c>
      <c r="AM432" s="92"/>
      <c r="AN432" s="91"/>
      <c r="AO432" s="91"/>
    </row>
    <row r="433" spans="1:41" ht="14.5" x14ac:dyDescent="0.25">
      <c r="A433" s="92" t="s">
        <v>846</v>
      </c>
      <c r="B433" s="91"/>
      <c r="C433" s="119" t="s">
        <v>841</v>
      </c>
      <c r="D433" s="120" t="s">
        <v>842</v>
      </c>
      <c r="E433" s="135" t="s">
        <v>254</v>
      </c>
      <c r="F433" s="135" t="s">
        <v>255</v>
      </c>
      <c r="G433" s="58" t="s">
        <v>606</v>
      </c>
      <c r="H433" s="119">
        <v>30</v>
      </c>
      <c r="I433" s="119" t="s">
        <v>207</v>
      </c>
      <c r="J433" s="119" t="s">
        <v>843</v>
      </c>
      <c r="K433" s="120" t="s">
        <v>437</v>
      </c>
      <c r="L433" s="93" t="s">
        <v>3075</v>
      </c>
      <c r="M433" s="94" t="s">
        <v>3376</v>
      </c>
      <c r="N433" s="95" t="s">
        <v>2869</v>
      </c>
      <c r="O433" s="122">
        <v>1</v>
      </c>
      <c r="P433" s="111">
        <f t="shared" si="100"/>
        <v>5.8823529411764705E-2</v>
      </c>
      <c r="Q433" s="122" t="s">
        <v>3264</v>
      </c>
      <c r="R433" s="146">
        <v>850</v>
      </c>
      <c r="S433" s="95"/>
      <c r="T433" s="98"/>
      <c r="U433" s="125">
        <f t="shared" si="101"/>
        <v>91.176470588235304</v>
      </c>
      <c r="V433" s="113">
        <f t="shared" si="88"/>
        <v>3.0392156862745101</v>
      </c>
      <c r="W433" s="114">
        <f t="shared" si="89"/>
        <v>0.43417366946778718</v>
      </c>
      <c r="X433" s="95"/>
      <c r="Y433" s="95">
        <f t="shared" si="102"/>
        <v>82.843294117647062</v>
      </c>
      <c r="Z433" s="104" t="s">
        <v>476</v>
      </c>
      <c r="AA433" s="103">
        <v>45750</v>
      </c>
      <c r="AB433" s="103">
        <v>45792</v>
      </c>
      <c r="AC433" s="103"/>
      <c r="AD433" s="102">
        <f>IF(ISNA(VLOOKUP(D433,亚马逊入库配置费!B:F,5,0)),0,VLOOKUP(D433,亚马逊入库配置费!B:F,5,0))</f>
        <v>0</v>
      </c>
      <c r="AE433" s="102">
        <f t="shared" si="85"/>
        <v>0</v>
      </c>
      <c r="AF433" s="103">
        <v>45799</v>
      </c>
      <c r="AG433" s="91">
        <f t="shared" si="86"/>
        <v>49</v>
      </c>
      <c r="AH433" s="103">
        <v>45799</v>
      </c>
      <c r="AI433" s="103">
        <v>45814</v>
      </c>
      <c r="AJ433" s="96">
        <v>30</v>
      </c>
      <c r="AK433" s="91">
        <f t="shared" si="87"/>
        <v>15</v>
      </c>
      <c r="AL433" s="96">
        <f t="shared" si="90"/>
        <v>64</v>
      </c>
      <c r="AM433" s="92"/>
      <c r="AN433" s="91"/>
      <c r="AO433" s="91"/>
    </row>
    <row r="434" spans="1:41" ht="14.5" x14ac:dyDescent="0.25">
      <c r="A434" s="92" t="s">
        <v>847</v>
      </c>
      <c r="B434" s="91"/>
      <c r="C434" s="119" t="s">
        <v>841</v>
      </c>
      <c r="D434" s="120" t="s">
        <v>842</v>
      </c>
      <c r="E434" s="135" t="s">
        <v>254</v>
      </c>
      <c r="F434" s="135" t="s">
        <v>255</v>
      </c>
      <c r="G434" s="58" t="s">
        <v>487</v>
      </c>
      <c r="H434" s="119">
        <v>30</v>
      </c>
      <c r="I434" s="119" t="s">
        <v>207</v>
      </c>
      <c r="J434" s="119" t="s">
        <v>843</v>
      </c>
      <c r="K434" s="120" t="s">
        <v>437</v>
      </c>
      <c r="L434" s="93" t="s">
        <v>3066</v>
      </c>
      <c r="M434" s="94" t="s">
        <v>3359</v>
      </c>
      <c r="N434" s="95" t="s">
        <v>2869</v>
      </c>
      <c r="O434" s="122">
        <v>1</v>
      </c>
      <c r="P434" s="111">
        <f t="shared" si="100"/>
        <v>5.8823529411764705E-2</v>
      </c>
      <c r="Q434" s="122" t="s">
        <v>3264</v>
      </c>
      <c r="R434" s="146">
        <v>850</v>
      </c>
      <c r="S434" s="95"/>
      <c r="T434" s="98"/>
      <c r="U434" s="125">
        <f t="shared" si="101"/>
        <v>91.176470588235304</v>
      </c>
      <c r="V434" s="113">
        <f t="shared" si="88"/>
        <v>3.0392156862745101</v>
      </c>
      <c r="W434" s="114">
        <f t="shared" si="89"/>
        <v>0.43417366946778718</v>
      </c>
      <c r="X434" s="95"/>
      <c r="Y434" s="95">
        <f t="shared" si="102"/>
        <v>82.843294117647062</v>
      </c>
      <c r="Z434" s="104" t="s">
        <v>476</v>
      </c>
      <c r="AA434" s="103">
        <v>45750</v>
      </c>
      <c r="AB434" s="103">
        <v>45792</v>
      </c>
      <c r="AC434" s="103"/>
      <c r="AD434" s="102">
        <f>IF(ISNA(VLOOKUP(D434,亚马逊入库配置费!B:F,5,0)),0,VLOOKUP(D434,亚马逊入库配置费!B:F,5,0))</f>
        <v>0</v>
      </c>
      <c r="AE434" s="102">
        <f t="shared" si="85"/>
        <v>0</v>
      </c>
      <c r="AF434" s="103">
        <v>45799</v>
      </c>
      <c r="AG434" s="91">
        <f t="shared" si="86"/>
        <v>49</v>
      </c>
      <c r="AH434" s="103">
        <v>45799</v>
      </c>
      <c r="AI434" s="103">
        <v>45814</v>
      </c>
      <c r="AJ434" s="96">
        <v>30</v>
      </c>
      <c r="AK434" s="91">
        <f t="shared" si="87"/>
        <v>15</v>
      </c>
      <c r="AL434" s="96">
        <f t="shared" si="90"/>
        <v>64</v>
      </c>
      <c r="AM434" s="92"/>
      <c r="AN434" s="91"/>
      <c r="AO434" s="91"/>
    </row>
    <row r="435" spans="1:41" ht="14.5" x14ac:dyDescent="0.25">
      <c r="A435" s="92" t="s">
        <v>848</v>
      </c>
      <c r="B435" s="91"/>
      <c r="C435" s="119" t="s">
        <v>841</v>
      </c>
      <c r="D435" s="120" t="s">
        <v>842</v>
      </c>
      <c r="E435" s="135" t="s">
        <v>254</v>
      </c>
      <c r="F435" s="135" t="s">
        <v>255</v>
      </c>
      <c r="G435" s="58" t="s">
        <v>608</v>
      </c>
      <c r="H435" s="119">
        <v>60</v>
      </c>
      <c r="I435" s="119" t="s">
        <v>207</v>
      </c>
      <c r="J435" s="119" t="s">
        <v>843</v>
      </c>
      <c r="K435" s="120" t="s">
        <v>437</v>
      </c>
      <c r="L435" s="93" t="s">
        <v>3076</v>
      </c>
      <c r="M435" s="94" t="s">
        <v>3377</v>
      </c>
      <c r="N435" s="95" t="s">
        <v>2869</v>
      </c>
      <c r="O435" s="122">
        <v>2</v>
      </c>
      <c r="P435" s="111">
        <f t="shared" si="100"/>
        <v>0.11764705882352941</v>
      </c>
      <c r="Q435" s="122" t="s">
        <v>3264</v>
      </c>
      <c r="R435" s="146">
        <v>850</v>
      </c>
      <c r="S435" s="95"/>
      <c r="T435" s="98"/>
      <c r="U435" s="125">
        <f t="shared" si="101"/>
        <v>182.35294117647061</v>
      </c>
      <c r="V435" s="113">
        <f t="shared" si="88"/>
        <v>3.0392156862745101</v>
      </c>
      <c r="W435" s="114">
        <f t="shared" si="89"/>
        <v>0.43417366946778718</v>
      </c>
      <c r="X435" s="95"/>
      <c r="Y435" s="95">
        <f t="shared" si="102"/>
        <v>165.68658823529412</v>
      </c>
      <c r="Z435" s="104" t="s">
        <v>476</v>
      </c>
      <c r="AA435" s="103">
        <v>45750</v>
      </c>
      <c r="AB435" s="103">
        <v>45792</v>
      </c>
      <c r="AC435" s="103"/>
      <c r="AD435" s="102">
        <f>IF(ISNA(VLOOKUP(D435,亚马逊入库配置费!B:F,5,0)),0,VLOOKUP(D435,亚马逊入库配置费!B:F,5,0))</f>
        <v>0</v>
      </c>
      <c r="AE435" s="102">
        <f t="shared" si="85"/>
        <v>0</v>
      </c>
      <c r="AF435" s="103">
        <v>45799</v>
      </c>
      <c r="AG435" s="91">
        <f t="shared" si="86"/>
        <v>49</v>
      </c>
      <c r="AH435" s="103">
        <v>45799</v>
      </c>
      <c r="AI435" s="103">
        <v>45814</v>
      </c>
      <c r="AJ435" s="96">
        <v>60</v>
      </c>
      <c r="AK435" s="91">
        <f t="shared" si="87"/>
        <v>15</v>
      </c>
      <c r="AL435" s="96">
        <f t="shared" si="90"/>
        <v>64</v>
      </c>
      <c r="AM435" s="92"/>
      <c r="AN435" s="91"/>
      <c r="AO435" s="91"/>
    </row>
    <row r="436" spans="1:41" ht="14.5" x14ac:dyDescent="0.25">
      <c r="A436" s="92" t="s">
        <v>849</v>
      </c>
      <c r="B436" s="91"/>
      <c r="C436" s="119" t="s">
        <v>841</v>
      </c>
      <c r="D436" s="120" t="s">
        <v>842</v>
      </c>
      <c r="E436" s="135" t="s">
        <v>254</v>
      </c>
      <c r="F436" s="135" t="s">
        <v>255</v>
      </c>
      <c r="G436" s="58" t="s">
        <v>481</v>
      </c>
      <c r="H436" s="119">
        <v>30</v>
      </c>
      <c r="I436" s="119" t="s">
        <v>207</v>
      </c>
      <c r="J436" s="119" t="s">
        <v>843</v>
      </c>
      <c r="K436" s="120" t="s">
        <v>437</v>
      </c>
      <c r="L436" s="93" t="s">
        <v>3064</v>
      </c>
      <c r="M436" s="94" t="s">
        <v>3356</v>
      </c>
      <c r="N436" s="95" t="s">
        <v>2869</v>
      </c>
      <c r="O436" s="122">
        <v>1</v>
      </c>
      <c r="P436" s="111">
        <f t="shared" si="100"/>
        <v>5.8823529411764705E-2</v>
      </c>
      <c r="Q436" s="122" t="s">
        <v>3264</v>
      </c>
      <c r="R436" s="146">
        <v>850</v>
      </c>
      <c r="S436" s="95"/>
      <c r="T436" s="98"/>
      <c r="U436" s="125">
        <f t="shared" si="101"/>
        <v>91.176470588235304</v>
      </c>
      <c r="V436" s="113">
        <f t="shared" si="88"/>
        <v>3.0392156862745101</v>
      </c>
      <c r="W436" s="114">
        <f t="shared" si="89"/>
        <v>0.43417366946778718</v>
      </c>
      <c r="X436" s="95"/>
      <c r="Y436" s="95">
        <f t="shared" si="102"/>
        <v>82.843294117647062</v>
      </c>
      <c r="Z436" s="104" t="s">
        <v>476</v>
      </c>
      <c r="AA436" s="103">
        <v>45750</v>
      </c>
      <c r="AB436" s="118">
        <v>45792</v>
      </c>
      <c r="AC436" s="103"/>
      <c r="AD436" s="102">
        <f>IF(ISNA(VLOOKUP(D436,亚马逊入库配置费!B:F,5,0)),0,VLOOKUP(D436,亚马逊入库配置费!B:F,5,0))</f>
        <v>0</v>
      </c>
      <c r="AE436" s="102">
        <f t="shared" si="85"/>
        <v>0</v>
      </c>
      <c r="AF436" s="103">
        <v>45799</v>
      </c>
      <c r="AG436" s="91">
        <f t="shared" si="86"/>
        <v>49</v>
      </c>
      <c r="AH436" s="103">
        <v>45799</v>
      </c>
      <c r="AI436" s="103">
        <v>45814</v>
      </c>
      <c r="AJ436" s="96">
        <v>30</v>
      </c>
      <c r="AK436" s="91">
        <f t="shared" si="87"/>
        <v>15</v>
      </c>
      <c r="AL436" s="96">
        <f t="shared" si="90"/>
        <v>64</v>
      </c>
      <c r="AM436" s="92"/>
      <c r="AN436" s="91"/>
      <c r="AO436" s="91"/>
    </row>
    <row r="437" spans="1:41" ht="14.5" x14ac:dyDescent="0.25">
      <c r="A437" s="92" t="s">
        <v>850</v>
      </c>
      <c r="B437" s="91"/>
      <c r="C437" s="119" t="s">
        <v>851</v>
      </c>
      <c r="D437" s="120" t="s">
        <v>852</v>
      </c>
      <c r="E437" s="135" t="s">
        <v>97</v>
      </c>
      <c r="F437" s="135" t="s">
        <v>0</v>
      </c>
      <c r="G437" s="58" t="s">
        <v>853</v>
      </c>
      <c r="H437" s="119">
        <v>80</v>
      </c>
      <c r="I437" s="119" t="s">
        <v>207</v>
      </c>
      <c r="J437" s="119" t="s">
        <v>3</v>
      </c>
      <c r="K437" s="120" t="s">
        <v>9</v>
      </c>
      <c r="L437" s="93" t="s">
        <v>853</v>
      </c>
      <c r="M437" s="94" t="s">
        <v>3396</v>
      </c>
      <c r="N437" s="95" t="s">
        <v>2870</v>
      </c>
      <c r="O437" s="122">
        <v>2</v>
      </c>
      <c r="P437" s="111">
        <v>28</v>
      </c>
      <c r="Q437" s="122" t="s">
        <v>16</v>
      </c>
      <c r="R437" s="124">
        <v>51.8</v>
      </c>
      <c r="S437" s="95"/>
      <c r="T437" s="98"/>
      <c r="U437" s="125">
        <f>R437*P437+350/2*O437+7.9</f>
        <v>1808.3</v>
      </c>
      <c r="V437" s="113">
        <f t="shared" si="88"/>
        <v>22.603749999999998</v>
      </c>
      <c r="W437" s="114">
        <f t="shared" si="89"/>
        <v>3.2291071428571425</v>
      </c>
      <c r="X437" s="95"/>
      <c r="Y437" s="95"/>
      <c r="Z437" s="102"/>
      <c r="AA437" s="103">
        <v>45750</v>
      </c>
      <c r="AB437" s="103"/>
      <c r="AC437" s="103"/>
      <c r="AD437" s="102">
        <f>IF(ISNA(VLOOKUP(D437,亚马逊入库配置费!B:F,5,0)),0,VLOOKUP(D437,亚马逊入库配置费!B:F,5,0))</f>
        <v>0.34</v>
      </c>
      <c r="AE437" s="102">
        <f t="shared" si="85"/>
        <v>27.200000000000003</v>
      </c>
      <c r="AF437" s="103">
        <v>45773</v>
      </c>
      <c r="AG437" s="91">
        <f t="shared" si="86"/>
        <v>23</v>
      </c>
      <c r="AH437" s="103">
        <v>45773</v>
      </c>
      <c r="AI437" s="103">
        <v>45790</v>
      </c>
      <c r="AJ437" s="96">
        <v>300</v>
      </c>
      <c r="AK437" s="91">
        <f t="shared" si="87"/>
        <v>17</v>
      </c>
      <c r="AL437" s="96">
        <f t="shared" si="90"/>
        <v>40</v>
      </c>
      <c r="AM437" s="92" t="s">
        <v>854</v>
      </c>
      <c r="AN437" s="91"/>
      <c r="AO437" s="91"/>
    </row>
    <row r="438" spans="1:41" ht="14.5" x14ac:dyDescent="0.25">
      <c r="A438" s="92" t="s">
        <v>855</v>
      </c>
      <c r="B438" s="91"/>
      <c r="C438" s="119" t="s">
        <v>856</v>
      </c>
      <c r="D438" s="120" t="s">
        <v>857</v>
      </c>
      <c r="E438" s="135" t="s">
        <v>97</v>
      </c>
      <c r="F438" s="135" t="s">
        <v>0</v>
      </c>
      <c r="G438" s="58" t="s">
        <v>88</v>
      </c>
      <c r="H438" s="119">
        <v>216</v>
      </c>
      <c r="I438" s="119" t="s">
        <v>207</v>
      </c>
      <c r="J438" s="119" t="s">
        <v>3</v>
      </c>
      <c r="K438" s="120" t="s">
        <v>9</v>
      </c>
      <c r="L438" s="93" t="s">
        <v>3014</v>
      </c>
      <c r="M438" s="94" t="s">
        <v>3286</v>
      </c>
      <c r="N438" s="95" t="s">
        <v>2821</v>
      </c>
      <c r="O438" s="122">
        <v>12</v>
      </c>
      <c r="P438" s="111">
        <f>513/24*O438</f>
        <v>256.5</v>
      </c>
      <c r="Q438" s="122" t="s">
        <v>16</v>
      </c>
      <c r="R438" s="124">
        <v>44.2</v>
      </c>
      <c r="S438" s="95"/>
      <c r="T438" s="98"/>
      <c r="U438" s="125">
        <f>R438*P438+350/24*O438+97.52/24*O438</f>
        <v>11561.060000000001</v>
      </c>
      <c r="V438" s="113">
        <f t="shared" si="88"/>
        <v>53.523425925925935</v>
      </c>
      <c r="W438" s="114">
        <f t="shared" si="89"/>
        <v>7.6462037037037049</v>
      </c>
      <c r="X438" s="95"/>
      <c r="Y438" s="95"/>
      <c r="Z438" s="102"/>
      <c r="AA438" s="103">
        <v>45750</v>
      </c>
      <c r="AB438" s="103"/>
      <c r="AC438" s="103"/>
      <c r="AD438" s="102">
        <f>IF(ISNA(VLOOKUP(D438,亚马逊入库配置费!B:F,5,0)),0,VLOOKUP(D438,亚马逊入库配置费!B:F,5,0))</f>
        <v>0.49</v>
      </c>
      <c r="AE438" s="102">
        <f t="shared" si="85"/>
        <v>105.84</v>
      </c>
      <c r="AF438" s="103">
        <v>45767</v>
      </c>
      <c r="AG438" s="91">
        <f t="shared" si="86"/>
        <v>17</v>
      </c>
      <c r="AH438" s="103">
        <v>45767</v>
      </c>
      <c r="AI438" s="103">
        <v>45810</v>
      </c>
      <c r="AJ438" s="96">
        <v>216</v>
      </c>
      <c r="AK438" s="91">
        <f t="shared" si="87"/>
        <v>43</v>
      </c>
      <c r="AL438" s="96">
        <f t="shared" si="90"/>
        <v>60</v>
      </c>
      <c r="AM438" s="92" t="s">
        <v>858</v>
      </c>
      <c r="AN438" s="91"/>
      <c r="AO438" s="91"/>
    </row>
    <row r="439" spans="1:41" ht="14.5" x14ac:dyDescent="0.25">
      <c r="A439" s="92" t="s">
        <v>859</v>
      </c>
      <c r="B439" s="91"/>
      <c r="C439" s="119" t="s">
        <v>856</v>
      </c>
      <c r="D439" s="120" t="s">
        <v>857</v>
      </c>
      <c r="E439" s="135" t="s">
        <v>97</v>
      </c>
      <c r="F439" s="135" t="s">
        <v>0</v>
      </c>
      <c r="G439" s="58" t="s">
        <v>93</v>
      </c>
      <c r="H439" s="119">
        <v>216</v>
      </c>
      <c r="I439" s="119" t="s">
        <v>207</v>
      </c>
      <c r="J439" s="119" t="s">
        <v>3</v>
      </c>
      <c r="K439" s="120" t="s">
        <v>9</v>
      </c>
      <c r="L439" s="93" t="s">
        <v>3015</v>
      </c>
      <c r="M439" s="94" t="s">
        <v>3288</v>
      </c>
      <c r="N439" s="95" t="s">
        <v>2821</v>
      </c>
      <c r="O439" s="122">
        <v>12</v>
      </c>
      <c r="P439" s="111">
        <f>513/24*O439</f>
        <v>256.5</v>
      </c>
      <c r="Q439" s="122" t="s">
        <v>16</v>
      </c>
      <c r="R439" s="124">
        <v>44.2</v>
      </c>
      <c r="S439" s="95"/>
      <c r="T439" s="98"/>
      <c r="U439" s="125">
        <f>R439*P439+350/24*O439+97.52/24*O439</f>
        <v>11561.060000000001</v>
      </c>
      <c r="V439" s="113">
        <f t="shared" si="88"/>
        <v>53.523425925925935</v>
      </c>
      <c r="W439" s="114">
        <f t="shared" si="89"/>
        <v>7.6462037037037049</v>
      </c>
      <c r="X439" s="95"/>
      <c r="Y439" s="95"/>
      <c r="Z439" s="102"/>
      <c r="AA439" s="103">
        <v>45750</v>
      </c>
      <c r="AB439" s="103"/>
      <c r="AC439" s="103"/>
      <c r="AD439" s="102">
        <f>IF(ISNA(VLOOKUP(D439,亚马逊入库配置费!B:F,5,0)),0,VLOOKUP(D439,亚马逊入库配置费!B:F,5,0))</f>
        <v>0.49</v>
      </c>
      <c r="AE439" s="102">
        <f t="shared" si="85"/>
        <v>105.84</v>
      </c>
      <c r="AF439" s="103">
        <v>45767</v>
      </c>
      <c r="AG439" s="91">
        <f t="shared" si="86"/>
        <v>17</v>
      </c>
      <c r="AH439" s="103">
        <v>45767</v>
      </c>
      <c r="AI439" s="103">
        <v>45810</v>
      </c>
      <c r="AJ439" s="96">
        <v>237</v>
      </c>
      <c r="AK439" s="91">
        <f t="shared" si="87"/>
        <v>43</v>
      </c>
      <c r="AL439" s="96">
        <f t="shared" si="90"/>
        <v>60</v>
      </c>
      <c r="AM439" s="92" t="s">
        <v>858</v>
      </c>
      <c r="AN439" s="91"/>
      <c r="AO439" s="91"/>
    </row>
    <row r="440" spans="1:41" ht="14.5" x14ac:dyDescent="0.25">
      <c r="A440" s="92" t="s">
        <v>860</v>
      </c>
      <c r="B440" s="91"/>
      <c r="C440" s="119" t="s">
        <v>861</v>
      </c>
      <c r="D440" s="120" t="s">
        <v>862</v>
      </c>
      <c r="E440" s="135" t="s">
        <v>115</v>
      </c>
      <c r="F440" s="135" t="s">
        <v>0</v>
      </c>
      <c r="G440" s="58" t="s">
        <v>211</v>
      </c>
      <c r="H440" s="119">
        <v>300</v>
      </c>
      <c r="I440" s="147" t="s">
        <v>207</v>
      </c>
      <c r="J440" s="119" t="s">
        <v>8</v>
      </c>
      <c r="K440" s="120" t="s">
        <v>17</v>
      </c>
      <c r="L440" s="93" t="s">
        <v>3034</v>
      </c>
      <c r="M440" s="94" t="s">
        <v>3312</v>
      </c>
      <c r="N440" s="95" t="s">
        <v>2869</v>
      </c>
      <c r="O440" s="122">
        <v>10</v>
      </c>
      <c r="P440" s="111">
        <f>2762/182*O440</f>
        <v>151.75824175824175</v>
      </c>
      <c r="Q440" s="122" t="s">
        <v>16</v>
      </c>
      <c r="R440" s="124">
        <v>10</v>
      </c>
      <c r="S440" s="95"/>
      <c r="T440" s="98"/>
      <c r="U440" s="125">
        <f t="shared" ref="U440:U454" si="103">R440*P440+400/262*O440</f>
        <v>1532.8495931549367</v>
      </c>
      <c r="V440" s="113">
        <f t="shared" si="88"/>
        <v>5.1094986438497889</v>
      </c>
      <c r="W440" s="114">
        <f t="shared" si="89"/>
        <v>0.72992837769282704</v>
      </c>
      <c r="X440" s="95"/>
      <c r="Y440" s="95"/>
      <c r="Z440" s="102"/>
      <c r="AA440" s="103">
        <v>45759</v>
      </c>
      <c r="AB440" s="103">
        <v>45778</v>
      </c>
      <c r="AC440" s="103"/>
      <c r="AD440" s="102">
        <f>IF(ISNA(VLOOKUP(D440,亚马逊入库配置费!B:F,5,0)),0,VLOOKUP(D440,亚马逊入库配置费!B:F,5,0))</f>
        <v>0.40978494623655898</v>
      </c>
      <c r="AE440" s="102">
        <f t="shared" si="85"/>
        <v>122.93548387096769</v>
      </c>
      <c r="AF440" s="103">
        <v>45786</v>
      </c>
      <c r="AG440" s="91">
        <f t="shared" si="86"/>
        <v>27</v>
      </c>
      <c r="AH440" s="103">
        <v>45786</v>
      </c>
      <c r="AI440" s="103">
        <v>45820</v>
      </c>
      <c r="AJ440" s="96">
        <v>300</v>
      </c>
      <c r="AK440" s="91">
        <f t="shared" si="87"/>
        <v>34</v>
      </c>
      <c r="AL440" s="96">
        <f t="shared" si="90"/>
        <v>61</v>
      </c>
      <c r="AM440" s="92"/>
      <c r="AN440" s="91"/>
      <c r="AO440" s="91"/>
    </row>
    <row r="441" spans="1:41" ht="14.5" x14ac:dyDescent="0.25">
      <c r="A441" s="92" t="s">
        <v>863</v>
      </c>
      <c r="B441" s="91"/>
      <c r="C441" s="119" t="s">
        <v>861</v>
      </c>
      <c r="D441" s="120" t="s">
        <v>862</v>
      </c>
      <c r="E441" s="135" t="s">
        <v>115</v>
      </c>
      <c r="F441" s="135" t="s">
        <v>0</v>
      </c>
      <c r="G441" s="58" t="s">
        <v>864</v>
      </c>
      <c r="H441" s="119">
        <v>600</v>
      </c>
      <c r="I441" s="147" t="s">
        <v>207</v>
      </c>
      <c r="J441" s="119" t="s">
        <v>8</v>
      </c>
      <c r="K441" s="120" t="s">
        <v>17</v>
      </c>
      <c r="L441" s="93" t="s">
        <v>864</v>
      </c>
      <c r="M441" s="94" t="s">
        <v>3397</v>
      </c>
      <c r="N441" s="95" t="s">
        <v>2869</v>
      </c>
      <c r="O441" s="122">
        <v>20</v>
      </c>
      <c r="P441" s="111">
        <f>1265/80*O441</f>
        <v>316.25</v>
      </c>
      <c r="Q441" s="122" t="s">
        <v>16</v>
      </c>
      <c r="R441" s="124">
        <v>11</v>
      </c>
      <c r="S441" s="95"/>
      <c r="T441" s="98"/>
      <c r="U441" s="125">
        <f t="shared" si="103"/>
        <v>3509.2843511450383</v>
      </c>
      <c r="V441" s="113">
        <f t="shared" si="88"/>
        <v>5.8488072519083971</v>
      </c>
      <c r="W441" s="114">
        <f t="shared" si="89"/>
        <v>0.83554389312977106</v>
      </c>
      <c r="X441" s="95"/>
      <c r="Y441" s="95"/>
      <c r="Z441" s="102"/>
      <c r="AA441" s="103">
        <v>45759</v>
      </c>
      <c r="AB441" s="103">
        <v>45778</v>
      </c>
      <c r="AC441" s="103"/>
      <c r="AD441" s="102">
        <f>IF(ISNA(VLOOKUP(D441,亚马逊入库配置费!B:F,5,0)),0,VLOOKUP(D441,亚马逊入库配置费!B:F,5,0))</f>
        <v>0.40978494623655898</v>
      </c>
      <c r="AE441" s="102">
        <f t="shared" si="85"/>
        <v>245.87096774193537</v>
      </c>
      <c r="AF441" s="103">
        <v>45786</v>
      </c>
      <c r="AG441" s="91">
        <f t="shared" si="86"/>
        <v>27</v>
      </c>
      <c r="AH441" s="103">
        <v>45786</v>
      </c>
      <c r="AI441" s="103">
        <v>45820</v>
      </c>
      <c r="AJ441" s="96">
        <v>586</v>
      </c>
      <c r="AK441" s="91">
        <f t="shared" si="87"/>
        <v>34</v>
      </c>
      <c r="AL441" s="96">
        <f t="shared" si="90"/>
        <v>61</v>
      </c>
      <c r="AM441" s="92"/>
      <c r="AN441" s="91"/>
      <c r="AO441" s="91"/>
    </row>
    <row r="442" spans="1:41" ht="14.5" x14ac:dyDescent="0.25">
      <c r="A442" s="92" t="s">
        <v>865</v>
      </c>
      <c r="B442" s="91"/>
      <c r="C442" s="119" t="s">
        <v>861</v>
      </c>
      <c r="D442" s="120" t="s">
        <v>862</v>
      </c>
      <c r="E442" s="135" t="s">
        <v>115</v>
      </c>
      <c r="F442" s="135" t="s">
        <v>0</v>
      </c>
      <c r="G442" s="58" t="s">
        <v>866</v>
      </c>
      <c r="H442" s="119">
        <v>600</v>
      </c>
      <c r="I442" s="147" t="s">
        <v>207</v>
      </c>
      <c r="J442" s="119" t="s">
        <v>8</v>
      </c>
      <c r="K442" s="120" t="s">
        <v>17</v>
      </c>
      <c r="L442" s="93" t="s">
        <v>866</v>
      </c>
      <c r="M442" s="94" t="s">
        <v>3398</v>
      </c>
      <c r="N442" s="95" t="s">
        <v>2869</v>
      </c>
      <c r="O442" s="122">
        <v>20</v>
      </c>
      <c r="P442" s="111">
        <f>1265/80*O442</f>
        <v>316.25</v>
      </c>
      <c r="Q442" s="122" t="s">
        <v>16</v>
      </c>
      <c r="R442" s="124">
        <v>11</v>
      </c>
      <c r="S442" s="95"/>
      <c r="T442" s="98"/>
      <c r="U442" s="125">
        <f t="shared" si="103"/>
        <v>3509.2843511450383</v>
      </c>
      <c r="V442" s="113">
        <f t="shared" si="88"/>
        <v>5.8488072519083971</v>
      </c>
      <c r="W442" s="114">
        <f t="shared" si="89"/>
        <v>0.83554389312977106</v>
      </c>
      <c r="X442" s="95"/>
      <c r="Y442" s="95"/>
      <c r="Z442" s="102"/>
      <c r="AA442" s="103">
        <v>45759</v>
      </c>
      <c r="AB442" s="103">
        <v>45778</v>
      </c>
      <c r="AC442" s="103"/>
      <c r="AD442" s="102">
        <f>IF(ISNA(VLOOKUP(D442,亚马逊入库配置费!B:F,5,0)),0,VLOOKUP(D442,亚马逊入库配置费!B:F,5,0))</f>
        <v>0.40978494623655898</v>
      </c>
      <c r="AE442" s="102">
        <f t="shared" si="85"/>
        <v>245.87096774193537</v>
      </c>
      <c r="AF442" s="103">
        <v>45786</v>
      </c>
      <c r="AG442" s="91">
        <f t="shared" si="86"/>
        <v>27</v>
      </c>
      <c r="AH442" s="103">
        <v>45786</v>
      </c>
      <c r="AI442" s="103">
        <v>45820</v>
      </c>
      <c r="AJ442" s="96">
        <v>600</v>
      </c>
      <c r="AK442" s="91">
        <f t="shared" si="87"/>
        <v>34</v>
      </c>
      <c r="AL442" s="96">
        <f t="shared" si="90"/>
        <v>61</v>
      </c>
      <c r="AM442" s="92"/>
      <c r="AN442" s="91"/>
      <c r="AO442" s="91"/>
    </row>
    <row r="443" spans="1:41" ht="14.5" x14ac:dyDescent="0.25">
      <c r="A443" s="92" t="s">
        <v>867</v>
      </c>
      <c r="B443" s="91"/>
      <c r="C443" s="119" t="s">
        <v>861</v>
      </c>
      <c r="D443" s="120" t="s">
        <v>862</v>
      </c>
      <c r="E443" s="135" t="s">
        <v>115</v>
      </c>
      <c r="F443" s="135" t="s">
        <v>0</v>
      </c>
      <c r="G443" s="58" t="s">
        <v>213</v>
      </c>
      <c r="H443" s="119">
        <v>360</v>
      </c>
      <c r="I443" s="147" t="s">
        <v>207</v>
      </c>
      <c r="J443" s="119" t="s">
        <v>8</v>
      </c>
      <c r="K443" s="120" t="s">
        <v>17</v>
      </c>
      <c r="L443" s="93" t="s">
        <v>3035</v>
      </c>
      <c r="M443" s="94" t="s">
        <v>3313</v>
      </c>
      <c r="N443" s="95" t="s">
        <v>2869</v>
      </c>
      <c r="O443" s="122">
        <v>12</v>
      </c>
      <c r="P443" s="111">
        <f>2762/182*O443</f>
        <v>182.1098901098901</v>
      </c>
      <c r="Q443" s="122" t="s">
        <v>16</v>
      </c>
      <c r="R443" s="124">
        <v>10</v>
      </c>
      <c r="S443" s="95"/>
      <c r="T443" s="98"/>
      <c r="U443" s="125">
        <f t="shared" si="103"/>
        <v>1839.419511785924</v>
      </c>
      <c r="V443" s="113">
        <f t="shared" si="88"/>
        <v>5.1094986438497889</v>
      </c>
      <c r="W443" s="114">
        <f t="shared" si="89"/>
        <v>0.72992837769282704</v>
      </c>
      <c r="X443" s="95"/>
      <c r="Y443" s="95"/>
      <c r="Z443" s="102"/>
      <c r="AA443" s="103">
        <v>45759</v>
      </c>
      <c r="AB443" s="103">
        <v>45778</v>
      </c>
      <c r="AC443" s="103"/>
      <c r="AD443" s="102">
        <f>IF(ISNA(VLOOKUP(D443,亚马逊入库配置费!B:F,5,0)),0,VLOOKUP(D443,亚马逊入库配置费!B:F,5,0))</f>
        <v>0.40978494623655898</v>
      </c>
      <c r="AE443" s="102">
        <f t="shared" si="85"/>
        <v>147.52258064516124</v>
      </c>
      <c r="AF443" s="103">
        <v>45786</v>
      </c>
      <c r="AG443" s="91">
        <f t="shared" si="86"/>
        <v>27</v>
      </c>
      <c r="AH443" s="103">
        <v>45786</v>
      </c>
      <c r="AI443" s="103">
        <v>45820</v>
      </c>
      <c r="AJ443" s="96">
        <v>358</v>
      </c>
      <c r="AK443" s="91">
        <f t="shared" si="87"/>
        <v>34</v>
      </c>
      <c r="AL443" s="96">
        <f t="shared" si="90"/>
        <v>61</v>
      </c>
      <c r="AM443" s="92"/>
      <c r="AN443" s="91"/>
      <c r="AO443" s="91"/>
    </row>
    <row r="444" spans="1:41" ht="14.5" x14ac:dyDescent="0.25">
      <c r="A444" s="92" t="s">
        <v>868</v>
      </c>
      <c r="B444" s="91"/>
      <c r="C444" s="119" t="s">
        <v>861</v>
      </c>
      <c r="D444" s="120" t="s">
        <v>869</v>
      </c>
      <c r="E444" s="135" t="s">
        <v>97</v>
      </c>
      <c r="F444" s="135" t="s">
        <v>0</v>
      </c>
      <c r="G444" s="58" t="s">
        <v>161</v>
      </c>
      <c r="H444" s="119">
        <v>160</v>
      </c>
      <c r="I444" s="147" t="s">
        <v>207</v>
      </c>
      <c r="J444" s="119" t="s">
        <v>8</v>
      </c>
      <c r="K444" s="120" t="s">
        <v>17</v>
      </c>
      <c r="L444" s="93" t="s">
        <v>3024</v>
      </c>
      <c r="M444" s="94" t="s">
        <v>3301</v>
      </c>
      <c r="N444" s="95" t="s">
        <v>2870</v>
      </c>
      <c r="O444" s="122">
        <v>5</v>
      </c>
      <c r="P444" s="111">
        <f>2762/182*O444</f>
        <v>75.879120879120876</v>
      </c>
      <c r="Q444" s="122" t="s">
        <v>16</v>
      </c>
      <c r="R444" s="124">
        <v>10</v>
      </c>
      <c r="S444" s="95"/>
      <c r="T444" s="98"/>
      <c r="U444" s="125">
        <f t="shared" si="103"/>
        <v>766.42479657746833</v>
      </c>
      <c r="V444" s="113">
        <f t="shared" si="88"/>
        <v>4.790154978609177</v>
      </c>
      <c r="W444" s="114">
        <f t="shared" si="89"/>
        <v>0.68430785408702532</v>
      </c>
      <c r="X444" s="95"/>
      <c r="Y444" s="95"/>
      <c r="Z444" s="102"/>
      <c r="AA444" s="103">
        <v>45759</v>
      </c>
      <c r="AB444" s="103">
        <v>45778</v>
      </c>
      <c r="AC444" s="103"/>
      <c r="AD444" s="102">
        <f>IF(ISNA(VLOOKUP(D444,亚马逊入库配置费!B:F,5,0)),0,VLOOKUP(D444,亚马逊入库配置费!B:F,5,0))</f>
        <v>0.36833333333333301</v>
      </c>
      <c r="AE444" s="102">
        <f t="shared" si="85"/>
        <v>58.93333333333328</v>
      </c>
      <c r="AF444" s="103">
        <v>45786</v>
      </c>
      <c r="AG444" s="91">
        <f t="shared" si="86"/>
        <v>27</v>
      </c>
      <c r="AH444" s="103">
        <v>45786</v>
      </c>
      <c r="AI444" s="103">
        <v>45821</v>
      </c>
      <c r="AJ444" s="96">
        <v>160</v>
      </c>
      <c r="AK444" s="91">
        <f t="shared" si="87"/>
        <v>35</v>
      </c>
      <c r="AL444" s="96">
        <f t="shared" si="90"/>
        <v>62</v>
      </c>
      <c r="AM444" s="92"/>
      <c r="AN444" s="91"/>
      <c r="AO444" s="91"/>
    </row>
    <row r="445" spans="1:41" ht="14.5" x14ac:dyDescent="0.25">
      <c r="A445" s="92" t="s">
        <v>870</v>
      </c>
      <c r="B445" s="91"/>
      <c r="C445" s="119" t="s">
        <v>861</v>
      </c>
      <c r="D445" s="120" t="s">
        <v>869</v>
      </c>
      <c r="E445" s="135" t="s">
        <v>97</v>
      </c>
      <c r="F445" s="135" t="s">
        <v>0</v>
      </c>
      <c r="G445" s="58" t="s">
        <v>163</v>
      </c>
      <c r="H445" s="119">
        <v>1200</v>
      </c>
      <c r="I445" s="147" t="s">
        <v>207</v>
      </c>
      <c r="J445" s="119" t="s">
        <v>8</v>
      </c>
      <c r="K445" s="120" t="s">
        <v>17</v>
      </c>
      <c r="L445" s="93" t="s">
        <v>2881</v>
      </c>
      <c r="M445" s="94" t="s">
        <v>3302</v>
      </c>
      <c r="N445" s="95" t="s">
        <v>2870</v>
      </c>
      <c r="O445" s="122">
        <v>30</v>
      </c>
      <c r="P445" s="111">
        <f>2762/182*O445</f>
        <v>455.27472527472526</v>
      </c>
      <c r="Q445" s="122" t="s">
        <v>16</v>
      </c>
      <c r="R445" s="124">
        <v>10</v>
      </c>
      <c r="S445" s="95"/>
      <c r="T445" s="98"/>
      <c r="U445" s="125">
        <f t="shared" si="103"/>
        <v>4598.5487794648097</v>
      </c>
      <c r="V445" s="113">
        <f t="shared" si="88"/>
        <v>3.8321239828873415</v>
      </c>
      <c r="W445" s="114">
        <f t="shared" si="89"/>
        <v>0.54744628326962019</v>
      </c>
      <c r="X445" s="95"/>
      <c r="Y445" s="95"/>
      <c r="Z445" s="102"/>
      <c r="AA445" s="103">
        <v>45759</v>
      </c>
      <c r="AB445" s="103">
        <v>45778</v>
      </c>
      <c r="AC445" s="103"/>
      <c r="AD445" s="102">
        <f>IF(ISNA(VLOOKUP(D445,亚马逊入库配置费!B:F,5,0)),0,VLOOKUP(D445,亚马逊入库配置费!B:F,5,0))</f>
        <v>0.36833333333333301</v>
      </c>
      <c r="AE445" s="102">
        <f t="shared" si="85"/>
        <v>441.9999999999996</v>
      </c>
      <c r="AF445" s="103">
        <v>45786</v>
      </c>
      <c r="AG445" s="91">
        <f t="shared" si="86"/>
        <v>27</v>
      </c>
      <c r="AH445" s="103">
        <v>45786</v>
      </c>
      <c r="AI445" s="103">
        <v>45821</v>
      </c>
      <c r="AJ445" s="96">
        <v>1196</v>
      </c>
      <c r="AK445" s="91">
        <f t="shared" si="87"/>
        <v>35</v>
      </c>
      <c r="AL445" s="96">
        <f t="shared" si="90"/>
        <v>62</v>
      </c>
      <c r="AM445" s="92"/>
      <c r="AN445" s="91"/>
      <c r="AO445" s="91"/>
    </row>
    <row r="446" spans="1:41" ht="14.5" x14ac:dyDescent="0.25">
      <c r="A446" s="92" t="s">
        <v>871</v>
      </c>
      <c r="B446" s="91"/>
      <c r="C446" s="119" t="s">
        <v>861</v>
      </c>
      <c r="D446" s="120" t="s">
        <v>869</v>
      </c>
      <c r="E446" s="135" t="s">
        <v>97</v>
      </c>
      <c r="F446" s="135" t="s">
        <v>0</v>
      </c>
      <c r="G446" s="58" t="s">
        <v>872</v>
      </c>
      <c r="H446" s="119">
        <v>600</v>
      </c>
      <c r="I446" s="147" t="s">
        <v>207</v>
      </c>
      <c r="J446" s="119" t="s">
        <v>8</v>
      </c>
      <c r="K446" s="120" t="s">
        <v>17</v>
      </c>
      <c r="L446" s="93" t="s">
        <v>872</v>
      </c>
      <c r="M446" s="94" t="s">
        <v>3399</v>
      </c>
      <c r="N446" s="95" t="s">
        <v>2870</v>
      </c>
      <c r="O446" s="122">
        <v>20</v>
      </c>
      <c r="P446" s="111">
        <f>1265/80*O446</f>
        <v>316.25</v>
      </c>
      <c r="Q446" s="122" t="s">
        <v>16</v>
      </c>
      <c r="R446" s="124">
        <v>11</v>
      </c>
      <c r="S446" s="95"/>
      <c r="T446" s="98"/>
      <c r="U446" s="125">
        <f t="shared" si="103"/>
        <v>3509.2843511450383</v>
      </c>
      <c r="V446" s="113">
        <f t="shared" si="88"/>
        <v>5.8488072519083971</v>
      </c>
      <c r="W446" s="114">
        <f t="shared" si="89"/>
        <v>0.83554389312977106</v>
      </c>
      <c r="X446" s="95"/>
      <c r="Y446" s="95"/>
      <c r="Z446" s="102"/>
      <c r="AA446" s="103">
        <v>45759</v>
      </c>
      <c r="AB446" s="103">
        <v>45778</v>
      </c>
      <c r="AC446" s="103"/>
      <c r="AD446" s="102">
        <f>IF(ISNA(VLOOKUP(D446,亚马逊入库配置费!B:F,5,0)),0,VLOOKUP(D446,亚马逊入库配置费!B:F,5,0))</f>
        <v>0.36833333333333301</v>
      </c>
      <c r="AE446" s="102">
        <f t="shared" si="85"/>
        <v>220.9999999999998</v>
      </c>
      <c r="AF446" s="103">
        <v>45786</v>
      </c>
      <c r="AG446" s="91">
        <f t="shared" si="86"/>
        <v>27</v>
      </c>
      <c r="AH446" s="103">
        <v>45786</v>
      </c>
      <c r="AI446" s="103">
        <v>45821</v>
      </c>
      <c r="AJ446" s="96">
        <v>584</v>
      </c>
      <c r="AK446" s="91">
        <f t="shared" si="87"/>
        <v>35</v>
      </c>
      <c r="AL446" s="96">
        <f t="shared" si="90"/>
        <v>62</v>
      </c>
      <c r="AM446" s="92"/>
      <c r="AN446" s="91"/>
      <c r="AO446" s="91"/>
    </row>
    <row r="447" spans="1:41" ht="14.5" x14ac:dyDescent="0.25">
      <c r="A447" s="92" t="s">
        <v>873</v>
      </c>
      <c r="B447" s="91"/>
      <c r="C447" s="119" t="s">
        <v>861</v>
      </c>
      <c r="D447" s="120" t="s">
        <v>869</v>
      </c>
      <c r="E447" s="135" t="s">
        <v>97</v>
      </c>
      <c r="F447" s="135" t="s">
        <v>0</v>
      </c>
      <c r="G447" s="58" t="s">
        <v>853</v>
      </c>
      <c r="H447" s="119">
        <v>200</v>
      </c>
      <c r="I447" s="147" t="s">
        <v>207</v>
      </c>
      <c r="J447" s="119" t="s">
        <v>8</v>
      </c>
      <c r="K447" s="120" t="s">
        <v>17</v>
      </c>
      <c r="L447" s="93" t="s">
        <v>853</v>
      </c>
      <c r="M447" s="94" t="s">
        <v>3396</v>
      </c>
      <c r="N447" s="95" t="s">
        <v>2870</v>
      </c>
      <c r="O447" s="122">
        <v>5</v>
      </c>
      <c r="P447" s="111">
        <f>2762/182*O447</f>
        <v>75.879120879120876</v>
      </c>
      <c r="Q447" s="122" t="s">
        <v>16</v>
      </c>
      <c r="R447" s="124">
        <v>10</v>
      </c>
      <c r="S447" s="95"/>
      <c r="T447" s="98"/>
      <c r="U447" s="125">
        <f t="shared" si="103"/>
        <v>766.42479657746833</v>
      </c>
      <c r="V447" s="113">
        <f t="shared" si="88"/>
        <v>3.8321239828873415</v>
      </c>
      <c r="W447" s="114">
        <f t="shared" si="89"/>
        <v>0.54744628326962019</v>
      </c>
      <c r="X447" s="95"/>
      <c r="Y447" s="95"/>
      <c r="Z447" s="102"/>
      <c r="AA447" s="103">
        <v>45759</v>
      </c>
      <c r="AB447" s="103">
        <v>45778</v>
      </c>
      <c r="AC447" s="103"/>
      <c r="AD447" s="102">
        <f>IF(ISNA(VLOOKUP(D447,亚马逊入库配置费!B:F,5,0)),0,VLOOKUP(D447,亚马逊入库配置费!B:F,5,0))</f>
        <v>0.36833333333333301</v>
      </c>
      <c r="AE447" s="102">
        <f t="shared" si="85"/>
        <v>73.6666666666666</v>
      </c>
      <c r="AF447" s="103">
        <v>45786</v>
      </c>
      <c r="AG447" s="91">
        <f t="shared" si="86"/>
        <v>27</v>
      </c>
      <c r="AH447" s="103">
        <v>45786</v>
      </c>
      <c r="AI447" s="103">
        <v>45821</v>
      </c>
      <c r="AJ447" s="96">
        <v>199</v>
      </c>
      <c r="AK447" s="91">
        <f t="shared" si="87"/>
        <v>35</v>
      </c>
      <c r="AL447" s="96">
        <f t="shared" si="90"/>
        <v>62</v>
      </c>
      <c r="AM447" s="92"/>
      <c r="AN447" s="91"/>
      <c r="AO447" s="91"/>
    </row>
    <row r="448" spans="1:41" ht="14.5" x14ac:dyDescent="0.25">
      <c r="A448" s="92" t="s">
        <v>874</v>
      </c>
      <c r="B448" s="91"/>
      <c r="C448" s="119" t="s">
        <v>861</v>
      </c>
      <c r="D448" s="120" t="s">
        <v>869</v>
      </c>
      <c r="E448" s="135" t="s">
        <v>97</v>
      </c>
      <c r="F448" s="135" t="s">
        <v>0</v>
      </c>
      <c r="G448" s="58" t="s">
        <v>352</v>
      </c>
      <c r="H448" s="119">
        <v>400</v>
      </c>
      <c r="I448" s="147" t="s">
        <v>207</v>
      </c>
      <c r="J448" s="119" t="s">
        <v>8</v>
      </c>
      <c r="K448" s="120" t="s">
        <v>17</v>
      </c>
      <c r="L448" s="93" t="s">
        <v>3049</v>
      </c>
      <c r="M448" s="94" t="s">
        <v>3336</v>
      </c>
      <c r="N448" s="95" t="s">
        <v>2870</v>
      </c>
      <c r="O448" s="122">
        <v>10</v>
      </c>
      <c r="P448" s="111">
        <f>2762/182*O448</f>
        <v>151.75824175824175</v>
      </c>
      <c r="Q448" s="122" t="s">
        <v>16</v>
      </c>
      <c r="R448" s="124">
        <v>10</v>
      </c>
      <c r="S448" s="95"/>
      <c r="T448" s="98"/>
      <c r="U448" s="125">
        <f t="shared" si="103"/>
        <v>1532.8495931549367</v>
      </c>
      <c r="V448" s="113">
        <f t="shared" si="88"/>
        <v>3.8321239828873415</v>
      </c>
      <c r="W448" s="114">
        <f t="shared" si="89"/>
        <v>0.54744628326962019</v>
      </c>
      <c r="X448" s="95"/>
      <c r="Y448" s="95"/>
      <c r="Z448" s="102"/>
      <c r="AA448" s="103">
        <v>45759</v>
      </c>
      <c r="AB448" s="103">
        <v>45778</v>
      </c>
      <c r="AC448" s="103"/>
      <c r="AD448" s="102">
        <f>IF(ISNA(VLOOKUP(D448,亚马逊入库配置费!B:F,5,0)),0,VLOOKUP(D448,亚马逊入库配置费!B:F,5,0))</f>
        <v>0.36833333333333301</v>
      </c>
      <c r="AE448" s="102">
        <f t="shared" si="85"/>
        <v>147.3333333333332</v>
      </c>
      <c r="AF448" s="103">
        <v>45786</v>
      </c>
      <c r="AG448" s="91">
        <f t="shared" si="86"/>
        <v>27</v>
      </c>
      <c r="AH448" s="103">
        <v>45786</v>
      </c>
      <c r="AI448" s="103">
        <v>45821</v>
      </c>
      <c r="AJ448" s="96">
        <v>400</v>
      </c>
      <c r="AK448" s="91">
        <f t="shared" si="87"/>
        <v>35</v>
      </c>
      <c r="AL448" s="96">
        <f t="shared" si="90"/>
        <v>62</v>
      </c>
      <c r="AM448" s="92"/>
      <c r="AN448" s="91"/>
      <c r="AO448" s="91"/>
    </row>
    <row r="449" spans="1:41" ht="14.5" x14ac:dyDescent="0.25">
      <c r="A449" s="92" t="s">
        <v>875</v>
      </c>
      <c r="B449" s="91"/>
      <c r="C449" s="119" t="s">
        <v>861</v>
      </c>
      <c r="D449" s="120" t="s">
        <v>869</v>
      </c>
      <c r="E449" s="135" t="s">
        <v>97</v>
      </c>
      <c r="F449" s="135" t="s">
        <v>0</v>
      </c>
      <c r="G449" s="58" t="s">
        <v>876</v>
      </c>
      <c r="H449" s="119">
        <v>200</v>
      </c>
      <c r="I449" s="147" t="s">
        <v>207</v>
      </c>
      <c r="J449" s="119" t="s">
        <v>8</v>
      </c>
      <c r="K449" s="120" t="s">
        <v>17</v>
      </c>
      <c r="L449" s="93" t="s">
        <v>876</v>
      </c>
      <c r="M449" s="94" t="s">
        <v>3400</v>
      </c>
      <c r="N449" s="95" t="s">
        <v>2870</v>
      </c>
      <c r="O449" s="122">
        <v>5</v>
      </c>
      <c r="P449" s="111">
        <f>2762/182*O449</f>
        <v>75.879120879120876</v>
      </c>
      <c r="Q449" s="122" t="s">
        <v>16</v>
      </c>
      <c r="R449" s="124">
        <v>10</v>
      </c>
      <c r="S449" s="95"/>
      <c r="T449" s="98"/>
      <c r="U449" s="125">
        <f t="shared" si="103"/>
        <v>766.42479657746833</v>
      </c>
      <c r="V449" s="113">
        <f t="shared" si="88"/>
        <v>3.8321239828873415</v>
      </c>
      <c r="W449" s="114">
        <f t="shared" si="89"/>
        <v>0.54744628326962019</v>
      </c>
      <c r="X449" s="95"/>
      <c r="Y449" s="95"/>
      <c r="Z449" s="102"/>
      <c r="AA449" s="103">
        <v>45759</v>
      </c>
      <c r="AB449" s="103">
        <v>45778</v>
      </c>
      <c r="AC449" s="103"/>
      <c r="AD449" s="102">
        <f>IF(ISNA(VLOOKUP(D449,亚马逊入库配置费!B:F,5,0)),0,VLOOKUP(D449,亚马逊入库配置费!B:F,5,0))</f>
        <v>0.36833333333333301</v>
      </c>
      <c r="AE449" s="102">
        <f t="shared" si="85"/>
        <v>73.6666666666666</v>
      </c>
      <c r="AF449" s="103">
        <v>45786</v>
      </c>
      <c r="AG449" s="91">
        <f t="shared" si="86"/>
        <v>27</v>
      </c>
      <c r="AH449" s="103">
        <v>45786</v>
      </c>
      <c r="AI449" s="103">
        <v>45821</v>
      </c>
      <c r="AJ449" s="96">
        <v>200</v>
      </c>
      <c r="AK449" s="91">
        <f t="shared" si="87"/>
        <v>35</v>
      </c>
      <c r="AL449" s="96">
        <f t="shared" si="90"/>
        <v>62</v>
      </c>
      <c r="AM449" s="92"/>
      <c r="AN449" s="91"/>
      <c r="AO449" s="91"/>
    </row>
    <row r="450" spans="1:41" ht="14.5" x14ac:dyDescent="0.25">
      <c r="A450" s="92" t="s">
        <v>877</v>
      </c>
      <c r="B450" s="91"/>
      <c r="C450" s="119" t="s">
        <v>861</v>
      </c>
      <c r="D450" s="120" t="s">
        <v>869</v>
      </c>
      <c r="E450" s="135" t="s">
        <v>97</v>
      </c>
      <c r="F450" s="135" t="s">
        <v>0</v>
      </c>
      <c r="G450" s="58" t="s">
        <v>878</v>
      </c>
      <c r="H450" s="119">
        <v>600</v>
      </c>
      <c r="I450" s="147" t="s">
        <v>207</v>
      </c>
      <c r="J450" s="119" t="s">
        <v>8</v>
      </c>
      <c r="K450" s="120" t="s">
        <v>17</v>
      </c>
      <c r="L450" s="93" t="s">
        <v>878</v>
      </c>
      <c r="M450" s="94" t="s">
        <v>3401</v>
      </c>
      <c r="N450" s="95" t="s">
        <v>2876</v>
      </c>
      <c r="O450" s="122">
        <v>20</v>
      </c>
      <c r="P450" s="111">
        <f>1265/80*O450</f>
        <v>316.25</v>
      </c>
      <c r="Q450" s="122" t="s">
        <v>16</v>
      </c>
      <c r="R450" s="124">
        <v>11</v>
      </c>
      <c r="S450" s="95"/>
      <c r="T450" s="98"/>
      <c r="U450" s="125">
        <f t="shared" si="103"/>
        <v>3509.2843511450383</v>
      </c>
      <c r="V450" s="113">
        <f t="shared" si="88"/>
        <v>5.8488072519083971</v>
      </c>
      <c r="W450" s="114">
        <f t="shared" si="89"/>
        <v>0.83554389312977106</v>
      </c>
      <c r="X450" s="95"/>
      <c r="Y450" s="95"/>
      <c r="Z450" s="102"/>
      <c r="AA450" s="103">
        <v>45759</v>
      </c>
      <c r="AB450" s="103">
        <v>45778</v>
      </c>
      <c r="AC450" s="103"/>
      <c r="AD450" s="102">
        <f>IF(ISNA(VLOOKUP(D450,亚马逊入库配置费!B:F,5,0)),0,VLOOKUP(D450,亚马逊入库配置费!B:F,5,0))</f>
        <v>0.36833333333333301</v>
      </c>
      <c r="AE450" s="102">
        <f t="shared" ref="AE450:AE513" si="104">H450*AD450</f>
        <v>220.9999999999998</v>
      </c>
      <c r="AF450" s="103">
        <v>45786</v>
      </c>
      <c r="AG450" s="91">
        <f t="shared" ref="AG450:AG513" si="105">AF450-AA450</f>
        <v>27</v>
      </c>
      <c r="AH450" s="103">
        <v>45786</v>
      </c>
      <c r="AI450" s="103">
        <v>45821</v>
      </c>
      <c r="AJ450" s="96">
        <v>600</v>
      </c>
      <c r="AK450" s="91">
        <f t="shared" ref="AK450:AK513" si="106">AI450-AH450</f>
        <v>35</v>
      </c>
      <c r="AL450" s="96">
        <f t="shared" si="90"/>
        <v>62</v>
      </c>
      <c r="AM450" s="92"/>
      <c r="AN450" s="91"/>
      <c r="AO450" s="91"/>
    </row>
    <row r="451" spans="1:41" ht="14.5" x14ac:dyDescent="0.25">
      <c r="A451" s="92" t="s">
        <v>879</v>
      </c>
      <c r="B451" s="91"/>
      <c r="C451" s="119" t="s">
        <v>861</v>
      </c>
      <c r="D451" s="120" t="s">
        <v>880</v>
      </c>
      <c r="E451" s="135" t="s">
        <v>287</v>
      </c>
      <c r="F451" s="135" t="s">
        <v>0</v>
      </c>
      <c r="G451" s="58" t="s">
        <v>284</v>
      </c>
      <c r="H451" s="119">
        <v>592</v>
      </c>
      <c r="I451" s="147" t="s">
        <v>207</v>
      </c>
      <c r="J451" s="119" t="s">
        <v>8</v>
      </c>
      <c r="K451" s="120" t="s">
        <v>17</v>
      </c>
      <c r="L451" s="93" t="s">
        <v>3039</v>
      </c>
      <c r="M451" s="94" t="s">
        <v>3323</v>
      </c>
      <c r="N451" s="95" t="s">
        <v>2915</v>
      </c>
      <c r="O451" s="122">
        <v>37</v>
      </c>
      <c r="P451" s="111">
        <f>2762/182*O451</f>
        <v>561.50549450549443</v>
      </c>
      <c r="Q451" s="122" t="s">
        <v>16</v>
      </c>
      <c r="R451" s="124">
        <v>10</v>
      </c>
      <c r="S451" s="95"/>
      <c r="T451" s="98"/>
      <c r="U451" s="125">
        <f t="shared" si="103"/>
        <v>5671.5434946732648</v>
      </c>
      <c r="V451" s="113">
        <f t="shared" ref="V451:V458" si="107">U451/H451</f>
        <v>9.5803099572183523</v>
      </c>
      <c r="W451" s="114">
        <f t="shared" ref="W451:W458" si="108">V451/7</f>
        <v>1.3686157081740504</v>
      </c>
      <c r="X451" s="95"/>
      <c r="Y451" s="95"/>
      <c r="Z451" s="102"/>
      <c r="AA451" s="103">
        <v>45759</v>
      </c>
      <c r="AB451" s="103">
        <v>45778</v>
      </c>
      <c r="AC451" s="103"/>
      <c r="AD451" s="102">
        <f>IF(ISNA(VLOOKUP(D451,亚马逊入库配置费!B:F,5,0)),0,VLOOKUP(D451,亚马逊入库配置费!B:F,5,0))</f>
        <v>0.49</v>
      </c>
      <c r="AE451" s="102">
        <f t="shared" si="104"/>
        <v>290.08</v>
      </c>
      <c r="AF451" s="103">
        <v>45786</v>
      </c>
      <c r="AG451" s="91">
        <f t="shared" si="105"/>
        <v>27</v>
      </c>
      <c r="AH451" s="103">
        <v>45786</v>
      </c>
      <c r="AI451" s="103">
        <v>45821</v>
      </c>
      <c r="AJ451" s="96">
        <v>592</v>
      </c>
      <c r="AK451" s="91">
        <f t="shared" si="106"/>
        <v>35</v>
      </c>
      <c r="AL451" s="96">
        <f t="shared" si="90"/>
        <v>62</v>
      </c>
      <c r="AM451" s="92"/>
      <c r="AN451" s="91"/>
      <c r="AO451" s="91"/>
    </row>
    <row r="452" spans="1:41" ht="14.5" x14ac:dyDescent="0.25">
      <c r="A452" s="92" t="s">
        <v>881</v>
      </c>
      <c r="B452" s="91"/>
      <c r="C452" s="119" t="s">
        <v>861</v>
      </c>
      <c r="D452" s="120" t="s">
        <v>880</v>
      </c>
      <c r="E452" s="135" t="s">
        <v>287</v>
      </c>
      <c r="F452" s="135" t="s">
        <v>0</v>
      </c>
      <c r="G452" s="58" t="s">
        <v>779</v>
      </c>
      <c r="H452" s="119">
        <v>80</v>
      </c>
      <c r="I452" s="147" t="s">
        <v>207</v>
      </c>
      <c r="J452" s="119" t="s">
        <v>8</v>
      </c>
      <c r="K452" s="120" t="s">
        <v>17</v>
      </c>
      <c r="L452" s="93" t="s">
        <v>3083</v>
      </c>
      <c r="M452" s="94" t="s">
        <v>3394</v>
      </c>
      <c r="N452" s="95" t="s">
        <v>2793</v>
      </c>
      <c r="O452" s="122">
        <v>5</v>
      </c>
      <c r="P452" s="111">
        <f>2762/182*O452</f>
        <v>75.879120879120876</v>
      </c>
      <c r="Q452" s="122" t="s">
        <v>16</v>
      </c>
      <c r="R452" s="124">
        <v>10</v>
      </c>
      <c r="S452" s="95"/>
      <c r="T452" s="98"/>
      <c r="U452" s="125">
        <f t="shared" si="103"/>
        <v>766.42479657746833</v>
      </c>
      <c r="V452" s="113">
        <f t="shared" si="107"/>
        <v>9.5803099572183541</v>
      </c>
      <c r="W452" s="114">
        <f t="shared" si="108"/>
        <v>1.3686157081740506</v>
      </c>
      <c r="X452" s="95"/>
      <c r="Y452" s="95"/>
      <c r="Z452" s="102"/>
      <c r="AA452" s="103">
        <v>45759</v>
      </c>
      <c r="AB452" s="103">
        <v>45778</v>
      </c>
      <c r="AC452" s="103"/>
      <c r="AD452" s="102">
        <f>IF(ISNA(VLOOKUP(D452,亚马逊入库配置费!B:F,5,0)),0,VLOOKUP(D452,亚马逊入库配置费!B:F,5,0))</f>
        <v>0.49</v>
      </c>
      <c r="AE452" s="102">
        <f t="shared" si="104"/>
        <v>39.200000000000003</v>
      </c>
      <c r="AF452" s="103">
        <v>45786</v>
      </c>
      <c r="AG452" s="91">
        <f t="shared" si="105"/>
        <v>27</v>
      </c>
      <c r="AH452" s="103">
        <v>45786</v>
      </c>
      <c r="AI452" s="103">
        <v>45821</v>
      </c>
      <c r="AJ452" s="96">
        <v>80</v>
      </c>
      <c r="AK452" s="91">
        <f t="shared" si="106"/>
        <v>35</v>
      </c>
      <c r="AL452" s="96">
        <f t="shared" ref="AL452:AL515" si="109">AG452+AK452</f>
        <v>62</v>
      </c>
      <c r="AM452" s="92"/>
      <c r="AN452" s="91"/>
      <c r="AO452" s="91"/>
    </row>
    <row r="453" spans="1:41" ht="14.5" x14ac:dyDescent="0.25">
      <c r="A453" s="92" t="s">
        <v>882</v>
      </c>
      <c r="B453" s="91"/>
      <c r="C453" s="119" t="s">
        <v>861</v>
      </c>
      <c r="D453" s="120" t="s">
        <v>883</v>
      </c>
      <c r="E453" s="135" t="s">
        <v>287</v>
      </c>
      <c r="F453" s="135" t="s">
        <v>0</v>
      </c>
      <c r="G453" s="58" t="s">
        <v>884</v>
      </c>
      <c r="H453" s="119">
        <v>688</v>
      </c>
      <c r="I453" s="147" t="s">
        <v>207</v>
      </c>
      <c r="J453" s="119" t="s">
        <v>8</v>
      </c>
      <c r="K453" s="120" t="s">
        <v>17</v>
      </c>
      <c r="L453" s="93" t="s">
        <v>3084</v>
      </c>
      <c r="M453" s="94" t="s">
        <v>3402</v>
      </c>
      <c r="N453" s="95" t="s">
        <v>51</v>
      </c>
      <c r="O453" s="122">
        <v>43</v>
      </c>
      <c r="P453" s="111">
        <f>2762/182*O453</f>
        <v>652.56043956043959</v>
      </c>
      <c r="Q453" s="122" t="s">
        <v>16</v>
      </c>
      <c r="R453" s="124">
        <v>10</v>
      </c>
      <c r="S453" s="95"/>
      <c r="T453" s="98"/>
      <c r="U453" s="125">
        <f t="shared" si="103"/>
        <v>6591.2532505662284</v>
      </c>
      <c r="V453" s="113">
        <f t="shared" si="107"/>
        <v>9.5803099572183559</v>
      </c>
      <c r="W453" s="114">
        <f t="shared" si="108"/>
        <v>1.3686157081740509</v>
      </c>
      <c r="X453" s="95"/>
      <c r="Y453" s="95"/>
      <c r="Z453" s="102"/>
      <c r="AA453" s="103">
        <v>45759</v>
      </c>
      <c r="AB453" s="103">
        <v>45778</v>
      </c>
      <c r="AC453" s="103"/>
      <c r="AD453" s="102">
        <f>IF(ISNA(VLOOKUP(D453,亚马逊入库配置费!B:F,5,0)),0,VLOOKUP(D453,亚马逊入库配置费!B:F,5,0))</f>
        <v>0.48950396825396802</v>
      </c>
      <c r="AE453" s="102">
        <f t="shared" si="104"/>
        <v>336.77873015873001</v>
      </c>
      <c r="AF453" s="103">
        <v>45785</v>
      </c>
      <c r="AG453" s="91">
        <f t="shared" si="105"/>
        <v>26</v>
      </c>
      <c r="AH453" s="103">
        <v>45785</v>
      </c>
      <c r="AI453" s="103">
        <v>45821</v>
      </c>
      <c r="AJ453" s="96">
        <v>688</v>
      </c>
      <c r="AK453" s="91">
        <f t="shared" si="106"/>
        <v>36</v>
      </c>
      <c r="AL453" s="96">
        <f t="shared" si="109"/>
        <v>62</v>
      </c>
      <c r="AM453" s="92"/>
      <c r="AN453" s="91"/>
      <c r="AO453" s="91"/>
    </row>
    <row r="454" spans="1:41" ht="14.5" x14ac:dyDescent="0.25">
      <c r="A454" s="92" t="s">
        <v>885</v>
      </c>
      <c r="B454" s="91"/>
      <c r="C454" s="119" t="s">
        <v>861</v>
      </c>
      <c r="D454" s="120" t="s">
        <v>883</v>
      </c>
      <c r="E454" s="135" t="s">
        <v>287</v>
      </c>
      <c r="F454" s="135" t="s">
        <v>0</v>
      </c>
      <c r="G454" s="58" t="s">
        <v>886</v>
      </c>
      <c r="H454" s="119">
        <v>320</v>
      </c>
      <c r="I454" s="147" t="s">
        <v>207</v>
      </c>
      <c r="J454" s="119" t="s">
        <v>8</v>
      </c>
      <c r="K454" s="120" t="s">
        <v>17</v>
      </c>
      <c r="L454" s="93" t="s">
        <v>3085</v>
      </c>
      <c r="M454" s="94" t="s">
        <v>3403</v>
      </c>
      <c r="N454" s="95" t="s">
        <v>51</v>
      </c>
      <c r="O454" s="122">
        <v>20</v>
      </c>
      <c r="P454" s="111">
        <f>2762/182*O454</f>
        <v>303.5164835164835</v>
      </c>
      <c r="Q454" s="122" t="s">
        <v>16</v>
      </c>
      <c r="R454" s="124">
        <v>10</v>
      </c>
      <c r="S454" s="95"/>
      <c r="T454" s="98"/>
      <c r="U454" s="125">
        <f t="shared" si="103"/>
        <v>3065.6991863098733</v>
      </c>
      <c r="V454" s="113">
        <f t="shared" si="107"/>
        <v>9.5803099572183541</v>
      </c>
      <c r="W454" s="114">
        <f t="shared" si="108"/>
        <v>1.3686157081740506</v>
      </c>
      <c r="X454" s="95"/>
      <c r="Y454" s="95"/>
      <c r="Z454" s="102"/>
      <c r="AA454" s="103">
        <v>45759</v>
      </c>
      <c r="AB454" s="103">
        <v>45778</v>
      </c>
      <c r="AC454" s="103"/>
      <c r="AD454" s="102">
        <f>IF(ISNA(VLOOKUP(D454,亚马逊入库配置费!B:F,5,0)),0,VLOOKUP(D454,亚马逊入库配置费!B:F,5,0))</f>
        <v>0.48950396825396802</v>
      </c>
      <c r="AE454" s="102">
        <f t="shared" si="104"/>
        <v>156.64126984126978</v>
      </c>
      <c r="AF454" s="103">
        <v>45785</v>
      </c>
      <c r="AG454" s="91">
        <f t="shared" si="105"/>
        <v>26</v>
      </c>
      <c r="AH454" s="103">
        <v>45785</v>
      </c>
      <c r="AI454" s="103">
        <v>45821</v>
      </c>
      <c r="AJ454" s="96">
        <v>320</v>
      </c>
      <c r="AK454" s="91">
        <f t="shared" si="106"/>
        <v>36</v>
      </c>
      <c r="AL454" s="96">
        <f t="shared" si="109"/>
        <v>62</v>
      </c>
      <c r="AM454" s="92"/>
      <c r="AN454" s="91"/>
      <c r="AO454" s="91"/>
    </row>
    <row r="455" spans="1:41" ht="14.5" x14ac:dyDescent="0.25">
      <c r="A455" s="92" t="s">
        <v>887</v>
      </c>
      <c r="B455" s="143"/>
      <c r="C455" s="119" t="s">
        <v>888</v>
      </c>
      <c r="D455" s="120" t="s">
        <v>889</v>
      </c>
      <c r="E455" s="135" t="s">
        <v>97</v>
      </c>
      <c r="F455" s="135" t="s">
        <v>0</v>
      </c>
      <c r="G455" s="58" t="s">
        <v>876</v>
      </c>
      <c r="H455" s="119">
        <v>80</v>
      </c>
      <c r="I455" s="119" t="s">
        <v>418</v>
      </c>
      <c r="J455" s="119" t="s">
        <v>3</v>
      </c>
      <c r="K455" s="120" t="s">
        <v>17</v>
      </c>
      <c r="L455" s="93" t="s">
        <v>876</v>
      </c>
      <c r="M455" s="94" t="s">
        <v>3400</v>
      </c>
      <c r="N455" s="95" t="s">
        <v>2870</v>
      </c>
      <c r="O455" s="122">
        <v>2</v>
      </c>
      <c r="P455" s="95">
        <f>28</f>
        <v>28</v>
      </c>
      <c r="Q455" s="122" t="s">
        <v>16</v>
      </c>
      <c r="R455" s="124">
        <v>54</v>
      </c>
      <c r="S455" s="95"/>
      <c r="T455" s="98"/>
      <c r="U455" s="125">
        <f>R455*P455+350/5*O455+280</f>
        <v>1932</v>
      </c>
      <c r="V455" s="113">
        <f t="shared" si="107"/>
        <v>24.15</v>
      </c>
      <c r="W455" s="114">
        <f t="shared" si="108"/>
        <v>3.4499999999999997</v>
      </c>
      <c r="X455" s="95"/>
      <c r="Y455" s="95"/>
      <c r="Z455" s="91"/>
      <c r="AA455" s="103">
        <v>45766</v>
      </c>
      <c r="AB455" s="91"/>
      <c r="AC455" s="91"/>
      <c r="AD455" s="102">
        <f>IF(ISNA(VLOOKUP(D455,亚马逊入库配置费!B:F,5,0)),0,VLOOKUP(D455,亚马逊入库配置费!B:F,5,0))</f>
        <v>0.34</v>
      </c>
      <c r="AE455" s="102">
        <f t="shared" si="104"/>
        <v>27.200000000000003</v>
      </c>
      <c r="AF455" s="103">
        <v>45778</v>
      </c>
      <c r="AG455" s="91">
        <f t="shared" si="105"/>
        <v>12</v>
      </c>
      <c r="AH455" s="103">
        <v>45778</v>
      </c>
      <c r="AI455" s="103">
        <v>45809</v>
      </c>
      <c r="AJ455" s="96">
        <v>83</v>
      </c>
      <c r="AK455" s="91">
        <f t="shared" si="106"/>
        <v>31</v>
      </c>
      <c r="AL455" s="96">
        <f t="shared" si="109"/>
        <v>43</v>
      </c>
      <c r="AM455" s="91" t="s">
        <v>890</v>
      </c>
      <c r="AN455" s="91"/>
      <c r="AO455" s="91"/>
    </row>
    <row r="456" spans="1:41" ht="14.5" x14ac:dyDescent="0.25">
      <c r="A456" s="92" t="s">
        <v>891</v>
      </c>
      <c r="B456" s="143"/>
      <c r="C456" s="119" t="s">
        <v>888</v>
      </c>
      <c r="D456" s="120" t="s">
        <v>892</v>
      </c>
      <c r="E456" s="135" t="s">
        <v>416</v>
      </c>
      <c r="F456" s="135" t="s">
        <v>0</v>
      </c>
      <c r="G456" s="58" t="s">
        <v>417</v>
      </c>
      <c r="H456" s="119">
        <v>320</v>
      </c>
      <c r="I456" s="119" t="s">
        <v>418</v>
      </c>
      <c r="J456" s="119" t="s">
        <v>3</v>
      </c>
      <c r="K456" s="120" t="s">
        <v>14</v>
      </c>
      <c r="L456" s="93" t="s">
        <v>3052</v>
      </c>
      <c r="M456" s="94" t="s">
        <v>3341</v>
      </c>
      <c r="N456" s="95" t="s">
        <v>2905</v>
      </c>
      <c r="O456" s="122">
        <v>1</v>
      </c>
      <c r="P456" s="95">
        <f>44/3*O456</f>
        <v>14.666666666666666</v>
      </c>
      <c r="Q456" s="122" t="s">
        <v>16</v>
      </c>
      <c r="R456" s="124">
        <v>53</v>
      </c>
      <c r="S456" s="95"/>
      <c r="T456" s="98"/>
      <c r="U456" s="125">
        <f>(R456*P456+350/5*O456)+(368.82/3*O456)</f>
        <v>970.27333333333331</v>
      </c>
      <c r="V456" s="113">
        <f t="shared" si="107"/>
        <v>3.0321041666666666</v>
      </c>
      <c r="W456" s="114">
        <f t="shared" si="108"/>
        <v>0.43315773809523811</v>
      </c>
      <c r="X456" s="95"/>
      <c r="Y456" s="95"/>
      <c r="Z456" s="91"/>
      <c r="AA456" s="103">
        <v>45766</v>
      </c>
      <c r="AB456" s="91"/>
      <c r="AC456" s="91"/>
      <c r="AD456" s="102">
        <f>IF(ISNA(VLOOKUP(D456,亚马逊入库配置费!B:F,5,0)),0,VLOOKUP(D456,亚马逊入库配置费!B:F,5,0))</f>
        <v>0.3</v>
      </c>
      <c r="AE456" s="102">
        <f t="shared" si="104"/>
        <v>96</v>
      </c>
      <c r="AF456" s="103">
        <v>45773</v>
      </c>
      <c r="AG456" s="91">
        <f t="shared" si="105"/>
        <v>7</v>
      </c>
      <c r="AH456" s="103">
        <v>45773</v>
      </c>
      <c r="AI456" s="103">
        <v>45802</v>
      </c>
      <c r="AJ456" s="96">
        <v>320</v>
      </c>
      <c r="AK456" s="91">
        <f t="shared" si="106"/>
        <v>29</v>
      </c>
      <c r="AL456" s="96">
        <f t="shared" si="109"/>
        <v>36</v>
      </c>
      <c r="AM456" s="91" t="s">
        <v>893</v>
      </c>
      <c r="AN456" s="91"/>
      <c r="AO456" s="91"/>
    </row>
    <row r="457" spans="1:41" ht="14.5" x14ac:dyDescent="0.25">
      <c r="A457" s="92" t="s">
        <v>894</v>
      </c>
      <c r="B457" s="143"/>
      <c r="C457" s="119" t="s">
        <v>888</v>
      </c>
      <c r="D457" s="120" t="s">
        <v>892</v>
      </c>
      <c r="E457" s="135" t="s">
        <v>416</v>
      </c>
      <c r="F457" s="135" t="s">
        <v>0</v>
      </c>
      <c r="G457" s="58" t="s">
        <v>421</v>
      </c>
      <c r="H457" s="119">
        <v>200</v>
      </c>
      <c r="I457" s="119" t="s">
        <v>418</v>
      </c>
      <c r="J457" s="119" t="s">
        <v>3</v>
      </c>
      <c r="K457" s="120" t="s">
        <v>14</v>
      </c>
      <c r="L457" s="93" t="s">
        <v>3053</v>
      </c>
      <c r="M457" s="94" t="s">
        <v>3342</v>
      </c>
      <c r="N457" s="95" t="s">
        <v>2905</v>
      </c>
      <c r="O457" s="122">
        <v>1</v>
      </c>
      <c r="P457" s="95">
        <f>44/3*O457</f>
        <v>14.666666666666666</v>
      </c>
      <c r="Q457" s="122" t="s">
        <v>16</v>
      </c>
      <c r="R457" s="124">
        <v>53</v>
      </c>
      <c r="S457" s="95"/>
      <c r="T457" s="98"/>
      <c r="U457" s="125">
        <f>(R457*P457+350/5*O457)+(368.82/3*O457)</f>
        <v>970.27333333333331</v>
      </c>
      <c r="V457" s="113">
        <f t="shared" si="107"/>
        <v>4.8513666666666664</v>
      </c>
      <c r="W457" s="114">
        <f t="shared" si="108"/>
        <v>0.69305238095238086</v>
      </c>
      <c r="X457" s="95"/>
      <c r="Y457" s="95"/>
      <c r="Z457" s="91"/>
      <c r="AA457" s="103">
        <v>45766</v>
      </c>
      <c r="AB457" s="91"/>
      <c r="AC457" s="91"/>
      <c r="AD457" s="102">
        <f>IF(ISNA(VLOOKUP(D457,亚马逊入库配置费!B:F,5,0)),0,VLOOKUP(D457,亚马逊入库配置费!B:F,5,0))</f>
        <v>0.3</v>
      </c>
      <c r="AE457" s="102">
        <f t="shared" si="104"/>
        <v>60</v>
      </c>
      <c r="AF457" s="103">
        <v>45773</v>
      </c>
      <c r="AG457" s="91">
        <f t="shared" si="105"/>
        <v>7</v>
      </c>
      <c r="AH457" s="103">
        <v>45773</v>
      </c>
      <c r="AI457" s="103">
        <v>45802</v>
      </c>
      <c r="AJ457" s="96">
        <v>180</v>
      </c>
      <c r="AK457" s="91">
        <f t="shared" si="106"/>
        <v>29</v>
      </c>
      <c r="AL457" s="96">
        <f t="shared" si="109"/>
        <v>36</v>
      </c>
      <c r="AM457" s="91" t="s">
        <v>893</v>
      </c>
      <c r="AN457" s="91"/>
      <c r="AO457" s="91"/>
    </row>
    <row r="458" spans="1:41" ht="14.5" x14ac:dyDescent="0.25">
      <c r="A458" s="92" t="s">
        <v>895</v>
      </c>
      <c r="B458" s="143"/>
      <c r="C458" s="119" t="s">
        <v>888</v>
      </c>
      <c r="D458" s="120" t="s">
        <v>892</v>
      </c>
      <c r="E458" s="135" t="s">
        <v>416</v>
      </c>
      <c r="F458" s="135" t="s">
        <v>0</v>
      </c>
      <c r="G458" s="58" t="s">
        <v>421</v>
      </c>
      <c r="H458" s="119">
        <v>45</v>
      </c>
      <c r="I458" s="119" t="s">
        <v>418</v>
      </c>
      <c r="J458" s="119" t="s">
        <v>3</v>
      </c>
      <c r="K458" s="120" t="s">
        <v>14</v>
      </c>
      <c r="L458" s="93" t="s">
        <v>3053</v>
      </c>
      <c r="M458" s="94" t="s">
        <v>3342</v>
      </c>
      <c r="N458" s="95" t="s">
        <v>2905</v>
      </c>
      <c r="O458" s="148">
        <f>1/345*H458</f>
        <v>0.13043478260869565</v>
      </c>
      <c r="P458" s="95">
        <f>44/3*O458</f>
        <v>1.9130434782608694</v>
      </c>
      <c r="Q458" s="122" t="s">
        <v>16</v>
      </c>
      <c r="R458" s="124">
        <v>53</v>
      </c>
      <c r="S458" s="95"/>
      <c r="T458" s="98"/>
      <c r="U458" s="125">
        <f>(R458*P458+350/5*O458)+(368.82/3*O458)</f>
        <v>126.55739130434782</v>
      </c>
      <c r="V458" s="113">
        <f t="shared" si="107"/>
        <v>2.8123864734299513</v>
      </c>
      <c r="W458" s="114">
        <f t="shared" si="108"/>
        <v>0.40176949620427876</v>
      </c>
      <c r="X458" s="95"/>
      <c r="Y458" s="95"/>
      <c r="Z458" s="102"/>
      <c r="AA458" s="103">
        <v>45766</v>
      </c>
      <c r="AB458" s="103"/>
      <c r="AC458" s="91"/>
      <c r="AD458" s="102">
        <f>IF(ISNA(VLOOKUP(D458,亚马逊入库配置费!B:F,5,0)),0,VLOOKUP(D458,亚马逊入库配置费!B:F,5,0))</f>
        <v>0.3</v>
      </c>
      <c r="AE458" s="102">
        <f t="shared" si="104"/>
        <v>13.5</v>
      </c>
      <c r="AF458" s="103">
        <v>45773</v>
      </c>
      <c r="AG458" s="91">
        <f t="shared" si="105"/>
        <v>7</v>
      </c>
      <c r="AH458" s="103">
        <v>45773</v>
      </c>
      <c r="AI458" s="103">
        <v>45802</v>
      </c>
      <c r="AJ458" s="96">
        <v>43</v>
      </c>
      <c r="AK458" s="91">
        <f t="shared" si="106"/>
        <v>29</v>
      </c>
      <c r="AL458" s="96">
        <f t="shared" si="109"/>
        <v>36</v>
      </c>
      <c r="AM458" s="91" t="s">
        <v>893</v>
      </c>
      <c r="AN458" s="91"/>
      <c r="AO458" s="91"/>
    </row>
    <row r="459" spans="1:41" ht="14.5" x14ac:dyDescent="0.25">
      <c r="A459" s="92" t="s">
        <v>896</v>
      </c>
      <c r="B459" s="143"/>
      <c r="C459" s="119" t="s">
        <v>888</v>
      </c>
      <c r="D459" s="120" t="s">
        <v>892</v>
      </c>
      <c r="E459" s="135" t="s">
        <v>416</v>
      </c>
      <c r="F459" s="135" t="s">
        <v>0</v>
      </c>
      <c r="G459" s="58" t="s">
        <v>443</v>
      </c>
      <c r="H459" s="119">
        <v>60</v>
      </c>
      <c r="I459" s="119" t="s">
        <v>418</v>
      </c>
      <c r="J459" s="119" t="s">
        <v>3</v>
      </c>
      <c r="K459" s="120" t="s">
        <v>14</v>
      </c>
      <c r="L459" s="93" t="s">
        <v>2656</v>
      </c>
      <c r="M459" s="94" t="s">
        <v>3347</v>
      </c>
      <c r="N459" s="95" t="s">
        <v>2905</v>
      </c>
      <c r="O459" s="148">
        <f>1/345*H459</f>
        <v>0.17391304347826086</v>
      </c>
      <c r="P459" s="95">
        <f>44/3*O459</f>
        <v>2.5507246376811592</v>
      </c>
      <c r="Q459" s="122" t="s">
        <v>16</v>
      </c>
      <c r="R459" s="124">
        <v>53</v>
      </c>
      <c r="S459" s="95"/>
      <c r="T459" s="98"/>
      <c r="U459" s="125">
        <f>(R459*P459+350/5*O459)+(368.82/3*O459)</f>
        <v>168.74318840579707</v>
      </c>
      <c r="V459" s="113"/>
      <c r="W459" s="149"/>
      <c r="X459" s="95"/>
      <c r="Y459" s="95"/>
      <c r="Z459" s="102"/>
      <c r="AA459" s="103">
        <v>45766</v>
      </c>
      <c r="AB459" s="103"/>
      <c r="AC459" s="91"/>
      <c r="AD459" s="102">
        <f>IF(ISNA(VLOOKUP(D459,亚马逊入库配置费!B:F,5,0)),0,VLOOKUP(D459,亚马逊入库配置费!B:F,5,0))</f>
        <v>0.3</v>
      </c>
      <c r="AE459" s="102">
        <f t="shared" si="104"/>
        <v>18</v>
      </c>
      <c r="AF459" s="103">
        <v>45773</v>
      </c>
      <c r="AG459" s="91">
        <f t="shared" si="105"/>
        <v>7</v>
      </c>
      <c r="AH459" s="103">
        <v>45773</v>
      </c>
      <c r="AI459" s="103">
        <v>45802</v>
      </c>
      <c r="AJ459" s="96">
        <v>59</v>
      </c>
      <c r="AK459" s="91">
        <f t="shared" si="106"/>
        <v>29</v>
      </c>
      <c r="AL459" s="96">
        <f t="shared" si="109"/>
        <v>36</v>
      </c>
      <c r="AM459" s="91" t="s">
        <v>893</v>
      </c>
      <c r="AN459" s="91"/>
      <c r="AO459" s="91"/>
    </row>
    <row r="460" spans="1:41" ht="14.5" x14ac:dyDescent="0.25">
      <c r="A460" s="92" t="s">
        <v>897</v>
      </c>
      <c r="B460" s="143"/>
      <c r="C460" s="119" t="s">
        <v>888</v>
      </c>
      <c r="D460" s="120" t="s">
        <v>892</v>
      </c>
      <c r="E460" s="135" t="s">
        <v>416</v>
      </c>
      <c r="F460" s="135" t="s">
        <v>0</v>
      </c>
      <c r="G460" s="58" t="s">
        <v>417</v>
      </c>
      <c r="H460" s="119">
        <v>240</v>
      </c>
      <c r="I460" s="119" t="s">
        <v>418</v>
      </c>
      <c r="J460" s="119" t="s">
        <v>3</v>
      </c>
      <c r="K460" s="120" t="s">
        <v>14</v>
      </c>
      <c r="L460" s="93" t="s">
        <v>3052</v>
      </c>
      <c r="M460" s="94" t="s">
        <v>3341</v>
      </c>
      <c r="N460" s="95" t="s">
        <v>2905</v>
      </c>
      <c r="O460" s="148">
        <f>1/345*H460</f>
        <v>0.69565217391304346</v>
      </c>
      <c r="P460" s="95">
        <f>44/3*O460</f>
        <v>10.202898550724637</v>
      </c>
      <c r="Q460" s="122" t="s">
        <v>16</v>
      </c>
      <c r="R460" s="124">
        <v>53</v>
      </c>
      <c r="S460" s="95"/>
      <c r="T460" s="98"/>
      <c r="U460" s="125">
        <f>(R460*P460+350/5*O460)+(368.82/3*O460)</f>
        <v>674.97275362318828</v>
      </c>
      <c r="V460" s="113"/>
      <c r="W460" s="149"/>
      <c r="X460" s="95"/>
      <c r="Y460" s="95"/>
      <c r="Z460" s="102"/>
      <c r="AA460" s="103">
        <v>45766</v>
      </c>
      <c r="AB460" s="103"/>
      <c r="AC460" s="91"/>
      <c r="AD460" s="102">
        <f>IF(ISNA(VLOOKUP(D460,亚马逊入库配置费!B:F,5,0)),0,VLOOKUP(D460,亚马逊入库配置费!B:F,5,0))</f>
        <v>0.3</v>
      </c>
      <c r="AE460" s="102">
        <f t="shared" si="104"/>
        <v>72</v>
      </c>
      <c r="AF460" s="103">
        <v>45773</v>
      </c>
      <c r="AG460" s="91">
        <f t="shared" si="105"/>
        <v>7</v>
      </c>
      <c r="AH460" s="103">
        <v>45773</v>
      </c>
      <c r="AI460" s="103">
        <v>45802</v>
      </c>
      <c r="AJ460" s="96">
        <v>240</v>
      </c>
      <c r="AK460" s="91">
        <f t="shared" si="106"/>
        <v>29</v>
      </c>
      <c r="AL460" s="96">
        <f t="shared" si="109"/>
        <v>36</v>
      </c>
      <c r="AM460" s="91" t="s">
        <v>893</v>
      </c>
      <c r="AN460" s="91"/>
      <c r="AO460" s="91"/>
    </row>
    <row r="461" spans="1:41" ht="14.5" x14ac:dyDescent="0.25">
      <c r="A461" s="92" t="s">
        <v>898</v>
      </c>
      <c r="B461" s="91"/>
      <c r="C461" s="119" t="s">
        <v>899</v>
      </c>
      <c r="D461" s="120" t="s">
        <v>900</v>
      </c>
      <c r="E461" s="135" t="s">
        <v>86</v>
      </c>
      <c r="F461" s="135" t="s">
        <v>87</v>
      </c>
      <c r="G461" s="58" t="s">
        <v>93</v>
      </c>
      <c r="H461" s="119">
        <v>72</v>
      </c>
      <c r="I461" s="119" t="s">
        <v>207</v>
      </c>
      <c r="J461" s="119" t="s">
        <v>90</v>
      </c>
      <c r="K461" s="120" t="s">
        <v>91</v>
      </c>
      <c r="L461" s="93" t="s">
        <v>3015</v>
      </c>
      <c r="M461" s="94" t="s">
        <v>3288</v>
      </c>
      <c r="N461" s="95" t="s">
        <v>2821</v>
      </c>
      <c r="O461" s="122">
        <v>4</v>
      </c>
      <c r="P461" s="111">
        <f t="shared" ref="P461:P468" si="110">189/11*O461</f>
        <v>68.727272727272734</v>
      </c>
      <c r="Q461" s="122" t="s">
        <v>16</v>
      </c>
      <c r="R461" s="124">
        <v>6.1</v>
      </c>
      <c r="S461" s="95"/>
      <c r="T461" s="98"/>
      <c r="U461" s="125">
        <f t="shared" ref="U461:U468" si="111">R461*P461+350/11*O461</f>
        <v>546.5090909090909</v>
      </c>
      <c r="V461" s="113">
        <f t="shared" ref="V461:V524" si="112">U461/H461</f>
        <v>7.5904040404040405</v>
      </c>
      <c r="W461" s="114">
        <f t="shared" ref="W461:W524" si="113">V461/7</f>
        <v>1.0843434343434344</v>
      </c>
      <c r="X461" s="95"/>
      <c r="Y461" s="95"/>
      <c r="Z461" s="102"/>
      <c r="AA461" s="103">
        <v>45766</v>
      </c>
      <c r="AB461" s="103">
        <v>45793</v>
      </c>
      <c r="AC461" s="91"/>
      <c r="AD461" s="102">
        <f>IF(ISNA(VLOOKUP(D461,亚马逊入库配置费!B:F,5,0)),0,VLOOKUP(D461,亚马逊入库配置费!B:F,5,0))</f>
        <v>0</v>
      </c>
      <c r="AE461" s="102">
        <f t="shared" si="104"/>
        <v>0</v>
      </c>
      <c r="AF461" s="103">
        <v>45808</v>
      </c>
      <c r="AG461" s="91">
        <f t="shared" si="105"/>
        <v>42</v>
      </c>
      <c r="AH461" s="103">
        <v>45808</v>
      </c>
      <c r="AI461" s="103">
        <v>45823</v>
      </c>
      <c r="AJ461" s="96">
        <v>73</v>
      </c>
      <c r="AK461" s="91">
        <f t="shared" si="106"/>
        <v>15</v>
      </c>
      <c r="AL461" s="96">
        <f t="shared" si="109"/>
        <v>57</v>
      </c>
      <c r="AM461" s="92"/>
      <c r="AN461" s="91"/>
      <c r="AO461" s="91"/>
    </row>
    <row r="462" spans="1:41" ht="14.5" x14ac:dyDescent="0.25">
      <c r="A462" s="92" t="s">
        <v>901</v>
      </c>
      <c r="B462" s="91"/>
      <c r="C462" s="119" t="s">
        <v>899</v>
      </c>
      <c r="D462" s="120" t="s">
        <v>900</v>
      </c>
      <c r="E462" s="135" t="s">
        <v>86</v>
      </c>
      <c r="F462" s="135" t="s">
        <v>87</v>
      </c>
      <c r="G462" s="58" t="s">
        <v>350</v>
      </c>
      <c r="H462" s="119">
        <v>40</v>
      </c>
      <c r="I462" s="119" t="s">
        <v>207</v>
      </c>
      <c r="J462" s="119" t="s">
        <v>90</v>
      </c>
      <c r="K462" s="120" t="s">
        <v>91</v>
      </c>
      <c r="L462" s="93" t="s">
        <v>3048</v>
      </c>
      <c r="M462" s="94" t="s">
        <v>3208</v>
      </c>
      <c r="N462" s="95" t="s">
        <v>2870</v>
      </c>
      <c r="O462" s="122">
        <v>1</v>
      </c>
      <c r="P462" s="111">
        <f t="shared" si="110"/>
        <v>17.181818181818183</v>
      </c>
      <c r="Q462" s="122" t="s">
        <v>16</v>
      </c>
      <c r="R462" s="124">
        <v>6.1</v>
      </c>
      <c r="S462" s="95"/>
      <c r="T462" s="98"/>
      <c r="U462" s="125">
        <f t="shared" si="111"/>
        <v>136.62727272727273</v>
      </c>
      <c r="V462" s="113">
        <f t="shared" si="112"/>
        <v>3.415681818181818</v>
      </c>
      <c r="W462" s="114">
        <f t="shared" si="113"/>
        <v>0.48795454545454542</v>
      </c>
      <c r="X462" s="95"/>
      <c r="Y462" s="95"/>
      <c r="Z462" s="102"/>
      <c r="AA462" s="103">
        <v>45766</v>
      </c>
      <c r="AB462" s="103">
        <v>45793</v>
      </c>
      <c r="AC462" s="91"/>
      <c r="AD462" s="102">
        <f>IF(ISNA(VLOOKUP(D462,亚马逊入库配置费!B:F,5,0)),0,VLOOKUP(D462,亚马逊入库配置费!B:F,5,0))</f>
        <v>0</v>
      </c>
      <c r="AE462" s="102">
        <f t="shared" si="104"/>
        <v>0</v>
      </c>
      <c r="AF462" s="103">
        <v>45808</v>
      </c>
      <c r="AG462" s="91">
        <f t="shared" si="105"/>
        <v>42</v>
      </c>
      <c r="AH462" s="103">
        <v>45808</v>
      </c>
      <c r="AI462" s="103">
        <v>45823</v>
      </c>
      <c r="AJ462" s="96">
        <v>40</v>
      </c>
      <c r="AK462" s="91">
        <f t="shared" si="106"/>
        <v>15</v>
      </c>
      <c r="AL462" s="96">
        <f t="shared" si="109"/>
        <v>57</v>
      </c>
      <c r="AM462" s="92"/>
      <c r="AN462" s="91"/>
      <c r="AO462" s="91"/>
    </row>
    <row r="463" spans="1:41" ht="14.5" x14ac:dyDescent="0.25">
      <c r="A463" s="92" t="s">
        <v>902</v>
      </c>
      <c r="B463" s="91"/>
      <c r="C463" s="119" t="s">
        <v>899</v>
      </c>
      <c r="D463" s="120" t="s">
        <v>900</v>
      </c>
      <c r="E463" s="135" t="s">
        <v>86</v>
      </c>
      <c r="F463" s="135" t="s">
        <v>87</v>
      </c>
      <c r="G463" s="58" t="s">
        <v>169</v>
      </c>
      <c r="H463" s="119">
        <v>30</v>
      </c>
      <c r="I463" s="119" t="s">
        <v>207</v>
      </c>
      <c r="J463" s="119" t="s">
        <v>90</v>
      </c>
      <c r="K463" s="120" t="s">
        <v>91</v>
      </c>
      <c r="L463" s="93" t="s">
        <v>3026</v>
      </c>
      <c r="M463" s="94" t="s">
        <v>3211</v>
      </c>
      <c r="N463" s="95" t="s">
        <v>2876</v>
      </c>
      <c r="O463" s="122">
        <v>1</v>
      </c>
      <c r="P463" s="111">
        <f t="shared" si="110"/>
        <v>17.181818181818183</v>
      </c>
      <c r="Q463" s="122" t="s">
        <v>16</v>
      </c>
      <c r="R463" s="124">
        <v>6.1</v>
      </c>
      <c r="S463" s="95"/>
      <c r="T463" s="98"/>
      <c r="U463" s="125">
        <f t="shared" si="111"/>
        <v>136.62727272727273</v>
      </c>
      <c r="V463" s="113">
        <f t="shared" si="112"/>
        <v>4.5542424242424238</v>
      </c>
      <c r="W463" s="114">
        <f t="shared" si="113"/>
        <v>0.65060606060606052</v>
      </c>
      <c r="X463" s="95"/>
      <c r="Y463" s="95"/>
      <c r="Z463" s="102"/>
      <c r="AA463" s="103">
        <v>45766</v>
      </c>
      <c r="AB463" s="103">
        <v>45793</v>
      </c>
      <c r="AC463" s="91"/>
      <c r="AD463" s="102">
        <f>IF(ISNA(VLOOKUP(D463,亚马逊入库配置费!B:F,5,0)),0,VLOOKUP(D463,亚马逊入库配置费!B:F,5,0))</f>
        <v>0</v>
      </c>
      <c r="AE463" s="102">
        <f t="shared" si="104"/>
        <v>0</v>
      </c>
      <c r="AF463" s="103">
        <v>45808</v>
      </c>
      <c r="AG463" s="91">
        <f t="shared" si="105"/>
        <v>42</v>
      </c>
      <c r="AH463" s="103">
        <v>45808</v>
      </c>
      <c r="AI463" s="103">
        <v>45823</v>
      </c>
      <c r="AJ463" s="96">
        <v>30</v>
      </c>
      <c r="AK463" s="91">
        <f t="shared" si="106"/>
        <v>15</v>
      </c>
      <c r="AL463" s="96">
        <f t="shared" si="109"/>
        <v>57</v>
      </c>
      <c r="AM463" s="92"/>
      <c r="AN463" s="91"/>
      <c r="AO463" s="91"/>
    </row>
    <row r="464" spans="1:41" ht="14.5" x14ac:dyDescent="0.25">
      <c r="A464" s="92" t="s">
        <v>903</v>
      </c>
      <c r="B464" s="91"/>
      <c r="C464" s="119" t="s">
        <v>899</v>
      </c>
      <c r="D464" s="120" t="s">
        <v>900</v>
      </c>
      <c r="E464" s="135" t="s">
        <v>86</v>
      </c>
      <c r="F464" s="135" t="s">
        <v>87</v>
      </c>
      <c r="G464" s="58" t="s">
        <v>173</v>
      </c>
      <c r="H464" s="119">
        <v>30</v>
      </c>
      <c r="I464" s="119" t="s">
        <v>207</v>
      </c>
      <c r="J464" s="119" t="s">
        <v>90</v>
      </c>
      <c r="K464" s="120" t="s">
        <v>91</v>
      </c>
      <c r="L464" s="93" t="s">
        <v>3028</v>
      </c>
      <c r="M464" s="94" t="s">
        <v>3304</v>
      </c>
      <c r="N464" s="95" t="s">
        <v>2876</v>
      </c>
      <c r="O464" s="122">
        <v>1</v>
      </c>
      <c r="P464" s="111">
        <f t="shared" si="110"/>
        <v>17.181818181818183</v>
      </c>
      <c r="Q464" s="122" t="s">
        <v>16</v>
      </c>
      <c r="R464" s="124">
        <v>6.1</v>
      </c>
      <c r="S464" s="95"/>
      <c r="T464" s="98"/>
      <c r="U464" s="125">
        <f t="shared" si="111"/>
        <v>136.62727272727273</v>
      </c>
      <c r="V464" s="113">
        <f t="shared" si="112"/>
        <v>4.5542424242424238</v>
      </c>
      <c r="W464" s="114">
        <f t="shared" si="113"/>
        <v>0.65060606060606052</v>
      </c>
      <c r="X464" s="95"/>
      <c r="Y464" s="95"/>
      <c r="Z464" s="102"/>
      <c r="AA464" s="103">
        <v>45766</v>
      </c>
      <c r="AB464" s="103">
        <v>45793</v>
      </c>
      <c r="AC464" s="91"/>
      <c r="AD464" s="102">
        <f>IF(ISNA(VLOOKUP(D464,亚马逊入库配置费!B:F,5,0)),0,VLOOKUP(D464,亚马逊入库配置费!B:F,5,0))</f>
        <v>0</v>
      </c>
      <c r="AE464" s="102">
        <f t="shared" si="104"/>
        <v>0</v>
      </c>
      <c r="AF464" s="103">
        <v>45808</v>
      </c>
      <c r="AG464" s="91">
        <f t="shared" si="105"/>
        <v>42</v>
      </c>
      <c r="AH464" s="103">
        <v>45808</v>
      </c>
      <c r="AI464" s="103">
        <v>45823</v>
      </c>
      <c r="AJ464" s="96">
        <v>30</v>
      </c>
      <c r="AK464" s="91">
        <f t="shared" si="106"/>
        <v>15</v>
      </c>
      <c r="AL464" s="96">
        <f t="shared" si="109"/>
        <v>57</v>
      </c>
      <c r="AM464" s="92"/>
      <c r="AN464" s="91"/>
      <c r="AO464" s="91"/>
    </row>
    <row r="465" spans="1:41" ht="14.5" x14ac:dyDescent="0.25">
      <c r="A465" s="92" t="s">
        <v>904</v>
      </c>
      <c r="B465" s="91"/>
      <c r="C465" s="119" t="s">
        <v>899</v>
      </c>
      <c r="D465" s="120" t="s">
        <v>900</v>
      </c>
      <c r="E465" s="135" t="s">
        <v>86</v>
      </c>
      <c r="F465" s="135" t="s">
        <v>87</v>
      </c>
      <c r="G465" s="58" t="s">
        <v>180</v>
      </c>
      <c r="H465" s="119">
        <v>30</v>
      </c>
      <c r="I465" s="119" t="s">
        <v>207</v>
      </c>
      <c r="J465" s="119" t="s">
        <v>90</v>
      </c>
      <c r="K465" s="120" t="s">
        <v>91</v>
      </c>
      <c r="L465" s="93" t="s">
        <v>3031</v>
      </c>
      <c r="M465" s="94" t="s">
        <v>3213</v>
      </c>
      <c r="N465" s="95" t="s">
        <v>2876</v>
      </c>
      <c r="O465" s="122">
        <v>1</v>
      </c>
      <c r="P465" s="111">
        <f t="shared" si="110"/>
        <v>17.181818181818183</v>
      </c>
      <c r="Q465" s="122" t="s">
        <v>16</v>
      </c>
      <c r="R465" s="124">
        <v>6.1</v>
      </c>
      <c r="S465" s="95"/>
      <c r="T465" s="98"/>
      <c r="U465" s="125">
        <f t="shared" si="111"/>
        <v>136.62727272727273</v>
      </c>
      <c r="V465" s="113">
        <f t="shared" si="112"/>
        <v>4.5542424242424238</v>
      </c>
      <c r="W465" s="114">
        <f t="shared" si="113"/>
        <v>0.65060606060606052</v>
      </c>
      <c r="X465" s="95"/>
      <c r="Y465" s="95"/>
      <c r="Z465" s="102"/>
      <c r="AA465" s="103">
        <v>45766</v>
      </c>
      <c r="AB465" s="103">
        <v>45793</v>
      </c>
      <c r="AC465" s="91"/>
      <c r="AD465" s="102">
        <f>IF(ISNA(VLOOKUP(D465,亚马逊入库配置费!B:F,5,0)),0,VLOOKUP(D465,亚马逊入库配置费!B:F,5,0))</f>
        <v>0</v>
      </c>
      <c r="AE465" s="102">
        <f t="shared" si="104"/>
        <v>0</v>
      </c>
      <c r="AF465" s="103">
        <v>45808</v>
      </c>
      <c r="AG465" s="91">
        <f t="shared" si="105"/>
        <v>42</v>
      </c>
      <c r="AH465" s="103">
        <v>45808</v>
      </c>
      <c r="AI465" s="103">
        <v>45823</v>
      </c>
      <c r="AJ465" s="96">
        <v>30</v>
      </c>
      <c r="AK465" s="91">
        <f t="shared" si="106"/>
        <v>15</v>
      </c>
      <c r="AL465" s="96">
        <f t="shared" si="109"/>
        <v>57</v>
      </c>
      <c r="AM465" s="92"/>
      <c r="AN465" s="91"/>
      <c r="AO465" s="91"/>
    </row>
    <row r="466" spans="1:41" ht="14.5" x14ac:dyDescent="0.25">
      <c r="A466" s="92" t="s">
        <v>905</v>
      </c>
      <c r="B466" s="91"/>
      <c r="C466" s="119" t="s">
        <v>899</v>
      </c>
      <c r="D466" s="120" t="s">
        <v>900</v>
      </c>
      <c r="E466" s="135" t="s">
        <v>86</v>
      </c>
      <c r="F466" s="135" t="s">
        <v>87</v>
      </c>
      <c r="G466" s="58" t="s">
        <v>853</v>
      </c>
      <c r="H466" s="119">
        <v>40</v>
      </c>
      <c r="I466" s="119" t="s">
        <v>207</v>
      </c>
      <c r="J466" s="119" t="s">
        <v>90</v>
      </c>
      <c r="K466" s="120" t="s">
        <v>91</v>
      </c>
      <c r="L466" s="93" t="s">
        <v>853</v>
      </c>
      <c r="M466" s="94" t="s">
        <v>3396</v>
      </c>
      <c r="N466" s="95" t="s">
        <v>2870</v>
      </c>
      <c r="O466" s="122">
        <v>1</v>
      </c>
      <c r="P466" s="111">
        <f t="shared" si="110"/>
        <v>17.181818181818183</v>
      </c>
      <c r="Q466" s="122" t="s">
        <v>16</v>
      </c>
      <c r="R466" s="124">
        <v>6.1</v>
      </c>
      <c r="S466" s="95"/>
      <c r="T466" s="98"/>
      <c r="U466" s="125">
        <f t="shared" si="111"/>
        <v>136.62727272727273</v>
      </c>
      <c r="V466" s="113">
        <f t="shared" si="112"/>
        <v>3.415681818181818</v>
      </c>
      <c r="W466" s="114">
        <f t="shared" si="113"/>
        <v>0.48795454545454542</v>
      </c>
      <c r="X466" s="95"/>
      <c r="Y466" s="95"/>
      <c r="Z466" s="102"/>
      <c r="AA466" s="103">
        <v>45766</v>
      </c>
      <c r="AB466" s="103">
        <v>45793</v>
      </c>
      <c r="AC466" s="91"/>
      <c r="AD466" s="102">
        <f>IF(ISNA(VLOOKUP(D466,亚马逊入库配置费!B:F,5,0)),0,VLOOKUP(D466,亚马逊入库配置费!B:F,5,0))</f>
        <v>0</v>
      </c>
      <c r="AE466" s="102">
        <f t="shared" si="104"/>
        <v>0</v>
      </c>
      <c r="AF466" s="103">
        <v>45808</v>
      </c>
      <c r="AG466" s="91">
        <f t="shared" si="105"/>
        <v>42</v>
      </c>
      <c r="AH466" s="103">
        <v>45808</v>
      </c>
      <c r="AI466" s="103">
        <v>45823</v>
      </c>
      <c r="AJ466" s="96">
        <v>40</v>
      </c>
      <c r="AK466" s="91">
        <f t="shared" si="106"/>
        <v>15</v>
      </c>
      <c r="AL466" s="96">
        <f t="shared" si="109"/>
        <v>57</v>
      </c>
      <c r="AM466" s="92"/>
      <c r="AN466" s="91"/>
      <c r="AO466" s="91"/>
    </row>
    <row r="467" spans="1:41" ht="14.5" x14ac:dyDescent="0.25">
      <c r="A467" s="92" t="s">
        <v>906</v>
      </c>
      <c r="B467" s="91"/>
      <c r="C467" s="119" t="s">
        <v>899</v>
      </c>
      <c r="D467" s="120" t="s">
        <v>900</v>
      </c>
      <c r="E467" s="135" t="s">
        <v>86</v>
      </c>
      <c r="F467" s="135" t="s">
        <v>87</v>
      </c>
      <c r="G467" s="58" t="s">
        <v>876</v>
      </c>
      <c r="H467" s="119">
        <v>40</v>
      </c>
      <c r="I467" s="119" t="s">
        <v>207</v>
      </c>
      <c r="J467" s="119" t="s">
        <v>90</v>
      </c>
      <c r="K467" s="120" t="s">
        <v>91</v>
      </c>
      <c r="L467" s="93" t="s">
        <v>876</v>
      </c>
      <c r="M467" s="94" t="s">
        <v>3400</v>
      </c>
      <c r="N467" s="95" t="s">
        <v>2870</v>
      </c>
      <c r="O467" s="122">
        <v>1</v>
      </c>
      <c r="P467" s="111">
        <f t="shared" si="110"/>
        <v>17.181818181818183</v>
      </c>
      <c r="Q467" s="122" t="s">
        <v>16</v>
      </c>
      <c r="R467" s="124">
        <v>6.1</v>
      </c>
      <c r="S467" s="95"/>
      <c r="T467" s="98"/>
      <c r="U467" s="125">
        <f t="shared" si="111"/>
        <v>136.62727272727273</v>
      </c>
      <c r="V467" s="113">
        <f t="shared" si="112"/>
        <v>3.415681818181818</v>
      </c>
      <c r="W467" s="114">
        <f t="shared" si="113"/>
        <v>0.48795454545454542</v>
      </c>
      <c r="X467" s="95"/>
      <c r="Y467" s="95"/>
      <c r="Z467" s="102"/>
      <c r="AA467" s="103">
        <v>45766</v>
      </c>
      <c r="AB467" s="103">
        <v>45793</v>
      </c>
      <c r="AC467" s="91"/>
      <c r="AD467" s="102">
        <f>IF(ISNA(VLOOKUP(D467,亚马逊入库配置费!B:F,5,0)),0,VLOOKUP(D467,亚马逊入库配置费!B:F,5,0))</f>
        <v>0</v>
      </c>
      <c r="AE467" s="102">
        <f t="shared" si="104"/>
        <v>0</v>
      </c>
      <c r="AF467" s="103">
        <v>45808</v>
      </c>
      <c r="AG467" s="91">
        <f t="shared" si="105"/>
        <v>42</v>
      </c>
      <c r="AH467" s="103">
        <v>45808</v>
      </c>
      <c r="AI467" s="103">
        <v>45823</v>
      </c>
      <c r="AJ467" s="96">
        <v>40</v>
      </c>
      <c r="AK467" s="91">
        <f t="shared" si="106"/>
        <v>15</v>
      </c>
      <c r="AL467" s="96">
        <f t="shared" si="109"/>
        <v>57</v>
      </c>
      <c r="AM467" s="92"/>
      <c r="AN467" s="91"/>
      <c r="AO467" s="91"/>
    </row>
    <row r="468" spans="1:41" ht="14.5" x14ac:dyDescent="0.25">
      <c r="A468" s="92" t="s">
        <v>907</v>
      </c>
      <c r="B468" s="91"/>
      <c r="C468" s="119" t="s">
        <v>899</v>
      </c>
      <c r="D468" s="120" t="s">
        <v>900</v>
      </c>
      <c r="E468" s="135" t="s">
        <v>86</v>
      </c>
      <c r="F468" s="135" t="s">
        <v>87</v>
      </c>
      <c r="G468" s="58" t="s">
        <v>786</v>
      </c>
      <c r="H468" s="119">
        <v>40</v>
      </c>
      <c r="I468" s="119" t="s">
        <v>207</v>
      </c>
      <c r="J468" s="119" t="s">
        <v>90</v>
      </c>
      <c r="K468" s="120" t="s">
        <v>91</v>
      </c>
      <c r="L468" s="93" t="s">
        <v>786</v>
      </c>
      <c r="M468" s="94" t="s">
        <v>3395</v>
      </c>
      <c r="N468" s="95" t="s">
        <v>2870</v>
      </c>
      <c r="O468" s="122">
        <v>1</v>
      </c>
      <c r="P468" s="111">
        <f t="shared" si="110"/>
        <v>17.181818181818183</v>
      </c>
      <c r="Q468" s="122" t="s">
        <v>16</v>
      </c>
      <c r="R468" s="124">
        <v>6.1</v>
      </c>
      <c r="S468" s="95"/>
      <c r="T468" s="98"/>
      <c r="U468" s="125">
        <f t="shared" si="111"/>
        <v>136.62727272727273</v>
      </c>
      <c r="V468" s="113">
        <f t="shared" si="112"/>
        <v>3.415681818181818</v>
      </c>
      <c r="W468" s="114">
        <f t="shared" si="113"/>
        <v>0.48795454545454542</v>
      </c>
      <c r="X468" s="95"/>
      <c r="Y468" s="95"/>
      <c r="Z468" s="102"/>
      <c r="AA468" s="103">
        <v>45766</v>
      </c>
      <c r="AB468" s="103">
        <v>45793</v>
      </c>
      <c r="AC468" s="91"/>
      <c r="AD468" s="102">
        <f>IF(ISNA(VLOOKUP(D468,亚马逊入库配置费!B:F,5,0)),0,VLOOKUP(D468,亚马逊入库配置费!B:F,5,0))</f>
        <v>0</v>
      </c>
      <c r="AE468" s="102">
        <f t="shared" si="104"/>
        <v>0</v>
      </c>
      <c r="AF468" s="103">
        <v>45808</v>
      </c>
      <c r="AG468" s="91">
        <f t="shared" si="105"/>
        <v>42</v>
      </c>
      <c r="AH468" s="103">
        <v>45808</v>
      </c>
      <c r="AI468" s="103">
        <v>45823</v>
      </c>
      <c r="AJ468" s="96">
        <v>41</v>
      </c>
      <c r="AK468" s="91">
        <f t="shared" si="106"/>
        <v>15</v>
      </c>
      <c r="AL468" s="96">
        <f t="shared" si="109"/>
        <v>57</v>
      </c>
      <c r="AM468" s="92"/>
      <c r="AN468" s="91"/>
      <c r="AO468" s="91"/>
    </row>
    <row r="469" spans="1:41" ht="14.5" x14ac:dyDescent="0.25">
      <c r="A469" s="92" t="s">
        <v>908</v>
      </c>
      <c r="B469" s="91" t="s">
        <v>909</v>
      </c>
      <c r="C469" s="119" t="s">
        <v>910</v>
      </c>
      <c r="D469" s="120" t="s">
        <v>911</v>
      </c>
      <c r="E469" s="135" t="s">
        <v>97</v>
      </c>
      <c r="F469" s="135" t="s">
        <v>0</v>
      </c>
      <c r="G469" s="58" t="s">
        <v>161</v>
      </c>
      <c r="H469" s="119">
        <v>160</v>
      </c>
      <c r="I469" s="119" t="s">
        <v>207</v>
      </c>
      <c r="J469" s="119" t="s">
        <v>8</v>
      </c>
      <c r="K469" s="120" t="s">
        <v>14</v>
      </c>
      <c r="L469" s="93" t="s">
        <v>3024</v>
      </c>
      <c r="M469" s="94" t="s">
        <v>3301</v>
      </c>
      <c r="N469" s="95" t="s">
        <v>2870</v>
      </c>
      <c r="O469" s="150">
        <v>5</v>
      </c>
      <c r="P469" s="111">
        <f t="shared" ref="P469:P480" si="114">2932/216*O469</f>
        <v>67.870370370370367</v>
      </c>
      <c r="Q469" s="122" t="s">
        <v>16</v>
      </c>
      <c r="R469" s="124">
        <v>10.4</v>
      </c>
      <c r="S469" s="95"/>
      <c r="T469" s="98"/>
      <c r="U469" s="125">
        <f t="shared" ref="U469:U480" si="115">R469*P469+400/216*O469</f>
        <v>715.11111111111109</v>
      </c>
      <c r="V469" s="113">
        <f t="shared" si="112"/>
        <v>4.4694444444444441</v>
      </c>
      <c r="W469" s="114">
        <f t="shared" si="113"/>
        <v>0.63849206349206344</v>
      </c>
      <c r="X469" s="95"/>
      <c r="Y469" s="95"/>
      <c r="Z469" s="102"/>
      <c r="AA469" s="103">
        <v>45766</v>
      </c>
      <c r="AB469" s="103">
        <v>45784</v>
      </c>
      <c r="AC469" s="91"/>
      <c r="AD469" s="102">
        <f>IF(ISNA(VLOOKUP(D469,亚马逊入库配置费!B:F,5,0)),0,VLOOKUP(D469,亚马逊入库配置费!B:F,5,0))</f>
        <v>0.35734513274336299</v>
      </c>
      <c r="AE469" s="102">
        <f t="shared" si="104"/>
        <v>57.175221238938079</v>
      </c>
      <c r="AF469" s="103">
        <v>45791</v>
      </c>
      <c r="AG469" s="91">
        <f t="shared" si="105"/>
        <v>25</v>
      </c>
      <c r="AH469" s="103">
        <v>45791</v>
      </c>
      <c r="AI469" s="103">
        <v>45841</v>
      </c>
      <c r="AJ469" s="96">
        <v>161</v>
      </c>
      <c r="AK469" s="91">
        <f t="shared" si="106"/>
        <v>50</v>
      </c>
      <c r="AL469" s="96">
        <f t="shared" si="109"/>
        <v>75</v>
      </c>
      <c r="AM469" s="92"/>
      <c r="AN469" s="91"/>
      <c r="AO469" s="91"/>
    </row>
    <row r="470" spans="1:41" ht="14.5" x14ac:dyDescent="0.25">
      <c r="A470" s="92" t="s">
        <v>912</v>
      </c>
      <c r="B470" s="91" t="s">
        <v>909</v>
      </c>
      <c r="C470" s="119" t="s">
        <v>910</v>
      </c>
      <c r="D470" s="120" t="s">
        <v>911</v>
      </c>
      <c r="E470" s="135" t="s">
        <v>97</v>
      </c>
      <c r="F470" s="135" t="s">
        <v>0</v>
      </c>
      <c r="G470" s="58" t="s">
        <v>228</v>
      </c>
      <c r="H470" s="119">
        <v>540</v>
      </c>
      <c r="I470" s="119" t="s">
        <v>207</v>
      </c>
      <c r="J470" s="119" t="s">
        <v>8</v>
      </c>
      <c r="K470" s="120" t="s">
        <v>14</v>
      </c>
      <c r="L470" s="93" t="s">
        <v>3036</v>
      </c>
      <c r="M470" s="94" t="s">
        <v>3315</v>
      </c>
      <c r="N470" s="95" t="s">
        <v>2870</v>
      </c>
      <c r="O470" s="150">
        <v>27</v>
      </c>
      <c r="P470" s="111">
        <f t="shared" si="114"/>
        <v>366.5</v>
      </c>
      <c r="Q470" s="122" t="s">
        <v>16</v>
      </c>
      <c r="R470" s="124">
        <v>10.4</v>
      </c>
      <c r="S470" s="95"/>
      <c r="T470" s="98"/>
      <c r="U470" s="125">
        <f t="shared" si="115"/>
        <v>3861.6</v>
      </c>
      <c r="V470" s="113">
        <f t="shared" si="112"/>
        <v>7.1511111111111108</v>
      </c>
      <c r="W470" s="114">
        <f t="shared" si="113"/>
        <v>1.0215873015873016</v>
      </c>
      <c r="X470" s="95"/>
      <c r="Y470" s="95"/>
      <c r="Z470" s="102"/>
      <c r="AA470" s="103">
        <v>45766</v>
      </c>
      <c r="AB470" s="103">
        <v>45784</v>
      </c>
      <c r="AC470" s="91"/>
      <c r="AD470" s="102">
        <f>IF(ISNA(VLOOKUP(D470,亚马逊入库配置费!B:F,5,0)),0,VLOOKUP(D470,亚马逊入库配置费!B:F,5,0))</f>
        <v>0.35734513274336299</v>
      </c>
      <c r="AE470" s="102">
        <f t="shared" si="104"/>
        <v>192.96637168141601</v>
      </c>
      <c r="AF470" s="103">
        <v>45791</v>
      </c>
      <c r="AG470" s="91">
        <f t="shared" si="105"/>
        <v>25</v>
      </c>
      <c r="AH470" s="103">
        <v>45791</v>
      </c>
      <c r="AI470" s="103">
        <v>45841</v>
      </c>
      <c r="AJ470" s="96">
        <v>559</v>
      </c>
      <c r="AK470" s="91">
        <f t="shared" si="106"/>
        <v>50</v>
      </c>
      <c r="AL470" s="96">
        <f t="shared" si="109"/>
        <v>75</v>
      </c>
      <c r="AM470" s="92"/>
      <c r="AN470" s="91"/>
      <c r="AO470" s="91"/>
    </row>
    <row r="471" spans="1:41" ht="14.5" x14ac:dyDescent="0.25">
      <c r="A471" s="92" t="s">
        <v>913</v>
      </c>
      <c r="B471" s="91" t="s">
        <v>909</v>
      </c>
      <c r="C471" s="119" t="s">
        <v>910</v>
      </c>
      <c r="D471" s="120" t="s">
        <v>911</v>
      </c>
      <c r="E471" s="135" t="s">
        <v>97</v>
      </c>
      <c r="F471" s="135" t="s">
        <v>0</v>
      </c>
      <c r="G471" s="58" t="s">
        <v>163</v>
      </c>
      <c r="H471" s="119">
        <v>2400</v>
      </c>
      <c r="I471" s="119" t="s">
        <v>207</v>
      </c>
      <c r="J471" s="119" t="s">
        <v>8</v>
      </c>
      <c r="K471" s="120" t="s">
        <v>14</v>
      </c>
      <c r="L471" s="93" t="s">
        <v>2881</v>
      </c>
      <c r="M471" s="94" t="s">
        <v>3302</v>
      </c>
      <c r="N471" s="95" t="s">
        <v>2870</v>
      </c>
      <c r="O471" s="150">
        <v>60</v>
      </c>
      <c r="P471" s="111">
        <f t="shared" si="114"/>
        <v>814.44444444444446</v>
      </c>
      <c r="Q471" s="122" t="s">
        <v>16</v>
      </c>
      <c r="R471" s="124">
        <v>10.4</v>
      </c>
      <c r="S471" s="95"/>
      <c r="T471" s="98"/>
      <c r="U471" s="125">
        <f t="shared" si="115"/>
        <v>8581.3333333333339</v>
      </c>
      <c r="V471" s="113">
        <f t="shared" si="112"/>
        <v>3.5755555555555558</v>
      </c>
      <c r="W471" s="114">
        <f t="shared" si="113"/>
        <v>0.5107936507936508</v>
      </c>
      <c r="X471" s="95"/>
      <c r="Y471" s="95"/>
      <c r="Z471" s="102"/>
      <c r="AA471" s="103">
        <v>45766</v>
      </c>
      <c r="AB471" s="103">
        <v>45784</v>
      </c>
      <c r="AC471" s="91"/>
      <c r="AD471" s="102">
        <f>IF(ISNA(VLOOKUP(D471,亚马逊入库配置费!B:F,5,0)),0,VLOOKUP(D471,亚马逊入库配置费!B:F,5,0))</f>
        <v>0.35734513274336299</v>
      </c>
      <c r="AE471" s="102">
        <f t="shared" si="104"/>
        <v>857.62831858407117</v>
      </c>
      <c r="AF471" s="103">
        <v>45791</v>
      </c>
      <c r="AG471" s="91">
        <f t="shared" si="105"/>
        <v>25</v>
      </c>
      <c r="AH471" s="103">
        <v>45791</v>
      </c>
      <c r="AI471" s="103">
        <v>45841</v>
      </c>
      <c r="AJ471" s="96">
        <v>2375</v>
      </c>
      <c r="AK471" s="91">
        <f t="shared" si="106"/>
        <v>50</v>
      </c>
      <c r="AL471" s="96">
        <f t="shared" si="109"/>
        <v>75</v>
      </c>
      <c r="AM471" s="92"/>
      <c r="AN471" s="91"/>
      <c r="AO471" s="91"/>
    </row>
    <row r="472" spans="1:41" ht="14.5" x14ac:dyDescent="0.25">
      <c r="A472" s="92" t="s">
        <v>914</v>
      </c>
      <c r="B472" s="91" t="s">
        <v>909</v>
      </c>
      <c r="C472" s="119" t="s">
        <v>910</v>
      </c>
      <c r="D472" s="120" t="s">
        <v>911</v>
      </c>
      <c r="E472" s="135" t="s">
        <v>97</v>
      </c>
      <c r="F472" s="135" t="s">
        <v>0</v>
      </c>
      <c r="G472" s="58" t="s">
        <v>350</v>
      </c>
      <c r="H472" s="119">
        <v>800</v>
      </c>
      <c r="I472" s="119" t="s">
        <v>207</v>
      </c>
      <c r="J472" s="119" t="s">
        <v>8</v>
      </c>
      <c r="K472" s="120" t="s">
        <v>14</v>
      </c>
      <c r="L472" s="93" t="s">
        <v>3048</v>
      </c>
      <c r="M472" s="94" t="s">
        <v>3208</v>
      </c>
      <c r="N472" s="95" t="s">
        <v>2870</v>
      </c>
      <c r="O472" s="150">
        <v>20</v>
      </c>
      <c r="P472" s="111">
        <f t="shared" si="114"/>
        <v>271.48148148148147</v>
      </c>
      <c r="Q472" s="122" t="s">
        <v>16</v>
      </c>
      <c r="R472" s="124">
        <v>10.4</v>
      </c>
      <c r="S472" s="95"/>
      <c r="T472" s="98"/>
      <c r="U472" s="125">
        <f t="shared" si="115"/>
        <v>2860.4444444444443</v>
      </c>
      <c r="V472" s="113">
        <f t="shared" si="112"/>
        <v>3.5755555555555554</v>
      </c>
      <c r="W472" s="114">
        <f t="shared" si="113"/>
        <v>0.5107936507936508</v>
      </c>
      <c r="X472" s="95"/>
      <c r="Y472" s="95"/>
      <c r="Z472" s="102"/>
      <c r="AA472" s="103">
        <v>45766</v>
      </c>
      <c r="AB472" s="103">
        <v>45784</v>
      </c>
      <c r="AC472" s="91"/>
      <c r="AD472" s="102">
        <f>IF(ISNA(VLOOKUP(D472,亚马逊入库配置费!B:F,5,0)),0,VLOOKUP(D472,亚马逊入库配置费!B:F,5,0))</f>
        <v>0.35734513274336299</v>
      </c>
      <c r="AE472" s="102">
        <f t="shared" si="104"/>
        <v>285.87610619469041</v>
      </c>
      <c r="AF472" s="103">
        <v>45791</v>
      </c>
      <c r="AG472" s="91">
        <f t="shared" si="105"/>
        <v>25</v>
      </c>
      <c r="AH472" s="103">
        <v>45791</v>
      </c>
      <c r="AI472" s="103">
        <v>45841</v>
      </c>
      <c r="AJ472" s="96">
        <v>801</v>
      </c>
      <c r="AK472" s="91">
        <f t="shared" si="106"/>
        <v>50</v>
      </c>
      <c r="AL472" s="96">
        <f t="shared" si="109"/>
        <v>75</v>
      </c>
      <c r="AM472" s="92"/>
      <c r="AN472" s="91"/>
      <c r="AO472" s="91"/>
    </row>
    <row r="473" spans="1:41" ht="14.5" x14ac:dyDescent="0.25">
      <c r="A473" s="92" t="s">
        <v>915</v>
      </c>
      <c r="B473" s="91" t="s">
        <v>909</v>
      </c>
      <c r="C473" s="119" t="s">
        <v>910</v>
      </c>
      <c r="D473" s="120" t="s">
        <v>911</v>
      </c>
      <c r="E473" s="135" t="s">
        <v>97</v>
      </c>
      <c r="F473" s="135" t="s">
        <v>0</v>
      </c>
      <c r="G473" s="58" t="s">
        <v>169</v>
      </c>
      <c r="H473" s="119">
        <v>150</v>
      </c>
      <c r="I473" s="119" t="s">
        <v>207</v>
      </c>
      <c r="J473" s="119" t="s">
        <v>8</v>
      </c>
      <c r="K473" s="120" t="s">
        <v>14</v>
      </c>
      <c r="L473" s="93" t="s">
        <v>3026</v>
      </c>
      <c r="M473" s="94" t="s">
        <v>3211</v>
      </c>
      <c r="N473" s="95" t="s">
        <v>2876</v>
      </c>
      <c r="O473" s="150">
        <v>5</v>
      </c>
      <c r="P473" s="111">
        <f t="shared" si="114"/>
        <v>67.870370370370367</v>
      </c>
      <c r="Q473" s="122" t="s">
        <v>16</v>
      </c>
      <c r="R473" s="124">
        <v>10.4</v>
      </c>
      <c r="S473" s="95"/>
      <c r="T473" s="98"/>
      <c r="U473" s="125">
        <f t="shared" si="115"/>
        <v>715.11111111111109</v>
      </c>
      <c r="V473" s="113">
        <f t="shared" si="112"/>
        <v>4.7674074074074069</v>
      </c>
      <c r="W473" s="114">
        <f t="shared" si="113"/>
        <v>0.68105820105820103</v>
      </c>
      <c r="X473" s="95"/>
      <c r="Y473" s="95"/>
      <c r="Z473" s="102"/>
      <c r="AA473" s="103">
        <v>45766</v>
      </c>
      <c r="AB473" s="103">
        <v>45784</v>
      </c>
      <c r="AC473" s="91"/>
      <c r="AD473" s="102">
        <f>IF(ISNA(VLOOKUP(D473,亚马逊入库配置费!B:F,5,0)),0,VLOOKUP(D473,亚马逊入库配置费!B:F,5,0))</f>
        <v>0.35734513274336299</v>
      </c>
      <c r="AE473" s="102">
        <f t="shared" si="104"/>
        <v>53.601769911504448</v>
      </c>
      <c r="AF473" s="103">
        <v>45791</v>
      </c>
      <c r="AG473" s="91">
        <f t="shared" si="105"/>
        <v>25</v>
      </c>
      <c r="AH473" s="103">
        <v>45791</v>
      </c>
      <c r="AI473" s="103">
        <v>45841</v>
      </c>
      <c r="AJ473" s="96">
        <v>150</v>
      </c>
      <c r="AK473" s="91">
        <f t="shared" si="106"/>
        <v>50</v>
      </c>
      <c r="AL473" s="96">
        <f t="shared" si="109"/>
        <v>75</v>
      </c>
      <c r="AM473" s="92"/>
      <c r="AN473" s="91"/>
      <c r="AO473" s="91"/>
    </row>
    <row r="474" spans="1:41" ht="14.5" x14ac:dyDescent="0.25">
      <c r="A474" s="92" t="s">
        <v>916</v>
      </c>
      <c r="B474" s="91" t="s">
        <v>909</v>
      </c>
      <c r="C474" s="119" t="s">
        <v>910</v>
      </c>
      <c r="D474" s="120" t="s">
        <v>911</v>
      </c>
      <c r="E474" s="135" t="s">
        <v>97</v>
      </c>
      <c r="F474" s="135" t="s">
        <v>0</v>
      </c>
      <c r="G474" s="58" t="s">
        <v>176</v>
      </c>
      <c r="H474" s="119">
        <v>90</v>
      </c>
      <c r="I474" s="119" t="s">
        <v>207</v>
      </c>
      <c r="J474" s="119" t="s">
        <v>8</v>
      </c>
      <c r="K474" s="120" t="s">
        <v>14</v>
      </c>
      <c r="L474" s="93" t="s">
        <v>3029</v>
      </c>
      <c r="M474" s="94" t="s">
        <v>3306</v>
      </c>
      <c r="N474" s="95" t="s">
        <v>2876</v>
      </c>
      <c r="O474" s="150">
        <v>3</v>
      </c>
      <c r="P474" s="111">
        <f t="shared" si="114"/>
        <v>40.722222222222221</v>
      </c>
      <c r="Q474" s="122" t="s">
        <v>16</v>
      </c>
      <c r="R474" s="124">
        <v>10.4</v>
      </c>
      <c r="S474" s="95"/>
      <c r="T474" s="98"/>
      <c r="U474" s="125">
        <f t="shared" si="115"/>
        <v>429.06666666666666</v>
      </c>
      <c r="V474" s="113">
        <f t="shared" si="112"/>
        <v>4.7674074074074078</v>
      </c>
      <c r="W474" s="114">
        <f t="shared" si="113"/>
        <v>0.68105820105820114</v>
      </c>
      <c r="X474" s="95"/>
      <c r="Y474" s="95"/>
      <c r="Z474" s="102"/>
      <c r="AA474" s="103">
        <v>45766</v>
      </c>
      <c r="AB474" s="103">
        <v>45784</v>
      </c>
      <c r="AC474" s="91"/>
      <c r="AD474" s="102">
        <f>IF(ISNA(VLOOKUP(D474,亚马逊入库配置费!B:F,5,0)),0,VLOOKUP(D474,亚马逊入库配置费!B:F,5,0))</f>
        <v>0.35734513274336299</v>
      </c>
      <c r="AE474" s="102">
        <f t="shared" si="104"/>
        <v>32.16106194690267</v>
      </c>
      <c r="AF474" s="103">
        <v>45791</v>
      </c>
      <c r="AG474" s="91">
        <f t="shared" si="105"/>
        <v>25</v>
      </c>
      <c r="AH474" s="103">
        <v>45791</v>
      </c>
      <c r="AI474" s="103">
        <v>45841</v>
      </c>
      <c r="AJ474" s="96">
        <v>81</v>
      </c>
      <c r="AK474" s="91">
        <f t="shared" si="106"/>
        <v>50</v>
      </c>
      <c r="AL474" s="96">
        <f t="shared" si="109"/>
        <v>75</v>
      </c>
      <c r="AM474" s="92"/>
      <c r="AN474" s="91"/>
      <c r="AO474" s="91"/>
    </row>
    <row r="475" spans="1:41" ht="14.5" x14ac:dyDescent="0.25">
      <c r="A475" s="92" t="s">
        <v>917</v>
      </c>
      <c r="B475" s="91" t="s">
        <v>909</v>
      </c>
      <c r="C475" s="119" t="s">
        <v>910</v>
      </c>
      <c r="D475" s="120" t="s">
        <v>911</v>
      </c>
      <c r="E475" s="135" t="s">
        <v>97</v>
      </c>
      <c r="F475" s="135" t="s">
        <v>0</v>
      </c>
      <c r="G475" s="58" t="s">
        <v>180</v>
      </c>
      <c r="H475" s="119">
        <v>180</v>
      </c>
      <c r="I475" s="119" t="s">
        <v>207</v>
      </c>
      <c r="J475" s="119" t="s">
        <v>8</v>
      </c>
      <c r="K475" s="120" t="s">
        <v>14</v>
      </c>
      <c r="L475" s="93" t="s">
        <v>3031</v>
      </c>
      <c r="M475" s="94" t="s">
        <v>3213</v>
      </c>
      <c r="N475" s="95" t="s">
        <v>2876</v>
      </c>
      <c r="O475" s="150">
        <v>6</v>
      </c>
      <c r="P475" s="111">
        <f t="shared" si="114"/>
        <v>81.444444444444443</v>
      </c>
      <c r="Q475" s="122" t="s">
        <v>16</v>
      </c>
      <c r="R475" s="124">
        <v>10.4</v>
      </c>
      <c r="S475" s="95"/>
      <c r="T475" s="98"/>
      <c r="U475" s="125">
        <f t="shared" si="115"/>
        <v>858.13333333333333</v>
      </c>
      <c r="V475" s="113">
        <f t="shared" si="112"/>
        <v>4.7674074074074078</v>
      </c>
      <c r="W475" s="114">
        <f t="shared" si="113"/>
        <v>0.68105820105820114</v>
      </c>
      <c r="X475" s="95"/>
      <c r="Y475" s="95"/>
      <c r="Z475" s="102"/>
      <c r="AA475" s="103">
        <v>45766</v>
      </c>
      <c r="AB475" s="103">
        <v>45784</v>
      </c>
      <c r="AC475" s="91"/>
      <c r="AD475" s="102">
        <f>IF(ISNA(VLOOKUP(D475,亚马逊入库配置费!B:F,5,0)),0,VLOOKUP(D475,亚马逊入库配置费!B:F,5,0))</f>
        <v>0.35734513274336299</v>
      </c>
      <c r="AE475" s="102">
        <f t="shared" si="104"/>
        <v>64.32212389380534</v>
      </c>
      <c r="AF475" s="103">
        <v>45791</v>
      </c>
      <c r="AG475" s="91">
        <f t="shared" si="105"/>
        <v>25</v>
      </c>
      <c r="AH475" s="103">
        <v>45791</v>
      </c>
      <c r="AI475" s="103">
        <v>45841</v>
      </c>
      <c r="AJ475" s="96">
        <v>179</v>
      </c>
      <c r="AK475" s="91">
        <f t="shared" si="106"/>
        <v>50</v>
      </c>
      <c r="AL475" s="96">
        <f t="shared" si="109"/>
        <v>75</v>
      </c>
      <c r="AM475" s="92"/>
      <c r="AN475" s="91"/>
      <c r="AO475" s="91"/>
    </row>
    <row r="476" spans="1:41" ht="14.5" x14ac:dyDescent="0.25">
      <c r="A476" s="92" t="s">
        <v>918</v>
      </c>
      <c r="B476" s="91" t="s">
        <v>909</v>
      </c>
      <c r="C476" s="119" t="s">
        <v>910</v>
      </c>
      <c r="D476" s="120" t="s">
        <v>911</v>
      </c>
      <c r="E476" s="135" t="s">
        <v>97</v>
      </c>
      <c r="F476" s="135" t="s">
        <v>0</v>
      </c>
      <c r="G476" s="58" t="s">
        <v>355</v>
      </c>
      <c r="H476" s="119">
        <v>200</v>
      </c>
      <c r="I476" s="119" t="s">
        <v>207</v>
      </c>
      <c r="J476" s="119" t="s">
        <v>8</v>
      </c>
      <c r="K476" s="120" t="s">
        <v>14</v>
      </c>
      <c r="L476" s="93" t="s">
        <v>2712</v>
      </c>
      <c r="M476" s="94" t="s">
        <v>3216</v>
      </c>
      <c r="N476" s="95" t="s">
        <v>3050</v>
      </c>
      <c r="O476" s="150">
        <v>1</v>
      </c>
      <c r="P476" s="111">
        <f t="shared" si="114"/>
        <v>13.574074074074074</v>
      </c>
      <c r="Q476" s="122" t="s">
        <v>16</v>
      </c>
      <c r="R476" s="124">
        <v>10.4</v>
      </c>
      <c r="S476" s="95"/>
      <c r="T476" s="98"/>
      <c r="U476" s="125">
        <f t="shared" si="115"/>
        <v>143.02222222222224</v>
      </c>
      <c r="V476" s="113">
        <f t="shared" si="112"/>
        <v>0.71511111111111125</v>
      </c>
      <c r="W476" s="114">
        <f t="shared" si="113"/>
        <v>0.10215873015873018</v>
      </c>
      <c r="X476" s="95"/>
      <c r="Y476" s="95"/>
      <c r="Z476" s="102"/>
      <c r="AA476" s="103">
        <v>45766</v>
      </c>
      <c r="AB476" s="103">
        <v>45784</v>
      </c>
      <c r="AC476" s="91"/>
      <c r="AD476" s="102">
        <f>IF(ISNA(VLOOKUP(D476,亚马逊入库配置费!B:F,5,0)),0,VLOOKUP(D476,亚马逊入库配置费!B:F,5,0))</f>
        <v>0.35734513274336299</v>
      </c>
      <c r="AE476" s="102">
        <f t="shared" si="104"/>
        <v>71.469026548672602</v>
      </c>
      <c r="AF476" s="103">
        <v>45791</v>
      </c>
      <c r="AG476" s="91">
        <f t="shared" si="105"/>
        <v>25</v>
      </c>
      <c r="AH476" s="103">
        <v>45791</v>
      </c>
      <c r="AI476" s="103">
        <v>45841</v>
      </c>
      <c r="AJ476" s="96">
        <v>200</v>
      </c>
      <c r="AK476" s="91">
        <f t="shared" si="106"/>
        <v>50</v>
      </c>
      <c r="AL476" s="96">
        <f t="shared" si="109"/>
        <v>75</v>
      </c>
      <c r="AM476" s="92"/>
      <c r="AN476" s="91"/>
      <c r="AO476" s="91"/>
    </row>
    <row r="477" spans="1:41" ht="14.5" x14ac:dyDescent="0.25">
      <c r="A477" s="92" t="s">
        <v>919</v>
      </c>
      <c r="B477" s="91" t="s">
        <v>909</v>
      </c>
      <c r="C477" s="119" t="s">
        <v>910</v>
      </c>
      <c r="D477" s="120" t="s">
        <v>920</v>
      </c>
      <c r="E477" s="135" t="s">
        <v>115</v>
      </c>
      <c r="F477" s="135" t="s">
        <v>0</v>
      </c>
      <c r="G477" s="58" t="s">
        <v>206</v>
      </c>
      <c r="H477" s="119">
        <v>450</v>
      </c>
      <c r="I477" s="119" t="s">
        <v>207</v>
      </c>
      <c r="J477" s="119" t="s">
        <v>8</v>
      </c>
      <c r="K477" s="120" t="s">
        <v>14</v>
      </c>
      <c r="L477" s="93" t="s">
        <v>3032</v>
      </c>
      <c r="M477" s="94" t="s">
        <v>3310</v>
      </c>
      <c r="N477" s="95" t="s">
        <v>2878</v>
      </c>
      <c r="O477" s="150">
        <v>15</v>
      </c>
      <c r="P477" s="111">
        <f t="shared" si="114"/>
        <v>203.61111111111111</v>
      </c>
      <c r="Q477" s="122" t="s">
        <v>16</v>
      </c>
      <c r="R477" s="124">
        <v>10.4</v>
      </c>
      <c r="S477" s="95"/>
      <c r="T477" s="98"/>
      <c r="U477" s="125">
        <f t="shared" si="115"/>
        <v>2145.3333333333335</v>
      </c>
      <c r="V477" s="113">
        <f t="shared" si="112"/>
        <v>4.7674074074074078</v>
      </c>
      <c r="W477" s="114">
        <f t="shared" si="113"/>
        <v>0.68105820105820114</v>
      </c>
      <c r="X477" s="95"/>
      <c r="Y477" s="95"/>
      <c r="Z477" s="102"/>
      <c r="AA477" s="103">
        <v>45766</v>
      </c>
      <c r="AB477" s="103">
        <v>45784</v>
      </c>
      <c r="AC477" s="91"/>
      <c r="AD477" s="102">
        <f>IF(ISNA(VLOOKUP(D477,亚马逊入库配置费!B:F,5,0)),0,VLOOKUP(D477,亚马逊入库配置费!B:F,5,0))</f>
        <v>0.42071129707112997</v>
      </c>
      <c r="AE477" s="102">
        <f t="shared" si="104"/>
        <v>189.32008368200849</v>
      </c>
      <c r="AF477" s="103">
        <v>45791</v>
      </c>
      <c r="AG477" s="91">
        <f t="shared" si="105"/>
        <v>25</v>
      </c>
      <c r="AH477" s="103">
        <v>45791</v>
      </c>
      <c r="AI477" s="103">
        <v>45828</v>
      </c>
      <c r="AJ477" s="96">
        <v>450</v>
      </c>
      <c r="AK477" s="91">
        <f t="shared" si="106"/>
        <v>37</v>
      </c>
      <c r="AL477" s="96">
        <f t="shared" si="109"/>
        <v>62</v>
      </c>
      <c r="AM477" s="92"/>
      <c r="AN477" s="91"/>
      <c r="AO477" s="91"/>
    </row>
    <row r="478" spans="1:41" ht="14.5" x14ac:dyDescent="0.25">
      <c r="A478" s="92" t="s">
        <v>921</v>
      </c>
      <c r="B478" s="91" t="s">
        <v>909</v>
      </c>
      <c r="C478" s="119" t="s">
        <v>910</v>
      </c>
      <c r="D478" s="120" t="s">
        <v>920</v>
      </c>
      <c r="E478" s="135" t="s">
        <v>115</v>
      </c>
      <c r="F478" s="135" t="s">
        <v>0</v>
      </c>
      <c r="G478" s="58" t="s">
        <v>209</v>
      </c>
      <c r="H478" s="119">
        <v>320</v>
      </c>
      <c r="I478" s="119" t="s">
        <v>207</v>
      </c>
      <c r="J478" s="119" t="s">
        <v>8</v>
      </c>
      <c r="K478" s="120" t="s">
        <v>14</v>
      </c>
      <c r="L478" s="93" t="s">
        <v>3033</v>
      </c>
      <c r="M478" s="94" t="s">
        <v>3311</v>
      </c>
      <c r="N478" s="95" t="s">
        <v>2869</v>
      </c>
      <c r="O478" s="150">
        <v>20</v>
      </c>
      <c r="P478" s="111">
        <f t="shared" si="114"/>
        <v>271.48148148148147</v>
      </c>
      <c r="Q478" s="122" t="s">
        <v>16</v>
      </c>
      <c r="R478" s="124">
        <v>10.4</v>
      </c>
      <c r="S478" s="95"/>
      <c r="T478" s="98"/>
      <c r="U478" s="125">
        <f t="shared" si="115"/>
        <v>2860.4444444444443</v>
      </c>
      <c r="V478" s="113">
        <f t="shared" si="112"/>
        <v>8.9388888888888882</v>
      </c>
      <c r="W478" s="114">
        <f t="shared" si="113"/>
        <v>1.2769841269841269</v>
      </c>
      <c r="X478" s="95"/>
      <c r="Y478" s="95"/>
      <c r="Z478" s="102"/>
      <c r="AA478" s="103">
        <v>45766</v>
      </c>
      <c r="AB478" s="103">
        <v>45784</v>
      </c>
      <c r="AC478" s="91"/>
      <c r="AD478" s="102">
        <f>IF(ISNA(VLOOKUP(D478,亚马逊入库配置费!B:F,5,0)),0,VLOOKUP(D478,亚马逊入库配置费!B:F,5,0))</f>
        <v>0.42071129707112997</v>
      </c>
      <c r="AE478" s="102">
        <f t="shared" si="104"/>
        <v>134.62761506276161</v>
      </c>
      <c r="AF478" s="103">
        <v>45791</v>
      </c>
      <c r="AG478" s="91">
        <f t="shared" si="105"/>
        <v>25</v>
      </c>
      <c r="AH478" s="103">
        <v>45791</v>
      </c>
      <c r="AI478" s="103">
        <v>45828</v>
      </c>
      <c r="AJ478" s="96">
        <v>319</v>
      </c>
      <c r="AK478" s="91">
        <f t="shared" si="106"/>
        <v>37</v>
      </c>
      <c r="AL478" s="96">
        <f t="shared" si="109"/>
        <v>62</v>
      </c>
      <c r="AM478" s="92"/>
      <c r="AN478" s="91"/>
      <c r="AO478" s="91"/>
    </row>
    <row r="479" spans="1:41" ht="14.5" x14ac:dyDescent="0.25">
      <c r="A479" s="92" t="s">
        <v>922</v>
      </c>
      <c r="B479" s="91" t="s">
        <v>909</v>
      </c>
      <c r="C479" s="119" t="s">
        <v>910</v>
      </c>
      <c r="D479" s="120" t="s">
        <v>920</v>
      </c>
      <c r="E479" s="135" t="s">
        <v>115</v>
      </c>
      <c r="F479" s="135" t="s">
        <v>0</v>
      </c>
      <c r="G479" s="58" t="s">
        <v>211</v>
      </c>
      <c r="H479" s="119">
        <v>1020</v>
      </c>
      <c r="I479" s="119" t="s">
        <v>207</v>
      </c>
      <c r="J479" s="119" t="s">
        <v>8</v>
      </c>
      <c r="K479" s="120" t="s">
        <v>14</v>
      </c>
      <c r="L479" s="93" t="s">
        <v>3034</v>
      </c>
      <c r="M479" s="94" t="s">
        <v>3312</v>
      </c>
      <c r="N479" s="95" t="s">
        <v>2869</v>
      </c>
      <c r="O479" s="150">
        <v>34</v>
      </c>
      <c r="P479" s="111">
        <f t="shared" si="114"/>
        <v>461.51851851851853</v>
      </c>
      <c r="Q479" s="122" t="s">
        <v>16</v>
      </c>
      <c r="R479" s="124">
        <v>10.4</v>
      </c>
      <c r="S479" s="95"/>
      <c r="T479" s="98"/>
      <c r="U479" s="125">
        <f t="shared" si="115"/>
        <v>4862.7555555555555</v>
      </c>
      <c r="V479" s="113">
        <f t="shared" si="112"/>
        <v>4.7674074074074078</v>
      </c>
      <c r="W479" s="114">
        <f t="shared" si="113"/>
        <v>0.68105820105820114</v>
      </c>
      <c r="X479" s="95"/>
      <c r="Y479" s="95"/>
      <c r="Z479" s="102"/>
      <c r="AA479" s="103">
        <v>45766</v>
      </c>
      <c r="AB479" s="103">
        <v>45784</v>
      </c>
      <c r="AC479" s="91"/>
      <c r="AD479" s="102">
        <f>IF(ISNA(VLOOKUP(D479,亚马逊入库配置费!B:F,5,0)),0,VLOOKUP(D479,亚马逊入库配置费!B:F,5,0))</f>
        <v>0.42071129707112997</v>
      </c>
      <c r="AE479" s="102">
        <f t="shared" si="104"/>
        <v>429.12552301255255</v>
      </c>
      <c r="AF479" s="103">
        <v>45791</v>
      </c>
      <c r="AG479" s="91">
        <f t="shared" si="105"/>
        <v>25</v>
      </c>
      <c r="AH479" s="103">
        <v>45791</v>
      </c>
      <c r="AI479" s="103">
        <v>45828</v>
      </c>
      <c r="AJ479" s="96">
        <v>1021</v>
      </c>
      <c r="AK479" s="91">
        <f t="shared" si="106"/>
        <v>37</v>
      </c>
      <c r="AL479" s="96">
        <f t="shared" si="109"/>
        <v>62</v>
      </c>
      <c r="AM479" s="92"/>
      <c r="AN479" s="91"/>
      <c r="AO479" s="91"/>
    </row>
    <row r="480" spans="1:41" ht="14.5" x14ac:dyDescent="0.25">
      <c r="A480" s="92" t="s">
        <v>923</v>
      </c>
      <c r="B480" s="91" t="s">
        <v>909</v>
      </c>
      <c r="C480" s="119" t="s">
        <v>910</v>
      </c>
      <c r="D480" s="120" t="s">
        <v>920</v>
      </c>
      <c r="E480" s="135" t="s">
        <v>115</v>
      </c>
      <c r="F480" s="135" t="s">
        <v>0</v>
      </c>
      <c r="G480" s="58" t="s">
        <v>213</v>
      </c>
      <c r="H480" s="119">
        <v>600</v>
      </c>
      <c r="I480" s="119" t="s">
        <v>207</v>
      </c>
      <c r="J480" s="119" t="s">
        <v>8</v>
      </c>
      <c r="K480" s="120" t="s">
        <v>14</v>
      </c>
      <c r="L480" s="93" t="s">
        <v>3035</v>
      </c>
      <c r="M480" s="94" t="s">
        <v>3313</v>
      </c>
      <c r="N480" s="95" t="s">
        <v>2869</v>
      </c>
      <c r="O480" s="150">
        <v>20</v>
      </c>
      <c r="P480" s="111">
        <f t="shared" si="114"/>
        <v>271.48148148148147</v>
      </c>
      <c r="Q480" s="122" t="s">
        <v>16</v>
      </c>
      <c r="R480" s="124">
        <v>10.4</v>
      </c>
      <c r="S480" s="95"/>
      <c r="T480" s="98"/>
      <c r="U480" s="125">
        <f t="shared" si="115"/>
        <v>2860.4444444444443</v>
      </c>
      <c r="V480" s="113">
        <f t="shared" si="112"/>
        <v>4.7674074074074069</v>
      </c>
      <c r="W480" s="114">
        <f t="shared" si="113"/>
        <v>0.68105820105820103</v>
      </c>
      <c r="X480" s="95"/>
      <c r="Y480" s="95"/>
      <c r="Z480" s="102"/>
      <c r="AA480" s="103">
        <v>45766</v>
      </c>
      <c r="AB480" s="103">
        <v>45784</v>
      </c>
      <c r="AC480" s="91"/>
      <c r="AD480" s="102">
        <f>IF(ISNA(VLOOKUP(D480,亚马逊入库配置费!B:F,5,0)),0,VLOOKUP(D480,亚马逊入库配置费!B:F,5,0))</f>
        <v>0.42071129707112997</v>
      </c>
      <c r="AE480" s="102">
        <f t="shared" si="104"/>
        <v>252.42677824267798</v>
      </c>
      <c r="AF480" s="103">
        <v>45791</v>
      </c>
      <c r="AG480" s="91">
        <f t="shared" si="105"/>
        <v>25</v>
      </c>
      <c r="AH480" s="103">
        <v>45791</v>
      </c>
      <c r="AI480" s="103">
        <v>45828</v>
      </c>
      <c r="AJ480" s="96">
        <v>599</v>
      </c>
      <c r="AK480" s="91">
        <f t="shared" si="106"/>
        <v>37</v>
      </c>
      <c r="AL480" s="96">
        <f t="shared" si="109"/>
        <v>62</v>
      </c>
      <c r="AM480" s="92"/>
      <c r="AN480" s="91"/>
      <c r="AO480" s="91"/>
    </row>
    <row r="481" spans="1:41" ht="14.5" x14ac:dyDescent="0.25">
      <c r="A481" s="92" t="s">
        <v>924</v>
      </c>
      <c r="B481" s="91"/>
      <c r="C481" s="119" t="s">
        <v>925</v>
      </c>
      <c r="D481" s="120" t="s">
        <v>926</v>
      </c>
      <c r="E481" s="135" t="s">
        <v>97</v>
      </c>
      <c r="F481" s="135" t="s">
        <v>0</v>
      </c>
      <c r="G481" s="58" t="s">
        <v>88</v>
      </c>
      <c r="H481" s="119">
        <v>108</v>
      </c>
      <c r="I481" s="119" t="s">
        <v>89</v>
      </c>
      <c r="J481" s="119" t="s">
        <v>8</v>
      </c>
      <c r="K481" s="120" t="s">
        <v>9</v>
      </c>
      <c r="L481" s="93" t="s">
        <v>3014</v>
      </c>
      <c r="M481" s="94" t="s">
        <v>3286</v>
      </c>
      <c r="N481" s="95" t="s">
        <v>2821</v>
      </c>
      <c r="O481" s="122">
        <v>6</v>
      </c>
      <c r="P481" s="111">
        <f>470/22*O481</f>
        <v>128.18181818181819</v>
      </c>
      <c r="Q481" s="122" t="s">
        <v>16</v>
      </c>
      <c r="R481" s="145">
        <v>11.8</v>
      </c>
      <c r="S481" s="95"/>
      <c r="T481" s="98"/>
      <c r="U481" s="125">
        <f>R481*P481+350/22*O481</f>
        <v>1608.0000000000002</v>
      </c>
      <c r="V481" s="113">
        <f t="shared" si="112"/>
        <v>14.888888888888891</v>
      </c>
      <c r="W481" s="114">
        <f t="shared" si="113"/>
        <v>2.1269841269841274</v>
      </c>
      <c r="X481" s="95"/>
      <c r="Y481" s="95"/>
      <c r="Z481" s="102"/>
      <c r="AA481" s="103">
        <v>45766</v>
      </c>
      <c r="AB481" s="103">
        <v>45784</v>
      </c>
      <c r="AC481" s="91"/>
      <c r="AD481" s="102">
        <f>IF(ISNA(VLOOKUP(D481,亚马逊入库配置费!B:F,5,0)),0,VLOOKUP(D481,亚马逊入库配置费!B:F,5,0))</f>
        <v>0.49</v>
      </c>
      <c r="AE481" s="102">
        <f t="shared" si="104"/>
        <v>52.92</v>
      </c>
      <c r="AF481" s="103">
        <v>45793</v>
      </c>
      <c r="AG481" s="91">
        <f t="shared" si="105"/>
        <v>27</v>
      </c>
      <c r="AH481" s="103">
        <v>45793</v>
      </c>
      <c r="AI481" s="103">
        <v>45824</v>
      </c>
      <c r="AJ481" s="96">
        <v>108</v>
      </c>
      <c r="AK481" s="91">
        <f t="shared" si="106"/>
        <v>31</v>
      </c>
      <c r="AL481" s="96">
        <f t="shared" si="109"/>
        <v>58</v>
      </c>
      <c r="AM481" s="92"/>
      <c r="AN481" s="91"/>
      <c r="AO481" s="91"/>
    </row>
    <row r="482" spans="1:41" ht="14.5" x14ac:dyDescent="0.25">
      <c r="A482" s="92" t="s">
        <v>927</v>
      </c>
      <c r="B482" s="91"/>
      <c r="C482" s="119" t="s">
        <v>925</v>
      </c>
      <c r="D482" s="120" t="s">
        <v>926</v>
      </c>
      <c r="E482" s="135" t="s">
        <v>97</v>
      </c>
      <c r="F482" s="135" t="s">
        <v>0</v>
      </c>
      <c r="G482" s="58" t="s">
        <v>93</v>
      </c>
      <c r="H482" s="119">
        <v>288</v>
      </c>
      <c r="I482" s="119" t="s">
        <v>89</v>
      </c>
      <c r="J482" s="119" t="s">
        <v>8</v>
      </c>
      <c r="K482" s="120" t="s">
        <v>9</v>
      </c>
      <c r="L482" s="93" t="s">
        <v>3015</v>
      </c>
      <c r="M482" s="94" t="s">
        <v>3288</v>
      </c>
      <c r="N482" s="95" t="s">
        <v>2821</v>
      </c>
      <c r="O482" s="122">
        <v>16</v>
      </c>
      <c r="P482" s="111">
        <f>470/22*O482</f>
        <v>341.81818181818181</v>
      </c>
      <c r="Q482" s="122" t="s">
        <v>16</v>
      </c>
      <c r="R482" s="145">
        <v>11.8</v>
      </c>
      <c r="S482" s="95"/>
      <c r="T482" s="98"/>
      <c r="U482" s="125">
        <f>R482*P482+350/22*O482</f>
        <v>4288</v>
      </c>
      <c r="V482" s="113">
        <f t="shared" si="112"/>
        <v>14.888888888888889</v>
      </c>
      <c r="W482" s="114">
        <f t="shared" si="113"/>
        <v>2.126984126984127</v>
      </c>
      <c r="X482" s="95"/>
      <c r="Y482" s="95"/>
      <c r="Z482" s="102"/>
      <c r="AA482" s="103">
        <v>45766</v>
      </c>
      <c r="AB482" s="103">
        <v>45784</v>
      </c>
      <c r="AC482" s="91"/>
      <c r="AD482" s="102">
        <f>IF(ISNA(VLOOKUP(D482,亚马逊入库配置费!B:F,5,0)),0,VLOOKUP(D482,亚马逊入库配置费!B:F,5,0))</f>
        <v>0.49</v>
      </c>
      <c r="AE482" s="102">
        <f t="shared" si="104"/>
        <v>141.12</v>
      </c>
      <c r="AF482" s="103">
        <v>45793</v>
      </c>
      <c r="AG482" s="91">
        <f t="shared" si="105"/>
        <v>27</v>
      </c>
      <c r="AH482" s="103">
        <v>45793</v>
      </c>
      <c r="AI482" s="103">
        <v>45824</v>
      </c>
      <c r="AJ482" s="96">
        <v>288</v>
      </c>
      <c r="AK482" s="91">
        <f t="shared" si="106"/>
        <v>31</v>
      </c>
      <c r="AL482" s="96">
        <f t="shared" si="109"/>
        <v>58</v>
      </c>
      <c r="AM482" s="92"/>
      <c r="AN482" s="91"/>
      <c r="AO482" s="91"/>
    </row>
    <row r="483" spans="1:41" ht="14.5" x14ac:dyDescent="0.25">
      <c r="A483" s="92" t="s">
        <v>928</v>
      </c>
      <c r="B483" s="91"/>
      <c r="C483" s="119" t="s">
        <v>929</v>
      </c>
      <c r="D483" s="120" t="s">
        <v>930</v>
      </c>
      <c r="E483" s="135" t="s">
        <v>97</v>
      </c>
      <c r="F483" s="135" t="s">
        <v>0</v>
      </c>
      <c r="G483" s="58" t="s">
        <v>88</v>
      </c>
      <c r="H483" s="119">
        <v>198</v>
      </c>
      <c r="I483" s="119" t="s">
        <v>207</v>
      </c>
      <c r="J483" s="119" t="s">
        <v>3</v>
      </c>
      <c r="K483" s="120" t="s">
        <v>13</v>
      </c>
      <c r="L483" s="93" t="s">
        <v>3014</v>
      </c>
      <c r="M483" s="94" t="s">
        <v>3286</v>
      </c>
      <c r="N483" s="95" t="s">
        <v>2821</v>
      </c>
      <c r="O483" s="122">
        <v>11</v>
      </c>
      <c r="P483" s="111">
        <f t="shared" ref="P483:P488" si="116">1453/68*O483</f>
        <v>235.04411764705881</v>
      </c>
      <c r="Q483" s="122" t="s">
        <v>16</v>
      </c>
      <c r="R483" s="124">
        <v>44.5</v>
      </c>
      <c r="S483" s="95"/>
      <c r="T483" s="98"/>
      <c r="U483" s="125">
        <f t="shared" ref="U483:U488" si="117">R483*P483+350/68*O483</f>
        <v>10516.080882352941</v>
      </c>
      <c r="V483" s="113">
        <f t="shared" si="112"/>
        <v>53.111519607843135</v>
      </c>
      <c r="W483" s="114">
        <f t="shared" si="113"/>
        <v>7.5873599439775905</v>
      </c>
      <c r="X483" s="95"/>
      <c r="Y483" s="95"/>
      <c r="Z483" s="102"/>
      <c r="AA483" s="103">
        <v>45766</v>
      </c>
      <c r="AB483" s="103"/>
      <c r="AC483" s="91"/>
      <c r="AD483" s="102">
        <f>IF(ISNA(VLOOKUP(D483,亚马逊入库配置费!B:F,5,0)),0,VLOOKUP(D483,亚马逊入库配置费!B:F,5,0))</f>
        <v>0.49</v>
      </c>
      <c r="AE483" s="102">
        <f t="shared" si="104"/>
        <v>97.02</v>
      </c>
      <c r="AF483" s="103">
        <v>45775</v>
      </c>
      <c r="AG483" s="91">
        <f t="shared" si="105"/>
        <v>9</v>
      </c>
      <c r="AH483" s="103">
        <v>45775</v>
      </c>
      <c r="AI483" s="103">
        <v>45810</v>
      </c>
      <c r="AJ483" s="96">
        <v>197</v>
      </c>
      <c r="AK483" s="91">
        <f t="shared" si="106"/>
        <v>35</v>
      </c>
      <c r="AL483" s="96">
        <f t="shared" si="109"/>
        <v>44</v>
      </c>
      <c r="AM483" s="92"/>
      <c r="AN483" s="91"/>
      <c r="AO483" s="91"/>
    </row>
    <row r="484" spans="1:41" ht="14.5" x14ac:dyDescent="0.25">
      <c r="A484" s="92" t="s">
        <v>931</v>
      </c>
      <c r="B484" s="91"/>
      <c r="C484" s="119" t="s">
        <v>929</v>
      </c>
      <c r="D484" s="120" t="s">
        <v>930</v>
      </c>
      <c r="E484" s="135" t="s">
        <v>97</v>
      </c>
      <c r="F484" s="135" t="s">
        <v>0</v>
      </c>
      <c r="G484" s="58" t="s">
        <v>93</v>
      </c>
      <c r="H484" s="119">
        <v>198</v>
      </c>
      <c r="I484" s="119" t="s">
        <v>207</v>
      </c>
      <c r="J484" s="119" t="s">
        <v>3</v>
      </c>
      <c r="K484" s="120" t="s">
        <v>13</v>
      </c>
      <c r="L484" s="93" t="s">
        <v>3015</v>
      </c>
      <c r="M484" s="94" t="s">
        <v>3288</v>
      </c>
      <c r="N484" s="95" t="s">
        <v>2821</v>
      </c>
      <c r="O484" s="122">
        <v>11</v>
      </c>
      <c r="P484" s="111">
        <f t="shared" si="116"/>
        <v>235.04411764705881</v>
      </c>
      <c r="Q484" s="122" t="s">
        <v>16</v>
      </c>
      <c r="R484" s="124">
        <v>44.5</v>
      </c>
      <c r="S484" s="95"/>
      <c r="T484" s="98"/>
      <c r="U484" s="125">
        <f t="shared" si="117"/>
        <v>10516.080882352941</v>
      </c>
      <c r="V484" s="113">
        <f t="shared" si="112"/>
        <v>53.111519607843135</v>
      </c>
      <c r="W484" s="114">
        <f t="shared" si="113"/>
        <v>7.5873599439775905</v>
      </c>
      <c r="X484" s="95"/>
      <c r="Y484" s="95"/>
      <c r="Z484" s="102"/>
      <c r="AA484" s="103">
        <v>45766</v>
      </c>
      <c r="AB484" s="103"/>
      <c r="AC484" s="91"/>
      <c r="AD484" s="102">
        <f>IF(ISNA(VLOOKUP(D484,亚马逊入库配置费!B:F,5,0)),0,VLOOKUP(D484,亚马逊入库配置费!B:F,5,0))</f>
        <v>0.49</v>
      </c>
      <c r="AE484" s="102">
        <f t="shared" si="104"/>
        <v>97.02</v>
      </c>
      <c r="AF484" s="103">
        <v>45775</v>
      </c>
      <c r="AG484" s="91">
        <f t="shared" si="105"/>
        <v>9</v>
      </c>
      <c r="AH484" s="103">
        <v>45775</v>
      </c>
      <c r="AI484" s="103">
        <v>45810</v>
      </c>
      <c r="AJ484" s="96">
        <v>197</v>
      </c>
      <c r="AK484" s="91">
        <f t="shared" si="106"/>
        <v>35</v>
      </c>
      <c r="AL484" s="96">
        <f t="shared" si="109"/>
        <v>44</v>
      </c>
      <c r="AM484" s="92"/>
      <c r="AN484" s="91"/>
      <c r="AO484" s="91"/>
    </row>
    <row r="485" spans="1:41" ht="14.5" x14ac:dyDescent="0.25">
      <c r="A485" s="92" t="s">
        <v>932</v>
      </c>
      <c r="B485" s="91"/>
      <c r="C485" s="119" t="s">
        <v>929</v>
      </c>
      <c r="D485" s="120" t="s">
        <v>933</v>
      </c>
      <c r="E485" s="135" t="s">
        <v>97</v>
      </c>
      <c r="F485" s="135" t="s">
        <v>0</v>
      </c>
      <c r="G485" s="58" t="s">
        <v>88</v>
      </c>
      <c r="H485" s="119">
        <v>198</v>
      </c>
      <c r="I485" s="119" t="s">
        <v>207</v>
      </c>
      <c r="J485" s="119" t="s">
        <v>3</v>
      </c>
      <c r="K485" s="120" t="s">
        <v>13</v>
      </c>
      <c r="L485" s="93" t="s">
        <v>3014</v>
      </c>
      <c r="M485" s="94" t="s">
        <v>3286</v>
      </c>
      <c r="N485" s="95" t="s">
        <v>2821</v>
      </c>
      <c r="O485" s="122">
        <v>11</v>
      </c>
      <c r="P485" s="111">
        <f t="shared" si="116"/>
        <v>235.04411764705881</v>
      </c>
      <c r="Q485" s="122" t="s">
        <v>16</v>
      </c>
      <c r="R485" s="124">
        <v>44.5</v>
      </c>
      <c r="S485" s="95"/>
      <c r="T485" s="98"/>
      <c r="U485" s="125">
        <f t="shared" si="117"/>
        <v>10516.080882352941</v>
      </c>
      <c r="V485" s="113">
        <f t="shared" si="112"/>
        <v>53.111519607843135</v>
      </c>
      <c r="W485" s="114">
        <f t="shared" si="113"/>
        <v>7.5873599439775905</v>
      </c>
      <c r="X485" s="95"/>
      <c r="Y485" s="95"/>
      <c r="Z485" s="102"/>
      <c r="AA485" s="103">
        <v>45766</v>
      </c>
      <c r="AB485" s="103"/>
      <c r="AC485" s="91"/>
      <c r="AD485" s="102">
        <f>IF(ISNA(VLOOKUP(D485,亚马逊入库配置费!B:F,5,0)),0,VLOOKUP(D485,亚马逊入库配置费!B:F,5,0))</f>
        <v>0.49</v>
      </c>
      <c r="AE485" s="102">
        <f t="shared" si="104"/>
        <v>97.02</v>
      </c>
      <c r="AF485" s="103">
        <v>45775</v>
      </c>
      <c r="AG485" s="91">
        <f t="shared" si="105"/>
        <v>9</v>
      </c>
      <c r="AH485" s="103">
        <v>45775</v>
      </c>
      <c r="AI485" s="103">
        <v>45810</v>
      </c>
      <c r="AJ485" s="96">
        <v>198</v>
      </c>
      <c r="AK485" s="91">
        <f t="shared" si="106"/>
        <v>35</v>
      </c>
      <c r="AL485" s="96">
        <f t="shared" si="109"/>
        <v>44</v>
      </c>
      <c r="AM485" s="92"/>
      <c r="AN485" s="91"/>
      <c r="AO485" s="91"/>
    </row>
    <row r="486" spans="1:41" ht="14.5" x14ac:dyDescent="0.25">
      <c r="A486" s="92" t="s">
        <v>934</v>
      </c>
      <c r="B486" s="91"/>
      <c r="C486" s="119" t="s">
        <v>929</v>
      </c>
      <c r="D486" s="120" t="s">
        <v>933</v>
      </c>
      <c r="E486" s="135" t="s">
        <v>97</v>
      </c>
      <c r="F486" s="135" t="s">
        <v>0</v>
      </c>
      <c r="G486" s="58" t="s">
        <v>93</v>
      </c>
      <c r="H486" s="119">
        <v>216</v>
      </c>
      <c r="I486" s="119" t="s">
        <v>207</v>
      </c>
      <c r="J486" s="119" t="s">
        <v>3</v>
      </c>
      <c r="K486" s="120" t="s">
        <v>13</v>
      </c>
      <c r="L486" s="93" t="s">
        <v>3015</v>
      </c>
      <c r="M486" s="94" t="s">
        <v>3288</v>
      </c>
      <c r="N486" s="95" t="s">
        <v>2821</v>
      </c>
      <c r="O486" s="122">
        <v>12</v>
      </c>
      <c r="P486" s="111">
        <f t="shared" si="116"/>
        <v>256.41176470588232</v>
      </c>
      <c r="Q486" s="122" t="s">
        <v>16</v>
      </c>
      <c r="R486" s="124">
        <v>44.5</v>
      </c>
      <c r="S486" s="95"/>
      <c r="T486" s="98"/>
      <c r="U486" s="125">
        <f t="shared" si="117"/>
        <v>11472.088235294117</v>
      </c>
      <c r="V486" s="113">
        <f t="shared" si="112"/>
        <v>53.111519607843135</v>
      </c>
      <c r="W486" s="114">
        <f t="shared" si="113"/>
        <v>7.5873599439775905</v>
      </c>
      <c r="X486" s="95"/>
      <c r="Y486" s="95"/>
      <c r="Z486" s="102"/>
      <c r="AA486" s="103">
        <v>45766</v>
      </c>
      <c r="AB486" s="103"/>
      <c r="AC486" s="91"/>
      <c r="AD486" s="102">
        <f>IF(ISNA(VLOOKUP(D486,亚马逊入库配置费!B:F,5,0)),0,VLOOKUP(D486,亚马逊入库配置费!B:F,5,0))</f>
        <v>0.49</v>
      </c>
      <c r="AE486" s="102">
        <f t="shared" si="104"/>
        <v>105.84</v>
      </c>
      <c r="AF486" s="103">
        <v>45775</v>
      </c>
      <c r="AG486" s="91">
        <f t="shared" si="105"/>
        <v>9</v>
      </c>
      <c r="AH486" s="103">
        <v>45775</v>
      </c>
      <c r="AI486" s="103">
        <v>45810</v>
      </c>
      <c r="AJ486" s="96">
        <v>217</v>
      </c>
      <c r="AK486" s="91">
        <f t="shared" si="106"/>
        <v>35</v>
      </c>
      <c r="AL486" s="96">
        <f t="shared" si="109"/>
        <v>44</v>
      </c>
      <c r="AM486" s="92"/>
      <c r="AN486" s="91"/>
      <c r="AO486" s="91"/>
    </row>
    <row r="487" spans="1:41" ht="14.5" x14ac:dyDescent="0.25">
      <c r="A487" s="92" t="s">
        <v>935</v>
      </c>
      <c r="B487" s="91"/>
      <c r="C487" s="119" t="s">
        <v>929</v>
      </c>
      <c r="D487" s="120" t="s">
        <v>936</v>
      </c>
      <c r="E487" s="135" t="s">
        <v>97</v>
      </c>
      <c r="F487" s="135" t="s">
        <v>0</v>
      </c>
      <c r="G487" s="58" t="s">
        <v>88</v>
      </c>
      <c r="H487" s="119">
        <v>198</v>
      </c>
      <c r="I487" s="119" t="s">
        <v>207</v>
      </c>
      <c r="J487" s="119" t="s">
        <v>3</v>
      </c>
      <c r="K487" s="120" t="s">
        <v>13</v>
      </c>
      <c r="L487" s="93" t="s">
        <v>3014</v>
      </c>
      <c r="M487" s="94" t="s">
        <v>3286</v>
      </c>
      <c r="N487" s="95" t="s">
        <v>2821</v>
      </c>
      <c r="O487" s="122">
        <v>11</v>
      </c>
      <c r="P487" s="111">
        <f t="shared" si="116"/>
        <v>235.04411764705881</v>
      </c>
      <c r="Q487" s="122" t="s">
        <v>16</v>
      </c>
      <c r="R487" s="124">
        <v>44.5</v>
      </c>
      <c r="S487" s="95"/>
      <c r="T487" s="98"/>
      <c r="U487" s="125">
        <f t="shared" si="117"/>
        <v>10516.080882352941</v>
      </c>
      <c r="V487" s="113">
        <f t="shared" si="112"/>
        <v>53.111519607843135</v>
      </c>
      <c r="W487" s="114">
        <f t="shared" si="113"/>
        <v>7.5873599439775905</v>
      </c>
      <c r="X487" s="95"/>
      <c r="Y487" s="95"/>
      <c r="Z487" s="102"/>
      <c r="AA487" s="103">
        <v>45766</v>
      </c>
      <c r="AB487" s="103"/>
      <c r="AC487" s="91"/>
      <c r="AD487" s="102">
        <f>IF(ISNA(VLOOKUP(D487,亚马逊入库配置费!B:F,5,0)),0,VLOOKUP(D487,亚马逊入库配置费!B:F,5,0))</f>
        <v>0.49</v>
      </c>
      <c r="AE487" s="102">
        <f t="shared" si="104"/>
        <v>97.02</v>
      </c>
      <c r="AF487" s="103">
        <v>45775</v>
      </c>
      <c r="AG487" s="91">
        <f t="shared" si="105"/>
        <v>9</v>
      </c>
      <c r="AH487" s="103">
        <v>45775</v>
      </c>
      <c r="AI487" s="103">
        <v>45810</v>
      </c>
      <c r="AJ487" s="96">
        <v>198</v>
      </c>
      <c r="AK487" s="91">
        <f t="shared" si="106"/>
        <v>35</v>
      </c>
      <c r="AL487" s="96">
        <f t="shared" si="109"/>
        <v>44</v>
      </c>
      <c r="AM487" s="92"/>
      <c r="AN487" s="91"/>
      <c r="AO487" s="91"/>
    </row>
    <row r="488" spans="1:41" ht="14.5" x14ac:dyDescent="0.25">
      <c r="A488" s="92" t="s">
        <v>937</v>
      </c>
      <c r="B488" s="91"/>
      <c r="C488" s="119" t="s">
        <v>929</v>
      </c>
      <c r="D488" s="120" t="s">
        <v>936</v>
      </c>
      <c r="E488" s="135" t="s">
        <v>97</v>
      </c>
      <c r="F488" s="135" t="s">
        <v>0</v>
      </c>
      <c r="G488" s="58" t="s">
        <v>93</v>
      </c>
      <c r="H488" s="119">
        <v>216</v>
      </c>
      <c r="I488" s="119" t="s">
        <v>207</v>
      </c>
      <c r="J488" s="119" t="s">
        <v>3</v>
      </c>
      <c r="K488" s="120" t="s">
        <v>13</v>
      </c>
      <c r="L488" s="93" t="s">
        <v>3015</v>
      </c>
      <c r="M488" s="94" t="s">
        <v>3288</v>
      </c>
      <c r="N488" s="95" t="s">
        <v>2821</v>
      </c>
      <c r="O488" s="122">
        <v>12</v>
      </c>
      <c r="P488" s="111">
        <f t="shared" si="116"/>
        <v>256.41176470588232</v>
      </c>
      <c r="Q488" s="122" t="s">
        <v>16</v>
      </c>
      <c r="R488" s="124">
        <v>44.5</v>
      </c>
      <c r="S488" s="95"/>
      <c r="T488" s="98"/>
      <c r="U488" s="125">
        <f t="shared" si="117"/>
        <v>11472.088235294117</v>
      </c>
      <c r="V488" s="113">
        <f t="shared" si="112"/>
        <v>53.111519607843135</v>
      </c>
      <c r="W488" s="114">
        <f t="shared" si="113"/>
        <v>7.5873599439775905</v>
      </c>
      <c r="X488" s="95"/>
      <c r="Y488" s="95"/>
      <c r="Z488" s="102"/>
      <c r="AA488" s="103">
        <v>45766</v>
      </c>
      <c r="AB488" s="103"/>
      <c r="AC488" s="91"/>
      <c r="AD488" s="102">
        <f>IF(ISNA(VLOOKUP(D488,亚马逊入库配置费!B:F,5,0)),0,VLOOKUP(D488,亚马逊入库配置费!B:F,5,0))</f>
        <v>0.49</v>
      </c>
      <c r="AE488" s="102">
        <f t="shared" si="104"/>
        <v>105.84</v>
      </c>
      <c r="AF488" s="103">
        <v>45775</v>
      </c>
      <c r="AG488" s="91">
        <f t="shared" si="105"/>
        <v>9</v>
      </c>
      <c r="AH488" s="103">
        <v>45775</v>
      </c>
      <c r="AI488" s="103">
        <v>45810</v>
      </c>
      <c r="AJ488" s="96">
        <v>214</v>
      </c>
      <c r="AK488" s="91">
        <f t="shared" si="106"/>
        <v>35</v>
      </c>
      <c r="AL488" s="96">
        <f t="shared" si="109"/>
        <v>44</v>
      </c>
      <c r="AM488" s="92"/>
      <c r="AN488" s="91"/>
      <c r="AO488" s="91"/>
    </row>
    <row r="489" spans="1:41" ht="14.5" x14ac:dyDescent="0.25">
      <c r="A489" s="92" t="s">
        <v>938</v>
      </c>
      <c r="B489" s="91"/>
      <c r="C489" s="119" t="s">
        <v>939</v>
      </c>
      <c r="D489" s="120" t="s">
        <v>940</v>
      </c>
      <c r="E489" s="135" t="s">
        <v>97</v>
      </c>
      <c r="F489" s="135" t="s">
        <v>0</v>
      </c>
      <c r="G489" s="58" t="s">
        <v>88</v>
      </c>
      <c r="H489" s="119">
        <v>306</v>
      </c>
      <c r="I489" s="119" t="s">
        <v>89</v>
      </c>
      <c r="J489" s="119" t="s">
        <v>4</v>
      </c>
      <c r="K489" s="120" t="s">
        <v>17</v>
      </c>
      <c r="L489" s="93" t="s">
        <v>3014</v>
      </c>
      <c r="M489" s="94" t="s">
        <v>3286</v>
      </c>
      <c r="N489" s="95" t="s">
        <v>2821</v>
      </c>
      <c r="O489" s="122">
        <v>17</v>
      </c>
      <c r="P489" s="111">
        <f>683/32*O489</f>
        <v>362.84375</v>
      </c>
      <c r="Q489" s="122" t="s">
        <v>16</v>
      </c>
      <c r="R489" s="145">
        <v>16.899999999999999</v>
      </c>
      <c r="S489" s="95"/>
      <c r="T489" s="98"/>
      <c r="U489" s="125">
        <f>R489*P489+350/32*O489</f>
        <v>6317.9968749999998</v>
      </c>
      <c r="V489" s="113">
        <f t="shared" si="112"/>
        <v>20.64704861111111</v>
      </c>
      <c r="W489" s="114">
        <f t="shared" si="113"/>
        <v>2.9495783730158727</v>
      </c>
      <c r="X489" s="95"/>
      <c r="Y489" s="95"/>
      <c r="Z489" s="102"/>
      <c r="AA489" s="103">
        <v>45766</v>
      </c>
      <c r="AB489" s="103">
        <v>45781</v>
      </c>
      <c r="AC489" s="91"/>
      <c r="AD489" s="102">
        <f>IF(ISNA(VLOOKUP(D489,亚马逊入库配置费!B:F,5,0)),0,VLOOKUP(D489,亚马逊入库配置费!B:F,5,0))</f>
        <v>0.49</v>
      </c>
      <c r="AE489" s="102">
        <f t="shared" si="104"/>
        <v>149.94</v>
      </c>
      <c r="AF489" s="103">
        <v>45797</v>
      </c>
      <c r="AG489" s="91">
        <f t="shared" si="105"/>
        <v>31</v>
      </c>
      <c r="AH489" s="103">
        <v>45797</v>
      </c>
      <c r="AI489" s="103">
        <v>45841</v>
      </c>
      <c r="AJ489" s="96">
        <v>294</v>
      </c>
      <c r="AK489" s="91">
        <f t="shared" si="106"/>
        <v>44</v>
      </c>
      <c r="AL489" s="96">
        <f t="shared" si="109"/>
        <v>75</v>
      </c>
      <c r="AM489" s="92"/>
      <c r="AN489" s="91"/>
      <c r="AO489" s="91"/>
    </row>
    <row r="490" spans="1:41" ht="14.5" x14ac:dyDescent="0.25">
      <c r="A490" s="92" t="s">
        <v>941</v>
      </c>
      <c r="B490" s="91"/>
      <c r="C490" s="119" t="s">
        <v>939</v>
      </c>
      <c r="D490" s="120" t="s">
        <v>940</v>
      </c>
      <c r="E490" s="135" t="s">
        <v>97</v>
      </c>
      <c r="F490" s="135" t="s">
        <v>0</v>
      </c>
      <c r="G490" s="58" t="s">
        <v>93</v>
      </c>
      <c r="H490" s="119">
        <v>270</v>
      </c>
      <c r="I490" s="119" t="s">
        <v>89</v>
      </c>
      <c r="J490" s="119" t="s">
        <v>4</v>
      </c>
      <c r="K490" s="120" t="s">
        <v>17</v>
      </c>
      <c r="L490" s="93" t="s">
        <v>3015</v>
      </c>
      <c r="M490" s="94" t="s">
        <v>3288</v>
      </c>
      <c r="N490" s="95" t="s">
        <v>2821</v>
      </c>
      <c r="O490" s="122">
        <v>15</v>
      </c>
      <c r="P490" s="111">
        <f>683/32*O490</f>
        <v>320.15625</v>
      </c>
      <c r="Q490" s="122" t="s">
        <v>16</v>
      </c>
      <c r="R490" s="145">
        <v>16.899999999999999</v>
      </c>
      <c r="S490" s="95"/>
      <c r="T490" s="98"/>
      <c r="U490" s="125">
        <f>R490*P490+350/32*O490</f>
        <v>5574.703125</v>
      </c>
      <c r="V490" s="113">
        <f t="shared" si="112"/>
        <v>20.64704861111111</v>
      </c>
      <c r="W490" s="114">
        <f t="shared" si="113"/>
        <v>2.9495783730158727</v>
      </c>
      <c r="X490" s="95"/>
      <c r="Y490" s="95"/>
      <c r="Z490" s="102"/>
      <c r="AA490" s="103">
        <v>45766</v>
      </c>
      <c r="AB490" s="103">
        <v>45781</v>
      </c>
      <c r="AC490" s="91"/>
      <c r="AD490" s="102">
        <f>IF(ISNA(VLOOKUP(D490,亚马逊入库配置费!B:F,5,0)),0,VLOOKUP(D490,亚马逊入库配置费!B:F,5,0))</f>
        <v>0.49</v>
      </c>
      <c r="AE490" s="102">
        <f t="shared" si="104"/>
        <v>132.30000000000001</v>
      </c>
      <c r="AF490" s="103">
        <v>45797</v>
      </c>
      <c r="AG490" s="91">
        <f t="shared" si="105"/>
        <v>31</v>
      </c>
      <c r="AH490" s="103">
        <v>45797</v>
      </c>
      <c r="AI490" s="103">
        <v>45841</v>
      </c>
      <c r="AJ490" s="96">
        <v>297</v>
      </c>
      <c r="AK490" s="91">
        <f t="shared" si="106"/>
        <v>44</v>
      </c>
      <c r="AL490" s="96">
        <f t="shared" si="109"/>
        <v>75</v>
      </c>
      <c r="AM490" s="92"/>
      <c r="AN490" s="91"/>
      <c r="AO490" s="91"/>
    </row>
    <row r="491" spans="1:41" ht="14.5" x14ac:dyDescent="0.25">
      <c r="A491" s="92" t="s">
        <v>942</v>
      </c>
      <c r="B491" s="151" t="s">
        <v>3404</v>
      </c>
      <c r="C491" s="119" t="s">
        <v>943</v>
      </c>
      <c r="D491" s="120" t="s">
        <v>944</v>
      </c>
      <c r="E491" s="135" t="s">
        <v>97</v>
      </c>
      <c r="F491" s="135" t="s">
        <v>0</v>
      </c>
      <c r="G491" s="58" t="s">
        <v>161</v>
      </c>
      <c r="H491" s="119">
        <v>192</v>
      </c>
      <c r="I491" s="119" t="s">
        <v>207</v>
      </c>
      <c r="J491" s="119" t="s">
        <v>8</v>
      </c>
      <c r="K491" s="120" t="s">
        <v>17</v>
      </c>
      <c r="L491" s="93" t="s">
        <v>3024</v>
      </c>
      <c r="M491" s="94" t="s">
        <v>3301</v>
      </c>
      <c r="N491" s="95" t="s">
        <v>2870</v>
      </c>
      <c r="O491" s="122">
        <v>6</v>
      </c>
      <c r="P491" s="111">
        <f t="shared" ref="P491:P507" si="118">2526/170*O491</f>
        <v>89.152941176470591</v>
      </c>
      <c r="Q491" s="122" t="s">
        <v>16</v>
      </c>
      <c r="R491" s="124">
        <f>9.8-2.875</f>
        <v>6.9250000000000007</v>
      </c>
      <c r="S491" s="95"/>
      <c r="T491" s="98"/>
      <c r="U491" s="125">
        <f t="shared" ref="U491:U507" si="119">R491*P491+350/170*O491</f>
        <v>629.73705882352954</v>
      </c>
      <c r="V491" s="113">
        <f t="shared" si="112"/>
        <v>3.2798805147058832</v>
      </c>
      <c r="W491" s="114">
        <f t="shared" si="113"/>
        <v>0.46855435924369759</v>
      </c>
      <c r="X491" s="95"/>
      <c r="Y491" s="95"/>
      <c r="Z491" s="102"/>
      <c r="AA491" s="103">
        <v>45774</v>
      </c>
      <c r="AB491" s="103">
        <v>45793</v>
      </c>
      <c r="AC491" s="61"/>
      <c r="AD491" s="102">
        <f>IF(ISNA(VLOOKUP(D491,亚马逊入库配置费!B:F,5,0)),0,VLOOKUP(D491,亚马逊入库配置费!B:F,5,0))</f>
        <v>0.36478841870824102</v>
      </c>
      <c r="AE491" s="102">
        <f t="shared" si="104"/>
        <v>70.039376391982273</v>
      </c>
      <c r="AF491" s="103">
        <v>45807</v>
      </c>
      <c r="AG491" s="91">
        <f t="shared" si="105"/>
        <v>33</v>
      </c>
      <c r="AH491" s="103">
        <v>45807</v>
      </c>
      <c r="AI491" s="71">
        <v>45844</v>
      </c>
      <c r="AJ491" s="60">
        <v>192</v>
      </c>
      <c r="AK491" s="91">
        <f t="shared" si="106"/>
        <v>37</v>
      </c>
      <c r="AL491" s="96">
        <f t="shared" si="109"/>
        <v>70</v>
      </c>
      <c r="AM491" s="92"/>
      <c r="AN491" s="91"/>
      <c r="AO491" s="91"/>
    </row>
    <row r="492" spans="1:41" ht="14.5" x14ac:dyDescent="0.25">
      <c r="A492" s="92" t="s">
        <v>945</v>
      </c>
      <c r="B492" s="151" t="s">
        <v>3404</v>
      </c>
      <c r="C492" s="119" t="s">
        <v>943</v>
      </c>
      <c r="D492" s="120" t="s">
        <v>944</v>
      </c>
      <c r="E492" s="135" t="s">
        <v>97</v>
      </c>
      <c r="F492" s="135" t="s">
        <v>0</v>
      </c>
      <c r="G492" s="58" t="s">
        <v>163</v>
      </c>
      <c r="H492" s="119">
        <v>800</v>
      </c>
      <c r="I492" s="119" t="s">
        <v>207</v>
      </c>
      <c r="J492" s="119" t="s">
        <v>8</v>
      </c>
      <c r="K492" s="120" t="s">
        <v>17</v>
      </c>
      <c r="L492" s="93" t="s">
        <v>2881</v>
      </c>
      <c r="M492" s="94" t="s">
        <v>3302</v>
      </c>
      <c r="N492" s="95" t="s">
        <v>2870</v>
      </c>
      <c r="O492" s="122">
        <v>20</v>
      </c>
      <c r="P492" s="111">
        <f t="shared" si="118"/>
        <v>297.1764705882353</v>
      </c>
      <c r="Q492" s="122" t="s">
        <v>16</v>
      </c>
      <c r="R492" s="124">
        <f t="shared" ref="R492:R507" si="120">9.8-2.875</f>
        <v>6.9250000000000007</v>
      </c>
      <c r="S492" s="95"/>
      <c r="T492" s="98"/>
      <c r="U492" s="125">
        <f t="shared" si="119"/>
        <v>2099.123529411765</v>
      </c>
      <c r="V492" s="113">
        <f t="shared" si="112"/>
        <v>2.6239044117647063</v>
      </c>
      <c r="W492" s="114">
        <f t="shared" si="113"/>
        <v>0.37484348739495804</v>
      </c>
      <c r="X492" s="95"/>
      <c r="Y492" s="95"/>
      <c r="Z492" s="102"/>
      <c r="AA492" s="103">
        <v>45774</v>
      </c>
      <c r="AB492" s="103">
        <v>45793</v>
      </c>
      <c r="AC492" s="61"/>
      <c r="AD492" s="102">
        <f>IF(ISNA(VLOOKUP(D492,亚马逊入库配置费!B:F,5,0)),0,VLOOKUP(D492,亚马逊入库配置费!B:F,5,0))</f>
        <v>0.36478841870824102</v>
      </c>
      <c r="AE492" s="102">
        <f t="shared" si="104"/>
        <v>291.83073496659284</v>
      </c>
      <c r="AF492" s="103">
        <v>45807</v>
      </c>
      <c r="AG492" s="91">
        <f t="shared" si="105"/>
        <v>33</v>
      </c>
      <c r="AH492" s="103">
        <v>45807</v>
      </c>
      <c r="AI492" s="71">
        <v>45844</v>
      </c>
      <c r="AJ492" s="60">
        <v>796</v>
      </c>
      <c r="AK492" s="91">
        <f t="shared" si="106"/>
        <v>37</v>
      </c>
      <c r="AL492" s="96">
        <f t="shared" si="109"/>
        <v>70</v>
      </c>
      <c r="AM492" s="92"/>
      <c r="AN492" s="91"/>
      <c r="AO492" s="91"/>
    </row>
    <row r="493" spans="1:41" ht="14.5" x14ac:dyDescent="0.25">
      <c r="A493" s="92" t="s">
        <v>946</v>
      </c>
      <c r="B493" s="151" t="s">
        <v>3404</v>
      </c>
      <c r="C493" s="119" t="s">
        <v>943</v>
      </c>
      <c r="D493" s="120" t="s">
        <v>944</v>
      </c>
      <c r="E493" s="135" t="s">
        <v>97</v>
      </c>
      <c r="F493" s="135" t="s">
        <v>0</v>
      </c>
      <c r="G493" s="58" t="s">
        <v>352</v>
      </c>
      <c r="H493" s="119">
        <v>240</v>
      </c>
      <c r="I493" s="119" t="s">
        <v>207</v>
      </c>
      <c r="J493" s="119" t="s">
        <v>8</v>
      </c>
      <c r="K493" s="120" t="s">
        <v>17</v>
      </c>
      <c r="L493" s="93" t="s">
        <v>3049</v>
      </c>
      <c r="M493" s="94" t="s">
        <v>3336</v>
      </c>
      <c r="N493" s="95" t="s">
        <v>2870</v>
      </c>
      <c r="O493" s="122">
        <v>6</v>
      </c>
      <c r="P493" s="111">
        <f t="shared" si="118"/>
        <v>89.152941176470591</v>
      </c>
      <c r="Q493" s="122" t="s">
        <v>16</v>
      </c>
      <c r="R493" s="124">
        <f t="shared" si="120"/>
        <v>6.9250000000000007</v>
      </c>
      <c r="S493" s="95"/>
      <c r="T493" s="98"/>
      <c r="U493" s="125">
        <f t="shared" si="119"/>
        <v>629.73705882352954</v>
      </c>
      <c r="V493" s="113">
        <f t="shared" si="112"/>
        <v>2.6239044117647063</v>
      </c>
      <c r="W493" s="114">
        <f t="shared" si="113"/>
        <v>0.37484348739495804</v>
      </c>
      <c r="X493" s="95"/>
      <c r="Y493" s="95"/>
      <c r="Z493" s="102"/>
      <c r="AA493" s="103">
        <v>45774</v>
      </c>
      <c r="AB493" s="103">
        <v>45793</v>
      </c>
      <c r="AC493" s="61"/>
      <c r="AD493" s="102">
        <f>IF(ISNA(VLOOKUP(D493,亚马逊入库配置费!B:F,5,0)),0,VLOOKUP(D493,亚马逊入库配置费!B:F,5,0))</f>
        <v>0.36478841870824102</v>
      </c>
      <c r="AE493" s="102">
        <f t="shared" si="104"/>
        <v>87.549220489977841</v>
      </c>
      <c r="AF493" s="103">
        <v>45807</v>
      </c>
      <c r="AG493" s="91">
        <f t="shared" si="105"/>
        <v>33</v>
      </c>
      <c r="AH493" s="103">
        <v>45807</v>
      </c>
      <c r="AI493" s="71">
        <v>45844</v>
      </c>
      <c r="AJ493" s="60">
        <v>240</v>
      </c>
      <c r="AK493" s="91">
        <f t="shared" si="106"/>
        <v>37</v>
      </c>
      <c r="AL493" s="96">
        <f t="shared" si="109"/>
        <v>70</v>
      </c>
      <c r="AM493" s="92"/>
      <c r="AN493" s="91"/>
      <c r="AO493" s="91"/>
    </row>
    <row r="494" spans="1:41" ht="14.5" x14ac:dyDescent="0.25">
      <c r="A494" s="92" t="s">
        <v>947</v>
      </c>
      <c r="B494" s="151" t="s">
        <v>3404</v>
      </c>
      <c r="C494" s="119" t="s">
        <v>943</v>
      </c>
      <c r="D494" s="120" t="s">
        <v>944</v>
      </c>
      <c r="E494" s="135" t="s">
        <v>97</v>
      </c>
      <c r="F494" s="135" t="s">
        <v>0</v>
      </c>
      <c r="G494" s="58" t="s">
        <v>876</v>
      </c>
      <c r="H494" s="119">
        <v>280</v>
      </c>
      <c r="I494" s="119" t="s">
        <v>207</v>
      </c>
      <c r="J494" s="119" t="s">
        <v>8</v>
      </c>
      <c r="K494" s="120" t="s">
        <v>17</v>
      </c>
      <c r="L494" s="93" t="s">
        <v>876</v>
      </c>
      <c r="M494" s="94" t="s">
        <v>3400</v>
      </c>
      <c r="N494" s="95" t="s">
        <v>2870</v>
      </c>
      <c r="O494" s="122">
        <v>7</v>
      </c>
      <c r="P494" s="111">
        <f t="shared" si="118"/>
        <v>104.01176470588236</v>
      </c>
      <c r="Q494" s="122" t="s">
        <v>16</v>
      </c>
      <c r="R494" s="124">
        <f t="shared" si="120"/>
        <v>6.9250000000000007</v>
      </c>
      <c r="S494" s="95"/>
      <c r="T494" s="98"/>
      <c r="U494" s="125">
        <f t="shared" si="119"/>
        <v>734.6932352941177</v>
      </c>
      <c r="V494" s="113">
        <f t="shared" si="112"/>
        <v>2.6239044117647059</v>
      </c>
      <c r="W494" s="114">
        <f t="shared" si="113"/>
        <v>0.37484348739495799</v>
      </c>
      <c r="X494" s="95"/>
      <c r="Y494" s="95"/>
      <c r="Z494" s="102"/>
      <c r="AA494" s="103">
        <v>45774</v>
      </c>
      <c r="AB494" s="103">
        <v>45793</v>
      </c>
      <c r="AC494" s="61"/>
      <c r="AD494" s="102">
        <f>IF(ISNA(VLOOKUP(D494,亚马逊入库配置费!B:F,5,0)),0,VLOOKUP(D494,亚马逊入库配置费!B:F,5,0))</f>
        <v>0.36478841870824102</v>
      </c>
      <c r="AE494" s="102">
        <f t="shared" si="104"/>
        <v>102.14075723830749</v>
      </c>
      <c r="AF494" s="103">
        <v>45807</v>
      </c>
      <c r="AG494" s="91">
        <f t="shared" si="105"/>
        <v>33</v>
      </c>
      <c r="AH494" s="103">
        <v>45807</v>
      </c>
      <c r="AI494" s="71">
        <v>45844</v>
      </c>
      <c r="AJ494" s="60">
        <v>279</v>
      </c>
      <c r="AK494" s="91">
        <f t="shared" si="106"/>
        <v>37</v>
      </c>
      <c r="AL494" s="96">
        <f t="shared" si="109"/>
        <v>70</v>
      </c>
      <c r="AM494" s="92"/>
      <c r="AN494" s="91"/>
      <c r="AO494" s="91"/>
    </row>
    <row r="495" spans="1:41" ht="14.5" x14ac:dyDescent="0.25">
      <c r="A495" s="92" t="s">
        <v>948</v>
      </c>
      <c r="B495" s="151" t="s">
        <v>3404</v>
      </c>
      <c r="C495" s="119" t="s">
        <v>943</v>
      </c>
      <c r="D495" s="120" t="s">
        <v>944</v>
      </c>
      <c r="E495" s="135" t="s">
        <v>97</v>
      </c>
      <c r="F495" s="135" t="s">
        <v>0</v>
      </c>
      <c r="G495" s="58" t="s">
        <v>165</v>
      </c>
      <c r="H495" s="119">
        <v>1000</v>
      </c>
      <c r="I495" s="119" t="s">
        <v>207</v>
      </c>
      <c r="J495" s="119" t="s">
        <v>8</v>
      </c>
      <c r="K495" s="120" t="s">
        <v>17</v>
      </c>
      <c r="L495" s="93" t="s">
        <v>2880</v>
      </c>
      <c r="M495" s="94" t="s">
        <v>3209</v>
      </c>
      <c r="N495" s="95" t="s">
        <v>2870</v>
      </c>
      <c r="O495" s="122">
        <v>25</v>
      </c>
      <c r="P495" s="111">
        <f t="shared" si="118"/>
        <v>371.47058823529414</v>
      </c>
      <c r="Q495" s="122" t="s">
        <v>16</v>
      </c>
      <c r="R495" s="124">
        <f t="shared" si="120"/>
        <v>6.9250000000000007</v>
      </c>
      <c r="S495" s="95"/>
      <c r="T495" s="98"/>
      <c r="U495" s="125">
        <f t="shared" si="119"/>
        <v>2623.9044117647063</v>
      </c>
      <c r="V495" s="113">
        <f t="shared" si="112"/>
        <v>2.6239044117647063</v>
      </c>
      <c r="W495" s="114">
        <f t="shared" si="113"/>
        <v>0.37484348739495804</v>
      </c>
      <c r="X495" s="95"/>
      <c r="Y495" s="95"/>
      <c r="Z495" s="102"/>
      <c r="AA495" s="103">
        <v>45774</v>
      </c>
      <c r="AB495" s="103">
        <v>45793</v>
      </c>
      <c r="AC495" s="91"/>
      <c r="AD495" s="102">
        <f>IF(ISNA(VLOOKUP(D495,亚马逊入库配置费!B:F,5,0)),0,VLOOKUP(D495,亚马逊入库配置费!B:F,5,0))</f>
        <v>0.36478841870824102</v>
      </c>
      <c r="AE495" s="102">
        <f t="shared" si="104"/>
        <v>364.78841870824101</v>
      </c>
      <c r="AF495" s="103">
        <v>45807</v>
      </c>
      <c r="AG495" s="91">
        <f t="shared" si="105"/>
        <v>33</v>
      </c>
      <c r="AH495" s="103">
        <v>45807</v>
      </c>
      <c r="AI495" s="103">
        <v>45844</v>
      </c>
      <c r="AJ495" s="96">
        <v>1016</v>
      </c>
      <c r="AK495" s="91">
        <f t="shared" si="106"/>
        <v>37</v>
      </c>
      <c r="AL495" s="96">
        <f t="shared" si="109"/>
        <v>70</v>
      </c>
      <c r="AM495" s="92"/>
      <c r="AN495" s="91"/>
      <c r="AO495" s="91"/>
    </row>
    <row r="496" spans="1:41" ht="14.5" x14ac:dyDescent="0.25">
      <c r="A496" s="92" t="s">
        <v>949</v>
      </c>
      <c r="B496" s="151" t="s">
        <v>3404</v>
      </c>
      <c r="C496" s="119" t="s">
        <v>943</v>
      </c>
      <c r="D496" s="120" t="s">
        <v>944</v>
      </c>
      <c r="E496" s="135" t="s">
        <v>97</v>
      </c>
      <c r="F496" s="135" t="s">
        <v>0</v>
      </c>
      <c r="G496" s="58" t="s">
        <v>167</v>
      </c>
      <c r="H496" s="119">
        <v>900</v>
      </c>
      <c r="I496" s="119" t="s">
        <v>207</v>
      </c>
      <c r="J496" s="119" t="s">
        <v>8</v>
      </c>
      <c r="K496" s="120" t="s">
        <v>17</v>
      </c>
      <c r="L496" s="93" t="s">
        <v>3025</v>
      </c>
      <c r="M496" s="94" t="s">
        <v>3210</v>
      </c>
      <c r="N496" s="95" t="s">
        <v>2876</v>
      </c>
      <c r="O496" s="122">
        <v>30</v>
      </c>
      <c r="P496" s="111">
        <f t="shared" si="118"/>
        <v>445.76470588235293</v>
      </c>
      <c r="Q496" s="122" t="s">
        <v>16</v>
      </c>
      <c r="R496" s="124">
        <f t="shared" si="120"/>
        <v>6.9250000000000007</v>
      </c>
      <c r="S496" s="95"/>
      <c r="T496" s="98"/>
      <c r="U496" s="125">
        <f t="shared" si="119"/>
        <v>3148.6852941176476</v>
      </c>
      <c r="V496" s="113">
        <f t="shared" si="112"/>
        <v>3.4985392156862751</v>
      </c>
      <c r="W496" s="114">
        <f t="shared" si="113"/>
        <v>0.49979131652661074</v>
      </c>
      <c r="X496" s="95"/>
      <c r="Y496" s="95"/>
      <c r="Z496" s="102"/>
      <c r="AA496" s="103">
        <v>45774</v>
      </c>
      <c r="AB496" s="103">
        <v>45793</v>
      </c>
      <c r="AC496" s="91"/>
      <c r="AD496" s="102">
        <f>IF(ISNA(VLOOKUP(D496,亚马逊入库配置费!B:F,5,0)),0,VLOOKUP(D496,亚马逊入库配置费!B:F,5,0))</f>
        <v>0.36478841870824102</v>
      </c>
      <c r="AE496" s="102">
        <f t="shared" si="104"/>
        <v>328.3095768374169</v>
      </c>
      <c r="AF496" s="103">
        <v>45807</v>
      </c>
      <c r="AG496" s="91">
        <f t="shared" si="105"/>
        <v>33</v>
      </c>
      <c r="AH496" s="103">
        <v>45807</v>
      </c>
      <c r="AI496" s="103">
        <v>45844</v>
      </c>
      <c r="AJ496" s="96">
        <v>900</v>
      </c>
      <c r="AK496" s="91">
        <f t="shared" si="106"/>
        <v>37</v>
      </c>
      <c r="AL496" s="96">
        <f t="shared" si="109"/>
        <v>70</v>
      </c>
      <c r="AM496" s="92"/>
      <c r="AN496" s="91"/>
      <c r="AO496" s="91"/>
    </row>
    <row r="497" spans="1:41" ht="14.5" x14ac:dyDescent="0.25">
      <c r="A497" s="92" t="s">
        <v>950</v>
      </c>
      <c r="B497" s="151" t="s">
        <v>3404</v>
      </c>
      <c r="C497" s="119" t="s">
        <v>943</v>
      </c>
      <c r="D497" s="120" t="s">
        <v>944</v>
      </c>
      <c r="E497" s="135" t="s">
        <v>97</v>
      </c>
      <c r="F497" s="135" t="s">
        <v>0</v>
      </c>
      <c r="G497" s="58" t="s">
        <v>169</v>
      </c>
      <c r="H497" s="119">
        <v>180</v>
      </c>
      <c r="I497" s="119" t="s">
        <v>207</v>
      </c>
      <c r="J497" s="119" t="s">
        <v>8</v>
      </c>
      <c r="K497" s="120" t="s">
        <v>17</v>
      </c>
      <c r="L497" s="93" t="s">
        <v>3026</v>
      </c>
      <c r="M497" s="94" t="s">
        <v>3211</v>
      </c>
      <c r="N497" s="95" t="s">
        <v>2876</v>
      </c>
      <c r="O497" s="122">
        <v>6</v>
      </c>
      <c r="P497" s="111">
        <f t="shared" si="118"/>
        <v>89.152941176470591</v>
      </c>
      <c r="Q497" s="122" t="s">
        <v>16</v>
      </c>
      <c r="R497" s="124">
        <f t="shared" si="120"/>
        <v>6.9250000000000007</v>
      </c>
      <c r="S497" s="95"/>
      <c r="T497" s="98"/>
      <c r="U497" s="125">
        <f t="shared" si="119"/>
        <v>629.73705882352954</v>
      </c>
      <c r="V497" s="113">
        <f t="shared" si="112"/>
        <v>3.4985392156862751</v>
      </c>
      <c r="W497" s="114">
        <f t="shared" si="113"/>
        <v>0.49979131652661074</v>
      </c>
      <c r="X497" s="95"/>
      <c r="Y497" s="95"/>
      <c r="Z497" s="102"/>
      <c r="AA497" s="103">
        <v>45774</v>
      </c>
      <c r="AB497" s="103">
        <v>45793</v>
      </c>
      <c r="AC497" s="91"/>
      <c r="AD497" s="102">
        <f>IF(ISNA(VLOOKUP(D497,亚马逊入库配置费!B:F,5,0)),0,VLOOKUP(D497,亚马逊入库配置费!B:F,5,0))</f>
        <v>0.36478841870824102</v>
      </c>
      <c r="AE497" s="102">
        <f t="shared" si="104"/>
        <v>65.661915367483388</v>
      </c>
      <c r="AF497" s="103">
        <v>45807</v>
      </c>
      <c r="AG497" s="91">
        <f t="shared" si="105"/>
        <v>33</v>
      </c>
      <c r="AH497" s="103">
        <v>45807</v>
      </c>
      <c r="AI497" s="103">
        <v>45844</v>
      </c>
      <c r="AJ497" s="96">
        <v>180</v>
      </c>
      <c r="AK497" s="91">
        <f t="shared" si="106"/>
        <v>37</v>
      </c>
      <c r="AL497" s="96">
        <f t="shared" si="109"/>
        <v>70</v>
      </c>
      <c r="AM497" s="92"/>
      <c r="AN497" s="91"/>
      <c r="AO497" s="91"/>
    </row>
    <row r="498" spans="1:41" ht="14.5" x14ac:dyDescent="0.25">
      <c r="A498" s="92" t="s">
        <v>951</v>
      </c>
      <c r="B498" s="151" t="s">
        <v>3404</v>
      </c>
      <c r="C498" s="119" t="s">
        <v>943</v>
      </c>
      <c r="D498" s="120" t="s">
        <v>952</v>
      </c>
      <c r="E498" s="135" t="s">
        <v>97</v>
      </c>
      <c r="F498" s="135" t="s">
        <v>0</v>
      </c>
      <c r="G498" s="58" t="s">
        <v>953</v>
      </c>
      <c r="H498" s="119">
        <v>600</v>
      </c>
      <c r="I498" s="119" t="s">
        <v>207</v>
      </c>
      <c r="J498" s="119" t="s">
        <v>8</v>
      </c>
      <c r="K498" s="120" t="s">
        <v>17</v>
      </c>
      <c r="L498" s="93" t="s">
        <v>953</v>
      </c>
      <c r="M498" s="94" t="s">
        <v>3405</v>
      </c>
      <c r="N498" s="95" t="s">
        <v>3086</v>
      </c>
      <c r="O498" s="122">
        <v>20</v>
      </c>
      <c r="P498" s="111">
        <f t="shared" si="118"/>
        <v>297.1764705882353</v>
      </c>
      <c r="Q498" s="122" t="s">
        <v>16</v>
      </c>
      <c r="R498" s="124">
        <f t="shared" si="120"/>
        <v>6.9250000000000007</v>
      </c>
      <c r="S498" s="95"/>
      <c r="T498" s="98"/>
      <c r="U498" s="125">
        <f t="shared" si="119"/>
        <v>2099.123529411765</v>
      </c>
      <c r="V498" s="113">
        <f t="shared" si="112"/>
        <v>3.4985392156862751</v>
      </c>
      <c r="W498" s="114">
        <f t="shared" si="113"/>
        <v>0.49979131652661074</v>
      </c>
      <c r="X498" s="95"/>
      <c r="Y498" s="95"/>
      <c r="Z498" s="102"/>
      <c r="AA498" s="103">
        <v>45774</v>
      </c>
      <c r="AB498" s="103">
        <v>45793</v>
      </c>
      <c r="AC498" s="91"/>
      <c r="AD498" s="102">
        <f>IF(ISNA(VLOOKUP(D498,亚马逊入库配置费!B:F,5,0)),0,VLOOKUP(D498,亚马逊入库配置费!B:F,5,0))</f>
        <v>0.41</v>
      </c>
      <c r="AE498" s="102">
        <f t="shared" si="104"/>
        <v>245.99999999999997</v>
      </c>
      <c r="AF498" s="103">
        <v>45807</v>
      </c>
      <c r="AG498" s="91">
        <f t="shared" si="105"/>
        <v>33</v>
      </c>
      <c r="AH498" s="103">
        <v>45807</v>
      </c>
      <c r="AI498" s="103">
        <v>45843</v>
      </c>
      <c r="AJ498" s="96">
        <v>600</v>
      </c>
      <c r="AK498" s="91">
        <f t="shared" si="106"/>
        <v>36</v>
      </c>
      <c r="AL498" s="96">
        <f t="shared" si="109"/>
        <v>69</v>
      </c>
      <c r="AM498" s="92"/>
      <c r="AN498" s="91"/>
      <c r="AO498" s="91"/>
    </row>
    <row r="499" spans="1:41" ht="14.5" x14ac:dyDescent="0.25">
      <c r="A499" s="92" t="s">
        <v>954</v>
      </c>
      <c r="B499" s="151" t="s">
        <v>3404</v>
      </c>
      <c r="C499" s="119" t="s">
        <v>943</v>
      </c>
      <c r="D499" s="120" t="s">
        <v>952</v>
      </c>
      <c r="E499" s="135" t="s">
        <v>97</v>
      </c>
      <c r="F499" s="135" t="s">
        <v>0</v>
      </c>
      <c r="G499" s="58" t="s">
        <v>955</v>
      </c>
      <c r="H499" s="119">
        <v>60</v>
      </c>
      <c r="I499" s="119" t="s">
        <v>207</v>
      </c>
      <c r="J499" s="119" t="s">
        <v>8</v>
      </c>
      <c r="K499" s="120" t="s">
        <v>17</v>
      </c>
      <c r="L499" s="93" t="s">
        <v>955</v>
      </c>
      <c r="M499" s="94" t="s">
        <v>3406</v>
      </c>
      <c r="N499" s="95" t="s">
        <v>3086</v>
      </c>
      <c r="O499" s="122">
        <v>2</v>
      </c>
      <c r="P499" s="111">
        <f t="shared" si="118"/>
        <v>29.71764705882353</v>
      </c>
      <c r="Q499" s="122" t="s">
        <v>16</v>
      </c>
      <c r="R499" s="124">
        <f t="shared" si="120"/>
        <v>6.9250000000000007</v>
      </c>
      <c r="S499" s="95"/>
      <c r="T499" s="98"/>
      <c r="U499" s="125">
        <f t="shared" si="119"/>
        <v>209.91235294117649</v>
      </c>
      <c r="V499" s="113">
        <f t="shared" si="112"/>
        <v>3.4985392156862747</v>
      </c>
      <c r="W499" s="114">
        <f t="shared" si="113"/>
        <v>0.49979131652661068</v>
      </c>
      <c r="X499" s="95"/>
      <c r="Y499" s="95"/>
      <c r="Z499" s="102"/>
      <c r="AA499" s="103">
        <v>45774</v>
      </c>
      <c r="AB499" s="103">
        <v>45793</v>
      </c>
      <c r="AC499" s="91"/>
      <c r="AD499" s="102">
        <f>IF(ISNA(VLOOKUP(D499,亚马逊入库配置费!B:F,5,0)),0,VLOOKUP(D499,亚马逊入库配置费!B:F,5,0))</f>
        <v>0.41</v>
      </c>
      <c r="AE499" s="102">
        <f t="shared" si="104"/>
        <v>24.599999999999998</v>
      </c>
      <c r="AF499" s="103">
        <v>45807</v>
      </c>
      <c r="AG499" s="91">
        <f t="shared" si="105"/>
        <v>33</v>
      </c>
      <c r="AH499" s="103">
        <v>45807</v>
      </c>
      <c r="AI499" s="103">
        <v>45843</v>
      </c>
      <c r="AJ499" s="96">
        <v>60</v>
      </c>
      <c r="AK499" s="91">
        <f t="shared" si="106"/>
        <v>36</v>
      </c>
      <c r="AL499" s="96">
        <f t="shared" si="109"/>
        <v>69</v>
      </c>
      <c r="AM499" s="92"/>
      <c r="AN499" s="91"/>
      <c r="AO499" s="91"/>
    </row>
    <row r="500" spans="1:41" ht="14.5" x14ac:dyDescent="0.25">
      <c r="A500" s="92" t="s">
        <v>956</v>
      </c>
      <c r="B500" s="151" t="s">
        <v>3404</v>
      </c>
      <c r="C500" s="119" t="s">
        <v>943</v>
      </c>
      <c r="D500" s="120" t="s">
        <v>952</v>
      </c>
      <c r="E500" s="135" t="s">
        <v>97</v>
      </c>
      <c r="F500" s="135" t="s">
        <v>0</v>
      </c>
      <c r="G500" s="58" t="s">
        <v>957</v>
      </c>
      <c r="H500" s="119">
        <v>300</v>
      </c>
      <c r="I500" s="119" t="s">
        <v>207</v>
      </c>
      <c r="J500" s="119" t="s">
        <v>8</v>
      </c>
      <c r="K500" s="120" t="s">
        <v>17</v>
      </c>
      <c r="L500" s="93" t="s">
        <v>957</v>
      </c>
      <c r="M500" s="94" t="s">
        <v>3407</v>
      </c>
      <c r="N500" s="95" t="s">
        <v>3086</v>
      </c>
      <c r="O500" s="122">
        <v>10</v>
      </c>
      <c r="P500" s="111">
        <f t="shared" si="118"/>
        <v>148.58823529411765</v>
      </c>
      <c r="Q500" s="122" t="s">
        <v>16</v>
      </c>
      <c r="R500" s="124">
        <f t="shared" si="120"/>
        <v>6.9250000000000007</v>
      </c>
      <c r="S500" s="95"/>
      <c r="T500" s="98"/>
      <c r="U500" s="125">
        <f t="shared" si="119"/>
        <v>1049.5617647058825</v>
      </c>
      <c r="V500" s="113">
        <f t="shared" si="112"/>
        <v>3.4985392156862751</v>
      </c>
      <c r="W500" s="114">
        <f t="shared" si="113"/>
        <v>0.49979131652661074</v>
      </c>
      <c r="X500" s="95"/>
      <c r="Y500" s="95"/>
      <c r="Z500" s="102"/>
      <c r="AA500" s="103">
        <v>45774</v>
      </c>
      <c r="AB500" s="103">
        <v>45793</v>
      </c>
      <c r="AC500" s="91"/>
      <c r="AD500" s="102">
        <f>IF(ISNA(VLOOKUP(D500,亚马逊入库配置费!B:F,5,0)),0,VLOOKUP(D500,亚马逊入库配置费!B:F,5,0))</f>
        <v>0.41</v>
      </c>
      <c r="AE500" s="102">
        <f t="shared" si="104"/>
        <v>122.99999999999999</v>
      </c>
      <c r="AF500" s="103">
        <v>45807</v>
      </c>
      <c r="AG500" s="91">
        <f t="shared" si="105"/>
        <v>33</v>
      </c>
      <c r="AH500" s="103">
        <v>45807</v>
      </c>
      <c r="AI500" s="103">
        <v>45843</v>
      </c>
      <c r="AJ500" s="96">
        <v>300</v>
      </c>
      <c r="AK500" s="91">
        <f t="shared" si="106"/>
        <v>36</v>
      </c>
      <c r="AL500" s="96">
        <f t="shared" si="109"/>
        <v>69</v>
      </c>
      <c r="AM500" s="92"/>
      <c r="AN500" s="91"/>
      <c r="AO500" s="91"/>
    </row>
    <row r="501" spans="1:41" ht="14.5" x14ac:dyDescent="0.25">
      <c r="A501" s="92" t="s">
        <v>958</v>
      </c>
      <c r="B501" s="151" t="s">
        <v>3404</v>
      </c>
      <c r="C501" s="119" t="s">
        <v>943</v>
      </c>
      <c r="D501" s="120" t="s">
        <v>952</v>
      </c>
      <c r="E501" s="135" t="s">
        <v>97</v>
      </c>
      <c r="F501" s="135" t="s">
        <v>0</v>
      </c>
      <c r="G501" s="58" t="s">
        <v>959</v>
      </c>
      <c r="H501" s="119">
        <v>120</v>
      </c>
      <c r="I501" s="119" t="s">
        <v>207</v>
      </c>
      <c r="J501" s="119" t="s">
        <v>8</v>
      </c>
      <c r="K501" s="120" t="s">
        <v>17</v>
      </c>
      <c r="L501" s="93" t="s">
        <v>959</v>
      </c>
      <c r="M501" s="94" t="s">
        <v>3408</v>
      </c>
      <c r="N501" s="95" t="s">
        <v>3086</v>
      </c>
      <c r="O501" s="122">
        <v>4</v>
      </c>
      <c r="P501" s="111">
        <f t="shared" si="118"/>
        <v>59.435294117647061</v>
      </c>
      <c r="Q501" s="122" t="s">
        <v>16</v>
      </c>
      <c r="R501" s="124">
        <f t="shared" si="120"/>
        <v>6.9250000000000007</v>
      </c>
      <c r="S501" s="95"/>
      <c r="T501" s="98"/>
      <c r="U501" s="125">
        <f t="shared" si="119"/>
        <v>419.82470588235299</v>
      </c>
      <c r="V501" s="113">
        <f t="shared" si="112"/>
        <v>3.4985392156862747</v>
      </c>
      <c r="W501" s="114">
        <f t="shared" si="113"/>
        <v>0.49979131652661068</v>
      </c>
      <c r="X501" s="95"/>
      <c r="Y501" s="95"/>
      <c r="Z501" s="102"/>
      <c r="AA501" s="103">
        <v>45774</v>
      </c>
      <c r="AB501" s="103">
        <v>45793</v>
      </c>
      <c r="AC501" s="103"/>
      <c r="AD501" s="102">
        <f>IF(ISNA(VLOOKUP(D501,亚马逊入库配置费!B:F,5,0)),0,VLOOKUP(D501,亚马逊入库配置费!B:F,5,0))</f>
        <v>0.41</v>
      </c>
      <c r="AE501" s="102">
        <f t="shared" si="104"/>
        <v>49.199999999999996</v>
      </c>
      <c r="AF501" s="103">
        <v>45807</v>
      </c>
      <c r="AG501" s="91">
        <f t="shared" si="105"/>
        <v>33</v>
      </c>
      <c r="AH501" s="103">
        <v>45807</v>
      </c>
      <c r="AI501" s="103">
        <v>45843</v>
      </c>
      <c r="AJ501" s="96">
        <v>120</v>
      </c>
      <c r="AK501" s="91">
        <f t="shared" si="106"/>
        <v>36</v>
      </c>
      <c r="AL501" s="96">
        <f t="shared" si="109"/>
        <v>69</v>
      </c>
      <c r="AM501" s="92"/>
      <c r="AN501" s="91"/>
      <c r="AO501" s="91"/>
    </row>
    <row r="502" spans="1:41" ht="14.5" x14ac:dyDescent="0.25">
      <c r="A502" s="92" t="s">
        <v>960</v>
      </c>
      <c r="B502" s="151" t="s">
        <v>3404</v>
      </c>
      <c r="C502" s="119" t="s">
        <v>943</v>
      </c>
      <c r="D502" s="120" t="s">
        <v>952</v>
      </c>
      <c r="E502" s="135" t="s">
        <v>97</v>
      </c>
      <c r="F502" s="135" t="s">
        <v>0</v>
      </c>
      <c r="G502" s="58" t="s">
        <v>961</v>
      </c>
      <c r="H502" s="119">
        <v>120</v>
      </c>
      <c r="I502" s="119" t="s">
        <v>207</v>
      </c>
      <c r="J502" s="119" t="s">
        <v>8</v>
      </c>
      <c r="K502" s="120" t="s">
        <v>17</v>
      </c>
      <c r="L502" s="93" t="s">
        <v>961</v>
      </c>
      <c r="M502" s="94" t="s">
        <v>3409</v>
      </c>
      <c r="N502" s="95" t="s">
        <v>3086</v>
      </c>
      <c r="O502" s="122">
        <v>4</v>
      </c>
      <c r="P502" s="111">
        <f t="shared" si="118"/>
        <v>59.435294117647061</v>
      </c>
      <c r="Q502" s="122" t="s">
        <v>16</v>
      </c>
      <c r="R502" s="124">
        <f t="shared" si="120"/>
        <v>6.9250000000000007</v>
      </c>
      <c r="S502" s="95"/>
      <c r="T502" s="98"/>
      <c r="U502" s="125">
        <f t="shared" si="119"/>
        <v>419.82470588235299</v>
      </c>
      <c r="V502" s="113">
        <f t="shared" si="112"/>
        <v>3.4985392156862747</v>
      </c>
      <c r="W502" s="114">
        <f t="shared" si="113"/>
        <v>0.49979131652661068</v>
      </c>
      <c r="X502" s="95"/>
      <c r="Y502" s="95"/>
      <c r="Z502" s="102"/>
      <c r="AA502" s="103">
        <v>45774</v>
      </c>
      <c r="AB502" s="103">
        <v>45793</v>
      </c>
      <c r="AC502" s="103"/>
      <c r="AD502" s="102">
        <f>IF(ISNA(VLOOKUP(D502,亚马逊入库配置费!B:F,5,0)),0,VLOOKUP(D502,亚马逊入库配置费!B:F,5,0))</f>
        <v>0.41</v>
      </c>
      <c r="AE502" s="102">
        <f t="shared" si="104"/>
        <v>49.199999999999996</v>
      </c>
      <c r="AF502" s="103">
        <v>45807</v>
      </c>
      <c r="AG502" s="91">
        <f t="shared" si="105"/>
        <v>33</v>
      </c>
      <c r="AH502" s="103">
        <v>45807</v>
      </c>
      <c r="AI502" s="103">
        <v>45843</v>
      </c>
      <c r="AJ502" s="96">
        <v>120</v>
      </c>
      <c r="AK502" s="91">
        <f t="shared" si="106"/>
        <v>36</v>
      </c>
      <c r="AL502" s="96">
        <f t="shared" si="109"/>
        <v>69</v>
      </c>
      <c r="AM502" s="92"/>
      <c r="AN502" s="91"/>
      <c r="AO502" s="91"/>
    </row>
    <row r="503" spans="1:41" ht="14.5" x14ac:dyDescent="0.25">
      <c r="A503" s="92" t="s">
        <v>962</v>
      </c>
      <c r="B503" s="151" t="s">
        <v>3404</v>
      </c>
      <c r="C503" s="119" t="s">
        <v>943</v>
      </c>
      <c r="D503" s="120" t="s">
        <v>952</v>
      </c>
      <c r="E503" s="135" t="s">
        <v>97</v>
      </c>
      <c r="F503" s="135" t="s">
        <v>0</v>
      </c>
      <c r="G503" s="58" t="s">
        <v>963</v>
      </c>
      <c r="H503" s="119">
        <v>300</v>
      </c>
      <c r="I503" s="119" t="s">
        <v>207</v>
      </c>
      <c r="J503" s="119" t="s">
        <v>8</v>
      </c>
      <c r="K503" s="120" t="s">
        <v>17</v>
      </c>
      <c r="L503" s="93" t="s">
        <v>963</v>
      </c>
      <c r="M503" s="94" t="s">
        <v>3410</v>
      </c>
      <c r="N503" s="95" t="s">
        <v>3086</v>
      </c>
      <c r="O503" s="122">
        <v>10</v>
      </c>
      <c r="P503" s="111">
        <f t="shared" si="118"/>
        <v>148.58823529411765</v>
      </c>
      <c r="Q503" s="122" t="s">
        <v>16</v>
      </c>
      <c r="R503" s="124">
        <f t="shared" si="120"/>
        <v>6.9250000000000007</v>
      </c>
      <c r="S503" s="95"/>
      <c r="T503" s="98"/>
      <c r="U503" s="125">
        <f t="shared" si="119"/>
        <v>1049.5617647058825</v>
      </c>
      <c r="V503" s="113">
        <f t="shared" si="112"/>
        <v>3.4985392156862751</v>
      </c>
      <c r="W503" s="114">
        <f t="shared" si="113"/>
        <v>0.49979131652661074</v>
      </c>
      <c r="X503" s="95"/>
      <c r="Y503" s="95"/>
      <c r="Z503" s="102"/>
      <c r="AA503" s="103">
        <v>45774</v>
      </c>
      <c r="AB503" s="103">
        <v>45793</v>
      </c>
      <c r="AC503" s="103"/>
      <c r="AD503" s="102">
        <f>IF(ISNA(VLOOKUP(D503,亚马逊入库配置费!B:F,5,0)),0,VLOOKUP(D503,亚马逊入库配置费!B:F,5,0))</f>
        <v>0.41</v>
      </c>
      <c r="AE503" s="102">
        <f t="shared" si="104"/>
        <v>122.99999999999999</v>
      </c>
      <c r="AF503" s="103">
        <v>45807</v>
      </c>
      <c r="AG503" s="91">
        <f t="shared" si="105"/>
        <v>33</v>
      </c>
      <c r="AH503" s="103">
        <v>45807</v>
      </c>
      <c r="AI503" s="103">
        <v>45843</v>
      </c>
      <c r="AJ503" s="96">
        <v>300</v>
      </c>
      <c r="AK503" s="91">
        <f t="shared" si="106"/>
        <v>36</v>
      </c>
      <c r="AL503" s="96">
        <f t="shared" si="109"/>
        <v>69</v>
      </c>
      <c r="AM503" s="92"/>
      <c r="AN503" s="91"/>
      <c r="AO503" s="91"/>
    </row>
    <row r="504" spans="1:41" ht="14.5" x14ac:dyDescent="0.25">
      <c r="A504" s="92" t="s">
        <v>964</v>
      </c>
      <c r="B504" s="151" t="s">
        <v>3404</v>
      </c>
      <c r="C504" s="119" t="s">
        <v>943</v>
      </c>
      <c r="D504" s="120" t="s">
        <v>952</v>
      </c>
      <c r="E504" s="135" t="s">
        <v>97</v>
      </c>
      <c r="F504" s="135" t="s">
        <v>0</v>
      </c>
      <c r="G504" s="58" t="s">
        <v>965</v>
      </c>
      <c r="H504" s="119">
        <v>90</v>
      </c>
      <c r="I504" s="119" t="s">
        <v>207</v>
      </c>
      <c r="J504" s="119" t="s">
        <v>8</v>
      </c>
      <c r="K504" s="120" t="s">
        <v>17</v>
      </c>
      <c r="L504" s="93" t="s">
        <v>965</v>
      </c>
      <c r="M504" s="94" t="s">
        <v>3411</v>
      </c>
      <c r="N504" s="95" t="s">
        <v>3086</v>
      </c>
      <c r="O504" s="122">
        <v>3</v>
      </c>
      <c r="P504" s="111">
        <f t="shared" si="118"/>
        <v>44.576470588235296</v>
      </c>
      <c r="Q504" s="122" t="s">
        <v>16</v>
      </c>
      <c r="R504" s="124">
        <f t="shared" si="120"/>
        <v>6.9250000000000007</v>
      </c>
      <c r="S504" s="95"/>
      <c r="T504" s="98"/>
      <c r="U504" s="125">
        <f t="shared" si="119"/>
        <v>314.86852941176477</v>
      </c>
      <c r="V504" s="113">
        <f t="shared" si="112"/>
        <v>3.4985392156862751</v>
      </c>
      <c r="W504" s="114">
        <f t="shared" si="113"/>
        <v>0.49979131652661074</v>
      </c>
      <c r="X504" s="95"/>
      <c r="Y504" s="95"/>
      <c r="Z504" s="102"/>
      <c r="AA504" s="103">
        <v>45774</v>
      </c>
      <c r="AB504" s="103">
        <v>45793</v>
      </c>
      <c r="AC504" s="103"/>
      <c r="AD504" s="102">
        <f>IF(ISNA(VLOOKUP(D504,亚马逊入库配置费!B:F,5,0)),0,VLOOKUP(D504,亚马逊入库配置费!B:F,5,0))</f>
        <v>0.41</v>
      </c>
      <c r="AE504" s="102">
        <f t="shared" si="104"/>
        <v>36.9</v>
      </c>
      <c r="AF504" s="103">
        <v>45807</v>
      </c>
      <c r="AG504" s="91">
        <f t="shared" si="105"/>
        <v>33</v>
      </c>
      <c r="AH504" s="103">
        <v>45807</v>
      </c>
      <c r="AI504" s="103">
        <v>45843</v>
      </c>
      <c r="AJ504" s="96">
        <v>90</v>
      </c>
      <c r="AK504" s="91">
        <f t="shared" si="106"/>
        <v>36</v>
      </c>
      <c r="AL504" s="96">
        <f t="shared" si="109"/>
        <v>69</v>
      </c>
      <c r="AM504" s="92"/>
      <c r="AN504" s="91"/>
      <c r="AO504" s="91"/>
    </row>
    <row r="505" spans="1:41" ht="14.5" x14ac:dyDescent="0.25">
      <c r="A505" s="92" t="s">
        <v>966</v>
      </c>
      <c r="B505" s="151" t="s">
        <v>3404</v>
      </c>
      <c r="C505" s="119" t="s">
        <v>943</v>
      </c>
      <c r="D505" s="120" t="s">
        <v>952</v>
      </c>
      <c r="E505" s="135" t="s">
        <v>97</v>
      </c>
      <c r="F505" s="135" t="s">
        <v>0</v>
      </c>
      <c r="G505" s="58" t="s">
        <v>967</v>
      </c>
      <c r="H505" s="119">
        <v>150</v>
      </c>
      <c r="I505" s="119" t="s">
        <v>207</v>
      </c>
      <c r="J505" s="119" t="s">
        <v>8</v>
      </c>
      <c r="K505" s="120" t="s">
        <v>17</v>
      </c>
      <c r="L505" s="93" t="s">
        <v>967</v>
      </c>
      <c r="M505" s="94" t="s">
        <v>3412</v>
      </c>
      <c r="N505" s="95" t="s">
        <v>3086</v>
      </c>
      <c r="O505" s="122">
        <v>5</v>
      </c>
      <c r="P505" s="111">
        <f t="shared" si="118"/>
        <v>74.294117647058826</v>
      </c>
      <c r="Q505" s="122" t="s">
        <v>16</v>
      </c>
      <c r="R505" s="124">
        <f t="shared" si="120"/>
        <v>6.9250000000000007</v>
      </c>
      <c r="S505" s="95"/>
      <c r="T505" s="98"/>
      <c r="U505" s="125">
        <f t="shared" si="119"/>
        <v>524.78088235294126</v>
      </c>
      <c r="V505" s="113">
        <f t="shared" si="112"/>
        <v>3.4985392156862751</v>
      </c>
      <c r="W505" s="114">
        <f t="shared" si="113"/>
        <v>0.49979131652661074</v>
      </c>
      <c r="X505" s="95"/>
      <c r="Y505" s="95"/>
      <c r="Z505" s="102"/>
      <c r="AA505" s="103">
        <v>45774</v>
      </c>
      <c r="AB505" s="103">
        <v>45793</v>
      </c>
      <c r="AC505" s="103"/>
      <c r="AD505" s="102">
        <f>IF(ISNA(VLOOKUP(D505,亚马逊入库配置费!B:F,5,0)),0,VLOOKUP(D505,亚马逊入库配置费!B:F,5,0))</f>
        <v>0.41</v>
      </c>
      <c r="AE505" s="102">
        <f t="shared" si="104"/>
        <v>61.499999999999993</v>
      </c>
      <c r="AF505" s="103">
        <v>45807</v>
      </c>
      <c r="AG505" s="91">
        <f t="shared" si="105"/>
        <v>33</v>
      </c>
      <c r="AH505" s="103">
        <v>45807</v>
      </c>
      <c r="AI505" s="103">
        <v>45843</v>
      </c>
      <c r="AJ505" s="96">
        <v>150</v>
      </c>
      <c r="AK505" s="91">
        <f t="shared" si="106"/>
        <v>36</v>
      </c>
      <c r="AL505" s="96">
        <f t="shared" si="109"/>
        <v>69</v>
      </c>
      <c r="AM505" s="92"/>
      <c r="AN505" s="91"/>
      <c r="AO505" s="91"/>
    </row>
    <row r="506" spans="1:41" ht="14.5" x14ac:dyDescent="0.25">
      <c r="A506" s="92" t="s">
        <v>968</v>
      </c>
      <c r="B506" s="151" t="s">
        <v>3404</v>
      </c>
      <c r="C506" s="119" t="s">
        <v>943</v>
      </c>
      <c r="D506" s="120" t="s">
        <v>952</v>
      </c>
      <c r="E506" s="135" t="s">
        <v>97</v>
      </c>
      <c r="F506" s="135" t="s">
        <v>0</v>
      </c>
      <c r="G506" s="58" t="s">
        <v>969</v>
      </c>
      <c r="H506" s="119">
        <v>60</v>
      </c>
      <c r="I506" s="119" t="s">
        <v>207</v>
      </c>
      <c r="J506" s="119" t="s">
        <v>8</v>
      </c>
      <c r="K506" s="120" t="s">
        <v>17</v>
      </c>
      <c r="L506" s="93" t="s">
        <v>969</v>
      </c>
      <c r="M506" s="94" t="s">
        <v>3413</v>
      </c>
      <c r="N506" s="95" t="s">
        <v>3086</v>
      </c>
      <c r="O506" s="122">
        <v>2</v>
      </c>
      <c r="P506" s="111">
        <f t="shared" si="118"/>
        <v>29.71764705882353</v>
      </c>
      <c r="Q506" s="122" t="s">
        <v>16</v>
      </c>
      <c r="R506" s="124">
        <f t="shared" si="120"/>
        <v>6.9250000000000007</v>
      </c>
      <c r="S506" s="95"/>
      <c r="T506" s="98"/>
      <c r="U506" s="125">
        <f t="shared" si="119"/>
        <v>209.91235294117649</v>
      </c>
      <c r="V506" s="113">
        <f t="shared" si="112"/>
        <v>3.4985392156862747</v>
      </c>
      <c r="W506" s="114">
        <f t="shared" si="113"/>
        <v>0.49979131652661068</v>
      </c>
      <c r="X506" s="95"/>
      <c r="Y506" s="95"/>
      <c r="Z506" s="102"/>
      <c r="AA506" s="103">
        <v>45774</v>
      </c>
      <c r="AB506" s="103">
        <v>45793</v>
      </c>
      <c r="AC506" s="103"/>
      <c r="AD506" s="102">
        <f>IF(ISNA(VLOOKUP(D506,亚马逊入库配置费!B:F,5,0)),0,VLOOKUP(D506,亚马逊入库配置费!B:F,5,0))</f>
        <v>0.41</v>
      </c>
      <c r="AE506" s="102">
        <f t="shared" si="104"/>
        <v>24.599999999999998</v>
      </c>
      <c r="AF506" s="103">
        <v>45807</v>
      </c>
      <c r="AG506" s="91">
        <f t="shared" si="105"/>
        <v>33</v>
      </c>
      <c r="AH506" s="103">
        <v>45807</v>
      </c>
      <c r="AI506" s="103">
        <v>45843</v>
      </c>
      <c r="AJ506" s="96">
        <v>60</v>
      </c>
      <c r="AK506" s="91">
        <f t="shared" si="106"/>
        <v>36</v>
      </c>
      <c r="AL506" s="96">
        <f t="shared" si="109"/>
        <v>69</v>
      </c>
      <c r="AM506" s="92"/>
      <c r="AN506" s="91"/>
      <c r="AO506" s="91"/>
    </row>
    <row r="507" spans="1:41" ht="14.5" x14ac:dyDescent="0.25">
      <c r="A507" s="92" t="s">
        <v>970</v>
      </c>
      <c r="B507" s="151" t="s">
        <v>3404</v>
      </c>
      <c r="C507" s="119" t="s">
        <v>943</v>
      </c>
      <c r="D507" s="120" t="s">
        <v>952</v>
      </c>
      <c r="E507" s="135" t="s">
        <v>97</v>
      </c>
      <c r="F507" s="135" t="s">
        <v>0</v>
      </c>
      <c r="G507" s="58" t="s">
        <v>971</v>
      </c>
      <c r="H507" s="119">
        <v>300</v>
      </c>
      <c r="I507" s="119" t="s">
        <v>207</v>
      </c>
      <c r="J507" s="119" t="s">
        <v>8</v>
      </c>
      <c r="K507" s="120" t="s">
        <v>17</v>
      </c>
      <c r="L507" s="93" t="s">
        <v>971</v>
      </c>
      <c r="M507" s="94" t="s">
        <v>3414</v>
      </c>
      <c r="N507" s="95" t="s">
        <v>3086</v>
      </c>
      <c r="O507" s="122">
        <v>10</v>
      </c>
      <c r="P507" s="111">
        <f t="shared" si="118"/>
        <v>148.58823529411765</v>
      </c>
      <c r="Q507" s="122" t="s">
        <v>16</v>
      </c>
      <c r="R507" s="124">
        <f t="shared" si="120"/>
        <v>6.9250000000000007</v>
      </c>
      <c r="S507" s="95"/>
      <c r="T507" s="98"/>
      <c r="U507" s="125">
        <f t="shared" si="119"/>
        <v>1049.5617647058825</v>
      </c>
      <c r="V507" s="113">
        <f t="shared" si="112"/>
        <v>3.4985392156862751</v>
      </c>
      <c r="W507" s="114">
        <f t="shared" si="113"/>
        <v>0.49979131652661074</v>
      </c>
      <c r="X507" s="95"/>
      <c r="Y507" s="95"/>
      <c r="Z507" s="102"/>
      <c r="AA507" s="103">
        <v>45774</v>
      </c>
      <c r="AB507" s="103">
        <v>45793</v>
      </c>
      <c r="AC507" s="103"/>
      <c r="AD507" s="102">
        <f>IF(ISNA(VLOOKUP(D507,亚马逊入库配置费!B:F,5,0)),0,VLOOKUP(D507,亚马逊入库配置费!B:F,5,0))</f>
        <v>0.41</v>
      </c>
      <c r="AE507" s="102">
        <f t="shared" si="104"/>
        <v>122.99999999999999</v>
      </c>
      <c r="AF507" s="103">
        <v>45807</v>
      </c>
      <c r="AG507" s="91">
        <f t="shared" si="105"/>
        <v>33</v>
      </c>
      <c r="AH507" s="103">
        <v>45807</v>
      </c>
      <c r="AI507" s="103">
        <v>45843</v>
      </c>
      <c r="AJ507" s="96">
        <v>300</v>
      </c>
      <c r="AK507" s="91">
        <f t="shared" si="106"/>
        <v>36</v>
      </c>
      <c r="AL507" s="96">
        <f t="shared" si="109"/>
        <v>69</v>
      </c>
      <c r="AM507" s="92"/>
      <c r="AN507" s="91"/>
      <c r="AO507" s="91"/>
    </row>
    <row r="508" spans="1:41" ht="14.5" x14ac:dyDescent="0.25">
      <c r="A508" s="92" t="s">
        <v>972</v>
      </c>
      <c r="B508" s="91" t="s">
        <v>3415</v>
      </c>
      <c r="C508" s="119" t="s">
        <v>973</v>
      </c>
      <c r="D508" s="120" t="s">
        <v>974</v>
      </c>
      <c r="E508" s="135" t="s">
        <v>287</v>
      </c>
      <c r="F508" s="135" t="s">
        <v>0</v>
      </c>
      <c r="G508" s="58" t="s">
        <v>284</v>
      </c>
      <c r="H508" s="119">
        <v>320</v>
      </c>
      <c r="I508" s="119" t="s">
        <v>89</v>
      </c>
      <c r="J508" s="119" t="s">
        <v>8</v>
      </c>
      <c r="K508" s="120" t="s">
        <v>13</v>
      </c>
      <c r="L508" s="93" t="s">
        <v>3039</v>
      </c>
      <c r="M508" s="94" t="s">
        <v>3323</v>
      </c>
      <c r="N508" s="95" t="s">
        <v>2915</v>
      </c>
      <c r="O508" s="122">
        <v>20</v>
      </c>
      <c r="P508" s="95">
        <f>743/50*O508</f>
        <v>297.2</v>
      </c>
      <c r="Q508" s="122" t="s">
        <v>16</v>
      </c>
      <c r="R508" s="152">
        <v>6</v>
      </c>
      <c r="S508" s="95"/>
      <c r="T508" s="98"/>
      <c r="U508" s="125">
        <f>R508*P508+350/50*O508</f>
        <v>1923.1999999999998</v>
      </c>
      <c r="V508" s="113">
        <f t="shared" si="112"/>
        <v>6.01</v>
      </c>
      <c r="W508" s="114">
        <f t="shared" si="113"/>
        <v>0.85857142857142854</v>
      </c>
      <c r="X508" s="95"/>
      <c r="Y508" s="95"/>
      <c r="Z508" s="102"/>
      <c r="AA508" s="103">
        <v>45774</v>
      </c>
      <c r="AB508" s="103">
        <v>45795</v>
      </c>
      <c r="AC508" s="103"/>
      <c r="AD508" s="102">
        <f>IF(ISNA(VLOOKUP(D508,亚马逊入库配置费!B:F,5,0)),0,VLOOKUP(D508,亚马逊入库配置费!B:F,5,0))</f>
        <v>0.49</v>
      </c>
      <c r="AE508" s="102">
        <f t="shared" si="104"/>
        <v>156.80000000000001</v>
      </c>
      <c r="AF508" s="103">
        <v>45804</v>
      </c>
      <c r="AG508" s="91">
        <f t="shared" si="105"/>
        <v>30</v>
      </c>
      <c r="AH508" s="103">
        <v>45804</v>
      </c>
      <c r="AI508" s="103">
        <v>45841</v>
      </c>
      <c r="AJ508" s="96">
        <v>321</v>
      </c>
      <c r="AK508" s="91">
        <f t="shared" si="106"/>
        <v>37</v>
      </c>
      <c r="AL508" s="96">
        <f t="shared" si="109"/>
        <v>67</v>
      </c>
      <c r="AM508" s="92"/>
      <c r="AN508" s="91"/>
      <c r="AO508" s="91"/>
    </row>
    <row r="509" spans="1:41" ht="14.5" x14ac:dyDescent="0.25">
      <c r="A509" s="92" t="s">
        <v>975</v>
      </c>
      <c r="B509" s="91" t="s">
        <v>3415</v>
      </c>
      <c r="C509" s="119" t="s">
        <v>973</v>
      </c>
      <c r="D509" s="120" t="s">
        <v>974</v>
      </c>
      <c r="E509" s="135" t="s">
        <v>287</v>
      </c>
      <c r="F509" s="135" t="s">
        <v>0</v>
      </c>
      <c r="G509" s="58" t="s">
        <v>663</v>
      </c>
      <c r="H509" s="119">
        <v>480</v>
      </c>
      <c r="I509" s="119" t="s">
        <v>89</v>
      </c>
      <c r="J509" s="119" t="s">
        <v>8</v>
      </c>
      <c r="K509" s="120" t="s">
        <v>13</v>
      </c>
      <c r="L509" s="93" t="s">
        <v>3080</v>
      </c>
      <c r="M509" s="94" t="s">
        <v>3383</v>
      </c>
      <c r="N509" s="95" t="s">
        <v>2915</v>
      </c>
      <c r="O509" s="122">
        <v>30</v>
      </c>
      <c r="P509" s="95">
        <f>743/50*O509</f>
        <v>445.79999999999995</v>
      </c>
      <c r="Q509" s="122" t="s">
        <v>16</v>
      </c>
      <c r="R509" s="152">
        <v>6</v>
      </c>
      <c r="S509" s="95"/>
      <c r="T509" s="98"/>
      <c r="U509" s="125">
        <f>R509*P509+350/50*O509</f>
        <v>2884.7999999999997</v>
      </c>
      <c r="V509" s="113">
        <f t="shared" si="112"/>
        <v>6.01</v>
      </c>
      <c r="W509" s="114">
        <f t="shared" si="113"/>
        <v>0.85857142857142854</v>
      </c>
      <c r="X509" s="95"/>
      <c r="Y509" s="95"/>
      <c r="Z509" s="102"/>
      <c r="AA509" s="103">
        <v>45774</v>
      </c>
      <c r="AB509" s="103">
        <v>45795</v>
      </c>
      <c r="AC509" s="103"/>
      <c r="AD509" s="102">
        <f>IF(ISNA(VLOOKUP(D509,亚马逊入库配置费!B:F,5,0)),0,VLOOKUP(D509,亚马逊入库配置费!B:F,5,0))</f>
        <v>0.49</v>
      </c>
      <c r="AE509" s="102">
        <f t="shared" si="104"/>
        <v>235.2</v>
      </c>
      <c r="AF509" s="103">
        <v>45804</v>
      </c>
      <c r="AG509" s="91">
        <f t="shared" si="105"/>
        <v>30</v>
      </c>
      <c r="AH509" s="103">
        <v>45804</v>
      </c>
      <c r="AI509" s="103">
        <v>45841</v>
      </c>
      <c r="AJ509" s="96">
        <v>479</v>
      </c>
      <c r="AK509" s="91">
        <f t="shared" si="106"/>
        <v>37</v>
      </c>
      <c r="AL509" s="96">
        <f t="shared" si="109"/>
        <v>67</v>
      </c>
      <c r="AM509" s="92"/>
      <c r="AN509" s="91"/>
      <c r="AO509" s="91"/>
    </row>
    <row r="510" spans="1:41" ht="14.5" x14ac:dyDescent="0.25">
      <c r="A510" s="92" t="s">
        <v>976</v>
      </c>
      <c r="B510" s="91" t="s">
        <v>3415</v>
      </c>
      <c r="C510" s="119" t="s">
        <v>977</v>
      </c>
      <c r="D510" s="120" t="s">
        <v>978</v>
      </c>
      <c r="E510" s="135" t="s">
        <v>115</v>
      </c>
      <c r="F510" s="135" t="s">
        <v>0</v>
      </c>
      <c r="G510" s="58" t="s">
        <v>325</v>
      </c>
      <c r="H510" s="119">
        <v>36</v>
      </c>
      <c r="I510" s="119" t="s">
        <v>117</v>
      </c>
      <c r="J510" s="119" t="s">
        <v>3263</v>
      </c>
      <c r="K510" s="120" t="s">
        <v>20</v>
      </c>
      <c r="L510" s="93" t="s">
        <v>3047</v>
      </c>
      <c r="M510" s="94" t="s">
        <v>3335</v>
      </c>
      <c r="N510" s="95" t="s">
        <v>2823</v>
      </c>
      <c r="O510" s="122">
        <v>9</v>
      </c>
      <c r="P510" s="95">
        <f>861/36*O510</f>
        <v>215.25</v>
      </c>
      <c r="Q510" s="122" t="s">
        <v>16</v>
      </c>
      <c r="R510" s="124">
        <f t="shared" ref="R510:R514" si="121">12.3-4</f>
        <v>8.3000000000000007</v>
      </c>
      <c r="S510" s="95"/>
      <c r="T510" s="98"/>
      <c r="U510" s="125">
        <f t="shared" ref="U510:U516" si="122">R510*P510+350/106*O510</f>
        <v>1816.2919811320755</v>
      </c>
      <c r="V510" s="113">
        <f t="shared" si="112"/>
        <v>50.452555031446543</v>
      </c>
      <c r="W510" s="114">
        <f t="shared" si="113"/>
        <v>7.2075078616352206</v>
      </c>
      <c r="X510" s="95"/>
      <c r="Y510" s="95"/>
      <c r="Z510" s="102"/>
      <c r="AA510" s="103">
        <v>45777</v>
      </c>
      <c r="AB510" s="103">
        <v>45799</v>
      </c>
      <c r="AC510" s="103"/>
      <c r="AD510" s="102">
        <f>IF(ISNA(VLOOKUP(D510,亚马逊入库配置费!B:F,5,0)),0,VLOOKUP(D510,亚马逊入库配置费!B:F,5,0))</f>
        <v>0</v>
      </c>
      <c r="AE510" s="102">
        <f t="shared" si="104"/>
        <v>0</v>
      </c>
      <c r="AF510" s="103">
        <v>45818</v>
      </c>
      <c r="AG510" s="91">
        <f t="shared" si="105"/>
        <v>41</v>
      </c>
      <c r="AH510" s="103">
        <v>45818</v>
      </c>
      <c r="AI510" s="103">
        <v>45842</v>
      </c>
      <c r="AJ510" s="96">
        <v>48</v>
      </c>
      <c r="AK510" s="91">
        <f t="shared" si="106"/>
        <v>24</v>
      </c>
      <c r="AL510" s="96">
        <f t="shared" si="109"/>
        <v>65</v>
      </c>
      <c r="AM510" s="92"/>
      <c r="AN510" s="91"/>
      <c r="AO510" s="91"/>
    </row>
    <row r="511" spans="1:41" ht="14.5" x14ac:dyDescent="0.25">
      <c r="A511" s="92" t="s">
        <v>979</v>
      </c>
      <c r="B511" s="91" t="s">
        <v>3415</v>
      </c>
      <c r="C511" s="119" t="s">
        <v>977</v>
      </c>
      <c r="D511" s="120" t="s">
        <v>978</v>
      </c>
      <c r="E511" s="135" t="s">
        <v>115</v>
      </c>
      <c r="F511" s="135" t="s">
        <v>0</v>
      </c>
      <c r="G511" s="58" t="s">
        <v>980</v>
      </c>
      <c r="H511" s="119">
        <v>108</v>
      </c>
      <c r="I511" s="119" t="s">
        <v>117</v>
      </c>
      <c r="J511" s="119" t="s">
        <v>3263</v>
      </c>
      <c r="K511" s="120" t="s">
        <v>20</v>
      </c>
      <c r="L511" s="93" t="s">
        <v>2824</v>
      </c>
      <c r="M511" s="94" t="s">
        <v>3416</v>
      </c>
      <c r="N511" s="95" t="s">
        <v>2823</v>
      </c>
      <c r="O511" s="122">
        <v>27</v>
      </c>
      <c r="P511" s="95">
        <f>861/36*O511</f>
        <v>645.75</v>
      </c>
      <c r="Q511" s="122" t="s">
        <v>16</v>
      </c>
      <c r="R511" s="124">
        <f t="shared" si="121"/>
        <v>8.3000000000000007</v>
      </c>
      <c r="S511" s="95"/>
      <c r="T511" s="98"/>
      <c r="U511" s="125">
        <f t="shared" si="122"/>
        <v>5448.8759433962268</v>
      </c>
      <c r="V511" s="113">
        <f t="shared" si="112"/>
        <v>50.452555031446543</v>
      </c>
      <c r="W511" s="114">
        <f t="shared" si="113"/>
        <v>7.2075078616352206</v>
      </c>
      <c r="X511" s="95"/>
      <c r="Y511" s="95"/>
      <c r="Z511" s="102"/>
      <c r="AA511" s="103">
        <v>45777</v>
      </c>
      <c r="AB511" s="103">
        <v>45799</v>
      </c>
      <c r="AC511" s="103"/>
      <c r="AD511" s="102">
        <f>IF(ISNA(VLOOKUP(D511,亚马逊入库配置费!B:F,5,0)),0,VLOOKUP(D511,亚马逊入库配置费!B:F,5,0))</f>
        <v>0</v>
      </c>
      <c r="AE511" s="102">
        <f t="shared" si="104"/>
        <v>0</v>
      </c>
      <c r="AF511" s="103">
        <v>45818</v>
      </c>
      <c r="AG511" s="91">
        <f t="shared" si="105"/>
        <v>41</v>
      </c>
      <c r="AH511" s="103">
        <v>45818</v>
      </c>
      <c r="AI511" s="103">
        <v>45842</v>
      </c>
      <c r="AJ511" s="96">
        <v>100</v>
      </c>
      <c r="AK511" s="91">
        <f t="shared" si="106"/>
        <v>24</v>
      </c>
      <c r="AL511" s="96">
        <f t="shared" si="109"/>
        <v>65</v>
      </c>
      <c r="AM511" s="92"/>
      <c r="AN511" s="91"/>
      <c r="AO511" s="91"/>
    </row>
    <row r="512" spans="1:41" ht="14.5" x14ac:dyDescent="0.25">
      <c r="A512" s="92" t="s">
        <v>981</v>
      </c>
      <c r="B512" s="91" t="s">
        <v>3415</v>
      </c>
      <c r="C512" s="119" t="s">
        <v>977</v>
      </c>
      <c r="D512" s="120" t="s">
        <v>982</v>
      </c>
      <c r="E512" s="135" t="s">
        <v>115</v>
      </c>
      <c r="F512" s="135" t="s">
        <v>0</v>
      </c>
      <c r="G512" s="58" t="s">
        <v>325</v>
      </c>
      <c r="H512" s="119">
        <v>72</v>
      </c>
      <c r="I512" s="119" t="s">
        <v>117</v>
      </c>
      <c r="J512" s="119" t="s">
        <v>3263</v>
      </c>
      <c r="K512" s="120" t="s">
        <v>41</v>
      </c>
      <c r="L512" s="93" t="s">
        <v>3047</v>
      </c>
      <c r="M512" s="94" t="s">
        <v>3335</v>
      </c>
      <c r="N512" s="95" t="s">
        <v>2823</v>
      </c>
      <c r="O512" s="122">
        <v>18</v>
      </c>
      <c r="P512" s="153">
        <f>1049/44*O512</f>
        <v>429.13636363636363</v>
      </c>
      <c r="Q512" s="122" t="s">
        <v>16</v>
      </c>
      <c r="R512" s="145">
        <f t="shared" si="121"/>
        <v>8.3000000000000007</v>
      </c>
      <c r="S512" s="95"/>
      <c r="T512" s="98"/>
      <c r="U512" s="125">
        <f t="shared" si="122"/>
        <v>3621.2657804459695</v>
      </c>
      <c r="V512" s="113">
        <f t="shared" si="112"/>
        <v>50.295358061749575</v>
      </c>
      <c r="W512" s="114">
        <f t="shared" si="113"/>
        <v>7.1850511516785103</v>
      </c>
      <c r="X512" s="95"/>
      <c r="Y512" s="95"/>
      <c r="Z512" s="102"/>
      <c r="AA512" s="103">
        <v>45777</v>
      </c>
      <c r="AB512" s="103">
        <v>45799</v>
      </c>
      <c r="AC512" s="103"/>
      <c r="AD512" s="102">
        <f>IF(ISNA(VLOOKUP(D512,亚马逊入库配置费!B:F,5,0)),0,VLOOKUP(D512,亚马逊入库配置费!B:F,5,0))</f>
        <v>0</v>
      </c>
      <c r="AE512" s="102">
        <f t="shared" si="104"/>
        <v>0</v>
      </c>
      <c r="AF512" s="103">
        <v>45811</v>
      </c>
      <c r="AG512" s="91">
        <f t="shared" si="105"/>
        <v>34</v>
      </c>
      <c r="AH512" s="103">
        <v>45811</v>
      </c>
      <c r="AI512" s="103">
        <v>45813</v>
      </c>
      <c r="AJ512" s="96">
        <v>72</v>
      </c>
      <c r="AK512" s="91">
        <f t="shared" si="106"/>
        <v>2</v>
      </c>
      <c r="AL512" s="96">
        <f t="shared" si="109"/>
        <v>36</v>
      </c>
      <c r="AM512" s="92"/>
      <c r="AN512" s="91"/>
      <c r="AO512" s="91"/>
    </row>
    <row r="513" spans="1:41" ht="14.5" x14ac:dyDescent="0.25">
      <c r="A513" s="92" t="s">
        <v>983</v>
      </c>
      <c r="B513" s="91" t="s">
        <v>3415</v>
      </c>
      <c r="C513" s="119" t="s">
        <v>977</v>
      </c>
      <c r="D513" s="120" t="s">
        <v>982</v>
      </c>
      <c r="E513" s="135" t="s">
        <v>115</v>
      </c>
      <c r="F513" s="135" t="s">
        <v>0</v>
      </c>
      <c r="G513" s="58" t="s">
        <v>980</v>
      </c>
      <c r="H513" s="119">
        <v>8</v>
      </c>
      <c r="I513" s="119" t="s">
        <v>117</v>
      </c>
      <c r="J513" s="119" t="s">
        <v>3263</v>
      </c>
      <c r="K513" s="120" t="s">
        <v>41</v>
      </c>
      <c r="L513" s="93" t="s">
        <v>2824</v>
      </c>
      <c r="M513" s="94" t="s">
        <v>3416</v>
      </c>
      <c r="N513" s="95" t="s">
        <v>2823</v>
      </c>
      <c r="O513" s="122">
        <v>2</v>
      </c>
      <c r="P513" s="153">
        <f>1049/44*O513</f>
        <v>47.68181818181818</v>
      </c>
      <c r="Q513" s="122" t="s">
        <v>16</v>
      </c>
      <c r="R513" s="145">
        <f t="shared" si="121"/>
        <v>8.3000000000000007</v>
      </c>
      <c r="S513" s="95"/>
      <c r="T513" s="98"/>
      <c r="U513" s="125">
        <f t="shared" si="122"/>
        <v>402.36286449399654</v>
      </c>
      <c r="V513" s="113">
        <f t="shared" si="112"/>
        <v>50.295358061749567</v>
      </c>
      <c r="W513" s="114">
        <f t="shared" si="113"/>
        <v>7.1850511516785094</v>
      </c>
      <c r="X513" s="95"/>
      <c r="Y513" s="95"/>
      <c r="Z513" s="102"/>
      <c r="AA513" s="103">
        <v>45777</v>
      </c>
      <c r="AB513" s="103">
        <v>45799</v>
      </c>
      <c r="AC513" s="103"/>
      <c r="AD513" s="102">
        <f>IF(ISNA(VLOOKUP(D513,亚马逊入库配置费!B:F,5,0)),0,VLOOKUP(D513,亚马逊入库配置费!B:F,5,0))</f>
        <v>0</v>
      </c>
      <c r="AE513" s="102">
        <f t="shared" si="104"/>
        <v>0</v>
      </c>
      <c r="AF513" s="103">
        <v>45811</v>
      </c>
      <c r="AG513" s="91">
        <f t="shared" si="105"/>
        <v>34</v>
      </c>
      <c r="AH513" s="103">
        <v>45811</v>
      </c>
      <c r="AI513" s="103">
        <v>45813</v>
      </c>
      <c r="AJ513" s="96">
        <v>8</v>
      </c>
      <c r="AK513" s="91">
        <f t="shared" si="106"/>
        <v>2</v>
      </c>
      <c r="AL513" s="96">
        <f t="shared" si="109"/>
        <v>36</v>
      </c>
      <c r="AM513" s="92"/>
      <c r="AN513" s="91"/>
      <c r="AO513" s="91"/>
    </row>
    <row r="514" spans="1:41" ht="14.5" x14ac:dyDescent="0.25">
      <c r="A514" s="92" t="s">
        <v>984</v>
      </c>
      <c r="B514" s="91" t="s">
        <v>3415</v>
      </c>
      <c r="C514" s="119" t="s">
        <v>977</v>
      </c>
      <c r="D514" s="120" t="s">
        <v>982</v>
      </c>
      <c r="E514" s="135" t="s">
        <v>115</v>
      </c>
      <c r="F514" s="135" t="s">
        <v>0</v>
      </c>
      <c r="G514" s="58" t="s">
        <v>980</v>
      </c>
      <c r="H514" s="119">
        <v>96</v>
      </c>
      <c r="I514" s="119" t="s">
        <v>117</v>
      </c>
      <c r="J514" s="119" t="s">
        <v>3263</v>
      </c>
      <c r="K514" s="120" t="s">
        <v>41</v>
      </c>
      <c r="L514" s="93" t="s">
        <v>2824</v>
      </c>
      <c r="M514" s="94" t="s">
        <v>3416</v>
      </c>
      <c r="N514" s="95" t="s">
        <v>2823</v>
      </c>
      <c r="O514" s="122">
        <v>24</v>
      </c>
      <c r="P514" s="153">
        <f>1049/44*O514</f>
        <v>572.18181818181813</v>
      </c>
      <c r="Q514" s="122" t="s">
        <v>16</v>
      </c>
      <c r="R514" s="145">
        <f t="shared" si="121"/>
        <v>8.3000000000000007</v>
      </c>
      <c r="S514" s="95"/>
      <c r="T514" s="98"/>
      <c r="U514" s="125">
        <f t="shared" si="122"/>
        <v>4828.3543739279585</v>
      </c>
      <c r="V514" s="113">
        <f t="shared" si="112"/>
        <v>50.295358061749567</v>
      </c>
      <c r="W514" s="114">
        <f t="shared" si="113"/>
        <v>7.1850511516785094</v>
      </c>
      <c r="X514" s="95"/>
      <c r="Y514" s="95"/>
      <c r="Z514" s="102"/>
      <c r="AA514" s="103">
        <v>45777</v>
      </c>
      <c r="AB514" s="103">
        <v>45799</v>
      </c>
      <c r="AC514" s="103"/>
      <c r="AD514" s="102">
        <f>IF(ISNA(VLOOKUP(D514,亚马逊入库配置费!B:F,5,0)),0,VLOOKUP(D514,亚马逊入库配置费!B:F,5,0))</f>
        <v>0</v>
      </c>
      <c r="AE514" s="102">
        <f t="shared" ref="AE514:AE577" si="123">H514*AD514</f>
        <v>0</v>
      </c>
      <c r="AF514" s="103">
        <v>45811</v>
      </c>
      <c r="AG514" s="91">
        <f t="shared" ref="AG514:AG577" si="124">AF514-AA514</f>
        <v>34</v>
      </c>
      <c r="AH514" s="103">
        <v>45811</v>
      </c>
      <c r="AI514" s="103">
        <v>45813</v>
      </c>
      <c r="AJ514" s="96">
        <v>96</v>
      </c>
      <c r="AK514" s="91">
        <f t="shared" ref="AK514:AK577" si="125">AI514-AH514</f>
        <v>2</v>
      </c>
      <c r="AL514" s="96">
        <f t="shared" si="109"/>
        <v>36</v>
      </c>
      <c r="AM514" s="92"/>
      <c r="AN514" s="91"/>
      <c r="AO514" s="91"/>
    </row>
    <row r="515" spans="1:41" ht="14.5" x14ac:dyDescent="0.25">
      <c r="A515" s="92" t="s">
        <v>985</v>
      </c>
      <c r="B515" s="91" t="s">
        <v>3415</v>
      </c>
      <c r="C515" s="119" t="s">
        <v>977</v>
      </c>
      <c r="D515" s="120" t="s">
        <v>986</v>
      </c>
      <c r="E515" s="135" t="s">
        <v>115</v>
      </c>
      <c r="F515" s="135" t="s">
        <v>0</v>
      </c>
      <c r="G515" s="58" t="s">
        <v>325</v>
      </c>
      <c r="H515" s="119">
        <v>56</v>
      </c>
      <c r="I515" s="119" t="s">
        <v>117</v>
      </c>
      <c r="J515" s="119" t="s">
        <v>3263</v>
      </c>
      <c r="K515" s="120" t="s">
        <v>28</v>
      </c>
      <c r="L515" s="93" t="s">
        <v>3047</v>
      </c>
      <c r="M515" s="94" t="s">
        <v>3335</v>
      </c>
      <c r="N515" s="95" t="s">
        <v>2823</v>
      </c>
      <c r="O515" s="122">
        <v>14</v>
      </c>
      <c r="P515" s="153">
        <f>621/26*O515</f>
        <v>334.38461538461536</v>
      </c>
      <c r="Q515" s="122" t="s">
        <v>16</v>
      </c>
      <c r="R515" s="124">
        <f>11.8-4</f>
        <v>7.8000000000000007</v>
      </c>
      <c r="S515" s="95"/>
      <c r="T515" s="98"/>
      <c r="U515" s="125">
        <f t="shared" si="122"/>
        <v>2654.4264150943395</v>
      </c>
      <c r="V515" s="113">
        <f t="shared" si="112"/>
        <v>47.400471698113208</v>
      </c>
      <c r="W515" s="114">
        <f t="shared" si="113"/>
        <v>6.7714959568733155</v>
      </c>
      <c r="X515" s="95"/>
      <c r="Y515" s="95"/>
      <c r="Z515" s="102"/>
      <c r="AA515" s="103">
        <v>45777</v>
      </c>
      <c r="AB515" s="103">
        <v>45799</v>
      </c>
      <c r="AC515" s="103"/>
      <c r="AD515" s="102">
        <f>IF(ISNA(VLOOKUP(D515,亚马逊入库配置费!B:F,5,0)),0,VLOOKUP(D515,亚马逊入库配置费!B:F,5,0))</f>
        <v>0</v>
      </c>
      <c r="AE515" s="102">
        <f t="shared" si="123"/>
        <v>0</v>
      </c>
      <c r="AF515" s="103">
        <v>45818</v>
      </c>
      <c r="AG515" s="91">
        <f t="shared" si="124"/>
        <v>41</v>
      </c>
      <c r="AH515" s="103">
        <v>45818</v>
      </c>
      <c r="AI515" s="103">
        <v>45841</v>
      </c>
      <c r="AJ515" s="96">
        <v>56</v>
      </c>
      <c r="AK515" s="91">
        <f t="shared" si="125"/>
        <v>23</v>
      </c>
      <c r="AL515" s="96">
        <f t="shared" si="109"/>
        <v>64</v>
      </c>
      <c r="AM515" s="92"/>
      <c r="AN515" s="91"/>
      <c r="AO515" s="91"/>
    </row>
    <row r="516" spans="1:41" ht="14.5" x14ac:dyDescent="0.25">
      <c r="A516" s="92" t="s">
        <v>987</v>
      </c>
      <c r="B516" s="91" t="s">
        <v>3415</v>
      </c>
      <c r="C516" s="119" t="s">
        <v>977</v>
      </c>
      <c r="D516" s="120" t="s">
        <v>986</v>
      </c>
      <c r="E516" s="135" t="s">
        <v>115</v>
      </c>
      <c r="F516" s="135" t="s">
        <v>0</v>
      </c>
      <c r="G516" s="58" t="s">
        <v>980</v>
      </c>
      <c r="H516" s="119">
        <v>48</v>
      </c>
      <c r="I516" s="119" t="s">
        <v>117</v>
      </c>
      <c r="J516" s="119" t="s">
        <v>3263</v>
      </c>
      <c r="K516" s="120" t="s">
        <v>28</v>
      </c>
      <c r="L516" s="93" t="s">
        <v>2824</v>
      </c>
      <c r="M516" s="94" t="s">
        <v>3416</v>
      </c>
      <c r="N516" s="95" t="s">
        <v>2823</v>
      </c>
      <c r="O516" s="122">
        <v>12</v>
      </c>
      <c r="P516" s="153">
        <f>621/26*O516</f>
        <v>286.61538461538458</v>
      </c>
      <c r="Q516" s="122" t="s">
        <v>16</v>
      </c>
      <c r="R516" s="124">
        <f>11.8-4</f>
        <v>7.8000000000000007</v>
      </c>
      <c r="S516" s="95"/>
      <c r="T516" s="98"/>
      <c r="U516" s="125">
        <f t="shared" si="122"/>
        <v>2275.2226415094337</v>
      </c>
      <c r="V516" s="113">
        <f t="shared" si="112"/>
        <v>47.400471698113201</v>
      </c>
      <c r="W516" s="114">
        <f t="shared" si="113"/>
        <v>6.7714959568733146</v>
      </c>
      <c r="X516" s="95"/>
      <c r="Y516" s="95"/>
      <c r="Z516" s="102"/>
      <c r="AA516" s="103">
        <v>45777</v>
      </c>
      <c r="AB516" s="103">
        <v>45799</v>
      </c>
      <c r="AC516" s="103"/>
      <c r="AD516" s="102">
        <f>IF(ISNA(VLOOKUP(D516,亚马逊入库配置费!B:F,5,0)),0,VLOOKUP(D516,亚马逊入库配置费!B:F,5,0))</f>
        <v>0</v>
      </c>
      <c r="AE516" s="102">
        <f t="shared" si="123"/>
        <v>0</v>
      </c>
      <c r="AF516" s="103">
        <v>45818</v>
      </c>
      <c r="AG516" s="91">
        <f t="shared" si="124"/>
        <v>41</v>
      </c>
      <c r="AH516" s="103">
        <v>45818</v>
      </c>
      <c r="AI516" s="103">
        <v>45841</v>
      </c>
      <c r="AJ516" s="96">
        <v>46</v>
      </c>
      <c r="AK516" s="91">
        <f t="shared" si="125"/>
        <v>23</v>
      </c>
      <c r="AL516" s="96">
        <f t="shared" ref="AL516:AL579" si="126">AG516+AK516</f>
        <v>64</v>
      </c>
      <c r="AM516" s="92"/>
      <c r="AN516" s="91"/>
      <c r="AO516" s="91"/>
    </row>
    <row r="517" spans="1:41" ht="14.5" x14ac:dyDescent="0.25">
      <c r="A517" s="92" t="s">
        <v>988</v>
      </c>
      <c r="B517" s="91" t="s">
        <v>3415</v>
      </c>
      <c r="C517" s="119" t="s">
        <v>989</v>
      </c>
      <c r="D517" s="120" t="s">
        <v>990</v>
      </c>
      <c r="E517" s="135" t="s">
        <v>115</v>
      </c>
      <c r="F517" s="135" t="s">
        <v>0</v>
      </c>
      <c r="G517" s="58" t="s">
        <v>325</v>
      </c>
      <c r="H517" s="119">
        <v>68</v>
      </c>
      <c r="I517" s="119" t="s">
        <v>117</v>
      </c>
      <c r="J517" s="119" t="s">
        <v>3261</v>
      </c>
      <c r="K517" s="120" t="s">
        <v>24</v>
      </c>
      <c r="L517" s="93" t="s">
        <v>3047</v>
      </c>
      <c r="M517" s="94" t="s">
        <v>3335</v>
      </c>
      <c r="N517" s="95" t="s">
        <v>2823</v>
      </c>
      <c r="O517" s="122">
        <v>17</v>
      </c>
      <c r="P517" s="153">
        <f>812/34*O517</f>
        <v>406</v>
      </c>
      <c r="Q517" s="122" t="s">
        <v>16</v>
      </c>
      <c r="R517" s="124">
        <f>11.3-4</f>
        <v>7.3000000000000007</v>
      </c>
      <c r="S517" s="95"/>
      <c r="T517" s="98"/>
      <c r="U517" s="125">
        <f>R517*P517+350/34*17</f>
        <v>3138.8</v>
      </c>
      <c r="V517" s="113">
        <f t="shared" si="112"/>
        <v>46.158823529411769</v>
      </c>
      <c r="W517" s="114">
        <f t="shared" si="113"/>
        <v>6.5941176470588241</v>
      </c>
      <c r="X517" s="95"/>
      <c r="Y517" s="95"/>
      <c r="Z517" s="102"/>
      <c r="AA517" s="103">
        <v>45777</v>
      </c>
      <c r="AB517" s="103">
        <v>45816</v>
      </c>
      <c r="AC517" s="103"/>
      <c r="AD517" s="102">
        <f>IF(ISNA(VLOOKUP(D517,亚马逊入库配置费!B:F,5,0)),0,VLOOKUP(D517,亚马逊入库配置费!B:F,5,0))</f>
        <v>0</v>
      </c>
      <c r="AE517" s="102">
        <f t="shared" si="123"/>
        <v>0</v>
      </c>
      <c r="AF517" s="103">
        <v>45830</v>
      </c>
      <c r="AG517" s="91">
        <f t="shared" si="124"/>
        <v>53</v>
      </c>
      <c r="AH517" s="103">
        <v>45830</v>
      </c>
      <c r="AI517" s="103">
        <v>45835</v>
      </c>
      <c r="AJ517" s="96">
        <v>68</v>
      </c>
      <c r="AK517" s="91">
        <f t="shared" si="125"/>
        <v>5</v>
      </c>
      <c r="AL517" s="96">
        <f t="shared" si="126"/>
        <v>58</v>
      </c>
      <c r="AM517" s="92"/>
      <c r="AN517" s="91"/>
      <c r="AO517" s="91"/>
    </row>
    <row r="518" spans="1:41" ht="14.5" x14ac:dyDescent="0.25">
      <c r="A518" s="92" t="s">
        <v>991</v>
      </c>
      <c r="B518" s="91" t="s">
        <v>3415</v>
      </c>
      <c r="C518" s="119" t="s">
        <v>989</v>
      </c>
      <c r="D518" s="120" t="s">
        <v>990</v>
      </c>
      <c r="E518" s="135" t="s">
        <v>115</v>
      </c>
      <c r="F518" s="135" t="s">
        <v>0</v>
      </c>
      <c r="G518" s="58" t="s">
        <v>980</v>
      </c>
      <c r="H518" s="119">
        <v>68</v>
      </c>
      <c r="I518" s="119" t="s">
        <v>117</v>
      </c>
      <c r="J518" s="119" t="s">
        <v>3261</v>
      </c>
      <c r="K518" s="120" t="s">
        <v>24</v>
      </c>
      <c r="L518" s="93" t="s">
        <v>2824</v>
      </c>
      <c r="M518" s="94" t="s">
        <v>3416</v>
      </c>
      <c r="N518" s="95" t="s">
        <v>2823</v>
      </c>
      <c r="O518" s="122">
        <v>17</v>
      </c>
      <c r="P518" s="153">
        <f>812/34*O518</f>
        <v>406</v>
      </c>
      <c r="Q518" s="122" t="s">
        <v>16</v>
      </c>
      <c r="R518" s="124">
        <f>11.3-4</f>
        <v>7.3000000000000007</v>
      </c>
      <c r="S518" s="95"/>
      <c r="T518" s="98"/>
      <c r="U518" s="125">
        <f>R518*P518+350/34*17</f>
        <v>3138.8</v>
      </c>
      <c r="V518" s="113">
        <f t="shared" si="112"/>
        <v>46.158823529411769</v>
      </c>
      <c r="W518" s="114">
        <f t="shared" si="113"/>
        <v>6.5941176470588241</v>
      </c>
      <c r="X518" s="95"/>
      <c r="Y518" s="95"/>
      <c r="Z518" s="102"/>
      <c r="AA518" s="103">
        <v>45777</v>
      </c>
      <c r="AB518" s="103">
        <v>45816</v>
      </c>
      <c r="AC518" s="103"/>
      <c r="AD518" s="102">
        <f>IF(ISNA(VLOOKUP(D518,亚马逊入库配置费!B:F,5,0)),0,VLOOKUP(D518,亚马逊入库配置费!B:F,5,0))</f>
        <v>0</v>
      </c>
      <c r="AE518" s="102">
        <f t="shared" si="123"/>
        <v>0</v>
      </c>
      <c r="AF518" s="103">
        <v>45830</v>
      </c>
      <c r="AG518" s="91">
        <f t="shared" si="124"/>
        <v>53</v>
      </c>
      <c r="AH518" s="103">
        <v>45830</v>
      </c>
      <c r="AI518" s="103">
        <v>45835</v>
      </c>
      <c r="AJ518" s="96">
        <v>68</v>
      </c>
      <c r="AK518" s="91">
        <f t="shared" si="125"/>
        <v>5</v>
      </c>
      <c r="AL518" s="96">
        <f t="shared" si="126"/>
        <v>58</v>
      </c>
      <c r="AM518" s="92"/>
      <c r="AN518" s="91"/>
      <c r="AO518" s="91"/>
    </row>
    <row r="519" spans="1:41" ht="14.5" x14ac:dyDescent="0.25">
      <c r="A519" s="92" t="s">
        <v>992</v>
      </c>
      <c r="B519" s="143" t="s">
        <v>3417</v>
      </c>
      <c r="C519" s="119" t="s">
        <v>993</v>
      </c>
      <c r="D519" s="120" t="s">
        <v>994</v>
      </c>
      <c r="E519" s="135" t="s">
        <v>115</v>
      </c>
      <c r="F519" s="135" t="s">
        <v>0</v>
      </c>
      <c r="G519" s="58" t="s">
        <v>325</v>
      </c>
      <c r="H519" s="119">
        <v>128</v>
      </c>
      <c r="I519" s="119" t="s">
        <v>207</v>
      </c>
      <c r="J519" s="119" t="s">
        <v>8</v>
      </c>
      <c r="K519" s="120" t="s">
        <v>37</v>
      </c>
      <c r="L519" s="93" t="s">
        <v>3047</v>
      </c>
      <c r="M519" s="94" t="s">
        <v>3335</v>
      </c>
      <c r="N519" s="95" t="s">
        <v>2823</v>
      </c>
      <c r="O519" s="122">
        <v>32</v>
      </c>
      <c r="P519" s="153">
        <f>1331/55*O519</f>
        <v>774.4</v>
      </c>
      <c r="Q519" s="122" t="s">
        <v>16</v>
      </c>
      <c r="R519" s="124">
        <f>12.7-5.75</f>
        <v>6.9499999999999993</v>
      </c>
      <c r="S519" s="95"/>
      <c r="T519" s="98"/>
      <c r="U519" s="125">
        <f>R519*P519+350/55*O519</f>
        <v>5585.716363636363</v>
      </c>
      <c r="V519" s="113">
        <f t="shared" si="112"/>
        <v>43.638409090909086</v>
      </c>
      <c r="W519" s="114">
        <f t="shared" si="113"/>
        <v>6.2340584415584406</v>
      </c>
      <c r="X519" s="95"/>
      <c r="Y519" s="95"/>
      <c r="Z519" s="102"/>
      <c r="AA519" s="103">
        <v>45777</v>
      </c>
      <c r="AB519" s="103">
        <v>45823</v>
      </c>
      <c r="AC519" s="103"/>
      <c r="AD519" s="102">
        <f>IF(ISNA(VLOOKUP(D519,亚马逊入库配置费!B:F,5,0)),0,VLOOKUP(D519,亚马逊入库配置费!B:F,5,0))</f>
        <v>0</v>
      </c>
      <c r="AE519" s="102">
        <f t="shared" si="123"/>
        <v>0</v>
      </c>
      <c r="AF519" s="103">
        <v>45836</v>
      </c>
      <c r="AG519" s="91">
        <f t="shared" si="124"/>
        <v>59</v>
      </c>
      <c r="AH519" s="103">
        <v>45836</v>
      </c>
      <c r="AI519" s="103">
        <v>45838</v>
      </c>
      <c r="AJ519" s="96">
        <v>128</v>
      </c>
      <c r="AK519" s="91">
        <f t="shared" si="125"/>
        <v>2</v>
      </c>
      <c r="AL519" s="96">
        <f t="shared" si="126"/>
        <v>61</v>
      </c>
      <c r="AM519" s="92"/>
      <c r="AN519" s="91"/>
      <c r="AO519" s="91"/>
    </row>
    <row r="520" spans="1:41" ht="14.5" x14ac:dyDescent="0.25">
      <c r="A520" s="92" t="s">
        <v>995</v>
      </c>
      <c r="B520" s="143" t="s">
        <v>3417</v>
      </c>
      <c r="C520" s="119" t="s">
        <v>993</v>
      </c>
      <c r="D520" s="120" t="s">
        <v>994</v>
      </c>
      <c r="E520" s="135" t="s">
        <v>115</v>
      </c>
      <c r="F520" s="135" t="s">
        <v>0</v>
      </c>
      <c r="G520" s="58" t="s">
        <v>980</v>
      </c>
      <c r="H520" s="119">
        <v>92</v>
      </c>
      <c r="I520" s="119" t="s">
        <v>207</v>
      </c>
      <c r="J520" s="119" t="s">
        <v>8</v>
      </c>
      <c r="K520" s="120" t="s">
        <v>37</v>
      </c>
      <c r="L520" s="93" t="s">
        <v>2824</v>
      </c>
      <c r="M520" s="94" t="s">
        <v>3416</v>
      </c>
      <c r="N520" s="95" t="s">
        <v>2823</v>
      </c>
      <c r="O520" s="122">
        <v>23</v>
      </c>
      <c r="P520" s="153">
        <f>1331/55*O520</f>
        <v>556.6</v>
      </c>
      <c r="Q520" s="122" t="s">
        <v>16</v>
      </c>
      <c r="R520" s="124">
        <f>12.7-5.75</f>
        <v>6.9499999999999993</v>
      </c>
      <c r="S520" s="95"/>
      <c r="T520" s="98"/>
      <c r="U520" s="125">
        <f>R520*P520+350/55*O520</f>
        <v>4014.7336363636364</v>
      </c>
      <c r="V520" s="113">
        <f t="shared" si="112"/>
        <v>43.638409090909093</v>
      </c>
      <c r="W520" s="114">
        <f t="shared" si="113"/>
        <v>6.2340584415584415</v>
      </c>
      <c r="X520" s="95"/>
      <c r="Y520" s="95"/>
      <c r="Z520" s="102"/>
      <c r="AA520" s="103">
        <v>45777</v>
      </c>
      <c r="AB520" s="103">
        <v>45823</v>
      </c>
      <c r="AC520" s="103"/>
      <c r="AD520" s="102">
        <f>IF(ISNA(VLOOKUP(D520,亚马逊入库配置费!B:F,5,0)),0,VLOOKUP(D520,亚马逊入库配置费!B:F,5,0))</f>
        <v>0</v>
      </c>
      <c r="AE520" s="102">
        <f t="shared" si="123"/>
        <v>0</v>
      </c>
      <c r="AF520" s="103">
        <v>45836</v>
      </c>
      <c r="AG520" s="91">
        <f t="shared" si="124"/>
        <v>59</v>
      </c>
      <c r="AH520" s="103">
        <v>45836</v>
      </c>
      <c r="AI520" s="103">
        <v>45838</v>
      </c>
      <c r="AJ520" s="96">
        <v>92</v>
      </c>
      <c r="AK520" s="91">
        <f t="shared" si="125"/>
        <v>2</v>
      </c>
      <c r="AL520" s="96">
        <f t="shared" si="126"/>
        <v>61</v>
      </c>
      <c r="AM520" s="92"/>
      <c r="AN520" s="91"/>
      <c r="AO520" s="91"/>
    </row>
    <row r="521" spans="1:41" ht="14.5" x14ac:dyDescent="0.25">
      <c r="A521" s="92" t="s">
        <v>996</v>
      </c>
      <c r="B521" s="91" t="s">
        <v>3418</v>
      </c>
      <c r="C521" s="119" t="s">
        <v>303</v>
      </c>
      <c r="D521" s="120" t="s">
        <v>997</v>
      </c>
      <c r="E521" s="135" t="s">
        <v>97</v>
      </c>
      <c r="F521" s="135" t="s">
        <v>0</v>
      </c>
      <c r="G521" s="58" t="s">
        <v>316</v>
      </c>
      <c r="H521" s="119">
        <v>540</v>
      </c>
      <c r="I521" s="119" t="s">
        <v>306</v>
      </c>
      <c r="J521" s="119" t="s">
        <v>6</v>
      </c>
      <c r="K521" s="120" t="s">
        <v>17</v>
      </c>
      <c r="L521" s="93" t="s">
        <v>3046</v>
      </c>
      <c r="M521" s="94" t="s">
        <v>3333</v>
      </c>
      <c r="N521" s="95" t="s">
        <v>3042</v>
      </c>
      <c r="O521" s="122">
        <v>6</v>
      </c>
      <c r="P521" s="153">
        <f>137/7*O521</f>
        <v>117.42857142857144</v>
      </c>
      <c r="Q521" s="122" t="s">
        <v>16</v>
      </c>
      <c r="R521" s="145">
        <f>13.4-4.6</f>
        <v>8.8000000000000007</v>
      </c>
      <c r="S521" s="95"/>
      <c r="T521" s="98"/>
      <c r="U521" s="125">
        <f>R521*P521</f>
        <v>1033.3714285714289</v>
      </c>
      <c r="V521" s="113">
        <f t="shared" si="112"/>
        <v>1.9136507936507943</v>
      </c>
      <c r="W521" s="114">
        <f t="shared" si="113"/>
        <v>0.2733786848072563</v>
      </c>
      <c r="X521" s="95"/>
      <c r="Y521" s="95"/>
      <c r="Z521" s="102"/>
      <c r="AA521" s="103">
        <v>45777</v>
      </c>
      <c r="AB521" s="103">
        <v>45807</v>
      </c>
      <c r="AC521" s="103"/>
      <c r="AD521" s="102">
        <f>IF(ISNA(VLOOKUP(D521,亚马逊入库配置费!B:F,5,0)),0,VLOOKUP(D521,亚马逊入库配置费!B:F,5,0))</f>
        <v>0.34</v>
      </c>
      <c r="AE521" s="102">
        <f t="shared" si="123"/>
        <v>183.60000000000002</v>
      </c>
      <c r="AF521" s="103">
        <v>45858</v>
      </c>
      <c r="AG521" s="91">
        <f t="shared" si="124"/>
        <v>81</v>
      </c>
      <c r="AH521" s="103">
        <v>45858</v>
      </c>
      <c r="AI521" s="103">
        <v>45887</v>
      </c>
      <c r="AJ521" s="96">
        <v>540</v>
      </c>
      <c r="AK521" s="91">
        <f t="shared" si="125"/>
        <v>29</v>
      </c>
      <c r="AL521" s="96">
        <f t="shared" si="126"/>
        <v>110</v>
      </c>
      <c r="AM521" s="92"/>
      <c r="AN521" s="91"/>
      <c r="AO521" s="91"/>
    </row>
    <row r="522" spans="1:41" ht="14.5" x14ac:dyDescent="0.25">
      <c r="A522" s="92" t="s">
        <v>998</v>
      </c>
      <c r="B522" s="91" t="s">
        <v>3418</v>
      </c>
      <c r="C522" s="119" t="s">
        <v>303</v>
      </c>
      <c r="D522" s="120" t="s">
        <v>997</v>
      </c>
      <c r="E522" s="135" t="s">
        <v>97</v>
      </c>
      <c r="F522" s="135" t="s">
        <v>0</v>
      </c>
      <c r="G522" s="58" t="s">
        <v>648</v>
      </c>
      <c r="H522" s="119">
        <v>90</v>
      </c>
      <c r="I522" s="119" t="s">
        <v>306</v>
      </c>
      <c r="J522" s="119" t="s">
        <v>6</v>
      </c>
      <c r="K522" s="120" t="s">
        <v>17</v>
      </c>
      <c r="L522" s="93" t="s">
        <v>3077</v>
      </c>
      <c r="M522" s="94" t="s">
        <v>3380</v>
      </c>
      <c r="N522" s="95" t="s">
        <v>3042</v>
      </c>
      <c r="O522" s="122">
        <v>1</v>
      </c>
      <c r="P522" s="153">
        <f>137/7*O522</f>
        <v>19.571428571428573</v>
      </c>
      <c r="Q522" s="122" t="s">
        <v>16</v>
      </c>
      <c r="R522" s="145">
        <f>13.4-4.6</f>
        <v>8.8000000000000007</v>
      </c>
      <c r="S522" s="95"/>
      <c r="T522" s="98"/>
      <c r="U522" s="125">
        <f>R522*P522</f>
        <v>172.22857142857146</v>
      </c>
      <c r="V522" s="113">
        <f t="shared" si="112"/>
        <v>1.913650793650794</v>
      </c>
      <c r="W522" s="114">
        <f t="shared" si="113"/>
        <v>0.2733786848072563</v>
      </c>
      <c r="X522" s="95"/>
      <c r="Y522" s="95"/>
      <c r="Z522" s="102"/>
      <c r="AA522" s="103">
        <v>45777</v>
      </c>
      <c r="AB522" s="103">
        <v>45807</v>
      </c>
      <c r="AC522" s="103"/>
      <c r="AD522" s="102">
        <f>IF(ISNA(VLOOKUP(D522,亚马逊入库配置费!B:F,5,0)),0,VLOOKUP(D522,亚马逊入库配置费!B:F,5,0))</f>
        <v>0.34</v>
      </c>
      <c r="AE522" s="102">
        <f t="shared" si="123"/>
        <v>30.6</v>
      </c>
      <c r="AF522" s="103">
        <v>45858</v>
      </c>
      <c r="AG522" s="91">
        <f t="shared" si="124"/>
        <v>81</v>
      </c>
      <c r="AH522" s="103">
        <v>45858</v>
      </c>
      <c r="AI522" s="103">
        <v>45887</v>
      </c>
      <c r="AJ522" s="96">
        <v>90</v>
      </c>
      <c r="AK522" s="91">
        <f t="shared" si="125"/>
        <v>29</v>
      </c>
      <c r="AL522" s="96">
        <f t="shared" si="126"/>
        <v>110</v>
      </c>
      <c r="AM522" s="92"/>
      <c r="AN522" s="91"/>
      <c r="AO522" s="91"/>
    </row>
    <row r="523" spans="1:41" ht="14.5" x14ac:dyDescent="0.25">
      <c r="A523" s="92" t="s">
        <v>999</v>
      </c>
      <c r="B523" s="91" t="s">
        <v>3415</v>
      </c>
      <c r="C523" s="119" t="s">
        <v>1000</v>
      </c>
      <c r="D523" s="120" t="s">
        <v>1001</v>
      </c>
      <c r="E523" s="135" t="s">
        <v>97</v>
      </c>
      <c r="F523" s="135" t="s">
        <v>0</v>
      </c>
      <c r="G523" s="58" t="s">
        <v>88</v>
      </c>
      <c r="H523" s="119">
        <v>1476</v>
      </c>
      <c r="I523" s="119" t="s">
        <v>89</v>
      </c>
      <c r="J523" s="119" t="s">
        <v>8</v>
      </c>
      <c r="K523" s="120" t="s">
        <v>17</v>
      </c>
      <c r="L523" s="93" t="s">
        <v>3014</v>
      </c>
      <c r="M523" s="94" t="s">
        <v>3286</v>
      </c>
      <c r="N523" s="95" t="s">
        <v>2821</v>
      </c>
      <c r="O523" s="122">
        <v>82</v>
      </c>
      <c r="P523" s="153">
        <f>2100/99*O523</f>
        <v>1739.3939393939393</v>
      </c>
      <c r="Q523" s="122" t="s">
        <v>16</v>
      </c>
      <c r="R523" s="145">
        <v>6</v>
      </c>
      <c r="S523" s="95"/>
      <c r="T523" s="98"/>
      <c r="U523" s="125">
        <f t="shared" ref="U523:U539" si="127">R523*P523+350/265*O523</f>
        <v>10544.665523156089</v>
      </c>
      <c r="V523" s="113">
        <f t="shared" si="112"/>
        <v>7.1440823327615774</v>
      </c>
      <c r="W523" s="114">
        <f t="shared" si="113"/>
        <v>1.0205831903945111</v>
      </c>
      <c r="X523" s="95"/>
      <c r="Y523" s="95"/>
      <c r="Z523" s="102"/>
      <c r="AA523" s="103">
        <v>45777</v>
      </c>
      <c r="AB523" s="103">
        <v>45799</v>
      </c>
      <c r="AC523" s="103"/>
      <c r="AD523" s="102">
        <f>IF(ISNA(VLOOKUP(D523,亚马逊入库配置费!B:F,5,0)),0,VLOOKUP(D523,亚马逊入库配置费!B:F,5,0))</f>
        <v>0.49</v>
      </c>
      <c r="AE523" s="102">
        <f t="shared" si="123"/>
        <v>723.24</v>
      </c>
      <c r="AF523" s="103">
        <v>45812</v>
      </c>
      <c r="AG523" s="91">
        <f t="shared" si="124"/>
        <v>35</v>
      </c>
      <c r="AH523" s="103">
        <v>45812</v>
      </c>
      <c r="AI523" s="103">
        <v>45845</v>
      </c>
      <c r="AJ523" s="96">
        <v>1479</v>
      </c>
      <c r="AK523" s="91">
        <f t="shared" si="125"/>
        <v>33</v>
      </c>
      <c r="AL523" s="96">
        <f t="shared" si="126"/>
        <v>68</v>
      </c>
      <c r="AM523" s="92"/>
      <c r="AN523" s="91"/>
      <c r="AO523" s="91"/>
    </row>
    <row r="524" spans="1:41" ht="14.5" x14ac:dyDescent="0.25">
      <c r="A524" s="92" t="s">
        <v>1002</v>
      </c>
      <c r="B524" s="91" t="s">
        <v>3415</v>
      </c>
      <c r="C524" s="119" t="s">
        <v>1000</v>
      </c>
      <c r="D524" s="120" t="s">
        <v>1001</v>
      </c>
      <c r="E524" s="135" t="s">
        <v>97</v>
      </c>
      <c r="F524" s="135" t="s">
        <v>0</v>
      </c>
      <c r="G524" s="58" t="s">
        <v>93</v>
      </c>
      <c r="H524" s="119">
        <v>306</v>
      </c>
      <c r="I524" s="119" t="s">
        <v>89</v>
      </c>
      <c r="J524" s="119" t="s">
        <v>8</v>
      </c>
      <c r="K524" s="120" t="s">
        <v>17</v>
      </c>
      <c r="L524" s="93" t="s">
        <v>3015</v>
      </c>
      <c r="M524" s="94" t="s">
        <v>3288</v>
      </c>
      <c r="N524" s="95" t="s">
        <v>2821</v>
      </c>
      <c r="O524" s="122">
        <v>17</v>
      </c>
      <c r="P524" s="153">
        <f>2100/99*O524</f>
        <v>360.60606060606057</v>
      </c>
      <c r="Q524" s="122" t="s">
        <v>16</v>
      </c>
      <c r="R524" s="145">
        <v>6</v>
      </c>
      <c r="S524" s="95"/>
      <c r="T524" s="98"/>
      <c r="U524" s="125">
        <f t="shared" si="127"/>
        <v>2186.0891938250429</v>
      </c>
      <c r="V524" s="113">
        <f t="shared" si="112"/>
        <v>7.1440823327615783</v>
      </c>
      <c r="W524" s="114">
        <f t="shared" si="113"/>
        <v>1.0205831903945113</v>
      </c>
      <c r="X524" s="95"/>
      <c r="Y524" s="95"/>
      <c r="Z524" s="102"/>
      <c r="AA524" s="103">
        <v>45777</v>
      </c>
      <c r="AB524" s="103">
        <v>45799</v>
      </c>
      <c r="AC524" s="103"/>
      <c r="AD524" s="102">
        <f>IF(ISNA(VLOOKUP(D524,亚马逊入库配置费!B:F,5,0)),0,VLOOKUP(D524,亚马逊入库配置费!B:F,5,0))</f>
        <v>0.49</v>
      </c>
      <c r="AE524" s="102">
        <f t="shared" si="123"/>
        <v>149.94</v>
      </c>
      <c r="AF524" s="103">
        <v>45812</v>
      </c>
      <c r="AG524" s="91">
        <f t="shared" si="124"/>
        <v>35</v>
      </c>
      <c r="AH524" s="103">
        <v>45812</v>
      </c>
      <c r="AI524" s="103">
        <v>45845</v>
      </c>
      <c r="AJ524" s="96">
        <v>307</v>
      </c>
      <c r="AK524" s="91">
        <f t="shared" si="125"/>
        <v>33</v>
      </c>
      <c r="AL524" s="96">
        <f t="shared" si="126"/>
        <v>68</v>
      </c>
      <c r="AM524" s="92"/>
      <c r="AN524" s="91"/>
      <c r="AO524" s="91"/>
    </row>
    <row r="525" spans="1:41" ht="14.5" x14ac:dyDescent="0.25">
      <c r="A525" s="92" t="s">
        <v>1003</v>
      </c>
      <c r="B525" s="91" t="s">
        <v>3415</v>
      </c>
      <c r="C525" s="119" t="s">
        <v>1000</v>
      </c>
      <c r="D525" s="120" t="s">
        <v>1004</v>
      </c>
      <c r="E525" s="135" t="s">
        <v>287</v>
      </c>
      <c r="F525" s="135" t="s">
        <v>0</v>
      </c>
      <c r="G525" s="58" t="s">
        <v>884</v>
      </c>
      <c r="H525" s="119">
        <v>400</v>
      </c>
      <c r="I525" s="119" t="s">
        <v>89</v>
      </c>
      <c r="J525" s="119" t="s">
        <v>8</v>
      </c>
      <c r="K525" s="120" t="s">
        <v>17</v>
      </c>
      <c r="L525" s="93" t="s">
        <v>3084</v>
      </c>
      <c r="M525" s="94" t="s">
        <v>3402</v>
      </c>
      <c r="N525" s="95" t="s">
        <v>51</v>
      </c>
      <c r="O525" s="122">
        <v>25</v>
      </c>
      <c r="P525" s="153">
        <f>1005/57*O525</f>
        <v>440.78947368421052</v>
      </c>
      <c r="Q525" s="122" t="s">
        <v>16</v>
      </c>
      <c r="R525" s="145">
        <v>6</v>
      </c>
      <c r="S525" s="95"/>
      <c r="T525" s="98"/>
      <c r="U525" s="125">
        <f t="shared" si="127"/>
        <v>2677.7557100297918</v>
      </c>
      <c r="V525" s="113">
        <f t="shared" ref="V525:V588" si="128">U525/H525</f>
        <v>6.6943892750744798</v>
      </c>
      <c r="W525" s="114">
        <f t="shared" ref="W525:W588" si="129">V525/7</f>
        <v>0.95634132501063995</v>
      </c>
      <c r="X525" s="95"/>
      <c r="Y525" s="95"/>
      <c r="Z525" s="102"/>
      <c r="AA525" s="103">
        <v>45777</v>
      </c>
      <c r="AB525" s="103">
        <v>45799</v>
      </c>
      <c r="AC525" s="103"/>
      <c r="AD525" s="102">
        <f>IF(ISNA(VLOOKUP(D525,亚马逊入库配置费!B:F,5,0)),0,VLOOKUP(D525,亚马逊入库配置费!B:F,5,0))</f>
        <v>0.49</v>
      </c>
      <c r="AE525" s="102">
        <f t="shared" si="123"/>
        <v>196</v>
      </c>
      <c r="AF525" s="103">
        <v>45812</v>
      </c>
      <c r="AG525" s="91">
        <f t="shared" si="124"/>
        <v>35</v>
      </c>
      <c r="AH525" s="103">
        <v>45812</v>
      </c>
      <c r="AI525" s="103">
        <v>45845</v>
      </c>
      <c r="AJ525" s="96">
        <v>400</v>
      </c>
      <c r="AK525" s="91">
        <f t="shared" si="125"/>
        <v>33</v>
      </c>
      <c r="AL525" s="96">
        <f t="shared" si="126"/>
        <v>68</v>
      </c>
      <c r="AM525" s="92"/>
      <c r="AN525" s="91"/>
      <c r="AO525" s="91"/>
    </row>
    <row r="526" spans="1:41" ht="14.5" x14ac:dyDescent="0.25">
      <c r="A526" s="92" t="s">
        <v>1005</v>
      </c>
      <c r="B526" s="91" t="s">
        <v>3415</v>
      </c>
      <c r="C526" s="119" t="s">
        <v>1000</v>
      </c>
      <c r="D526" s="120" t="s">
        <v>1004</v>
      </c>
      <c r="E526" s="135" t="s">
        <v>287</v>
      </c>
      <c r="F526" s="135" t="s">
        <v>0</v>
      </c>
      <c r="G526" s="58" t="s">
        <v>1006</v>
      </c>
      <c r="H526" s="119">
        <v>272</v>
      </c>
      <c r="I526" s="119" t="s">
        <v>89</v>
      </c>
      <c r="J526" s="119" t="s">
        <v>8</v>
      </c>
      <c r="K526" s="120" t="s">
        <v>17</v>
      </c>
      <c r="L526" s="93" t="s">
        <v>3087</v>
      </c>
      <c r="M526" s="94" t="s">
        <v>3419</v>
      </c>
      <c r="N526" s="95" t="s">
        <v>51</v>
      </c>
      <c r="O526" s="122">
        <v>17</v>
      </c>
      <c r="P526" s="153">
        <f>1005/57*O526</f>
        <v>299.73684210526318</v>
      </c>
      <c r="Q526" s="122" t="s">
        <v>16</v>
      </c>
      <c r="R526" s="145">
        <v>6</v>
      </c>
      <c r="S526" s="95"/>
      <c r="T526" s="98"/>
      <c r="U526" s="125">
        <f t="shared" si="127"/>
        <v>1820.8738828202584</v>
      </c>
      <c r="V526" s="113">
        <f t="shared" si="128"/>
        <v>6.6943892750744789</v>
      </c>
      <c r="W526" s="114">
        <f t="shared" si="129"/>
        <v>0.95634132501063984</v>
      </c>
      <c r="X526" s="95"/>
      <c r="Y526" s="95"/>
      <c r="Z526" s="102"/>
      <c r="AA526" s="103">
        <v>45777</v>
      </c>
      <c r="AB526" s="103">
        <v>45799</v>
      </c>
      <c r="AC526" s="103"/>
      <c r="AD526" s="102">
        <f>IF(ISNA(VLOOKUP(D526,亚马逊入库配置费!B:F,5,0)),0,VLOOKUP(D526,亚马逊入库配置费!B:F,5,0))</f>
        <v>0.49</v>
      </c>
      <c r="AE526" s="102">
        <f t="shared" si="123"/>
        <v>133.28</v>
      </c>
      <c r="AF526" s="103">
        <v>45812</v>
      </c>
      <c r="AG526" s="91">
        <f t="shared" si="124"/>
        <v>35</v>
      </c>
      <c r="AH526" s="103">
        <v>45812</v>
      </c>
      <c r="AI526" s="103">
        <v>45845</v>
      </c>
      <c r="AJ526" s="96">
        <v>272</v>
      </c>
      <c r="AK526" s="91">
        <f t="shared" si="125"/>
        <v>33</v>
      </c>
      <c r="AL526" s="96">
        <f t="shared" si="126"/>
        <v>68</v>
      </c>
      <c r="AM526" s="92"/>
      <c r="AN526" s="91"/>
      <c r="AO526" s="91"/>
    </row>
    <row r="527" spans="1:41" ht="14.5" x14ac:dyDescent="0.25">
      <c r="A527" s="92" t="s">
        <v>1007</v>
      </c>
      <c r="B527" s="91" t="s">
        <v>3415</v>
      </c>
      <c r="C527" s="119" t="s">
        <v>1000</v>
      </c>
      <c r="D527" s="120" t="s">
        <v>1004</v>
      </c>
      <c r="E527" s="135" t="s">
        <v>287</v>
      </c>
      <c r="F527" s="135" t="s">
        <v>0</v>
      </c>
      <c r="G527" s="58" t="s">
        <v>886</v>
      </c>
      <c r="H527" s="119">
        <v>240</v>
      </c>
      <c r="I527" s="119" t="s">
        <v>89</v>
      </c>
      <c r="J527" s="119" t="s">
        <v>8</v>
      </c>
      <c r="K527" s="120" t="s">
        <v>17</v>
      </c>
      <c r="L527" s="93" t="s">
        <v>3085</v>
      </c>
      <c r="M527" s="94" t="s">
        <v>3403</v>
      </c>
      <c r="N527" s="95" t="s">
        <v>51</v>
      </c>
      <c r="O527" s="122">
        <v>15</v>
      </c>
      <c r="P527" s="153">
        <f>1005/57*O527</f>
        <v>264.4736842105263</v>
      </c>
      <c r="Q527" s="122" t="s">
        <v>16</v>
      </c>
      <c r="R527" s="145">
        <v>6</v>
      </c>
      <c r="S527" s="95"/>
      <c r="T527" s="98"/>
      <c r="U527" s="125">
        <f t="shared" si="127"/>
        <v>1606.6534260178748</v>
      </c>
      <c r="V527" s="113">
        <f t="shared" si="128"/>
        <v>6.6943892750744789</v>
      </c>
      <c r="W527" s="114">
        <f t="shared" si="129"/>
        <v>0.95634132501063984</v>
      </c>
      <c r="X527" s="95"/>
      <c r="Y527" s="95"/>
      <c r="Z527" s="102"/>
      <c r="AA527" s="103">
        <v>45777</v>
      </c>
      <c r="AB527" s="103">
        <v>45799</v>
      </c>
      <c r="AC527" s="103"/>
      <c r="AD527" s="102">
        <f>IF(ISNA(VLOOKUP(D527,亚马逊入库配置费!B:F,5,0)),0,VLOOKUP(D527,亚马逊入库配置费!B:F,5,0))</f>
        <v>0.49</v>
      </c>
      <c r="AE527" s="102">
        <f t="shared" si="123"/>
        <v>117.6</v>
      </c>
      <c r="AF527" s="103">
        <v>45812</v>
      </c>
      <c r="AG527" s="91">
        <f t="shared" si="124"/>
        <v>35</v>
      </c>
      <c r="AH527" s="103">
        <v>45812</v>
      </c>
      <c r="AI527" s="103">
        <v>45845</v>
      </c>
      <c r="AJ527" s="96">
        <v>240</v>
      </c>
      <c r="AK527" s="91">
        <f t="shared" si="125"/>
        <v>33</v>
      </c>
      <c r="AL527" s="96">
        <f t="shared" si="126"/>
        <v>68</v>
      </c>
      <c r="AM527" s="92"/>
      <c r="AN527" s="91"/>
      <c r="AO527" s="91"/>
    </row>
    <row r="528" spans="1:41" ht="14.5" x14ac:dyDescent="0.25">
      <c r="A528" s="92" t="s">
        <v>1008</v>
      </c>
      <c r="B528" s="91" t="s">
        <v>3415</v>
      </c>
      <c r="C528" s="119" t="s">
        <v>1000</v>
      </c>
      <c r="D528" s="120" t="s">
        <v>1009</v>
      </c>
      <c r="E528" s="135" t="s">
        <v>97</v>
      </c>
      <c r="F528" s="135" t="s">
        <v>0</v>
      </c>
      <c r="G528" s="58" t="s">
        <v>872</v>
      </c>
      <c r="H528" s="119">
        <v>420</v>
      </c>
      <c r="I528" s="119" t="s">
        <v>89</v>
      </c>
      <c r="J528" s="119" t="s">
        <v>8</v>
      </c>
      <c r="K528" s="120" t="s">
        <v>17</v>
      </c>
      <c r="L528" s="93" t="s">
        <v>872</v>
      </c>
      <c r="M528" s="94" t="s">
        <v>3399</v>
      </c>
      <c r="N528" s="95" t="s">
        <v>2870</v>
      </c>
      <c r="O528" s="122">
        <v>14</v>
      </c>
      <c r="P528" s="153">
        <f t="shared" ref="P528:P539" si="130">1458/109*O528</f>
        <v>187.26605504587155</v>
      </c>
      <c r="Q528" s="122" t="s">
        <v>16</v>
      </c>
      <c r="R528" s="145">
        <v>6</v>
      </c>
      <c r="S528" s="95"/>
      <c r="T528" s="98"/>
      <c r="U528" s="125">
        <f t="shared" si="127"/>
        <v>1142.0868963129651</v>
      </c>
      <c r="V528" s="113">
        <f t="shared" si="128"/>
        <v>2.7192545150308693</v>
      </c>
      <c r="W528" s="114">
        <f t="shared" si="129"/>
        <v>0.38846493071869564</v>
      </c>
      <c r="X528" s="95"/>
      <c r="Y528" s="95"/>
      <c r="Z528" s="102"/>
      <c r="AA528" s="103">
        <v>45777</v>
      </c>
      <c r="AB528" s="103">
        <v>45799</v>
      </c>
      <c r="AC528" s="103"/>
      <c r="AD528" s="102">
        <f>IF(ISNA(VLOOKUP(D528,亚马逊入库配置费!B:F,5,0)),0,VLOOKUP(D528,亚马逊入库配置费!B:F,5,0))</f>
        <v>0.37266666666666698</v>
      </c>
      <c r="AE528" s="102">
        <f t="shared" si="123"/>
        <v>156.52000000000012</v>
      </c>
      <c r="AF528" s="103">
        <v>45812</v>
      </c>
      <c r="AG528" s="91">
        <f t="shared" si="124"/>
        <v>35</v>
      </c>
      <c r="AH528" s="103">
        <v>45812</v>
      </c>
      <c r="AI528" s="103">
        <v>45843</v>
      </c>
      <c r="AJ528" s="96">
        <v>420</v>
      </c>
      <c r="AK528" s="91">
        <f t="shared" si="125"/>
        <v>31</v>
      </c>
      <c r="AL528" s="96">
        <f t="shared" si="126"/>
        <v>66</v>
      </c>
      <c r="AM528" s="92"/>
      <c r="AN528" s="91"/>
      <c r="AO528" s="91"/>
    </row>
    <row r="529" spans="1:41" ht="14.5" x14ac:dyDescent="0.25">
      <c r="A529" s="92" t="s">
        <v>1010</v>
      </c>
      <c r="B529" s="91" t="s">
        <v>3415</v>
      </c>
      <c r="C529" s="119" t="s">
        <v>1000</v>
      </c>
      <c r="D529" s="120" t="s">
        <v>1009</v>
      </c>
      <c r="E529" s="135" t="s">
        <v>97</v>
      </c>
      <c r="F529" s="135" t="s">
        <v>0</v>
      </c>
      <c r="G529" s="58" t="s">
        <v>231</v>
      </c>
      <c r="H529" s="119">
        <v>280</v>
      </c>
      <c r="I529" s="119" t="s">
        <v>89</v>
      </c>
      <c r="J529" s="119" t="s">
        <v>8</v>
      </c>
      <c r="K529" s="120" t="s">
        <v>17</v>
      </c>
      <c r="L529" s="93" t="s">
        <v>3037</v>
      </c>
      <c r="M529" s="94" t="s">
        <v>3207</v>
      </c>
      <c r="N529" s="95" t="s">
        <v>2870</v>
      </c>
      <c r="O529" s="122">
        <v>14</v>
      </c>
      <c r="P529" s="153">
        <f t="shared" si="130"/>
        <v>187.26605504587155</v>
      </c>
      <c r="Q529" s="122" t="s">
        <v>16</v>
      </c>
      <c r="R529" s="145">
        <v>6</v>
      </c>
      <c r="S529" s="95"/>
      <c r="T529" s="98"/>
      <c r="U529" s="125">
        <f t="shared" si="127"/>
        <v>1142.0868963129651</v>
      </c>
      <c r="V529" s="113">
        <f t="shared" si="128"/>
        <v>4.0788817725463042</v>
      </c>
      <c r="W529" s="114">
        <f t="shared" si="129"/>
        <v>0.58269739607804349</v>
      </c>
      <c r="X529" s="95"/>
      <c r="Y529" s="95"/>
      <c r="Z529" s="102"/>
      <c r="AA529" s="103">
        <v>45777</v>
      </c>
      <c r="AB529" s="103">
        <v>45799</v>
      </c>
      <c r="AC529" s="103"/>
      <c r="AD529" s="102">
        <f>IF(ISNA(VLOOKUP(D529,亚马逊入库配置费!B:F,5,0)),0,VLOOKUP(D529,亚马逊入库配置费!B:F,5,0))</f>
        <v>0.37266666666666698</v>
      </c>
      <c r="AE529" s="102">
        <f t="shared" si="123"/>
        <v>104.34666666666675</v>
      </c>
      <c r="AF529" s="103">
        <v>45812</v>
      </c>
      <c r="AG529" s="91">
        <f t="shared" si="124"/>
        <v>35</v>
      </c>
      <c r="AH529" s="103">
        <v>45812</v>
      </c>
      <c r="AI529" s="103">
        <v>45843</v>
      </c>
      <c r="AJ529" s="96">
        <v>280</v>
      </c>
      <c r="AK529" s="91">
        <f t="shared" si="125"/>
        <v>31</v>
      </c>
      <c r="AL529" s="96">
        <f t="shared" si="126"/>
        <v>66</v>
      </c>
      <c r="AM529" s="92"/>
      <c r="AN529" s="91"/>
      <c r="AO529" s="91"/>
    </row>
    <row r="530" spans="1:41" ht="14.5" x14ac:dyDescent="0.25">
      <c r="A530" s="92" t="s">
        <v>1011</v>
      </c>
      <c r="B530" s="91" t="s">
        <v>3415</v>
      </c>
      <c r="C530" s="119" t="s">
        <v>1000</v>
      </c>
      <c r="D530" s="120" t="s">
        <v>1009</v>
      </c>
      <c r="E530" s="135" t="s">
        <v>97</v>
      </c>
      <c r="F530" s="135" t="s">
        <v>0</v>
      </c>
      <c r="G530" s="58" t="s">
        <v>853</v>
      </c>
      <c r="H530" s="119">
        <v>280</v>
      </c>
      <c r="I530" s="119" t="s">
        <v>89</v>
      </c>
      <c r="J530" s="119" t="s">
        <v>8</v>
      </c>
      <c r="K530" s="120" t="s">
        <v>17</v>
      </c>
      <c r="L530" s="93" t="s">
        <v>853</v>
      </c>
      <c r="M530" s="94" t="s">
        <v>3396</v>
      </c>
      <c r="N530" s="95" t="s">
        <v>2870</v>
      </c>
      <c r="O530" s="122">
        <v>7</v>
      </c>
      <c r="P530" s="153">
        <f t="shared" si="130"/>
        <v>93.633027522935777</v>
      </c>
      <c r="Q530" s="122" t="s">
        <v>16</v>
      </c>
      <c r="R530" s="145">
        <v>6</v>
      </c>
      <c r="S530" s="95"/>
      <c r="T530" s="98"/>
      <c r="U530" s="125">
        <f t="shared" si="127"/>
        <v>571.04344815648255</v>
      </c>
      <c r="V530" s="113">
        <f t="shared" si="128"/>
        <v>2.0394408862731521</v>
      </c>
      <c r="W530" s="114">
        <f t="shared" si="129"/>
        <v>0.29134869803902175</v>
      </c>
      <c r="X530" s="95"/>
      <c r="Y530" s="95"/>
      <c r="Z530" s="102"/>
      <c r="AA530" s="103">
        <v>45777</v>
      </c>
      <c r="AB530" s="103">
        <v>45799</v>
      </c>
      <c r="AC530" s="103"/>
      <c r="AD530" s="102">
        <f>IF(ISNA(VLOOKUP(D530,亚马逊入库配置费!B:F,5,0)),0,VLOOKUP(D530,亚马逊入库配置费!B:F,5,0))</f>
        <v>0.37266666666666698</v>
      </c>
      <c r="AE530" s="102">
        <f t="shared" si="123"/>
        <v>104.34666666666675</v>
      </c>
      <c r="AF530" s="103">
        <v>45812</v>
      </c>
      <c r="AG530" s="91">
        <f t="shared" si="124"/>
        <v>35</v>
      </c>
      <c r="AH530" s="103">
        <v>45812</v>
      </c>
      <c r="AI530" s="103">
        <v>45843</v>
      </c>
      <c r="AJ530" s="96">
        <v>280</v>
      </c>
      <c r="AK530" s="91">
        <f t="shared" si="125"/>
        <v>31</v>
      </c>
      <c r="AL530" s="96">
        <f t="shared" si="126"/>
        <v>66</v>
      </c>
      <c r="AM530" s="92"/>
      <c r="AN530" s="91"/>
      <c r="AO530" s="91"/>
    </row>
    <row r="531" spans="1:41" ht="14.5" x14ac:dyDescent="0.25">
      <c r="A531" s="92" t="s">
        <v>1012</v>
      </c>
      <c r="B531" s="91" t="s">
        <v>3415</v>
      </c>
      <c r="C531" s="119" t="s">
        <v>1000</v>
      </c>
      <c r="D531" s="120" t="s">
        <v>1009</v>
      </c>
      <c r="E531" s="135" t="s">
        <v>97</v>
      </c>
      <c r="F531" s="135" t="s">
        <v>0</v>
      </c>
      <c r="G531" s="58" t="s">
        <v>786</v>
      </c>
      <c r="H531" s="119">
        <v>120</v>
      </c>
      <c r="I531" s="119" t="s">
        <v>89</v>
      </c>
      <c r="J531" s="119" t="s">
        <v>8</v>
      </c>
      <c r="K531" s="120" t="s">
        <v>17</v>
      </c>
      <c r="L531" s="93" t="s">
        <v>786</v>
      </c>
      <c r="M531" s="94" t="s">
        <v>3395</v>
      </c>
      <c r="N531" s="95" t="s">
        <v>2870</v>
      </c>
      <c r="O531" s="122">
        <v>3</v>
      </c>
      <c r="P531" s="153">
        <f t="shared" si="130"/>
        <v>40.128440366972477</v>
      </c>
      <c r="Q531" s="122" t="s">
        <v>16</v>
      </c>
      <c r="R531" s="145">
        <v>6</v>
      </c>
      <c r="S531" s="95"/>
      <c r="T531" s="98"/>
      <c r="U531" s="125">
        <f t="shared" si="127"/>
        <v>244.73290635277823</v>
      </c>
      <c r="V531" s="113">
        <f t="shared" si="128"/>
        <v>2.0394408862731521</v>
      </c>
      <c r="W531" s="114">
        <f t="shared" si="129"/>
        <v>0.29134869803902175</v>
      </c>
      <c r="X531" s="95"/>
      <c r="Y531" s="95"/>
      <c r="Z531" s="102"/>
      <c r="AA531" s="103">
        <v>45777</v>
      </c>
      <c r="AB531" s="103">
        <v>45799</v>
      </c>
      <c r="AC531" s="103"/>
      <c r="AD531" s="102">
        <f>IF(ISNA(VLOOKUP(D531,亚马逊入库配置费!B:F,5,0)),0,VLOOKUP(D531,亚马逊入库配置费!B:F,5,0))</f>
        <v>0.37266666666666698</v>
      </c>
      <c r="AE531" s="102">
        <f t="shared" si="123"/>
        <v>44.720000000000034</v>
      </c>
      <c r="AF531" s="103">
        <v>45812</v>
      </c>
      <c r="AG531" s="91">
        <f t="shared" si="124"/>
        <v>35</v>
      </c>
      <c r="AH531" s="103">
        <v>45812</v>
      </c>
      <c r="AI531" s="103">
        <v>45843</v>
      </c>
      <c r="AJ531" s="96">
        <v>120</v>
      </c>
      <c r="AK531" s="91">
        <f t="shared" si="125"/>
        <v>31</v>
      </c>
      <c r="AL531" s="96">
        <f t="shared" si="126"/>
        <v>66</v>
      </c>
      <c r="AM531" s="92"/>
      <c r="AN531" s="91"/>
      <c r="AO531" s="91"/>
    </row>
    <row r="532" spans="1:41" ht="14.5" x14ac:dyDescent="0.25">
      <c r="A532" s="92" t="s">
        <v>1013</v>
      </c>
      <c r="B532" s="91" t="s">
        <v>3415</v>
      </c>
      <c r="C532" s="119" t="s">
        <v>1000</v>
      </c>
      <c r="D532" s="120" t="s">
        <v>1009</v>
      </c>
      <c r="E532" s="135" t="s">
        <v>97</v>
      </c>
      <c r="F532" s="135" t="s">
        <v>0</v>
      </c>
      <c r="G532" s="58" t="s">
        <v>355</v>
      </c>
      <c r="H532" s="119">
        <v>200</v>
      </c>
      <c r="I532" s="119" t="s">
        <v>89</v>
      </c>
      <c r="J532" s="119" t="s">
        <v>8</v>
      </c>
      <c r="K532" s="120" t="s">
        <v>17</v>
      </c>
      <c r="L532" s="93" t="s">
        <v>2712</v>
      </c>
      <c r="M532" s="94" t="s">
        <v>3216</v>
      </c>
      <c r="N532" s="95" t="s">
        <v>3050</v>
      </c>
      <c r="O532" s="122">
        <v>1</v>
      </c>
      <c r="P532" s="153">
        <f t="shared" si="130"/>
        <v>13.376146788990825</v>
      </c>
      <c r="Q532" s="122" t="s">
        <v>16</v>
      </c>
      <c r="R532" s="145">
        <v>6</v>
      </c>
      <c r="S532" s="95"/>
      <c r="T532" s="98"/>
      <c r="U532" s="125">
        <f t="shared" si="127"/>
        <v>81.577635450926081</v>
      </c>
      <c r="V532" s="113">
        <f t="shared" si="128"/>
        <v>0.40788817725463039</v>
      </c>
      <c r="W532" s="114">
        <f t="shared" si="129"/>
        <v>5.8269739607804343E-2</v>
      </c>
      <c r="X532" s="95"/>
      <c r="Y532" s="95"/>
      <c r="Z532" s="102"/>
      <c r="AA532" s="103">
        <v>45777</v>
      </c>
      <c r="AB532" s="103">
        <v>45799</v>
      </c>
      <c r="AC532" s="103"/>
      <c r="AD532" s="102">
        <f>IF(ISNA(VLOOKUP(D532,亚马逊入库配置费!B:F,5,0)),0,VLOOKUP(D532,亚马逊入库配置费!B:F,5,0))</f>
        <v>0.37266666666666698</v>
      </c>
      <c r="AE532" s="102">
        <f t="shared" si="123"/>
        <v>74.533333333333402</v>
      </c>
      <c r="AF532" s="103">
        <v>45812</v>
      </c>
      <c r="AG532" s="91">
        <f t="shared" si="124"/>
        <v>35</v>
      </c>
      <c r="AH532" s="103">
        <v>45812</v>
      </c>
      <c r="AI532" s="103">
        <v>45843</v>
      </c>
      <c r="AJ532" s="96">
        <v>200</v>
      </c>
      <c r="AK532" s="91">
        <f t="shared" si="125"/>
        <v>31</v>
      </c>
      <c r="AL532" s="96">
        <f t="shared" si="126"/>
        <v>66</v>
      </c>
      <c r="AM532" s="92"/>
      <c r="AN532" s="91"/>
      <c r="AO532" s="91"/>
    </row>
    <row r="533" spans="1:41" ht="14.5" x14ac:dyDescent="0.25">
      <c r="A533" s="92" t="s">
        <v>1014</v>
      </c>
      <c r="B533" s="91" t="s">
        <v>3415</v>
      </c>
      <c r="C533" s="119" t="s">
        <v>1000</v>
      </c>
      <c r="D533" s="120" t="s">
        <v>1009</v>
      </c>
      <c r="E533" s="135" t="s">
        <v>97</v>
      </c>
      <c r="F533" s="135" t="s">
        <v>0</v>
      </c>
      <c r="G533" s="58" t="s">
        <v>355</v>
      </c>
      <c r="H533" s="119">
        <v>100</v>
      </c>
      <c r="I533" s="119" t="s">
        <v>89</v>
      </c>
      <c r="J533" s="119" t="s">
        <v>8</v>
      </c>
      <c r="K533" s="120" t="s">
        <v>17</v>
      </c>
      <c r="L533" s="93" t="s">
        <v>2712</v>
      </c>
      <c r="M533" s="94" t="s">
        <v>3216</v>
      </c>
      <c r="N533" s="95" t="s">
        <v>3050</v>
      </c>
      <c r="O533" s="122">
        <v>0.5</v>
      </c>
      <c r="P533" s="153">
        <f t="shared" si="130"/>
        <v>6.6880733944954125</v>
      </c>
      <c r="Q533" s="122" t="s">
        <v>16</v>
      </c>
      <c r="R533" s="145">
        <v>6</v>
      </c>
      <c r="S533" s="95"/>
      <c r="T533" s="98"/>
      <c r="U533" s="125">
        <f t="shared" si="127"/>
        <v>40.788817725463041</v>
      </c>
      <c r="V533" s="113">
        <f t="shared" si="128"/>
        <v>0.40788817725463039</v>
      </c>
      <c r="W533" s="114">
        <f t="shared" si="129"/>
        <v>5.8269739607804343E-2</v>
      </c>
      <c r="X533" s="95"/>
      <c r="Y533" s="95"/>
      <c r="Z533" s="102"/>
      <c r="AA533" s="103">
        <v>45777</v>
      </c>
      <c r="AB533" s="103">
        <v>45799</v>
      </c>
      <c r="AC533" s="103"/>
      <c r="AD533" s="102">
        <f>IF(ISNA(VLOOKUP(D533,亚马逊入库配置费!B:F,5,0)),0,VLOOKUP(D533,亚马逊入库配置费!B:F,5,0))</f>
        <v>0.37266666666666698</v>
      </c>
      <c r="AE533" s="102">
        <f t="shared" si="123"/>
        <v>37.266666666666701</v>
      </c>
      <c r="AF533" s="103">
        <v>45812</v>
      </c>
      <c r="AG533" s="91">
        <f t="shared" si="124"/>
        <v>35</v>
      </c>
      <c r="AH533" s="103">
        <v>45812</v>
      </c>
      <c r="AI533" s="103">
        <v>45843</v>
      </c>
      <c r="AJ533" s="96">
        <v>93</v>
      </c>
      <c r="AK533" s="91">
        <f t="shared" si="125"/>
        <v>31</v>
      </c>
      <c r="AL533" s="96">
        <f t="shared" si="126"/>
        <v>66</v>
      </c>
      <c r="AM533" s="92"/>
      <c r="AN533" s="91"/>
      <c r="AO533" s="91"/>
    </row>
    <row r="534" spans="1:41" ht="14.5" x14ac:dyDescent="0.25">
      <c r="A534" s="92" t="s">
        <v>1015</v>
      </c>
      <c r="B534" s="91" t="s">
        <v>3415</v>
      </c>
      <c r="C534" s="119" t="s">
        <v>1000</v>
      </c>
      <c r="D534" s="120" t="s">
        <v>1009</v>
      </c>
      <c r="E534" s="135" t="s">
        <v>97</v>
      </c>
      <c r="F534" s="135" t="s">
        <v>0</v>
      </c>
      <c r="G534" s="58" t="s">
        <v>357</v>
      </c>
      <c r="H534" s="119">
        <v>100</v>
      </c>
      <c r="I534" s="119" t="s">
        <v>89</v>
      </c>
      <c r="J534" s="119" t="s">
        <v>8</v>
      </c>
      <c r="K534" s="120" t="s">
        <v>17</v>
      </c>
      <c r="L534" s="93" t="s">
        <v>3051</v>
      </c>
      <c r="M534" s="94" t="s">
        <v>3337</v>
      </c>
      <c r="N534" s="95" t="s">
        <v>3050</v>
      </c>
      <c r="O534" s="122">
        <v>0.5</v>
      </c>
      <c r="P534" s="153">
        <f t="shared" si="130"/>
        <v>6.6880733944954125</v>
      </c>
      <c r="Q534" s="122" t="s">
        <v>16</v>
      </c>
      <c r="R534" s="145">
        <v>6</v>
      </c>
      <c r="S534" s="95"/>
      <c r="T534" s="98"/>
      <c r="U534" s="125">
        <f t="shared" si="127"/>
        <v>40.788817725463041</v>
      </c>
      <c r="V534" s="113">
        <f t="shared" si="128"/>
        <v>0.40788817725463039</v>
      </c>
      <c r="W534" s="114">
        <f t="shared" si="129"/>
        <v>5.8269739607804343E-2</v>
      </c>
      <c r="X534" s="95"/>
      <c r="Y534" s="95"/>
      <c r="Z534" s="102"/>
      <c r="AA534" s="103">
        <v>45777</v>
      </c>
      <c r="AB534" s="103">
        <v>45799</v>
      </c>
      <c r="AC534" s="103"/>
      <c r="AD534" s="102">
        <f>IF(ISNA(VLOOKUP(D534,亚马逊入库配置费!B:F,5,0)),0,VLOOKUP(D534,亚马逊入库配置费!B:F,5,0))</f>
        <v>0.37266666666666698</v>
      </c>
      <c r="AE534" s="102">
        <f t="shared" si="123"/>
        <v>37.266666666666701</v>
      </c>
      <c r="AF534" s="103">
        <v>45812</v>
      </c>
      <c r="AG534" s="91">
        <f t="shared" si="124"/>
        <v>35</v>
      </c>
      <c r="AH534" s="103">
        <v>45812</v>
      </c>
      <c r="AI534" s="103">
        <v>45843</v>
      </c>
      <c r="AJ534" s="96">
        <v>96</v>
      </c>
      <c r="AK534" s="91">
        <f t="shared" si="125"/>
        <v>31</v>
      </c>
      <c r="AL534" s="96">
        <f t="shared" si="126"/>
        <v>66</v>
      </c>
      <c r="AM534" s="92"/>
      <c r="AN534" s="91"/>
      <c r="AO534" s="91"/>
    </row>
    <row r="535" spans="1:41" ht="14.5" x14ac:dyDescent="0.25">
      <c r="A535" s="92" t="s">
        <v>1016</v>
      </c>
      <c r="B535" s="91" t="s">
        <v>3415</v>
      </c>
      <c r="C535" s="119" t="s">
        <v>1000</v>
      </c>
      <c r="D535" s="120" t="s">
        <v>1017</v>
      </c>
      <c r="E535" s="135" t="s">
        <v>115</v>
      </c>
      <c r="F535" s="135" t="s">
        <v>0</v>
      </c>
      <c r="G535" s="58" t="s">
        <v>209</v>
      </c>
      <c r="H535" s="119">
        <v>192</v>
      </c>
      <c r="I535" s="119" t="s">
        <v>89</v>
      </c>
      <c r="J535" s="119" t="s">
        <v>8</v>
      </c>
      <c r="K535" s="120" t="s">
        <v>17</v>
      </c>
      <c r="L535" s="93" t="s">
        <v>3033</v>
      </c>
      <c r="M535" s="94" t="s">
        <v>3311</v>
      </c>
      <c r="N535" s="95" t="s">
        <v>2869</v>
      </c>
      <c r="O535" s="122">
        <v>12</v>
      </c>
      <c r="P535" s="153">
        <f t="shared" si="130"/>
        <v>160.51376146788991</v>
      </c>
      <c r="Q535" s="122" t="s">
        <v>16</v>
      </c>
      <c r="R535" s="145">
        <v>6</v>
      </c>
      <c r="S535" s="95"/>
      <c r="T535" s="98"/>
      <c r="U535" s="125">
        <f t="shared" si="127"/>
        <v>978.93162541111292</v>
      </c>
      <c r="V535" s="113">
        <f t="shared" si="128"/>
        <v>5.0986022156828801</v>
      </c>
      <c r="W535" s="114">
        <f t="shared" si="129"/>
        <v>0.72837174509755431</v>
      </c>
      <c r="X535" s="95"/>
      <c r="Y535" s="95"/>
      <c r="Z535" s="102"/>
      <c r="AA535" s="103">
        <v>45777</v>
      </c>
      <c r="AB535" s="103">
        <v>45799</v>
      </c>
      <c r="AC535" s="103"/>
      <c r="AD535" s="102">
        <f>IF(ISNA(VLOOKUP(D535,亚马逊入库配置费!B:F,5,0)),0,VLOOKUP(D535,亚马逊入库配置费!B:F,5,0))</f>
        <v>0.41807570977918002</v>
      </c>
      <c r="AE535" s="102">
        <f t="shared" si="123"/>
        <v>80.270536277602559</v>
      </c>
      <c r="AF535" s="103">
        <v>45812</v>
      </c>
      <c r="AG535" s="91">
        <f t="shared" si="124"/>
        <v>35</v>
      </c>
      <c r="AH535" s="103">
        <v>45812</v>
      </c>
      <c r="AI535" s="103">
        <v>45846</v>
      </c>
      <c r="AJ535" s="96">
        <v>192</v>
      </c>
      <c r="AK535" s="91">
        <f t="shared" si="125"/>
        <v>34</v>
      </c>
      <c r="AL535" s="96">
        <f t="shared" si="126"/>
        <v>69</v>
      </c>
      <c r="AM535" s="92"/>
      <c r="AN535" s="91"/>
      <c r="AO535" s="91"/>
    </row>
    <row r="536" spans="1:41" ht="14.5" x14ac:dyDescent="0.25">
      <c r="A536" s="92" t="s">
        <v>1018</v>
      </c>
      <c r="B536" s="91" t="s">
        <v>3415</v>
      </c>
      <c r="C536" s="119" t="s">
        <v>1000</v>
      </c>
      <c r="D536" s="120" t="s">
        <v>1017</v>
      </c>
      <c r="E536" s="135" t="s">
        <v>115</v>
      </c>
      <c r="F536" s="135" t="s">
        <v>0</v>
      </c>
      <c r="G536" s="58" t="s">
        <v>211</v>
      </c>
      <c r="H536" s="119">
        <v>840</v>
      </c>
      <c r="I536" s="119" t="s">
        <v>89</v>
      </c>
      <c r="J536" s="119" t="s">
        <v>8</v>
      </c>
      <c r="K536" s="120" t="s">
        <v>17</v>
      </c>
      <c r="L536" s="93" t="s">
        <v>3034</v>
      </c>
      <c r="M536" s="94" t="s">
        <v>3312</v>
      </c>
      <c r="N536" s="95" t="s">
        <v>2869</v>
      </c>
      <c r="O536" s="122">
        <v>28</v>
      </c>
      <c r="P536" s="153">
        <f t="shared" si="130"/>
        <v>374.53211009174311</v>
      </c>
      <c r="Q536" s="122" t="s">
        <v>16</v>
      </c>
      <c r="R536" s="145">
        <v>6</v>
      </c>
      <c r="S536" s="95"/>
      <c r="T536" s="98"/>
      <c r="U536" s="125">
        <f t="shared" si="127"/>
        <v>2284.1737926259302</v>
      </c>
      <c r="V536" s="113">
        <f t="shared" si="128"/>
        <v>2.7192545150308693</v>
      </c>
      <c r="W536" s="114">
        <f t="shared" si="129"/>
        <v>0.38846493071869564</v>
      </c>
      <c r="X536" s="95"/>
      <c r="Y536" s="95"/>
      <c r="Z536" s="102"/>
      <c r="AA536" s="103">
        <v>45777</v>
      </c>
      <c r="AB536" s="103">
        <v>45799</v>
      </c>
      <c r="AC536" s="103"/>
      <c r="AD536" s="102">
        <f>IF(ISNA(VLOOKUP(D536,亚马逊入库配置费!B:F,5,0)),0,VLOOKUP(D536,亚马逊入库配置费!B:F,5,0))</f>
        <v>0.41807570977918002</v>
      </c>
      <c r="AE536" s="102">
        <f t="shared" si="123"/>
        <v>351.18359621451123</v>
      </c>
      <c r="AF536" s="103">
        <v>45812</v>
      </c>
      <c r="AG536" s="91">
        <f t="shared" si="124"/>
        <v>35</v>
      </c>
      <c r="AH536" s="103">
        <v>45812</v>
      </c>
      <c r="AI536" s="103">
        <v>45846</v>
      </c>
      <c r="AJ536" s="96">
        <v>840</v>
      </c>
      <c r="AK536" s="91">
        <f t="shared" si="125"/>
        <v>34</v>
      </c>
      <c r="AL536" s="96">
        <f t="shared" si="126"/>
        <v>69</v>
      </c>
      <c r="AM536" s="92"/>
      <c r="AN536" s="91"/>
      <c r="AO536" s="91"/>
    </row>
    <row r="537" spans="1:41" ht="14.5" x14ac:dyDescent="0.25">
      <c r="A537" s="92" t="s">
        <v>1019</v>
      </c>
      <c r="B537" s="91" t="s">
        <v>3415</v>
      </c>
      <c r="C537" s="119" t="s">
        <v>1000</v>
      </c>
      <c r="D537" s="120" t="s">
        <v>1017</v>
      </c>
      <c r="E537" s="135" t="s">
        <v>115</v>
      </c>
      <c r="F537" s="135" t="s">
        <v>0</v>
      </c>
      <c r="G537" s="58" t="s">
        <v>864</v>
      </c>
      <c r="H537" s="119">
        <v>300</v>
      </c>
      <c r="I537" s="119" t="s">
        <v>89</v>
      </c>
      <c r="J537" s="119" t="s">
        <v>8</v>
      </c>
      <c r="K537" s="120" t="s">
        <v>17</v>
      </c>
      <c r="L537" s="93" t="s">
        <v>864</v>
      </c>
      <c r="M537" s="94" t="s">
        <v>3397</v>
      </c>
      <c r="N537" s="95" t="s">
        <v>2869</v>
      </c>
      <c r="O537" s="122">
        <v>10</v>
      </c>
      <c r="P537" s="153">
        <f t="shared" si="130"/>
        <v>133.76146788990826</v>
      </c>
      <c r="Q537" s="122" t="s">
        <v>16</v>
      </c>
      <c r="R537" s="145">
        <v>6</v>
      </c>
      <c r="S537" s="95"/>
      <c r="T537" s="98"/>
      <c r="U537" s="125">
        <f t="shared" si="127"/>
        <v>815.77635450926084</v>
      </c>
      <c r="V537" s="113">
        <f t="shared" si="128"/>
        <v>2.7192545150308693</v>
      </c>
      <c r="W537" s="114">
        <f t="shared" si="129"/>
        <v>0.38846493071869564</v>
      </c>
      <c r="X537" s="95"/>
      <c r="Y537" s="95"/>
      <c r="Z537" s="102"/>
      <c r="AA537" s="103">
        <v>45777</v>
      </c>
      <c r="AB537" s="103">
        <v>45799</v>
      </c>
      <c r="AC537" s="103"/>
      <c r="AD537" s="102">
        <f>IF(ISNA(VLOOKUP(D537,亚马逊入库配置费!B:F,5,0)),0,VLOOKUP(D537,亚马逊入库配置费!B:F,5,0))</f>
        <v>0.41807570977918002</v>
      </c>
      <c r="AE537" s="102">
        <f t="shared" si="123"/>
        <v>125.422712933754</v>
      </c>
      <c r="AF537" s="103">
        <v>45812</v>
      </c>
      <c r="AG537" s="91">
        <f t="shared" si="124"/>
        <v>35</v>
      </c>
      <c r="AH537" s="103">
        <v>45812</v>
      </c>
      <c r="AI537" s="103">
        <v>45846</v>
      </c>
      <c r="AJ537" s="96">
        <v>300</v>
      </c>
      <c r="AK537" s="91">
        <f t="shared" si="125"/>
        <v>34</v>
      </c>
      <c r="AL537" s="96">
        <f t="shared" si="126"/>
        <v>69</v>
      </c>
      <c r="AM537" s="92"/>
      <c r="AN537" s="91"/>
      <c r="AO537" s="91"/>
    </row>
    <row r="538" spans="1:41" ht="14.5" x14ac:dyDescent="0.25">
      <c r="A538" s="92" t="s">
        <v>1020</v>
      </c>
      <c r="B538" s="91" t="s">
        <v>3415</v>
      </c>
      <c r="C538" s="119" t="s">
        <v>1000</v>
      </c>
      <c r="D538" s="120" t="s">
        <v>1017</v>
      </c>
      <c r="E538" s="135" t="s">
        <v>115</v>
      </c>
      <c r="F538" s="135" t="s">
        <v>0</v>
      </c>
      <c r="G538" s="58" t="s">
        <v>606</v>
      </c>
      <c r="H538" s="119">
        <v>330</v>
      </c>
      <c r="I538" s="119" t="s">
        <v>89</v>
      </c>
      <c r="J538" s="119" t="s">
        <v>8</v>
      </c>
      <c r="K538" s="120" t="s">
        <v>17</v>
      </c>
      <c r="L538" s="93" t="s">
        <v>3075</v>
      </c>
      <c r="M538" s="94" t="s">
        <v>3376</v>
      </c>
      <c r="N538" s="95" t="s">
        <v>2869</v>
      </c>
      <c r="O538" s="122">
        <v>11</v>
      </c>
      <c r="P538" s="153">
        <f t="shared" si="130"/>
        <v>147.13761467889907</v>
      </c>
      <c r="Q538" s="122" t="s">
        <v>16</v>
      </c>
      <c r="R538" s="145">
        <v>6</v>
      </c>
      <c r="S538" s="95"/>
      <c r="T538" s="98"/>
      <c r="U538" s="125">
        <f t="shared" si="127"/>
        <v>897.35398996018682</v>
      </c>
      <c r="V538" s="113">
        <f t="shared" si="128"/>
        <v>2.7192545150308693</v>
      </c>
      <c r="W538" s="114">
        <f t="shared" si="129"/>
        <v>0.38846493071869564</v>
      </c>
      <c r="X538" s="95"/>
      <c r="Y538" s="95"/>
      <c r="Z538" s="102"/>
      <c r="AA538" s="103">
        <v>45777</v>
      </c>
      <c r="AB538" s="103">
        <v>45799</v>
      </c>
      <c r="AC538" s="103"/>
      <c r="AD538" s="102">
        <f>IF(ISNA(VLOOKUP(D538,亚马逊入库配置费!B:F,5,0)),0,VLOOKUP(D538,亚马逊入库配置费!B:F,5,0))</f>
        <v>0.41807570977918002</v>
      </c>
      <c r="AE538" s="102">
        <f t="shared" si="123"/>
        <v>137.96498422712941</v>
      </c>
      <c r="AF538" s="103">
        <v>45812</v>
      </c>
      <c r="AG538" s="91">
        <f t="shared" si="124"/>
        <v>35</v>
      </c>
      <c r="AH538" s="103">
        <v>45812</v>
      </c>
      <c r="AI538" s="103">
        <v>45846</v>
      </c>
      <c r="AJ538" s="96">
        <v>331</v>
      </c>
      <c r="AK538" s="91">
        <f t="shared" si="125"/>
        <v>34</v>
      </c>
      <c r="AL538" s="96">
        <f t="shared" si="126"/>
        <v>69</v>
      </c>
      <c r="AM538" s="92"/>
      <c r="AN538" s="91"/>
      <c r="AO538" s="91"/>
    </row>
    <row r="539" spans="1:41" ht="14.5" x14ac:dyDescent="0.25">
      <c r="A539" s="92" t="s">
        <v>1021</v>
      </c>
      <c r="B539" s="91" t="s">
        <v>3415</v>
      </c>
      <c r="C539" s="119" t="s">
        <v>1000</v>
      </c>
      <c r="D539" s="120" t="s">
        <v>1017</v>
      </c>
      <c r="E539" s="135" t="s">
        <v>115</v>
      </c>
      <c r="F539" s="135" t="s">
        <v>0</v>
      </c>
      <c r="G539" s="58" t="s">
        <v>866</v>
      </c>
      <c r="H539" s="119">
        <v>240</v>
      </c>
      <c r="I539" s="119" t="s">
        <v>89</v>
      </c>
      <c r="J539" s="119" t="s">
        <v>8</v>
      </c>
      <c r="K539" s="120" t="s">
        <v>17</v>
      </c>
      <c r="L539" s="93" t="s">
        <v>866</v>
      </c>
      <c r="M539" s="94" t="s">
        <v>3398</v>
      </c>
      <c r="N539" s="95" t="s">
        <v>2869</v>
      </c>
      <c r="O539" s="122">
        <v>8</v>
      </c>
      <c r="P539" s="153">
        <f t="shared" si="130"/>
        <v>107.0091743119266</v>
      </c>
      <c r="Q539" s="122" t="s">
        <v>16</v>
      </c>
      <c r="R539" s="145">
        <v>6</v>
      </c>
      <c r="S539" s="95"/>
      <c r="T539" s="98"/>
      <c r="U539" s="125">
        <f t="shared" si="127"/>
        <v>652.62108360740865</v>
      </c>
      <c r="V539" s="113">
        <f t="shared" si="128"/>
        <v>2.7192545150308693</v>
      </c>
      <c r="W539" s="114">
        <f t="shared" si="129"/>
        <v>0.38846493071869564</v>
      </c>
      <c r="X539" s="95"/>
      <c r="Y539" s="95"/>
      <c r="Z539" s="102"/>
      <c r="AA539" s="103">
        <v>45777</v>
      </c>
      <c r="AB539" s="103">
        <v>45799</v>
      </c>
      <c r="AC539" s="103"/>
      <c r="AD539" s="102">
        <f>IF(ISNA(VLOOKUP(D539,亚马逊入库配置费!B:F,5,0)),0,VLOOKUP(D539,亚马逊入库配置费!B:F,5,0))</f>
        <v>0.41807570977918002</v>
      </c>
      <c r="AE539" s="102">
        <f t="shared" si="123"/>
        <v>100.3381703470032</v>
      </c>
      <c r="AF539" s="103">
        <v>45812</v>
      </c>
      <c r="AG539" s="91">
        <f t="shared" si="124"/>
        <v>35</v>
      </c>
      <c r="AH539" s="103">
        <v>45812</v>
      </c>
      <c r="AI539" s="103">
        <v>45846</v>
      </c>
      <c r="AJ539" s="96">
        <v>240</v>
      </c>
      <c r="AK539" s="91">
        <f t="shared" si="125"/>
        <v>34</v>
      </c>
      <c r="AL539" s="96">
        <f t="shared" si="126"/>
        <v>69</v>
      </c>
      <c r="AM539" s="92"/>
      <c r="AN539" s="91"/>
      <c r="AO539" s="91"/>
    </row>
    <row r="540" spans="1:41" ht="14.5" x14ac:dyDescent="0.25">
      <c r="A540" s="92" t="s">
        <v>1022</v>
      </c>
      <c r="B540" s="91"/>
      <c r="C540" s="119" t="s">
        <v>1023</v>
      </c>
      <c r="D540" s="120" t="s">
        <v>1024</v>
      </c>
      <c r="E540" s="135" t="s">
        <v>97</v>
      </c>
      <c r="F540" s="135" t="s">
        <v>0</v>
      </c>
      <c r="G540" s="58" t="s">
        <v>228</v>
      </c>
      <c r="H540" s="119">
        <v>200</v>
      </c>
      <c r="I540" s="119" t="s">
        <v>207</v>
      </c>
      <c r="J540" s="119" t="s">
        <v>8</v>
      </c>
      <c r="K540" s="120" t="s">
        <v>17</v>
      </c>
      <c r="L540" s="93" t="s">
        <v>3036</v>
      </c>
      <c r="M540" s="94" t="s">
        <v>3315</v>
      </c>
      <c r="N540" s="95" t="s">
        <v>2870</v>
      </c>
      <c r="O540" s="132">
        <v>10</v>
      </c>
      <c r="P540" s="153">
        <f t="shared" ref="P540:P550" si="131">1674/118*O540</f>
        <v>141.86440677966101</v>
      </c>
      <c r="Q540" s="122" t="s">
        <v>16</v>
      </c>
      <c r="R540" s="145">
        <v>6.9249999999999998</v>
      </c>
      <c r="S540" s="95"/>
      <c r="T540" s="98"/>
      <c r="U540" s="125">
        <f t="shared" ref="U540:U550" si="132">R540*P540+350/118*O540</f>
        <v>1012.072033898305</v>
      </c>
      <c r="V540" s="113">
        <f t="shared" si="128"/>
        <v>5.060360169491525</v>
      </c>
      <c r="W540" s="114">
        <f t="shared" si="129"/>
        <v>0.72290859564164645</v>
      </c>
      <c r="X540" s="95"/>
      <c r="Y540" s="95"/>
      <c r="Z540" s="102"/>
      <c r="AA540" s="103">
        <v>45786</v>
      </c>
      <c r="AB540" s="103">
        <v>45790</v>
      </c>
      <c r="AC540" s="103"/>
      <c r="AD540" s="102">
        <f>IF(ISNA(VLOOKUP(D540,亚马逊入库配置费!B:F,5,0)),0,VLOOKUP(D540,亚马逊入库配置费!B:F,5,0))</f>
        <v>0.40329268292682902</v>
      </c>
      <c r="AE540" s="102">
        <f t="shared" si="123"/>
        <v>80.658536585365809</v>
      </c>
      <c r="AF540" s="103">
        <v>45822</v>
      </c>
      <c r="AG540" s="91">
        <f t="shared" si="124"/>
        <v>36</v>
      </c>
      <c r="AH540" s="103">
        <v>45822</v>
      </c>
      <c r="AI540" s="103">
        <v>45857</v>
      </c>
      <c r="AJ540" s="96">
        <v>164</v>
      </c>
      <c r="AK540" s="91">
        <f t="shared" si="125"/>
        <v>35</v>
      </c>
      <c r="AL540" s="96">
        <f t="shared" si="126"/>
        <v>71</v>
      </c>
      <c r="AM540" s="92"/>
      <c r="AN540" s="91"/>
      <c r="AO540" s="91"/>
    </row>
    <row r="541" spans="1:41" ht="14.5" x14ac:dyDescent="0.25">
      <c r="A541" s="92" t="s">
        <v>1025</v>
      </c>
      <c r="B541" s="91"/>
      <c r="C541" s="119" t="s">
        <v>1023</v>
      </c>
      <c r="D541" s="120" t="s">
        <v>1024</v>
      </c>
      <c r="E541" s="135" t="s">
        <v>97</v>
      </c>
      <c r="F541" s="135" t="s">
        <v>0</v>
      </c>
      <c r="G541" s="58" t="s">
        <v>163</v>
      </c>
      <c r="H541" s="119">
        <v>1000</v>
      </c>
      <c r="I541" s="119" t="s">
        <v>207</v>
      </c>
      <c r="J541" s="119" t="s">
        <v>8</v>
      </c>
      <c r="K541" s="120" t="s">
        <v>17</v>
      </c>
      <c r="L541" s="93" t="s">
        <v>2881</v>
      </c>
      <c r="M541" s="94" t="s">
        <v>3302</v>
      </c>
      <c r="N541" s="95" t="s">
        <v>2870</v>
      </c>
      <c r="O541" s="132">
        <v>25</v>
      </c>
      <c r="P541" s="153">
        <f t="shared" si="131"/>
        <v>354.66101694915255</v>
      </c>
      <c r="Q541" s="122" t="s">
        <v>16</v>
      </c>
      <c r="R541" s="145">
        <v>6.9249999999999998</v>
      </c>
      <c r="S541" s="95"/>
      <c r="T541" s="98"/>
      <c r="U541" s="125">
        <f t="shared" si="132"/>
        <v>2530.1800847457625</v>
      </c>
      <c r="V541" s="113">
        <f t="shared" si="128"/>
        <v>2.5301800847457625</v>
      </c>
      <c r="W541" s="114">
        <f t="shared" si="129"/>
        <v>0.36145429782082322</v>
      </c>
      <c r="X541" s="95"/>
      <c r="Y541" s="95"/>
      <c r="Z541" s="102"/>
      <c r="AA541" s="103">
        <v>45786</v>
      </c>
      <c r="AB541" s="103">
        <v>45790</v>
      </c>
      <c r="AC541" s="103"/>
      <c r="AD541" s="102">
        <f>IF(ISNA(VLOOKUP(D541,亚马逊入库配置费!B:F,5,0)),0,VLOOKUP(D541,亚马逊入库配置费!B:F,5,0))</f>
        <v>0.40329268292682902</v>
      </c>
      <c r="AE541" s="102">
        <f t="shared" si="123"/>
        <v>403.292682926829</v>
      </c>
      <c r="AF541" s="103">
        <v>45822</v>
      </c>
      <c r="AG541" s="91">
        <f t="shared" si="124"/>
        <v>36</v>
      </c>
      <c r="AH541" s="103">
        <v>45822</v>
      </c>
      <c r="AI541" s="103">
        <v>45857</v>
      </c>
      <c r="AJ541" s="96">
        <v>999</v>
      </c>
      <c r="AK541" s="91">
        <f t="shared" si="125"/>
        <v>35</v>
      </c>
      <c r="AL541" s="96">
        <f t="shared" si="126"/>
        <v>71</v>
      </c>
      <c r="AM541" s="92"/>
      <c r="AN541" s="91"/>
      <c r="AO541" s="91"/>
    </row>
    <row r="542" spans="1:41" ht="14.5" x14ac:dyDescent="0.25">
      <c r="A542" s="92" t="s">
        <v>1026</v>
      </c>
      <c r="B542" s="91"/>
      <c r="C542" s="119" t="s">
        <v>1023</v>
      </c>
      <c r="D542" s="120" t="s">
        <v>1024</v>
      </c>
      <c r="E542" s="135" t="s">
        <v>97</v>
      </c>
      <c r="F542" s="135" t="s">
        <v>0</v>
      </c>
      <c r="G542" s="58" t="s">
        <v>231</v>
      </c>
      <c r="H542" s="119">
        <v>280</v>
      </c>
      <c r="I542" s="119" t="s">
        <v>207</v>
      </c>
      <c r="J542" s="119" t="s">
        <v>8</v>
      </c>
      <c r="K542" s="120" t="s">
        <v>17</v>
      </c>
      <c r="L542" s="93" t="s">
        <v>3037</v>
      </c>
      <c r="M542" s="94" t="s">
        <v>3207</v>
      </c>
      <c r="N542" s="95" t="s">
        <v>2870</v>
      </c>
      <c r="O542" s="132">
        <v>14</v>
      </c>
      <c r="P542" s="153">
        <f t="shared" si="131"/>
        <v>198.61016949152543</v>
      </c>
      <c r="Q542" s="122" t="s">
        <v>16</v>
      </c>
      <c r="R542" s="145">
        <v>6.9249999999999998</v>
      </c>
      <c r="S542" s="95"/>
      <c r="T542" s="98"/>
      <c r="U542" s="125">
        <f t="shared" si="132"/>
        <v>1416.9008474576272</v>
      </c>
      <c r="V542" s="113">
        <f t="shared" si="128"/>
        <v>5.0603601694915259</v>
      </c>
      <c r="W542" s="114">
        <f t="shared" si="129"/>
        <v>0.72290859564164656</v>
      </c>
      <c r="X542" s="95"/>
      <c r="Y542" s="95"/>
      <c r="Z542" s="102"/>
      <c r="AA542" s="103">
        <v>45786</v>
      </c>
      <c r="AB542" s="103">
        <v>45790</v>
      </c>
      <c r="AC542" s="103"/>
      <c r="AD542" s="102">
        <f>IF(ISNA(VLOOKUP(D542,亚马逊入库配置费!B:F,5,0)),0,VLOOKUP(D542,亚马逊入库配置费!B:F,5,0))</f>
        <v>0.40329268292682902</v>
      </c>
      <c r="AE542" s="102">
        <f t="shared" si="123"/>
        <v>112.92195121951212</v>
      </c>
      <c r="AF542" s="103">
        <v>45822</v>
      </c>
      <c r="AG542" s="91">
        <f t="shared" si="124"/>
        <v>36</v>
      </c>
      <c r="AH542" s="103">
        <v>45822</v>
      </c>
      <c r="AI542" s="103">
        <v>45857</v>
      </c>
      <c r="AJ542" s="96">
        <v>280</v>
      </c>
      <c r="AK542" s="91">
        <f t="shared" si="125"/>
        <v>35</v>
      </c>
      <c r="AL542" s="96">
        <f t="shared" si="126"/>
        <v>71</v>
      </c>
      <c r="AM542" s="92"/>
      <c r="AN542" s="91"/>
      <c r="AO542" s="91"/>
    </row>
    <row r="543" spans="1:41" ht="14.5" x14ac:dyDescent="0.25">
      <c r="A543" s="92" t="s">
        <v>1027</v>
      </c>
      <c r="B543" s="91"/>
      <c r="C543" s="119" t="s">
        <v>1023</v>
      </c>
      <c r="D543" s="120" t="s">
        <v>1024</v>
      </c>
      <c r="E543" s="135" t="s">
        <v>97</v>
      </c>
      <c r="F543" s="135" t="s">
        <v>0</v>
      </c>
      <c r="G543" s="58" t="s">
        <v>165</v>
      </c>
      <c r="H543" s="119">
        <v>600</v>
      </c>
      <c r="I543" s="119" t="s">
        <v>207</v>
      </c>
      <c r="J543" s="119" t="s">
        <v>8</v>
      </c>
      <c r="K543" s="120" t="s">
        <v>17</v>
      </c>
      <c r="L543" s="93" t="s">
        <v>2880</v>
      </c>
      <c r="M543" s="94" t="s">
        <v>3209</v>
      </c>
      <c r="N543" s="95" t="s">
        <v>2870</v>
      </c>
      <c r="O543" s="132">
        <v>15</v>
      </c>
      <c r="P543" s="153">
        <f t="shared" si="131"/>
        <v>212.79661016949154</v>
      </c>
      <c r="Q543" s="122" t="s">
        <v>16</v>
      </c>
      <c r="R543" s="145">
        <v>6.9249999999999998</v>
      </c>
      <c r="S543" s="95"/>
      <c r="T543" s="98"/>
      <c r="U543" s="125">
        <f t="shared" si="132"/>
        <v>1518.1080508474577</v>
      </c>
      <c r="V543" s="113">
        <f t="shared" si="128"/>
        <v>2.5301800847457629</v>
      </c>
      <c r="W543" s="114">
        <f t="shared" si="129"/>
        <v>0.36145429782082328</v>
      </c>
      <c r="X543" s="95"/>
      <c r="Y543" s="95"/>
      <c r="Z543" s="102"/>
      <c r="AA543" s="103">
        <v>45786</v>
      </c>
      <c r="AB543" s="103">
        <v>45790</v>
      </c>
      <c r="AC543" s="103"/>
      <c r="AD543" s="102">
        <f>IF(ISNA(VLOOKUP(D543,亚马逊入库配置费!B:F,5,0)),0,VLOOKUP(D543,亚马逊入库配置费!B:F,5,0))</f>
        <v>0.40329268292682902</v>
      </c>
      <c r="AE543" s="102">
        <f t="shared" si="123"/>
        <v>241.97560975609741</v>
      </c>
      <c r="AF543" s="103">
        <v>45822</v>
      </c>
      <c r="AG543" s="91">
        <f t="shared" si="124"/>
        <v>36</v>
      </c>
      <c r="AH543" s="103">
        <v>45822</v>
      </c>
      <c r="AI543" s="103">
        <v>45857</v>
      </c>
      <c r="AJ543" s="96">
        <v>600</v>
      </c>
      <c r="AK543" s="91">
        <f t="shared" si="125"/>
        <v>35</v>
      </c>
      <c r="AL543" s="96">
        <f t="shared" si="126"/>
        <v>71</v>
      </c>
      <c r="AM543" s="92"/>
      <c r="AN543" s="91"/>
      <c r="AO543" s="91"/>
    </row>
    <row r="544" spans="1:41" ht="14.5" x14ac:dyDescent="0.25">
      <c r="A544" s="92" t="s">
        <v>1028</v>
      </c>
      <c r="B544" s="91"/>
      <c r="C544" s="119" t="s">
        <v>1023</v>
      </c>
      <c r="D544" s="120" t="s">
        <v>1024</v>
      </c>
      <c r="E544" s="135" t="s">
        <v>97</v>
      </c>
      <c r="F544" s="135" t="s">
        <v>0</v>
      </c>
      <c r="G544" s="58" t="s">
        <v>953</v>
      </c>
      <c r="H544" s="119">
        <v>300</v>
      </c>
      <c r="I544" s="119" t="s">
        <v>207</v>
      </c>
      <c r="J544" s="119" t="s">
        <v>8</v>
      </c>
      <c r="K544" s="120" t="s">
        <v>17</v>
      </c>
      <c r="L544" s="93" t="s">
        <v>953</v>
      </c>
      <c r="M544" s="94" t="s">
        <v>3405</v>
      </c>
      <c r="N544" s="95" t="s">
        <v>3086</v>
      </c>
      <c r="O544" s="132">
        <v>10</v>
      </c>
      <c r="P544" s="153">
        <f t="shared" si="131"/>
        <v>141.86440677966101</v>
      </c>
      <c r="Q544" s="122" t="s">
        <v>16</v>
      </c>
      <c r="R544" s="145">
        <v>6.9249999999999998</v>
      </c>
      <c r="S544" s="95"/>
      <c r="T544" s="98"/>
      <c r="U544" s="125">
        <f t="shared" si="132"/>
        <v>1012.072033898305</v>
      </c>
      <c r="V544" s="113">
        <f t="shared" si="128"/>
        <v>3.3735734463276832</v>
      </c>
      <c r="W544" s="114">
        <f t="shared" si="129"/>
        <v>0.48193906376109757</v>
      </c>
      <c r="X544" s="95"/>
      <c r="Y544" s="95"/>
      <c r="Z544" s="102"/>
      <c r="AA544" s="103">
        <v>45786</v>
      </c>
      <c r="AB544" s="103">
        <v>45790</v>
      </c>
      <c r="AC544" s="103"/>
      <c r="AD544" s="102">
        <f>IF(ISNA(VLOOKUP(D544,亚马逊入库配置费!B:F,5,0)),0,VLOOKUP(D544,亚马逊入库配置费!B:F,5,0))</f>
        <v>0.40329268292682902</v>
      </c>
      <c r="AE544" s="102">
        <f t="shared" si="123"/>
        <v>120.98780487804871</v>
      </c>
      <c r="AF544" s="103">
        <v>45822</v>
      </c>
      <c r="AG544" s="91">
        <f t="shared" si="124"/>
        <v>36</v>
      </c>
      <c r="AH544" s="103">
        <v>45822</v>
      </c>
      <c r="AI544" s="103">
        <v>45857</v>
      </c>
      <c r="AJ544" s="96">
        <v>300</v>
      </c>
      <c r="AK544" s="91">
        <f t="shared" si="125"/>
        <v>35</v>
      </c>
      <c r="AL544" s="96">
        <f t="shared" si="126"/>
        <v>71</v>
      </c>
      <c r="AM544" s="92"/>
      <c r="AN544" s="91"/>
      <c r="AO544" s="91"/>
    </row>
    <row r="545" spans="1:41" ht="14.5" x14ac:dyDescent="0.25">
      <c r="A545" s="92" t="s">
        <v>1029</v>
      </c>
      <c r="B545" s="91"/>
      <c r="C545" s="119" t="s">
        <v>1023</v>
      </c>
      <c r="D545" s="120" t="s">
        <v>1024</v>
      </c>
      <c r="E545" s="135" t="s">
        <v>97</v>
      </c>
      <c r="F545" s="135" t="s">
        <v>0</v>
      </c>
      <c r="G545" s="58" t="s">
        <v>957</v>
      </c>
      <c r="H545" s="119">
        <v>300</v>
      </c>
      <c r="I545" s="119" t="s">
        <v>207</v>
      </c>
      <c r="J545" s="119" t="s">
        <v>8</v>
      </c>
      <c r="K545" s="120" t="s">
        <v>17</v>
      </c>
      <c r="L545" s="93" t="s">
        <v>957</v>
      </c>
      <c r="M545" s="94" t="s">
        <v>3407</v>
      </c>
      <c r="N545" s="95" t="s">
        <v>3086</v>
      </c>
      <c r="O545" s="132">
        <v>10</v>
      </c>
      <c r="P545" s="153">
        <f t="shared" si="131"/>
        <v>141.86440677966101</v>
      </c>
      <c r="Q545" s="122" t="s">
        <v>16</v>
      </c>
      <c r="R545" s="145">
        <v>6.9249999999999998</v>
      </c>
      <c r="S545" s="95"/>
      <c r="T545" s="98"/>
      <c r="U545" s="125">
        <f t="shared" si="132"/>
        <v>1012.072033898305</v>
      </c>
      <c r="V545" s="113">
        <f t="shared" si="128"/>
        <v>3.3735734463276832</v>
      </c>
      <c r="W545" s="114">
        <f t="shared" si="129"/>
        <v>0.48193906376109757</v>
      </c>
      <c r="X545" s="95"/>
      <c r="Y545" s="95"/>
      <c r="Z545" s="102"/>
      <c r="AA545" s="103">
        <v>45786</v>
      </c>
      <c r="AB545" s="103">
        <v>45790</v>
      </c>
      <c r="AC545" s="103"/>
      <c r="AD545" s="102">
        <f>IF(ISNA(VLOOKUP(D545,亚马逊入库配置费!B:F,5,0)),0,VLOOKUP(D545,亚马逊入库配置费!B:F,5,0))</f>
        <v>0.40329268292682902</v>
      </c>
      <c r="AE545" s="102">
        <f t="shared" si="123"/>
        <v>120.98780487804871</v>
      </c>
      <c r="AF545" s="103">
        <v>45822</v>
      </c>
      <c r="AG545" s="91">
        <f t="shared" si="124"/>
        <v>36</v>
      </c>
      <c r="AH545" s="103">
        <v>45822</v>
      </c>
      <c r="AI545" s="103">
        <v>45857</v>
      </c>
      <c r="AJ545" s="96">
        <v>297</v>
      </c>
      <c r="AK545" s="91">
        <f t="shared" si="125"/>
        <v>35</v>
      </c>
      <c r="AL545" s="96">
        <f t="shared" si="126"/>
        <v>71</v>
      </c>
      <c r="AM545" s="92"/>
      <c r="AN545" s="91"/>
      <c r="AO545" s="91"/>
    </row>
    <row r="546" spans="1:41" ht="14.5" x14ac:dyDescent="0.25">
      <c r="A546" s="92" t="s">
        <v>1030</v>
      </c>
      <c r="B546" s="91"/>
      <c r="C546" s="119" t="s">
        <v>1023</v>
      </c>
      <c r="D546" s="120" t="s">
        <v>1024</v>
      </c>
      <c r="E546" s="135" t="s">
        <v>97</v>
      </c>
      <c r="F546" s="135" t="s">
        <v>0</v>
      </c>
      <c r="G546" s="58" t="s">
        <v>1031</v>
      </c>
      <c r="H546" s="119">
        <v>210</v>
      </c>
      <c r="I546" s="119" t="s">
        <v>207</v>
      </c>
      <c r="J546" s="119" t="s">
        <v>8</v>
      </c>
      <c r="K546" s="120" t="s">
        <v>17</v>
      </c>
      <c r="L546" s="93" t="s">
        <v>1031</v>
      </c>
      <c r="M546" s="94" t="s">
        <v>3420</v>
      </c>
      <c r="N546" s="95" t="s">
        <v>3086</v>
      </c>
      <c r="O546" s="132">
        <v>7</v>
      </c>
      <c r="P546" s="153">
        <f t="shared" si="131"/>
        <v>99.305084745762713</v>
      </c>
      <c r="Q546" s="122" t="s">
        <v>16</v>
      </c>
      <c r="R546" s="145">
        <v>6.9249999999999998</v>
      </c>
      <c r="S546" s="95"/>
      <c r="T546" s="98"/>
      <c r="U546" s="125">
        <f t="shared" si="132"/>
        <v>708.45042372881358</v>
      </c>
      <c r="V546" s="113">
        <f t="shared" si="128"/>
        <v>3.3735734463276836</v>
      </c>
      <c r="W546" s="114">
        <f t="shared" si="129"/>
        <v>0.48193906376109769</v>
      </c>
      <c r="X546" s="95"/>
      <c r="Y546" s="95"/>
      <c r="Z546" s="102"/>
      <c r="AA546" s="103">
        <v>45786</v>
      </c>
      <c r="AB546" s="103">
        <v>45790</v>
      </c>
      <c r="AC546" s="103"/>
      <c r="AD546" s="102">
        <f>IF(ISNA(VLOOKUP(D546,亚马逊入库配置费!B:F,5,0)),0,VLOOKUP(D546,亚马逊入库配置费!B:F,5,0))</f>
        <v>0.40329268292682902</v>
      </c>
      <c r="AE546" s="102">
        <f t="shared" si="123"/>
        <v>84.6914634146341</v>
      </c>
      <c r="AF546" s="103">
        <v>45822</v>
      </c>
      <c r="AG546" s="91">
        <f t="shared" si="124"/>
        <v>36</v>
      </c>
      <c r="AH546" s="103">
        <v>45822</v>
      </c>
      <c r="AI546" s="103">
        <v>45857</v>
      </c>
      <c r="AJ546" s="96">
        <v>210</v>
      </c>
      <c r="AK546" s="91">
        <f t="shared" si="125"/>
        <v>35</v>
      </c>
      <c r="AL546" s="96">
        <f t="shared" si="126"/>
        <v>71</v>
      </c>
      <c r="AM546" s="92"/>
      <c r="AN546" s="91"/>
      <c r="AO546" s="91"/>
    </row>
    <row r="547" spans="1:41" ht="14.5" x14ac:dyDescent="0.25">
      <c r="A547" s="92" t="s">
        <v>1032</v>
      </c>
      <c r="B547" s="91"/>
      <c r="C547" s="119" t="s">
        <v>1023</v>
      </c>
      <c r="D547" s="120" t="s">
        <v>1024</v>
      </c>
      <c r="E547" s="135" t="s">
        <v>97</v>
      </c>
      <c r="F547" s="135" t="s">
        <v>0</v>
      </c>
      <c r="G547" s="58" t="s">
        <v>959</v>
      </c>
      <c r="H547" s="119">
        <v>120</v>
      </c>
      <c r="I547" s="119" t="s">
        <v>207</v>
      </c>
      <c r="J547" s="119" t="s">
        <v>8</v>
      </c>
      <c r="K547" s="120" t="s">
        <v>17</v>
      </c>
      <c r="L547" s="93" t="s">
        <v>959</v>
      </c>
      <c r="M547" s="94" t="s">
        <v>3408</v>
      </c>
      <c r="N547" s="95" t="s">
        <v>3086</v>
      </c>
      <c r="O547" s="132">
        <v>4</v>
      </c>
      <c r="P547" s="153">
        <f t="shared" si="131"/>
        <v>56.745762711864408</v>
      </c>
      <c r="Q547" s="122" t="s">
        <v>16</v>
      </c>
      <c r="R547" s="145">
        <v>6.9249999999999998</v>
      </c>
      <c r="S547" s="95"/>
      <c r="T547" s="98"/>
      <c r="U547" s="125">
        <f t="shared" si="132"/>
        <v>404.82881355932204</v>
      </c>
      <c r="V547" s="113">
        <f t="shared" si="128"/>
        <v>3.3735734463276836</v>
      </c>
      <c r="W547" s="114">
        <f t="shared" si="129"/>
        <v>0.48193906376109769</v>
      </c>
      <c r="X547" s="95"/>
      <c r="Y547" s="95"/>
      <c r="Z547" s="102"/>
      <c r="AA547" s="103">
        <v>45786</v>
      </c>
      <c r="AB547" s="103">
        <v>45790</v>
      </c>
      <c r="AC547" s="103"/>
      <c r="AD547" s="102">
        <f>IF(ISNA(VLOOKUP(D547,亚马逊入库配置费!B:F,5,0)),0,VLOOKUP(D547,亚马逊入库配置费!B:F,5,0))</f>
        <v>0.40329268292682902</v>
      </c>
      <c r="AE547" s="102">
        <f t="shared" si="123"/>
        <v>48.39512195121948</v>
      </c>
      <c r="AF547" s="103">
        <v>45822</v>
      </c>
      <c r="AG547" s="91">
        <f t="shared" si="124"/>
        <v>36</v>
      </c>
      <c r="AH547" s="103">
        <v>45822</v>
      </c>
      <c r="AI547" s="103">
        <v>45857</v>
      </c>
      <c r="AJ547" s="96">
        <v>120</v>
      </c>
      <c r="AK547" s="91">
        <f t="shared" si="125"/>
        <v>35</v>
      </c>
      <c r="AL547" s="96">
        <f t="shared" si="126"/>
        <v>71</v>
      </c>
      <c r="AM547" s="92"/>
      <c r="AN547" s="91"/>
      <c r="AO547" s="91"/>
    </row>
    <row r="548" spans="1:41" ht="14.5" x14ac:dyDescent="0.25">
      <c r="A548" s="92" t="s">
        <v>1033</v>
      </c>
      <c r="B548" s="91"/>
      <c r="C548" s="119" t="s">
        <v>1023</v>
      </c>
      <c r="D548" s="120" t="s">
        <v>1024</v>
      </c>
      <c r="E548" s="135" t="s">
        <v>97</v>
      </c>
      <c r="F548" s="135" t="s">
        <v>0</v>
      </c>
      <c r="G548" s="58" t="s">
        <v>961</v>
      </c>
      <c r="H548" s="119">
        <v>60</v>
      </c>
      <c r="I548" s="119" t="s">
        <v>207</v>
      </c>
      <c r="J548" s="119" t="s">
        <v>8</v>
      </c>
      <c r="K548" s="120" t="s">
        <v>17</v>
      </c>
      <c r="L548" s="93" t="s">
        <v>961</v>
      </c>
      <c r="M548" s="94" t="s">
        <v>3409</v>
      </c>
      <c r="N548" s="95" t="s">
        <v>3086</v>
      </c>
      <c r="O548" s="132">
        <v>2</v>
      </c>
      <c r="P548" s="153">
        <f t="shared" si="131"/>
        <v>28.372881355932204</v>
      </c>
      <c r="Q548" s="122" t="s">
        <v>16</v>
      </c>
      <c r="R548" s="145">
        <v>6.9249999999999998</v>
      </c>
      <c r="S548" s="95"/>
      <c r="T548" s="98"/>
      <c r="U548" s="125">
        <f t="shared" si="132"/>
        <v>202.41440677966102</v>
      </c>
      <c r="V548" s="113">
        <f t="shared" si="128"/>
        <v>3.3735734463276836</v>
      </c>
      <c r="W548" s="114">
        <f t="shared" si="129"/>
        <v>0.48193906376109769</v>
      </c>
      <c r="X548" s="95"/>
      <c r="Y548" s="95"/>
      <c r="Z548" s="102"/>
      <c r="AA548" s="103">
        <v>45786</v>
      </c>
      <c r="AB548" s="103">
        <v>45790</v>
      </c>
      <c r="AC548" s="103"/>
      <c r="AD548" s="102">
        <f>IF(ISNA(VLOOKUP(D548,亚马逊入库配置费!B:F,5,0)),0,VLOOKUP(D548,亚马逊入库配置费!B:F,5,0))</f>
        <v>0.40329268292682902</v>
      </c>
      <c r="AE548" s="102">
        <f t="shared" si="123"/>
        <v>24.19756097560974</v>
      </c>
      <c r="AF548" s="103">
        <v>45822</v>
      </c>
      <c r="AG548" s="91">
        <f t="shared" si="124"/>
        <v>36</v>
      </c>
      <c r="AH548" s="103">
        <v>45822</v>
      </c>
      <c r="AI548" s="103">
        <v>45857</v>
      </c>
      <c r="AJ548" s="96">
        <v>60</v>
      </c>
      <c r="AK548" s="91">
        <f t="shared" si="125"/>
        <v>35</v>
      </c>
      <c r="AL548" s="96">
        <f t="shared" si="126"/>
        <v>71</v>
      </c>
      <c r="AM548" s="92"/>
      <c r="AN548" s="91"/>
      <c r="AO548" s="91"/>
    </row>
    <row r="549" spans="1:41" ht="14.5" x14ac:dyDescent="0.25">
      <c r="A549" s="92" t="s">
        <v>1034</v>
      </c>
      <c r="B549" s="91"/>
      <c r="C549" s="119" t="s">
        <v>1023</v>
      </c>
      <c r="D549" s="120" t="s">
        <v>1024</v>
      </c>
      <c r="E549" s="135" t="s">
        <v>97</v>
      </c>
      <c r="F549" s="135" t="s">
        <v>0</v>
      </c>
      <c r="G549" s="58" t="s">
        <v>963</v>
      </c>
      <c r="H549" s="119">
        <v>210</v>
      </c>
      <c r="I549" s="119" t="s">
        <v>207</v>
      </c>
      <c r="J549" s="119" t="s">
        <v>8</v>
      </c>
      <c r="K549" s="120" t="s">
        <v>17</v>
      </c>
      <c r="L549" s="93" t="s">
        <v>963</v>
      </c>
      <c r="M549" s="94" t="s">
        <v>3410</v>
      </c>
      <c r="N549" s="95" t="s">
        <v>3086</v>
      </c>
      <c r="O549" s="132">
        <v>7</v>
      </c>
      <c r="P549" s="153">
        <f t="shared" si="131"/>
        <v>99.305084745762713</v>
      </c>
      <c r="Q549" s="122" t="s">
        <v>16</v>
      </c>
      <c r="R549" s="145">
        <v>6.9249999999999998</v>
      </c>
      <c r="S549" s="95"/>
      <c r="T549" s="98"/>
      <c r="U549" s="125">
        <f t="shared" si="132"/>
        <v>708.45042372881358</v>
      </c>
      <c r="V549" s="113">
        <f t="shared" si="128"/>
        <v>3.3735734463276836</v>
      </c>
      <c r="W549" s="114">
        <f t="shared" si="129"/>
        <v>0.48193906376109769</v>
      </c>
      <c r="X549" s="95"/>
      <c r="Y549" s="95"/>
      <c r="Z549" s="102"/>
      <c r="AA549" s="103">
        <v>45786</v>
      </c>
      <c r="AB549" s="103">
        <v>45790</v>
      </c>
      <c r="AC549" s="103"/>
      <c r="AD549" s="102">
        <f>IF(ISNA(VLOOKUP(D549,亚马逊入库配置费!B:F,5,0)),0,VLOOKUP(D549,亚马逊入库配置费!B:F,5,0))</f>
        <v>0.40329268292682902</v>
      </c>
      <c r="AE549" s="102">
        <f t="shared" si="123"/>
        <v>84.6914634146341</v>
      </c>
      <c r="AF549" s="103">
        <v>45822</v>
      </c>
      <c r="AG549" s="91">
        <f t="shared" si="124"/>
        <v>36</v>
      </c>
      <c r="AH549" s="103">
        <v>45822</v>
      </c>
      <c r="AI549" s="103">
        <v>45857</v>
      </c>
      <c r="AJ549" s="96">
        <v>209</v>
      </c>
      <c r="AK549" s="91">
        <f t="shared" si="125"/>
        <v>35</v>
      </c>
      <c r="AL549" s="96">
        <f t="shared" si="126"/>
        <v>71</v>
      </c>
      <c r="AM549" s="92"/>
      <c r="AN549" s="91"/>
      <c r="AO549" s="91"/>
    </row>
    <row r="550" spans="1:41" ht="14.5" x14ac:dyDescent="0.25">
      <c r="A550" s="92" t="s">
        <v>1035</v>
      </c>
      <c r="B550" s="91" t="s">
        <v>3421</v>
      </c>
      <c r="C550" s="119" t="s">
        <v>1023</v>
      </c>
      <c r="D550" s="120" t="s">
        <v>1036</v>
      </c>
      <c r="E550" s="135" t="s">
        <v>1037</v>
      </c>
      <c r="F550" s="135" t="s">
        <v>0</v>
      </c>
      <c r="G550" s="58" t="s">
        <v>1038</v>
      </c>
      <c r="H550" s="119">
        <v>280</v>
      </c>
      <c r="I550" s="119" t="s">
        <v>207</v>
      </c>
      <c r="J550" s="119" t="s">
        <v>8</v>
      </c>
      <c r="K550" s="120" t="s">
        <v>17</v>
      </c>
      <c r="L550" s="93" t="s">
        <v>3088</v>
      </c>
      <c r="M550" s="94" t="s">
        <v>3422</v>
      </c>
      <c r="N550" s="95" t="s">
        <v>2874</v>
      </c>
      <c r="O550" s="132">
        <v>14</v>
      </c>
      <c r="P550" s="153">
        <f t="shared" si="131"/>
        <v>198.61016949152543</v>
      </c>
      <c r="Q550" s="122" t="s">
        <v>16</v>
      </c>
      <c r="R550" s="145">
        <v>6.9249999999999998</v>
      </c>
      <c r="S550" s="95"/>
      <c r="T550" s="98"/>
      <c r="U550" s="125">
        <f t="shared" si="132"/>
        <v>1416.9008474576272</v>
      </c>
      <c r="V550" s="113">
        <f t="shared" si="128"/>
        <v>5.0603601694915259</v>
      </c>
      <c r="W550" s="114">
        <f t="shared" si="129"/>
        <v>0.72290859564164656</v>
      </c>
      <c r="X550" s="95"/>
      <c r="Y550" s="95"/>
      <c r="Z550" s="102"/>
      <c r="AA550" s="103">
        <v>45786</v>
      </c>
      <c r="AB550" s="103">
        <v>45808</v>
      </c>
      <c r="AC550" s="103"/>
      <c r="AD550" s="102">
        <f>IF(ISNA(VLOOKUP(D550,亚马逊入库配置费!B:F,5,0)),0,VLOOKUP(D550,亚马逊入库配置费!B:F,5,0))</f>
        <v>0.41</v>
      </c>
      <c r="AE550" s="102">
        <f t="shared" si="123"/>
        <v>114.8</v>
      </c>
      <c r="AF550" s="103">
        <v>45822</v>
      </c>
      <c r="AG550" s="91">
        <f t="shared" si="124"/>
        <v>36</v>
      </c>
      <c r="AH550" s="103">
        <v>45822</v>
      </c>
      <c r="AI550" s="103">
        <v>45856</v>
      </c>
      <c r="AJ550" s="96">
        <v>280</v>
      </c>
      <c r="AK550" s="91">
        <f t="shared" si="125"/>
        <v>34</v>
      </c>
      <c r="AL550" s="96">
        <f t="shared" si="126"/>
        <v>70</v>
      </c>
      <c r="AM550" s="92"/>
      <c r="AN550" s="91"/>
      <c r="AO550" s="91"/>
    </row>
    <row r="551" spans="1:41" ht="14.5" x14ac:dyDescent="0.25">
      <c r="A551" s="92" t="s">
        <v>1039</v>
      </c>
      <c r="B551" s="91"/>
      <c r="C551" s="119" t="s">
        <v>1040</v>
      </c>
      <c r="D551" s="120" t="s">
        <v>1041</v>
      </c>
      <c r="E551" s="135" t="s">
        <v>86</v>
      </c>
      <c r="F551" s="135" t="s">
        <v>87</v>
      </c>
      <c r="G551" s="58" t="s">
        <v>352</v>
      </c>
      <c r="H551" s="119">
        <v>40</v>
      </c>
      <c r="I551" s="119" t="s">
        <v>207</v>
      </c>
      <c r="J551" s="119" t="s">
        <v>90</v>
      </c>
      <c r="K551" s="120" t="s">
        <v>91</v>
      </c>
      <c r="L551" s="93" t="s">
        <v>3049</v>
      </c>
      <c r="M551" s="94" t="s">
        <v>3336</v>
      </c>
      <c r="N551" s="95" t="s">
        <v>2870</v>
      </c>
      <c r="O551" s="132">
        <v>1</v>
      </c>
      <c r="P551" s="153">
        <f>108/7*O551</f>
        <v>15.428571428571429</v>
      </c>
      <c r="Q551" s="122" t="s">
        <v>16</v>
      </c>
      <c r="R551" s="146">
        <v>5.8</v>
      </c>
      <c r="S551" s="95"/>
      <c r="T551" s="98"/>
      <c r="U551" s="125">
        <f>R551*P551+350/7*O551</f>
        <v>139.48571428571427</v>
      </c>
      <c r="V551" s="113">
        <f t="shared" si="128"/>
        <v>3.4871428571428567</v>
      </c>
      <c r="W551" s="114">
        <f t="shared" si="129"/>
        <v>0.49816326530612237</v>
      </c>
      <c r="X551" s="95"/>
      <c r="Y551" s="95"/>
      <c r="Z551" s="102"/>
      <c r="AA551" s="103">
        <v>45786</v>
      </c>
      <c r="AB551" s="103">
        <v>45810</v>
      </c>
      <c r="AC551" s="103"/>
      <c r="AD551" s="102">
        <f>IF(ISNA(VLOOKUP(D551,亚马逊入库配置费!B:F,5,0)),0,VLOOKUP(D551,亚马逊入库配置费!B:F,5,0))</f>
        <v>0</v>
      </c>
      <c r="AE551" s="102">
        <f t="shared" si="123"/>
        <v>0</v>
      </c>
      <c r="AF551" s="103">
        <v>45819</v>
      </c>
      <c r="AG551" s="91">
        <f t="shared" si="124"/>
        <v>33</v>
      </c>
      <c r="AH551" s="103">
        <v>45819</v>
      </c>
      <c r="AI551" s="103">
        <v>45826</v>
      </c>
      <c r="AJ551" s="96">
        <v>40</v>
      </c>
      <c r="AK551" s="91">
        <f t="shared" si="125"/>
        <v>7</v>
      </c>
      <c r="AL551" s="96">
        <f t="shared" si="126"/>
        <v>40</v>
      </c>
      <c r="AM551" s="92"/>
      <c r="AN551" s="91"/>
      <c r="AO551" s="91"/>
    </row>
    <row r="552" spans="1:41" ht="14.5" x14ac:dyDescent="0.25">
      <c r="A552" s="92" t="s">
        <v>1042</v>
      </c>
      <c r="B552" s="91"/>
      <c r="C552" s="119" t="s">
        <v>1040</v>
      </c>
      <c r="D552" s="120" t="s">
        <v>1041</v>
      </c>
      <c r="E552" s="135" t="s">
        <v>86</v>
      </c>
      <c r="F552" s="135" t="s">
        <v>87</v>
      </c>
      <c r="G552" s="58" t="s">
        <v>167</v>
      </c>
      <c r="H552" s="119">
        <v>120</v>
      </c>
      <c r="I552" s="119" t="s">
        <v>207</v>
      </c>
      <c r="J552" s="119" t="s">
        <v>90</v>
      </c>
      <c r="K552" s="120" t="s">
        <v>91</v>
      </c>
      <c r="L552" s="93" t="s">
        <v>3025</v>
      </c>
      <c r="M552" s="94" t="s">
        <v>3210</v>
      </c>
      <c r="N552" s="95" t="s">
        <v>2876</v>
      </c>
      <c r="O552" s="132">
        <v>4</v>
      </c>
      <c r="P552" s="153">
        <f>108/7*O552</f>
        <v>61.714285714285715</v>
      </c>
      <c r="Q552" s="122" t="s">
        <v>16</v>
      </c>
      <c r="R552" s="146">
        <v>5.8</v>
      </c>
      <c r="S552" s="95"/>
      <c r="T552" s="98"/>
      <c r="U552" s="125">
        <f>R552*P552+350/7*O552</f>
        <v>557.94285714285706</v>
      </c>
      <c r="V552" s="113">
        <f t="shared" si="128"/>
        <v>4.6495238095238092</v>
      </c>
      <c r="W552" s="114">
        <f t="shared" si="129"/>
        <v>0.66421768707482987</v>
      </c>
      <c r="X552" s="95"/>
      <c r="Y552" s="95"/>
      <c r="Z552" s="102"/>
      <c r="AA552" s="103">
        <v>45786</v>
      </c>
      <c r="AB552" s="103">
        <v>45810</v>
      </c>
      <c r="AC552" s="103"/>
      <c r="AD552" s="102">
        <f>IF(ISNA(VLOOKUP(D552,亚马逊入库配置费!B:F,5,0)),0,VLOOKUP(D552,亚马逊入库配置费!B:F,5,0))</f>
        <v>0</v>
      </c>
      <c r="AE552" s="102">
        <f t="shared" si="123"/>
        <v>0</v>
      </c>
      <c r="AF552" s="103">
        <v>45819</v>
      </c>
      <c r="AG552" s="91">
        <f t="shared" si="124"/>
        <v>33</v>
      </c>
      <c r="AH552" s="103">
        <v>45819</v>
      </c>
      <c r="AI552" s="103">
        <v>45826</v>
      </c>
      <c r="AJ552" s="96">
        <v>122</v>
      </c>
      <c r="AK552" s="91">
        <f t="shared" si="125"/>
        <v>7</v>
      </c>
      <c r="AL552" s="96">
        <f t="shared" si="126"/>
        <v>40</v>
      </c>
      <c r="AM552" s="92"/>
      <c r="AN552" s="91"/>
      <c r="AO552" s="91"/>
    </row>
    <row r="553" spans="1:41" ht="14.5" x14ac:dyDescent="0.25">
      <c r="A553" s="92" t="s">
        <v>1043</v>
      </c>
      <c r="B553" s="91"/>
      <c r="C553" s="119" t="s">
        <v>1040</v>
      </c>
      <c r="D553" s="120" t="s">
        <v>1041</v>
      </c>
      <c r="E553" s="135" t="s">
        <v>86</v>
      </c>
      <c r="F553" s="135" t="s">
        <v>87</v>
      </c>
      <c r="G553" s="58" t="s">
        <v>178</v>
      </c>
      <c r="H553" s="119">
        <v>60</v>
      </c>
      <c r="I553" s="119" t="s">
        <v>207</v>
      </c>
      <c r="J553" s="119" t="s">
        <v>90</v>
      </c>
      <c r="K553" s="120" t="s">
        <v>91</v>
      </c>
      <c r="L553" s="93" t="s">
        <v>3030</v>
      </c>
      <c r="M553" s="94" t="s">
        <v>3307</v>
      </c>
      <c r="N553" s="95" t="s">
        <v>2876</v>
      </c>
      <c r="O553" s="132">
        <v>2</v>
      </c>
      <c r="P553" s="153">
        <f>108/7*O553</f>
        <v>30.857142857142858</v>
      </c>
      <c r="Q553" s="122" t="s">
        <v>16</v>
      </c>
      <c r="R553" s="146">
        <v>5.8</v>
      </c>
      <c r="S553" s="95"/>
      <c r="T553" s="98"/>
      <c r="U553" s="125">
        <f>R553*P553+350/7*O553</f>
        <v>278.97142857142853</v>
      </c>
      <c r="V553" s="113">
        <f t="shared" si="128"/>
        <v>4.6495238095238092</v>
      </c>
      <c r="W553" s="114">
        <f t="shared" si="129"/>
        <v>0.66421768707482987</v>
      </c>
      <c r="X553" s="95"/>
      <c r="Y553" s="95"/>
      <c r="Z553" s="102"/>
      <c r="AA553" s="103">
        <v>45786</v>
      </c>
      <c r="AB553" s="103">
        <v>45810</v>
      </c>
      <c r="AC553" s="103"/>
      <c r="AD553" s="102">
        <f>IF(ISNA(VLOOKUP(D553,亚马逊入库配置费!B:F,5,0)),0,VLOOKUP(D553,亚马逊入库配置费!B:F,5,0))</f>
        <v>0</v>
      </c>
      <c r="AE553" s="102">
        <f t="shared" si="123"/>
        <v>0</v>
      </c>
      <c r="AF553" s="103">
        <v>45819</v>
      </c>
      <c r="AG553" s="91">
        <f t="shared" si="124"/>
        <v>33</v>
      </c>
      <c r="AH553" s="103">
        <v>45819</v>
      </c>
      <c r="AI553" s="103">
        <v>45826</v>
      </c>
      <c r="AJ553" s="96">
        <v>60</v>
      </c>
      <c r="AK553" s="91">
        <f t="shared" si="125"/>
        <v>7</v>
      </c>
      <c r="AL553" s="96">
        <f t="shared" si="126"/>
        <v>40</v>
      </c>
      <c r="AM553" s="92"/>
      <c r="AN553" s="91"/>
      <c r="AO553" s="91"/>
    </row>
    <row r="554" spans="1:41" ht="14.5" x14ac:dyDescent="0.25">
      <c r="A554" s="92" t="s">
        <v>1044</v>
      </c>
      <c r="B554" s="91" t="s">
        <v>3415</v>
      </c>
      <c r="C554" s="119" t="s">
        <v>1045</v>
      </c>
      <c r="D554" s="120" t="s">
        <v>1046</v>
      </c>
      <c r="E554" s="135" t="s">
        <v>287</v>
      </c>
      <c r="F554" s="135" t="s">
        <v>0</v>
      </c>
      <c r="G554" s="58" t="s">
        <v>284</v>
      </c>
      <c r="H554" s="119">
        <v>368</v>
      </c>
      <c r="I554" s="119" t="s">
        <v>89</v>
      </c>
      <c r="J554" s="119" t="s">
        <v>8</v>
      </c>
      <c r="K554" s="120" t="s">
        <v>13</v>
      </c>
      <c r="L554" s="93" t="s">
        <v>3039</v>
      </c>
      <c r="M554" s="94" t="s">
        <v>3323</v>
      </c>
      <c r="N554" s="95" t="s">
        <v>2915</v>
      </c>
      <c r="O554" s="154">
        <v>23</v>
      </c>
      <c r="P554" s="153">
        <f>939/65*O554</f>
        <v>332.26153846153846</v>
      </c>
      <c r="Q554" s="122" t="s">
        <v>16</v>
      </c>
      <c r="R554" s="145">
        <v>6</v>
      </c>
      <c r="S554" s="95"/>
      <c r="T554" s="98"/>
      <c r="U554" s="125">
        <f>R554*P554+350/65*O554</f>
        <v>2117.4153846153845</v>
      </c>
      <c r="V554" s="113">
        <f t="shared" si="128"/>
        <v>5.7538461538461538</v>
      </c>
      <c r="W554" s="114">
        <f t="shared" si="129"/>
        <v>0.82197802197802194</v>
      </c>
      <c r="X554" s="95"/>
      <c r="Y554" s="95"/>
      <c r="Z554" s="102"/>
      <c r="AA554" s="103">
        <v>45786</v>
      </c>
      <c r="AB554" s="103">
        <v>45808</v>
      </c>
      <c r="AC554" s="103"/>
      <c r="AD554" s="102">
        <f>IF(ISNA(VLOOKUP(D554,亚马逊入库配置费!B:F,5,0)),0,VLOOKUP(D554,亚马逊入库配置费!B:F,5,0))</f>
        <v>0.49</v>
      </c>
      <c r="AE554" s="102">
        <f t="shared" si="123"/>
        <v>180.32</v>
      </c>
      <c r="AF554" s="103">
        <v>45814</v>
      </c>
      <c r="AG554" s="91">
        <f t="shared" si="124"/>
        <v>28</v>
      </c>
      <c r="AH554" s="103">
        <v>45814</v>
      </c>
      <c r="AI554" s="103">
        <v>45850</v>
      </c>
      <c r="AJ554" s="96">
        <v>366</v>
      </c>
      <c r="AK554" s="91">
        <f t="shared" si="125"/>
        <v>36</v>
      </c>
      <c r="AL554" s="96">
        <f t="shared" si="126"/>
        <v>64</v>
      </c>
      <c r="AM554" s="92"/>
      <c r="AN554" s="91"/>
      <c r="AO554" s="91"/>
    </row>
    <row r="555" spans="1:41" ht="14.5" x14ac:dyDescent="0.25">
      <c r="A555" s="92" t="s">
        <v>1047</v>
      </c>
      <c r="B555" s="91" t="s">
        <v>3415</v>
      </c>
      <c r="C555" s="119" t="s">
        <v>1045</v>
      </c>
      <c r="D555" s="120" t="s">
        <v>1046</v>
      </c>
      <c r="E555" s="135" t="s">
        <v>287</v>
      </c>
      <c r="F555" s="135" t="s">
        <v>0</v>
      </c>
      <c r="G555" s="58" t="s">
        <v>663</v>
      </c>
      <c r="H555" s="119">
        <v>160</v>
      </c>
      <c r="I555" s="119" t="s">
        <v>89</v>
      </c>
      <c r="J555" s="119" t="s">
        <v>8</v>
      </c>
      <c r="K555" s="120" t="s">
        <v>13</v>
      </c>
      <c r="L555" s="93" t="s">
        <v>3080</v>
      </c>
      <c r="M555" s="94" t="s">
        <v>3383</v>
      </c>
      <c r="N555" s="95" t="s">
        <v>2915</v>
      </c>
      <c r="O555" s="154">
        <v>10</v>
      </c>
      <c r="P555" s="153">
        <f>939/65*O555</f>
        <v>144.46153846153845</v>
      </c>
      <c r="Q555" s="122" t="s">
        <v>16</v>
      </c>
      <c r="R555" s="145">
        <v>6</v>
      </c>
      <c r="S555" s="95"/>
      <c r="T555" s="98"/>
      <c r="U555" s="125">
        <f>R555*P555+350/65*O555</f>
        <v>920.61538461538453</v>
      </c>
      <c r="V555" s="113">
        <f t="shared" si="128"/>
        <v>5.7538461538461529</v>
      </c>
      <c r="W555" s="114">
        <f t="shared" si="129"/>
        <v>0.82197802197802183</v>
      </c>
      <c r="X555" s="95"/>
      <c r="Y555" s="95"/>
      <c r="Z555" s="102"/>
      <c r="AA555" s="103">
        <v>45786</v>
      </c>
      <c r="AB555" s="103">
        <v>45808</v>
      </c>
      <c r="AC555" s="103"/>
      <c r="AD555" s="102">
        <f>IF(ISNA(VLOOKUP(D555,亚马逊入库配置费!B:F,5,0)),0,VLOOKUP(D555,亚马逊入库配置费!B:F,5,0))</f>
        <v>0.49</v>
      </c>
      <c r="AE555" s="102">
        <f t="shared" si="123"/>
        <v>78.400000000000006</v>
      </c>
      <c r="AF555" s="103">
        <v>45814</v>
      </c>
      <c r="AG555" s="91">
        <f t="shared" si="124"/>
        <v>28</v>
      </c>
      <c r="AH555" s="103">
        <v>45814</v>
      </c>
      <c r="AI555" s="103">
        <v>45850</v>
      </c>
      <c r="AJ555" s="96">
        <v>158</v>
      </c>
      <c r="AK555" s="91">
        <f t="shared" si="125"/>
        <v>36</v>
      </c>
      <c r="AL555" s="96">
        <f t="shared" si="126"/>
        <v>64</v>
      </c>
      <c r="AM555" s="92"/>
      <c r="AN555" s="91"/>
      <c r="AO555" s="91"/>
    </row>
    <row r="556" spans="1:41" ht="14.5" x14ac:dyDescent="0.25">
      <c r="A556" s="92" t="s">
        <v>1048</v>
      </c>
      <c r="B556" s="91" t="s">
        <v>3415</v>
      </c>
      <c r="C556" s="119" t="s">
        <v>1045</v>
      </c>
      <c r="D556" s="120" t="s">
        <v>1046</v>
      </c>
      <c r="E556" s="135" t="s">
        <v>287</v>
      </c>
      <c r="F556" s="135" t="s">
        <v>0</v>
      </c>
      <c r="G556" s="58" t="s">
        <v>556</v>
      </c>
      <c r="H556" s="119">
        <v>272</v>
      </c>
      <c r="I556" s="119" t="s">
        <v>89</v>
      </c>
      <c r="J556" s="119" t="s">
        <v>8</v>
      </c>
      <c r="K556" s="120" t="s">
        <v>13</v>
      </c>
      <c r="L556" s="93" t="s">
        <v>3073</v>
      </c>
      <c r="M556" s="94" t="s">
        <v>3373</v>
      </c>
      <c r="N556" s="95" t="s">
        <v>2915</v>
      </c>
      <c r="O556" s="154">
        <v>17</v>
      </c>
      <c r="P556" s="153">
        <f>939/65*O556</f>
        <v>245.58461538461538</v>
      </c>
      <c r="Q556" s="122" t="s">
        <v>16</v>
      </c>
      <c r="R556" s="145">
        <v>6</v>
      </c>
      <c r="S556" s="95"/>
      <c r="T556" s="98"/>
      <c r="U556" s="125">
        <f>R556*P556+350/65*O556</f>
        <v>1565.0461538461536</v>
      </c>
      <c r="V556" s="113">
        <f t="shared" si="128"/>
        <v>5.7538461538461529</v>
      </c>
      <c r="W556" s="114">
        <f t="shared" si="129"/>
        <v>0.82197802197802183</v>
      </c>
      <c r="X556" s="95"/>
      <c r="Y556" s="95"/>
      <c r="Z556" s="102"/>
      <c r="AA556" s="103">
        <v>45786</v>
      </c>
      <c r="AB556" s="103">
        <v>45808</v>
      </c>
      <c r="AC556" s="103"/>
      <c r="AD556" s="102">
        <f>IF(ISNA(VLOOKUP(D556,亚马逊入库配置费!B:F,5,0)),0,VLOOKUP(D556,亚马逊入库配置费!B:F,5,0))</f>
        <v>0.49</v>
      </c>
      <c r="AE556" s="102">
        <f t="shared" si="123"/>
        <v>133.28</v>
      </c>
      <c r="AF556" s="103">
        <v>45814</v>
      </c>
      <c r="AG556" s="91">
        <f t="shared" si="124"/>
        <v>28</v>
      </c>
      <c r="AH556" s="103">
        <v>45814</v>
      </c>
      <c r="AI556" s="103">
        <v>45850</v>
      </c>
      <c r="AJ556" s="96">
        <v>272</v>
      </c>
      <c r="AK556" s="91">
        <f t="shared" si="125"/>
        <v>36</v>
      </c>
      <c r="AL556" s="96">
        <f t="shared" si="126"/>
        <v>64</v>
      </c>
      <c r="AM556" s="92"/>
      <c r="AN556" s="91"/>
      <c r="AO556" s="91"/>
    </row>
    <row r="557" spans="1:41" ht="14.5" x14ac:dyDescent="0.25">
      <c r="A557" s="92" t="s">
        <v>1049</v>
      </c>
      <c r="B557" s="91" t="s">
        <v>3415</v>
      </c>
      <c r="C557" s="119" t="s">
        <v>1045</v>
      </c>
      <c r="D557" s="120" t="s">
        <v>1046</v>
      </c>
      <c r="E557" s="135" t="s">
        <v>287</v>
      </c>
      <c r="F557" s="135" t="s">
        <v>0</v>
      </c>
      <c r="G557" s="58" t="s">
        <v>551</v>
      </c>
      <c r="H557" s="119">
        <v>240</v>
      </c>
      <c r="I557" s="119" t="s">
        <v>89</v>
      </c>
      <c r="J557" s="119" t="s">
        <v>8</v>
      </c>
      <c r="K557" s="120" t="s">
        <v>13</v>
      </c>
      <c r="L557" s="93" t="s">
        <v>3072</v>
      </c>
      <c r="M557" s="94" t="s">
        <v>3372</v>
      </c>
      <c r="N557" s="95" t="s">
        <v>2793</v>
      </c>
      <c r="O557" s="154">
        <v>15</v>
      </c>
      <c r="P557" s="153">
        <f>939/65*O557</f>
        <v>216.69230769230771</v>
      </c>
      <c r="Q557" s="122" t="s">
        <v>16</v>
      </c>
      <c r="R557" s="145">
        <v>6</v>
      </c>
      <c r="S557" s="95"/>
      <c r="T557" s="98"/>
      <c r="U557" s="125">
        <f>R557*P557+350/65*O557</f>
        <v>1380.9230769230769</v>
      </c>
      <c r="V557" s="113">
        <f t="shared" si="128"/>
        <v>5.7538461538461538</v>
      </c>
      <c r="W557" s="114">
        <f t="shared" si="129"/>
        <v>0.82197802197802194</v>
      </c>
      <c r="X557" s="95"/>
      <c r="Y557" s="95"/>
      <c r="Z557" s="102"/>
      <c r="AA557" s="103">
        <v>45786</v>
      </c>
      <c r="AB557" s="103">
        <v>45808</v>
      </c>
      <c r="AC557" s="103"/>
      <c r="AD557" s="102">
        <f>IF(ISNA(VLOOKUP(D557,亚马逊入库配置费!B:F,5,0)),0,VLOOKUP(D557,亚马逊入库配置费!B:F,5,0))</f>
        <v>0.49</v>
      </c>
      <c r="AE557" s="102">
        <f t="shared" si="123"/>
        <v>117.6</v>
      </c>
      <c r="AF557" s="103">
        <v>45814</v>
      </c>
      <c r="AG557" s="91">
        <f t="shared" si="124"/>
        <v>28</v>
      </c>
      <c r="AH557" s="103">
        <v>45814</v>
      </c>
      <c r="AI557" s="103">
        <v>45850</v>
      </c>
      <c r="AJ557" s="96">
        <v>243</v>
      </c>
      <c r="AK557" s="91">
        <f t="shared" si="125"/>
        <v>36</v>
      </c>
      <c r="AL557" s="96">
        <f t="shared" si="126"/>
        <v>64</v>
      </c>
      <c r="AM557" s="92"/>
      <c r="AN557" s="91"/>
      <c r="AO557" s="91"/>
    </row>
    <row r="558" spans="1:41" ht="14.5" x14ac:dyDescent="0.25">
      <c r="A558" s="92" t="s">
        <v>1050</v>
      </c>
      <c r="B558" s="91" t="s">
        <v>3421</v>
      </c>
      <c r="C558" s="119" t="s">
        <v>303</v>
      </c>
      <c r="D558" s="120" t="s">
        <v>1051</v>
      </c>
      <c r="E558" s="135" t="s">
        <v>97</v>
      </c>
      <c r="F558" s="135" t="s">
        <v>0</v>
      </c>
      <c r="G558" s="58" t="s">
        <v>1052</v>
      </c>
      <c r="H558" s="119">
        <v>546</v>
      </c>
      <c r="I558" s="119" t="s">
        <v>207</v>
      </c>
      <c r="J558" s="119" t="s">
        <v>8</v>
      </c>
      <c r="K558" s="120" t="s">
        <v>42</v>
      </c>
      <c r="L558" s="93" t="s">
        <v>3089</v>
      </c>
      <c r="M558" s="94" t="s">
        <v>3423</v>
      </c>
      <c r="N558" s="95" t="s">
        <v>3042</v>
      </c>
      <c r="O558" s="132">
        <v>7</v>
      </c>
      <c r="P558" s="153">
        <f t="shared" ref="P558:P569" si="133">673/33*O558</f>
        <v>142.75757575757575</v>
      </c>
      <c r="Q558" s="122" t="s">
        <v>16</v>
      </c>
      <c r="R558" s="145">
        <f t="shared" ref="R558:R569" si="134">9-2.875</f>
        <v>6.125</v>
      </c>
      <c r="S558" s="95"/>
      <c r="T558" s="98"/>
      <c r="U558" s="125">
        <f t="shared" ref="U558:U569" si="135">R558*P558</f>
        <v>874.3901515151515</v>
      </c>
      <c r="V558" s="113">
        <f t="shared" si="128"/>
        <v>1.6014471639471639</v>
      </c>
      <c r="W558" s="114">
        <f t="shared" si="129"/>
        <v>0.22877816627816627</v>
      </c>
      <c r="X558" s="95"/>
      <c r="Y558" s="95"/>
      <c r="Z558" s="102"/>
      <c r="AA558" s="103">
        <v>45786</v>
      </c>
      <c r="AB558" s="103">
        <v>45808</v>
      </c>
      <c r="AC558" s="103"/>
      <c r="AD558" s="102">
        <f>IF(ISNA(VLOOKUP(D558,亚马逊入库配置费!B:F,5,0)),0,VLOOKUP(D558,亚马逊入库配置费!B:F,5,0))</f>
        <v>0.381238670694864</v>
      </c>
      <c r="AE558" s="102">
        <f t="shared" si="123"/>
        <v>208.15631419939575</v>
      </c>
      <c r="AF558" s="103">
        <v>45817</v>
      </c>
      <c r="AG558" s="91">
        <f t="shared" si="124"/>
        <v>31</v>
      </c>
      <c r="AH558" s="103">
        <v>45817</v>
      </c>
      <c r="AI558" s="103">
        <v>45845</v>
      </c>
      <c r="AJ558" s="96">
        <v>535</v>
      </c>
      <c r="AK558" s="91">
        <f t="shared" si="125"/>
        <v>28</v>
      </c>
      <c r="AL558" s="96">
        <f t="shared" si="126"/>
        <v>59</v>
      </c>
      <c r="AM558" s="92"/>
      <c r="AN558" s="91"/>
      <c r="AO558" s="91"/>
    </row>
    <row r="559" spans="1:41" ht="14.5" x14ac:dyDescent="0.25">
      <c r="A559" s="92" t="s">
        <v>1053</v>
      </c>
      <c r="B559" s="91" t="s">
        <v>3421</v>
      </c>
      <c r="C559" s="119" t="s">
        <v>303</v>
      </c>
      <c r="D559" s="120" t="s">
        <v>1051</v>
      </c>
      <c r="E559" s="135" t="s">
        <v>97</v>
      </c>
      <c r="F559" s="135" t="s">
        <v>0</v>
      </c>
      <c r="G559" s="58" t="s">
        <v>1054</v>
      </c>
      <c r="H559" s="119">
        <v>90</v>
      </c>
      <c r="I559" s="119" t="s">
        <v>207</v>
      </c>
      <c r="J559" s="119" t="s">
        <v>8</v>
      </c>
      <c r="K559" s="120" t="s">
        <v>42</v>
      </c>
      <c r="L559" s="93" t="s">
        <v>3090</v>
      </c>
      <c r="M559" s="94" t="s">
        <v>3424</v>
      </c>
      <c r="N559" s="95" t="s">
        <v>3042</v>
      </c>
      <c r="O559" s="132">
        <v>1</v>
      </c>
      <c r="P559" s="153">
        <f t="shared" si="133"/>
        <v>20.393939393939394</v>
      </c>
      <c r="Q559" s="122" t="s">
        <v>16</v>
      </c>
      <c r="R559" s="145">
        <f t="shared" si="134"/>
        <v>6.125</v>
      </c>
      <c r="S559" s="95"/>
      <c r="T559" s="98"/>
      <c r="U559" s="125">
        <f t="shared" si="135"/>
        <v>124.9128787878788</v>
      </c>
      <c r="V559" s="113">
        <f t="shared" si="128"/>
        <v>1.3879208754208756</v>
      </c>
      <c r="W559" s="114">
        <f t="shared" si="129"/>
        <v>0.1982744107744108</v>
      </c>
      <c r="X559" s="95"/>
      <c r="Y559" s="95"/>
      <c r="Z559" s="102"/>
      <c r="AA559" s="103">
        <v>45786</v>
      </c>
      <c r="AB559" s="103">
        <v>45808</v>
      </c>
      <c r="AC559" s="103"/>
      <c r="AD559" s="102">
        <f>IF(ISNA(VLOOKUP(D559,亚马逊入库配置费!B:F,5,0)),0,VLOOKUP(D559,亚马逊入库配置费!B:F,5,0))</f>
        <v>0.381238670694864</v>
      </c>
      <c r="AE559" s="102">
        <f t="shared" si="123"/>
        <v>34.311480362537758</v>
      </c>
      <c r="AF559" s="103">
        <v>45817</v>
      </c>
      <c r="AG559" s="91">
        <f t="shared" si="124"/>
        <v>31</v>
      </c>
      <c r="AH559" s="103">
        <v>45817</v>
      </c>
      <c r="AI559" s="103">
        <v>45845</v>
      </c>
      <c r="AJ559" s="96">
        <v>90</v>
      </c>
      <c r="AK559" s="91">
        <f t="shared" si="125"/>
        <v>28</v>
      </c>
      <c r="AL559" s="96">
        <f t="shared" si="126"/>
        <v>59</v>
      </c>
      <c r="AM559" s="92"/>
      <c r="AN559" s="91"/>
      <c r="AO559" s="91"/>
    </row>
    <row r="560" spans="1:41" ht="14.5" x14ac:dyDescent="0.25">
      <c r="A560" s="92" t="s">
        <v>1055</v>
      </c>
      <c r="B560" s="91" t="s">
        <v>3421</v>
      </c>
      <c r="C560" s="119" t="s">
        <v>303</v>
      </c>
      <c r="D560" s="120" t="s">
        <v>1051</v>
      </c>
      <c r="E560" s="135" t="s">
        <v>97</v>
      </c>
      <c r="F560" s="135" t="s">
        <v>0</v>
      </c>
      <c r="G560" s="58" t="s">
        <v>316</v>
      </c>
      <c r="H560" s="119">
        <v>720</v>
      </c>
      <c r="I560" s="119" t="s">
        <v>207</v>
      </c>
      <c r="J560" s="119" t="s">
        <v>8</v>
      </c>
      <c r="K560" s="120" t="s">
        <v>42</v>
      </c>
      <c r="L560" s="93" t="s">
        <v>3046</v>
      </c>
      <c r="M560" s="94" t="s">
        <v>3333</v>
      </c>
      <c r="N560" s="95" t="s">
        <v>3042</v>
      </c>
      <c r="O560" s="132">
        <v>8</v>
      </c>
      <c r="P560" s="153">
        <f t="shared" si="133"/>
        <v>163.15151515151516</v>
      </c>
      <c r="Q560" s="122" t="s">
        <v>16</v>
      </c>
      <c r="R560" s="145">
        <f t="shared" si="134"/>
        <v>6.125</v>
      </c>
      <c r="S560" s="95"/>
      <c r="T560" s="98"/>
      <c r="U560" s="125">
        <f t="shared" si="135"/>
        <v>999.30303030303037</v>
      </c>
      <c r="V560" s="113">
        <f t="shared" si="128"/>
        <v>1.3879208754208756</v>
      </c>
      <c r="W560" s="114">
        <f t="shared" si="129"/>
        <v>0.1982744107744108</v>
      </c>
      <c r="X560" s="95"/>
      <c r="Y560" s="95"/>
      <c r="Z560" s="102"/>
      <c r="AA560" s="103">
        <v>45786</v>
      </c>
      <c r="AB560" s="103">
        <v>45808</v>
      </c>
      <c r="AC560" s="103"/>
      <c r="AD560" s="102">
        <f>IF(ISNA(VLOOKUP(D560,亚马逊入库配置费!B:F,5,0)),0,VLOOKUP(D560,亚马逊入库配置费!B:F,5,0))</f>
        <v>0.381238670694864</v>
      </c>
      <c r="AE560" s="102">
        <f t="shared" si="123"/>
        <v>274.49184290030206</v>
      </c>
      <c r="AF560" s="103">
        <v>45817</v>
      </c>
      <c r="AG560" s="91">
        <f t="shared" si="124"/>
        <v>31</v>
      </c>
      <c r="AH560" s="103">
        <v>45817</v>
      </c>
      <c r="AI560" s="103">
        <v>45845</v>
      </c>
      <c r="AJ560" s="96">
        <v>723</v>
      </c>
      <c r="AK560" s="91">
        <f t="shared" si="125"/>
        <v>28</v>
      </c>
      <c r="AL560" s="96">
        <f t="shared" si="126"/>
        <v>59</v>
      </c>
      <c r="AM560" s="92"/>
      <c r="AN560" s="91"/>
      <c r="AO560" s="91"/>
    </row>
    <row r="561" spans="1:41" ht="14.5" x14ac:dyDescent="0.25">
      <c r="A561" s="92" t="s">
        <v>1056</v>
      </c>
      <c r="B561" s="91" t="s">
        <v>3421</v>
      </c>
      <c r="C561" s="119" t="s">
        <v>303</v>
      </c>
      <c r="D561" s="120" t="s">
        <v>1051</v>
      </c>
      <c r="E561" s="135" t="s">
        <v>97</v>
      </c>
      <c r="F561" s="135" t="s">
        <v>0</v>
      </c>
      <c r="G561" s="58" t="s">
        <v>1057</v>
      </c>
      <c r="H561" s="119">
        <v>90</v>
      </c>
      <c r="I561" s="119" t="s">
        <v>207</v>
      </c>
      <c r="J561" s="119" t="s">
        <v>8</v>
      </c>
      <c r="K561" s="120" t="s">
        <v>42</v>
      </c>
      <c r="L561" s="93" t="s">
        <v>3091</v>
      </c>
      <c r="M561" s="94" t="s">
        <v>3425</v>
      </c>
      <c r="N561" s="95" t="s">
        <v>3042</v>
      </c>
      <c r="O561" s="132">
        <v>1</v>
      </c>
      <c r="P561" s="153">
        <f t="shared" si="133"/>
        <v>20.393939393939394</v>
      </c>
      <c r="Q561" s="122" t="s">
        <v>16</v>
      </c>
      <c r="R561" s="145">
        <f t="shared" si="134"/>
        <v>6.125</v>
      </c>
      <c r="S561" s="95"/>
      <c r="T561" s="98"/>
      <c r="U561" s="125">
        <f t="shared" si="135"/>
        <v>124.9128787878788</v>
      </c>
      <c r="V561" s="113">
        <f t="shared" si="128"/>
        <v>1.3879208754208756</v>
      </c>
      <c r="W561" s="114">
        <f t="shared" si="129"/>
        <v>0.1982744107744108</v>
      </c>
      <c r="X561" s="95"/>
      <c r="Y561" s="95"/>
      <c r="Z561" s="102"/>
      <c r="AA561" s="103">
        <v>45786</v>
      </c>
      <c r="AB561" s="103">
        <v>45808</v>
      </c>
      <c r="AC561" s="103"/>
      <c r="AD561" s="102">
        <f>IF(ISNA(VLOOKUP(D561,亚马逊入库配置费!B:F,5,0)),0,VLOOKUP(D561,亚马逊入库配置费!B:F,5,0))</f>
        <v>0.381238670694864</v>
      </c>
      <c r="AE561" s="102">
        <f t="shared" si="123"/>
        <v>34.311480362537758</v>
      </c>
      <c r="AF561" s="103">
        <v>45817</v>
      </c>
      <c r="AG561" s="91">
        <f t="shared" si="124"/>
        <v>31</v>
      </c>
      <c r="AH561" s="103">
        <v>45817</v>
      </c>
      <c r="AI561" s="103">
        <v>45845</v>
      </c>
      <c r="AJ561" s="96">
        <v>84</v>
      </c>
      <c r="AK561" s="91">
        <f t="shared" si="125"/>
        <v>28</v>
      </c>
      <c r="AL561" s="96">
        <f t="shared" si="126"/>
        <v>59</v>
      </c>
      <c r="AM561" s="92"/>
      <c r="AN561" s="91"/>
      <c r="AO561" s="91"/>
    </row>
    <row r="562" spans="1:41" ht="14.5" x14ac:dyDescent="0.25">
      <c r="A562" s="92" t="s">
        <v>1058</v>
      </c>
      <c r="B562" s="91" t="s">
        <v>3421</v>
      </c>
      <c r="C562" s="119" t="s">
        <v>303</v>
      </c>
      <c r="D562" s="120" t="s">
        <v>1051</v>
      </c>
      <c r="E562" s="135" t="s">
        <v>97</v>
      </c>
      <c r="F562" s="135" t="s">
        <v>0</v>
      </c>
      <c r="G562" s="58" t="s">
        <v>1059</v>
      </c>
      <c r="H562" s="119">
        <v>90</v>
      </c>
      <c r="I562" s="119" t="s">
        <v>207</v>
      </c>
      <c r="J562" s="119" t="s">
        <v>8</v>
      </c>
      <c r="K562" s="120" t="s">
        <v>42</v>
      </c>
      <c r="L562" s="93" t="s">
        <v>3092</v>
      </c>
      <c r="M562" s="94" t="s">
        <v>3426</v>
      </c>
      <c r="N562" s="95" t="s">
        <v>3042</v>
      </c>
      <c r="O562" s="132">
        <v>1</v>
      </c>
      <c r="P562" s="153">
        <f t="shared" si="133"/>
        <v>20.393939393939394</v>
      </c>
      <c r="Q562" s="122" t="s">
        <v>16</v>
      </c>
      <c r="R562" s="145">
        <f t="shared" si="134"/>
        <v>6.125</v>
      </c>
      <c r="S562" s="95"/>
      <c r="T562" s="98"/>
      <c r="U562" s="125">
        <f t="shared" si="135"/>
        <v>124.9128787878788</v>
      </c>
      <c r="V562" s="113">
        <f t="shared" si="128"/>
        <v>1.3879208754208756</v>
      </c>
      <c r="W562" s="114">
        <f t="shared" si="129"/>
        <v>0.1982744107744108</v>
      </c>
      <c r="X562" s="95"/>
      <c r="Y562" s="95"/>
      <c r="Z562" s="102"/>
      <c r="AA562" s="103">
        <v>45786</v>
      </c>
      <c r="AB562" s="103">
        <v>45808</v>
      </c>
      <c r="AC562" s="103"/>
      <c r="AD562" s="102">
        <f>IF(ISNA(VLOOKUP(D562,亚马逊入库配置费!B:F,5,0)),0,VLOOKUP(D562,亚马逊入库配置费!B:F,5,0))</f>
        <v>0.381238670694864</v>
      </c>
      <c r="AE562" s="102">
        <f t="shared" si="123"/>
        <v>34.311480362537758</v>
      </c>
      <c r="AF562" s="103">
        <v>45817</v>
      </c>
      <c r="AG562" s="91">
        <f t="shared" si="124"/>
        <v>31</v>
      </c>
      <c r="AH562" s="103">
        <v>45817</v>
      </c>
      <c r="AI562" s="103">
        <v>45845</v>
      </c>
      <c r="AJ562" s="96">
        <v>81</v>
      </c>
      <c r="AK562" s="91">
        <f t="shared" si="125"/>
        <v>28</v>
      </c>
      <c r="AL562" s="96">
        <f t="shared" si="126"/>
        <v>59</v>
      </c>
      <c r="AM562" s="92"/>
      <c r="AN562" s="91"/>
      <c r="AO562" s="91"/>
    </row>
    <row r="563" spans="1:41" ht="14.5" x14ac:dyDescent="0.25">
      <c r="A563" s="92" t="s">
        <v>1060</v>
      </c>
      <c r="B563" s="91" t="s">
        <v>3421</v>
      </c>
      <c r="C563" s="119" t="s">
        <v>303</v>
      </c>
      <c r="D563" s="120" t="s">
        <v>1051</v>
      </c>
      <c r="E563" s="135" t="s">
        <v>97</v>
      </c>
      <c r="F563" s="135" t="s">
        <v>0</v>
      </c>
      <c r="G563" s="58" t="s">
        <v>1061</v>
      </c>
      <c r="H563" s="119">
        <v>180</v>
      </c>
      <c r="I563" s="119" t="s">
        <v>207</v>
      </c>
      <c r="J563" s="119" t="s">
        <v>8</v>
      </c>
      <c r="K563" s="120" t="s">
        <v>42</v>
      </c>
      <c r="L563" s="93" t="s">
        <v>3093</v>
      </c>
      <c r="M563" s="94" t="s">
        <v>3427</v>
      </c>
      <c r="N563" s="95" t="s">
        <v>3042</v>
      </c>
      <c r="O563" s="132">
        <v>2</v>
      </c>
      <c r="P563" s="153">
        <f t="shared" si="133"/>
        <v>40.787878787878789</v>
      </c>
      <c r="Q563" s="122" t="s">
        <v>16</v>
      </c>
      <c r="R563" s="145">
        <f t="shared" si="134"/>
        <v>6.125</v>
      </c>
      <c r="S563" s="95"/>
      <c r="T563" s="98"/>
      <c r="U563" s="125">
        <f t="shared" si="135"/>
        <v>249.82575757575759</v>
      </c>
      <c r="V563" s="113">
        <f t="shared" si="128"/>
        <v>1.3879208754208756</v>
      </c>
      <c r="W563" s="114">
        <f t="shared" si="129"/>
        <v>0.1982744107744108</v>
      </c>
      <c r="X563" s="95"/>
      <c r="Y563" s="95"/>
      <c r="Z563" s="102"/>
      <c r="AA563" s="103">
        <v>45786</v>
      </c>
      <c r="AB563" s="103">
        <v>45808</v>
      </c>
      <c r="AC563" s="103"/>
      <c r="AD563" s="102">
        <f>IF(ISNA(VLOOKUP(D563,亚马逊入库配置费!B:F,5,0)),0,VLOOKUP(D563,亚马逊入库配置费!B:F,5,0))</f>
        <v>0.381238670694864</v>
      </c>
      <c r="AE563" s="102">
        <f t="shared" si="123"/>
        <v>68.622960725075515</v>
      </c>
      <c r="AF563" s="103">
        <v>45817</v>
      </c>
      <c r="AG563" s="91">
        <f t="shared" si="124"/>
        <v>31</v>
      </c>
      <c r="AH563" s="103">
        <v>45817</v>
      </c>
      <c r="AI563" s="103">
        <v>45845</v>
      </c>
      <c r="AJ563" s="96">
        <v>165</v>
      </c>
      <c r="AK563" s="91">
        <f t="shared" si="125"/>
        <v>28</v>
      </c>
      <c r="AL563" s="96">
        <f t="shared" si="126"/>
        <v>59</v>
      </c>
      <c r="AM563" s="92"/>
      <c r="AN563" s="91"/>
      <c r="AO563" s="91"/>
    </row>
    <row r="564" spans="1:41" ht="14.5" x14ac:dyDescent="0.25">
      <c r="A564" s="92" t="s">
        <v>1062</v>
      </c>
      <c r="B564" s="91" t="s">
        <v>3421</v>
      </c>
      <c r="C564" s="119" t="s">
        <v>303</v>
      </c>
      <c r="D564" s="120" t="s">
        <v>1051</v>
      </c>
      <c r="E564" s="135" t="s">
        <v>97</v>
      </c>
      <c r="F564" s="135" t="s">
        <v>0</v>
      </c>
      <c r="G564" s="58" t="s">
        <v>526</v>
      </c>
      <c r="H564" s="119">
        <v>270</v>
      </c>
      <c r="I564" s="119" t="s">
        <v>207</v>
      </c>
      <c r="J564" s="119" t="s">
        <v>8</v>
      </c>
      <c r="K564" s="120" t="s">
        <v>42</v>
      </c>
      <c r="L564" s="93" t="s">
        <v>3069</v>
      </c>
      <c r="M564" s="94" t="s">
        <v>3367</v>
      </c>
      <c r="N564" s="95" t="s">
        <v>3042</v>
      </c>
      <c r="O564" s="132">
        <v>3</v>
      </c>
      <c r="P564" s="153">
        <f t="shared" si="133"/>
        <v>61.181818181818187</v>
      </c>
      <c r="Q564" s="122" t="s">
        <v>16</v>
      </c>
      <c r="R564" s="145">
        <f t="shared" si="134"/>
        <v>6.125</v>
      </c>
      <c r="S564" s="95"/>
      <c r="T564" s="98"/>
      <c r="U564" s="125">
        <f t="shared" si="135"/>
        <v>374.73863636363637</v>
      </c>
      <c r="V564" s="113">
        <f t="shared" si="128"/>
        <v>1.3879208754208754</v>
      </c>
      <c r="W564" s="114">
        <f t="shared" si="129"/>
        <v>0.19827441077441077</v>
      </c>
      <c r="X564" s="95"/>
      <c r="Y564" s="95"/>
      <c r="Z564" s="102"/>
      <c r="AA564" s="103">
        <v>45786</v>
      </c>
      <c r="AB564" s="103">
        <v>45808</v>
      </c>
      <c r="AC564" s="103"/>
      <c r="AD564" s="102">
        <f>IF(ISNA(VLOOKUP(D564,亚马逊入库配置费!B:F,5,0)),0,VLOOKUP(D564,亚马逊入库配置费!B:F,5,0))</f>
        <v>0.381238670694864</v>
      </c>
      <c r="AE564" s="102">
        <f t="shared" si="123"/>
        <v>102.93444108761328</v>
      </c>
      <c r="AF564" s="103">
        <v>45817</v>
      </c>
      <c r="AG564" s="91">
        <f t="shared" si="124"/>
        <v>31</v>
      </c>
      <c r="AH564" s="103">
        <v>45817</v>
      </c>
      <c r="AI564" s="103">
        <v>45845</v>
      </c>
      <c r="AJ564" s="96">
        <v>270</v>
      </c>
      <c r="AK564" s="91">
        <f t="shared" si="125"/>
        <v>28</v>
      </c>
      <c r="AL564" s="96">
        <f t="shared" si="126"/>
        <v>59</v>
      </c>
      <c r="AM564" s="92"/>
      <c r="AN564" s="91"/>
      <c r="AO564" s="91"/>
    </row>
    <row r="565" spans="1:41" ht="14.5" x14ac:dyDescent="0.25">
      <c r="A565" s="92" t="s">
        <v>1063</v>
      </c>
      <c r="B565" s="91" t="s">
        <v>3421</v>
      </c>
      <c r="C565" s="119" t="s">
        <v>303</v>
      </c>
      <c r="D565" s="120" t="s">
        <v>1064</v>
      </c>
      <c r="E565" s="135" t="s">
        <v>115</v>
      </c>
      <c r="F565" s="135" t="s">
        <v>0</v>
      </c>
      <c r="G565" s="58" t="s">
        <v>1052</v>
      </c>
      <c r="H565" s="119">
        <v>390</v>
      </c>
      <c r="I565" s="119" t="s">
        <v>207</v>
      </c>
      <c r="J565" s="119" t="s">
        <v>8</v>
      </c>
      <c r="K565" s="120" t="s">
        <v>42</v>
      </c>
      <c r="L565" s="93" t="s">
        <v>3089</v>
      </c>
      <c r="M565" s="94" t="s">
        <v>3423</v>
      </c>
      <c r="N565" s="95" t="s">
        <v>3042</v>
      </c>
      <c r="O565" s="132">
        <v>5</v>
      </c>
      <c r="P565" s="153">
        <f t="shared" si="133"/>
        <v>101.96969696969697</v>
      </c>
      <c r="Q565" s="122" t="s">
        <v>16</v>
      </c>
      <c r="R565" s="145">
        <f t="shared" si="134"/>
        <v>6.125</v>
      </c>
      <c r="S565" s="95"/>
      <c r="T565" s="98"/>
      <c r="U565" s="125">
        <f t="shared" si="135"/>
        <v>624.56439393939388</v>
      </c>
      <c r="V565" s="113">
        <f t="shared" si="128"/>
        <v>1.6014471639471637</v>
      </c>
      <c r="W565" s="114">
        <f t="shared" si="129"/>
        <v>0.22877816627816625</v>
      </c>
      <c r="X565" s="95"/>
      <c r="Y565" s="95"/>
      <c r="Z565" s="102"/>
      <c r="AA565" s="103">
        <v>45786</v>
      </c>
      <c r="AB565" s="103">
        <v>45808</v>
      </c>
      <c r="AC565" s="103"/>
      <c r="AD565" s="102">
        <f>IF(ISNA(VLOOKUP(D565,亚马逊入库配置费!B:F,5,0)),0,VLOOKUP(D565,亚马逊入库配置费!B:F,5,0))</f>
        <v>0.40964285714285698</v>
      </c>
      <c r="AE565" s="102">
        <f t="shared" si="123"/>
        <v>159.76071428571422</v>
      </c>
      <c r="AF565" s="103">
        <v>45817</v>
      </c>
      <c r="AG565" s="91">
        <f t="shared" si="124"/>
        <v>31</v>
      </c>
      <c r="AH565" s="103">
        <v>45817</v>
      </c>
      <c r="AI565" s="103">
        <v>45847</v>
      </c>
      <c r="AJ565" s="96">
        <v>390</v>
      </c>
      <c r="AK565" s="91">
        <f t="shared" si="125"/>
        <v>30</v>
      </c>
      <c r="AL565" s="96">
        <f t="shared" si="126"/>
        <v>61</v>
      </c>
      <c r="AM565" s="92"/>
      <c r="AN565" s="91"/>
      <c r="AO565" s="91"/>
    </row>
    <row r="566" spans="1:41" ht="14.5" x14ac:dyDescent="0.25">
      <c r="A566" s="92" t="s">
        <v>1065</v>
      </c>
      <c r="B566" s="91" t="s">
        <v>3421</v>
      </c>
      <c r="C566" s="119" t="s">
        <v>303</v>
      </c>
      <c r="D566" s="120" t="s">
        <v>1064</v>
      </c>
      <c r="E566" s="135" t="s">
        <v>115</v>
      </c>
      <c r="F566" s="135" t="s">
        <v>0</v>
      </c>
      <c r="G566" s="58" t="s">
        <v>1054</v>
      </c>
      <c r="H566" s="119">
        <v>90</v>
      </c>
      <c r="I566" s="119" t="s">
        <v>207</v>
      </c>
      <c r="J566" s="119" t="s">
        <v>8</v>
      </c>
      <c r="K566" s="120" t="s">
        <v>42</v>
      </c>
      <c r="L566" s="93" t="s">
        <v>3090</v>
      </c>
      <c r="M566" s="94" t="s">
        <v>3424</v>
      </c>
      <c r="N566" s="95" t="s">
        <v>3042</v>
      </c>
      <c r="O566" s="132">
        <v>1</v>
      </c>
      <c r="P566" s="153">
        <f t="shared" si="133"/>
        <v>20.393939393939394</v>
      </c>
      <c r="Q566" s="122" t="s">
        <v>16</v>
      </c>
      <c r="R566" s="145">
        <f t="shared" si="134"/>
        <v>6.125</v>
      </c>
      <c r="S566" s="95"/>
      <c r="T566" s="98"/>
      <c r="U566" s="125">
        <f t="shared" si="135"/>
        <v>124.9128787878788</v>
      </c>
      <c r="V566" s="113">
        <f t="shared" si="128"/>
        <v>1.3879208754208756</v>
      </c>
      <c r="W566" s="114">
        <f t="shared" si="129"/>
        <v>0.1982744107744108</v>
      </c>
      <c r="X566" s="95"/>
      <c r="Y566" s="95"/>
      <c r="Z566" s="102"/>
      <c r="AA566" s="103">
        <v>45786</v>
      </c>
      <c r="AB566" s="103">
        <v>45808</v>
      </c>
      <c r="AC566" s="103"/>
      <c r="AD566" s="102">
        <f>IF(ISNA(VLOOKUP(D566,亚马逊入库配置费!B:F,5,0)),0,VLOOKUP(D566,亚马逊入库配置费!B:F,5,0))</f>
        <v>0.40964285714285698</v>
      </c>
      <c r="AE566" s="102">
        <f t="shared" si="123"/>
        <v>36.867857142857126</v>
      </c>
      <c r="AF566" s="103">
        <v>45817</v>
      </c>
      <c r="AG566" s="91">
        <f t="shared" si="124"/>
        <v>31</v>
      </c>
      <c r="AH566" s="103">
        <v>45817</v>
      </c>
      <c r="AI566" s="103">
        <v>45847</v>
      </c>
      <c r="AJ566" s="96">
        <v>90</v>
      </c>
      <c r="AK566" s="91">
        <f t="shared" si="125"/>
        <v>30</v>
      </c>
      <c r="AL566" s="96">
        <f t="shared" si="126"/>
        <v>61</v>
      </c>
      <c r="AM566" s="92"/>
      <c r="AN566" s="91"/>
      <c r="AO566" s="91"/>
    </row>
    <row r="567" spans="1:41" ht="14.5" x14ac:dyDescent="0.25">
      <c r="A567" s="92" t="s">
        <v>1066</v>
      </c>
      <c r="B567" s="91" t="s">
        <v>3421</v>
      </c>
      <c r="C567" s="119" t="s">
        <v>303</v>
      </c>
      <c r="D567" s="120" t="s">
        <v>1064</v>
      </c>
      <c r="E567" s="135" t="s">
        <v>115</v>
      </c>
      <c r="F567" s="135" t="s">
        <v>0</v>
      </c>
      <c r="G567" s="58" t="s">
        <v>1057</v>
      </c>
      <c r="H567" s="119">
        <v>90</v>
      </c>
      <c r="I567" s="119" t="s">
        <v>207</v>
      </c>
      <c r="J567" s="119" t="s">
        <v>8</v>
      </c>
      <c r="K567" s="120" t="s">
        <v>42</v>
      </c>
      <c r="L567" s="93" t="s">
        <v>3091</v>
      </c>
      <c r="M567" s="94" t="s">
        <v>3425</v>
      </c>
      <c r="N567" s="95" t="s">
        <v>3042</v>
      </c>
      <c r="O567" s="132">
        <v>1</v>
      </c>
      <c r="P567" s="153">
        <f t="shared" si="133"/>
        <v>20.393939393939394</v>
      </c>
      <c r="Q567" s="122" t="s">
        <v>16</v>
      </c>
      <c r="R567" s="145">
        <f t="shared" si="134"/>
        <v>6.125</v>
      </c>
      <c r="S567" s="95"/>
      <c r="T567" s="98"/>
      <c r="U567" s="125">
        <f t="shared" si="135"/>
        <v>124.9128787878788</v>
      </c>
      <c r="V567" s="113">
        <f t="shared" si="128"/>
        <v>1.3879208754208756</v>
      </c>
      <c r="W567" s="114">
        <f t="shared" si="129"/>
        <v>0.1982744107744108</v>
      </c>
      <c r="X567" s="95"/>
      <c r="Y567" s="95"/>
      <c r="Z567" s="102"/>
      <c r="AA567" s="103">
        <v>45786</v>
      </c>
      <c r="AB567" s="103">
        <v>45808</v>
      </c>
      <c r="AC567" s="103"/>
      <c r="AD567" s="102">
        <f>IF(ISNA(VLOOKUP(D567,亚马逊入库配置费!B:F,5,0)),0,VLOOKUP(D567,亚马逊入库配置费!B:F,5,0))</f>
        <v>0.40964285714285698</v>
      </c>
      <c r="AE567" s="102">
        <f t="shared" si="123"/>
        <v>36.867857142857126</v>
      </c>
      <c r="AF567" s="103">
        <v>45817</v>
      </c>
      <c r="AG567" s="91">
        <f t="shared" si="124"/>
        <v>31</v>
      </c>
      <c r="AH567" s="103">
        <v>45817</v>
      </c>
      <c r="AI567" s="103">
        <v>45847</v>
      </c>
      <c r="AJ567" s="96">
        <v>90</v>
      </c>
      <c r="AK567" s="91">
        <f t="shared" si="125"/>
        <v>30</v>
      </c>
      <c r="AL567" s="96">
        <f t="shared" si="126"/>
        <v>61</v>
      </c>
      <c r="AM567" s="92"/>
      <c r="AN567" s="91"/>
      <c r="AO567" s="91"/>
    </row>
    <row r="568" spans="1:41" ht="14.5" x14ac:dyDescent="0.25">
      <c r="A568" s="92" t="s">
        <v>1067</v>
      </c>
      <c r="B568" s="91" t="s">
        <v>3421</v>
      </c>
      <c r="C568" s="119" t="s">
        <v>303</v>
      </c>
      <c r="D568" s="120" t="s">
        <v>1064</v>
      </c>
      <c r="E568" s="135" t="s">
        <v>115</v>
      </c>
      <c r="F568" s="135" t="s">
        <v>0</v>
      </c>
      <c r="G568" s="58" t="s">
        <v>1059</v>
      </c>
      <c r="H568" s="119">
        <v>90</v>
      </c>
      <c r="I568" s="119" t="s">
        <v>207</v>
      </c>
      <c r="J568" s="119" t="s">
        <v>8</v>
      </c>
      <c r="K568" s="120" t="s">
        <v>42</v>
      </c>
      <c r="L568" s="93" t="s">
        <v>3092</v>
      </c>
      <c r="M568" s="94" t="s">
        <v>3426</v>
      </c>
      <c r="N568" s="95" t="s">
        <v>3042</v>
      </c>
      <c r="O568" s="132">
        <v>1</v>
      </c>
      <c r="P568" s="153">
        <f t="shared" si="133"/>
        <v>20.393939393939394</v>
      </c>
      <c r="Q568" s="122" t="s">
        <v>16</v>
      </c>
      <c r="R568" s="145">
        <f t="shared" si="134"/>
        <v>6.125</v>
      </c>
      <c r="S568" s="95"/>
      <c r="T568" s="98"/>
      <c r="U568" s="125">
        <f t="shared" si="135"/>
        <v>124.9128787878788</v>
      </c>
      <c r="V568" s="113">
        <f t="shared" si="128"/>
        <v>1.3879208754208756</v>
      </c>
      <c r="W568" s="114">
        <f t="shared" si="129"/>
        <v>0.1982744107744108</v>
      </c>
      <c r="X568" s="95"/>
      <c r="Y568" s="95"/>
      <c r="Z568" s="102"/>
      <c r="AA568" s="103">
        <v>45786</v>
      </c>
      <c r="AB568" s="103">
        <v>45808</v>
      </c>
      <c r="AC568" s="103"/>
      <c r="AD568" s="102">
        <f>IF(ISNA(VLOOKUP(D568,亚马逊入库配置费!B:F,5,0)),0,VLOOKUP(D568,亚马逊入库配置费!B:F,5,0))</f>
        <v>0.40964285714285698</v>
      </c>
      <c r="AE568" s="102">
        <f t="shared" si="123"/>
        <v>36.867857142857126</v>
      </c>
      <c r="AF568" s="103">
        <v>45817</v>
      </c>
      <c r="AG568" s="91">
        <f t="shared" si="124"/>
        <v>31</v>
      </c>
      <c r="AH568" s="103">
        <v>45817</v>
      </c>
      <c r="AI568" s="103">
        <v>45847</v>
      </c>
      <c r="AJ568" s="96">
        <v>89</v>
      </c>
      <c r="AK568" s="91">
        <f t="shared" si="125"/>
        <v>30</v>
      </c>
      <c r="AL568" s="96">
        <f t="shared" si="126"/>
        <v>61</v>
      </c>
      <c r="AM568" s="92"/>
      <c r="AN568" s="91"/>
      <c r="AO568" s="91"/>
    </row>
    <row r="569" spans="1:41" ht="14.5" x14ac:dyDescent="0.25">
      <c r="A569" s="92" t="s">
        <v>1068</v>
      </c>
      <c r="B569" s="91" t="s">
        <v>3421</v>
      </c>
      <c r="C569" s="119" t="s">
        <v>303</v>
      </c>
      <c r="D569" s="120" t="s">
        <v>1064</v>
      </c>
      <c r="E569" s="135" t="s">
        <v>115</v>
      </c>
      <c r="F569" s="135" t="s">
        <v>0</v>
      </c>
      <c r="G569" s="58" t="s">
        <v>1061</v>
      </c>
      <c r="H569" s="119">
        <v>180</v>
      </c>
      <c r="I569" s="119" t="s">
        <v>207</v>
      </c>
      <c r="J569" s="119" t="s">
        <v>8</v>
      </c>
      <c r="K569" s="120" t="s">
        <v>42</v>
      </c>
      <c r="L569" s="93" t="s">
        <v>3093</v>
      </c>
      <c r="M569" s="94" t="s">
        <v>3427</v>
      </c>
      <c r="N569" s="95" t="s">
        <v>3042</v>
      </c>
      <c r="O569" s="154">
        <v>2</v>
      </c>
      <c r="P569" s="153">
        <f t="shared" si="133"/>
        <v>40.787878787878789</v>
      </c>
      <c r="Q569" s="122" t="s">
        <v>16</v>
      </c>
      <c r="R569" s="145">
        <f t="shared" si="134"/>
        <v>6.125</v>
      </c>
      <c r="S569" s="95"/>
      <c r="T569" s="98"/>
      <c r="U569" s="125">
        <f t="shared" si="135"/>
        <v>249.82575757575759</v>
      </c>
      <c r="V569" s="113">
        <f t="shared" si="128"/>
        <v>1.3879208754208756</v>
      </c>
      <c r="W569" s="114">
        <f t="shared" si="129"/>
        <v>0.1982744107744108</v>
      </c>
      <c r="X569" s="95"/>
      <c r="Y569" s="95"/>
      <c r="Z569" s="102"/>
      <c r="AA569" s="103">
        <v>45786</v>
      </c>
      <c r="AB569" s="103">
        <v>45808</v>
      </c>
      <c r="AC569" s="103"/>
      <c r="AD569" s="102">
        <f>IF(ISNA(VLOOKUP(D569,亚马逊入库配置费!B:F,5,0)),0,VLOOKUP(D569,亚马逊入库配置费!B:F,5,0))</f>
        <v>0.40964285714285698</v>
      </c>
      <c r="AE569" s="102">
        <f t="shared" si="123"/>
        <v>73.735714285714252</v>
      </c>
      <c r="AF569" s="103">
        <v>45817</v>
      </c>
      <c r="AG569" s="91">
        <f t="shared" si="124"/>
        <v>31</v>
      </c>
      <c r="AH569" s="103">
        <v>45817</v>
      </c>
      <c r="AI569" s="103">
        <v>45847</v>
      </c>
      <c r="AJ569" s="96">
        <v>180</v>
      </c>
      <c r="AK569" s="91">
        <f t="shared" si="125"/>
        <v>30</v>
      </c>
      <c r="AL569" s="96">
        <f t="shared" si="126"/>
        <v>61</v>
      </c>
      <c r="AM569" s="92"/>
      <c r="AN569" s="91"/>
      <c r="AO569" s="91"/>
    </row>
    <row r="570" spans="1:41" ht="14.5" x14ac:dyDescent="0.25">
      <c r="A570" s="92" t="s">
        <v>1069</v>
      </c>
      <c r="B570" s="91"/>
      <c r="C570" s="119" t="s">
        <v>1070</v>
      </c>
      <c r="D570" s="120" t="s">
        <v>1071</v>
      </c>
      <c r="E570" s="135" t="s">
        <v>1072</v>
      </c>
      <c r="F570" s="135" t="s">
        <v>1073</v>
      </c>
      <c r="G570" s="58" t="s">
        <v>953</v>
      </c>
      <c r="H570" s="119">
        <v>120</v>
      </c>
      <c r="I570" s="119" t="s">
        <v>1074</v>
      </c>
      <c r="J570" s="119" t="s">
        <v>3428</v>
      </c>
      <c r="K570" s="120" t="s">
        <v>1075</v>
      </c>
      <c r="L570" s="93" t="s">
        <v>953</v>
      </c>
      <c r="M570" s="94" t="s">
        <v>3405</v>
      </c>
      <c r="N570" s="95" t="s">
        <v>3086</v>
      </c>
      <c r="O570" s="124">
        <v>4</v>
      </c>
      <c r="P570" s="153">
        <f t="shared" ref="P570:P579" si="136">449/34*O570</f>
        <v>52.823529411764703</v>
      </c>
      <c r="Q570" s="122" t="s">
        <v>16</v>
      </c>
      <c r="R570" s="124">
        <v>6.5</v>
      </c>
      <c r="S570" s="95"/>
      <c r="T570" s="98"/>
      <c r="U570" s="125">
        <f t="shared" ref="U570:U579" si="137">R570*P570+350/34*O570</f>
        <v>384.52941176470586</v>
      </c>
      <c r="V570" s="113">
        <f t="shared" si="128"/>
        <v>3.2044117647058821</v>
      </c>
      <c r="W570" s="114">
        <f t="shared" si="129"/>
        <v>0.45777310924369746</v>
      </c>
      <c r="X570" s="95"/>
      <c r="Y570" s="95"/>
      <c r="Z570" s="102"/>
      <c r="AA570" s="103">
        <v>45794</v>
      </c>
      <c r="AB570" s="103">
        <v>45825</v>
      </c>
      <c r="AC570" s="103"/>
      <c r="AD570" s="102">
        <f>IF(ISNA(VLOOKUP(D570,亚马逊入库配置费!B:F,5,0)),0,VLOOKUP(D570,亚马逊入库配置费!B:F,5,0))</f>
        <v>0</v>
      </c>
      <c r="AE570" s="102">
        <f t="shared" si="123"/>
        <v>0</v>
      </c>
      <c r="AF570" s="103">
        <v>45833</v>
      </c>
      <c r="AG570" s="91">
        <f t="shared" si="124"/>
        <v>39</v>
      </c>
      <c r="AH570" s="103">
        <v>45833</v>
      </c>
      <c r="AI570" s="103">
        <v>45849</v>
      </c>
      <c r="AJ570" s="96">
        <v>120</v>
      </c>
      <c r="AK570" s="91">
        <f t="shared" si="125"/>
        <v>16</v>
      </c>
      <c r="AL570" s="96">
        <f t="shared" si="126"/>
        <v>55</v>
      </c>
      <c r="AM570" s="92"/>
      <c r="AN570" s="91"/>
      <c r="AO570" s="91"/>
    </row>
    <row r="571" spans="1:41" ht="14.5" x14ac:dyDescent="0.25">
      <c r="A571" s="92" t="s">
        <v>1076</v>
      </c>
      <c r="B571" s="91"/>
      <c r="C571" s="119" t="s">
        <v>1070</v>
      </c>
      <c r="D571" s="120" t="s">
        <v>1071</v>
      </c>
      <c r="E571" s="135" t="s">
        <v>1072</v>
      </c>
      <c r="F571" s="135" t="s">
        <v>1073</v>
      </c>
      <c r="G571" s="58" t="s">
        <v>957</v>
      </c>
      <c r="H571" s="119">
        <v>90</v>
      </c>
      <c r="I571" s="119" t="s">
        <v>1074</v>
      </c>
      <c r="J571" s="119" t="s">
        <v>3428</v>
      </c>
      <c r="K571" s="120" t="s">
        <v>1075</v>
      </c>
      <c r="L571" s="93" t="s">
        <v>957</v>
      </c>
      <c r="M571" s="94" t="s">
        <v>3407</v>
      </c>
      <c r="N571" s="95" t="s">
        <v>3086</v>
      </c>
      <c r="O571" s="124">
        <v>3</v>
      </c>
      <c r="P571" s="153">
        <f t="shared" si="136"/>
        <v>39.617647058823529</v>
      </c>
      <c r="Q571" s="122" t="s">
        <v>16</v>
      </c>
      <c r="R571" s="124">
        <v>6.5</v>
      </c>
      <c r="S571" s="95"/>
      <c r="T571" s="98"/>
      <c r="U571" s="125">
        <f t="shared" si="137"/>
        <v>288.39705882352939</v>
      </c>
      <c r="V571" s="113">
        <f t="shared" si="128"/>
        <v>3.2044117647058821</v>
      </c>
      <c r="W571" s="114">
        <f t="shared" si="129"/>
        <v>0.45777310924369746</v>
      </c>
      <c r="X571" s="95"/>
      <c r="Y571" s="95"/>
      <c r="Z571" s="102"/>
      <c r="AA571" s="103">
        <v>45794</v>
      </c>
      <c r="AB571" s="103">
        <v>45825</v>
      </c>
      <c r="AC571" s="103"/>
      <c r="AD571" s="102">
        <f>IF(ISNA(VLOOKUP(D571,亚马逊入库配置费!B:F,5,0)),0,VLOOKUP(D571,亚马逊入库配置费!B:F,5,0))</f>
        <v>0</v>
      </c>
      <c r="AE571" s="102">
        <f t="shared" si="123"/>
        <v>0</v>
      </c>
      <c r="AF571" s="103">
        <v>45833</v>
      </c>
      <c r="AG571" s="91">
        <f t="shared" si="124"/>
        <v>39</v>
      </c>
      <c r="AH571" s="103">
        <v>45833</v>
      </c>
      <c r="AI571" s="103">
        <v>45849</v>
      </c>
      <c r="AJ571" s="96">
        <v>90</v>
      </c>
      <c r="AK571" s="91">
        <f t="shared" si="125"/>
        <v>16</v>
      </c>
      <c r="AL571" s="96">
        <f t="shared" si="126"/>
        <v>55</v>
      </c>
      <c r="AM571" s="92"/>
      <c r="AN571" s="91"/>
      <c r="AO571" s="91"/>
    </row>
    <row r="572" spans="1:41" ht="14.5" x14ac:dyDescent="0.25">
      <c r="A572" s="92" t="s">
        <v>1077</v>
      </c>
      <c r="B572" s="91"/>
      <c r="C572" s="119" t="s">
        <v>1070</v>
      </c>
      <c r="D572" s="120" t="s">
        <v>1071</v>
      </c>
      <c r="E572" s="135" t="s">
        <v>1072</v>
      </c>
      <c r="F572" s="135" t="s">
        <v>1073</v>
      </c>
      <c r="G572" s="58" t="s">
        <v>1031</v>
      </c>
      <c r="H572" s="119">
        <v>90</v>
      </c>
      <c r="I572" s="119" t="s">
        <v>1074</v>
      </c>
      <c r="J572" s="119" t="s">
        <v>3428</v>
      </c>
      <c r="K572" s="120" t="s">
        <v>1075</v>
      </c>
      <c r="L572" s="93" t="s">
        <v>1031</v>
      </c>
      <c r="M572" s="94" t="s">
        <v>3420</v>
      </c>
      <c r="N572" s="95" t="s">
        <v>3086</v>
      </c>
      <c r="O572" s="124">
        <v>3</v>
      </c>
      <c r="P572" s="153">
        <f t="shared" si="136"/>
        <v>39.617647058823529</v>
      </c>
      <c r="Q572" s="122" t="s">
        <v>16</v>
      </c>
      <c r="R572" s="124">
        <v>6.5</v>
      </c>
      <c r="S572" s="95"/>
      <c r="T572" s="98"/>
      <c r="U572" s="125">
        <f t="shared" si="137"/>
        <v>288.39705882352939</v>
      </c>
      <c r="V572" s="113">
        <f t="shared" si="128"/>
        <v>3.2044117647058821</v>
      </c>
      <c r="W572" s="114">
        <f t="shared" si="129"/>
        <v>0.45777310924369746</v>
      </c>
      <c r="X572" s="95"/>
      <c r="Y572" s="95"/>
      <c r="Z572" s="102"/>
      <c r="AA572" s="103">
        <v>45794</v>
      </c>
      <c r="AB572" s="103">
        <v>45825</v>
      </c>
      <c r="AC572" s="103"/>
      <c r="AD572" s="102">
        <f>IF(ISNA(VLOOKUP(D572,亚马逊入库配置费!B:F,5,0)),0,VLOOKUP(D572,亚马逊入库配置费!B:F,5,0))</f>
        <v>0</v>
      </c>
      <c r="AE572" s="102">
        <f t="shared" si="123"/>
        <v>0</v>
      </c>
      <c r="AF572" s="103">
        <v>45833</v>
      </c>
      <c r="AG572" s="91">
        <f t="shared" si="124"/>
        <v>39</v>
      </c>
      <c r="AH572" s="103">
        <v>45833</v>
      </c>
      <c r="AI572" s="103">
        <v>45849</v>
      </c>
      <c r="AJ572" s="96">
        <v>90</v>
      </c>
      <c r="AK572" s="91">
        <f t="shared" si="125"/>
        <v>16</v>
      </c>
      <c r="AL572" s="96">
        <f t="shared" si="126"/>
        <v>55</v>
      </c>
      <c r="AM572" s="92"/>
      <c r="AN572" s="91"/>
      <c r="AO572" s="91"/>
    </row>
    <row r="573" spans="1:41" ht="14.5" x14ac:dyDescent="0.25">
      <c r="A573" s="92" t="s">
        <v>1078</v>
      </c>
      <c r="B573" s="91"/>
      <c r="C573" s="119" t="s">
        <v>1070</v>
      </c>
      <c r="D573" s="120" t="s">
        <v>1071</v>
      </c>
      <c r="E573" s="135" t="s">
        <v>1072</v>
      </c>
      <c r="F573" s="135" t="s">
        <v>1073</v>
      </c>
      <c r="G573" s="58" t="s">
        <v>963</v>
      </c>
      <c r="H573" s="119">
        <v>90</v>
      </c>
      <c r="I573" s="119" t="s">
        <v>1074</v>
      </c>
      <c r="J573" s="119" t="s">
        <v>3428</v>
      </c>
      <c r="K573" s="120" t="s">
        <v>1075</v>
      </c>
      <c r="L573" s="93" t="s">
        <v>963</v>
      </c>
      <c r="M573" s="94" t="s">
        <v>3410</v>
      </c>
      <c r="N573" s="95" t="s">
        <v>3086</v>
      </c>
      <c r="O573" s="124">
        <v>3</v>
      </c>
      <c r="P573" s="153">
        <f t="shared" si="136"/>
        <v>39.617647058823529</v>
      </c>
      <c r="Q573" s="122" t="s">
        <v>16</v>
      </c>
      <c r="R573" s="124">
        <v>6.5</v>
      </c>
      <c r="S573" s="95"/>
      <c r="T573" s="98"/>
      <c r="U573" s="125">
        <f t="shared" si="137"/>
        <v>288.39705882352939</v>
      </c>
      <c r="V573" s="113">
        <f t="shared" si="128"/>
        <v>3.2044117647058821</v>
      </c>
      <c r="W573" s="114">
        <f t="shared" si="129"/>
        <v>0.45777310924369746</v>
      </c>
      <c r="X573" s="95"/>
      <c r="Y573" s="95"/>
      <c r="Z573" s="102"/>
      <c r="AA573" s="103">
        <v>45794</v>
      </c>
      <c r="AB573" s="103">
        <v>45825</v>
      </c>
      <c r="AC573" s="103"/>
      <c r="AD573" s="102">
        <f>IF(ISNA(VLOOKUP(D573,亚马逊入库配置费!B:F,5,0)),0,VLOOKUP(D573,亚马逊入库配置费!B:F,5,0))</f>
        <v>0</v>
      </c>
      <c r="AE573" s="102">
        <f t="shared" si="123"/>
        <v>0</v>
      </c>
      <c r="AF573" s="103">
        <v>45833</v>
      </c>
      <c r="AG573" s="91">
        <f t="shared" si="124"/>
        <v>39</v>
      </c>
      <c r="AH573" s="103">
        <v>45833</v>
      </c>
      <c r="AI573" s="103">
        <v>45849</v>
      </c>
      <c r="AJ573" s="96">
        <v>90</v>
      </c>
      <c r="AK573" s="91">
        <f t="shared" si="125"/>
        <v>16</v>
      </c>
      <c r="AL573" s="96">
        <f t="shared" si="126"/>
        <v>55</v>
      </c>
      <c r="AM573" s="92"/>
      <c r="AN573" s="91"/>
      <c r="AO573" s="91"/>
    </row>
    <row r="574" spans="1:41" ht="14.5" x14ac:dyDescent="0.25">
      <c r="A574" s="92" t="s">
        <v>1079</v>
      </c>
      <c r="B574" s="91"/>
      <c r="C574" s="119" t="s">
        <v>1070</v>
      </c>
      <c r="D574" s="120" t="s">
        <v>1071</v>
      </c>
      <c r="E574" s="135" t="s">
        <v>1072</v>
      </c>
      <c r="F574" s="135" t="s">
        <v>1073</v>
      </c>
      <c r="G574" s="58" t="s">
        <v>211</v>
      </c>
      <c r="H574" s="119">
        <v>210</v>
      </c>
      <c r="I574" s="119" t="s">
        <v>1074</v>
      </c>
      <c r="J574" s="119" t="s">
        <v>3428</v>
      </c>
      <c r="K574" s="120" t="s">
        <v>1075</v>
      </c>
      <c r="L574" s="93" t="s">
        <v>3034</v>
      </c>
      <c r="M574" s="94" t="s">
        <v>3312</v>
      </c>
      <c r="N574" s="95" t="s">
        <v>2869</v>
      </c>
      <c r="O574" s="124">
        <v>7</v>
      </c>
      <c r="P574" s="153">
        <f t="shared" si="136"/>
        <v>92.441176470588232</v>
      </c>
      <c r="Q574" s="122" t="s">
        <v>16</v>
      </c>
      <c r="R574" s="124">
        <v>6.5</v>
      </c>
      <c r="S574" s="95"/>
      <c r="T574" s="98"/>
      <c r="U574" s="125">
        <f t="shared" si="137"/>
        <v>672.92647058823536</v>
      </c>
      <c r="V574" s="113">
        <f t="shared" si="128"/>
        <v>3.2044117647058825</v>
      </c>
      <c r="W574" s="114">
        <f t="shared" si="129"/>
        <v>0.45777310924369752</v>
      </c>
      <c r="X574" s="95"/>
      <c r="Y574" s="95"/>
      <c r="Z574" s="102"/>
      <c r="AA574" s="103">
        <v>45794</v>
      </c>
      <c r="AB574" s="103">
        <v>45825</v>
      </c>
      <c r="AC574" s="103"/>
      <c r="AD574" s="102">
        <f>IF(ISNA(VLOOKUP(D574,亚马逊入库配置费!B:F,5,0)),0,VLOOKUP(D574,亚马逊入库配置费!B:F,5,0))</f>
        <v>0</v>
      </c>
      <c r="AE574" s="102">
        <f t="shared" si="123"/>
        <v>0</v>
      </c>
      <c r="AF574" s="103">
        <v>45833</v>
      </c>
      <c r="AG574" s="91">
        <f t="shared" si="124"/>
        <v>39</v>
      </c>
      <c r="AH574" s="103">
        <v>45833</v>
      </c>
      <c r="AI574" s="103">
        <v>45849</v>
      </c>
      <c r="AJ574" s="96">
        <v>210</v>
      </c>
      <c r="AK574" s="91">
        <f t="shared" si="125"/>
        <v>16</v>
      </c>
      <c r="AL574" s="96">
        <f t="shared" si="126"/>
        <v>55</v>
      </c>
      <c r="AM574" s="92"/>
      <c r="AN574" s="91"/>
      <c r="AO574" s="91"/>
    </row>
    <row r="575" spans="1:41" ht="14.5" x14ac:dyDescent="0.25">
      <c r="A575" s="92" t="s">
        <v>1080</v>
      </c>
      <c r="B575" s="91"/>
      <c r="C575" s="119" t="s">
        <v>1070</v>
      </c>
      <c r="D575" s="120" t="s">
        <v>1071</v>
      </c>
      <c r="E575" s="135" t="s">
        <v>1072</v>
      </c>
      <c r="F575" s="135" t="s">
        <v>1073</v>
      </c>
      <c r="G575" s="58" t="s">
        <v>213</v>
      </c>
      <c r="H575" s="119">
        <v>60</v>
      </c>
      <c r="I575" s="119" t="s">
        <v>1074</v>
      </c>
      <c r="J575" s="119" t="s">
        <v>3428</v>
      </c>
      <c r="K575" s="120" t="s">
        <v>1075</v>
      </c>
      <c r="L575" s="93" t="s">
        <v>3035</v>
      </c>
      <c r="M575" s="94" t="s">
        <v>3313</v>
      </c>
      <c r="N575" s="95" t="s">
        <v>2869</v>
      </c>
      <c r="O575" s="124">
        <v>2</v>
      </c>
      <c r="P575" s="153">
        <f t="shared" si="136"/>
        <v>26.411764705882351</v>
      </c>
      <c r="Q575" s="122" t="s">
        <v>16</v>
      </c>
      <c r="R575" s="124">
        <v>6.5</v>
      </c>
      <c r="S575" s="95"/>
      <c r="T575" s="98"/>
      <c r="U575" s="125">
        <f t="shared" si="137"/>
        <v>192.26470588235293</v>
      </c>
      <c r="V575" s="113">
        <f t="shared" si="128"/>
        <v>3.2044117647058821</v>
      </c>
      <c r="W575" s="114">
        <f t="shared" si="129"/>
        <v>0.45777310924369746</v>
      </c>
      <c r="X575" s="95"/>
      <c r="Y575" s="95"/>
      <c r="Z575" s="102"/>
      <c r="AA575" s="103">
        <v>45794</v>
      </c>
      <c r="AB575" s="103">
        <v>45825</v>
      </c>
      <c r="AC575" s="103"/>
      <c r="AD575" s="102">
        <f>IF(ISNA(VLOOKUP(D575,亚马逊入库配置费!B:F,5,0)),0,VLOOKUP(D575,亚马逊入库配置费!B:F,5,0))</f>
        <v>0</v>
      </c>
      <c r="AE575" s="102">
        <f t="shared" si="123"/>
        <v>0</v>
      </c>
      <c r="AF575" s="103">
        <v>45833</v>
      </c>
      <c r="AG575" s="91">
        <f t="shared" si="124"/>
        <v>39</v>
      </c>
      <c r="AH575" s="103">
        <v>45833</v>
      </c>
      <c r="AI575" s="103">
        <v>45849</v>
      </c>
      <c r="AJ575" s="96">
        <v>60</v>
      </c>
      <c r="AK575" s="91">
        <f t="shared" si="125"/>
        <v>16</v>
      </c>
      <c r="AL575" s="96">
        <f t="shared" si="126"/>
        <v>55</v>
      </c>
      <c r="AM575" s="92"/>
      <c r="AN575" s="91"/>
      <c r="AO575" s="91"/>
    </row>
    <row r="576" spans="1:41" ht="14.5" x14ac:dyDescent="0.25">
      <c r="A576" s="92" t="s">
        <v>1081</v>
      </c>
      <c r="B576" s="91"/>
      <c r="C576" s="119" t="s">
        <v>1070</v>
      </c>
      <c r="D576" s="120" t="s">
        <v>1071</v>
      </c>
      <c r="E576" s="135" t="s">
        <v>1072</v>
      </c>
      <c r="F576" s="135" t="s">
        <v>1073</v>
      </c>
      <c r="G576" s="58" t="s">
        <v>608</v>
      </c>
      <c r="H576" s="119">
        <v>90</v>
      </c>
      <c r="I576" s="119" t="s">
        <v>1074</v>
      </c>
      <c r="J576" s="119" t="s">
        <v>3428</v>
      </c>
      <c r="K576" s="120" t="s">
        <v>1075</v>
      </c>
      <c r="L576" s="93" t="s">
        <v>3076</v>
      </c>
      <c r="M576" s="94" t="s">
        <v>3377</v>
      </c>
      <c r="N576" s="95" t="s">
        <v>2869</v>
      </c>
      <c r="O576" s="124">
        <v>3</v>
      </c>
      <c r="P576" s="153">
        <f t="shared" si="136"/>
        <v>39.617647058823529</v>
      </c>
      <c r="Q576" s="122" t="s">
        <v>16</v>
      </c>
      <c r="R576" s="124">
        <v>6.5</v>
      </c>
      <c r="S576" s="95"/>
      <c r="T576" s="98"/>
      <c r="U576" s="125">
        <f t="shared" si="137"/>
        <v>288.39705882352939</v>
      </c>
      <c r="V576" s="113">
        <f t="shared" si="128"/>
        <v>3.2044117647058821</v>
      </c>
      <c r="W576" s="114">
        <f t="shared" si="129"/>
        <v>0.45777310924369746</v>
      </c>
      <c r="X576" s="95"/>
      <c r="Y576" s="95"/>
      <c r="Z576" s="102"/>
      <c r="AA576" s="103">
        <v>45794</v>
      </c>
      <c r="AB576" s="103">
        <v>45825</v>
      </c>
      <c r="AC576" s="103"/>
      <c r="AD576" s="102">
        <f>IF(ISNA(VLOOKUP(D576,亚马逊入库配置费!B:F,5,0)),0,VLOOKUP(D576,亚马逊入库配置费!B:F,5,0))</f>
        <v>0</v>
      </c>
      <c r="AE576" s="102">
        <f t="shared" si="123"/>
        <v>0</v>
      </c>
      <c r="AF576" s="103">
        <v>45833</v>
      </c>
      <c r="AG576" s="91">
        <f t="shared" si="124"/>
        <v>39</v>
      </c>
      <c r="AH576" s="103">
        <v>45833</v>
      </c>
      <c r="AI576" s="103">
        <v>45849</v>
      </c>
      <c r="AJ576" s="96">
        <v>90</v>
      </c>
      <c r="AK576" s="91">
        <f t="shared" si="125"/>
        <v>16</v>
      </c>
      <c r="AL576" s="96">
        <f t="shared" si="126"/>
        <v>55</v>
      </c>
      <c r="AM576" s="92"/>
      <c r="AN576" s="91"/>
      <c r="AO576" s="91"/>
    </row>
    <row r="577" spans="1:41" ht="14.5" x14ac:dyDescent="0.25">
      <c r="A577" s="92" t="s">
        <v>1082</v>
      </c>
      <c r="B577" s="91"/>
      <c r="C577" s="119" t="s">
        <v>1070</v>
      </c>
      <c r="D577" s="120" t="s">
        <v>1071</v>
      </c>
      <c r="E577" s="135" t="s">
        <v>1072</v>
      </c>
      <c r="F577" s="135" t="s">
        <v>1073</v>
      </c>
      <c r="G577" s="58" t="s">
        <v>606</v>
      </c>
      <c r="H577" s="119">
        <v>90</v>
      </c>
      <c r="I577" s="119" t="s">
        <v>1074</v>
      </c>
      <c r="J577" s="119" t="s">
        <v>3428</v>
      </c>
      <c r="K577" s="120" t="s">
        <v>1075</v>
      </c>
      <c r="L577" s="93" t="s">
        <v>3075</v>
      </c>
      <c r="M577" s="94" t="s">
        <v>3376</v>
      </c>
      <c r="N577" s="95" t="s">
        <v>2869</v>
      </c>
      <c r="O577" s="124">
        <v>3</v>
      </c>
      <c r="P577" s="153">
        <f t="shared" si="136"/>
        <v>39.617647058823529</v>
      </c>
      <c r="Q577" s="122" t="s">
        <v>16</v>
      </c>
      <c r="R577" s="124">
        <v>6.5</v>
      </c>
      <c r="S577" s="95"/>
      <c r="T577" s="98"/>
      <c r="U577" s="125">
        <f t="shared" si="137"/>
        <v>288.39705882352939</v>
      </c>
      <c r="V577" s="113">
        <f t="shared" si="128"/>
        <v>3.2044117647058821</v>
      </c>
      <c r="W577" s="114">
        <f t="shared" si="129"/>
        <v>0.45777310924369746</v>
      </c>
      <c r="X577" s="95"/>
      <c r="Y577" s="95"/>
      <c r="Z577" s="102"/>
      <c r="AA577" s="103">
        <v>45794</v>
      </c>
      <c r="AB577" s="103">
        <v>45825</v>
      </c>
      <c r="AC577" s="103"/>
      <c r="AD577" s="102">
        <f>IF(ISNA(VLOOKUP(D577,亚马逊入库配置费!B:F,5,0)),0,VLOOKUP(D577,亚马逊入库配置费!B:F,5,0))</f>
        <v>0</v>
      </c>
      <c r="AE577" s="102">
        <f t="shared" si="123"/>
        <v>0</v>
      </c>
      <c r="AF577" s="103">
        <v>45833</v>
      </c>
      <c r="AG577" s="91">
        <f t="shared" si="124"/>
        <v>39</v>
      </c>
      <c r="AH577" s="103">
        <v>45833</v>
      </c>
      <c r="AI577" s="103">
        <v>45849</v>
      </c>
      <c r="AJ577" s="96">
        <v>90</v>
      </c>
      <c r="AK577" s="91">
        <f t="shared" si="125"/>
        <v>16</v>
      </c>
      <c r="AL577" s="96">
        <f t="shared" si="126"/>
        <v>55</v>
      </c>
      <c r="AM577" s="92"/>
      <c r="AN577" s="91"/>
      <c r="AO577" s="91"/>
    </row>
    <row r="578" spans="1:41" ht="14.5" x14ac:dyDescent="0.25">
      <c r="A578" s="92" t="s">
        <v>1083</v>
      </c>
      <c r="B578" s="91"/>
      <c r="C578" s="119" t="s">
        <v>1070</v>
      </c>
      <c r="D578" s="120" t="s">
        <v>1071</v>
      </c>
      <c r="E578" s="135" t="s">
        <v>1072</v>
      </c>
      <c r="F578" s="135" t="s">
        <v>1073</v>
      </c>
      <c r="G578" s="58" t="s">
        <v>481</v>
      </c>
      <c r="H578" s="119">
        <v>120</v>
      </c>
      <c r="I578" s="119" t="s">
        <v>1074</v>
      </c>
      <c r="J578" s="119" t="s">
        <v>3428</v>
      </c>
      <c r="K578" s="120" t="s">
        <v>1075</v>
      </c>
      <c r="L578" s="93" t="s">
        <v>3064</v>
      </c>
      <c r="M578" s="94" t="s">
        <v>3356</v>
      </c>
      <c r="N578" s="95" t="s">
        <v>2869</v>
      </c>
      <c r="O578" s="124">
        <v>4</v>
      </c>
      <c r="P578" s="153">
        <f t="shared" si="136"/>
        <v>52.823529411764703</v>
      </c>
      <c r="Q578" s="122" t="s">
        <v>16</v>
      </c>
      <c r="R578" s="124">
        <v>6.5</v>
      </c>
      <c r="S578" s="95"/>
      <c r="T578" s="98"/>
      <c r="U578" s="125">
        <f t="shared" si="137"/>
        <v>384.52941176470586</v>
      </c>
      <c r="V578" s="113">
        <f t="shared" si="128"/>
        <v>3.2044117647058821</v>
      </c>
      <c r="W578" s="114">
        <f t="shared" si="129"/>
        <v>0.45777310924369746</v>
      </c>
      <c r="X578" s="95"/>
      <c r="Y578" s="95"/>
      <c r="Z578" s="102"/>
      <c r="AA578" s="103">
        <v>45794</v>
      </c>
      <c r="AB578" s="103">
        <v>45825</v>
      </c>
      <c r="AC578" s="103"/>
      <c r="AD578" s="102">
        <f>IF(ISNA(VLOOKUP(D578,亚马逊入库配置费!B:F,5,0)),0,VLOOKUP(D578,亚马逊入库配置费!B:F,5,0))</f>
        <v>0</v>
      </c>
      <c r="AE578" s="102">
        <f t="shared" ref="AE578:AE641" si="138">H578*AD578</f>
        <v>0</v>
      </c>
      <c r="AF578" s="103">
        <v>45833</v>
      </c>
      <c r="AG578" s="91">
        <f t="shared" ref="AG578:AG641" si="139">AF578-AA578</f>
        <v>39</v>
      </c>
      <c r="AH578" s="103">
        <v>45833</v>
      </c>
      <c r="AI578" s="103">
        <v>45849</v>
      </c>
      <c r="AJ578" s="96">
        <v>120</v>
      </c>
      <c r="AK578" s="91">
        <f t="shared" ref="AK578:AK641" si="140">AI578-AH578</f>
        <v>16</v>
      </c>
      <c r="AL578" s="96">
        <f t="shared" si="126"/>
        <v>55</v>
      </c>
      <c r="AM578" s="92"/>
      <c r="AN578" s="91"/>
      <c r="AO578" s="91"/>
    </row>
    <row r="579" spans="1:41" ht="14.5" x14ac:dyDescent="0.25">
      <c r="A579" s="92" t="s">
        <v>1084</v>
      </c>
      <c r="B579" s="91"/>
      <c r="C579" s="119" t="s">
        <v>1070</v>
      </c>
      <c r="D579" s="120" t="s">
        <v>1071</v>
      </c>
      <c r="E579" s="135" t="s">
        <v>1072</v>
      </c>
      <c r="F579" s="135" t="s">
        <v>1073</v>
      </c>
      <c r="G579" s="58" t="s">
        <v>1085</v>
      </c>
      <c r="H579" s="119">
        <v>60</v>
      </c>
      <c r="I579" s="119" t="s">
        <v>1074</v>
      </c>
      <c r="J579" s="119" t="s">
        <v>3428</v>
      </c>
      <c r="K579" s="120" t="s">
        <v>1075</v>
      </c>
      <c r="L579" s="93" t="s">
        <v>3094</v>
      </c>
      <c r="M579" s="94" t="s">
        <v>3429</v>
      </c>
      <c r="N579" s="95" t="s">
        <v>2869</v>
      </c>
      <c r="O579" s="124">
        <v>2</v>
      </c>
      <c r="P579" s="153">
        <f t="shared" si="136"/>
        <v>26.411764705882351</v>
      </c>
      <c r="Q579" s="122" t="s">
        <v>16</v>
      </c>
      <c r="R579" s="124">
        <v>6.5</v>
      </c>
      <c r="S579" s="95"/>
      <c r="T579" s="98"/>
      <c r="U579" s="125">
        <f t="shared" si="137"/>
        <v>192.26470588235293</v>
      </c>
      <c r="V579" s="113">
        <f t="shared" si="128"/>
        <v>3.2044117647058821</v>
      </c>
      <c r="W579" s="114">
        <f t="shared" si="129"/>
        <v>0.45777310924369746</v>
      </c>
      <c r="X579" s="95"/>
      <c r="Y579" s="95"/>
      <c r="Z579" s="102"/>
      <c r="AA579" s="103">
        <v>45794</v>
      </c>
      <c r="AB579" s="103">
        <v>45825</v>
      </c>
      <c r="AC579" s="103"/>
      <c r="AD579" s="102">
        <f>IF(ISNA(VLOOKUP(D579,亚马逊入库配置费!B:F,5,0)),0,VLOOKUP(D579,亚马逊入库配置费!B:F,5,0))</f>
        <v>0</v>
      </c>
      <c r="AE579" s="102">
        <f t="shared" si="138"/>
        <v>0</v>
      </c>
      <c r="AF579" s="103">
        <v>45833</v>
      </c>
      <c r="AG579" s="91">
        <f t="shared" si="139"/>
        <v>39</v>
      </c>
      <c r="AH579" s="103">
        <v>45833</v>
      </c>
      <c r="AI579" s="103">
        <v>45849</v>
      </c>
      <c r="AJ579" s="96">
        <v>60</v>
      </c>
      <c r="AK579" s="91">
        <f t="shared" si="140"/>
        <v>16</v>
      </c>
      <c r="AL579" s="96">
        <f t="shared" si="126"/>
        <v>55</v>
      </c>
      <c r="AM579" s="92"/>
      <c r="AN579" s="91"/>
      <c r="AO579" s="91"/>
    </row>
    <row r="580" spans="1:41" ht="14.5" x14ac:dyDescent="0.25">
      <c r="A580" s="92" t="s">
        <v>1086</v>
      </c>
      <c r="B580" s="91"/>
      <c r="C580" s="119" t="s">
        <v>1087</v>
      </c>
      <c r="D580" s="120" t="s">
        <v>1088</v>
      </c>
      <c r="E580" s="135" t="s">
        <v>97</v>
      </c>
      <c r="F580" s="135" t="s">
        <v>0</v>
      </c>
      <c r="G580" s="58" t="s">
        <v>161</v>
      </c>
      <c r="H580" s="119">
        <v>160</v>
      </c>
      <c r="I580" s="119" t="s">
        <v>207</v>
      </c>
      <c r="J580" s="119" t="s">
        <v>8</v>
      </c>
      <c r="K580" s="120" t="s">
        <v>50</v>
      </c>
      <c r="L580" s="93" t="s">
        <v>3024</v>
      </c>
      <c r="M580" s="94" t="s">
        <v>3301</v>
      </c>
      <c r="N580" s="95" t="s">
        <v>2870</v>
      </c>
      <c r="O580" s="146">
        <v>5</v>
      </c>
      <c r="P580" s="153">
        <f>1356/97*O580</f>
        <v>69.896907216494839</v>
      </c>
      <c r="Q580" s="122" t="s">
        <v>16</v>
      </c>
      <c r="R580" s="146">
        <v>4.7</v>
      </c>
      <c r="S580" s="95"/>
      <c r="T580" s="98"/>
      <c r="U580" s="125">
        <f t="shared" ref="U580:U585" si="141">R580*P580+350/103*O580</f>
        <v>345.50575517966172</v>
      </c>
      <c r="V580" s="113">
        <f t="shared" si="128"/>
        <v>2.1594109698728858</v>
      </c>
      <c r="W580" s="114">
        <f t="shared" si="129"/>
        <v>0.30848728141041226</v>
      </c>
      <c r="X580" s="95"/>
      <c r="Y580" s="95"/>
      <c r="Z580" s="102"/>
      <c r="AA580" s="103">
        <v>45794</v>
      </c>
      <c r="AB580" s="103">
        <v>45818</v>
      </c>
      <c r="AC580" s="103"/>
      <c r="AD580" s="102">
        <f>IF(ISNA(VLOOKUP(D580,亚马逊入库配置费!B:F,5,0)),0,VLOOKUP(D580,亚马逊入库配置费!B:F,5,0))</f>
        <v>0.39069651741293498</v>
      </c>
      <c r="AE580" s="102">
        <f t="shared" si="138"/>
        <v>62.511442786069594</v>
      </c>
      <c r="AF580" s="103">
        <v>45825</v>
      </c>
      <c r="AG580" s="91">
        <f t="shared" si="139"/>
        <v>31</v>
      </c>
      <c r="AH580" s="103">
        <v>45825</v>
      </c>
      <c r="AI580" s="103">
        <v>45858</v>
      </c>
      <c r="AJ580" s="96">
        <v>159</v>
      </c>
      <c r="AK580" s="91">
        <f t="shared" si="140"/>
        <v>33</v>
      </c>
      <c r="AL580" s="96">
        <f t="shared" ref="AL580:AL643" si="142">AG580+AK580</f>
        <v>64</v>
      </c>
      <c r="AM580" s="92"/>
      <c r="AN580" s="91"/>
      <c r="AO580" s="91"/>
    </row>
    <row r="581" spans="1:41" ht="14.5" x14ac:dyDescent="0.25">
      <c r="A581" s="92" t="s">
        <v>1089</v>
      </c>
      <c r="B581" s="91"/>
      <c r="C581" s="119" t="s">
        <v>1087</v>
      </c>
      <c r="D581" s="120" t="s">
        <v>1088</v>
      </c>
      <c r="E581" s="135" t="s">
        <v>97</v>
      </c>
      <c r="F581" s="135" t="s">
        <v>0</v>
      </c>
      <c r="G581" s="58" t="s">
        <v>163</v>
      </c>
      <c r="H581" s="119">
        <v>2000</v>
      </c>
      <c r="I581" s="119" t="s">
        <v>207</v>
      </c>
      <c r="J581" s="119" t="s">
        <v>8</v>
      </c>
      <c r="K581" s="120" t="s">
        <v>50</v>
      </c>
      <c r="L581" s="93" t="s">
        <v>2881</v>
      </c>
      <c r="M581" s="94" t="s">
        <v>3302</v>
      </c>
      <c r="N581" s="95" t="s">
        <v>2870</v>
      </c>
      <c r="O581" s="146">
        <v>50</v>
      </c>
      <c r="P581" s="153">
        <f>1356/97*O581</f>
        <v>698.96907216494844</v>
      </c>
      <c r="Q581" s="122" t="s">
        <v>16</v>
      </c>
      <c r="R581" s="146">
        <v>4.7</v>
      </c>
      <c r="S581" s="95"/>
      <c r="T581" s="98"/>
      <c r="U581" s="125">
        <f t="shared" si="141"/>
        <v>3455.0575517966167</v>
      </c>
      <c r="V581" s="113">
        <f t="shared" si="128"/>
        <v>1.7275287758983084</v>
      </c>
      <c r="W581" s="114">
        <f t="shared" si="129"/>
        <v>0.24678982512832978</v>
      </c>
      <c r="X581" s="95"/>
      <c r="Y581" s="95"/>
      <c r="Z581" s="102"/>
      <c r="AA581" s="103">
        <v>45794</v>
      </c>
      <c r="AB581" s="103">
        <v>45818</v>
      </c>
      <c r="AC581" s="103"/>
      <c r="AD581" s="102">
        <f>IF(ISNA(VLOOKUP(D581,亚马逊入库配置费!B:F,5,0)),0,VLOOKUP(D581,亚马逊入库配置费!B:F,5,0))</f>
        <v>0.39069651741293498</v>
      </c>
      <c r="AE581" s="102">
        <f t="shared" si="138"/>
        <v>781.39303482587002</v>
      </c>
      <c r="AF581" s="103">
        <v>45825</v>
      </c>
      <c r="AG581" s="91">
        <f t="shared" si="139"/>
        <v>31</v>
      </c>
      <c r="AH581" s="103">
        <v>45825</v>
      </c>
      <c r="AI581" s="103">
        <v>45858</v>
      </c>
      <c r="AJ581" s="96">
        <v>2042</v>
      </c>
      <c r="AK581" s="91">
        <f t="shared" si="140"/>
        <v>33</v>
      </c>
      <c r="AL581" s="96">
        <f t="shared" si="142"/>
        <v>64</v>
      </c>
      <c r="AM581" s="92"/>
      <c r="AN581" s="91"/>
      <c r="AO581" s="91"/>
    </row>
    <row r="582" spans="1:41" ht="14.5" x14ac:dyDescent="0.25">
      <c r="A582" s="92" t="s">
        <v>1090</v>
      </c>
      <c r="B582" s="91"/>
      <c r="C582" s="119" t="s">
        <v>1087</v>
      </c>
      <c r="D582" s="120" t="s">
        <v>1088</v>
      </c>
      <c r="E582" s="135" t="s">
        <v>97</v>
      </c>
      <c r="F582" s="135" t="s">
        <v>0</v>
      </c>
      <c r="G582" s="58" t="s">
        <v>872</v>
      </c>
      <c r="H582" s="119">
        <v>180</v>
      </c>
      <c r="I582" s="119" t="s">
        <v>207</v>
      </c>
      <c r="J582" s="119" t="s">
        <v>8</v>
      </c>
      <c r="K582" s="120" t="s">
        <v>50</v>
      </c>
      <c r="L582" s="93" t="s">
        <v>872</v>
      </c>
      <c r="M582" s="94" t="s">
        <v>3399</v>
      </c>
      <c r="N582" s="95" t="s">
        <v>2870</v>
      </c>
      <c r="O582" s="146">
        <v>6</v>
      </c>
      <c r="P582" s="153">
        <f>221/13*O582</f>
        <v>102</v>
      </c>
      <c r="Q582" s="122" t="s">
        <v>16</v>
      </c>
      <c r="R582" s="146">
        <v>4.7</v>
      </c>
      <c r="S582" s="95"/>
      <c r="T582" s="98"/>
      <c r="U582" s="125">
        <f t="shared" si="141"/>
        <v>499.78834951456315</v>
      </c>
      <c r="V582" s="113">
        <f t="shared" si="128"/>
        <v>2.7766019417475731</v>
      </c>
      <c r="W582" s="114">
        <f t="shared" si="129"/>
        <v>0.39665742024965328</v>
      </c>
      <c r="X582" s="95"/>
      <c r="Y582" s="95"/>
      <c r="Z582" s="102"/>
      <c r="AA582" s="103">
        <v>45794</v>
      </c>
      <c r="AB582" s="103">
        <v>45818</v>
      </c>
      <c r="AC582" s="103"/>
      <c r="AD582" s="102">
        <f>IF(ISNA(VLOOKUP(D582,亚马逊入库配置费!B:F,5,0)),0,VLOOKUP(D582,亚马逊入库配置费!B:F,5,0))</f>
        <v>0.39069651741293498</v>
      </c>
      <c r="AE582" s="102">
        <f t="shared" si="138"/>
        <v>70.325373134328302</v>
      </c>
      <c r="AF582" s="103">
        <v>45825</v>
      </c>
      <c r="AG582" s="91">
        <f t="shared" si="139"/>
        <v>31</v>
      </c>
      <c r="AH582" s="103">
        <v>45825</v>
      </c>
      <c r="AI582" s="103">
        <v>45858</v>
      </c>
      <c r="AJ582" s="96">
        <v>188</v>
      </c>
      <c r="AK582" s="91">
        <f t="shared" si="140"/>
        <v>33</v>
      </c>
      <c r="AL582" s="96">
        <f t="shared" si="142"/>
        <v>64</v>
      </c>
      <c r="AM582" s="92"/>
      <c r="AN582" s="91"/>
      <c r="AO582" s="91"/>
    </row>
    <row r="583" spans="1:41" ht="14.5" x14ac:dyDescent="0.25">
      <c r="A583" s="92" t="s">
        <v>1091</v>
      </c>
      <c r="B583" s="91"/>
      <c r="C583" s="119" t="s">
        <v>1087</v>
      </c>
      <c r="D583" s="120" t="s">
        <v>1088</v>
      </c>
      <c r="E583" s="135" t="s">
        <v>97</v>
      </c>
      <c r="F583" s="135" t="s">
        <v>0</v>
      </c>
      <c r="G583" s="58" t="s">
        <v>350</v>
      </c>
      <c r="H583" s="119">
        <v>360</v>
      </c>
      <c r="I583" s="119" t="s">
        <v>207</v>
      </c>
      <c r="J583" s="119" t="s">
        <v>8</v>
      </c>
      <c r="K583" s="120" t="s">
        <v>50</v>
      </c>
      <c r="L583" s="93" t="s">
        <v>3048</v>
      </c>
      <c r="M583" s="94" t="s">
        <v>3208</v>
      </c>
      <c r="N583" s="95" t="s">
        <v>2870</v>
      </c>
      <c r="O583" s="146">
        <v>9</v>
      </c>
      <c r="P583" s="153">
        <f>1356/97*O583</f>
        <v>125.81443298969072</v>
      </c>
      <c r="Q583" s="122" t="s">
        <v>16</v>
      </c>
      <c r="R583" s="146">
        <v>4.7</v>
      </c>
      <c r="S583" s="95"/>
      <c r="T583" s="98"/>
      <c r="U583" s="125">
        <f t="shared" si="141"/>
        <v>621.91035932339105</v>
      </c>
      <c r="V583" s="113">
        <f t="shared" si="128"/>
        <v>1.7275287758983084</v>
      </c>
      <c r="W583" s="114">
        <f t="shared" si="129"/>
        <v>0.24678982512832978</v>
      </c>
      <c r="X583" s="95"/>
      <c r="Y583" s="95"/>
      <c r="Z583" s="102"/>
      <c r="AA583" s="103">
        <v>45794</v>
      </c>
      <c r="AB583" s="103">
        <v>45818</v>
      </c>
      <c r="AC583" s="103"/>
      <c r="AD583" s="102">
        <f>IF(ISNA(VLOOKUP(D583,亚马逊入库配置费!B:F,5,0)),0,VLOOKUP(D583,亚马逊入库配置费!B:F,5,0))</f>
        <v>0.39069651741293498</v>
      </c>
      <c r="AE583" s="102">
        <f t="shared" si="138"/>
        <v>140.6507462686566</v>
      </c>
      <c r="AF583" s="103">
        <v>45825</v>
      </c>
      <c r="AG583" s="91">
        <f t="shared" si="139"/>
        <v>31</v>
      </c>
      <c r="AH583" s="103">
        <v>45825</v>
      </c>
      <c r="AI583" s="103">
        <v>45858</v>
      </c>
      <c r="AJ583" s="96">
        <v>357</v>
      </c>
      <c r="AK583" s="91">
        <f t="shared" si="140"/>
        <v>33</v>
      </c>
      <c r="AL583" s="96">
        <f t="shared" si="142"/>
        <v>64</v>
      </c>
      <c r="AM583" s="92"/>
      <c r="AN583" s="91"/>
      <c r="AO583" s="91"/>
    </row>
    <row r="584" spans="1:41" ht="14.5" x14ac:dyDescent="0.25">
      <c r="A584" s="92" t="s">
        <v>1092</v>
      </c>
      <c r="B584" s="91"/>
      <c r="C584" s="119" t="s">
        <v>1087</v>
      </c>
      <c r="D584" s="120" t="s">
        <v>1088</v>
      </c>
      <c r="E584" s="135" t="s">
        <v>97</v>
      </c>
      <c r="F584" s="135" t="s">
        <v>0</v>
      </c>
      <c r="G584" s="58" t="s">
        <v>165</v>
      </c>
      <c r="H584" s="119">
        <v>1200</v>
      </c>
      <c r="I584" s="119" t="s">
        <v>207</v>
      </c>
      <c r="J584" s="119" t="s">
        <v>8</v>
      </c>
      <c r="K584" s="120" t="s">
        <v>50</v>
      </c>
      <c r="L584" s="93" t="s">
        <v>2880</v>
      </c>
      <c r="M584" s="94" t="s">
        <v>3209</v>
      </c>
      <c r="N584" s="95" t="s">
        <v>2870</v>
      </c>
      <c r="O584" s="146">
        <v>30</v>
      </c>
      <c r="P584" s="153">
        <f>1356/97*O584</f>
        <v>419.38144329896909</v>
      </c>
      <c r="Q584" s="122" t="s">
        <v>16</v>
      </c>
      <c r="R584" s="146">
        <v>4.7</v>
      </c>
      <c r="S584" s="95"/>
      <c r="T584" s="98"/>
      <c r="U584" s="125">
        <f t="shared" si="141"/>
        <v>2073.0345310779703</v>
      </c>
      <c r="V584" s="113">
        <f t="shared" si="128"/>
        <v>1.7275287758983087</v>
      </c>
      <c r="W584" s="114">
        <f t="shared" si="129"/>
        <v>0.24678982512832981</v>
      </c>
      <c r="X584" s="95"/>
      <c r="Y584" s="95"/>
      <c r="Z584" s="102"/>
      <c r="AA584" s="103">
        <v>45794</v>
      </c>
      <c r="AB584" s="103">
        <v>45818</v>
      </c>
      <c r="AC584" s="103"/>
      <c r="AD584" s="102">
        <f>IF(ISNA(VLOOKUP(D584,亚马逊入库配置费!B:F,5,0)),0,VLOOKUP(D584,亚马逊入库配置费!B:F,5,0))</f>
        <v>0.39069651741293498</v>
      </c>
      <c r="AE584" s="102">
        <f t="shared" si="138"/>
        <v>468.83582089552198</v>
      </c>
      <c r="AF584" s="103">
        <v>45825</v>
      </c>
      <c r="AG584" s="91">
        <f t="shared" si="139"/>
        <v>31</v>
      </c>
      <c r="AH584" s="103">
        <v>45825</v>
      </c>
      <c r="AI584" s="103">
        <v>45858</v>
      </c>
      <c r="AJ584" s="96">
        <v>1219</v>
      </c>
      <c r="AK584" s="91">
        <f t="shared" si="140"/>
        <v>33</v>
      </c>
      <c r="AL584" s="96">
        <f t="shared" si="142"/>
        <v>64</v>
      </c>
      <c r="AM584" s="92"/>
      <c r="AN584" s="91"/>
      <c r="AO584" s="91"/>
    </row>
    <row r="585" spans="1:41" ht="14.5" x14ac:dyDescent="0.25">
      <c r="A585" s="92" t="s">
        <v>1093</v>
      </c>
      <c r="B585" s="91"/>
      <c r="C585" s="119" t="s">
        <v>1087</v>
      </c>
      <c r="D585" s="120" t="s">
        <v>1088</v>
      </c>
      <c r="E585" s="135" t="s">
        <v>97</v>
      </c>
      <c r="F585" s="135" t="s">
        <v>0</v>
      </c>
      <c r="G585" s="58" t="s">
        <v>786</v>
      </c>
      <c r="H585" s="119">
        <v>120</v>
      </c>
      <c r="I585" s="119" t="s">
        <v>207</v>
      </c>
      <c r="J585" s="119" t="s">
        <v>8</v>
      </c>
      <c r="K585" s="120" t="s">
        <v>50</v>
      </c>
      <c r="L585" s="93" t="s">
        <v>786</v>
      </c>
      <c r="M585" s="94" t="s">
        <v>3395</v>
      </c>
      <c r="N585" s="95" t="s">
        <v>2870</v>
      </c>
      <c r="O585" s="146">
        <v>3</v>
      </c>
      <c r="P585" s="153">
        <f>1356/97*O585</f>
        <v>41.938144329896907</v>
      </c>
      <c r="Q585" s="122" t="s">
        <v>16</v>
      </c>
      <c r="R585" s="146">
        <v>4.7</v>
      </c>
      <c r="S585" s="95"/>
      <c r="T585" s="98"/>
      <c r="U585" s="125">
        <f t="shared" si="141"/>
        <v>207.30345310779703</v>
      </c>
      <c r="V585" s="113">
        <f t="shared" si="128"/>
        <v>1.7275287758983084</v>
      </c>
      <c r="W585" s="114">
        <f t="shared" si="129"/>
        <v>0.24678982512832978</v>
      </c>
      <c r="X585" s="95"/>
      <c r="Y585" s="95"/>
      <c r="Z585" s="102"/>
      <c r="AA585" s="103">
        <v>45794</v>
      </c>
      <c r="AB585" s="103">
        <v>45818</v>
      </c>
      <c r="AC585" s="103"/>
      <c r="AD585" s="102">
        <f>IF(ISNA(VLOOKUP(D585,亚马逊入库配置费!B:F,5,0)),0,VLOOKUP(D585,亚马逊入库配置费!B:F,5,0))</f>
        <v>0.39069651741293498</v>
      </c>
      <c r="AE585" s="102">
        <f t="shared" si="138"/>
        <v>46.883582089552199</v>
      </c>
      <c r="AF585" s="103">
        <v>45825</v>
      </c>
      <c r="AG585" s="91">
        <f t="shared" si="139"/>
        <v>31</v>
      </c>
      <c r="AH585" s="103">
        <v>45825</v>
      </c>
      <c r="AI585" s="103">
        <v>45858</v>
      </c>
      <c r="AJ585" s="96">
        <v>120</v>
      </c>
      <c r="AK585" s="91">
        <f t="shared" si="140"/>
        <v>33</v>
      </c>
      <c r="AL585" s="96">
        <f t="shared" si="142"/>
        <v>64</v>
      </c>
      <c r="AM585" s="92"/>
      <c r="AN585" s="91"/>
      <c r="AO585" s="91"/>
    </row>
    <row r="586" spans="1:41" ht="14.5" x14ac:dyDescent="0.25">
      <c r="A586" s="92" t="s">
        <v>1094</v>
      </c>
      <c r="B586" s="91"/>
      <c r="C586" s="119" t="s">
        <v>1095</v>
      </c>
      <c r="D586" s="120" t="s">
        <v>1096</v>
      </c>
      <c r="E586" s="135" t="s">
        <v>261</v>
      </c>
      <c r="F586" s="135" t="s">
        <v>262</v>
      </c>
      <c r="G586" s="58" t="s">
        <v>163</v>
      </c>
      <c r="H586" s="119">
        <v>120</v>
      </c>
      <c r="I586" s="119" t="s">
        <v>1097</v>
      </c>
      <c r="J586" s="119" t="s">
        <v>264</v>
      </c>
      <c r="K586" s="120" t="s">
        <v>265</v>
      </c>
      <c r="L586" s="93" t="s">
        <v>2881</v>
      </c>
      <c r="M586" s="94" t="s">
        <v>3302</v>
      </c>
      <c r="N586" s="95" t="s">
        <v>2870</v>
      </c>
      <c r="O586" s="119">
        <v>3</v>
      </c>
      <c r="P586" s="153">
        <f t="shared" ref="P586:P591" si="143">1/17*O586</f>
        <v>0.1764705882352941</v>
      </c>
      <c r="Q586" s="119" t="s">
        <v>3264</v>
      </c>
      <c r="R586" s="119">
        <v>1650</v>
      </c>
      <c r="S586" s="95"/>
      <c r="T586" s="98"/>
      <c r="U586" s="125">
        <f t="shared" ref="U586:U591" si="144">R586*P586+450/17*O586</f>
        <v>370.58823529411757</v>
      </c>
      <c r="V586" s="113">
        <f t="shared" si="128"/>
        <v>3.0882352941176463</v>
      </c>
      <c r="W586" s="114">
        <f t="shared" si="129"/>
        <v>0.44117647058823517</v>
      </c>
      <c r="X586" s="95"/>
      <c r="Y586" s="95"/>
      <c r="Z586" s="102"/>
      <c r="AA586" s="103">
        <v>45794</v>
      </c>
      <c r="AB586" s="103">
        <v>45825</v>
      </c>
      <c r="AC586" s="103"/>
      <c r="AD586" s="102">
        <f>IF(ISNA(VLOOKUP(D586,亚马逊入库配置费!B:F,5,0)),0,VLOOKUP(D586,亚马逊入库配置费!B:F,5,0))</f>
        <v>0</v>
      </c>
      <c r="AE586" s="102">
        <f t="shared" si="138"/>
        <v>0</v>
      </c>
      <c r="AF586" s="103">
        <v>45832</v>
      </c>
      <c r="AG586" s="91">
        <f t="shared" si="139"/>
        <v>38</v>
      </c>
      <c r="AH586" s="103">
        <v>45832</v>
      </c>
      <c r="AI586" s="103">
        <v>45847</v>
      </c>
      <c r="AJ586" s="96">
        <v>120</v>
      </c>
      <c r="AK586" s="91">
        <f t="shared" si="140"/>
        <v>15</v>
      </c>
      <c r="AL586" s="96">
        <f t="shared" si="142"/>
        <v>53</v>
      </c>
      <c r="AM586" s="92"/>
      <c r="AN586" s="91"/>
      <c r="AO586" s="91"/>
    </row>
    <row r="587" spans="1:41" ht="14.5" x14ac:dyDescent="0.25">
      <c r="A587" s="92" t="s">
        <v>1098</v>
      </c>
      <c r="B587" s="91"/>
      <c r="C587" s="119" t="s">
        <v>1095</v>
      </c>
      <c r="D587" s="120" t="s">
        <v>1096</v>
      </c>
      <c r="E587" s="135" t="s">
        <v>261</v>
      </c>
      <c r="F587" s="135" t="s">
        <v>262</v>
      </c>
      <c r="G587" s="58" t="s">
        <v>485</v>
      </c>
      <c r="H587" s="119">
        <v>90</v>
      </c>
      <c r="I587" s="119" t="s">
        <v>1097</v>
      </c>
      <c r="J587" s="119" t="s">
        <v>264</v>
      </c>
      <c r="K587" s="120" t="s">
        <v>265</v>
      </c>
      <c r="L587" s="93" t="s">
        <v>3065</v>
      </c>
      <c r="M587" s="94" t="s">
        <v>3358</v>
      </c>
      <c r="N587" s="95" t="s">
        <v>2869</v>
      </c>
      <c r="O587" s="119">
        <v>3</v>
      </c>
      <c r="P587" s="153">
        <f t="shared" si="143"/>
        <v>0.1764705882352941</v>
      </c>
      <c r="Q587" s="119" t="s">
        <v>3264</v>
      </c>
      <c r="R587" s="119">
        <v>1650</v>
      </c>
      <c r="S587" s="95"/>
      <c r="T587" s="98"/>
      <c r="U587" s="125">
        <f t="shared" si="144"/>
        <v>370.58823529411757</v>
      </c>
      <c r="V587" s="113">
        <f t="shared" si="128"/>
        <v>4.1176470588235281</v>
      </c>
      <c r="W587" s="114">
        <f t="shared" si="129"/>
        <v>0.58823529411764686</v>
      </c>
      <c r="X587" s="95"/>
      <c r="Y587" s="95"/>
      <c r="Z587" s="102"/>
      <c r="AA587" s="103">
        <v>45794</v>
      </c>
      <c r="AB587" s="103">
        <f t="shared" ref="AB587:AB591" si="145">$AB$586</f>
        <v>45825</v>
      </c>
      <c r="AC587" s="103"/>
      <c r="AD587" s="102">
        <f>IF(ISNA(VLOOKUP(D587,亚马逊入库配置费!B:F,5,0)),0,VLOOKUP(D587,亚马逊入库配置费!B:F,5,0))</f>
        <v>0</v>
      </c>
      <c r="AE587" s="102">
        <f t="shared" si="138"/>
        <v>0</v>
      </c>
      <c r="AF587" s="103">
        <v>45832</v>
      </c>
      <c r="AG587" s="91">
        <f t="shared" si="139"/>
        <v>38</v>
      </c>
      <c r="AH587" s="103">
        <v>45832</v>
      </c>
      <c r="AI587" s="103">
        <v>45847</v>
      </c>
      <c r="AJ587" s="96">
        <v>90</v>
      </c>
      <c r="AK587" s="91">
        <f t="shared" si="140"/>
        <v>15</v>
      </c>
      <c r="AL587" s="96">
        <f t="shared" si="142"/>
        <v>53</v>
      </c>
      <c r="AM587" s="92"/>
      <c r="AN587" s="91"/>
      <c r="AO587" s="91"/>
    </row>
    <row r="588" spans="1:41" ht="14.5" x14ac:dyDescent="0.25">
      <c r="A588" s="92" t="s">
        <v>1099</v>
      </c>
      <c r="B588" s="91"/>
      <c r="C588" s="119" t="s">
        <v>1095</v>
      </c>
      <c r="D588" s="120" t="s">
        <v>1096</v>
      </c>
      <c r="E588" s="135" t="s">
        <v>261</v>
      </c>
      <c r="F588" s="135" t="s">
        <v>262</v>
      </c>
      <c r="G588" s="58" t="s">
        <v>165</v>
      </c>
      <c r="H588" s="119">
        <v>80</v>
      </c>
      <c r="I588" s="119" t="s">
        <v>1097</v>
      </c>
      <c r="J588" s="119" t="s">
        <v>264</v>
      </c>
      <c r="K588" s="120" t="s">
        <v>265</v>
      </c>
      <c r="L588" s="93" t="s">
        <v>2880</v>
      </c>
      <c r="M588" s="94" t="s">
        <v>3209</v>
      </c>
      <c r="N588" s="95" t="s">
        <v>2870</v>
      </c>
      <c r="O588" s="119">
        <v>2</v>
      </c>
      <c r="P588" s="153">
        <f t="shared" si="143"/>
        <v>0.11764705882352941</v>
      </c>
      <c r="Q588" s="119" t="s">
        <v>3264</v>
      </c>
      <c r="R588" s="119">
        <v>1650</v>
      </c>
      <c r="S588" s="95"/>
      <c r="T588" s="98"/>
      <c r="U588" s="125">
        <f t="shared" si="144"/>
        <v>247.05882352941177</v>
      </c>
      <c r="V588" s="113">
        <f t="shared" si="128"/>
        <v>3.0882352941176472</v>
      </c>
      <c r="W588" s="114">
        <f t="shared" si="129"/>
        <v>0.44117647058823534</v>
      </c>
      <c r="X588" s="95"/>
      <c r="Y588" s="95"/>
      <c r="Z588" s="102"/>
      <c r="AA588" s="103">
        <v>45794</v>
      </c>
      <c r="AB588" s="103">
        <f t="shared" si="145"/>
        <v>45825</v>
      </c>
      <c r="AC588" s="103"/>
      <c r="AD588" s="102">
        <f>IF(ISNA(VLOOKUP(D588,亚马逊入库配置费!B:F,5,0)),0,VLOOKUP(D588,亚马逊入库配置费!B:F,5,0))</f>
        <v>0</v>
      </c>
      <c r="AE588" s="102">
        <f t="shared" si="138"/>
        <v>0</v>
      </c>
      <c r="AF588" s="103">
        <v>45832</v>
      </c>
      <c r="AG588" s="91">
        <f t="shared" si="139"/>
        <v>38</v>
      </c>
      <c r="AH588" s="103">
        <v>45832</v>
      </c>
      <c r="AI588" s="103">
        <v>45847</v>
      </c>
      <c r="AJ588" s="96">
        <v>80</v>
      </c>
      <c r="AK588" s="91">
        <f t="shared" si="140"/>
        <v>15</v>
      </c>
      <c r="AL588" s="96">
        <f t="shared" si="142"/>
        <v>53</v>
      </c>
      <c r="AM588" s="92"/>
      <c r="AN588" s="91"/>
      <c r="AO588" s="91"/>
    </row>
    <row r="589" spans="1:41" ht="14.5" x14ac:dyDescent="0.25">
      <c r="A589" s="92" t="s">
        <v>1100</v>
      </c>
      <c r="B589" s="91"/>
      <c r="C589" s="119" t="s">
        <v>1095</v>
      </c>
      <c r="D589" s="120" t="s">
        <v>1096</v>
      </c>
      <c r="E589" s="135" t="s">
        <v>261</v>
      </c>
      <c r="F589" s="135" t="s">
        <v>262</v>
      </c>
      <c r="G589" s="58" t="s">
        <v>167</v>
      </c>
      <c r="H589" s="119">
        <v>90</v>
      </c>
      <c r="I589" s="119" t="s">
        <v>1097</v>
      </c>
      <c r="J589" s="119" t="s">
        <v>264</v>
      </c>
      <c r="K589" s="120" t="s">
        <v>265</v>
      </c>
      <c r="L589" s="93" t="s">
        <v>3025</v>
      </c>
      <c r="M589" s="94" t="s">
        <v>3210</v>
      </c>
      <c r="N589" s="95" t="s">
        <v>2876</v>
      </c>
      <c r="O589" s="119">
        <v>3</v>
      </c>
      <c r="P589" s="153">
        <f t="shared" si="143"/>
        <v>0.1764705882352941</v>
      </c>
      <c r="Q589" s="119" t="s">
        <v>3264</v>
      </c>
      <c r="R589" s="119">
        <v>1650</v>
      </c>
      <c r="S589" s="95"/>
      <c r="T589" s="98"/>
      <c r="U589" s="125">
        <f t="shared" si="144"/>
        <v>370.58823529411757</v>
      </c>
      <c r="V589" s="113">
        <f t="shared" ref="V589:V652" si="146">U589/H589</f>
        <v>4.1176470588235281</v>
      </c>
      <c r="W589" s="114">
        <f t="shared" ref="W589:W652" si="147">V589/7</f>
        <v>0.58823529411764686</v>
      </c>
      <c r="X589" s="95"/>
      <c r="Y589" s="95"/>
      <c r="Z589" s="102"/>
      <c r="AA589" s="103">
        <v>45794</v>
      </c>
      <c r="AB589" s="103">
        <f t="shared" si="145"/>
        <v>45825</v>
      </c>
      <c r="AC589" s="103"/>
      <c r="AD589" s="102">
        <f>IF(ISNA(VLOOKUP(D589,亚马逊入库配置费!B:F,5,0)),0,VLOOKUP(D589,亚马逊入库配置费!B:F,5,0))</f>
        <v>0</v>
      </c>
      <c r="AE589" s="102">
        <f t="shared" si="138"/>
        <v>0</v>
      </c>
      <c r="AF589" s="103">
        <v>45832</v>
      </c>
      <c r="AG589" s="91">
        <f t="shared" si="139"/>
        <v>38</v>
      </c>
      <c r="AH589" s="103">
        <v>45832</v>
      </c>
      <c r="AI589" s="103">
        <v>45847</v>
      </c>
      <c r="AJ589" s="96">
        <v>91</v>
      </c>
      <c r="AK589" s="91">
        <f t="shared" si="140"/>
        <v>15</v>
      </c>
      <c r="AL589" s="96">
        <f t="shared" si="142"/>
        <v>53</v>
      </c>
      <c r="AM589" s="92"/>
      <c r="AN589" s="91"/>
      <c r="AO589" s="91"/>
    </row>
    <row r="590" spans="1:41" ht="14.5" x14ac:dyDescent="0.25">
      <c r="A590" s="92" t="s">
        <v>1101</v>
      </c>
      <c r="B590" s="91"/>
      <c r="C590" s="119" t="s">
        <v>1095</v>
      </c>
      <c r="D590" s="120" t="s">
        <v>1096</v>
      </c>
      <c r="E590" s="135" t="s">
        <v>261</v>
      </c>
      <c r="F590" s="135" t="s">
        <v>262</v>
      </c>
      <c r="G590" s="58" t="s">
        <v>169</v>
      </c>
      <c r="H590" s="119">
        <v>90</v>
      </c>
      <c r="I590" s="119" t="s">
        <v>1097</v>
      </c>
      <c r="J590" s="119" t="s">
        <v>264</v>
      </c>
      <c r="K590" s="120" t="s">
        <v>265</v>
      </c>
      <c r="L590" s="93" t="s">
        <v>3026</v>
      </c>
      <c r="M590" s="94" t="s">
        <v>3211</v>
      </c>
      <c r="N590" s="95" t="s">
        <v>2876</v>
      </c>
      <c r="O590" s="119">
        <v>3</v>
      </c>
      <c r="P590" s="153">
        <f t="shared" si="143"/>
        <v>0.1764705882352941</v>
      </c>
      <c r="Q590" s="119" t="s">
        <v>3264</v>
      </c>
      <c r="R590" s="119">
        <v>1650</v>
      </c>
      <c r="S590" s="95"/>
      <c r="T590" s="98"/>
      <c r="U590" s="125">
        <f t="shared" si="144"/>
        <v>370.58823529411757</v>
      </c>
      <c r="V590" s="113">
        <f t="shared" si="146"/>
        <v>4.1176470588235281</v>
      </c>
      <c r="W590" s="114">
        <f t="shared" si="147"/>
        <v>0.58823529411764686</v>
      </c>
      <c r="X590" s="95"/>
      <c r="Y590" s="95"/>
      <c r="Z590" s="102"/>
      <c r="AA590" s="103">
        <v>45794</v>
      </c>
      <c r="AB590" s="103">
        <f t="shared" si="145"/>
        <v>45825</v>
      </c>
      <c r="AC590" s="103"/>
      <c r="AD590" s="102">
        <f>IF(ISNA(VLOOKUP(D590,亚马逊入库配置费!B:F,5,0)),0,VLOOKUP(D590,亚马逊入库配置费!B:F,5,0))</f>
        <v>0</v>
      </c>
      <c r="AE590" s="102">
        <f t="shared" si="138"/>
        <v>0</v>
      </c>
      <c r="AF590" s="103">
        <v>45832</v>
      </c>
      <c r="AG590" s="91">
        <f t="shared" si="139"/>
        <v>38</v>
      </c>
      <c r="AH590" s="103">
        <v>45832</v>
      </c>
      <c r="AI590" s="103">
        <v>45847</v>
      </c>
      <c r="AJ590" s="96">
        <v>90</v>
      </c>
      <c r="AK590" s="91">
        <f t="shared" si="140"/>
        <v>15</v>
      </c>
      <c r="AL590" s="96">
        <f t="shared" si="142"/>
        <v>53</v>
      </c>
      <c r="AM590" s="92"/>
      <c r="AN590" s="91"/>
      <c r="AO590" s="91"/>
    </row>
    <row r="591" spans="1:41" ht="14.5" x14ac:dyDescent="0.25">
      <c r="A591" s="92" t="s">
        <v>1102</v>
      </c>
      <c r="B591" s="91"/>
      <c r="C591" s="119" t="s">
        <v>1095</v>
      </c>
      <c r="D591" s="120" t="s">
        <v>1096</v>
      </c>
      <c r="E591" s="135" t="s">
        <v>261</v>
      </c>
      <c r="F591" s="135" t="s">
        <v>262</v>
      </c>
      <c r="G591" s="58" t="s">
        <v>211</v>
      </c>
      <c r="H591" s="119">
        <v>90</v>
      </c>
      <c r="I591" s="119" t="s">
        <v>1097</v>
      </c>
      <c r="J591" s="119" t="s">
        <v>264</v>
      </c>
      <c r="K591" s="120" t="s">
        <v>265</v>
      </c>
      <c r="L591" s="93" t="s">
        <v>3034</v>
      </c>
      <c r="M591" s="94" t="s">
        <v>3312</v>
      </c>
      <c r="N591" s="95" t="s">
        <v>2869</v>
      </c>
      <c r="O591" s="119">
        <v>3</v>
      </c>
      <c r="P591" s="153">
        <f t="shared" si="143"/>
        <v>0.1764705882352941</v>
      </c>
      <c r="Q591" s="119" t="s">
        <v>3264</v>
      </c>
      <c r="R591" s="119">
        <v>1650</v>
      </c>
      <c r="S591" s="95"/>
      <c r="T591" s="98"/>
      <c r="U591" s="125">
        <f t="shared" si="144"/>
        <v>370.58823529411757</v>
      </c>
      <c r="V591" s="113">
        <f t="shared" si="146"/>
        <v>4.1176470588235281</v>
      </c>
      <c r="W591" s="114">
        <f t="shared" si="147"/>
        <v>0.58823529411764686</v>
      </c>
      <c r="X591" s="95"/>
      <c r="Y591" s="95"/>
      <c r="Z591" s="102"/>
      <c r="AA591" s="103">
        <v>45794</v>
      </c>
      <c r="AB591" s="103">
        <f t="shared" si="145"/>
        <v>45825</v>
      </c>
      <c r="AC591" s="103"/>
      <c r="AD591" s="102">
        <f>IF(ISNA(VLOOKUP(D591,亚马逊入库配置费!B:F,5,0)),0,VLOOKUP(D591,亚马逊入库配置费!B:F,5,0))</f>
        <v>0</v>
      </c>
      <c r="AE591" s="102">
        <f t="shared" si="138"/>
        <v>0</v>
      </c>
      <c r="AF591" s="103">
        <v>45832</v>
      </c>
      <c r="AG591" s="91">
        <f t="shared" si="139"/>
        <v>38</v>
      </c>
      <c r="AH591" s="103">
        <v>45832</v>
      </c>
      <c r="AI591" s="103">
        <v>45847</v>
      </c>
      <c r="AJ591" s="96">
        <v>90</v>
      </c>
      <c r="AK591" s="91">
        <f t="shared" si="140"/>
        <v>15</v>
      </c>
      <c r="AL591" s="96">
        <f t="shared" si="142"/>
        <v>53</v>
      </c>
      <c r="AM591" s="92"/>
      <c r="AN591" s="91"/>
      <c r="AO591" s="91"/>
    </row>
    <row r="592" spans="1:41" ht="14.5" x14ac:dyDescent="0.25">
      <c r="A592" s="92" t="s">
        <v>1103</v>
      </c>
      <c r="B592" s="91"/>
      <c r="C592" s="119" t="s">
        <v>1104</v>
      </c>
      <c r="D592" s="120" t="s">
        <v>1105</v>
      </c>
      <c r="E592" s="135" t="s">
        <v>270</v>
      </c>
      <c r="F592" s="135" t="s">
        <v>271</v>
      </c>
      <c r="G592" s="58" t="s">
        <v>163</v>
      </c>
      <c r="H592" s="119">
        <v>80</v>
      </c>
      <c r="I592" s="119" t="s">
        <v>1097</v>
      </c>
      <c r="J592" s="119" t="s">
        <v>272</v>
      </c>
      <c r="K592" s="120" t="s">
        <v>273</v>
      </c>
      <c r="L592" s="93" t="s">
        <v>2881</v>
      </c>
      <c r="M592" s="94" t="s">
        <v>3302</v>
      </c>
      <c r="N592" s="95" t="s">
        <v>2870</v>
      </c>
      <c r="O592" s="119">
        <v>2</v>
      </c>
      <c r="P592" s="153">
        <f t="shared" ref="P592:P597" si="148">1/18*O592</f>
        <v>0.1111111111111111</v>
      </c>
      <c r="Q592" s="119" t="s">
        <v>3264</v>
      </c>
      <c r="R592" s="119">
        <v>900</v>
      </c>
      <c r="S592" s="95"/>
      <c r="T592" s="98"/>
      <c r="U592" s="125">
        <f t="shared" ref="U592:U597" si="149">R592*P592+450/18*O592</f>
        <v>150</v>
      </c>
      <c r="V592" s="113">
        <f t="shared" si="146"/>
        <v>1.875</v>
      </c>
      <c r="W592" s="114">
        <f t="shared" si="147"/>
        <v>0.26785714285714285</v>
      </c>
      <c r="X592" s="95"/>
      <c r="Y592" s="95"/>
      <c r="Z592" s="102"/>
      <c r="AA592" s="103">
        <v>45794</v>
      </c>
      <c r="AB592" s="103">
        <v>45822</v>
      </c>
      <c r="AC592" s="103"/>
      <c r="AD592" s="102">
        <f>IF(ISNA(VLOOKUP(D592,亚马逊入库配置费!B:F,5,0)),0,VLOOKUP(D592,亚马逊入库配置费!B:F,5,0))</f>
        <v>0</v>
      </c>
      <c r="AE592" s="102">
        <f t="shared" si="138"/>
        <v>0</v>
      </c>
      <c r="AF592" s="103">
        <v>45832</v>
      </c>
      <c r="AG592" s="91">
        <f t="shared" si="139"/>
        <v>38</v>
      </c>
      <c r="AH592" s="103">
        <v>45832</v>
      </c>
      <c r="AI592" s="103">
        <v>45847</v>
      </c>
      <c r="AJ592" s="96">
        <v>80</v>
      </c>
      <c r="AK592" s="91">
        <f t="shared" si="140"/>
        <v>15</v>
      </c>
      <c r="AL592" s="96">
        <f t="shared" si="142"/>
        <v>53</v>
      </c>
      <c r="AM592" s="92"/>
      <c r="AN592" s="91"/>
      <c r="AO592" s="91"/>
    </row>
    <row r="593" spans="1:41" ht="14.5" x14ac:dyDescent="0.25">
      <c r="A593" s="92" t="s">
        <v>1106</v>
      </c>
      <c r="B593" s="91"/>
      <c r="C593" s="119" t="s">
        <v>1104</v>
      </c>
      <c r="D593" s="120" t="s">
        <v>1105</v>
      </c>
      <c r="E593" s="135" t="s">
        <v>270</v>
      </c>
      <c r="F593" s="135" t="s">
        <v>271</v>
      </c>
      <c r="G593" s="58" t="s">
        <v>165</v>
      </c>
      <c r="H593" s="119">
        <v>160</v>
      </c>
      <c r="I593" s="119" t="s">
        <v>1097</v>
      </c>
      <c r="J593" s="119" t="s">
        <v>272</v>
      </c>
      <c r="K593" s="120" t="s">
        <v>273</v>
      </c>
      <c r="L593" s="93" t="s">
        <v>2880</v>
      </c>
      <c r="M593" s="94" t="s">
        <v>3209</v>
      </c>
      <c r="N593" s="95" t="s">
        <v>2870</v>
      </c>
      <c r="O593" s="119">
        <v>4</v>
      </c>
      <c r="P593" s="153">
        <f t="shared" si="148"/>
        <v>0.22222222222222221</v>
      </c>
      <c r="Q593" s="119" t="s">
        <v>3264</v>
      </c>
      <c r="R593" s="119">
        <v>900</v>
      </c>
      <c r="S593" s="95"/>
      <c r="T593" s="98"/>
      <c r="U593" s="125">
        <f t="shared" si="149"/>
        <v>300</v>
      </c>
      <c r="V593" s="113">
        <f t="shared" si="146"/>
        <v>1.875</v>
      </c>
      <c r="W593" s="114">
        <f t="shared" si="147"/>
        <v>0.26785714285714285</v>
      </c>
      <c r="X593" s="95"/>
      <c r="Y593" s="95"/>
      <c r="Z593" s="102"/>
      <c r="AA593" s="103">
        <v>45794</v>
      </c>
      <c r="AB593" s="103">
        <v>45822</v>
      </c>
      <c r="AC593" s="103"/>
      <c r="AD593" s="102">
        <f>IF(ISNA(VLOOKUP(D593,亚马逊入库配置费!B:F,5,0)),0,VLOOKUP(D593,亚马逊入库配置费!B:F,5,0))</f>
        <v>0</v>
      </c>
      <c r="AE593" s="102">
        <f t="shared" si="138"/>
        <v>0</v>
      </c>
      <c r="AF593" s="103">
        <v>45832</v>
      </c>
      <c r="AG593" s="91">
        <f t="shared" si="139"/>
        <v>38</v>
      </c>
      <c r="AH593" s="103">
        <v>45832</v>
      </c>
      <c r="AI593" s="103">
        <v>45847</v>
      </c>
      <c r="AJ593" s="96">
        <v>160</v>
      </c>
      <c r="AK593" s="91">
        <f t="shared" si="140"/>
        <v>15</v>
      </c>
      <c r="AL593" s="96">
        <f t="shared" si="142"/>
        <v>53</v>
      </c>
      <c r="AM593" s="92"/>
      <c r="AN593" s="91"/>
      <c r="AO593" s="91"/>
    </row>
    <row r="594" spans="1:41" ht="14.5" x14ac:dyDescent="0.25">
      <c r="A594" s="92" t="s">
        <v>1107</v>
      </c>
      <c r="B594" s="91"/>
      <c r="C594" s="119" t="s">
        <v>1104</v>
      </c>
      <c r="D594" s="120" t="s">
        <v>1105</v>
      </c>
      <c r="E594" s="135" t="s">
        <v>270</v>
      </c>
      <c r="F594" s="135" t="s">
        <v>271</v>
      </c>
      <c r="G594" s="58" t="s">
        <v>167</v>
      </c>
      <c r="H594" s="119">
        <v>90</v>
      </c>
      <c r="I594" s="119" t="s">
        <v>1097</v>
      </c>
      <c r="J594" s="119" t="s">
        <v>272</v>
      </c>
      <c r="K594" s="120" t="s">
        <v>273</v>
      </c>
      <c r="L594" s="93" t="s">
        <v>3025</v>
      </c>
      <c r="M594" s="94" t="s">
        <v>3210</v>
      </c>
      <c r="N594" s="95" t="s">
        <v>2876</v>
      </c>
      <c r="O594" s="119">
        <v>3</v>
      </c>
      <c r="P594" s="153">
        <f t="shared" si="148"/>
        <v>0.16666666666666666</v>
      </c>
      <c r="Q594" s="119" t="s">
        <v>3264</v>
      </c>
      <c r="R594" s="119">
        <v>900</v>
      </c>
      <c r="S594" s="95"/>
      <c r="T594" s="98"/>
      <c r="U594" s="125">
        <f t="shared" si="149"/>
        <v>225</v>
      </c>
      <c r="V594" s="113">
        <f t="shared" si="146"/>
        <v>2.5</v>
      </c>
      <c r="W594" s="114">
        <f t="shared" si="147"/>
        <v>0.35714285714285715</v>
      </c>
      <c r="X594" s="95"/>
      <c r="Y594" s="95"/>
      <c r="Z594" s="102"/>
      <c r="AA594" s="103">
        <v>45794</v>
      </c>
      <c r="AB594" s="103">
        <v>45822</v>
      </c>
      <c r="AC594" s="103"/>
      <c r="AD594" s="102">
        <f>IF(ISNA(VLOOKUP(D594,亚马逊入库配置费!B:F,5,0)),0,VLOOKUP(D594,亚马逊入库配置费!B:F,5,0))</f>
        <v>0</v>
      </c>
      <c r="AE594" s="102">
        <f t="shared" si="138"/>
        <v>0</v>
      </c>
      <c r="AF594" s="103">
        <v>45832</v>
      </c>
      <c r="AG594" s="91">
        <f t="shared" si="139"/>
        <v>38</v>
      </c>
      <c r="AH594" s="103">
        <v>45832</v>
      </c>
      <c r="AI594" s="103">
        <v>45847</v>
      </c>
      <c r="AJ594" s="96">
        <v>90</v>
      </c>
      <c r="AK594" s="91">
        <f t="shared" si="140"/>
        <v>15</v>
      </c>
      <c r="AL594" s="96">
        <f t="shared" si="142"/>
        <v>53</v>
      </c>
      <c r="AM594" s="92"/>
      <c r="AN594" s="91"/>
      <c r="AO594" s="91"/>
    </row>
    <row r="595" spans="1:41" ht="14.5" x14ac:dyDescent="0.25">
      <c r="A595" s="92" t="s">
        <v>1108</v>
      </c>
      <c r="B595" s="91"/>
      <c r="C595" s="119" t="s">
        <v>1104</v>
      </c>
      <c r="D595" s="120" t="s">
        <v>1105</v>
      </c>
      <c r="E595" s="135" t="s">
        <v>270</v>
      </c>
      <c r="F595" s="135" t="s">
        <v>271</v>
      </c>
      <c r="G595" s="58" t="s">
        <v>169</v>
      </c>
      <c r="H595" s="119">
        <v>90</v>
      </c>
      <c r="I595" s="119" t="s">
        <v>1097</v>
      </c>
      <c r="J595" s="119" t="s">
        <v>272</v>
      </c>
      <c r="K595" s="120" t="s">
        <v>273</v>
      </c>
      <c r="L595" s="93" t="s">
        <v>3026</v>
      </c>
      <c r="M595" s="94" t="s">
        <v>3211</v>
      </c>
      <c r="N595" s="95" t="s">
        <v>2876</v>
      </c>
      <c r="O595" s="119">
        <v>3</v>
      </c>
      <c r="P595" s="153">
        <f t="shared" si="148"/>
        <v>0.16666666666666666</v>
      </c>
      <c r="Q595" s="119" t="s">
        <v>3264</v>
      </c>
      <c r="R595" s="119">
        <v>900</v>
      </c>
      <c r="S595" s="95"/>
      <c r="T595" s="98"/>
      <c r="U595" s="125">
        <f t="shared" si="149"/>
        <v>225</v>
      </c>
      <c r="V595" s="113">
        <f t="shared" si="146"/>
        <v>2.5</v>
      </c>
      <c r="W595" s="114">
        <f t="shared" si="147"/>
        <v>0.35714285714285715</v>
      </c>
      <c r="X595" s="95"/>
      <c r="Y595" s="95"/>
      <c r="Z595" s="102"/>
      <c r="AA595" s="103">
        <v>45794</v>
      </c>
      <c r="AB595" s="103">
        <v>45822</v>
      </c>
      <c r="AC595" s="103"/>
      <c r="AD595" s="102">
        <f>IF(ISNA(VLOOKUP(D595,亚马逊入库配置费!B:F,5,0)),0,VLOOKUP(D595,亚马逊入库配置费!B:F,5,0))</f>
        <v>0</v>
      </c>
      <c r="AE595" s="102">
        <f t="shared" si="138"/>
        <v>0</v>
      </c>
      <c r="AF595" s="103">
        <v>45832</v>
      </c>
      <c r="AG595" s="91">
        <f t="shared" si="139"/>
        <v>38</v>
      </c>
      <c r="AH595" s="103">
        <v>45832</v>
      </c>
      <c r="AI595" s="103">
        <v>45847</v>
      </c>
      <c r="AJ595" s="96">
        <v>90</v>
      </c>
      <c r="AK595" s="91">
        <f t="shared" si="140"/>
        <v>15</v>
      </c>
      <c r="AL595" s="96">
        <f t="shared" si="142"/>
        <v>53</v>
      </c>
      <c r="AM595" s="92"/>
      <c r="AN595" s="91"/>
      <c r="AO595" s="91"/>
    </row>
    <row r="596" spans="1:41" ht="14.5" x14ac:dyDescent="0.25">
      <c r="A596" s="92" t="s">
        <v>1109</v>
      </c>
      <c r="B596" s="91"/>
      <c r="C596" s="119" t="s">
        <v>1104</v>
      </c>
      <c r="D596" s="120" t="s">
        <v>1105</v>
      </c>
      <c r="E596" s="135" t="s">
        <v>270</v>
      </c>
      <c r="F596" s="135" t="s">
        <v>271</v>
      </c>
      <c r="G596" s="58" t="s">
        <v>211</v>
      </c>
      <c r="H596" s="119">
        <v>90</v>
      </c>
      <c r="I596" s="119" t="s">
        <v>1097</v>
      </c>
      <c r="J596" s="119" t="s">
        <v>272</v>
      </c>
      <c r="K596" s="120" t="s">
        <v>273</v>
      </c>
      <c r="L596" s="93" t="s">
        <v>3034</v>
      </c>
      <c r="M596" s="94" t="s">
        <v>3312</v>
      </c>
      <c r="N596" s="95" t="s">
        <v>2869</v>
      </c>
      <c r="O596" s="119">
        <v>3</v>
      </c>
      <c r="P596" s="153">
        <f t="shared" si="148"/>
        <v>0.16666666666666666</v>
      </c>
      <c r="Q596" s="119" t="s">
        <v>3264</v>
      </c>
      <c r="R596" s="119">
        <v>900</v>
      </c>
      <c r="S596" s="95"/>
      <c r="T596" s="98"/>
      <c r="U596" s="125">
        <f t="shared" si="149"/>
        <v>225</v>
      </c>
      <c r="V596" s="113">
        <f t="shared" si="146"/>
        <v>2.5</v>
      </c>
      <c r="W596" s="114">
        <f t="shared" si="147"/>
        <v>0.35714285714285715</v>
      </c>
      <c r="X596" s="95"/>
      <c r="Y596" s="95"/>
      <c r="Z596" s="102"/>
      <c r="AA596" s="103">
        <v>45794</v>
      </c>
      <c r="AB596" s="103">
        <v>45822</v>
      </c>
      <c r="AC596" s="103"/>
      <c r="AD596" s="102">
        <f>IF(ISNA(VLOOKUP(D596,亚马逊入库配置费!B:F,5,0)),0,VLOOKUP(D596,亚马逊入库配置费!B:F,5,0))</f>
        <v>0</v>
      </c>
      <c r="AE596" s="102">
        <f t="shared" si="138"/>
        <v>0</v>
      </c>
      <c r="AF596" s="103">
        <v>45832</v>
      </c>
      <c r="AG596" s="91">
        <f t="shared" si="139"/>
        <v>38</v>
      </c>
      <c r="AH596" s="103">
        <v>45832</v>
      </c>
      <c r="AI596" s="103">
        <v>45847</v>
      </c>
      <c r="AJ596" s="96">
        <v>90</v>
      </c>
      <c r="AK596" s="91">
        <f t="shared" si="140"/>
        <v>15</v>
      </c>
      <c r="AL596" s="96">
        <f t="shared" si="142"/>
        <v>53</v>
      </c>
      <c r="AM596" s="92"/>
      <c r="AN596" s="91"/>
      <c r="AO596" s="91"/>
    </row>
    <row r="597" spans="1:41" ht="14.5" x14ac:dyDescent="0.25">
      <c r="A597" s="92" t="s">
        <v>1110</v>
      </c>
      <c r="B597" s="91"/>
      <c r="C597" s="119" t="s">
        <v>1104</v>
      </c>
      <c r="D597" s="120" t="s">
        <v>1105</v>
      </c>
      <c r="E597" s="135" t="s">
        <v>270</v>
      </c>
      <c r="F597" s="135" t="s">
        <v>271</v>
      </c>
      <c r="G597" s="58" t="s">
        <v>485</v>
      </c>
      <c r="H597" s="119">
        <v>90</v>
      </c>
      <c r="I597" s="119" t="s">
        <v>1097</v>
      </c>
      <c r="J597" s="119" t="s">
        <v>272</v>
      </c>
      <c r="K597" s="120" t="s">
        <v>273</v>
      </c>
      <c r="L597" s="93" t="s">
        <v>3065</v>
      </c>
      <c r="M597" s="94" t="s">
        <v>3358</v>
      </c>
      <c r="N597" s="95" t="s">
        <v>2869</v>
      </c>
      <c r="O597" s="119">
        <v>3</v>
      </c>
      <c r="P597" s="153">
        <f t="shared" si="148"/>
        <v>0.16666666666666666</v>
      </c>
      <c r="Q597" s="119" t="s">
        <v>3264</v>
      </c>
      <c r="R597" s="119">
        <v>900</v>
      </c>
      <c r="S597" s="95"/>
      <c r="T597" s="98"/>
      <c r="U597" s="125">
        <f t="shared" si="149"/>
        <v>225</v>
      </c>
      <c r="V597" s="113">
        <f t="shared" si="146"/>
        <v>2.5</v>
      </c>
      <c r="W597" s="114">
        <f t="shared" si="147"/>
        <v>0.35714285714285715</v>
      </c>
      <c r="X597" s="95"/>
      <c r="Y597" s="95"/>
      <c r="Z597" s="102"/>
      <c r="AA597" s="103">
        <v>45794</v>
      </c>
      <c r="AB597" s="103">
        <v>45822</v>
      </c>
      <c r="AC597" s="103"/>
      <c r="AD597" s="102">
        <f>IF(ISNA(VLOOKUP(D597,亚马逊入库配置费!B:F,5,0)),0,VLOOKUP(D597,亚马逊入库配置费!B:F,5,0))</f>
        <v>0</v>
      </c>
      <c r="AE597" s="102">
        <f t="shared" si="138"/>
        <v>0</v>
      </c>
      <c r="AF597" s="103">
        <v>45832</v>
      </c>
      <c r="AG597" s="91">
        <f t="shared" si="139"/>
        <v>38</v>
      </c>
      <c r="AH597" s="103">
        <v>45832</v>
      </c>
      <c r="AI597" s="103">
        <v>45847</v>
      </c>
      <c r="AJ597" s="96">
        <v>90</v>
      </c>
      <c r="AK597" s="91">
        <f t="shared" si="140"/>
        <v>15</v>
      </c>
      <c r="AL597" s="96">
        <f t="shared" si="142"/>
        <v>53</v>
      </c>
      <c r="AM597" s="92"/>
      <c r="AN597" s="91"/>
      <c r="AO597" s="91"/>
    </row>
    <row r="598" spans="1:41" ht="14.5" x14ac:dyDescent="0.25">
      <c r="A598" s="92" t="s">
        <v>1111</v>
      </c>
      <c r="B598" s="90"/>
      <c r="C598" s="126" t="s">
        <v>1112</v>
      </c>
      <c r="D598" s="127" t="s">
        <v>1113</v>
      </c>
      <c r="E598" s="155" t="s">
        <v>97</v>
      </c>
      <c r="F598" s="155" t="s">
        <v>175</v>
      </c>
      <c r="G598" s="58" t="s">
        <v>93</v>
      </c>
      <c r="H598" s="126">
        <v>612</v>
      </c>
      <c r="I598" s="126" t="s">
        <v>1114</v>
      </c>
      <c r="J598" s="126" t="s">
        <v>1115</v>
      </c>
      <c r="K598" s="127" t="s">
        <v>42</v>
      </c>
      <c r="L598" s="93" t="s">
        <v>3015</v>
      </c>
      <c r="M598" s="94" t="s">
        <v>3288</v>
      </c>
      <c r="N598" s="95" t="s">
        <v>2821</v>
      </c>
      <c r="O598" s="156">
        <v>34</v>
      </c>
      <c r="P598" s="97">
        <f>729/34*O598</f>
        <v>729</v>
      </c>
      <c r="Q598" s="122" t="s">
        <v>16</v>
      </c>
      <c r="R598" s="156">
        <v>41</v>
      </c>
      <c r="S598" s="108"/>
      <c r="T598" s="131"/>
      <c r="U598" s="157">
        <f>R598*P598+350/34*O598</f>
        <v>30239</v>
      </c>
      <c r="V598" s="100">
        <f t="shared" si="146"/>
        <v>49.41013071895425</v>
      </c>
      <c r="W598" s="101">
        <f t="shared" si="147"/>
        <v>7.0585901027077496</v>
      </c>
      <c r="X598" s="108"/>
      <c r="Y598" s="108"/>
      <c r="Z598" s="104"/>
      <c r="AA598" s="118">
        <v>45794</v>
      </c>
      <c r="AB598" s="118"/>
      <c r="AC598" s="118"/>
      <c r="AD598" s="102">
        <f>IF(ISNA(VLOOKUP(D598,亚马逊入库配置费!B:F,5,0)),0,VLOOKUP(D598,亚马逊入库配置费!B:F,5,0))</f>
        <v>0.49</v>
      </c>
      <c r="AE598" s="102">
        <f t="shared" si="138"/>
        <v>299.88</v>
      </c>
      <c r="AF598" s="118">
        <v>45809</v>
      </c>
      <c r="AG598" s="90">
        <f t="shared" si="139"/>
        <v>15</v>
      </c>
      <c r="AH598" s="118">
        <v>45809</v>
      </c>
      <c r="AI598" s="118">
        <v>45841</v>
      </c>
      <c r="AJ598" s="158">
        <v>607</v>
      </c>
      <c r="AK598" s="90">
        <f t="shared" si="140"/>
        <v>32</v>
      </c>
      <c r="AL598" s="158">
        <f t="shared" si="142"/>
        <v>47</v>
      </c>
      <c r="AM598" s="110" t="s">
        <v>1116</v>
      </c>
      <c r="AN598" s="90"/>
      <c r="AO598" s="90"/>
    </row>
    <row r="599" spans="1:41" ht="14.5" x14ac:dyDescent="0.25">
      <c r="A599" s="92" t="s">
        <v>1117</v>
      </c>
      <c r="B599" s="91"/>
      <c r="C599" s="119" t="s">
        <v>1118</v>
      </c>
      <c r="D599" s="120" t="s">
        <v>1119</v>
      </c>
      <c r="E599" s="135" t="s">
        <v>97</v>
      </c>
      <c r="F599" s="135" t="s">
        <v>0</v>
      </c>
      <c r="G599" s="58" t="s">
        <v>88</v>
      </c>
      <c r="H599" s="119">
        <v>270</v>
      </c>
      <c r="I599" s="119" t="s">
        <v>89</v>
      </c>
      <c r="J599" s="119" t="s">
        <v>8</v>
      </c>
      <c r="K599" s="120" t="s">
        <v>42</v>
      </c>
      <c r="L599" s="93" t="s">
        <v>3014</v>
      </c>
      <c r="M599" s="94" t="s">
        <v>3286</v>
      </c>
      <c r="N599" s="95" t="s">
        <v>2821</v>
      </c>
      <c r="O599" s="145">
        <v>15</v>
      </c>
      <c r="P599" s="153">
        <f>1177/55*O599</f>
        <v>321</v>
      </c>
      <c r="Q599" s="122" t="s">
        <v>16</v>
      </c>
      <c r="R599" s="145">
        <v>9.6999999999999993</v>
      </c>
      <c r="S599" s="95"/>
      <c r="T599" s="98"/>
      <c r="U599" s="125">
        <f>R599*P599+350/55*O599</f>
        <v>3209.1545454545453</v>
      </c>
      <c r="V599" s="113">
        <f t="shared" si="146"/>
        <v>11.885757575757575</v>
      </c>
      <c r="W599" s="114">
        <f t="shared" si="147"/>
        <v>1.6979653679653679</v>
      </c>
      <c r="X599" s="95"/>
      <c r="Y599" s="95"/>
      <c r="Z599" s="102"/>
      <c r="AA599" s="103">
        <v>45794</v>
      </c>
      <c r="AB599" s="103">
        <v>45809</v>
      </c>
      <c r="AC599" s="103"/>
      <c r="AD599" s="102">
        <f>IF(ISNA(VLOOKUP(D599,亚马逊入库配置费!B:F,5,0)),0,VLOOKUP(D599,亚马逊入库配置费!B:F,5,0))</f>
        <v>0.49</v>
      </c>
      <c r="AE599" s="102">
        <f t="shared" si="138"/>
        <v>132.30000000000001</v>
      </c>
      <c r="AF599" s="103">
        <v>45816</v>
      </c>
      <c r="AG599" s="91">
        <f t="shared" si="139"/>
        <v>22</v>
      </c>
      <c r="AH599" s="103">
        <v>45816</v>
      </c>
      <c r="AI599" s="103">
        <v>45848</v>
      </c>
      <c r="AJ599" s="96">
        <v>270</v>
      </c>
      <c r="AK599" s="91">
        <f t="shared" si="140"/>
        <v>32</v>
      </c>
      <c r="AL599" s="96">
        <f t="shared" si="142"/>
        <v>54</v>
      </c>
      <c r="AM599" s="92"/>
      <c r="AN599" s="91"/>
      <c r="AO599" s="91"/>
    </row>
    <row r="600" spans="1:41" ht="14.5" x14ac:dyDescent="0.25">
      <c r="A600" s="92" t="s">
        <v>1120</v>
      </c>
      <c r="B600" s="91"/>
      <c r="C600" s="119" t="s">
        <v>1118</v>
      </c>
      <c r="D600" s="120" t="s">
        <v>1119</v>
      </c>
      <c r="E600" s="135" t="s">
        <v>97</v>
      </c>
      <c r="F600" s="135" t="s">
        <v>0</v>
      </c>
      <c r="G600" s="58" t="s">
        <v>93</v>
      </c>
      <c r="H600" s="119">
        <v>720</v>
      </c>
      <c r="I600" s="119" t="s">
        <v>89</v>
      </c>
      <c r="J600" s="119" t="s">
        <v>8</v>
      </c>
      <c r="K600" s="120" t="s">
        <v>42</v>
      </c>
      <c r="L600" s="93" t="s">
        <v>3015</v>
      </c>
      <c r="M600" s="94" t="s">
        <v>3288</v>
      </c>
      <c r="N600" s="95" t="s">
        <v>2821</v>
      </c>
      <c r="O600" s="145">
        <v>40</v>
      </c>
      <c r="P600" s="153">
        <f>1177/55*O600</f>
        <v>856</v>
      </c>
      <c r="Q600" s="122" t="s">
        <v>16</v>
      </c>
      <c r="R600" s="145">
        <v>9.6999999999999993</v>
      </c>
      <c r="S600" s="95"/>
      <c r="T600" s="98"/>
      <c r="U600" s="125">
        <f>R600*P600+350/55*O600</f>
        <v>8557.745454545453</v>
      </c>
      <c r="V600" s="113">
        <f t="shared" si="146"/>
        <v>11.885757575757573</v>
      </c>
      <c r="W600" s="114">
        <f t="shared" si="147"/>
        <v>1.6979653679653677</v>
      </c>
      <c r="X600" s="95"/>
      <c r="Y600" s="95"/>
      <c r="Z600" s="102"/>
      <c r="AA600" s="103">
        <v>45794</v>
      </c>
      <c r="AB600" s="103">
        <v>45809</v>
      </c>
      <c r="AC600" s="103"/>
      <c r="AD600" s="102">
        <f>IF(ISNA(VLOOKUP(D600,亚马逊入库配置费!B:F,5,0)),0,VLOOKUP(D600,亚马逊入库配置费!B:F,5,0))</f>
        <v>0.49</v>
      </c>
      <c r="AE600" s="102">
        <f t="shared" si="138"/>
        <v>352.8</v>
      </c>
      <c r="AF600" s="103">
        <v>45816</v>
      </c>
      <c r="AG600" s="91">
        <f t="shared" si="139"/>
        <v>22</v>
      </c>
      <c r="AH600" s="103">
        <v>45816</v>
      </c>
      <c r="AI600" s="103">
        <v>45848</v>
      </c>
      <c r="AJ600" s="96">
        <v>720</v>
      </c>
      <c r="AK600" s="91">
        <f t="shared" si="140"/>
        <v>32</v>
      </c>
      <c r="AL600" s="96">
        <f t="shared" si="142"/>
        <v>54</v>
      </c>
      <c r="AM600" s="92"/>
      <c r="AN600" s="91"/>
      <c r="AO600" s="91"/>
    </row>
    <row r="601" spans="1:41" ht="14.5" x14ac:dyDescent="0.25">
      <c r="A601" s="92" t="s">
        <v>1121</v>
      </c>
      <c r="B601" s="91"/>
      <c r="C601" s="119" t="s">
        <v>1122</v>
      </c>
      <c r="D601" s="120" t="s">
        <v>1123</v>
      </c>
      <c r="E601" s="135" t="s">
        <v>97</v>
      </c>
      <c r="F601" s="135" t="s">
        <v>0</v>
      </c>
      <c r="G601" s="58" t="s">
        <v>88</v>
      </c>
      <c r="H601" s="119">
        <v>774</v>
      </c>
      <c r="I601" s="119" t="s">
        <v>89</v>
      </c>
      <c r="J601" s="119" t="s">
        <v>8</v>
      </c>
      <c r="K601" s="120" t="s">
        <v>42</v>
      </c>
      <c r="L601" s="93" t="s">
        <v>3014</v>
      </c>
      <c r="M601" s="94" t="s">
        <v>3286</v>
      </c>
      <c r="N601" s="95" t="s">
        <v>2821</v>
      </c>
      <c r="O601" s="152">
        <v>43</v>
      </c>
      <c r="P601" s="153">
        <f t="shared" ref="P601:P606" si="150">2648/125*O601</f>
        <v>910.91200000000003</v>
      </c>
      <c r="Q601" s="122" t="s">
        <v>16</v>
      </c>
      <c r="R601" s="152">
        <v>5.5</v>
      </c>
      <c r="S601" s="95"/>
      <c r="T601" s="98"/>
      <c r="U601" s="125">
        <f t="shared" ref="U601:U606" si="151">R601*P601+350/125*O601</f>
        <v>5130.4160000000002</v>
      </c>
      <c r="V601" s="113">
        <f t="shared" si="146"/>
        <v>6.6284444444444448</v>
      </c>
      <c r="W601" s="114">
        <f t="shared" si="147"/>
        <v>0.94692063492063494</v>
      </c>
      <c r="X601" s="95"/>
      <c r="Y601" s="95"/>
      <c r="Z601" s="102"/>
      <c r="AA601" s="103">
        <v>45794</v>
      </c>
      <c r="AB601" s="103">
        <v>45816</v>
      </c>
      <c r="AC601" s="103"/>
      <c r="AD601" s="102">
        <f>IF(ISNA(VLOOKUP(D601,亚马逊入库配置费!B:F,5,0)),0,VLOOKUP(D601,亚马逊入库配置费!B:F,5,0))</f>
        <v>0.48417601380500402</v>
      </c>
      <c r="AE601" s="102">
        <f t="shared" si="138"/>
        <v>374.75223468507312</v>
      </c>
      <c r="AF601" s="103">
        <v>45825</v>
      </c>
      <c r="AG601" s="91">
        <f t="shared" si="139"/>
        <v>31</v>
      </c>
      <c r="AH601" s="103">
        <v>45825</v>
      </c>
      <c r="AI601" s="103">
        <v>45857</v>
      </c>
      <c r="AJ601" s="96">
        <v>774</v>
      </c>
      <c r="AK601" s="91">
        <f t="shared" si="140"/>
        <v>32</v>
      </c>
      <c r="AL601" s="96">
        <f t="shared" si="142"/>
        <v>63</v>
      </c>
      <c r="AM601" s="92"/>
      <c r="AN601" s="91"/>
      <c r="AO601" s="91"/>
    </row>
    <row r="602" spans="1:41" ht="14.5" x14ac:dyDescent="0.25">
      <c r="A602" s="92" t="s">
        <v>1124</v>
      </c>
      <c r="B602" s="91"/>
      <c r="C602" s="119" t="s">
        <v>1122</v>
      </c>
      <c r="D602" s="120" t="s">
        <v>1123</v>
      </c>
      <c r="E602" s="135" t="s">
        <v>97</v>
      </c>
      <c r="F602" s="135" t="s">
        <v>0</v>
      </c>
      <c r="G602" s="58" t="s">
        <v>88</v>
      </c>
      <c r="H602" s="119">
        <v>16</v>
      </c>
      <c r="I602" s="119" t="s">
        <v>89</v>
      </c>
      <c r="J602" s="119" t="s">
        <v>8</v>
      </c>
      <c r="K602" s="120" t="s">
        <v>42</v>
      </c>
      <c r="L602" s="93" t="s">
        <v>3014</v>
      </c>
      <c r="M602" s="94" t="s">
        <v>3286</v>
      </c>
      <c r="N602" s="95" t="s">
        <v>2821</v>
      </c>
      <c r="O602" s="152">
        <v>1</v>
      </c>
      <c r="P602" s="153">
        <f t="shared" si="150"/>
        <v>21.184000000000001</v>
      </c>
      <c r="Q602" s="122" t="s">
        <v>16</v>
      </c>
      <c r="R602" s="152">
        <v>5.5</v>
      </c>
      <c r="S602" s="95"/>
      <c r="T602" s="98"/>
      <c r="U602" s="125">
        <f t="shared" si="151"/>
        <v>119.312</v>
      </c>
      <c r="V602" s="113">
        <f t="shared" si="146"/>
        <v>7.4569999999999999</v>
      </c>
      <c r="W602" s="114">
        <f t="shared" si="147"/>
        <v>1.0652857142857142</v>
      </c>
      <c r="X602" s="95"/>
      <c r="Y602" s="95"/>
      <c r="Z602" s="102"/>
      <c r="AA602" s="103">
        <v>45794</v>
      </c>
      <c r="AB602" s="103">
        <v>45816</v>
      </c>
      <c r="AC602" s="103"/>
      <c r="AD602" s="102">
        <f>IF(ISNA(VLOOKUP(D602,亚马逊入库配置费!B:F,5,0)),0,VLOOKUP(D602,亚马逊入库配置费!B:F,5,0))</f>
        <v>0.48417601380500402</v>
      </c>
      <c r="AE602" s="102">
        <f t="shared" si="138"/>
        <v>7.7468162208800644</v>
      </c>
      <c r="AF602" s="103">
        <v>45825</v>
      </c>
      <c r="AG602" s="91">
        <f t="shared" si="139"/>
        <v>31</v>
      </c>
      <c r="AH602" s="103">
        <v>45825</v>
      </c>
      <c r="AI602" s="103">
        <v>45857</v>
      </c>
      <c r="AJ602" s="96">
        <v>15</v>
      </c>
      <c r="AK602" s="91">
        <f t="shared" si="140"/>
        <v>32</v>
      </c>
      <c r="AL602" s="96">
        <f t="shared" si="142"/>
        <v>63</v>
      </c>
      <c r="AM602" s="92"/>
      <c r="AN602" s="91"/>
      <c r="AO602" s="91"/>
    </row>
    <row r="603" spans="1:41" ht="14.5" x14ac:dyDescent="0.25">
      <c r="A603" s="92" t="s">
        <v>1125</v>
      </c>
      <c r="B603" s="91"/>
      <c r="C603" s="119" t="s">
        <v>1122</v>
      </c>
      <c r="D603" s="120" t="s">
        <v>1123</v>
      </c>
      <c r="E603" s="135" t="s">
        <v>97</v>
      </c>
      <c r="F603" s="135" t="s">
        <v>0</v>
      </c>
      <c r="G603" s="58" t="s">
        <v>93</v>
      </c>
      <c r="H603" s="119">
        <v>1422</v>
      </c>
      <c r="I603" s="119" t="s">
        <v>89</v>
      </c>
      <c r="J603" s="119" t="s">
        <v>8</v>
      </c>
      <c r="K603" s="120" t="s">
        <v>42</v>
      </c>
      <c r="L603" s="93" t="s">
        <v>3015</v>
      </c>
      <c r="M603" s="94" t="s">
        <v>3288</v>
      </c>
      <c r="N603" s="95" t="s">
        <v>2821</v>
      </c>
      <c r="O603" s="152">
        <v>79</v>
      </c>
      <c r="P603" s="153">
        <f t="shared" si="150"/>
        <v>1673.5360000000001</v>
      </c>
      <c r="Q603" s="122" t="s">
        <v>16</v>
      </c>
      <c r="R603" s="152">
        <v>5.5</v>
      </c>
      <c r="S603" s="95"/>
      <c r="T603" s="98"/>
      <c r="U603" s="125">
        <f t="shared" si="151"/>
        <v>9425.648000000001</v>
      </c>
      <c r="V603" s="113">
        <f t="shared" si="146"/>
        <v>6.6284444444444448</v>
      </c>
      <c r="W603" s="114">
        <f t="shared" si="147"/>
        <v>0.94692063492063494</v>
      </c>
      <c r="X603" s="95"/>
      <c r="Y603" s="95"/>
      <c r="Z603" s="102"/>
      <c r="AA603" s="103">
        <v>45794</v>
      </c>
      <c r="AB603" s="103">
        <v>45816</v>
      </c>
      <c r="AC603" s="103"/>
      <c r="AD603" s="102">
        <f>IF(ISNA(VLOOKUP(D603,亚马逊入库配置费!B:F,5,0)),0,VLOOKUP(D603,亚马逊入库配置费!B:F,5,0))</f>
        <v>0.48417601380500402</v>
      </c>
      <c r="AE603" s="102">
        <f t="shared" si="138"/>
        <v>688.4982916307157</v>
      </c>
      <c r="AF603" s="103">
        <v>45825</v>
      </c>
      <c r="AG603" s="91">
        <f t="shared" si="139"/>
        <v>31</v>
      </c>
      <c r="AH603" s="103">
        <v>45825</v>
      </c>
      <c r="AI603" s="103">
        <v>45857</v>
      </c>
      <c r="AJ603" s="96">
        <v>1445</v>
      </c>
      <c r="AK603" s="91">
        <f t="shared" si="140"/>
        <v>32</v>
      </c>
      <c r="AL603" s="96">
        <f t="shared" si="142"/>
        <v>63</v>
      </c>
      <c r="AM603" s="92"/>
      <c r="AN603" s="91"/>
      <c r="AO603" s="91"/>
    </row>
    <row r="604" spans="1:41" ht="14.5" x14ac:dyDescent="0.25">
      <c r="A604" s="92" t="s">
        <v>1126</v>
      </c>
      <c r="B604" s="91"/>
      <c r="C604" s="119" t="s">
        <v>1122</v>
      </c>
      <c r="D604" s="120" t="s">
        <v>1123</v>
      </c>
      <c r="E604" s="135" t="s">
        <v>97</v>
      </c>
      <c r="F604" s="135" t="s">
        <v>0</v>
      </c>
      <c r="G604" s="58" t="s">
        <v>93</v>
      </c>
      <c r="H604" s="119">
        <v>16</v>
      </c>
      <c r="I604" s="119" t="s">
        <v>89</v>
      </c>
      <c r="J604" s="119" t="s">
        <v>8</v>
      </c>
      <c r="K604" s="120" t="s">
        <v>42</v>
      </c>
      <c r="L604" s="93" t="s">
        <v>3015</v>
      </c>
      <c r="M604" s="94" t="s">
        <v>3288</v>
      </c>
      <c r="N604" s="95" t="s">
        <v>2821</v>
      </c>
      <c r="O604" s="152">
        <v>1</v>
      </c>
      <c r="P604" s="153">
        <f t="shared" si="150"/>
        <v>21.184000000000001</v>
      </c>
      <c r="Q604" s="122" t="s">
        <v>16</v>
      </c>
      <c r="R604" s="152">
        <v>5.5</v>
      </c>
      <c r="S604" s="95"/>
      <c r="T604" s="98"/>
      <c r="U604" s="125">
        <f t="shared" si="151"/>
        <v>119.312</v>
      </c>
      <c r="V604" s="113">
        <f t="shared" si="146"/>
        <v>7.4569999999999999</v>
      </c>
      <c r="W604" s="114">
        <f t="shared" si="147"/>
        <v>1.0652857142857142</v>
      </c>
      <c r="X604" s="95"/>
      <c r="Y604" s="95"/>
      <c r="Z604" s="102"/>
      <c r="AA604" s="103">
        <v>45794</v>
      </c>
      <c r="AB604" s="103">
        <v>45816</v>
      </c>
      <c r="AC604" s="103"/>
      <c r="AD604" s="102">
        <f>IF(ISNA(VLOOKUP(D604,亚马逊入库配置费!B:F,5,0)),0,VLOOKUP(D604,亚马逊入库配置费!B:F,5,0))</f>
        <v>0.48417601380500402</v>
      </c>
      <c r="AE604" s="102">
        <f t="shared" si="138"/>
        <v>7.7468162208800644</v>
      </c>
      <c r="AF604" s="103">
        <v>45825</v>
      </c>
      <c r="AG604" s="91">
        <f t="shared" si="139"/>
        <v>31</v>
      </c>
      <c r="AH604" s="103">
        <v>45825</v>
      </c>
      <c r="AI604" s="103">
        <v>45857</v>
      </c>
      <c r="AJ604" s="96">
        <v>16</v>
      </c>
      <c r="AK604" s="91">
        <f t="shared" si="140"/>
        <v>32</v>
      </c>
      <c r="AL604" s="96">
        <f t="shared" si="142"/>
        <v>63</v>
      </c>
      <c r="AM604" s="92"/>
      <c r="AN604" s="91"/>
      <c r="AO604" s="91"/>
    </row>
    <row r="605" spans="1:41" ht="14.5" x14ac:dyDescent="0.25">
      <c r="A605" s="92" t="s">
        <v>1127</v>
      </c>
      <c r="B605" s="91"/>
      <c r="C605" s="119" t="s">
        <v>1122</v>
      </c>
      <c r="D605" s="120" t="s">
        <v>1123</v>
      </c>
      <c r="E605" s="135" t="s">
        <v>97</v>
      </c>
      <c r="F605" s="135" t="s">
        <v>0</v>
      </c>
      <c r="G605" s="58" t="s">
        <v>100</v>
      </c>
      <c r="H605" s="119">
        <v>30</v>
      </c>
      <c r="I605" s="119" t="s">
        <v>89</v>
      </c>
      <c r="J605" s="119" t="s">
        <v>8</v>
      </c>
      <c r="K605" s="120" t="s">
        <v>42</v>
      </c>
      <c r="L605" s="93" t="s">
        <v>2819</v>
      </c>
      <c r="M605" s="94" t="s">
        <v>3290</v>
      </c>
      <c r="N605" s="95" t="s">
        <v>3016</v>
      </c>
      <c r="O605" s="152">
        <v>0.5</v>
      </c>
      <c r="P605" s="153">
        <f t="shared" si="150"/>
        <v>10.592000000000001</v>
      </c>
      <c r="Q605" s="122" t="s">
        <v>16</v>
      </c>
      <c r="R605" s="152">
        <v>5.5</v>
      </c>
      <c r="S605" s="95"/>
      <c r="T605" s="98"/>
      <c r="U605" s="125">
        <f t="shared" si="151"/>
        <v>59.655999999999999</v>
      </c>
      <c r="V605" s="113">
        <f t="shared" si="146"/>
        <v>1.9885333333333333</v>
      </c>
      <c r="W605" s="114">
        <f t="shared" si="147"/>
        <v>0.28407619047619048</v>
      </c>
      <c r="X605" s="95"/>
      <c r="Y605" s="95"/>
      <c r="Z605" s="102"/>
      <c r="AA605" s="103">
        <v>45794</v>
      </c>
      <c r="AB605" s="103">
        <v>45816</v>
      </c>
      <c r="AC605" s="103"/>
      <c r="AD605" s="102">
        <f>IF(ISNA(VLOOKUP(D605,亚马逊入库配置费!B:F,5,0)),0,VLOOKUP(D605,亚马逊入库配置费!B:F,5,0))</f>
        <v>0.48417601380500402</v>
      </c>
      <c r="AE605" s="102">
        <f t="shared" si="138"/>
        <v>14.525280414150121</v>
      </c>
      <c r="AF605" s="103">
        <v>45825</v>
      </c>
      <c r="AG605" s="91">
        <f t="shared" si="139"/>
        <v>31</v>
      </c>
      <c r="AH605" s="103">
        <v>45825</v>
      </c>
      <c r="AI605" s="103">
        <v>45857</v>
      </c>
      <c r="AJ605" s="96">
        <v>30</v>
      </c>
      <c r="AK605" s="91">
        <f t="shared" si="140"/>
        <v>32</v>
      </c>
      <c r="AL605" s="96">
        <f t="shared" si="142"/>
        <v>63</v>
      </c>
      <c r="AM605" s="92"/>
      <c r="AN605" s="91"/>
      <c r="AO605" s="91"/>
    </row>
    <row r="606" spans="1:41" ht="14.5" x14ac:dyDescent="0.25">
      <c r="A606" s="92" t="s">
        <v>1128</v>
      </c>
      <c r="B606" s="91"/>
      <c r="C606" s="119" t="s">
        <v>1122</v>
      </c>
      <c r="D606" s="120" t="s">
        <v>1123</v>
      </c>
      <c r="E606" s="135" t="s">
        <v>97</v>
      </c>
      <c r="F606" s="135" t="s">
        <v>0</v>
      </c>
      <c r="G606" s="58" t="s">
        <v>98</v>
      </c>
      <c r="H606" s="119">
        <v>60</v>
      </c>
      <c r="I606" s="119" t="s">
        <v>89</v>
      </c>
      <c r="J606" s="119" t="s">
        <v>8</v>
      </c>
      <c r="K606" s="120" t="s">
        <v>42</v>
      </c>
      <c r="L606" s="93" t="s">
        <v>2820</v>
      </c>
      <c r="M606" s="94" t="s">
        <v>3289</v>
      </c>
      <c r="N606" s="95" t="s">
        <v>3016</v>
      </c>
      <c r="O606" s="152">
        <v>0.5</v>
      </c>
      <c r="P606" s="153">
        <f t="shared" si="150"/>
        <v>10.592000000000001</v>
      </c>
      <c r="Q606" s="122" t="s">
        <v>16</v>
      </c>
      <c r="R606" s="152">
        <v>5.5</v>
      </c>
      <c r="S606" s="95"/>
      <c r="T606" s="98"/>
      <c r="U606" s="125">
        <f t="shared" si="151"/>
        <v>59.655999999999999</v>
      </c>
      <c r="V606" s="113">
        <f t="shared" si="146"/>
        <v>0.99426666666666663</v>
      </c>
      <c r="W606" s="114">
        <f t="shared" si="147"/>
        <v>0.14203809523809524</v>
      </c>
      <c r="X606" s="95"/>
      <c r="Y606" s="95"/>
      <c r="Z606" s="102"/>
      <c r="AA606" s="103">
        <v>45794</v>
      </c>
      <c r="AB606" s="103">
        <v>45816</v>
      </c>
      <c r="AC606" s="103"/>
      <c r="AD606" s="102">
        <f>IF(ISNA(VLOOKUP(D606,亚马逊入库配置费!B:F,5,0)),0,VLOOKUP(D606,亚马逊入库配置费!B:F,5,0))</f>
        <v>0.48417601380500402</v>
      </c>
      <c r="AE606" s="102">
        <f t="shared" si="138"/>
        <v>29.050560828300242</v>
      </c>
      <c r="AF606" s="103">
        <v>45825</v>
      </c>
      <c r="AG606" s="91">
        <f t="shared" si="139"/>
        <v>31</v>
      </c>
      <c r="AH606" s="103">
        <v>45825</v>
      </c>
      <c r="AI606" s="103">
        <v>45857</v>
      </c>
      <c r="AJ606" s="96">
        <v>60</v>
      </c>
      <c r="AK606" s="91">
        <f t="shared" si="140"/>
        <v>32</v>
      </c>
      <c r="AL606" s="96">
        <f t="shared" si="142"/>
        <v>63</v>
      </c>
      <c r="AM606" s="92"/>
      <c r="AN606" s="91"/>
      <c r="AO606" s="91"/>
    </row>
    <row r="607" spans="1:41" ht="14.5" x14ac:dyDescent="0.25">
      <c r="A607" s="92" t="s">
        <v>1129</v>
      </c>
      <c r="B607" s="91"/>
      <c r="C607" s="119" t="s">
        <v>1130</v>
      </c>
      <c r="D607" s="120" t="s">
        <v>1131</v>
      </c>
      <c r="E607" s="135" t="s">
        <v>287</v>
      </c>
      <c r="F607" s="135" t="s">
        <v>0</v>
      </c>
      <c r="G607" s="58" t="s">
        <v>884</v>
      </c>
      <c r="H607" s="119">
        <v>464</v>
      </c>
      <c r="I607" s="119" t="s">
        <v>207</v>
      </c>
      <c r="J607" s="119" t="s">
        <v>8</v>
      </c>
      <c r="K607" s="120" t="s">
        <v>10</v>
      </c>
      <c r="L607" s="93" t="s">
        <v>3084</v>
      </c>
      <c r="M607" s="94" t="s">
        <v>3402</v>
      </c>
      <c r="N607" s="95" t="s">
        <v>51</v>
      </c>
      <c r="O607" s="146">
        <v>29</v>
      </c>
      <c r="P607" s="153">
        <f>1004/57*O607</f>
        <v>510.80701754385962</v>
      </c>
      <c r="Q607" s="122" t="s">
        <v>16</v>
      </c>
      <c r="R607" s="146">
        <v>4.7</v>
      </c>
      <c r="S607" s="95"/>
      <c r="T607" s="98"/>
      <c r="U607" s="125">
        <f>R607*P607+350/57*O607</f>
        <v>2578.8631578947366</v>
      </c>
      <c r="V607" s="113">
        <f t="shared" si="146"/>
        <v>5.5578947368421048</v>
      </c>
      <c r="W607" s="114">
        <f t="shared" si="147"/>
        <v>0.79398496240601502</v>
      </c>
      <c r="X607" s="95"/>
      <c r="Y607" s="95"/>
      <c r="Z607" s="102"/>
      <c r="AA607" s="103">
        <v>45794</v>
      </c>
      <c r="AB607" s="103">
        <v>45816</v>
      </c>
      <c r="AC607" s="103"/>
      <c r="AD607" s="102">
        <f>IF(ISNA(VLOOKUP(D607,亚马逊入库配置费!B:F,5,0)),0,VLOOKUP(D607,亚马逊入库配置费!B:F,5,0))</f>
        <v>0.49</v>
      </c>
      <c r="AE607" s="102">
        <f t="shared" si="138"/>
        <v>227.35999999999999</v>
      </c>
      <c r="AF607" s="103">
        <v>45822</v>
      </c>
      <c r="AG607" s="91">
        <f t="shared" si="139"/>
        <v>28</v>
      </c>
      <c r="AH607" s="103">
        <v>45822</v>
      </c>
      <c r="AI607" s="103">
        <v>45859</v>
      </c>
      <c r="AJ607" s="96">
        <v>464</v>
      </c>
      <c r="AK607" s="91">
        <f t="shared" si="140"/>
        <v>37</v>
      </c>
      <c r="AL607" s="96">
        <f t="shared" si="142"/>
        <v>65</v>
      </c>
      <c r="AM607" s="92"/>
      <c r="AN607" s="91"/>
      <c r="AO607" s="91"/>
    </row>
    <row r="608" spans="1:41" ht="14.5" x14ac:dyDescent="0.25">
      <c r="A608" s="92" t="s">
        <v>1132</v>
      </c>
      <c r="B608" s="91"/>
      <c r="C608" s="119" t="s">
        <v>1130</v>
      </c>
      <c r="D608" s="120" t="s">
        <v>1131</v>
      </c>
      <c r="E608" s="135" t="s">
        <v>287</v>
      </c>
      <c r="F608" s="135" t="s">
        <v>0</v>
      </c>
      <c r="G608" s="58" t="s">
        <v>1006</v>
      </c>
      <c r="H608" s="119">
        <v>336</v>
      </c>
      <c r="I608" s="119" t="s">
        <v>207</v>
      </c>
      <c r="J608" s="119" t="s">
        <v>8</v>
      </c>
      <c r="K608" s="120" t="s">
        <v>10</v>
      </c>
      <c r="L608" s="93" t="s">
        <v>3087</v>
      </c>
      <c r="M608" s="94" t="s">
        <v>3419</v>
      </c>
      <c r="N608" s="95" t="s">
        <v>51</v>
      </c>
      <c r="O608" s="146">
        <v>21</v>
      </c>
      <c r="P608" s="153">
        <f>1004/57*O608</f>
        <v>369.89473684210526</v>
      </c>
      <c r="Q608" s="122" t="s">
        <v>16</v>
      </c>
      <c r="R608" s="146">
        <v>4.7</v>
      </c>
      <c r="S608" s="95"/>
      <c r="T608" s="98"/>
      <c r="U608" s="125">
        <f>R608*P608+350/57*O608</f>
        <v>1867.4526315789476</v>
      </c>
      <c r="V608" s="113">
        <f t="shared" si="146"/>
        <v>5.5578947368421057</v>
      </c>
      <c r="W608" s="114">
        <f t="shared" si="147"/>
        <v>0.79398496240601513</v>
      </c>
      <c r="X608" s="95"/>
      <c r="Y608" s="95"/>
      <c r="Z608" s="102"/>
      <c r="AA608" s="103">
        <v>45794</v>
      </c>
      <c r="AB608" s="103">
        <v>45816</v>
      </c>
      <c r="AC608" s="103"/>
      <c r="AD608" s="102">
        <f>IF(ISNA(VLOOKUP(D608,亚马逊入库配置费!B:F,5,0)),0,VLOOKUP(D608,亚马逊入库配置费!B:F,5,0))</f>
        <v>0.49</v>
      </c>
      <c r="AE608" s="102">
        <f t="shared" si="138"/>
        <v>164.64</v>
      </c>
      <c r="AF608" s="103">
        <v>45822</v>
      </c>
      <c r="AG608" s="91">
        <f t="shared" si="139"/>
        <v>28</v>
      </c>
      <c r="AH608" s="103">
        <v>45822</v>
      </c>
      <c r="AI608" s="103">
        <v>45859</v>
      </c>
      <c r="AJ608" s="96">
        <v>336</v>
      </c>
      <c r="AK608" s="91">
        <f t="shared" si="140"/>
        <v>37</v>
      </c>
      <c r="AL608" s="96">
        <f t="shared" si="142"/>
        <v>65</v>
      </c>
      <c r="AM608" s="92"/>
      <c r="AN608" s="91"/>
      <c r="AO608" s="91"/>
    </row>
    <row r="609" spans="1:41" ht="14.5" x14ac:dyDescent="0.25">
      <c r="A609" s="92" t="s">
        <v>1133</v>
      </c>
      <c r="B609" s="91"/>
      <c r="C609" s="119" t="s">
        <v>1130</v>
      </c>
      <c r="D609" s="120" t="s">
        <v>1131</v>
      </c>
      <c r="E609" s="135" t="s">
        <v>287</v>
      </c>
      <c r="F609" s="135" t="s">
        <v>0</v>
      </c>
      <c r="G609" s="58" t="s">
        <v>886</v>
      </c>
      <c r="H609" s="119">
        <v>112</v>
      </c>
      <c r="I609" s="119" t="s">
        <v>207</v>
      </c>
      <c r="J609" s="119" t="s">
        <v>8</v>
      </c>
      <c r="K609" s="120" t="s">
        <v>10</v>
      </c>
      <c r="L609" s="93" t="s">
        <v>3085</v>
      </c>
      <c r="M609" s="94" t="s">
        <v>3403</v>
      </c>
      <c r="N609" s="95" t="s">
        <v>51</v>
      </c>
      <c r="O609" s="146">
        <v>7</v>
      </c>
      <c r="P609" s="153">
        <f>1004/57*O609</f>
        <v>123.29824561403508</v>
      </c>
      <c r="Q609" s="122" t="s">
        <v>16</v>
      </c>
      <c r="R609" s="146">
        <v>4.7</v>
      </c>
      <c r="S609" s="95"/>
      <c r="T609" s="98"/>
      <c r="U609" s="125">
        <f>R609*P609+350/57*O609</f>
        <v>622.48421052631579</v>
      </c>
      <c r="V609" s="113">
        <f t="shared" si="146"/>
        <v>5.5578947368421057</v>
      </c>
      <c r="W609" s="114">
        <f t="shared" si="147"/>
        <v>0.79398496240601513</v>
      </c>
      <c r="X609" s="95"/>
      <c r="Y609" s="95"/>
      <c r="Z609" s="102"/>
      <c r="AA609" s="103">
        <v>45794</v>
      </c>
      <c r="AB609" s="103">
        <v>45816</v>
      </c>
      <c r="AC609" s="103"/>
      <c r="AD609" s="102">
        <f>IF(ISNA(VLOOKUP(D609,亚马逊入库配置费!B:F,5,0)),0,VLOOKUP(D609,亚马逊入库配置费!B:F,5,0))</f>
        <v>0.49</v>
      </c>
      <c r="AE609" s="102">
        <f t="shared" si="138"/>
        <v>54.879999999999995</v>
      </c>
      <c r="AF609" s="103">
        <v>45822</v>
      </c>
      <c r="AG609" s="91">
        <f t="shared" si="139"/>
        <v>28</v>
      </c>
      <c r="AH609" s="103">
        <v>45822</v>
      </c>
      <c r="AI609" s="103">
        <v>45859</v>
      </c>
      <c r="AJ609" s="96">
        <v>112</v>
      </c>
      <c r="AK609" s="91">
        <f t="shared" si="140"/>
        <v>37</v>
      </c>
      <c r="AL609" s="96">
        <f t="shared" si="142"/>
        <v>65</v>
      </c>
      <c r="AM609" s="92"/>
      <c r="AN609" s="91"/>
      <c r="AO609" s="91"/>
    </row>
    <row r="610" spans="1:41" ht="14.5" x14ac:dyDescent="0.25">
      <c r="A610" s="92" t="s">
        <v>1134</v>
      </c>
      <c r="B610" s="91"/>
      <c r="C610" s="119" t="s">
        <v>303</v>
      </c>
      <c r="D610" s="120" t="s">
        <v>1135</v>
      </c>
      <c r="E610" s="135" t="s">
        <v>97</v>
      </c>
      <c r="F610" s="135" t="s">
        <v>0</v>
      </c>
      <c r="G610" s="58" t="s">
        <v>316</v>
      </c>
      <c r="H610" s="119">
        <v>630</v>
      </c>
      <c r="I610" s="119" t="s">
        <v>207</v>
      </c>
      <c r="J610" s="119" t="s">
        <v>8</v>
      </c>
      <c r="K610" s="120" t="s">
        <v>50</v>
      </c>
      <c r="L610" s="93" t="s">
        <v>3046</v>
      </c>
      <c r="M610" s="94" t="s">
        <v>3333</v>
      </c>
      <c r="N610" s="95" t="s">
        <v>3042</v>
      </c>
      <c r="O610" s="122">
        <v>7</v>
      </c>
      <c r="P610" s="153">
        <f>221/7*O610</f>
        <v>221</v>
      </c>
      <c r="Q610" s="122" t="s">
        <v>16</v>
      </c>
      <c r="R610" s="122">
        <v>5.8</v>
      </c>
      <c r="S610" s="95"/>
      <c r="T610" s="98"/>
      <c r="U610" s="125">
        <f>R610*P610</f>
        <v>1281.8</v>
      </c>
      <c r="V610" s="113">
        <f t="shared" si="146"/>
        <v>2.0346031746031747</v>
      </c>
      <c r="W610" s="114">
        <f t="shared" si="147"/>
        <v>0.2906575963718821</v>
      </c>
      <c r="X610" s="95"/>
      <c r="Y610" s="95"/>
      <c r="Z610" s="102"/>
      <c r="AA610" s="103">
        <v>45794</v>
      </c>
      <c r="AB610" s="103">
        <v>45818</v>
      </c>
      <c r="AC610" s="103"/>
      <c r="AD610" s="102">
        <f>IF(ISNA(VLOOKUP(D610,亚马逊入库配置费!B:F,5,0)),0,VLOOKUP(D610,亚马逊入库配置费!B:F,5,0))</f>
        <v>0.34</v>
      </c>
      <c r="AE610" s="102">
        <f t="shared" si="138"/>
        <v>214.20000000000002</v>
      </c>
      <c r="AF610" s="103">
        <v>45835</v>
      </c>
      <c r="AG610" s="91">
        <f t="shared" si="139"/>
        <v>41</v>
      </c>
      <c r="AH610" s="103">
        <v>45835</v>
      </c>
      <c r="AI610" s="103">
        <v>45861</v>
      </c>
      <c r="AJ610" s="96">
        <v>623</v>
      </c>
      <c r="AK610" s="91">
        <f t="shared" si="140"/>
        <v>26</v>
      </c>
      <c r="AL610" s="96">
        <f t="shared" si="142"/>
        <v>67</v>
      </c>
      <c r="AM610" s="92"/>
      <c r="AN610" s="91"/>
      <c r="AO610" s="91"/>
    </row>
    <row r="611" spans="1:41" ht="14.5" x14ac:dyDescent="0.25">
      <c r="A611" s="110" t="s">
        <v>1136</v>
      </c>
      <c r="B611" s="90"/>
      <c r="C611" s="126" t="s">
        <v>1137</v>
      </c>
      <c r="D611" s="127" t="s">
        <v>1138</v>
      </c>
      <c r="E611" s="155" t="s">
        <v>254</v>
      </c>
      <c r="F611" s="155" t="s">
        <v>1139</v>
      </c>
      <c r="G611" s="159" t="s">
        <v>142</v>
      </c>
      <c r="H611" s="126">
        <v>60</v>
      </c>
      <c r="I611" s="126" t="s">
        <v>502</v>
      </c>
      <c r="J611" s="160" t="s">
        <v>1140</v>
      </c>
      <c r="K611" s="127" t="s">
        <v>257</v>
      </c>
      <c r="L611" s="93" t="s">
        <v>3020</v>
      </c>
      <c r="M611" s="94" t="s">
        <v>3295</v>
      </c>
      <c r="N611" s="95" t="s">
        <v>2878</v>
      </c>
      <c r="O611" s="150">
        <v>2</v>
      </c>
      <c r="P611" s="97">
        <f t="shared" ref="P611:P619" si="152">1.96/41*O611</f>
        <v>9.5609756097560977E-2</v>
      </c>
      <c r="Q611" s="150" t="s">
        <v>3430</v>
      </c>
      <c r="R611" s="150">
        <v>760</v>
      </c>
      <c r="S611" s="108"/>
      <c r="T611" s="131"/>
      <c r="U611" s="157">
        <f t="shared" ref="U611:U619" si="153">(R611*P611)+(700/41*O611)</f>
        <v>106.80975609756098</v>
      </c>
      <c r="V611" s="100">
        <f t="shared" si="146"/>
        <v>1.7801626016260164</v>
      </c>
      <c r="W611" s="101">
        <f t="shared" si="147"/>
        <v>0.25430894308943092</v>
      </c>
      <c r="X611" s="108"/>
      <c r="Y611" s="108">
        <f t="shared" ref="Y611:Y619" si="154">1778.41/1550*H611</f>
        <v>68.841677419354838</v>
      </c>
      <c r="Z611" s="104" t="s">
        <v>476</v>
      </c>
      <c r="AA611" s="118">
        <v>45801</v>
      </c>
      <c r="AB611" s="118">
        <v>45844</v>
      </c>
      <c r="AC611" s="161"/>
      <c r="AD611" s="162">
        <f>IF(ISNA(VLOOKUP(D611,亚马逊入库配置费!B:F,5,0)),0,VLOOKUP(D611,亚马逊入库配置费!B:F,5,0))</f>
        <v>0</v>
      </c>
      <c r="AE611" s="162">
        <f t="shared" si="138"/>
        <v>0</v>
      </c>
      <c r="AF611" s="161">
        <v>45862</v>
      </c>
      <c r="AG611" s="143">
        <f t="shared" si="139"/>
        <v>61</v>
      </c>
      <c r="AH611" s="161">
        <v>45862</v>
      </c>
      <c r="AI611" s="161">
        <v>45877</v>
      </c>
      <c r="AJ611" s="117">
        <v>60</v>
      </c>
      <c r="AK611" s="143">
        <f t="shared" si="140"/>
        <v>15</v>
      </c>
      <c r="AL611" s="117">
        <f t="shared" si="142"/>
        <v>76</v>
      </c>
      <c r="AM611" s="116"/>
      <c r="AN611" s="143"/>
      <c r="AO611" s="143"/>
    </row>
    <row r="612" spans="1:41" ht="14.5" x14ac:dyDescent="0.25">
      <c r="A612" s="110" t="s">
        <v>1141</v>
      </c>
      <c r="B612" s="90"/>
      <c r="C612" s="126" t="s">
        <v>1137</v>
      </c>
      <c r="D612" s="127" t="s">
        <v>1138</v>
      </c>
      <c r="E612" s="155" t="s">
        <v>254</v>
      </c>
      <c r="F612" s="155" t="s">
        <v>1139</v>
      </c>
      <c r="G612" s="159" t="s">
        <v>163</v>
      </c>
      <c r="H612" s="126">
        <v>600</v>
      </c>
      <c r="I612" s="126" t="s">
        <v>502</v>
      </c>
      <c r="J612" s="160" t="s">
        <v>1140</v>
      </c>
      <c r="K612" s="127" t="s">
        <v>257</v>
      </c>
      <c r="L612" s="93" t="s">
        <v>2881</v>
      </c>
      <c r="M612" s="94" t="s">
        <v>3302</v>
      </c>
      <c r="N612" s="95" t="s">
        <v>2870</v>
      </c>
      <c r="O612" s="150">
        <v>15</v>
      </c>
      <c r="P612" s="97">
        <f t="shared" si="152"/>
        <v>0.71707317073170729</v>
      </c>
      <c r="Q612" s="150" t="s">
        <v>3430</v>
      </c>
      <c r="R612" s="150">
        <v>760</v>
      </c>
      <c r="S612" s="108"/>
      <c r="T612" s="131"/>
      <c r="U612" s="157">
        <f t="shared" si="153"/>
        <v>801.07317073170736</v>
      </c>
      <c r="V612" s="100">
        <f t="shared" si="146"/>
        <v>1.3351219512195123</v>
      </c>
      <c r="W612" s="101">
        <f t="shared" si="147"/>
        <v>0.19073170731707317</v>
      </c>
      <c r="X612" s="108"/>
      <c r="Y612" s="108">
        <f t="shared" si="154"/>
        <v>688.41677419354846</v>
      </c>
      <c r="Z612" s="104" t="s">
        <v>476</v>
      </c>
      <c r="AA612" s="118">
        <v>45801</v>
      </c>
      <c r="AB612" s="118">
        <v>45844</v>
      </c>
      <c r="AC612" s="161"/>
      <c r="AD612" s="162">
        <f>IF(ISNA(VLOOKUP(D612,亚马逊入库配置费!B:F,5,0)),0,VLOOKUP(D612,亚马逊入库配置费!B:F,5,0))</f>
        <v>0</v>
      </c>
      <c r="AE612" s="162">
        <f t="shared" si="138"/>
        <v>0</v>
      </c>
      <c r="AF612" s="161">
        <v>45862</v>
      </c>
      <c r="AG612" s="143">
        <f t="shared" si="139"/>
        <v>61</v>
      </c>
      <c r="AH612" s="161">
        <v>45862</v>
      </c>
      <c r="AI612" s="161">
        <v>45877</v>
      </c>
      <c r="AJ612" s="117">
        <v>600</v>
      </c>
      <c r="AK612" s="143">
        <f t="shared" si="140"/>
        <v>15</v>
      </c>
      <c r="AL612" s="117">
        <f t="shared" si="142"/>
        <v>76</v>
      </c>
      <c r="AM612" s="116"/>
      <c r="AN612" s="143"/>
      <c r="AO612" s="143"/>
    </row>
    <row r="613" spans="1:41" ht="14.5" x14ac:dyDescent="0.25">
      <c r="A613" s="110" t="s">
        <v>1142</v>
      </c>
      <c r="B613" s="90"/>
      <c r="C613" s="126" t="s">
        <v>1137</v>
      </c>
      <c r="D613" s="127" t="s">
        <v>1138</v>
      </c>
      <c r="E613" s="155" t="s">
        <v>254</v>
      </c>
      <c r="F613" s="155" t="s">
        <v>1139</v>
      </c>
      <c r="G613" s="159" t="s">
        <v>853</v>
      </c>
      <c r="H613" s="126">
        <v>40</v>
      </c>
      <c r="I613" s="126" t="s">
        <v>502</v>
      </c>
      <c r="J613" s="160" t="s">
        <v>1140</v>
      </c>
      <c r="K613" s="127" t="s">
        <v>257</v>
      </c>
      <c r="L613" s="93" t="s">
        <v>853</v>
      </c>
      <c r="M613" s="94" t="s">
        <v>3396</v>
      </c>
      <c r="N613" s="95" t="s">
        <v>2870</v>
      </c>
      <c r="O613" s="150">
        <v>1</v>
      </c>
      <c r="P613" s="97">
        <f t="shared" si="152"/>
        <v>4.7804878048780489E-2</v>
      </c>
      <c r="Q613" s="150" t="s">
        <v>3430</v>
      </c>
      <c r="R613" s="150">
        <v>760</v>
      </c>
      <c r="S613" s="108"/>
      <c r="T613" s="131"/>
      <c r="U613" s="157">
        <f t="shared" si="153"/>
        <v>53.404878048780489</v>
      </c>
      <c r="V613" s="100">
        <f t="shared" si="146"/>
        <v>1.3351219512195123</v>
      </c>
      <c r="W613" s="101">
        <f t="shared" si="147"/>
        <v>0.19073170731707317</v>
      </c>
      <c r="X613" s="108"/>
      <c r="Y613" s="108">
        <f t="shared" si="154"/>
        <v>45.894451612903225</v>
      </c>
      <c r="Z613" s="104" t="s">
        <v>476</v>
      </c>
      <c r="AA613" s="118">
        <v>45801</v>
      </c>
      <c r="AB613" s="118">
        <v>45844</v>
      </c>
      <c r="AC613" s="161"/>
      <c r="AD613" s="162">
        <f>IF(ISNA(VLOOKUP(D613,亚马逊入库配置费!B:F,5,0)),0,VLOOKUP(D613,亚马逊入库配置费!B:F,5,0))</f>
        <v>0</v>
      </c>
      <c r="AE613" s="162">
        <f t="shared" si="138"/>
        <v>0</v>
      </c>
      <c r="AF613" s="161">
        <v>45862</v>
      </c>
      <c r="AG613" s="143">
        <f t="shared" si="139"/>
        <v>61</v>
      </c>
      <c r="AH613" s="161">
        <v>45862</v>
      </c>
      <c r="AI613" s="161">
        <v>45877</v>
      </c>
      <c r="AJ613" s="117">
        <v>40</v>
      </c>
      <c r="AK613" s="143">
        <f t="shared" si="140"/>
        <v>15</v>
      </c>
      <c r="AL613" s="117">
        <f t="shared" si="142"/>
        <v>76</v>
      </c>
      <c r="AM613" s="116"/>
      <c r="AN613" s="143"/>
      <c r="AO613" s="143"/>
    </row>
    <row r="614" spans="1:41" ht="14.5" x14ac:dyDescent="0.25">
      <c r="A614" s="110" t="s">
        <v>1143</v>
      </c>
      <c r="B614" s="90"/>
      <c r="C614" s="126" t="s">
        <v>1137</v>
      </c>
      <c r="D614" s="127" t="s">
        <v>1138</v>
      </c>
      <c r="E614" s="155" t="s">
        <v>254</v>
      </c>
      <c r="F614" s="155" t="s">
        <v>1139</v>
      </c>
      <c r="G614" s="159" t="s">
        <v>350</v>
      </c>
      <c r="H614" s="126">
        <v>320</v>
      </c>
      <c r="I614" s="126" t="s">
        <v>502</v>
      </c>
      <c r="J614" s="160" t="s">
        <v>1140</v>
      </c>
      <c r="K614" s="127" t="s">
        <v>257</v>
      </c>
      <c r="L614" s="93" t="s">
        <v>3048</v>
      </c>
      <c r="M614" s="94" t="s">
        <v>3208</v>
      </c>
      <c r="N614" s="95" t="s">
        <v>2870</v>
      </c>
      <c r="O614" s="150">
        <v>8</v>
      </c>
      <c r="P614" s="97">
        <f t="shared" si="152"/>
        <v>0.38243902439024391</v>
      </c>
      <c r="Q614" s="150" t="s">
        <v>3430</v>
      </c>
      <c r="R614" s="150">
        <v>760</v>
      </c>
      <c r="S614" s="108"/>
      <c r="T614" s="131"/>
      <c r="U614" s="157">
        <f t="shared" si="153"/>
        <v>427.23902439024391</v>
      </c>
      <c r="V614" s="100">
        <f t="shared" si="146"/>
        <v>1.3351219512195123</v>
      </c>
      <c r="W614" s="101">
        <f t="shared" si="147"/>
        <v>0.19073170731707317</v>
      </c>
      <c r="X614" s="108"/>
      <c r="Y614" s="108">
        <f t="shared" si="154"/>
        <v>367.1556129032258</v>
      </c>
      <c r="Z614" s="104" t="s">
        <v>476</v>
      </c>
      <c r="AA614" s="118">
        <v>45801</v>
      </c>
      <c r="AB614" s="118">
        <v>45844</v>
      </c>
      <c r="AC614" s="161"/>
      <c r="AD614" s="162">
        <f>IF(ISNA(VLOOKUP(D614,亚马逊入库配置费!B:F,5,0)),0,VLOOKUP(D614,亚马逊入库配置费!B:F,5,0))</f>
        <v>0</v>
      </c>
      <c r="AE614" s="162">
        <f t="shared" si="138"/>
        <v>0</v>
      </c>
      <c r="AF614" s="161">
        <v>45862</v>
      </c>
      <c r="AG614" s="143">
        <f t="shared" si="139"/>
        <v>61</v>
      </c>
      <c r="AH614" s="161">
        <v>45862</v>
      </c>
      <c r="AI614" s="161">
        <v>45877</v>
      </c>
      <c r="AJ614" s="117">
        <v>320</v>
      </c>
      <c r="AK614" s="143">
        <f t="shared" si="140"/>
        <v>15</v>
      </c>
      <c r="AL614" s="117">
        <f t="shared" si="142"/>
        <v>76</v>
      </c>
      <c r="AM614" s="116"/>
      <c r="AN614" s="143"/>
      <c r="AO614" s="143"/>
    </row>
    <row r="615" spans="1:41" ht="14.5" x14ac:dyDescent="0.25">
      <c r="A615" s="110" t="s">
        <v>1144</v>
      </c>
      <c r="B615" s="90"/>
      <c r="C615" s="126" t="s">
        <v>1137</v>
      </c>
      <c r="D615" s="127" t="s">
        <v>1138</v>
      </c>
      <c r="E615" s="155" t="s">
        <v>254</v>
      </c>
      <c r="F615" s="155" t="s">
        <v>1139</v>
      </c>
      <c r="G615" s="159" t="s">
        <v>876</v>
      </c>
      <c r="H615" s="126">
        <v>40</v>
      </c>
      <c r="I615" s="126" t="s">
        <v>502</v>
      </c>
      <c r="J615" s="160" t="s">
        <v>1140</v>
      </c>
      <c r="K615" s="127" t="s">
        <v>257</v>
      </c>
      <c r="L615" s="93" t="s">
        <v>876</v>
      </c>
      <c r="M615" s="94" t="s">
        <v>3400</v>
      </c>
      <c r="N615" s="95" t="s">
        <v>2870</v>
      </c>
      <c r="O615" s="150">
        <v>1</v>
      </c>
      <c r="P615" s="97">
        <f t="shared" si="152"/>
        <v>4.7804878048780489E-2</v>
      </c>
      <c r="Q615" s="150" t="s">
        <v>3430</v>
      </c>
      <c r="R615" s="150">
        <v>760</v>
      </c>
      <c r="S615" s="108"/>
      <c r="T615" s="131"/>
      <c r="U615" s="157">
        <f t="shared" si="153"/>
        <v>53.404878048780489</v>
      </c>
      <c r="V615" s="100">
        <f t="shared" si="146"/>
        <v>1.3351219512195123</v>
      </c>
      <c r="W615" s="101">
        <f t="shared" si="147"/>
        <v>0.19073170731707317</v>
      </c>
      <c r="X615" s="108"/>
      <c r="Y615" s="108">
        <f t="shared" si="154"/>
        <v>45.894451612903225</v>
      </c>
      <c r="Z615" s="104" t="s">
        <v>476</v>
      </c>
      <c r="AA615" s="118">
        <v>45801</v>
      </c>
      <c r="AB615" s="118">
        <v>45844</v>
      </c>
      <c r="AC615" s="161"/>
      <c r="AD615" s="162">
        <f>IF(ISNA(VLOOKUP(D615,亚马逊入库配置费!B:F,5,0)),0,VLOOKUP(D615,亚马逊入库配置费!B:F,5,0))</f>
        <v>0</v>
      </c>
      <c r="AE615" s="162">
        <f t="shared" si="138"/>
        <v>0</v>
      </c>
      <c r="AF615" s="161">
        <v>45862</v>
      </c>
      <c r="AG615" s="143">
        <f t="shared" si="139"/>
        <v>61</v>
      </c>
      <c r="AH615" s="161">
        <v>45862</v>
      </c>
      <c r="AI615" s="161">
        <v>45877</v>
      </c>
      <c r="AJ615" s="117">
        <v>40</v>
      </c>
      <c r="AK615" s="143">
        <f t="shared" si="140"/>
        <v>15</v>
      </c>
      <c r="AL615" s="117">
        <f t="shared" si="142"/>
        <v>76</v>
      </c>
      <c r="AM615" s="116"/>
      <c r="AN615" s="143"/>
      <c r="AO615" s="143"/>
    </row>
    <row r="616" spans="1:41" ht="14.5" x14ac:dyDescent="0.25">
      <c r="A616" s="110" t="s">
        <v>1145</v>
      </c>
      <c r="B616" s="90"/>
      <c r="C616" s="126" t="s">
        <v>1137</v>
      </c>
      <c r="D616" s="127" t="s">
        <v>1138</v>
      </c>
      <c r="E616" s="155" t="s">
        <v>254</v>
      </c>
      <c r="F616" s="155" t="s">
        <v>1139</v>
      </c>
      <c r="G616" s="159" t="s">
        <v>165</v>
      </c>
      <c r="H616" s="126">
        <v>240</v>
      </c>
      <c r="I616" s="126" t="s">
        <v>502</v>
      </c>
      <c r="J616" s="160" t="s">
        <v>1140</v>
      </c>
      <c r="K616" s="127" t="s">
        <v>257</v>
      </c>
      <c r="L616" s="93" t="s">
        <v>2880</v>
      </c>
      <c r="M616" s="94" t="s">
        <v>3209</v>
      </c>
      <c r="N616" s="95" t="s">
        <v>2870</v>
      </c>
      <c r="O616" s="150">
        <v>6</v>
      </c>
      <c r="P616" s="97">
        <f t="shared" si="152"/>
        <v>0.28682926829268296</v>
      </c>
      <c r="Q616" s="150" t="s">
        <v>3430</v>
      </c>
      <c r="R616" s="150">
        <v>760</v>
      </c>
      <c r="S616" s="108"/>
      <c r="T616" s="131"/>
      <c r="U616" s="157">
        <f t="shared" si="153"/>
        <v>320.42926829268299</v>
      </c>
      <c r="V616" s="100">
        <f t="shared" si="146"/>
        <v>1.3351219512195125</v>
      </c>
      <c r="W616" s="101">
        <f t="shared" si="147"/>
        <v>0.1907317073170732</v>
      </c>
      <c r="X616" s="108"/>
      <c r="Y616" s="108">
        <f t="shared" si="154"/>
        <v>275.36670967741935</v>
      </c>
      <c r="Z616" s="104" t="s">
        <v>476</v>
      </c>
      <c r="AA616" s="118">
        <v>45801</v>
      </c>
      <c r="AB616" s="118">
        <v>45844</v>
      </c>
      <c r="AC616" s="161"/>
      <c r="AD616" s="162">
        <f>IF(ISNA(VLOOKUP(D616,亚马逊入库配置费!B:F,5,0)),0,VLOOKUP(D616,亚马逊入库配置费!B:F,5,0))</f>
        <v>0</v>
      </c>
      <c r="AE616" s="162">
        <f t="shared" si="138"/>
        <v>0</v>
      </c>
      <c r="AF616" s="161">
        <v>45862</v>
      </c>
      <c r="AG616" s="143">
        <f t="shared" si="139"/>
        <v>61</v>
      </c>
      <c r="AH616" s="161">
        <v>45862</v>
      </c>
      <c r="AI616" s="161">
        <v>45877</v>
      </c>
      <c r="AJ616" s="117">
        <v>240</v>
      </c>
      <c r="AK616" s="143">
        <f t="shared" si="140"/>
        <v>15</v>
      </c>
      <c r="AL616" s="117">
        <f t="shared" si="142"/>
        <v>76</v>
      </c>
      <c r="AM616" s="116"/>
      <c r="AN616" s="143"/>
      <c r="AO616" s="143"/>
    </row>
    <row r="617" spans="1:41" ht="14.5" x14ac:dyDescent="0.25">
      <c r="A617" s="110" t="s">
        <v>1146</v>
      </c>
      <c r="B617" s="90"/>
      <c r="C617" s="126" t="s">
        <v>1137</v>
      </c>
      <c r="D617" s="127" t="s">
        <v>1138</v>
      </c>
      <c r="E617" s="155" t="s">
        <v>254</v>
      </c>
      <c r="F617" s="155" t="s">
        <v>1139</v>
      </c>
      <c r="G617" s="159" t="s">
        <v>786</v>
      </c>
      <c r="H617" s="126">
        <v>40</v>
      </c>
      <c r="I617" s="126" t="s">
        <v>502</v>
      </c>
      <c r="J617" s="160" t="s">
        <v>1140</v>
      </c>
      <c r="K617" s="127" t="s">
        <v>257</v>
      </c>
      <c r="L617" s="93" t="s">
        <v>786</v>
      </c>
      <c r="M617" s="94" t="s">
        <v>3395</v>
      </c>
      <c r="N617" s="95" t="s">
        <v>2870</v>
      </c>
      <c r="O617" s="150">
        <v>1</v>
      </c>
      <c r="P617" s="97">
        <f t="shared" si="152"/>
        <v>4.7804878048780489E-2</v>
      </c>
      <c r="Q617" s="150" t="s">
        <v>3430</v>
      </c>
      <c r="R617" s="150">
        <v>760</v>
      </c>
      <c r="S617" s="108"/>
      <c r="T617" s="131"/>
      <c r="U617" s="157">
        <f t="shared" si="153"/>
        <v>53.404878048780489</v>
      </c>
      <c r="V617" s="100">
        <f t="shared" si="146"/>
        <v>1.3351219512195123</v>
      </c>
      <c r="W617" s="101">
        <f t="shared" si="147"/>
        <v>0.19073170731707317</v>
      </c>
      <c r="X617" s="108"/>
      <c r="Y617" s="108">
        <f t="shared" si="154"/>
        <v>45.894451612903225</v>
      </c>
      <c r="Z617" s="104" t="s">
        <v>476</v>
      </c>
      <c r="AA617" s="118">
        <v>45801</v>
      </c>
      <c r="AB617" s="118">
        <v>45844</v>
      </c>
      <c r="AC617" s="161"/>
      <c r="AD617" s="162">
        <f>IF(ISNA(VLOOKUP(D617,亚马逊入库配置费!B:F,5,0)),0,VLOOKUP(D617,亚马逊入库配置费!B:F,5,0))</f>
        <v>0</v>
      </c>
      <c r="AE617" s="162">
        <f t="shared" si="138"/>
        <v>0</v>
      </c>
      <c r="AF617" s="161">
        <v>45862</v>
      </c>
      <c r="AG617" s="143">
        <f t="shared" si="139"/>
        <v>61</v>
      </c>
      <c r="AH617" s="161">
        <v>45862</v>
      </c>
      <c r="AI617" s="161">
        <v>45877</v>
      </c>
      <c r="AJ617" s="117">
        <v>34</v>
      </c>
      <c r="AK617" s="143">
        <f t="shared" si="140"/>
        <v>15</v>
      </c>
      <c r="AL617" s="117">
        <f t="shared" si="142"/>
        <v>76</v>
      </c>
      <c r="AM617" s="116"/>
      <c r="AN617" s="143"/>
      <c r="AO617" s="143"/>
    </row>
    <row r="618" spans="1:41" ht="14.5" x14ac:dyDescent="0.25">
      <c r="A618" s="110" t="s">
        <v>1147</v>
      </c>
      <c r="B618" s="90"/>
      <c r="C618" s="126" t="s">
        <v>1137</v>
      </c>
      <c r="D618" s="127" t="s">
        <v>1138</v>
      </c>
      <c r="E618" s="155" t="s">
        <v>254</v>
      </c>
      <c r="F618" s="155" t="s">
        <v>1139</v>
      </c>
      <c r="G618" s="159" t="s">
        <v>171</v>
      </c>
      <c r="H618" s="126">
        <v>150</v>
      </c>
      <c r="I618" s="126" t="s">
        <v>502</v>
      </c>
      <c r="J618" s="160" t="s">
        <v>1140</v>
      </c>
      <c r="K618" s="127" t="s">
        <v>257</v>
      </c>
      <c r="L618" s="93" t="s">
        <v>3027</v>
      </c>
      <c r="M618" s="94" t="s">
        <v>3212</v>
      </c>
      <c r="N618" s="95" t="s">
        <v>2876</v>
      </c>
      <c r="O618" s="150">
        <v>5</v>
      </c>
      <c r="P618" s="97">
        <f t="shared" si="152"/>
        <v>0.23902439024390243</v>
      </c>
      <c r="Q618" s="150" t="s">
        <v>3430</v>
      </c>
      <c r="R618" s="150">
        <v>760</v>
      </c>
      <c r="S618" s="108"/>
      <c r="T618" s="131"/>
      <c r="U618" s="157">
        <f t="shared" si="153"/>
        <v>267.02439024390242</v>
      </c>
      <c r="V618" s="100">
        <f t="shared" si="146"/>
        <v>1.7801626016260161</v>
      </c>
      <c r="W618" s="101">
        <f t="shared" si="147"/>
        <v>0.25430894308943086</v>
      </c>
      <c r="X618" s="108"/>
      <c r="Y618" s="108">
        <f t="shared" si="154"/>
        <v>172.10419354838712</v>
      </c>
      <c r="Z618" s="104" t="s">
        <v>476</v>
      </c>
      <c r="AA618" s="118">
        <v>45801</v>
      </c>
      <c r="AB618" s="118">
        <v>45844</v>
      </c>
      <c r="AC618" s="161"/>
      <c r="AD618" s="162">
        <f>IF(ISNA(VLOOKUP(D618,亚马逊入库配置费!B:F,5,0)),0,VLOOKUP(D618,亚马逊入库配置费!B:F,5,0))</f>
        <v>0</v>
      </c>
      <c r="AE618" s="162">
        <f t="shared" si="138"/>
        <v>0</v>
      </c>
      <c r="AF618" s="161">
        <v>45862</v>
      </c>
      <c r="AG618" s="143">
        <f t="shared" si="139"/>
        <v>61</v>
      </c>
      <c r="AH618" s="161">
        <v>45862</v>
      </c>
      <c r="AI618" s="161">
        <v>45877</v>
      </c>
      <c r="AJ618" s="117">
        <v>150</v>
      </c>
      <c r="AK618" s="143">
        <f t="shared" si="140"/>
        <v>15</v>
      </c>
      <c r="AL618" s="117">
        <f t="shared" si="142"/>
        <v>76</v>
      </c>
      <c r="AM618" s="116"/>
      <c r="AN618" s="143"/>
      <c r="AO618" s="143"/>
    </row>
    <row r="619" spans="1:41" ht="14.5" x14ac:dyDescent="0.25">
      <c r="A619" s="110" t="s">
        <v>1148</v>
      </c>
      <c r="B619" s="90"/>
      <c r="C619" s="126" t="s">
        <v>1137</v>
      </c>
      <c r="D619" s="127" t="s">
        <v>1138</v>
      </c>
      <c r="E619" s="155" t="s">
        <v>254</v>
      </c>
      <c r="F619" s="155" t="s">
        <v>1139</v>
      </c>
      <c r="G619" s="159" t="s">
        <v>176</v>
      </c>
      <c r="H619" s="126">
        <v>60</v>
      </c>
      <c r="I619" s="126" t="s">
        <v>502</v>
      </c>
      <c r="J619" s="160" t="s">
        <v>1140</v>
      </c>
      <c r="K619" s="127" t="s">
        <v>257</v>
      </c>
      <c r="L619" s="93" t="s">
        <v>3029</v>
      </c>
      <c r="M619" s="94" t="s">
        <v>3306</v>
      </c>
      <c r="N619" s="95" t="s">
        <v>2876</v>
      </c>
      <c r="O619" s="150">
        <v>2</v>
      </c>
      <c r="P619" s="97">
        <f t="shared" si="152"/>
        <v>9.5609756097560977E-2</v>
      </c>
      <c r="Q619" s="150" t="s">
        <v>3430</v>
      </c>
      <c r="R619" s="150">
        <v>760</v>
      </c>
      <c r="S619" s="108"/>
      <c r="T619" s="131"/>
      <c r="U619" s="157">
        <f t="shared" si="153"/>
        <v>106.80975609756098</v>
      </c>
      <c r="V619" s="100">
        <f t="shared" si="146"/>
        <v>1.7801626016260164</v>
      </c>
      <c r="W619" s="101">
        <f t="shared" si="147"/>
        <v>0.25430894308943092</v>
      </c>
      <c r="X619" s="108"/>
      <c r="Y619" s="108">
        <f t="shared" si="154"/>
        <v>68.841677419354838</v>
      </c>
      <c r="Z619" s="104" t="s">
        <v>476</v>
      </c>
      <c r="AA619" s="118">
        <v>45801</v>
      </c>
      <c r="AB619" s="118">
        <v>45844</v>
      </c>
      <c r="AC619" s="161"/>
      <c r="AD619" s="162">
        <f>IF(ISNA(VLOOKUP(D619,亚马逊入库配置费!B:F,5,0)),0,VLOOKUP(D619,亚马逊入库配置费!B:F,5,0))</f>
        <v>0</v>
      </c>
      <c r="AE619" s="162">
        <f t="shared" si="138"/>
        <v>0</v>
      </c>
      <c r="AF619" s="161">
        <v>45862</v>
      </c>
      <c r="AG619" s="143">
        <f t="shared" si="139"/>
        <v>61</v>
      </c>
      <c r="AH619" s="161">
        <v>45862</v>
      </c>
      <c r="AI619" s="161">
        <v>45877</v>
      </c>
      <c r="AJ619" s="117">
        <v>60</v>
      </c>
      <c r="AK619" s="143">
        <f t="shared" si="140"/>
        <v>15</v>
      </c>
      <c r="AL619" s="117">
        <f t="shared" si="142"/>
        <v>76</v>
      </c>
      <c r="AM619" s="116"/>
      <c r="AN619" s="143"/>
      <c r="AO619" s="143"/>
    </row>
    <row r="620" spans="1:41" ht="14.5" x14ac:dyDescent="0.25">
      <c r="A620" s="92" t="s">
        <v>1149</v>
      </c>
      <c r="B620" s="91"/>
      <c r="C620" s="119" t="s">
        <v>1150</v>
      </c>
      <c r="D620" s="120" t="s">
        <v>1151</v>
      </c>
      <c r="E620" s="135" t="s">
        <v>97</v>
      </c>
      <c r="F620" s="135" t="s">
        <v>0</v>
      </c>
      <c r="G620" s="58" t="s">
        <v>228</v>
      </c>
      <c r="H620" s="119">
        <v>100</v>
      </c>
      <c r="I620" s="119" t="s">
        <v>207</v>
      </c>
      <c r="J620" s="119" t="s">
        <v>8</v>
      </c>
      <c r="K620" s="120" t="s">
        <v>15</v>
      </c>
      <c r="L620" s="93" t="s">
        <v>3036</v>
      </c>
      <c r="M620" s="94" t="s">
        <v>3315</v>
      </c>
      <c r="N620" s="95" t="s">
        <v>2870</v>
      </c>
      <c r="O620" s="122">
        <v>5</v>
      </c>
      <c r="P620" s="153">
        <f t="shared" ref="P620:P625" si="155">1165/83*O620</f>
        <v>70.180722891566262</v>
      </c>
      <c r="Q620" s="122" t="s">
        <v>16</v>
      </c>
      <c r="R620" s="122">
        <v>5</v>
      </c>
      <c r="S620" s="95"/>
      <c r="T620" s="98"/>
      <c r="U620" s="125">
        <f t="shared" ref="U620:U625" si="156">R620*P620+350/101*O620</f>
        <v>368.2303471310986</v>
      </c>
      <c r="V620" s="113">
        <f t="shared" si="146"/>
        <v>3.6823034713109859</v>
      </c>
      <c r="W620" s="114">
        <f t="shared" si="147"/>
        <v>0.52604335304442651</v>
      </c>
      <c r="X620" s="95"/>
      <c r="Y620" s="95"/>
      <c r="Z620" s="102"/>
      <c r="AA620" s="103">
        <v>45801</v>
      </c>
      <c r="AB620" s="103">
        <v>45822</v>
      </c>
      <c r="AC620" s="103"/>
      <c r="AD620" s="102">
        <f>IF(ISNA(VLOOKUP(D620,亚马逊入库配置费!B:F,5,0)),0,VLOOKUP(D620,亚马逊入库配置费!B:F,5,0))</f>
        <v>0.326369047619048</v>
      </c>
      <c r="AE620" s="102">
        <f t="shared" si="138"/>
        <v>32.636904761904802</v>
      </c>
      <c r="AF620" s="103">
        <v>45838</v>
      </c>
      <c r="AG620" s="91">
        <f t="shared" si="139"/>
        <v>37</v>
      </c>
      <c r="AH620" s="103">
        <v>45838</v>
      </c>
      <c r="AI620" s="103">
        <v>45881</v>
      </c>
      <c r="AJ620" s="96">
        <v>102</v>
      </c>
      <c r="AK620" s="91">
        <f t="shared" si="140"/>
        <v>43</v>
      </c>
      <c r="AL620" s="96">
        <f t="shared" si="142"/>
        <v>80</v>
      </c>
      <c r="AM620" s="92"/>
      <c r="AN620" s="91"/>
      <c r="AO620" s="91"/>
    </row>
    <row r="621" spans="1:41" ht="14.5" x14ac:dyDescent="0.25">
      <c r="A621" s="92" t="s">
        <v>1152</v>
      </c>
      <c r="B621" s="91"/>
      <c r="C621" s="119" t="s">
        <v>1150</v>
      </c>
      <c r="D621" s="120" t="s">
        <v>1151</v>
      </c>
      <c r="E621" s="135" t="s">
        <v>97</v>
      </c>
      <c r="F621" s="135" t="s">
        <v>0</v>
      </c>
      <c r="G621" s="58" t="s">
        <v>163</v>
      </c>
      <c r="H621" s="119">
        <v>2000</v>
      </c>
      <c r="I621" s="119" t="s">
        <v>207</v>
      </c>
      <c r="J621" s="119" t="s">
        <v>8</v>
      </c>
      <c r="K621" s="120" t="s">
        <v>15</v>
      </c>
      <c r="L621" s="93" t="s">
        <v>2881</v>
      </c>
      <c r="M621" s="94" t="s">
        <v>3302</v>
      </c>
      <c r="N621" s="95" t="s">
        <v>2870</v>
      </c>
      <c r="O621" s="122">
        <v>50</v>
      </c>
      <c r="P621" s="153">
        <f t="shared" si="155"/>
        <v>701.80722891566268</v>
      </c>
      <c r="Q621" s="122" t="s">
        <v>16</v>
      </c>
      <c r="R621" s="122">
        <v>5</v>
      </c>
      <c r="S621" s="95"/>
      <c r="T621" s="98"/>
      <c r="U621" s="125">
        <f t="shared" si="156"/>
        <v>3682.3034713109864</v>
      </c>
      <c r="V621" s="113">
        <f t="shared" si="146"/>
        <v>1.8411517356554932</v>
      </c>
      <c r="W621" s="114">
        <f t="shared" si="147"/>
        <v>0.26302167652221331</v>
      </c>
      <c r="X621" s="95"/>
      <c r="Y621" s="95"/>
      <c r="Z621" s="102"/>
      <c r="AA621" s="103">
        <v>45801</v>
      </c>
      <c r="AB621" s="103">
        <v>45822</v>
      </c>
      <c r="AC621" s="103"/>
      <c r="AD621" s="102">
        <f>IF(ISNA(VLOOKUP(D621,亚马逊入库配置费!B:F,5,0)),0,VLOOKUP(D621,亚马逊入库配置费!B:F,5,0))</f>
        <v>0.326369047619048</v>
      </c>
      <c r="AE621" s="102">
        <f t="shared" si="138"/>
        <v>652.73809523809598</v>
      </c>
      <c r="AF621" s="103">
        <v>45838</v>
      </c>
      <c r="AG621" s="91">
        <f t="shared" si="139"/>
        <v>37</v>
      </c>
      <c r="AH621" s="103">
        <v>45838</v>
      </c>
      <c r="AI621" s="103">
        <v>45881</v>
      </c>
      <c r="AJ621" s="96">
        <v>2048</v>
      </c>
      <c r="AK621" s="91">
        <f t="shared" si="140"/>
        <v>43</v>
      </c>
      <c r="AL621" s="96">
        <f t="shared" si="142"/>
        <v>80</v>
      </c>
      <c r="AM621" s="92"/>
      <c r="AN621" s="91"/>
      <c r="AO621" s="91"/>
    </row>
    <row r="622" spans="1:41" ht="14.5" x14ac:dyDescent="0.25">
      <c r="A622" s="92" t="s">
        <v>1153</v>
      </c>
      <c r="B622" s="91"/>
      <c r="C622" s="119" t="s">
        <v>1150</v>
      </c>
      <c r="D622" s="120" t="s">
        <v>1151</v>
      </c>
      <c r="E622" s="135" t="s">
        <v>97</v>
      </c>
      <c r="F622" s="135" t="s">
        <v>0</v>
      </c>
      <c r="G622" s="58" t="s">
        <v>853</v>
      </c>
      <c r="H622" s="119">
        <v>360</v>
      </c>
      <c r="I622" s="119" t="s">
        <v>207</v>
      </c>
      <c r="J622" s="119" t="s">
        <v>8</v>
      </c>
      <c r="K622" s="120" t="s">
        <v>15</v>
      </c>
      <c r="L622" s="93" t="s">
        <v>853</v>
      </c>
      <c r="M622" s="94" t="s">
        <v>3396</v>
      </c>
      <c r="N622" s="95" t="s">
        <v>2870</v>
      </c>
      <c r="O622" s="122">
        <v>9</v>
      </c>
      <c r="P622" s="153">
        <f t="shared" si="155"/>
        <v>126.32530120481928</v>
      </c>
      <c r="Q622" s="122" t="s">
        <v>16</v>
      </c>
      <c r="R622" s="122">
        <v>5</v>
      </c>
      <c r="S622" s="95"/>
      <c r="T622" s="98"/>
      <c r="U622" s="125">
        <f t="shared" si="156"/>
        <v>662.81462483597761</v>
      </c>
      <c r="V622" s="113">
        <f t="shared" si="146"/>
        <v>1.8411517356554934</v>
      </c>
      <c r="W622" s="114">
        <f t="shared" si="147"/>
        <v>0.26302167652221337</v>
      </c>
      <c r="X622" s="95"/>
      <c r="Y622" s="95"/>
      <c r="Z622" s="102"/>
      <c r="AA622" s="103">
        <v>45801</v>
      </c>
      <c r="AB622" s="103">
        <v>45822</v>
      </c>
      <c r="AC622" s="103"/>
      <c r="AD622" s="102">
        <f>IF(ISNA(VLOOKUP(D622,亚马逊入库配置费!B:F,5,0)),0,VLOOKUP(D622,亚马逊入库配置费!B:F,5,0))</f>
        <v>0.326369047619048</v>
      </c>
      <c r="AE622" s="102">
        <f t="shared" si="138"/>
        <v>117.49285714285728</v>
      </c>
      <c r="AF622" s="103">
        <v>45838</v>
      </c>
      <c r="AG622" s="91">
        <f t="shared" si="139"/>
        <v>37</v>
      </c>
      <c r="AH622" s="103">
        <v>45838</v>
      </c>
      <c r="AI622" s="103">
        <v>45881</v>
      </c>
      <c r="AJ622" s="96">
        <v>360</v>
      </c>
      <c r="AK622" s="91">
        <f t="shared" si="140"/>
        <v>43</v>
      </c>
      <c r="AL622" s="96">
        <f t="shared" si="142"/>
        <v>80</v>
      </c>
      <c r="AM622" s="92"/>
      <c r="AN622" s="91"/>
      <c r="AO622" s="91"/>
    </row>
    <row r="623" spans="1:41" ht="14.5" x14ac:dyDescent="0.25">
      <c r="A623" s="92" t="s">
        <v>1154</v>
      </c>
      <c r="B623" s="91"/>
      <c r="C623" s="119" t="s">
        <v>1150</v>
      </c>
      <c r="D623" s="120" t="s">
        <v>1151</v>
      </c>
      <c r="E623" s="135" t="s">
        <v>97</v>
      </c>
      <c r="F623" s="135" t="s">
        <v>0</v>
      </c>
      <c r="G623" s="58" t="s">
        <v>352</v>
      </c>
      <c r="H623" s="119">
        <v>200</v>
      </c>
      <c r="I623" s="119" t="s">
        <v>207</v>
      </c>
      <c r="J623" s="119" t="s">
        <v>8</v>
      </c>
      <c r="K623" s="120" t="s">
        <v>15</v>
      </c>
      <c r="L623" s="93" t="s">
        <v>3049</v>
      </c>
      <c r="M623" s="94" t="s">
        <v>3336</v>
      </c>
      <c r="N623" s="95" t="s">
        <v>2870</v>
      </c>
      <c r="O623" s="122">
        <v>5</v>
      </c>
      <c r="P623" s="153">
        <f t="shared" si="155"/>
        <v>70.180722891566262</v>
      </c>
      <c r="Q623" s="122" t="s">
        <v>16</v>
      </c>
      <c r="R623" s="122">
        <v>5</v>
      </c>
      <c r="S623" s="95"/>
      <c r="T623" s="98"/>
      <c r="U623" s="125">
        <f t="shared" si="156"/>
        <v>368.2303471310986</v>
      </c>
      <c r="V623" s="113">
        <f t="shared" si="146"/>
        <v>1.8411517356554929</v>
      </c>
      <c r="W623" s="114">
        <f t="shared" si="147"/>
        <v>0.26302167652221325</v>
      </c>
      <c r="X623" s="95"/>
      <c r="Y623" s="95"/>
      <c r="Z623" s="102"/>
      <c r="AA623" s="103">
        <v>45801</v>
      </c>
      <c r="AB623" s="103">
        <v>45822</v>
      </c>
      <c r="AC623" s="103"/>
      <c r="AD623" s="102">
        <f>IF(ISNA(VLOOKUP(D623,亚马逊入库配置费!B:F,5,0)),0,VLOOKUP(D623,亚马逊入库配置费!B:F,5,0))</f>
        <v>0.326369047619048</v>
      </c>
      <c r="AE623" s="102">
        <f t="shared" si="138"/>
        <v>65.273809523809604</v>
      </c>
      <c r="AF623" s="103">
        <v>45838</v>
      </c>
      <c r="AG623" s="91">
        <f t="shared" si="139"/>
        <v>37</v>
      </c>
      <c r="AH623" s="103">
        <v>45838</v>
      </c>
      <c r="AI623" s="103">
        <v>45881</v>
      </c>
      <c r="AJ623" s="96">
        <v>200</v>
      </c>
      <c r="AK623" s="91">
        <f t="shared" si="140"/>
        <v>43</v>
      </c>
      <c r="AL623" s="96">
        <f t="shared" si="142"/>
        <v>80</v>
      </c>
      <c r="AM623" s="92"/>
      <c r="AN623" s="91"/>
      <c r="AO623" s="91"/>
    </row>
    <row r="624" spans="1:41" ht="14.5" x14ac:dyDescent="0.25">
      <c r="A624" s="92" t="s">
        <v>1155</v>
      </c>
      <c r="B624" s="91"/>
      <c r="C624" s="119" t="s">
        <v>1150</v>
      </c>
      <c r="D624" s="120" t="s">
        <v>1151</v>
      </c>
      <c r="E624" s="135" t="s">
        <v>97</v>
      </c>
      <c r="F624" s="135" t="s">
        <v>0</v>
      </c>
      <c r="G624" s="58" t="s">
        <v>165</v>
      </c>
      <c r="H624" s="119">
        <v>400</v>
      </c>
      <c r="I624" s="119" t="s">
        <v>207</v>
      </c>
      <c r="J624" s="119" t="s">
        <v>8</v>
      </c>
      <c r="K624" s="120" t="s">
        <v>15</v>
      </c>
      <c r="L624" s="93" t="s">
        <v>2880</v>
      </c>
      <c r="M624" s="94" t="s">
        <v>3209</v>
      </c>
      <c r="N624" s="95" t="s">
        <v>2870</v>
      </c>
      <c r="O624" s="122">
        <v>10</v>
      </c>
      <c r="P624" s="153">
        <f t="shared" si="155"/>
        <v>140.36144578313252</v>
      </c>
      <c r="Q624" s="122" t="s">
        <v>16</v>
      </c>
      <c r="R624" s="122">
        <v>5</v>
      </c>
      <c r="S624" s="95"/>
      <c r="T624" s="98"/>
      <c r="U624" s="125">
        <f t="shared" si="156"/>
        <v>736.46069426219719</v>
      </c>
      <c r="V624" s="113">
        <f t="shared" si="146"/>
        <v>1.8411517356554929</v>
      </c>
      <c r="W624" s="114">
        <f t="shared" si="147"/>
        <v>0.26302167652221325</v>
      </c>
      <c r="X624" s="95"/>
      <c r="Y624" s="95"/>
      <c r="Z624" s="102"/>
      <c r="AA624" s="103">
        <v>45801</v>
      </c>
      <c r="AB624" s="103">
        <v>45822</v>
      </c>
      <c r="AC624" s="103"/>
      <c r="AD624" s="102">
        <f>IF(ISNA(VLOOKUP(D624,亚马逊入库配置费!B:F,5,0)),0,VLOOKUP(D624,亚马逊入库配置费!B:F,5,0))</f>
        <v>0.326369047619048</v>
      </c>
      <c r="AE624" s="102">
        <f t="shared" si="138"/>
        <v>130.54761904761921</v>
      </c>
      <c r="AF624" s="103">
        <v>45838</v>
      </c>
      <c r="AG624" s="91">
        <f t="shared" si="139"/>
        <v>37</v>
      </c>
      <c r="AH624" s="103">
        <v>45838</v>
      </c>
      <c r="AI624" s="103">
        <v>45881</v>
      </c>
      <c r="AJ624" s="96">
        <v>399</v>
      </c>
      <c r="AK624" s="91">
        <f t="shared" si="140"/>
        <v>43</v>
      </c>
      <c r="AL624" s="96">
        <f t="shared" si="142"/>
        <v>80</v>
      </c>
      <c r="AM624" s="92"/>
      <c r="AN624" s="91"/>
      <c r="AO624" s="91"/>
    </row>
    <row r="625" spans="1:41" ht="14.5" x14ac:dyDescent="0.25">
      <c r="A625" s="92" t="s">
        <v>1156</v>
      </c>
      <c r="B625" s="91"/>
      <c r="C625" s="119" t="s">
        <v>1150</v>
      </c>
      <c r="D625" s="120" t="s">
        <v>1151</v>
      </c>
      <c r="E625" s="135" t="s">
        <v>97</v>
      </c>
      <c r="F625" s="135" t="s">
        <v>0</v>
      </c>
      <c r="G625" s="58" t="s">
        <v>180</v>
      </c>
      <c r="H625" s="119">
        <v>120</v>
      </c>
      <c r="I625" s="119" t="s">
        <v>207</v>
      </c>
      <c r="J625" s="119" t="s">
        <v>8</v>
      </c>
      <c r="K625" s="120" t="s">
        <v>15</v>
      </c>
      <c r="L625" s="93" t="s">
        <v>3031</v>
      </c>
      <c r="M625" s="94" t="s">
        <v>3213</v>
      </c>
      <c r="N625" s="95" t="s">
        <v>2876</v>
      </c>
      <c r="O625" s="122">
        <v>4</v>
      </c>
      <c r="P625" s="153">
        <f t="shared" si="155"/>
        <v>56.144578313253014</v>
      </c>
      <c r="Q625" s="122" t="s">
        <v>16</v>
      </c>
      <c r="R625" s="122">
        <v>5</v>
      </c>
      <c r="S625" s="95"/>
      <c r="T625" s="98"/>
      <c r="U625" s="125">
        <f t="shared" si="156"/>
        <v>294.5842777048789</v>
      </c>
      <c r="V625" s="113">
        <f t="shared" si="146"/>
        <v>2.4548689808739907</v>
      </c>
      <c r="W625" s="114">
        <f t="shared" si="147"/>
        <v>0.35069556869628438</v>
      </c>
      <c r="X625" s="95"/>
      <c r="Y625" s="95"/>
      <c r="Z625" s="102"/>
      <c r="AA625" s="103">
        <v>45801</v>
      </c>
      <c r="AB625" s="103">
        <v>45822</v>
      </c>
      <c r="AC625" s="103"/>
      <c r="AD625" s="102">
        <f>IF(ISNA(VLOOKUP(D625,亚马逊入库配置费!B:F,5,0)),0,VLOOKUP(D625,亚马逊入库配置费!B:F,5,0))</f>
        <v>0.326369047619048</v>
      </c>
      <c r="AE625" s="102">
        <f t="shared" si="138"/>
        <v>39.164285714285761</v>
      </c>
      <c r="AF625" s="103">
        <v>45838</v>
      </c>
      <c r="AG625" s="91">
        <f t="shared" si="139"/>
        <v>37</v>
      </c>
      <c r="AH625" s="103">
        <v>45838</v>
      </c>
      <c r="AI625" s="103">
        <v>45881</v>
      </c>
      <c r="AJ625" s="96">
        <v>121</v>
      </c>
      <c r="AK625" s="91">
        <f t="shared" si="140"/>
        <v>43</v>
      </c>
      <c r="AL625" s="96">
        <f t="shared" si="142"/>
        <v>80</v>
      </c>
      <c r="AM625" s="92"/>
      <c r="AN625" s="91"/>
      <c r="AO625" s="91"/>
    </row>
    <row r="626" spans="1:41" ht="14.5" x14ac:dyDescent="0.25">
      <c r="A626" s="92" t="s">
        <v>1157</v>
      </c>
      <c r="B626" s="91"/>
      <c r="C626" s="119" t="s">
        <v>1158</v>
      </c>
      <c r="D626" s="120" t="s">
        <v>1159</v>
      </c>
      <c r="E626" s="135" t="s">
        <v>115</v>
      </c>
      <c r="F626" s="135" t="s">
        <v>0</v>
      </c>
      <c r="G626" s="58" t="s">
        <v>144</v>
      </c>
      <c r="H626" s="119">
        <v>90</v>
      </c>
      <c r="I626" s="119" t="s">
        <v>89</v>
      </c>
      <c r="J626" s="119" t="s">
        <v>8</v>
      </c>
      <c r="K626" s="120" t="s">
        <v>17</v>
      </c>
      <c r="L626" s="93" t="s">
        <v>3021</v>
      </c>
      <c r="M626" s="94" t="s">
        <v>3297</v>
      </c>
      <c r="N626" s="95" t="s">
        <v>2878</v>
      </c>
      <c r="O626" s="152">
        <v>3</v>
      </c>
      <c r="P626" s="153">
        <f>91/6*O626</f>
        <v>45.5</v>
      </c>
      <c r="Q626" s="122" t="s">
        <v>16</v>
      </c>
      <c r="R626" s="152">
        <v>7.3</v>
      </c>
      <c r="S626" s="95"/>
      <c r="T626" s="98"/>
      <c r="U626" s="125">
        <f>R626*P626+350/6*O626</f>
        <v>507.15</v>
      </c>
      <c r="V626" s="113">
        <f t="shared" si="146"/>
        <v>5.6349999999999998</v>
      </c>
      <c r="W626" s="114">
        <f t="shared" si="147"/>
        <v>0.80499999999999994</v>
      </c>
      <c r="X626" s="95"/>
      <c r="Y626" s="95"/>
      <c r="Z626" s="102"/>
      <c r="AA626" s="103">
        <v>45801</v>
      </c>
      <c r="AB626" s="103">
        <v>45822</v>
      </c>
      <c r="AC626" s="103"/>
      <c r="AD626" s="102">
        <f>IF(ISNA(VLOOKUP(D626,亚马逊入库配置费!B:F,5,0)),0,VLOOKUP(D626,亚马逊入库配置费!B:F,5,0))</f>
        <v>0.326369047619048</v>
      </c>
      <c r="AE626" s="102">
        <f t="shared" si="138"/>
        <v>29.373214285714319</v>
      </c>
      <c r="AF626" s="103">
        <v>45837</v>
      </c>
      <c r="AG626" s="91">
        <f t="shared" si="139"/>
        <v>36</v>
      </c>
      <c r="AH626" s="103">
        <v>45837</v>
      </c>
      <c r="AI626" s="103">
        <v>45863</v>
      </c>
      <c r="AJ626" s="96">
        <v>90</v>
      </c>
      <c r="AK626" s="91">
        <f t="shared" si="140"/>
        <v>26</v>
      </c>
      <c r="AL626" s="96">
        <f t="shared" si="142"/>
        <v>62</v>
      </c>
      <c r="AM626" s="92"/>
      <c r="AN626" s="91"/>
      <c r="AO626" s="91"/>
    </row>
    <row r="627" spans="1:41" ht="14.5" x14ac:dyDescent="0.25">
      <c r="A627" s="92" t="s">
        <v>1160</v>
      </c>
      <c r="B627" s="91"/>
      <c r="C627" s="119" t="s">
        <v>1158</v>
      </c>
      <c r="D627" s="120" t="s">
        <v>1159</v>
      </c>
      <c r="E627" s="135" t="s">
        <v>115</v>
      </c>
      <c r="F627" s="135" t="s">
        <v>0</v>
      </c>
      <c r="G627" s="58" t="s">
        <v>148</v>
      </c>
      <c r="H627" s="119">
        <v>90</v>
      </c>
      <c r="I627" s="119" t="s">
        <v>89</v>
      </c>
      <c r="J627" s="119" t="s">
        <v>8</v>
      </c>
      <c r="K627" s="120" t="s">
        <v>17</v>
      </c>
      <c r="L627" s="93" t="s">
        <v>3023</v>
      </c>
      <c r="M627" s="94" t="s">
        <v>3299</v>
      </c>
      <c r="N627" s="95" t="s">
        <v>2878</v>
      </c>
      <c r="O627" s="152">
        <v>3</v>
      </c>
      <c r="P627" s="153">
        <f>91/6*O627</f>
        <v>45.5</v>
      </c>
      <c r="Q627" s="122" t="s">
        <v>16</v>
      </c>
      <c r="R627" s="152">
        <v>7.3</v>
      </c>
      <c r="S627" s="95"/>
      <c r="T627" s="98"/>
      <c r="U627" s="125">
        <f>R627*P627+350/6*O627</f>
        <v>507.15</v>
      </c>
      <c r="V627" s="113">
        <f t="shared" si="146"/>
        <v>5.6349999999999998</v>
      </c>
      <c r="W627" s="114">
        <f t="shared" si="147"/>
        <v>0.80499999999999994</v>
      </c>
      <c r="X627" s="95"/>
      <c r="Y627" s="95"/>
      <c r="Z627" s="102"/>
      <c r="AA627" s="103">
        <v>45801</v>
      </c>
      <c r="AB627" s="103">
        <v>45822</v>
      </c>
      <c r="AC627" s="103"/>
      <c r="AD627" s="102">
        <f>IF(ISNA(VLOOKUP(D627,亚马逊入库配置费!B:F,5,0)),0,VLOOKUP(D627,亚马逊入库配置费!B:F,5,0))</f>
        <v>0.326369047619048</v>
      </c>
      <c r="AE627" s="102">
        <f t="shared" si="138"/>
        <v>29.373214285714319</v>
      </c>
      <c r="AF627" s="103">
        <v>45837</v>
      </c>
      <c r="AG627" s="91">
        <f t="shared" si="139"/>
        <v>36</v>
      </c>
      <c r="AH627" s="103">
        <v>45837</v>
      </c>
      <c r="AI627" s="103">
        <v>45863</v>
      </c>
      <c r="AJ627" s="96">
        <v>90</v>
      </c>
      <c r="AK627" s="91">
        <f t="shared" si="140"/>
        <v>26</v>
      </c>
      <c r="AL627" s="96">
        <f t="shared" si="142"/>
        <v>62</v>
      </c>
      <c r="AM627" s="92"/>
      <c r="AN627" s="91"/>
      <c r="AO627" s="91"/>
    </row>
    <row r="628" spans="1:41" ht="14.5" x14ac:dyDescent="0.25">
      <c r="A628" s="92" t="s">
        <v>1161</v>
      </c>
      <c r="B628" s="91"/>
      <c r="C628" s="119" t="s">
        <v>1162</v>
      </c>
      <c r="D628" s="120" t="s">
        <v>1163</v>
      </c>
      <c r="E628" s="135" t="s">
        <v>1164</v>
      </c>
      <c r="F628" s="135" t="s">
        <v>1165</v>
      </c>
      <c r="G628" s="58" t="s">
        <v>167</v>
      </c>
      <c r="H628" s="119">
        <v>90</v>
      </c>
      <c r="I628" s="119" t="s">
        <v>89</v>
      </c>
      <c r="J628" s="119" t="s">
        <v>1166</v>
      </c>
      <c r="K628" s="120" t="s">
        <v>1167</v>
      </c>
      <c r="L628" s="93" t="s">
        <v>3025</v>
      </c>
      <c r="M628" s="94" t="s">
        <v>3210</v>
      </c>
      <c r="N628" s="95" t="s">
        <v>2876</v>
      </c>
      <c r="O628" s="122">
        <v>3</v>
      </c>
      <c r="P628" s="153">
        <f t="shared" ref="P628:P637" si="157">1.49/31*O628</f>
        <v>0.14419354838709678</v>
      </c>
      <c r="Q628" s="122" t="s">
        <v>3264</v>
      </c>
      <c r="R628" s="122">
        <v>920</v>
      </c>
      <c r="S628" s="95"/>
      <c r="T628" s="98"/>
      <c r="U628" s="125">
        <f t="shared" ref="U628:U637" si="158">R628*P628+700/31*O628</f>
        <v>200.4</v>
      </c>
      <c r="V628" s="113">
        <f t="shared" si="146"/>
        <v>2.2266666666666666</v>
      </c>
      <c r="W628" s="114">
        <f t="shared" si="147"/>
        <v>0.3180952380952381</v>
      </c>
      <c r="X628" s="95"/>
      <c r="Y628" s="95">
        <f t="shared" ref="Y628:Y637" si="159">2651.15/1260*H628</f>
        <v>189.36785714285713</v>
      </c>
      <c r="Z628" s="112" t="s">
        <v>345</v>
      </c>
      <c r="AA628" s="103">
        <v>45801</v>
      </c>
      <c r="AB628" s="118">
        <v>45852</v>
      </c>
      <c r="AC628" s="103"/>
      <c r="AD628" s="102">
        <f>IF(ISNA(VLOOKUP(D628,亚马逊入库配置费!B:F,5,0)),0,VLOOKUP(D628,亚马逊入库配置费!B:F,5,0))</f>
        <v>0</v>
      </c>
      <c r="AE628" s="102">
        <f t="shared" si="138"/>
        <v>0</v>
      </c>
      <c r="AF628" s="103">
        <v>45865</v>
      </c>
      <c r="AG628" s="91">
        <f t="shared" si="139"/>
        <v>64</v>
      </c>
      <c r="AH628" s="103">
        <v>45865</v>
      </c>
      <c r="AI628" s="103">
        <v>45879</v>
      </c>
      <c r="AJ628" s="96">
        <v>90</v>
      </c>
      <c r="AK628" s="91">
        <f t="shared" si="140"/>
        <v>14</v>
      </c>
      <c r="AL628" s="96">
        <f t="shared" si="142"/>
        <v>78</v>
      </c>
      <c r="AM628" s="92"/>
      <c r="AN628" s="91"/>
      <c r="AO628" s="91"/>
    </row>
    <row r="629" spans="1:41" ht="14.5" x14ac:dyDescent="0.25">
      <c r="A629" s="92" t="s">
        <v>1168</v>
      </c>
      <c r="B629" s="91"/>
      <c r="C629" s="119" t="s">
        <v>1162</v>
      </c>
      <c r="D629" s="120" t="s">
        <v>1163</v>
      </c>
      <c r="E629" s="135" t="s">
        <v>1164</v>
      </c>
      <c r="F629" s="135" t="s">
        <v>1165</v>
      </c>
      <c r="G629" s="58" t="s">
        <v>169</v>
      </c>
      <c r="H629" s="119">
        <v>60</v>
      </c>
      <c r="I629" s="119" t="s">
        <v>89</v>
      </c>
      <c r="J629" s="119" t="s">
        <v>1166</v>
      </c>
      <c r="K629" s="120" t="s">
        <v>1167</v>
      </c>
      <c r="L629" s="93" t="s">
        <v>3026</v>
      </c>
      <c r="M629" s="94" t="s">
        <v>3211</v>
      </c>
      <c r="N629" s="95" t="s">
        <v>2876</v>
      </c>
      <c r="O629" s="122">
        <v>2</v>
      </c>
      <c r="P629" s="153">
        <f t="shared" si="157"/>
        <v>9.6129032258064517E-2</v>
      </c>
      <c r="Q629" s="122" t="s">
        <v>3264</v>
      </c>
      <c r="R629" s="122">
        <v>920</v>
      </c>
      <c r="S629" s="95"/>
      <c r="T629" s="98"/>
      <c r="U629" s="125">
        <f t="shared" si="158"/>
        <v>133.6</v>
      </c>
      <c r="V629" s="113">
        <f t="shared" si="146"/>
        <v>2.2266666666666666</v>
      </c>
      <c r="W629" s="114">
        <f t="shared" si="147"/>
        <v>0.3180952380952381</v>
      </c>
      <c r="X629" s="95"/>
      <c r="Y629" s="95">
        <f t="shared" si="159"/>
        <v>126.24523809523809</v>
      </c>
      <c r="Z629" s="112" t="s">
        <v>345</v>
      </c>
      <c r="AA629" s="103">
        <v>45801</v>
      </c>
      <c r="AB629" s="118">
        <v>45852</v>
      </c>
      <c r="AC629" s="103"/>
      <c r="AD629" s="102">
        <f>IF(ISNA(VLOOKUP(D629,亚马逊入库配置费!B:F,5,0)),0,VLOOKUP(D629,亚马逊入库配置费!B:F,5,0))</f>
        <v>0</v>
      </c>
      <c r="AE629" s="102">
        <f t="shared" si="138"/>
        <v>0</v>
      </c>
      <c r="AF629" s="103">
        <v>45865</v>
      </c>
      <c r="AG629" s="91">
        <f t="shared" si="139"/>
        <v>64</v>
      </c>
      <c r="AH629" s="103">
        <v>45865</v>
      </c>
      <c r="AI629" s="103">
        <v>45879</v>
      </c>
      <c r="AJ629" s="96">
        <v>59</v>
      </c>
      <c r="AK629" s="91">
        <f t="shared" si="140"/>
        <v>14</v>
      </c>
      <c r="AL629" s="96">
        <f t="shared" si="142"/>
        <v>78</v>
      </c>
      <c r="AM629" s="92"/>
      <c r="AN629" s="91"/>
      <c r="AO629" s="91"/>
    </row>
    <row r="630" spans="1:41" ht="14.5" x14ac:dyDescent="0.25">
      <c r="A630" s="92" t="s">
        <v>1169</v>
      </c>
      <c r="B630" s="91"/>
      <c r="C630" s="119" t="s">
        <v>1162</v>
      </c>
      <c r="D630" s="120" t="s">
        <v>1163</v>
      </c>
      <c r="E630" s="135" t="s">
        <v>1164</v>
      </c>
      <c r="F630" s="135" t="s">
        <v>1165</v>
      </c>
      <c r="G630" s="58" t="s">
        <v>171</v>
      </c>
      <c r="H630" s="119">
        <v>90</v>
      </c>
      <c r="I630" s="119" t="s">
        <v>89</v>
      </c>
      <c r="J630" s="119" t="s">
        <v>1166</v>
      </c>
      <c r="K630" s="120" t="s">
        <v>1167</v>
      </c>
      <c r="L630" s="93" t="s">
        <v>3027</v>
      </c>
      <c r="M630" s="94" t="s">
        <v>3212</v>
      </c>
      <c r="N630" s="95" t="s">
        <v>2876</v>
      </c>
      <c r="O630" s="122">
        <v>3</v>
      </c>
      <c r="P630" s="153">
        <f t="shared" si="157"/>
        <v>0.14419354838709678</v>
      </c>
      <c r="Q630" s="122" t="s">
        <v>3264</v>
      </c>
      <c r="R630" s="122">
        <v>920</v>
      </c>
      <c r="S630" s="95"/>
      <c r="T630" s="98"/>
      <c r="U630" s="125">
        <f t="shared" si="158"/>
        <v>200.4</v>
      </c>
      <c r="V630" s="113">
        <f t="shared" si="146"/>
        <v>2.2266666666666666</v>
      </c>
      <c r="W630" s="114">
        <f t="shared" si="147"/>
        <v>0.3180952380952381</v>
      </c>
      <c r="X630" s="95"/>
      <c r="Y630" s="95">
        <f t="shared" si="159"/>
        <v>189.36785714285713</v>
      </c>
      <c r="Z630" s="112" t="s">
        <v>345</v>
      </c>
      <c r="AA630" s="103">
        <v>45801</v>
      </c>
      <c r="AB630" s="118">
        <v>45852</v>
      </c>
      <c r="AC630" s="103"/>
      <c r="AD630" s="102">
        <f>IF(ISNA(VLOOKUP(D630,亚马逊入库配置费!B:F,5,0)),0,VLOOKUP(D630,亚马逊入库配置费!B:F,5,0))</f>
        <v>0</v>
      </c>
      <c r="AE630" s="102">
        <f t="shared" si="138"/>
        <v>0</v>
      </c>
      <c r="AF630" s="103">
        <v>45865</v>
      </c>
      <c r="AG630" s="91">
        <f t="shared" si="139"/>
        <v>64</v>
      </c>
      <c r="AH630" s="103">
        <v>45865</v>
      </c>
      <c r="AI630" s="103">
        <v>45879</v>
      </c>
      <c r="AJ630" s="96">
        <v>90</v>
      </c>
      <c r="AK630" s="91">
        <f t="shared" si="140"/>
        <v>14</v>
      </c>
      <c r="AL630" s="96">
        <f t="shared" si="142"/>
        <v>78</v>
      </c>
      <c r="AM630" s="92"/>
      <c r="AN630" s="91"/>
      <c r="AO630" s="91"/>
    </row>
    <row r="631" spans="1:41" ht="14.5" x14ac:dyDescent="0.25">
      <c r="A631" s="92" t="s">
        <v>1170</v>
      </c>
      <c r="B631" s="91"/>
      <c r="C631" s="119" t="s">
        <v>1162</v>
      </c>
      <c r="D631" s="120" t="s">
        <v>1163</v>
      </c>
      <c r="E631" s="135" t="s">
        <v>1164</v>
      </c>
      <c r="F631" s="135" t="s">
        <v>1165</v>
      </c>
      <c r="G631" s="58" t="s">
        <v>163</v>
      </c>
      <c r="H631" s="119">
        <v>400</v>
      </c>
      <c r="I631" s="119" t="s">
        <v>89</v>
      </c>
      <c r="J631" s="119" t="s">
        <v>1166</v>
      </c>
      <c r="K631" s="120" t="s">
        <v>1167</v>
      </c>
      <c r="L631" s="93" t="s">
        <v>2881</v>
      </c>
      <c r="M631" s="94" t="s">
        <v>3302</v>
      </c>
      <c r="N631" s="95" t="s">
        <v>2870</v>
      </c>
      <c r="O631" s="122">
        <v>10</v>
      </c>
      <c r="P631" s="153">
        <f t="shared" si="157"/>
        <v>0.48064516129032259</v>
      </c>
      <c r="Q631" s="122" t="s">
        <v>3264</v>
      </c>
      <c r="R631" s="122">
        <v>920</v>
      </c>
      <c r="S631" s="95"/>
      <c r="T631" s="98"/>
      <c r="U631" s="125">
        <f t="shared" si="158"/>
        <v>668</v>
      </c>
      <c r="V631" s="113">
        <f t="shared" si="146"/>
        <v>1.67</v>
      </c>
      <c r="W631" s="114">
        <f t="shared" si="147"/>
        <v>0.23857142857142857</v>
      </c>
      <c r="X631" s="95"/>
      <c r="Y631" s="95">
        <f t="shared" si="159"/>
        <v>841.6349206349206</v>
      </c>
      <c r="Z631" s="112" t="s">
        <v>345</v>
      </c>
      <c r="AA631" s="103">
        <v>45801</v>
      </c>
      <c r="AB631" s="103">
        <v>45852</v>
      </c>
      <c r="AC631" s="103"/>
      <c r="AD631" s="102">
        <f>IF(ISNA(VLOOKUP(D631,亚马逊入库配置费!B:F,5,0)),0,VLOOKUP(D631,亚马逊入库配置费!B:F,5,0))</f>
        <v>0</v>
      </c>
      <c r="AE631" s="102">
        <f t="shared" si="138"/>
        <v>0</v>
      </c>
      <c r="AF631" s="103">
        <v>45865</v>
      </c>
      <c r="AG631" s="91">
        <f t="shared" si="139"/>
        <v>64</v>
      </c>
      <c r="AH631" s="103">
        <v>45865</v>
      </c>
      <c r="AI631" s="103">
        <v>45879</v>
      </c>
      <c r="AJ631" s="96">
        <v>400</v>
      </c>
      <c r="AK631" s="91">
        <f t="shared" si="140"/>
        <v>14</v>
      </c>
      <c r="AL631" s="96">
        <f t="shared" si="142"/>
        <v>78</v>
      </c>
      <c r="AM631" s="92"/>
      <c r="AN631" s="91"/>
      <c r="AO631" s="91"/>
    </row>
    <row r="632" spans="1:41" ht="14.5" x14ac:dyDescent="0.25">
      <c r="A632" s="92" t="s">
        <v>1171</v>
      </c>
      <c r="B632" s="91"/>
      <c r="C632" s="119" t="s">
        <v>1162</v>
      </c>
      <c r="D632" s="120" t="s">
        <v>1163</v>
      </c>
      <c r="E632" s="135" t="s">
        <v>1164</v>
      </c>
      <c r="F632" s="135" t="s">
        <v>1165</v>
      </c>
      <c r="G632" s="58" t="s">
        <v>228</v>
      </c>
      <c r="H632" s="119">
        <v>60</v>
      </c>
      <c r="I632" s="119" t="s">
        <v>89</v>
      </c>
      <c r="J632" s="119" t="s">
        <v>1166</v>
      </c>
      <c r="K632" s="120" t="s">
        <v>1167</v>
      </c>
      <c r="L632" s="93" t="s">
        <v>3036</v>
      </c>
      <c r="M632" s="94" t="s">
        <v>3315</v>
      </c>
      <c r="N632" s="95" t="s">
        <v>2870</v>
      </c>
      <c r="O632" s="122">
        <v>3</v>
      </c>
      <c r="P632" s="153">
        <f t="shared" si="157"/>
        <v>0.14419354838709678</v>
      </c>
      <c r="Q632" s="122" t="s">
        <v>3264</v>
      </c>
      <c r="R632" s="122">
        <v>920</v>
      </c>
      <c r="S632" s="95"/>
      <c r="T632" s="98"/>
      <c r="U632" s="125">
        <f t="shared" si="158"/>
        <v>200.4</v>
      </c>
      <c r="V632" s="113">
        <f t="shared" si="146"/>
        <v>3.3400000000000003</v>
      </c>
      <c r="W632" s="114">
        <f t="shared" si="147"/>
        <v>0.4771428571428572</v>
      </c>
      <c r="X632" s="95"/>
      <c r="Y632" s="95">
        <f t="shared" si="159"/>
        <v>126.24523809523809</v>
      </c>
      <c r="Z632" s="112" t="s">
        <v>345</v>
      </c>
      <c r="AA632" s="103">
        <v>45801</v>
      </c>
      <c r="AB632" s="103">
        <v>45852</v>
      </c>
      <c r="AC632" s="103"/>
      <c r="AD632" s="102">
        <f>IF(ISNA(VLOOKUP(D632,亚马逊入库配置费!B:F,5,0)),0,VLOOKUP(D632,亚马逊入库配置费!B:F,5,0))</f>
        <v>0</v>
      </c>
      <c r="AE632" s="102">
        <f t="shared" si="138"/>
        <v>0</v>
      </c>
      <c r="AF632" s="103">
        <v>45865</v>
      </c>
      <c r="AG632" s="91">
        <f t="shared" si="139"/>
        <v>64</v>
      </c>
      <c r="AH632" s="103">
        <v>45865</v>
      </c>
      <c r="AI632" s="103">
        <v>45879</v>
      </c>
      <c r="AJ632" s="96">
        <v>60</v>
      </c>
      <c r="AK632" s="91">
        <f t="shared" si="140"/>
        <v>14</v>
      </c>
      <c r="AL632" s="96">
        <f t="shared" si="142"/>
        <v>78</v>
      </c>
      <c r="AM632" s="92"/>
      <c r="AN632" s="91"/>
      <c r="AO632" s="91"/>
    </row>
    <row r="633" spans="1:41" ht="14.5" x14ac:dyDescent="0.25">
      <c r="A633" s="92" t="s">
        <v>1172</v>
      </c>
      <c r="B633" s="91"/>
      <c r="C633" s="119" t="s">
        <v>1162</v>
      </c>
      <c r="D633" s="120" t="s">
        <v>1163</v>
      </c>
      <c r="E633" s="135" t="s">
        <v>1164</v>
      </c>
      <c r="F633" s="135" t="s">
        <v>1165</v>
      </c>
      <c r="G633" s="58" t="s">
        <v>350</v>
      </c>
      <c r="H633" s="119">
        <v>80</v>
      </c>
      <c r="I633" s="119" t="s">
        <v>89</v>
      </c>
      <c r="J633" s="119" t="s">
        <v>1166</v>
      </c>
      <c r="K633" s="120" t="s">
        <v>1167</v>
      </c>
      <c r="L633" s="93" t="s">
        <v>3048</v>
      </c>
      <c r="M633" s="94" t="s">
        <v>3208</v>
      </c>
      <c r="N633" s="95" t="s">
        <v>2870</v>
      </c>
      <c r="O633" s="122">
        <v>2</v>
      </c>
      <c r="P633" s="153">
        <f t="shared" si="157"/>
        <v>9.6129032258064517E-2</v>
      </c>
      <c r="Q633" s="122" t="s">
        <v>3264</v>
      </c>
      <c r="R633" s="122">
        <v>920</v>
      </c>
      <c r="S633" s="95"/>
      <c r="T633" s="98"/>
      <c r="U633" s="125">
        <f t="shared" si="158"/>
        <v>133.6</v>
      </c>
      <c r="V633" s="113">
        <f t="shared" si="146"/>
        <v>1.67</v>
      </c>
      <c r="W633" s="114">
        <f t="shared" si="147"/>
        <v>0.23857142857142857</v>
      </c>
      <c r="X633" s="95"/>
      <c r="Y633" s="95">
        <f t="shared" si="159"/>
        <v>168.32698412698414</v>
      </c>
      <c r="Z633" s="112" t="s">
        <v>345</v>
      </c>
      <c r="AA633" s="103">
        <v>45801</v>
      </c>
      <c r="AB633" s="103">
        <v>45852</v>
      </c>
      <c r="AC633" s="103"/>
      <c r="AD633" s="102">
        <f>IF(ISNA(VLOOKUP(D633,亚马逊入库配置费!B:F,5,0)),0,VLOOKUP(D633,亚马逊入库配置费!B:F,5,0))</f>
        <v>0</v>
      </c>
      <c r="AE633" s="102">
        <f t="shared" si="138"/>
        <v>0</v>
      </c>
      <c r="AF633" s="103">
        <v>45865</v>
      </c>
      <c r="AG633" s="91">
        <f t="shared" si="139"/>
        <v>64</v>
      </c>
      <c r="AH633" s="103">
        <v>45865</v>
      </c>
      <c r="AI633" s="103">
        <v>45879</v>
      </c>
      <c r="AJ633" s="96">
        <v>80</v>
      </c>
      <c r="AK633" s="91">
        <f t="shared" si="140"/>
        <v>14</v>
      </c>
      <c r="AL633" s="96">
        <f t="shared" si="142"/>
        <v>78</v>
      </c>
      <c r="AM633" s="92"/>
      <c r="AN633" s="91"/>
      <c r="AO633" s="91"/>
    </row>
    <row r="634" spans="1:41" ht="14.5" x14ac:dyDescent="0.25">
      <c r="A634" s="92" t="s">
        <v>1173</v>
      </c>
      <c r="B634" s="91"/>
      <c r="C634" s="119" t="s">
        <v>1162</v>
      </c>
      <c r="D634" s="120" t="s">
        <v>1163</v>
      </c>
      <c r="E634" s="135" t="s">
        <v>1164</v>
      </c>
      <c r="F634" s="135" t="s">
        <v>1165</v>
      </c>
      <c r="G634" s="58" t="s">
        <v>352</v>
      </c>
      <c r="H634" s="119">
        <v>80</v>
      </c>
      <c r="I634" s="119" t="s">
        <v>89</v>
      </c>
      <c r="J634" s="119" t="s">
        <v>1166</v>
      </c>
      <c r="K634" s="120" t="s">
        <v>1167</v>
      </c>
      <c r="L634" s="93" t="s">
        <v>3049</v>
      </c>
      <c r="M634" s="94" t="s">
        <v>3336</v>
      </c>
      <c r="N634" s="95" t="s">
        <v>2870</v>
      </c>
      <c r="O634" s="122">
        <v>2</v>
      </c>
      <c r="P634" s="153">
        <f t="shared" si="157"/>
        <v>9.6129032258064517E-2</v>
      </c>
      <c r="Q634" s="122" t="s">
        <v>3264</v>
      </c>
      <c r="R634" s="122">
        <v>920</v>
      </c>
      <c r="S634" s="95"/>
      <c r="T634" s="98"/>
      <c r="U634" s="125">
        <f t="shared" si="158"/>
        <v>133.6</v>
      </c>
      <c r="V634" s="113">
        <f t="shared" si="146"/>
        <v>1.67</v>
      </c>
      <c r="W634" s="114">
        <f t="shared" si="147"/>
        <v>0.23857142857142857</v>
      </c>
      <c r="X634" s="95"/>
      <c r="Y634" s="95">
        <f t="shared" si="159"/>
        <v>168.32698412698414</v>
      </c>
      <c r="Z634" s="112" t="s">
        <v>345</v>
      </c>
      <c r="AA634" s="103">
        <v>45801</v>
      </c>
      <c r="AB634" s="103">
        <v>45852</v>
      </c>
      <c r="AC634" s="103"/>
      <c r="AD634" s="102">
        <f>IF(ISNA(VLOOKUP(D634,亚马逊入库配置费!B:F,5,0)),0,VLOOKUP(D634,亚马逊入库配置费!B:F,5,0))</f>
        <v>0</v>
      </c>
      <c r="AE634" s="102">
        <f t="shared" si="138"/>
        <v>0</v>
      </c>
      <c r="AF634" s="103">
        <v>45865</v>
      </c>
      <c r="AG634" s="91">
        <f t="shared" si="139"/>
        <v>64</v>
      </c>
      <c r="AH634" s="103">
        <v>45865</v>
      </c>
      <c r="AI634" s="103">
        <v>45879</v>
      </c>
      <c r="AJ634" s="96">
        <v>80</v>
      </c>
      <c r="AK634" s="91">
        <f t="shared" si="140"/>
        <v>14</v>
      </c>
      <c r="AL634" s="96">
        <f t="shared" si="142"/>
        <v>78</v>
      </c>
      <c r="AM634" s="92"/>
      <c r="AN634" s="91"/>
      <c r="AO634" s="91"/>
    </row>
    <row r="635" spans="1:41" ht="14.5" x14ac:dyDescent="0.25">
      <c r="A635" s="92" t="s">
        <v>1174</v>
      </c>
      <c r="B635" s="91"/>
      <c r="C635" s="119" t="s">
        <v>1162</v>
      </c>
      <c r="D635" s="120" t="s">
        <v>1163</v>
      </c>
      <c r="E635" s="135" t="s">
        <v>1164</v>
      </c>
      <c r="F635" s="135" t="s">
        <v>1165</v>
      </c>
      <c r="G635" s="58" t="s">
        <v>165</v>
      </c>
      <c r="H635" s="119">
        <v>200</v>
      </c>
      <c r="I635" s="119" t="s">
        <v>89</v>
      </c>
      <c r="J635" s="119" t="s">
        <v>1166</v>
      </c>
      <c r="K635" s="120" t="s">
        <v>1167</v>
      </c>
      <c r="L635" s="93" t="s">
        <v>2880</v>
      </c>
      <c r="M635" s="94" t="s">
        <v>3209</v>
      </c>
      <c r="N635" s="95" t="s">
        <v>2870</v>
      </c>
      <c r="O635" s="122">
        <v>5</v>
      </c>
      <c r="P635" s="153">
        <f t="shared" si="157"/>
        <v>0.24032258064516129</v>
      </c>
      <c r="Q635" s="122" t="s">
        <v>3264</v>
      </c>
      <c r="R635" s="122">
        <v>920</v>
      </c>
      <c r="S635" s="95"/>
      <c r="T635" s="98"/>
      <c r="U635" s="125">
        <f t="shared" si="158"/>
        <v>334</v>
      </c>
      <c r="V635" s="113">
        <f t="shared" si="146"/>
        <v>1.67</v>
      </c>
      <c r="W635" s="114">
        <f t="shared" si="147"/>
        <v>0.23857142857142857</v>
      </c>
      <c r="X635" s="95"/>
      <c r="Y635" s="95">
        <f t="shared" si="159"/>
        <v>420.8174603174603</v>
      </c>
      <c r="Z635" s="112" t="s">
        <v>345</v>
      </c>
      <c r="AA635" s="103">
        <v>45801</v>
      </c>
      <c r="AB635" s="103">
        <v>45852</v>
      </c>
      <c r="AC635" s="103"/>
      <c r="AD635" s="102">
        <f>IF(ISNA(VLOOKUP(D635,亚马逊入库配置费!B:F,5,0)),0,VLOOKUP(D635,亚马逊入库配置费!B:F,5,0))</f>
        <v>0</v>
      </c>
      <c r="AE635" s="102">
        <f t="shared" si="138"/>
        <v>0</v>
      </c>
      <c r="AF635" s="103">
        <v>45865</v>
      </c>
      <c r="AG635" s="91">
        <f t="shared" si="139"/>
        <v>64</v>
      </c>
      <c r="AH635" s="103">
        <v>45865</v>
      </c>
      <c r="AI635" s="103">
        <v>45879</v>
      </c>
      <c r="AJ635" s="96">
        <v>199</v>
      </c>
      <c r="AK635" s="91">
        <f t="shared" si="140"/>
        <v>14</v>
      </c>
      <c r="AL635" s="96">
        <f t="shared" si="142"/>
        <v>78</v>
      </c>
      <c r="AM635" s="92"/>
      <c r="AN635" s="91"/>
      <c r="AO635" s="91"/>
    </row>
    <row r="636" spans="1:41" ht="14.5" x14ac:dyDescent="0.25">
      <c r="A636" s="92" t="s">
        <v>1175</v>
      </c>
      <c r="B636" s="91"/>
      <c r="C636" s="119" t="s">
        <v>1162</v>
      </c>
      <c r="D636" s="120" t="s">
        <v>1163</v>
      </c>
      <c r="E636" s="135" t="s">
        <v>1164</v>
      </c>
      <c r="F636" s="135" t="s">
        <v>1165</v>
      </c>
      <c r="G636" s="58" t="s">
        <v>355</v>
      </c>
      <c r="H636" s="119">
        <v>130</v>
      </c>
      <c r="I636" s="119" t="s">
        <v>89</v>
      </c>
      <c r="J636" s="119" t="s">
        <v>1166</v>
      </c>
      <c r="K636" s="120" t="s">
        <v>1167</v>
      </c>
      <c r="L636" s="93" t="s">
        <v>2712</v>
      </c>
      <c r="M636" s="94" t="s">
        <v>3216</v>
      </c>
      <c r="N636" s="95" t="s">
        <v>3050</v>
      </c>
      <c r="O636" s="122">
        <v>0.5</v>
      </c>
      <c r="P636" s="153">
        <f t="shared" si="157"/>
        <v>2.4032258064516129E-2</v>
      </c>
      <c r="Q636" s="122" t="s">
        <v>3264</v>
      </c>
      <c r="R636" s="122">
        <v>920</v>
      </c>
      <c r="S636" s="95"/>
      <c r="T636" s="98"/>
      <c r="U636" s="125">
        <f t="shared" si="158"/>
        <v>33.4</v>
      </c>
      <c r="V636" s="113">
        <f t="shared" si="146"/>
        <v>0.25692307692307692</v>
      </c>
      <c r="W636" s="114">
        <f t="shared" si="147"/>
        <v>3.6703296703296702E-2</v>
      </c>
      <c r="X636" s="95"/>
      <c r="Y636" s="95">
        <f t="shared" si="159"/>
        <v>273.5313492063492</v>
      </c>
      <c r="Z636" s="112" t="s">
        <v>345</v>
      </c>
      <c r="AA636" s="103">
        <v>45801</v>
      </c>
      <c r="AB636" s="103">
        <v>45852</v>
      </c>
      <c r="AC636" s="103"/>
      <c r="AD636" s="102">
        <f>IF(ISNA(VLOOKUP(D636,亚马逊入库配置费!B:F,5,0)),0,VLOOKUP(D636,亚马逊入库配置费!B:F,5,0))</f>
        <v>0</v>
      </c>
      <c r="AE636" s="102">
        <f t="shared" si="138"/>
        <v>0</v>
      </c>
      <c r="AF636" s="103">
        <v>45865</v>
      </c>
      <c r="AG636" s="91">
        <f t="shared" si="139"/>
        <v>64</v>
      </c>
      <c r="AH636" s="103">
        <v>45865</v>
      </c>
      <c r="AI636" s="103">
        <v>45879</v>
      </c>
      <c r="AJ636" s="96">
        <v>130</v>
      </c>
      <c r="AK636" s="91">
        <f t="shared" si="140"/>
        <v>14</v>
      </c>
      <c r="AL636" s="96">
        <f t="shared" si="142"/>
        <v>78</v>
      </c>
      <c r="AM636" s="92"/>
      <c r="AN636" s="91"/>
      <c r="AO636" s="91"/>
    </row>
    <row r="637" spans="1:41" ht="14.5" x14ac:dyDescent="0.25">
      <c r="A637" s="92" t="s">
        <v>1176</v>
      </c>
      <c r="B637" s="91"/>
      <c r="C637" s="119" t="s">
        <v>1162</v>
      </c>
      <c r="D637" s="120" t="s">
        <v>1163</v>
      </c>
      <c r="E637" s="135" t="s">
        <v>1164</v>
      </c>
      <c r="F637" s="135" t="s">
        <v>1165</v>
      </c>
      <c r="G637" s="58" t="s">
        <v>357</v>
      </c>
      <c r="H637" s="119">
        <v>70</v>
      </c>
      <c r="I637" s="119" t="s">
        <v>89</v>
      </c>
      <c r="J637" s="119" t="s">
        <v>1166</v>
      </c>
      <c r="K637" s="120" t="s">
        <v>1167</v>
      </c>
      <c r="L637" s="93" t="s">
        <v>3051</v>
      </c>
      <c r="M637" s="94" t="s">
        <v>3337</v>
      </c>
      <c r="N637" s="95" t="s">
        <v>3050</v>
      </c>
      <c r="O637" s="122">
        <v>0.5</v>
      </c>
      <c r="P637" s="153">
        <f t="shared" si="157"/>
        <v>2.4032258064516129E-2</v>
      </c>
      <c r="Q637" s="122" t="s">
        <v>3264</v>
      </c>
      <c r="R637" s="122">
        <v>920</v>
      </c>
      <c r="S637" s="95"/>
      <c r="T637" s="98"/>
      <c r="U637" s="125">
        <f t="shared" si="158"/>
        <v>33.4</v>
      </c>
      <c r="V637" s="113">
        <f t="shared" si="146"/>
        <v>0.47714285714285715</v>
      </c>
      <c r="W637" s="114">
        <f t="shared" si="147"/>
        <v>6.8163265306122447E-2</v>
      </c>
      <c r="X637" s="95"/>
      <c r="Y637" s="95">
        <f t="shared" si="159"/>
        <v>147.28611111111113</v>
      </c>
      <c r="Z637" s="112" t="s">
        <v>345</v>
      </c>
      <c r="AA637" s="103">
        <v>45801</v>
      </c>
      <c r="AB637" s="103">
        <v>45852</v>
      </c>
      <c r="AC637" s="103"/>
      <c r="AD637" s="102">
        <f>IF(ISNA(VLOOKUP(D637,亚马逊入库配置费!B:F,5,0)),0,VLOOKUP(D637,亚马逊入库配置费!B:F,5,0))</f>
        <v>0</v>
      </c>
      <c r="AE637" s="102">
        <f t="shared" si="138"/>
        <v>0</v>
      </c>
      <c r="AF637" s="103">
        <v>45865</v>
      </c>
      <c r="AG637" s="91">
        <f t="shared" si="139"/>
        <v>64</v>
      </c>
      <c r="AH637" s="103">
        <v>45865</v>
      </c>
      <c r="AI637" s="103">
        <v>45879</v>
      </c>
      <c r="AJ637" s="96">
        <v>70</v>
      </c>
      <c r="AK637" s="91">
        <f t="shared" si="140"/>
        <v>14</v>
      </c>
      <c r="AL637" s="96">
        <f t="shared" si="142"/>
        <v>78</v>
      </c>
      <c r="AM637" s="92"/>
      <c r="AN637" s="91"/>
      <c r="AO637" s="91"/>
    </row>
    <row r="638" spans="1:41" ht="14.5" x14ac:dyDescent="0.25">
      <c r="A638" s="92" t="s">
        <v>1177</v>
      </c>
      <c r="B638" s="91"/>
      <c r="C638" s="119" t="s">
        <v>1150</v>
      </c>
      <c r="D638" s="120" t="s">
        <v>1178</v>
      </c>
      <c r="E638" s="135" t="s">
        <v>287</v>
      </c>
      <c r="F638" s="135" t="s">
        <v>0</v>
      </c>
      <c r="G638" s="58" t="s">
        <v>284</v>
      </c>
      <c r="H638" s="119">
        <v>288</v>
      </c>
      <c r="I638" s="119" t="s">
        <v>207</v>
      </c>
      <c r="J638" s="119" t="s">
        <v>8</v>
      </c>
      <c r="K638" s="120" t="s">
        <v>11</v>
      </c>
      <c r="L638" s="93" t="s">
        <v>3039</v>
      </c>
      <c r="M638" s="94" t="s">
        <v>3323</v>
      </c>
      <c r="N638" s="95" t="s">
        <v>2915</v>
      </c>
      <c r="O638" s="146">
        <v>18</v>
      </c>
      <c r="P638" s="153">
        <f>270/18*O638</f>
        <v>270</v>
      </c>
      <c r="Q638" s="122" t="s">
        <v>16</v>
      </c>
      <c r="R638" s="146">
        <v>5.3</v>
      </c>
      <c r="S638" s="95"/>
      <c r="T638" s="98"/>
      <c r="U638" s="125">
        <f>R638*P638+350/101*O638</f>
        <v>1493.3762376237623</v>
      </c>
      <c r="V638" s="113">
        <f t="shared" si="146"/>
        <v>5.1853341584158414</v>
      </c>
      <c r="W638" s="114">
        <f t="shared" si="147"/>
        <v>0.74076202263083446</v>
      </c>
      <c r="X638" s="95"/>
      <c r="Y638" s="95"/>
      <c r="Z638" s="102"/>
      <c r="AA638" s="103">
        <v>45801</v>
      </c>
      <c r="AB638" s="103">
        <v>45822</v>
      </c>
      <c r="AC638" s="103"/>
      <c r="AD638" s="102">
        <f>IF(ISNA(VLOOKUP(D638,亚马逊入库配置费!B:F,5,0)),0,VLOOKUP(D638,亚马逊入库配置费!B:F,5,0))</f>
        <v>0.49</v>
      </c>
      <c r="AE638" s="102">
        <f t="shared" si="138"/>
        <v>141.12</v>
      </c>
      <c r="AF638" s="103">
        <v>45831</v>
      </c>
      <c r="AG638" s="91">
        <f t="shared" si="139"/>
        <v>30</v>
      </c>
      <c r="AH638" s="103">
        <v>45831</v>
      </c>
      <c r="AI638" s="103">
        <v>45862</v>
      </c>
      <c r="AJ638" s="96">
        <v>288</v>
      </c>
      <c r="AK638" s="91">
        <f t="shared" si="140"/>
        <v>31</v>
      </c>
      <c r="AL638" s="96">
        <f t="shared" si="142"/>
        <v>61</v>
      </c>
      <c r="AM638" s="92"/>
      <c r="AN638" s="91"/>
      <c r="AO638" s="91"/>
    </row>
    <row r="639" spans="1:41" ht="14.5" x14ac:dyDescent="0.25">
      <c r="A639" s="92" t="s">
        <v>1179</v>
      </c>
      <c r="B639" s="91"/>
      <c r="C639" s="119" t="s">
        <v>1180</v>
      </c>
      <c r="D639" s="120" t="s">
        <v>1181</v>
      </c>
      <c r="E639" s="135" t="s">
        <v>278</v>
      </c>
      <c r="F639" s="135" t="s">
        <v>87</v>
      </c>
      <c r="G639" s="58" t="s">
        <v>282</v>
      </c>
      <c r="H639" s="119">
        <v>272</v>
      </c>
      <c r="I639" s="119" t="s">
        <v>207</v>
      </c>
      <c r="J639" s="119" t="s">
        <v>90</v>
      </c>
      <c r="K639" s="120" t="s">
        <v>280</v>
      </c>
      <c r="L639" s="93" t="s">
        <v>2783</v>
      </c>
      <c r="M639" s="94" t="s">
        <v>3322</v>
      </c>
      <c r="N639" s="95" t="s">
        <v>2785</v>
      </c>
      <c r="O639" s="122">
        <v>17</v>
      </c>
      <c r="P639" s="153">
        <f>255/17*O639</f>
        <v>255</v>
      </c>
      <c r="Q639" s="122" t="s">
        <v>16</v>
      </c>
      <c r="R639" s="122">
        <v>6.1</v>
      </c>
      <c r="S639" s="95"/>
      <c r="T639" s="98"/>
      <c r="U639" s="125">
        <f>R639*P639+350</f>
        <v>1905.5</v>
      </c>
      <c r="V639" s="113">
        <f t="shared" si="146"/>
        <v>7.0055147058823533</v>
      </c>
      <c r="W639" s="114">
        <f t="shared" si="147"/>
        <v>1.0007878151260505</v>
      </c>
      <c r="X639" s="95"/>
      <c r="Y639" s="95"/>
      <c r="Z639" s="102"/>
      <c r="AA639" s="103">
        <v>45801</v>
      </c>
      <c r="AB639" s="103">
        <v>45822</v>
      </c>
      <c r="AC639" s="103"/>
      <c r="AD639" s="102">
        <f>IF(ISNA(VLOOKUP(D639,亚马逊入库配置费!B:F,5,0)),0,VLOOKUP(D639,亚马逊入库配置费!B:F,5,0))</f>
        <v>0</v>
      </c>
      <c r="AE639" s="102">
        <f t="shared" si="138"/>
        <v>0</v>
      </c>
      <c r="AF639" s="103">
        <v>45846</v>
      </c>
      <c r="AG639" s="91">
        <f t="shared" si="139"/>
        <v>45</v>
      </c>
      <c r="AH639" s="103">
        <v>45846</v>
      </c>
      <c r="AI639" s="103">
        <v>45855</v>
      </c>
      <c r="AJ639" s="96">
        <v>272</v>
      </c>
      <c r="AK639" s="91">
        <f t="shared" si="140"/>
        <v>9</v>
      </c>
      <c r="AL639" s="96">
        <f t="shared" si="142"/>
        <v>54</v>
      </c>
      <c r="AM639" s="92"/>
      <c r="AN639" s="91"/>
      <c r="AO639" s="91"/>
    </row>
    <row r="640" spans="1:41" ht="14.5" x14ac:dyDescent="0.25">
      <c r="A640" s="92" t="s">
        <v>1182</v>
      </c>
      <c r="B640" s="91"/>
      <c r="C640" s="119" t="s">
        <v>1183</v>
      </c>
      <c r="D640" s="120" t="s">
        <v>1184</v>
      </c>
      <c r="E640" s="135" t="s">
        <v>115</v>
      </c>
      <c r="F640" s="135" t="s">
        <v>0</v>
      </c>
      <c r="G640" s="58" t="s">
        <v>209</v>
      </c>
      <c r="H640" s="119">
        <v>128</v>
      </c>
      <c r="I640" s="119" t="s">
        <v>89</v>
      </c>
      <c r="J640" s="119" t="s">
        <v>8</v>
      </c>
      <c r="K640" s="120" t="s">
        <v>50</v>
      </c>
      <c r="L640" s="93" t="s">
        <v>3033</v>
      </c>
      <c r="M640" s="94" t="s">
        <v>3311</v>
      </c>
      <c r="N640" s="95" t="s">
        <v>2869</v>
      </c>
      <c r="O640" s="132">
        <v>8</v>
      </c>
      <c r="P640" s="153">
        <f t="shared" ref="P640:P645" si="160">554/38*O640</f>
        <v>116.63157894736842</v>
      </c>
      <c r="Q640" s="122" t="s">
        <v>16</v>
      </c>
      <c r="R640" s="122">
        <v>6.5</v>
      </c>
      <c r="S640" s="95"/>
      <c r="T640" s="98"/>
      <c r="U640" s="125">
        <f t="shared" ref="U640:U645" si="161">R640*P640+350/46*O640</f>
        <v>818.97482837528605</v>
      </c>
      <c r="V640" s="113">
        <f t="shared" si="146"/>
        <v>6.3982408466819223</v>
      </c>
      <c r="W640" s="114">
        <f t="shared" si="147"/>
        <v>0.91403440666884606</v>
      </c>
      <c r="X640" s="95"/>
      <c r="Y640" s="95"/>
      <c r="Z640" s="102"/>
      <c r="AA640" s="103">
        <v>45806</v>
      </c>
      <c r="AB640" s="103">
        <v>45834</v>
      </c>
      <c r="AC640" s="103"/>
      <c r="AD640" s="102">
        <f>IF(ISNA(VLOOKUP(D640,亚马逊入库配置费!B:F,5,0)),0,VLOOKUP(D640,亚马逊入库配置费!B:F,5,0))</f>
        <v>0.43594594594594599</v>
      </c>
      <c r="AE640" s="102">
        <f t="shared" si="138"/>
        <v>55.801081081081087</v>
      </c>
      <c r="AF640" s="103">
        <v>45858</v>
      </c>
      <c r="AG640" s="91">
        <f t="shared" si="139"/>
        <v>52</v>
      </c>
      <c r="AH640" s="103">
        <v>45858</v>
      </c>
      <c r="AI640" s="103">
        <v>45891</v>
      </c>
      <c r="AJ640" s="96">
        <v>120</v>
      </c>
      <c r="AK640" s="91">
        <f t="shared" si="140"/>
        <v>33</v>
      </c>
      <c r="AL640" s="96">
        <f t="shared" si="142"/>
        <v>85</v>
      </c>
      <c r="AM640" s="92"/>
      <c r="AN640" s="91"/>
      <c r="AO640" s="91"/>
    </row>
    <row r="641" spans="1:41" ht="14.5" x14ac:dyDescent="0.25">
      <c r="A641" s="92" t="s">
        <v>1185</v>
      </c>
      <c r="B641" s="91"/>
      <c r="C641" s="119" t="s">
        <v>1183</v>
      </c>
      <c r="D641" s="120" t="s">
        <v>1184</v>
      </c>
      <c r="E641" s="135" t="s">
        <v>115</v>
      </c>
      <c r="F641" s="135" t="s">
        <v>0</v>
      </c>
      <c r="G641" s="58" t="s">
        <v>1186</v>
      </c>
      <c r="H641" s="119">
        <v>210</v>
      </c>
      <c r="I641" s="119" t="s">
        <v>89</v>
      </c>
      <c r="J641" s="119" t="s">
        <v>8</v>
      </c>
      <c r="K641" s="120" t="s">
        <v>50</v>
      </c>
      <c r="L641" s="93" t="s">
        <v>1186</v>
      </c>
      <c r="M641" s="94" t="s">
        <v>3431</v>
      </c>
      <c r="N641" s="95" t="s">
        <v>2869</v>
      </c>
      <c r="O641" s="132">
        <v>7</v>
      </c>
      <c r="P641" s="153">
        <f t="shared" si="160"/>
        <v>102.05263157894737</v>
      </c>
      <c r="Q641" s="122" t="s">
        <v>16</v>
      </c>
      <c r="R641" s="122">
        <v>6.5</v>
      </c>
      <c r="S641" s="95"/>
      <c r="T641" s="98"/>
      <c r="U641" s="125">
        <f t="shared" si="161"/>
        <v>716.6029748283753</v>
      </c>
      <c r="V641" s="113">
        <f t="shared" si="146"/>
        <v>3.4123951182303585</v>
      </c>
      <c r="W641" s="114">
        <f t="shared" si="147"/>
        <v>0.48748501689005119</v>
      </c>
      <c r="X641" s="95"/>
      <c r="Y641" s="95"/>
      <c r="Z641" s="102"/>
      <c r="AA641" s="103">
        <v>45806</v>
      </c>
      <c r="AB641" s="103">
        <v>45834</v>
      </c>
      <c r="AC641" s="103"/>
      <c r="AD641" s="102">
        <f>IF(ISNA(VLOOKUP(D641,亚马逊入库配置费!B:F,5,0)),0,VLOOKUP(D641,亚马逊入库配置费!B:F,5,0))</f>
        <v>0.43594594594594599</v>
      </c>
      <c r="AE641" s="102">
        <f t="shared" si="138"/>
        <v>91.548648648648651</v>
      </c>
      <c r="AF641" s="103">
        <v>45858</v>
      </c>
      <c r="AG641" s="91">
        <f t="shared" si="139"/>
        <v>52</v>
      </c>
      <c r="AH641" s="103">
        <v>45858</v>
      </c>
      <c r="AI641" s="103">
        <v>45891</v>
      </c>
      <c r="AJ641" s="96">
        <v>210</v>
      </c>
      <c r="AK641" s="91">
        <f t="shared" si="140"/>
        <v>33</v>
      </c>
      <c r="AL641" s="96">
        <f t="shared" si="142"/>
        <v>85</v>
      </c>
      <c r="AM641" s="92"/>
      <c r="AN641" s="91"/>
      <c r="AO641" s="91"/>
    </row>
    <row r="642" spans="1:41" ht="14.5" x14ac:dyDescent="0.25">
      <c r="A642" s="92" t="s">
        <v>1187</v>
      </c>
      <c r="B642" s="91"/>
      <c r="C642" s="119" t="s">
        <v>1183</v>
      </c>
      <c r="D642" s="120" t="s">
        <v>1184</v>
      </c>
      <c r="E642" s="135" t="s">
        <v>115</v>
      </c>
      <c r="F642" s="135" t="s">
        <v>0</v>
      </c>
      <c r="G642" s="58" t="s">
        <v>698</v>
      </c>
      <c r="H642" s="119">
        <v>160</v>
      </c>
      <c r="I642" s="119" t="s">
        <v>89</v>
      </c>
      <c r="J642" s="119" t="s">
        <v>8</v>
      </c>
      <c r="K642" s="120" t="s">
        <v>50</v>
      </c>
      <c r="L642" s="93" t="s">
        <v>3081</v>
      </c>
      <c r="M642" s="94" t="s">
        <v>3390</v>
      </c>
      <c r="N642" s="95" t="s">
        <v>2869</v>
      </c>
      <c r="O642" s="132">
        <v>10</v>
      </c>
      <c r="P642" s="153">
        <f t="shared" si="160"/>
        <v>145.78947368421052</v>
      </c>
      <c r="Q642" s="122" t="s">
        <v>16</v>
      </c>
      <c r="R642" s="122">
        <v>6.5</v>
      </c>
      <c r="S642" s="95"/>
      <c r="T642" s="98"/>
      <c r="U642" s="125">
        <f t="shared" si="161"/>
        <v>1023.7185354691075</v>
      </c>
      <c r="V642" s="113">
        <f t="shared" si="146"/>
        <v>6.3982408466819214</v>
      </c>
      <c r="W642" s="114">
        <f t="shared" si="147"/>
        <v>0.91403440666884594</v>
      </c>
      <c r="X642" s="95"/>
      <c r="Y642" s="95"/>
      <c r="Z642" s="102"/>
      <c r="AA642" s="103">
        <v>45806</v>
      </c>
      <c r="AB642" s="103">
        <v>45834</v>
      </c>
      <c r="AC642" s="103"/>
      <c r="AD642" s="102">
        <f>IF(ISNA(VLOOKUP(D642,亚马逊入库配置费!B:F,5,0)),0,VLOOKUP(D642,亚马逊入库配置费!B:F,5,0))</f>
        <v>0.43594594594594599</v>
      </c>
      <c r="AE642" s="102">
        <f t="shared" ref="AE642:AE705" si="162">H642*AD642</f>
        <v>69.75135135135136</v>
      </c>
      <c r="AF642" s="103">
        <v>45858</v>
      </c>
      <c r="AG642" s="91">
        <f t="shared" ref="AG642:AG705" si="163">AF642-AA642</f>
        <v>52</v>
      </c>
      <c r="AH642" s="103">
        <v>45858</v>
      </c>
      <c r="AI642" s="103">
        <v>45891</v>
      </c>
      <c r="AJ642" s="96">
        <v>159</v>
      </c>
      <c r="AK642" s="91">
        <f t="shared" ref="AK642:AK705" si="164">AI642-AH642</f>
        <v>33</v>
      </c>
      <c r="AL642" s="96">
        <f t="shared" si="142"/>
        <v>85</v>
      </c>
      <c r="AM642" s="92"/>
      <c r="AN642" s="91"/>
      <c r="AO642" s="91"/>
    </row>
    <row r="643" spans="1:41" ht="14.5" x14ac:dyDescent="0.25">
      <c r="A643" s="92" t="s">
        <v>1188</v>
      </c>
      <c r="B643" s="91"/>
      <c r="C643" s="119" t="s">
        <v>1183</v>
      </c>
      <c r="D643" s="120" t="s">
        <v>1184</v>
      </c>
      <c r="E643" s="135" t="s">
        <v>115</v>
      </c>
      <c r="F643" s="135" t="s">
        <v>0</v>
      </c>
      <c r="G643" s="58" t="s">
        <v>606</v>
      </c>
      <c r="H643" s="119">
        <v>90</v>
      </c>
      <c r="I643" s="119" t="s">
        <v>89</v>
      </c>
      <c r="J643" s="119" t="s">
        <v>8</v>
      </c>
      <c r="K643" s="120" t="s">
        <v>50</v>
      </c>
      <c r="L643" s="93" t="s">
        <v>3075</v>
      </c>
      <c r="M643" s="94" t="s">
        <v>3376</v>
      </c>
      <c r="N643" s="95" t="s">
        <v>2869</v>
      </c>
      <c r="O643" s="132">
        <v>3</v>
      </c>
      <c r="P643" s="153">
        <f t="shared" si="160"/>
        <v>43.736842105263158</v>
      </c>
      <c r="Q643" s="122" t="s">
        <v>16</v>
      </c>
      <c r="R643" s="122">
        <v>6.5</v>
      </c>
      <c r="S643" s="95"/>
      <c r="T643" s="98"/>
      <c r="U643" s="125">
        <f t="shared" si="161"/>
        <v>307.11556064073227</v>
      </c>
      <c r="V643" s="113">
        <f t="shared" si="146"/>
        <v>3.4123951182303585</v>
      </c>
      <c r="W643" s="114">
        <f t="shared" si="147"/>
        <v>0.48748501689005119</v>
      </c>
      <c r="X643" s="95"/>
      <c r="Y643" s="95"/>
      <c r="Z643" s="102"/>
      <c r="AA643" s="103">
        <v>45806</v>
      </c>
      <c r="AB643" s="103">
        <v>45834</v>
      </c>
      <c r="AC643" s="103"/>
      <c r="AD643" s="102">
        <f>IF(ISNA(VLOOKUP(D643,亚马逊入库配置费!B:F,5,0)),0,VLOOKUP(D643,亚马逊入库配置费!B:F,5,0))</f>
        <v>0.43594594594594599</v>
      </c>
      <c r="AE643" s="102">
        <f t="shared" si="162"/>
        <v>39.235135135135138</v>
      </c>
      <c r="AF643" s="103">
        <v>45858</v>
      </c>
      <c r="AG643" s="91">
        <f t="shared" si="163"/>
        <v>52</v>
      </c>
      <c r="AH643" s="103">
        <v>45858</v>
      </c>
      <c r="AI643" s="103">
        <v>45891</v>
      </c>
      <c r="AJ643" s="96">
        <v>90</v>
      </c>
      <c r="AK643" s="91">
        <f t="shared" si="164"/>
        <v>33</v>
      </c>
      <c r="AL643" s="96">
        <f t="shared" si="142"/>
        <v>85</v>
      </c>
      <c r="AM643" s="92"/>
      <c r="AN643" s="91"/>
      <c r="AO643" s="91"/>
    </row>
    <row r="644" spans="1:41" ht="14.5" x14ac:dyDescent="0.25">
      <c r="A644" s="92" t="s">
        <v>1189</v>
      </c>
      <c r="B644" s="91"/>
      <c r="C644" s="119" t="s">
        <v>1183</v>
      </c>
      <c r="D644" s="120" t="s">
        <v>1184</v>
      </c>
      <c r="E644" s="135" t="s">
        <v>115</v>
      </c>
      <c r="F644" s="135" t="s">
        <v>0</v>
      </c>
      <c r="G644" s="58" t="s">
        <v>1190</v>
      </c>
      <c r="H644" s="119">
        <v>210</v>
      </c>
      <c r="I644" s="119" t="s">
        <v>89</v>
      </c>
      <c r="J644" s="119" t="s">
        <v>8</v>
      </c>
      <c r="K644" s="120" t="s">
        <v>50</v>
      </c>
      <c r="L644" s="93" t="s">
        <v>1190</v>
      </c>
      <c r="M644" s="94" t="s">
        <v>3432</v>
      </c>
      <c r="N644" s="95" t="s">
        <v>2869</v>
      </c>
      <c r="O644" s="132">
        <v>7</v>
      </c>
      <c r="P644" s="153">
        <f t="shared" si="160"/>
        <v>102.05263157894737</v>
      </c>
      <c r="Q644" s="122" t="s">
        <v>16</v>
      </c>
      <c r="R644" s="122">
        <v>6.5</v>
      </c>
      <c r="S644" s="95"/>
      <c r="T644" s="98"/>
      <c r="U644" s="125">
        <f t="shared" si="161"/>
        <v>716.6029748283753</v>
      </c>
      <c r="V644" s="113">
        <f t="shared" si="146"/>
        <v>3.4123951182303585</v>
      </c>
      <c r="W644" s="114">
        <f t="shared" si="147"/>
        <v>0.48748501689005119</v>
      </c>
      <c r="X644" s="95"/>
      <c r="Y644" s="95"/>
      <c r="Z644" s="102"/>
      <c r="AA644" s="103">
        <v>45806</v>
      </c>
      <c r="AB644" s="103">
        <v>45834</v>
      </c>
      <c r="AC644" s="103"/>
      <c r="AD644" s="102">
        <f>IF(ISNA(VLOOKUP(D644,亚马逊入库配置费!B:F,5,0)),0,VLOOKUP(D644,亚马逊入库配置费!B:F,5,0))</f>
        <v>0.43594594594594599</v>
      </c>
      <c r="AE644" s="102">
        <f t="shared" si="162"/>
        <v>91.548648648648651</v>
      </c>
      <c r="AF644" s="103">
        <v>45858</v>
      </c>
      <c r="AG644" s="91">
        <f t="shared" si="163"/>
        <v>52</v>
      </c>
      <c r="AH644" s="103">
        <v>45858</v>
      </c>
      <c r="AI644" s="103">
        <v>45891</v>
      </c>
      <c r="AJ644" s="96">
        <v>210</v>
      </c>
      <c r="AK644" s="91">
        <f t="shared" si="164"/>
        <v>33</v>
      </c>
      <c r="AL644" s="96">
        <f t="shared" ref="AL644:AL707" si="165">AG644+AK644</f>
        <v>85</v>
      </c>
      <c r="AM644" s="92"/>
      <c r="AN644" s="91"/>
      <c r="AO644" s="91"/>
    </row>
    <row r="645" spans="1:41" ht="14.5" x14ac:dyDescent="0.25">
      <c r="A645" s="92" t="s">
        <v>1191</v>
      </c>
      <c r="B645" s="91"/>
      <c r="C645" s="119" t="s">
        <v>1183</v>
      </c>
      <c r="D645" s="120" t="s">
        <v>1184</v>
      </c>
      <c r="E645" s="135" t="s">
        <v>115</v>
      </c>
      <c r="F645" s="135" t="s">
        <v>0</v>
      </c>
      <c r="G645" s="58" t="s">
        <v>213</v>
      </c>
      <c r="H645" s="119">
        <v>90</v>
      </c>
      <c r="I645" s="119" t="s">
        <v>89</v>
      </c>
      <c r="J645" s="119" t="s">
        <v>8</v>
      </c>
      <c r="K645" s="120" t="s">
        <v>50</v>
      </c>
      <c r="L645" s="93" t="s">
        <v>3035</v>
      </c>
      <c r="M645" s="94" t="s">
        <v>3313</v>
      </c>
      <c r="N645" s="95" t="s">
        <v>2869</v>
      </c>
      <c r="O645" s="132">
        <v>3</v>
      </c>
      <c r="P645" s="153">
        <f t="shared" si="160"/>
        <v>43.736842105263158</v>
      </c>
      <c r="Q645" s="122" t="s">
        <v>16</v>
      </c>
      <c r="R645" s="122">
        <v>6.5</v>
      </c>
      <c r="S645" s="95"/>
      <c r="T645" s="98"/>
      <c r="U645" s="125">
        <f t="shared" si="161"/>
        <v>307.11556064073227</v>
      </c>
      <c r="V645" s="113">
        <f t="shared" si="146"/>
        <v>3.4123951182303585</v>
      </c>
      <c r="W645" s="114">
        <f t="shared" si="147"/>
        <v>0.48748501689005119</v>
      </c>
      <c r="X645" s="95"/>
      <c r="Y645" s="95"/>
      <c r="Z645" s="102"/>
      <c r="AA645" s="103">
        <v>45806</v>
      </c>
      <c r="AB645" s="103">
        <v>45834</v>
      </c>
      <c r="AC645" s="103"/>
      <c r="AD645" s="102">
        <f>IF(ISNA(VLOOKUP(D645,亚马逊入库配置费!B:F,5,0)),0,VLOOKUP(D645,亚马逊入库配置费!B:F,5,0))</f>
        <v>0.43594594594594599</v>
      </c>
      <c r="AE645" s="102">
        <f t="shared" si="162"/>
        <v>39.235135135135138</v>
      </c>
      <c r="AF645" s="103">
        <v>45858</v>
      </c>
      <c r="AG645" s="91">
        <f t="shared" si="163"/>
        <v>52</v>
      </c>
      <c r="AH645" s="103">
        <v>45858</v>
      </c>
      <c r="AI645" s="103">
        <v>45891</v>
      </c>
      <c r="AJ645" s="96">
        <v>89</v>
      </c>
      <c r="AK645" s="91">
        <f t="shared" si="164"/>
        <v>33</v>
      </c>
      <c r="AL645" s="96">
        <f t="shared" si="165"/>
        <v>85</v>
      </c>
      <c r="AM645" s="92"/>
      <c r="AN645" s="91"/>
      <c r="AO645" s="91"/>
    </row>
    <row r="646" spans="1:41" ht="14.5" x14ac:dyDescent="0.25">
      <c r="A646" s="92" t="s">
        <v>1192</v>
      </c>
      <c r="B646" s="91"/>
      <c r="C646" s="119" t="s">
        <v>1193</v>
      </c>
      <c r="D646" s="120" t="s">
        <v>1194</v>
      </c>
      <c r="E646" s="135" t="s">
        <v>97</v>
      </c>
      <c r="F646" s="135" t="s">
        <v>0</v>
      </c>
      <c r="G646" s="58" t="s">
        <v>1195</v>
      </c>
      <c r="H646" s="119">
        <v>420</v>
      </c>
      <c r="I646" s="119" t="s">
        <v>89</v>
      </c>
      <c r="J646" s="119" t="s">
        <v>8</v>
      </c>
      <c r="K646" s="120" t="s">
        <v>17</v>
      </c>
      <c r="L646" s="93" t="s">
        <v>1195</v>
      </c>
      <c r="M646" s="94" t="s">
        <v>3433</v>
      </c>
      <c r="N646" s="95" t="s">
        <v>2870</v>
      </c>
      <c r="O646" s="163">
        <v>14</v>
      </c>
      <c r="P646" s="153">
        <f>661/40*O646</f>
        <v>231.34999999999997</v>
      </c>
      <c r="Q646" s="122" t="s">
        <v>16</v>
      </c>
      <c r="R646" s="152">
        <v>7.7</v>
      </c>
      <c r="S646" s="95"/>
      <c r="T646" s="98"/>
      <c r="U646" s="125">
        <f t="shared" ref="U646:U651" si="166">R646*P646+350/75*O646</f>
        <v>1846.728333333333</v>
      </c>
      <c r="V646" s="113">
        <f t="shared" si="146"/>
        <v>4.3969722222222218</v>
      </c>
      <c r="W646" s="114">
        <f t="shared" si="147"/>
        <v>0.6281388888888888</v>
      </c>
      <c r="X646" s="95"/>
      <c r="Y646" s="95"/>
      <c r="Z646" s="102"/>
      <c r="AA646" s="103">
        <v>45806</v>
      </c>
      <c r="AB646" s="103">
        <v>45827</v>
      </c>
      <c r="AC646" s="103"/>
      <c r="AD646" s="102">
        <f>IF(ISNA(VLOOKUP(D646,亚马逊入库配置费!B:F,5,0)),0,VLOOKUP(D646,亚马逊入库配置费!B:F,5,0))</f>
        <v>0.39028169014084502</v>
      </c>
      <c r="AE646" s="102">
        <f t="shared" si="162"/>
        <v>163.9183098591549</v>
      </c>
      <c r="AF646" s="103">
        <v>45838</v>
      </c>
      <c r="AG646" s="91">
        <f t="shared" si="163"/>
        <v>32</v>
      </c>
      <c r="AH646" s="103">
        <v>45838</v>
      </c>
      <c r="AI646" s="103">
        <v>45874</v>
      </c>
      <c r="AJ646" s="96">
        <v>421</v>
      </c>
      <c r="AK646" s="91">
        <f t="shared" si="164"/>
        <v>36</v>
      </c>
      <c r="AL646" s="96">
        <f t="shared" si="165"/>
        <v>68</v>
      </c>
      <c r="AM646" s="92"/>
      <c r="AN646" s="91"/>
      <c r="AO646" s="91"/>
    </row>
    <row r="647" spans="1:41" ht="14.5" x14ac:dyDescent="0.25">
      <c r="A647" s="92" t="s">
        <v>1196</v>
      </c>
      <c r="B647" s="91"/>
      <c r="C647" s="119" t="s">
        <v>1193</v>
      </c>
      <c r="D647" s="120" t="s">
        <v>1194</v>
      </c>
      <c r="E647" s="135" t="s">
        <v>97</v>
      </c>
      <c r="F647" s="135" t="s">
        <v>0</v>
      </c>
      <c r="G647" s="58" t="s">
        <v>853</v>
      </c>
      <c r="H647" s="119">
        <v>200</v>
      </c>
      <c r="I647" s="119" t="s">
        <v>89</v>
      </c>
      <c r="J647" s="119" t="s">
        <v>8</v>
      </c>
      <c r="K647" s="120" t="s">
        <v>17</v>
      </c>
      <c r="L647" s="93" t="s">
        <v>853</v>
      </c>
      <c r="M647" s="94" t="s">
        <v>3396</v>
      </c>
      <c r="N647" s="95" t="s">
        <v>2870</v>
      </c>
      <c r="O647" s="163">
        <v>5</v>
      </c>
      <c r="P647" s="153">
        <f>661/40*O647</f>
        <v>82.625</v>
      </c>
      <c r="Q647" s="122" t="s">
        <v>16</v>
      </c>
      <c r="R647" s="152">
        <v>7.7</v>
      </c>
      <c r="S647" s="95"/>
      <c r="T647" s="98"/>
      <c r="U647" s="125">
        <f t="shared" si="166"/>
        <v>659.54583333333335</v>
      </c>
      <c r="V647" s="113">
        <f t="shared" si="146"/>
        <v>3.2977291666666666</v>
      </c>
      <c r="W647" s="114">
        <f t="shared" si="147"/>
        <v>0.47110416666666666</v>
      </c>
      <c r="X647" s="95"/>
      <c r="Y647" s="95"/>
      <c r="Z647" s="102"/>
      <c r="AA647" s="103">
        <v>45806</v>
      </c>
      <c r="AB647" s="103">
        <v>45827</v>
      </c>
      <c r="AC647" s="103"/>
      <c r="AD647" s="102">
        <f>IF(ISNA(VLOOKUP(D647,亚马逊入库配置费!B:F,5,0)),0,VLOOKUP(D647,亚马逊入库配置费!B:F,5,0))</f>
        <v>0.39028169014084502</v>
      </c>
      <c r="AE647" s="102">
        <f t="shared" si="162"/>
        <v>78.056338028169009</v>
      </c>
      <c r="AF647" s="103">
        <v>45838</v>
      </c>
      <c r="AG647" s="91">
        <f t="shared" si="163"/>
        <v>32</v>
      </c>
      <c r="AH647" s="103">
        <v>45838</v>
      </c>
      <c r="AI647" s="103">
        <v>45874</v>
      </c>
      <c r="AJ647" s="96">
        <v>200</v>
      </c>
      <c r="AK647" s="91">
        <f t="shared" si="164"/>
        <v>36</v>
      </c>
      <c r="AL647" s="96">
        <f t="shared" si="165"/>
        <v>68</v>
      </c>
      <c r="AM647" s="92"/>
      <c r="AN647" s="91"/>
      <c r="AO647" s="91"/>
    </row>
    <row r="648" spans="1:41" ht="14.5" x14ac:dyDescent="0.25">
      <c r="A648" s="92" t="s">
        <v>1197</v>
      </c>
      <c r="B648" s="91"/>
      <c r="C648" s="119" t="s">
        <v>1193</v>
      </c>
      <c r="D648" s="120" t="s">
        <v>1194</v>
      </c>
      <c r="E648" s="135" t="s">
        <v>97</v>
      </c>
      <c r="F648" s="135" t="s">
        <v>0</v>
      </c>
      <c r="G648" s="58" t="s">
        <v>1198</v>
      </c>
      <c r="H648" s="119">
        <v>300</v>
      </c>
      <c r="I648" s="119" t="s">
        <v>89</v>
      </c>
      <c r="J648" s="119" t="s">
        <v>8</v>
      </c>
      <c r="K648" s="120" t="s">
        <v>17</v>
      </c>
      <c r="L648" s="93" t="s">
        <v>1198</v>
      </c>
      <c r="M648" s="94" t="s">
        <v>3434</v>
      </c>
      <c r="N648" s="95" t="s">
        <v>2870</v>
      </c>
      <c r="O648" s="163">
        <v>10</v>
      </c>
      <c r="P648" s="153">
        <f>661/40*O648</f>
        <v>165.25</v>
      </c>
      <c r="Q648" s="122" t="s">
        <v>16</v>
      </c>
      <c r="R648" s="152">
        <v>7.7</v>
      </c>
      <c r="S648" s="95"/>
      <c r="T648" s="98"/>
      <c r="U648" s="125">
        <f t="shared" si="166"/>
        <v>1319.0916666666667</v>
      </c>
      <c r="V648" s="113">
        <f t="shared" si="146"/>
        <v>4.3969722222222227</v>
      </c>
      <c r="W648" s="114">
        <f t="shared" si="147"/>
        <v>0.62813888888888891</v>
      </c>
      <c r="X648" s="95"/>
      <c r="Y648" s="95"/>
      <c r="Z648" s="102"/>
      <c r="AA648" s="103">
        <v>45806</v>
      </c>
      <c r="AB648" s="103">
        <v>45827</v>
      </c>
      <c r="AC648" s="103"/>
      <c r="AD648" s="102">
        <f>IF(ISNA(VLOOKUP(D648,亚马逊入库配置费!B:F,5,0)),0,VLOOKUP(D648,亚马逊入库配置费!B:F,5,0))</f>
        <v>0.39028169014084502</v>
      </c>
      <c r="AE648" s="102">
        <f t="shared" si="162"/>
        <v>117.08450704225351</v>
      </c>
      <c r="AF648" s="103">
        <v>45838</v>
      </c>
      <c r="AG648" s="91">
        <f t="shared" si="163"/>
        <v>32</v>
      </c>
      <c r="AH648" s="103">
        <v>45838</v>
      </c>
      <c r="AI648" s="103">
        <v>45874</v>
      </c>
      <c r="AJ648" s="96">
        <v>299</v>
      </c>
      <c r="AK648" s="91">
        <f t="shared" si="164"/>
        <v>36</v>
      </c>
      <c r="AL648" s="96">
        <f t="shared" si="165"/>
        <v>68</v>
      </c>
      <c r="AM648" s="92"/>
      <c r="AN648" s="91"/>
      <c r="AO648" s="91"/>
    </row>
    <row r="649" spans="1:41" ht="14.5" x14ac:dyDescent="0.25">
      <c r="A649" s="92" t="s">
        <v>1199</v>
      </c>
      <c r="B649" s="91"/>
      <c r="C649" s="119" t="s">
        <v>1193</v>
      </c>
      <c r="D649" s="120" t="s">
        <v>1194</v>
      </c>
      <c r="E649" s="135" t="s">
        <v>97</v>
      </c>
      <c r="F649" s="135" t="s">
        <v>0</v>
      </c>
      <c r="G649" s="58" t="s">
        <v>878</v>
      </c>
      <c r="H649" s="119">
        <v>300</v>
      </c>
      <c r="I649" s="119" t="s">
        <v>89</v>
      </c>
      <c r="J649" s="119" t="s">
        <v>8</v>
      </c>
      <c r="K649" s="120" t="s">
        <v>17</v>
      </c>
      <c r="L649" s="93" t="s">
        <v>878</v>
      </c>
      <c r="M649" s="94" t="s">
        <v>3401</v>
      </c>
      <c r="N649" s="95" t="s">
        <v>2876</v>
      </c>
      <c r="O649" s="163">
        <v>10</v>
      </c>
      <c r="P649" s="153">
        <f>661/40*O649</f>
        <v>165.25</v>
      </c>
      <c r="Q649" s="122" t="s">
        <v>16</v>
      </c>
      <c r="R649" s="152">
        <v>7.7</v>
      </c>
      <c r="S649" s="95"/>
      <c r="T649" s="98"/>
      <c r="U649" s="125">
        <f t="shared" si="166"/>
        <v>1319.0916666666667</v>
      </c>
      <c r="V649" s="113">
        <f t="shared" si="146"/>
        <v>4.3969722222222227</v>
      </c>
      <c r="W649" s="114">
        <f t="shared" si="147"/>
        <v>0.62813888888888891</v>
      </c>
      <c r="X649" s="95"/>
      <c r="Y649" s="95"/>
      <c r="Z649" s="102"/>
      <c r="AA649" s="103">
        <v>45806</v>
      </c>
      <c r="AB649" s="103">
        <v>45827</v>
      </c>
      <c r="AC649" s="103"/>
      <c r="AD649" s="102">
        <f>IF(ISNA(VLOOKUP(D649,亚马逊入库配置费!B:F,5,0)),0,VLOOKUP(D649,亚马逊入库配置费!B:F,5,0))</f>
        <v>0.39028169014084502</v>
      </c>
      <c r="AE649" s="102">
        <f t="shared" si="162"/>
        <v>117.08450704225351</v>
      </c>
      <c r="AF649" s="103">
        <v>45838</v>
      </c>
      <c r="AG649" s="91">
        <f t="shared" si="163"/>
        <v>32</v>
      </c>
      <c r="AH649" s="103">
        <v>45838</v>
      </c>
      <c r="AI649" s="103">
        <v>45874</v>
      </c>
      <c r="AJ649" s="96">
        <v>300</v>
      </c>
      <c r="AK649" s="91">
        <f t="shared" si="164"/>
        <v>36</v>
      </c>
      <c r="AL649" s="96">
        <f t="shared" si="165"/>
        <v>68</v>
      </c>
      <c r="AM649" s="92"/>
      <c r="AN649" s="91"/>
      <c r="AO649" s="91"/>
    </row>
    <row r="650" spans="1:41" ht="14.5" x14ac:dyDescent="0.25">
      <c r="A650" s="92" t="s">
        <v>1200</v>
      </c>
      <c r="B650" s="91"/>
      <c r="C650" s="119" t="s">
        <v>1193</v>
      </c>
      <c r="D650" s="120" t="s">
        <v>1194</v>
      </c>
      <c r="E650" s="135" t="s">
        <v>97</v>
      </c>
      <c r="F650" s="135" t="s">
        <v>0</v>
      </c>
      <c r="G650" s="58" t="s">
        <v>357</v>
      </c>
      <c r="H650" s="119">
        <v>200</v>
      </c>
      <c r="I650" s="119" t="s">
        <v>89</v>
      </c>
      <c r="J650" s="119" t="s">
        <v>8</v>
      </c>
      <c r="K650" s="120" t="s">
        <v>17</v>
      </c>
      <c r="L650" s="93" t="s">
        <v>3051</v>
      </c>
      <c r="M650" s="94" t="s">
        <v>3337</v>
      </c>
      <c r="N650" s="95" t="s">
        <v>3050</v>
      </c>
      <c r="O650" s="163">
        <v>1</v>
      </c>
      <c r="P650" s="153">
        <f>661/40*O650</f>
        <v>16.524999999999999</v>
      </c>
      <c r="Q650" s="122" t="s">
        <v>16</v>
      </c>
      <c r="R650" s="152">
        <v>7.7</v>
      </c>
      <c r="S650" s="95"/>
      <c r="T650" s="98"/>
      <c r="U650" s="125">
        <f t="shared" si="166"/>
        <v>131.90916666666666</v>
      </c>
      <c r="V650" s="113">
        <f t="shared" si="146"/>
        <v>0.65954583333333328</v>
      </c>
      <c r="W650" s="114">
        <f t="shared" si="147"/>
        <v>9.4220833333333323E-2</v>
      </c>
      <c r="X650" s="95"/>
      <c r="Y650" s="95"/>
      <c r="Z650" s="102"/>
      <c r="AA650" s="103">
        <v>45806</v>
      </c>
      <c r="AB650" s="103">
        <v>45827</v>
      </c>
      <c r="AC650" s="103"/>
      <c r="AD650" s="102">
        <f>IF(ISNA(VLOOKUP(D650,亚马逊入库配置费!B:F,5,0)),0,VLOOKUP(D650,亚马逊入库配置费!B:F,5,0))</f>
        <v>0.39028169014084502</v>
      </c>
      <c r="AE650" s="102">
        <f t="shared" si="162"/>
        <v>78.056338028169009</v>
      </c>
      <c r="AF650" s="103">
        <v>45838</v>
      </c>
      <c r="AG650" s="91">
        <f t="shared" si="163"/>
        <v>32</v>
      </c>
      <c r="AH650" s="103">
        <v>45838</v>
      </c>
      <c r="AI650" s="103">
        <v>45874</v>
      </c>
      <c r="AJ650" s="96">
        <v>200</v>
      </c>
      <c r="AK650" s="91">
        <f t="shared" si="164"/>
        <v>36</v>
      </c>
      <c r="AL650" s="96">
        <f t="shared" si="165"/>
        <v>68</v>
      </c>
      <c r="AM650" s="92"/>
      <c r="AN650" s="91"/>
      <c r="AO650" s="91"/>
    </row>
    <row r="651" spans="1:41" ht="14.5" x14ac:dyDescent="0.25">
      <c r="A651" s="92" t="s">
        <v>1201</v>
      </c>
      <c r="B651" s="91"/>
      <c r="C651" s="119" t="s">
        <v>1193</v>
      </c>
      <c r="D651" s="120" t="s">
        <v>1202</v>
      </c>
      <c r="E651" s="135" t="s">
        <v>97</v>
      </c>
      <c r="F651" s="135" t="s">
        <v>0</v>
      </c>
      <c r="G651" s="58" t="s">
        <v>88</v>
      </c>
      <c r="H651" s="119">
        <v>630</v>
      </c>
      <c r="I651" s="119" t="s">
        <v>89</v>
      </c>
      <c r="J651" s="119" t="s">
        <v>8</v>
      </c>
      <c r="K651" s="120" t="s">
        <v>17</v>
      </c>
      <c r="L651" s="93" t="s">
        <v>3014</v>
      </c>
      <c r="M651" s="94" t="s">
        <v>3286</v>
      </c>
      <c r="N651" s="95" t="s">
        <v>2821</v>
      </c>
      <c r="O651" s="163">
        <v>35</v>
      </c>
      <c r="P651" s="153">
        <f>746/35*O651</f>
        <v>746</v>
      </c>
      <c r="Q651" s="122" t="s">
        <v>16</v>
      </c>
      <c r="R651" s="152">
        <v>7.7</v>
      </c>
      <c r="S651" s="95"/>
      <c r="T651" s="98"/>
      <c r="U651" s="125">
        <f t="shared" si="166"/>
        <v>5907.5333333333328</v>
      </c>
      <c r="V651" s="113">
        <f t="shared" si="146"/>
        <v>9.3770370370370362</v>
      </c>
      <c r="W651" s="114">
        <f t="shared" si="147"/>
        <v>1.3395767195767194</v>
      </c>
      <c r="X651" s="95"/>
      <c r="Y651" s="95"/>
      <c r="Z651" s="102"/>
      <c r="AA651" s="103">
        <v>45805</v>
      </c>
      <c r="AB651" s="103">
        <v>45827</v>
      </c>
      <c r="AC651" s="103"/>
      <c r="AD651" s="102">
        <f>IF(ISNA(VLOOKUP(D651,亚马逊入库配置费!B:F,5,0)),0,VLOOKUP(D651,亚马逊入库配置费!B:F,5,0))</f>
        <v>0.49</v>
      </c>
      <c r="AE651" s="102">
        <f t="shared" si="162"/>
        <v>308.7</v>
      </c>
      <c r="AF651" s="103">
        <v>45838</v>
      </c>
      <c r="AG651" s="91">
        <f t="shared" si="163"/>
        <v>33</v>
      </c>
      <c r="AH651" s="103">
        <v>45838</v>
      </c>
      <c r="AI651" s="103">
        <v>45874</v>
      </c>
      <c r="AJ651" s="96">
        <v>645</v>
      </c>
      <c r="AK651" s="91">
        <f t="shared" si="164"/>
        <v>36</v>
      </c>
      <c r="AL651" s="96">
        <f t="shared" si="165"/>
        <v>69</v>
      </c>
      <c r="AM651" s="92"/>
      <c r="AN651" s="91"/>
      <c r="AO651" s="91"/>
    </row>
    <row r="652" spans="1:41" ht="14.5" x14ac:dyDescent="0.25">
      <c r="A652" s="92" t="s">
        <v>1203</v>
      </c>
      <c r="B652" s="91"/>
      <c r="C652" s="119" t="s">
        <v>1183</v>
      </c>
      <c r="D652" s="120" t="s">
        <v>1204</v>
      </c>
      <c r="E652" s="135" t="s">
        <v>115</v>
      </c>
      <c r="F652" s="135" t="s">
        <v>0</v>
      </c>
      <c r="G652" s="58" t="s">
        <v>614</v>
      </c>
      <c r="H652" s="119">
        <v>36</v>
      </c>
      <c r="I652" s="119" t="s">
        <v>89</v>
      </c>
      <c r="J652" s="119" t="s">
        <v>8</v>
      </c>
      <c r="K652" s="120" t="s">
        <v>50</v>
      </c>
      <c r="L652" s="93" t="s">
        <v>2695</v>
      </c>
      <c r="M652" s="94" t="s">
        <v>3215</v>
      </c>
      <c r="N652" s="95" t="s">
        <v>2822</v>
      </c>
      <c r="O652" s="132">
        <v>1</v>
      </c>
      <c r="P652" s="153">
        <f>179/8*O652</f>
        <v>22.375</v>
      </c>
      <c r="Q652" s="122" t="s">
        <v>16</v>
      </c>
      <c r="R652" s="122">
        <v>6.5</v>
      </c>
      <c r="S652" s="95"/>
      <c r="T652" s="98"/>
      <c r="U652" s="125">
        <f>R652*P652+350/46*O652</f>
        <v>153.04619565217391</v>
      </c>
      <c r="V652" s="113">
        <f t="shared" si="146"/>
        <v>4.2512832125603861</v>
      </c>
      <c r="W652" s="114">
        <f t="shared" si="147"/>
        <v>0.60732617322291227</v>
      </c>
      <c r="X652" s="95"/>
      <c r="Y652" s="95"/>
      <c r="Z652" s="102"/>
      <c r="AA652" s="103">
        <v>45805</v>
      </c>
      <c r="AB652" s="103">
        <v>45834</v>
      </c>
      <c r="AC652" s="103"/>
      <c r="AD652" s="102">
        <f>IF(ISNA(VLOOKUP(D652,亚马逊入库配置费!B:F,5,0)),0,VLOOKUP(D652,亚马逊入库配置费!B:F,5,0))</f>
        <v>0.42</v>
      </c>
      <c r="AE652" s="102">
        <f t="shared" si="162"/>
        <v>15.12</v>
      </c>
      <c r="AF652" s="103">
        <v>45858</v>
      </c>
      <c r="AG652" s="91">
        <f t="shared" si="163"/>
        <v>53</v>
      </c>
      <c r="AH652" s="103">
        <v>45858</v>
      </c>
      <c r="AI652" s="103">
        <v>45889</v>
      </c>
      <c r="AJ652" s="96">
        <v>39</v>
      </c>
      <c r="AK652" s="91">
        <f t="shared" si="164"/>
        <v>31</v>
      </c>
      <c r="AL652" s="96">
        <f t="shared" si="165"/>
        <v>84</v>
      </c>
      <c r="AM652" s="92"/>
      <c r="AN652" s="91"/>
      <c r="AO652" s="91"/>
    </row>
    <row r="653" spans="1:41" ht="14.5" x14ac:dyDescent="0.25">
      <c r="A653" s="92" t="s">
        <v>1205</v>
      </c>
      <c r="B653" s="91"/>
      <c r="C653" s="119" t="s">
        <v>1183</v>
      </c>
      <c r="D653" s="120" t="s">
        <v>1204</v>
      </c>
      <c r="E653" s="135" t="s">
        <v>115</v>
      </c>
      <c r="F653" s="135" t="s">
        <v>0</v>
      </c>
      <c r="G653" s="58" t="s">
        <v>594</v>
      </c>
      <c r="H653" s="119">
        <v>252</v>
      </c>
      <c r="I653" s="119" t="s">
        <v>89</v>
      </c>
      <c r="J653" s="119" t="s">
        <v>8</v>
      </c>
      <c r="K653" s="120" t="s">
        <v>50</v>
      </c>
      <c r="L653" s="93" t="s">
        <v>2694</v>
      </c>
      <c r="M653" s="94" t="s">
        <v>3214</v>
      </c>
      <c r="N653" s="95" t="s">
        <v>2822</v>
      </c>
      <c r="O653" s="132">
        <v>7</v>
      </c>
      <c r="P653" s="153">
        <f>179/8*O653</f>
        <v>156.625</v>
      </c>
      <c r="Q653" s="122" t="s">
        <v>16</v>
      </c>
      <c r="R653" s="122">
        <v>6.5</v>
      </c>
      <c r="S653" s="95"/>
      <c r="T653" s="98"/>
      <c r="U653" s="125">
        <f>R653*P653+350/46*O653</f>
        <v>1071.3233695652175</v>
      </c>
      <c r="V653" s="113">
        <f t="shared" ref="V653:V716" si="167">U653/H653</f>
        <v>4.251283212560387</v>
      </c>
      <c r="W653" s="114">
        <f t="shared" ref="W653:W716" si="168">V653/7</f>
        <v>0.60732617322291238</v>
      </c>
      <c r="X653" s="95"/>
      <c r="Y653" s="95"/>
      <c r="Z653" s="102"/>
      <c r="AA653" s="103">
        <v>45805</v>
      </c>
      <c r="AB653" s="103">
        <v>45834</v>
      </c>
      <c r="AC653" s="103"/>
      <c r="AD653" s="102">
        <f>IF(ISNA(VLOOKUP(D653,亚马逊入库配置费!B:F,5,0)),0,VLOOKUP(D653,亚马逊入库配置费!B:F,5,0))</f>
        <v>0.42</v>
      </c>
      <c r="AE653" s="102">
        <f t="shared" si="162"/>
        <v>105.83999999999999</v>
      </c>
      <c r="AF653" s="103">
        <v>45858</v>
      </c>
      <c r="AG653" s="91">
        <f t="shared" si="163"/>
        <v>53</v>
      </c>
      <c r="AH653" s="103">
        <v>45858</v>
      </c>
      <c r="AI653" s="103">
        <v>45889</v>
      </c>
      <c r="AJ653" s="96">
        <v>252</v>
      </c>
      <c r="AK653" s="91">
        <f t="shared" si="164"/>
        <v>31</v>
      </c>
      <c r="AL653" s="96">
        <f t="shared" si="165"/>
        <v>84</v>
      </c>
      <c r="AM653" s="92"/>
      <c r="AN653" s="91"/>
      <c r="AO653" s="91"/>
    </row>
    <row r="654" spans="1:41" ht="14.5" x14ac:dyDescent="0.25">
      <c r="A654" s="92" t="s">
        <v>1206</v>
      </c>
      <c r="B654" s="91"/>
      <c r="C654" s="119" t="s">
        <v>1207</v>
      </c>
      <c r="D654" s="127" t="s">
        <v>1208</v>
      </c>
      <c r="E654" s="135" t="s">
        <v>97</v>
      </c>
      <c r="F654" s="135" t="s">
        <v>0</v>
      </c>
      <c r="G654" s="58" t="s">
        <v>161</v>
      </c>
      <c r="H654" s="119">
        <v>288</v>
      </c>
      <c r="I654" s="119" t="s">
        <v>89</v>
      </c>
      <c r="J654" s="119" t="s">
        <v>8</v>
      </c>
      <c r="K654" s="120" t="s">
        <v>17</v>
      </c>
      <c r="L654" s="93" t="s">
        <v>3024</v>
      </c>
      <c r="M654" s="94" t="s">
        <v>3301</v>
      </c>
      <c r="N654" s="95" t="s">
        <v>2870</v>
      </c>
      <c r="O654" s="132">
        <v>9</v>
      </c>
      <c r="P654" s="153">
        <f t="shared" ref="P654:P664" si="169">1283/88*O654</f>
        <v>131.21590909090909</v>
      </c>
      <c r="Q654" s="122" t="s">
        <v>16</v>
      </c>
      <c r="R654" s="122">
        <v>6.7</v>
      </c>
      <c r="S654" s="95"/>
      <c r="T654" s="98"/>
      <c r="U654" s="125">
        <f t="shared" ref="U654:U664" si="170">R654*P654+350/209*O654</f>
        <v>894.21836124401921</v>
      </c>
      <c r="V654" s="113">
        <f t="shared" si="167"/>
        <v>3.1049248654306223</v>
      </c>
      <c r="W654" s="114">
        <f t="shared" si="168"/>
        <v>0.44356069506151746</v>
      </c>
      <c r="X654" s="95"/>
      <c r="Y654" s="95"/>
      <c r="Z654" s="102"/>
      <c r="AA654" s="103">
        <v>45815</v>
      </c>
      <c r="AB654" s="103">
        <v>45839</v>
      </c>
      <c r="AC654" s="103"/>
      <c r="AD654" s="102">
        <f>IF(ISNA(VLOOKUP(D654,亚马逊入库配置费!B:F,5,0)),0,VLOOKUP(D654,亚马逊入库配置费!B:F,5,0))</f>
        <v>0.38152156224572797</v>
      </c>
      <c r="AE654" s="102">
        <f t="shared" si="162"/>
        <v>109.87820992676966</v>
      </c>
      <c r="AF654" s="103">
        <v>45858</v>
      </c>
      <c r="AG654" s="91">
        <f t="shared" si="163"/>
        <v>43</v>
      </c>
      <c r="AH654" s="103">
        <v>45858</v>
      </c>
      <c r="AI654" s="103">
        <v>45885</v>
      </c>
      <c r="AJ654" s="91">
        <v>186</v>
      </c>
      <c r="AK654" s="91">
        <f t="shared" si="164"/>
        <v>27</v>
      </c>
      <c r="AL654" s="96">
        <f t="shared" si="165"/>
        <v>70</v>
      </c>
      <c r="AM654" s="92"/>
      <c r="AN654" s="91"/>
      <c r="AO654" s="91"/>
    </row>
    <row r="655" spans="1:41" ht="14.5" x14ac:dyDescent="0.25">
      <c r="A655" s="92" t="s">
        <v>1209</v>
      </c>
      <c r="B655" s="91"/>
      <c r="C655" s="119" t="s">
        <v>1207</v>
      </c>
      <c r="D655" s="127" t="s">
        <v>1208</v>
      </c>
      <c r="E655" s="135" t="s">
        <v>97</v>
      </c>
      <c r="F655" s="135" t="s">
        <v>0</v>
      </c>
      <c r="G655" s="58" t="s">
        <v>1195</v>
      </c>
      <c r="H655" s="119">
        <v>180</v>
      </c>
      <c r="I655" s="119" t="s">
        <v>89</v>
      </c>
      <c r="J655" s="119" t="s">
        <v>8</v>
      </c>
      <c r="K655" s="120" t="s">
        <v>17</v>
      </c>
      <c r="L655" s="93" t="s">
        <v>1195</v>
      </c>
      <c r="M655" s="94" t="s">
        <v>3433</v>
      </c>
      <c r="N655" s="95" t="s">
        <v>2870</v>
      </c>
      <c r="O655" s="132">
        <v>6</v>
      </c>
      <c r="P655" s="153">
        <f t="shared" si="169"/>
        <v>87.477272727272734</v>
      </c>
      <c r="Q655" s="122" t="s">
        <v>16</v>
      </c>
      <c r="R655" s="122">
        <v>6.7</v>
      </c>
      <c r="S655" s="95"/>
      <c r="T655" s="98"/>
      <c r="U655" s="125">
        <f t="shared" si="170"/>
        <v>596.1455741626794</v>
      </c>
      <c r="V655" s="113">
        <f t="shared" si="167"/>
        <v>3.3119198564593302</v>
      </c>
      <c r="W655" s="114">
        <f t="shared" si="168"/>
        <v>0.4731314080656186</v>
      </c>
      <c r="X655" s="95"/>
      <c r="Y655" s="95"/>
      <c r="Z655" s="102"/>
      <c r="AA655" s="103">
        <v>45815</v>
      </c>
      <c r="AB655" s="103">
        <v>45839</v>
      </c>
      <c r="AC655" s="103"/>
      <c r="AD655" s="102">
        <f>IF(ISNA(VLOOKUP(D655,亚马逊入库配置费!B:F,5,0)),0,VLOOKUP(D655,亚马逊入库配置费!B:F,5,0))</f>
        <v>0.38152156224572797</v>
      </c>
      <c r="AE655" s="102">
        <f t="shared" si="162"/>
        <v>68.673881204231037</v>
      </c>
      <c r="AF655" s="103">
        <v>45858</v>
      </c>
      <c r="AG655" s="91">
        <f t="shared" si="163"/>
        <v>43</v>
      </c>
      <c r="AH655" s="103">
        <v>45858</v>
      </c>
      <c r="AI655" s="103">
        <v>45885</v>
      </c>
      <c r="AJ655" s="91">
        <v>179</v>
      </c>
      <c r="AK655" s="91">
        <f t="shared" si="164"/>
        <v>27</v>
      </c>
      <c r="AL655" s="96">
        <f t="shared" si="165"/>
        <v>70</v>
      </c>
      <c r="AM655" s="92"/>
      <c r="AN655" s="91"/>
      <c r="AO655" s="91"/>
    </row>
    <row r="656" spans="1:41" ht="14.5" x14ac:dyDescent="0.25">
      <c r="A656" s="92" t="s">
        <v>1210</v>
      </c>
      <c r="B656" s="91"/>
      <c r="C656" s="119" t="s">
        <v>1207</v>
      </c>
      <c r="D656" s="127" t="s">
        <v>1208</v>
      </c>
      <c r="E656" s="135" t="s">
        <v>97</v>
      </c>
      <c r="F656" s="135" t="s">
        <v>0</v>
      </c>
      <c r="G656" s="58" t="s">
        <v>872</v>
      </c>
      <c r="H656" s="119">
        <v>600</v>
      </c>
      <c r="I656" s="119" t="s">
        <v>89</v>
      </c>
      <c r="J656" s="119" t="s">
        <v>8</v>
      </c>
      <c r="K656" s="120" t="s">
        <v>17</v>
      </c>
      <c r="L656" s="93" t="s">
        <v>872</v>
      </c>
      <c r="M656" s="94" t="s">
        <v>3399</v>
      </c>
      <c r="N656" s="95" t="s">
        <v>2870</v>
      </c>
      <c r="O656" s="132">
        <v>20</v>
      </c>
      <c r="P656" s="153">
        <f t="shared" si="169"/>
        <v>291.59090909090912</v>
      </c>
      <c r="Q656" s="122" t="s">
        <v>16</v>
      </c>
      <c r="R656" s="122">
        <v>6.7</v>
      </c>
      <c r="S656" s="95"/>
      <c r="T656" s="98"/>
      <c r="U656" s="125">
        <f t="shared" si="170"/>
        <v>1987.1519138755984</v>
      </c>
      <c r="V656" s="113">
        <f t="shared" si="167"/>
        <v>3.3119198564593306</v>
      </c>
      <c r="W656" s="114">
        <f t="shared" si="168"/>
        <v>0.47313140806561865</v>
      </c>
      <c r="X656" s="95"/>
      <c r="Y656" s="95"/>
      <c r="Z656" s="102"/>
      <c r="AA656" s="103">
        <v>45815</v>
      </c>
      <c r="AB656" s="103">
        <v>45839</v>
      </c>
      <c r="AC656" s="103"/>
      <c r="AD656" s="102">
        <f>IF(ISNA(VLOOKUP(D656,亚马逊入库配置费!B:F,5,0)),0,VLOOKUP(D656,亚马逊入库配置费!B:F,5,0))</f>
        <v>0.38152156224572797</v>
      </c>
      <c r="AE656" s="102">
        <f t="shared" si="162"/>
        <v>228.91293734743678</v>
      </c>
      <c r="AF656" s="103">
        <v>45858</v>
      </c>
      <c r="AG656" s="91">
        <f t="shared" si="163"/>
        <v>43</v>
      </c>
      <c r="AH656" s="103">
        <v>45858</v>
      </c>
      <c r="AI656" s="103">
        <v>45885</v>
      </c>
      <c r="AJ656" s="91">
        <v>597</v>
      </c>
      <c r="AK656" s="91">
        <f t="shared" si="164"/>
        <v>27</v>
      </c>
      <c r="AL656" s="96">
        <f t="shared" si="165"/>
        <v>70</v>
      </c>
      <c r="AM656" s="92"/>
      <c r="AN656" s="91"/>
      <c r="AO656" s="91"/>
    </row>
    <row r="657" spans="1:41" ht="14.5" x14ac:dyDescent="0.25">
      <c r="A657" s="92" t="s">
        <v>1211</v>
      </c>
      <c r="B657" s="91"/>
      <c r="C657" s="119" t="s">
        <v>1207</v>
      </c>
      <c r="D657" s="127" t="s">
        <v>1208</v>
      </c>
      <c r="E657" s="135" t="s">
        <v>97</v>
      </c>
      <c r="F657" s="135" t="s">
        <v>0</v>
      </c>
      <c r="G657" s="58" t="s">
        <v>1198</v>
      </c>
      <c r="H657" s="119">
        <v>120</v>
      </c>
      <c r="I657" s="119" t="s">
        <v>89</v>
      </c>
      <c r="J657" s="119" t="s">
        <v>8</v>
      </c>
      <c r="K657" s="120" t="s">
        <v>17</v>
      </c>
      <c r="L657" s="93" t="s">
        <v>1198</v>
      </c>
      <c r="M657" s="94" t="s">
        <v>3434</v>
      </c>
      <c r="N657" s="95" t="s">
        <v>2870</v>
      </c>
      <c r="O657" s="132">
        <v>4</v>
      </c>
      <c r="P657" s="153">
        <f t="shared" si="169"/>
        <v>58.31818181818182</v>
      </c>
      <c r="Q657" s="122" t="s">
        <v>16</v>
      </c>
      <c r="R657" s="122">
        <v>6.7</v>
      </c>
      <c r="S657" s="95"/>
      <c r="T657" s="98"/>
      <c r="U657" s="125">
        <f t="shared" si="170"/>
        <v>397.43038277511965</v>
      </c>
      <c r="V657" s="113">
        <f t="shared" si="167"/>
        <v>3.3119198564593306</v>
      </c>
      <c r="W657" s="114">
        <f t="shared" si="168"/>
        <v>0.47313140806561865</v>
      </c>
      <c r="X657" s="95"/>
      <c r="Y657" s="95"/>
      <c r="Z657" s="102"/>
      <c r="AA657" s="103">
        <v>45815</v>
      </c>
      <c r="AB657" s="103">
        <v>45839</v>
      </c>
      <c r="AC657" s="103"/>
      <c r="AD657" s="102">
        <f>IF(ISNA(VLOOKUP(D657,亚马逊入库配置费!B:F,5,0)),0,VLOOKUP(D657,亚马逊入库配置费!B:F,5,0))</f>
        <v>0.38152156224572797</v>
      </c>
      <c r="AE657" s="102">
        <f t="shared" si="162"/>
        <v>45.782587469487353</v>
      </c>
      <c r="AF657" s="103">
        <v>45858</v>
      </c>
      <c r="AG657" s="91">
        <f t="shared" si="163"/>
        <v>43</v>
      </c>
      <c r="AH657" s="103">
        <v>45858</v>
      </c>
      <c r="AI657" s="103">
        <v>45885</v>
      </c>
      <c r="AJ657" s="91">
        <v>121</v>
      </c>
      <c r="AK657" s="91">
        <f t="shared" si="164"/>
        <v>27</v>
      </c>
      <c r="AL657" s="96">
        <f t="shared" si="165"/>
        <v>70</v>
      </c>
      <c r="AM657" s="92"/>
      <c r="AN657" s="91"/>
      <c r="AO657" s="91"/>
    </row>
    <row r="658" spans="1:41" ht="14.5" x14ac:dyDescent="0.25">
      <c r="A658" s="92" t="s">
        <v>1212</v>
      </c>
      <c r="B658" s="91"/>
      <c r="C658" s="119" t="s">
        <v>1207</v>
      </c>
      <c r="D658" s="127" t="s">
        <v>1208</v>
      </c>
      <c r="E658" s="135" t="s">
        <v>97</v>
      </c>
      <c r="F658" s="135" t="s">
        <v>0</v>
      </c>
      <c r="G658" s="58" t="s">
        <v>1213</v>
      </c>
      <c r="H658" s="119">
        <v>320</v>
      </c>
      <c r="I658" s="119" t="s">
        <v>89</v>
      </c>
      <c r="J658" s="119" t="s">
        <v>8</v>
      </c>
      <c r="K658" s="120" t="s">
        <v>17</v>
      </c>
      <c r="L658" s="93" t="s">
        <v>1213</v>
      </c>
      <c r="M658" s="94" t="s">
        <v>3435</v>
      </c>
      <c r="N658" s="95" t="s">
        <v>2867</v>
      </c>
      <c r="O658" s="132">
        <v>8</v>
      </c>
      <c r="P658" s="153">
        <f t="shared" si="169"/>
        <v>116.63636363636364</v>
      </c>
      <c r="Q658" s="122" t="s">
        <v>16</v>
      </c>
      <c r="R658" s="122">
        <v>6.7</v>
      </c>
      <c r="S658" s="95"/>
      <c r="T658" s="98"/>
      <c r="U658" s="125">
        <f t="shared" si="170"/>
        <v>794.86076555023931</v>
      </c>
      <c r="V658" s="113">
        <f t="shared" si="167"/>
        <v>2.4839398923444977</v>
      </c>
      <c r="W658" s="114">
        <f t="shared" si="168"/>
        <v>0.35484855604921395</v>
      </c>
      <c r="X658" s="95"/>
      <c r="Y658" s="95"/>
      <c r="Z658" s="102"/>
      <c r="AA658" s="103">
        <v>45815</v>
      </c>
      <c r="AB658" s="103">
        <v>45839</v>
      </c>
      <c r="AC658" s="103"/>
      <c r="AD658" s="102">
        <f>IF(ISNA(VLOOKUP(D658,亚马逊入库配置费!B:F,5,0)),0,VLOOKUP(D658,亚马逊入库配置费!B:F,5,0))</f>
        <v>0.38152156224572797</v>
      </c>
      <c r="AE658" s="102">
        <f t="shared" si="162"/>
        <v>122.08689991863295</v>
      </c>
      <c r="AF658" s="103">
        <v>45858</v>
      </c>
      <c r="AG658" s="91">
        <f t="shared" si="163"/>
        <v>43</v>
      </c>
      <c r="AH658" s="103">
        <v>45858</v>
      </c>
      <c r="AI658" s="103">
        <v>45885</v>
      </c>
      <c r="AJ658" s="91">
        <v>320</v>
      </c>
      <c r="AK658" s="91">
        <f t="shared" si="164"/>
        <v>27</v>
      </c>
      <c r="AL658" s="96">
        <f t="shared" si="165"/>
        <v>70</v>
      </c>
      <c r="AM658" s="92"/>
      <c r="AN658" s="91"/>
      <c r="AO658" s="91"/>
    </row>
    <row r="659" spans="1:41" ht="14.5" x14ac:dyDescent="0.25">
      <c r="A659" s="92" t="s">
        <v>1214</v>
      </c>
      <c r="B659" s="91"/>
      <c r="C659" s="119" t="s">
        <v>1207</v>
      </c>
      <c r="D659" s="127" t="s">
        <v>1208</v>
      </c>
      <c r="E659" s="135" t="s">
        <v>97</v>
      </c>
      <c r="F659" s="135" t="s">
        <v>0</v>
      </c>
      <c r="G659" s="58" t="s">
        <v>1215</v>
      </c>
      <c r="H659" s="119">
        <v>480</v>
      </c>
      <c r="I659" s="119" t="s">
        <v>89</v>
      </c>
      <c r="J659" s="119" t="s">
        <v>8</v>
      </c>
      <c r="K659" s="120" t="s">
        <v>17</v>
      </c>
      <c r="L659" s="93" t="s">
        <v>3095</v>
      </c>
      <c r="M659" s="94" t="s">
        <v>3436</v>
      </c>
      <c r="N659" s="95" t="s">
        <v>2867</v>
      </c>
      <c r="O659" s="132">
        <v>16</v>
      </c>
      <c r="P659" s="153">
        <f t="shared" si="169"/>
        <v>233.27272727272728</v>
      </c>
      <c r="Q659" s="122" t="s">
        <v>16</v>
      </c>
      <c r="R659" s="122">
        <v>6.7</v>
      </c>
      <c r="S659" s="95"/>
      <c r="T659" s="98"/>
      <c r="U659" s="125">
        <f t="shared" si="170"/>
        <v>1589.7215311004786</v>
      </c>
      <c r="V659" s="113">
        <f t="shared" si="167"/>
        <v>3.3119198564593306</v>
      </c>
      <c r="W659" s="114">
        <f t="shared" si="168"/>
        <v>0.47313140806561865</v>
      </c>
      <c r="X659" s="95"/>
      <c r="Y659" s="95"/>
      <c r="Z659" s="102"/>
      <c r="AA659" s="103">
        <v>45815</v>
      </c>
      <c r="AB659" s="103">
        <v>45839</v>
      </c>
      <c r="AC659" s="103"/>
      <c r="AD659" s="102">
        <f>IF(ISNA(VLOOKUP(D659,亚马逊入库配置费!B:F,5,0)),0,VLOOKUP(D659,亚马逊入库配置费!B:F,5,0))</f>
        <v>0.38152156224572797</v>
      </c>
      <c r="AE659" s="102">
        <f t="shared" si="162"/>
        <v>183.13034987794941</v>
      </c>
      <c r="AF659" s="103">
        <v>45858</v>
      </c>
      <c r="AG659" s="91">
        <f t="shared" si="163"/>
        <v>43</v>
      </c>
      <c r="AH659" s="103">
        <v>45858</v>
      </c>
      <c r="AI659" s="103">
        <v>45885</v>
      </c>
      <c r="AJ659" s="91">
        <v>478</v>
      </c>
      <c r="AK659" s="91">
        <f t="shared" si="164"/>
        <v>27</v>
      </c>
      <c r="AL659" s="96">
        <f t="shared" si="165"/>
        <v>70</v>
      </c>
      <c r="AM659" s="92"/>
      <c r="AN659" s="91"/>
      <c r="AO659" s="91"/>
    </row>
    <row r="660" spans="1:41" ht="14.5" x14ac:dyDescent="0.25">
      <c r="A660" s="92" t="s">
        <v>1216</v>
      </c>
      <c r="B660" s="91"/>
      <c r="C660" s="119" t="s">
        <v>1207</v>
      </c>
      <c r="D660" s="127" t="s">
        <v>1208</v>
      </c>
      <c r="E660" s="135" t="s">
        <v>97</v>
      </c>
      <c r="F660" s="135" t="s">
        <v>0</v>
      </c>
      <c r="G660" s="58" t="s">
        <v>1217</v>
      </c>
      <c r="H660" s="119">
        <v>200</v>
      </c>
      <c r="I660" s="119" t="s">
        <v>89</v>
      </c>
      <c r="J660" s="119" t="s">
        <v>8</v>
      </c>
      <c r="K660" s="120" t="s">
        <v>17</v>
      </c>
      <c r="L660" s="93" t="s">
        <v>1217</v>
      </c>
      <c r="M660" s="94" t="s">
        <v>3437</v>
      </c>
      <c r="N660" s="95" t="s">
        <v>2867</v>
      </c>
      <c r="O660" s="132">
        <v>10</v>
      </c>
      <c r="P660" s="153">
        <f t="shared" si="169"/>
        <v>145.79545454545456</v>
      </c>
      <c r="Q660" s="122" t="s">
        <v>16</v>
      </c>
      <c r="R660" s="122">
        <v>6.7</v>
      </c>
      <c r="S660" s="95"/>
      <c r="T660" s="98"/>
      <c r="U660" s="125">
        <f t="shared" si="170"/>
        <v>993.57595693779922</v>
      </c>
      <c r="V660" s="113">
        <f t="shared" si="167"/>
        <v>4.9678797846889964</v>
      </c>
      <c r="W660" s="114">
        <f t="shared" si="168"/>
        <v>0.70969711209842801</v>
      </c>
      <c r="X660" s="95"/>
      <c r="Y660" s="95"/>
      <c r="Z660" s="102"/>
      <c r="AA660" s="103">
        <v>45815</v>
      </c>
      <c r="AB660" s="103">
        <v>45839</v>
      </c>
      <c r="AC660" s="103"/>
      <c r="AD660" s="102">
        <f>IF(ISNA(VLOOKUP(D660,亚马逊入库配置费!B:F,5,0)),0,VLOOKUP(D660,亚马逊入库配置费!B:F,5,0))</f>
        <v>0.38152156224572797</v>
      </c>
      <c r="AE660" s="102">
        <f t="shared" si="162"/>
        <v>76.304312449145598</v>
      </c>
      <c r="AF660" s="103">
        <v>45858</v>
      </c>
      <c r="AG660" s="91">
        <f t="shared" si="163"/>
        <v>43</v>
      </c>
      <c r="AH660" s="103">
        <v>45858</v>
      </c>
      <c r="AI660" s="103">
        <v>45885</v>
      </c>
      <c r="AJ660" s="91">
        <v>199</v>
      </c>
      <c r="AK660" s="91">
        <f t="shared" si="164"/>
        <v>27</v>
      </c>
      <c r="AL660" s="96">
        <f t="shared" si="165"/>
        <v>70</v>
      </c>
      <c r="AM660" s="92"/>
      <c r="AN660" s="91"/>
      <c r="AO660" s="91"/>
    </row>
    <row r="661" spans="1:41" ht="14.5" x14ac:dyDescent="0.25">
      <c r="A661" s="92" t="s">
        <v>1218</v>
      </c>
      <c r="B661" s="91"/>
      <c r="C661" s="119" t="s">
        <v>1207</v>
      </c>
      <c r="D661" s="127" t="s">
        <v>1208</v>
      </c>
      <c r="E661" s="135" t="s">
        <v>97</v>
      </c>
      <c r="F661" s="135" t="s">
        <v>0</v>
      </c>
      <c r="G661" s="58" t="s">
        <v>173</v>
      </c>
      <c r="H661" s="119">
        <v>90</v>
      </c>
      <c r="I661" s="119" t="s">
        <v>89</v>
      </c>
      <c r="J661" s="119" t="s">
        <v>8</v>
      </c>
      <c r="K661" s="120" t="s">
        <v>17</v>
      </c>
      <c r="L661" s="93" t="s">
        <v>3028</v>
      </c>
      <c r="M661" s="94" t="s">
        <v>3304</v>
      </c>
      <c r="N661" s="95" t="s">
        <v>2876</v>
      </c>
      <c r="O661" s="132">
        <v>3</v>
      </c>
      <c r="P661" s="153">
        <f t="shared" si="169"/>
        <v>43.738636363636367</v>
      </c>
      <c r="Q661" s="122" t="s">
        <v>16</v>
      </c>
      <c r="R661" s="122">
        <v>6.7</v>
      </c>
      <c r="S661" s="95"/>
      <c r="T661" s="98"/>
      <c r="U661" s="125">
        <f t="shared" si="170"/>
        <v>298.0727870813397</v>
      </c>
      <c r="V661" s="113">
        <f t="shared" si="167"/>
        <v>3.3119198564593302</v>
      </c>
      <c r="W661" s="114">
        <f t="shared" si="168"/>
        <v>0.4731314080656186</v>
      </c>
      <c r="X661" s="95"/>
      <c r="Y661" s="95"/>
      <c r="Z661" s="102"/>
      <c r="AA661" s="103">
        <v>45815</v>
      </c>
      <c r="AB661" s="103">
        <v>45839</v>
      </c>
      <c r="AC661" s="103"/>
      <c r="AD661" s="102">
        <f>IF(ISNA(VLOOKUP(D661,亚马逊入库配置费!B:F,5,0)),0,VLOOKUP(D661,亚马逊入库配置费!B:F,5,0))</f>
        <v>0.38152156224572797</v>
      </c>
      <c r="AE661" s="102">
        <f t="shared" si="162"/>
        <v>34.336940602115519</v>
      </c>
      <c r="AF661" s="103">
        <v>45858</v>
      </c>
      <c r="AG661" s="91">
        <f t="shared" si="163"/>
        <v>43</v>
      </c>
      <c r="AH661" s="103">
        <v>45858</v>
      </c>
      <c r="AI661" s="103">
        <v>45885</v>
      </c>
      <c r="AJ661" s="91">
        <v>90</v>
      </c>
      <c r="AK661" s="91">
        <f t="shared" si="164"/>
        <v>27</v>
      </c>
      <c r="AL661" s="96">
        <f t="shared" si="165"/>
        <v>70</v>
      </c>
      <c r="AM661" s="92"/>
      <c r="AN661" s="91"/>
      <c r="AO661" s="91"/>
    </row>
    <row r="662" spans="1:41" ht="14.5" x14ac:dyDescent="0.25">
      <c r="A662" s="92" t="s">
        <v>1219</v>
      </c>
      <c r="B662" s="91"/>
      <c r="C662" s="119" t="s">
        <v>1207</v>
      </c>
      <c r="D662" s="127" t="s">
        <v>1208</v>
      </c>
      <c r="E662" s="135" t="s">
        <v>97</v>
      </c>
      <c r="F662" s="135" t="s">
        <v>0</v>
      </c>
      <c r="G662" s="58" t="s">
        <v>180</v>
      </c>
      <c r="H662" s="119">
        <v>180</v>
      </c>
      <c r="I662" s="119" t="s">
        <v>89</v>
      </c>
      <c r="J662" s="119" t="s">
        <v>8</v>
      </c>
      <c r="K662" s="120" t="s">
        <v>17</v>
      </c>
      <c r="L662" s="93" t="s">
        <v>3031</v>
      </c>
      <c r="M662" s="94" t="s">
        <v>3213</v>
      </c>
      <c r="N662" s="95" t="s">
        <v>2876</v>
      </c>
      <c r="O662" s="132">
        <v>6</v>
      </c>
      <c r="P662" s="153">
        <f t="shared" si="169"/>
        <v>87.477272727272734</v>
      </c>
      <c r="Q662" s="122" t="s">
        <v>16</v>
      </c>
      <c r="R662" s="122">
        <v>6.7</v>
      </c>
      <c r="S662" s="95"/>
      <c r="T662" s="98"/>
      <c r="U662" s="125">
        <f t="shared" si="170"/>
        <v>596.1455741626794</v>
      </c>
      <c r="V662" s="113">
        <f t="shared" si="167"/>
        <v>3.3119198564593302</v>
      </c>
      <c r="W662" s="114">
        <f t="shared" si="168"/>
        <v>0.4731314080656186</v>
      </c>
      <c r="X662" s="95"/>
      <c r="Y662" s="95"/>
      <c r="Z662" s="102"/>
      <c r="AA662" s="103">
        <v>45815</v>
      </c>
      <c r="AB662" s="103">
        <v>45839</v>
      </c>
      <c r="AC662" s="103"/>
      <c r="AD662" s="102">
        <f>IF(ISNA(VLOOKUP(D662,亚马逊入库配置费!B:F,5,0)),0,VLOOKUP(D662,亚马逊入库配置费!B:F,5,0))</f>
        <v>0.38152156224572797</v>
      </c>
      <c r="AE662" s="102">
        <f t="shared" si="162"/>
        <v>68.673881204231037</v>
      </c>
      <c r="AF662" s="103">
        <v>45858</v>
      </c>
      <c r="AG662" s="91">
        <f t="shared" si="163"/>
        <v>43</v>
      </c>
      <c r="AH662" s="103">
        <v>45858</v>
      </c>
      <c r="AI662" s="103">
        <v>45885</v>
      </c>
      <c r="AJ662" s="91">
        <v>179</v>
      </c>
      <c r="AK662" s="91">
        <f t="shared" si="164"/>
        <v>27</v>
      </c>
      <c r="AL662" s="96">
        <f t="shared" si="165"/>
        <v>70</v>
      </c>
      <c r="AM662" s="92"/>
      <c r="AN662" s="91"/>
      <c r="AO662" s="91"/>
    </row>
    <row r="663" spans="1:41" ht="14.5" x14ac:dyDescent="0.25">
      <c r="A663" s="92" t="s">
        <v>1220</v>
      </c>
      <c r="B663" s="91"/>
      <c r="C663" s="119" t="s">
        <v>1207</v>
      </c>
      <c r="D663" s="127" t="s">
        <v>1221</v>
      </c>
      <c r="E663" s="135" t="s">
        <v>115</v>
      </c>
      <c r="F663" s="135" t="s">
        <v>0</v>
      </c>
      <c r="G663" s="159" t="s">
        <v>1222</v>
      </c>
      <c r="H663" s="126">
        <v>60</v>
      </c>
      <c r="I663" s="126" t="s">
        <v>502</v>
      </c>
      <c r="J663" s="126" t="s">
        <v>503</v>
      </c>
      <c r="K663" s="120" t="s">
        <v>17</v>
      </c>
      <c r="L663" s="93" t="s">
        <v>3096</v>
      </c>
      <c r="M663" s="94" t="s">
        <v>3438</v>
      </c>
      <c r="N663" s="95" t="s">
        <v>2878</v>
      </c>
      <c r="O663" s="132">
        <v>2</v>
      </c>
      <c r="P663" s="153">
        <f t="shared" si="169"/>
        <v>29.15909090909091</v>
      </c>
      <c r="Q663" s="122" t="s">
        <v>16</v>
      </c>
      <c r="R663" s="122">
        <v>6.7</v>
      </c>
      <c r="S663" s="95"/>
      <c r="T663" s="98"/>
      <c r="U663" s="125">
        <f t="shared" si="170"/>
        <v>198.71519138755983</v>
      </c>
      <c r="V663" s="113">
        <f t="shared" si="167"/>
        <v>3.3119198564593306</v>
      </c>
      <c r="W663" s="114">
        <f t="shared" si="168"/>
        <v>0.47313140806561865</v>
      </c>
      <c r="X663" s="95"/>
      <c r="Y663" s="95"/>
      <c r="Z663" s="102"/>
      <c r="AA663" s="103">
        <v>45815</v>
      </c>
      <c r="AB663" s="103">
        <v>45839</v>
      </c>
      <c r="AC663" s="103"/>
      <c r="AD663" s="102">
        <f>IF(ISNA(VLOOKUP(D663,亚马逊入库配置费!B:F,5,0)),0,VLOOKUP(D663,亚马逊入库配置费!B:F,5,0))</f>
        <v>0.41</v>
      </c>
      <c r="AE663" s="102">
        <f t="shared" si="162"/>
        <v>24.599999999999998</v>
      </c>
      <c r="AF663" s="103">
        <v>45854</v>
      </c>
      <c r="AG663" s="91">
        <f t="shared" si="163"/>
        <v>39</v>
      </c>
      <c r="AH663" s="103">
        <v>45854</v>
      </c>
      <c r="AI663" s="103">
        <v>45881</v>
      </c>
      <c r="AJ663" s="96">
        <v>60</v>
      </c>
      <c r="AK663" s="91">
        <f t="shared" si="164"/>
        <v>27</v>
      </c>
      <c r="AL663" s="96">
        <f t="shared" si="165"/>
        <v>66</v>
      </c>
      <c r="AM663" s="92"/>
      <c r="AN663" s="91"/>
      <c r="AO663" s="91"/>
    </row>
    <row r="664" spans="1:41" ht="14.5" x14ac:dyDescent="0.25">
      <c r="A664" s="92" t="s">
        <v>1223</v>
      </c>
      <c r="B664" s="91"/>
      <c r="C664" s="119" t="s">
        <v>1207</v>
      </c>
      <c r="D664" s="127" t="s">
        <v>1221</v>
      </c>
      <c r="E664" s="135" t="s">
        <v>115</v>
      </c>
      <c r="F664" s="135" t="s">
        <v>0</v>
      </c>
      <c r="G664" s="159" t="s">
        <v>144</v>
      </c>
      <c r="H664" s="126">
        <v>120</v>
      </c>
      <c r="I664" s="126" t="s">
        <v>502</v>
      </c>
      <c r="J664" s="126" t="s">
        <v>503</v>
      </c>
      <c r="K664" s="120" t="s">
        <v>17</v>
      </c>
      <c r="L664" s="93" t="s">
        <v>3021</v>
      </c>
      <c r="M664" s="94" t="s">
        <v>3297</v>
      </c>
      <c r="N664" s="95" t="s">
        <v>2878</v>
      </c>
      <c r="O664" s="132">
        <v>4</v>
      </c>
      <c r="P664" s="153">
        <f t="shared" si="169"/>
        <v>58.31818181818182</v>
      </c>
      <c r="Q664" s="122" t="s">
        <v>16</v>
      </c>
      <c r="R664" s="122">
        <v>6.7</v>
      </c>
      <c r="S664" s="95"/>
      <c r="T664" s="98"/>
      <c r="U664" s="125">
        <f t="shared" si="170"/>
        <v>397.43038277511965</v>
      </c>
      <c r="V664" s="113">
        <f t="shared" si="167"/>
        <v>3.3119198564593306</v>
      </c>
      <c r="W664" s="114">
        <f t="shared" si="168"/>
        <v>0.47313140806561865</v>
      </c>
      <c r="X664" s="95"/>
      <c r="Y664" s="95"/>
      <c r="Z664" s="102"/>
      <c r="AA664" s="103">
        <v>45815</v>
      </c>
      <c r="AB664" s="103">
        <v>45839</v>
      </c>
      <c r="AC664" s="103"/>
      <c r="AD664" s="102">
        <f>IF(ISNA(VLOOKUP(D664,亚马逊入库配置费!B:F,5,0)),0,VLOOKUP(D664,亚马逊入库配置费!B:F,5,0))</f>
        <v>0.41</v>
      </c>
      <c r="AE664" s="102">
        <f t="shared" si="162"/>
        <v>49.199999999999996</v>
      </c>
      <c r="AF664" s="103">
        <v>45854</v>
      </c>
      <c r="AG664" s="91">
        <f t="shared" si="163"/>
        <v>39</v>
      </c>
      <c r="AH664" s="103">
        <v>45854</v>
      </c>
      <c r="AI664" s="103">
        <v>45881</v>
      </c>
      <c r="AJ664" s="96">
        <v>120</v>
      </c>
      <c r="AK664" s="91">
        <f t="shared" si="164"/>
        <v>27</v>
      </c>
      <c r="AL664" s="96">
        <f t="shared" si="165"/>
        <v>66</v>
      </c>
      <c r="AM664" s="92"/>
      <c r="AN664" s="91"/>
      <c r="AO664" s="91"/>
    </row>
    <row r="665" spans="1:41" ht="14.5" x14ac:dyDescent="0.25">
      <c r="A665" s="92" t="s">
        <v>1224</v>
      </c>
      <c r="B665" s="91"/>
      <c r="C665" s="119" t="s">
        <v>1225</v>
      </c>
      <c r="D665" s="127" t="s">
        <v>1226</v>
      </c>
      <c r="E665" s="135" t="s">
        <v>97</v>
      </c>
      <c r="F665" s="135" t="s">
        <v>0</v>
      </c>
      <c r="G665" s="159" t="s">
        <v>1213</v>
      </c>
      <c r="H665" s="126">
        <v>80</v>
      </c>
      <c r="I665" s="126" t="s">
        <v>1227</v>
      </c>
      <c r="J665" s="126" t="s">
        <v>1115</v>
      </c>
      <c r="K665" s="120" t="s">
        <v>43</v>
      </c>
      <c r="L665" s="93" t="s">
        <v>1213</v>
      </c>
      <c r="M665" s="94" t="s">
        <v>3435</v>
      </c>
      <c r="N665" s="95" t="s">
        <v>2867</v>
      </c>
      <c r="O665" s="132">
        <v>2</v>
      </c>
      <c r="P665" s="153">
        <f>28/2*O665</f>
        <v>28</v>
      </c>
      <c r="Q665" s="122" t="s">
        <v>16</v>
      </c>
      <c r="R665" s="122">
        <v>52</v>
      </c>
      <c r="S665" s="95"/>
      <c r="T665" s="98"/>
      <c r="U665" s="125">
        <f>R665*P665+350/2*O665+7.9+14</f>
        <v>1827.9</v>
      </c>
      <c r="V665" s="113">
        <f t="shared" si="167"/>
        <v>22.848750000000003</v>
      </c>
      <c r="W665" s="114">
        <f t="shared" si="168"/>
        <v>3.2641071428571431</v>
      </c>
      <c r="X665" s="95"/>
      <c r="Y665" s="95"/>
      <c r="Z665" s="102"/>
      <c r="AA665" s="103">
        <v>45815</v>
      </c>
      <c r="AB665" s="103"/>
      <c r="AC665" s="103"/>
      <c r="AD665" s="102">
        <f>IF(ISNA(VLOOKUP(D665,亚马逊入库配置费!B:F,5,0)),0,VLOOKUP(D665,亚马逊入库配置费!B:F,5,0))</f>
        <v>0.34</v>
      </c>
      <c r="AE665" s="102">
        <f t="shared" si="162"/>
        <v>27.200000000000003</v>
      </c>
      <c r="AF665" s="103">
        <v>45851</v>
      </c>
      <c r="AG665" s="91">
        <f t="shared" si="163"/>
        <v>36</v>
      </c>
      <c r="AH665" s="103">
        <v>45851</v>
      </c>
      <c r="AI665" s="103">
        <v>45874</v>
      </c>
      <c r="AJ665" s="96">
        <v>80</v>
      </c>
      <c r="AK665" s="91">
        <f t="shared" si="164"/>
        <v>23</v>
      </c>
      <c r="AL665" s="96">
        <f t="shared" si="165"/>
        <v>59</v>
      </c>
      <c r="AM665" s="92" t="s">
        <v>1228</v>
      </c>
      <c r="AN665" s="91"/>
      <c r="AO665" s="91"/>
    </row>
    <row r="666" spans="1:41" ht="14.5" x14ac:dyDescent="0.25">
      <c r="A666" s="92" t="s">
        <v>1229</v>
      </c>
      <c r="B666" s="91"/>
      <c r="C666" s="119" t="s">
        <v>1230</v>
      </c>
      <c r="D666" s="127" t="s">
        <v>1231</v>
      </c>
      <c r="E666" s="135" t="s">
        <v>97</v>
      </c>
      <c r="F666" s="135" t="s">
        <v>0</v>
      </c>
      <c r="G666" s="159" t="s">
        <v>872</v>
      </c>
      <c r="H666" s="126">
        <v>300</v>
      </c>
      <c r="I666" s="126" t="s">
        <v>502</v>
      </c>
      <c r="J666" s="126" t="s">
        <v>503</v>
      </c>
      <c r="K666" s="120" t="s">
        <v>17</v>
      </c>
      <c r="L666" s="93" t="s">
        <v>872</v>
      </c>
      <c r="M666" s="94" t="s">
        <v>3399</v>
      </c>
      <c r="N666" s="95" t="s">
        <v>2870</v>
      </c>
      <c r="O666" s="163">
        <v>10</v>
      </c>
      <c r="P666" s="153">
        <f>139/10*O666</f>
        <v>139</v>
      </c>
      <c r="Q666" s="122" t="s">
        <v>16</v>
      </c>
      <c r="R666" s="152">
        <v>13.1</v>
      </c>
      <c r="S666" s="95"/>
      <c r="T666" s="98"/>
      <c r="U666" s="125">
        <f>R666*P666+350/10*O666</f>
        <v>2170.8999999999996</v>
      </c>
      <c r="V666" s="113">
        <f t="shared" si="167"/>
        <v>7.2363333333333317</v>
      </c>
      <c r="W666" s="114">
        <f t="shared" si="168"/>
        <v>1.0337619047619044</v>
      </c>
      <c r="X666" s="95"/>
      <c r="Y666" s="95"/>
      <c r="Z666" s="102"/>
      <c r="AA666" s="103">
        <v>45815</v>
      </c>
      <c r="AB666" s="103">
        <v>45830</v>
      </c>
      <c r="AC666" s="103"/>
      <c r="AD666" s="102">
        <f>IF(ISNA(VLOOKUP(D666,亚马逊入库配置费!B:F,5,0)),0,VLOOKUP(D666,亚马逊入库配置费!B:F,5,0))</f>
        <v>0.41</v>
      </c>
      <c r="AE666" s="102">
        <f t="shared" si="162"/>
        <v>122.99999999999999</v>
      </c>
      <c r="AF666" s="103">
        <v>45837</v>
      </c>
      <c r="AG666" s="91">
        <f t="shared" si="163"/>
        <v>22</v>
      </c>
      <c r="AH666" s="103">
        <v>45837</v>
      </c>
      <c r="AI666" s="103">
        <v>45863</v>
      </c>
      <c r="AJ666" s="96">
        <v>299</v>
      </c>
      <c r="AK666" s="91">
        <f t="shared" si="164"/>
        <v>26</v>
      </c>
      <c r="AL666" s="96">
        <f t="shared" si="165"/>
        <v>48</v>
      </c>
      <c r="AM666" s="92"/>
      <c r="AN666" s="91"/>
      <c r="AO666" s="91"/>
    </row>
    <row r="667" spans="1:41" ht="14.5" x14ac:dyDescent="0.25">
      <c r="A667" s="92" t="s">
        <v>1232</v>
      </c>
      <c r="B667" s="91"/>
      <c r="C667" s="119" t="s">
        <v>303</v>
      </c>
      <c r="D667" s="120" t="s">
        <v>1233</v>
      </c>
      <c r="E667" s="135" t="s">
        <v>97</v>
      </c>
      <c r="F667" s="135" t="s">
        <v>0</v>
      </c>
      <c r="G667" s="159" t="s">
        <v>316</v>
      </c>
      <c r="H667" s="126">
        <v>450</v>
      </c>
      <c r="I667" s="126" t="s">
        <v>1234</v>
      </c>
      <c r="J667" s="126" t="s">
        <v>503</v>
      </c>
      <c r="K667" s="120" t="s">
        <v>14</v>
      </c>
      <c r="L667" s="93" t="s">
        <v>3046</v>
      </c>
      <c r="M667" s="94" t="s">
        <v>3333</v>
      </c>
      <c r="N667" s="95" t="s">
        <v>3042</v>
      </c>
      <c r="O667" s="164">
        <v>5</v>
      </c>
      <c r="P667" s="153">
        <f>1/13*O667</f>
        <v>0.38461538461538464</v>
      </c>
      <c r="Q667" s="164" t="s">
        <v>3264</v>
      </c>
      <c r="R667" s="165">
        <v>1900</v>
      </c>
      <c r="S667" s="95"/>
      <c r="T667" s="98"/>
      <c r="U667" s="125">
        <f>R667*P667+200/13*O667</f>
        <v>807.69230769230774</v>
      </c>
      <c r="V667" s="113">
        <f t="shared" si="167"/>
        <v>1.7948717948717949</v>
      </c>
      <c r="W667" s="114">
        <f t="shared" si="168"/>
        <v>0.25641025641025644</v>
      </c>
      <c r="X667" s="95"/>
      <c r="Y667" s="95"/>
      <c r="Z667" s="102"/>
      <c r="AA667" s="103">
        <v>45815</v>
      </c>
      <c r="AB667" s="103">
        <v>45837</v>
      </c>
      <c r="AC667" s="103"/>
      <c r="AD667" s="102">
        <f>IF(ISNA(VLOOKUP(D667,亚马逊入库配置费!B:F,5,0)),0,VLOOKUP(D667,亚马逊入库配置费!B:F,5,0))</f>
        <v>0.34</v>
      </c>
      <c r="AE667" s="102">
        <f t="shared" si="162"/>
        <v>153</v>
      </c>
      <c r="AF667" s="103">
        <v>45852</v>
      </c>
      <c r="AG667" s="91">
        <f t="shared" si="163"/>
        <v>37</v>
      </c>
      <c r="AH667" s="103">
        <v>45852</v>
      </c>
      <c r="AI667" s="103">
        <v>45884</v>
      </c>
      <c r="AJ667" s="96">
        <v>339</v>
      </c>
      <c r="AK667" s="91">
        <f t="shared" si="164"/>
        <v>32</v>
      </c>
      <c r="AL667" s="96">
        <f t="shared" si="165"/>
        <v>69</v>
      </c>
      <c r="AM667" s="92"/>
      <c r="AN667" s="91"/>
      <c r="AO667" s="91"/>
    </row>
    <row r="668" spans="1:41" ht="14.5" x14ac:dyDescent="0.25">
      <c r="A668" s="92" t="s">
        <v>1235</v>
      </c>
      <c r="B668" s="91"/>
      <c r="C668" s="119" t="s">
        <v>303</v>
      </c>
      <c r="D668" s="120" t="s">
        <v>1236</v>
      </c>
      <c r="E668" s="135" t="s">
        <v>115</v>
      </c>
      <c r="F668" s="135" t="s">
        <v>0</v>
      </c>
      <c r="G668" s="159" t="s">
        <v>316</v>
      </c>
      <c r="H668" s="126">
        <v>270</v>
      </c>
      <c r="I668" s="126" t="s">
        <v>1234</v>
      </c>
      <c r="J668" s="126" t="s">
        <v>503</v>
      </c>
      <c r="K668" s="120" t="s">
        <v>14</v>
      </c>
      <c r="L668" s="93" t="s">
        <v>3046</v>
      </c>
      <c r="M668" s="94" t="s">
        <v>3333</v>
      </c>
      <c r="N668" s="95" t="s">
        <v>3042</v>
      </c>
      <c r="O668" s="164">
        <v>3</v>
      </c>
      <c r="P668" s="153">
        <f>1/13*O668</f>
        <v>0.23076923076923078</v>
      </c>
      <c r="Q668" s="164" t="s">
        <v>3264</v>
      </c>
      <c r="R668" s="165">
        <v>1900</v>
      </c>
      <c r="S668" s="95"/>
      <c r="T668" s="98"/>
      <c r="U668" s="125">
        <f>R668*P668+200/13*O668</f>
        <v>484.61538461538464</v>
      </c>
      <c r="V668" s="113">
        <f t="shared" si="167"/>
        <v>1.7948717948717949</v>
      </c>
      <c r="W668" s="114">
        <f t="shared" si="168"/>
        <v>0.25641025641025644</v>
      </c>
      <c r="X668" s="95"/>
      <c r="Y668" s="95"/>
      <c r="Z668" s="102"/>
      <c r="AA668" s="103">
        <v>45815</v>
      </c>
      <c r="AB668" s="103">
        <v>45837</v>
      </c>
      <c r="AC668" s="103"/>
      <c r="AD668" s="102">
        <f>IF(ISNA(VLOOKUP(D668,亚马逊入库配置费!B:F,5,0)),0,VLOOKUP(D668,亚马逊入库配置费!B:F,5,0))</f>
        <v>0.34</v>
      </c>
      <c r="AE668" s="102">
        <f t="shared" si="162"/>
        <v>91.800000000000011</v>
      </c>
      <c r="AF668" s="103">
        <v>45852</v>
      </c>
      <c r="AG668" s="91">
        <f t="shared" si="163"/>
        <v>37</v>
      </c>
      <c r="AH668" s="103">
        <v>45852</v>
      </c>
      <c r="AI668" s="103">
        <v>45884</v>
      </c>
      <c r="AJ668" s="96">
        <v>301</v>
      </c>
      <c r="AK668" s="91">
        <f t="shared" si="164"/>
        <v>32</v>
      </c>
      <c r="AL668" s="96">
        <f t="shared" si="165"/>
        <v>69</v>
      </c>
      <c r="AM668" s="92"/>
      <c r="AN668" s="91"/>
      <c r="AO668" s="91"/>
    </row>
    <row r="669" spans="1:41" ht="14.5" x14ac:dyDescent="0.25">
      <c r="A669" s="92" t="s">
        <v>1237</v>
      </c>
      <c r="B669" s="91"/>
      <c r="C669" s="119" t="s">
        <v>303</v>
      </c>
      <c r="D669" s="120" t="s">
        <v>1238</v>
      </c>
      <c r="E669" s="135" t="s">
        <v>115</v>
      </c>
      <c r="F669" s="135" t="s">
        <v>0</v>
      </c>
      <c r="G669" s="159" t="s">
        <v>316</v>
      </c>
      <c r="H669" s="126">
        <v>270</v>
      </c>
      <c r="I669" s="126" t="s">
        <v>1234</v>
      </c>
      <c r="J669" s="126" t="s">
        <v>503</v>
      </c>
      <c r="K669" s="120" t="s">
        <v>14</v>
      </c>
      <c r="L669" s="93" t="s">
        <v>3046</v>
      </c>
      <c r="M669" s="94" t="s">
        <v>3333</v>
      </c>
      <c r="N669" s="95" t="s">
        <v>3042</v>
      </c>
      <c r="O669" s="164">
        <v>3</v>
      </c>
      <c r="P669" s="153">
        <f>1/13*O669</f>
        <v>0.23076923076923078</v>
      </c>
      <c r="Q669" s="164" t="s">
        <v>3264</v>
      </c>
      <c r="R669" s="165">
        <v>1900</v>
      </c>
      <c r="S669" s="95"/>
      <c r="T669" s="98"/>
      <c r="U669" s="125">
        <f>R669*P669+200/13*O669</f>
        <v>484.61538461538464</v>
      </c>
      <c r="V669" s="113">
        <f t="shared" si="167"/>
        <v>1.7948717948717949</v>
      </c>
      <c r="W669" s="114">
        <f t="shared" si="168"/>
        <v>0.25641025641025644</v>
      </c>
      <c r="X669" s="95"/>
      <c r="Y669" s="95"/>
      <c r="Z669" s="102"/>
      <c r="AA669" s="103">
        <v>45815</v>
      </c>
      <c r="AB669" s="103">
        <v>45837</v>
      </c>
      <c r="AC669" s="103"/>
      <c r="AD669" s="102">
        <f>IF(ISNA(VLOOKUP(D669,亚马逊入库配置费!B:F,5,0)),0,VLOOKUP(D669,亚马逊入库配置费!B:F,5,0))</f>
        <v>0.34</v>
      </c>
      <c r="AE669" s="102">
        <f t="shared" si="162"/>
        <v>91.800000000000011</v>
      </c>
      <c r="AF669" s="103">
        <v>45855</v>
      </c>
      <c r="AG669" s="91">
        <f t="shared" si="163"/>
        <v>40</v>
      </c>
      <c r="AH669" s="103">
        <v>45855</v>
      </c>
      <c r="AI669" s="103">
        <v>45880</v>
      </c>
      <c r="AJ669" s="96">
        <v>294</v>
      </c>
      <c r="AK669" s="91">
        <f t="shared" si="164"/>
        <v>25</v>
      </c>
      <c r="AL669" s="96">
        <f t="shared" si="165"/>
        <v>65</v>
      </c>
      <c r="AM669" s="92"/>
      <c r="AN669" s="91"/>
      <c r="AO669" s="91"/>
    </row>
    <row r="670" spans="1:41" ht="14.5" x14ac:dyDescent="0.25">
      <c r="A670" s="92" t="s">
        <v>1239</v>
      </c>
      <c r="B670" s="91"/>
      <c r="C670" s="119" t="s">
        <v>303</v>
      </c>
      <c r="D670" s="120" t="s">
        <v>1240</v>
      </c>
      <c r="E670" s="135" t="s">
        <v>115</v>
      </c>
      <c r="F670" s="135" t="s">
        <v>0</v>
      </c>
      <c r="G670" s="159" t="s">
        <v>316</v>
      </c>
      <c r="H670" s="126">
        <v>180</v>
      </c>
      <c r="I670" s="126" t="s">
        <v>1234</v>
      </c>
      <c r="J670" s="126" t="s">
        <v>503</v>
      </c>
      <c r="K670" s="120" t="s">
        <v>14</v>
      </c>
      <c r="L670" s="93" t="s">
        <v>3046</v>
      </c>
      <c r="M670" s="94" t="s">
        <v>3333</v>
      </c>
      <c r="N670" s="95" t="s">
        <v>3042</v>
      </c>
      <c r="O670" s="164">
        <v>2</v>
      </c>
      <c r="P670" s="153">
        <f>1/13*O670</f>
        <v>0.15384615384615385</v>
      </c>
      <c r="Q670" s="164" t="s">
        <v>3264</v>
      </c>
      <c r="R670" s="165">
        <v>1900</v>
      </c>
      <c r="S670" s="95"/>
      <c r="T670" s="98"/>
      <c r="U670" s="125">
        <f>R670*P670+200/13*O670</f>
        <v>323.07692307692309</v>
      </c>
      <c r="V670" s="113">
        <f t="shared" si="167"/>
        <v>1.7948717948717949</v>
      </c>
      <c r="W670" s="114">
        <f t="shared" si="168"/>
        <v>0.25641025641025644</v>
      </c>
      <c r="X670" s="95"/>
      <c r="Y670" s="95"/>
      <c r="Z670" s="102"/>
      <c r="AA670" s="103">
        <v>45815</v>
      </c>
      <c r="AB670" s="103">
        <v>45837</v>
      </c>
      <c r="AC670" s="103"/>
      <c r="AD670" s="102">
        <f>IF(ISNA(VLOOKUP(D670,亚马逊入库配置费!B:F,5,0)),0,VLOOKUP(D670,亚马逊入库配置费!B:F,5,0))</f>
        <v>0.34</v>
      </c>
      <c r="AE670" s="102">
        <f t="shared" si="162"/>
        <v>61.2</v>
      </c>
      <c r="AF670" s="103">
        <v>45852</v>
      </c>
      <c r="AG670" s="91">
        <f t="shared" si="163"/>
        <v>37</v>
      </c>
      <c r="AH670" s="103">
        <v>45852</v>
      </c>
      <c r="AI670" s="103">
        <v>45874</v>
      </c>
      <c r="AJ670" s="96">
        <v>179</v>
      </c>
      <c r="AK670" s="91">
        <f t="shared" si="164"/>
        <v>22</v>
      </c>
      <c r="AL670" s="96">
        <f t="shared" si="165"/>
        <v>59</v>
      </c>
      <c r="AM670" s="92"/>
      <c r="AN670" s="91"/>
      <c r="AO670" s="91"/>
    </row>
    <row r="671" spans="1:41" ht="14.5" x14ac:dyDescent="0.25">
      <c r="A671" s="92" t="s">
        <v>1241</v>
      </c>
      <c r="B671" s="91"/>
      <c r="C671" s="119" t="s">
        <v>1207</v>
      </c>
      <c r="D671" s="120" t="s">
        <v>1242</v>
      </c>
      <c r="E671" s="135" t="s">
        <v>287</v>
      </c>
      <c r="F671" s="135" t="s">
        <v>0</v>
      </c>
      <c r="G671" s="159" t="s">
        <v>282</v>
      </c>
      <c r="H671" s="126">
        <v>592</v>
      </c>
      <c r="I671" s="126" t="s">
        <v>502</v>
      </c>
      <c r="J671" s="126" t="s">
        <v>503</v>
      </c>
      <c r="K671" s="120" t="s">
        <v>14</v>
      </c>
      <c r="L671" s="93" t="s">
        <v>2783</v>
      </c>
      <c r="M671" s="94" t="s">
        <v>3322</v>
      </c>
      <c r="N671" s="95" t="s">
        <v>2785</v>
      </c>
      <c r="O671" s="163">
        <v>37</v>
      </c>
      <c r="P671" s="153">
        <f>1755/121*O671</f>
        <v>536.65289256198355</v>
      </c>
      <c r="Q671" s="122" t="s">
        <v>16</v>
      </c>
      <c r="R671" s="152">
        <v>7</v>
      </c>
      <c r="S671" s="95"/>
      <c r="T671" s="98"/>
      <c r="U671" s="125">
        <f>R671*P671+350/209*O671</f>
        <v>3818.5319704219232</v>
      </c>
      <c r="V671" s="113">
        <f t="shared" si="167"/>
        <v>6.4502229230100054</v>
      </c>
      <c r="W671" s="114">
        <f t="shared" si="168"/>
        <v>0.9214604175728579</v>
      </c>
      <c r="X671" s="95"/>
      <c r="Y671" s="95"/>
      <c r="Z671" s="102"/>
      <c r="AA671" s="103">
        <v>45815</v>
      </c>
      <c r="AB671" s="103">
        <v>45839</v>
      </c>
      <c r="AC671" s="103"/>
      <c r="AD671" s="102">
        <f>IF(ISNA(VLOOKUP(D671,亚马逊入库配置费!B:F,5,0)),0,VLOOKUP(D671,亚马逊入库配置费!B:F,5,0))</f>
        <v>0.49</v>
      </c>
      <c r="AE671" s="102">
        <f t="shared" si="162"/>
        <v>290.08</v>
      </c>
      <c r="AF671" s="103">
        <v>45848</v>
      </c>
      <c r="AG671" s="91">
        <f t="shared" si="163"/>
        <v>33</v>
      </c>
      <c r="AH671" s="103">
        <v>45848</v>
      </c>
      <c r="AI671" s="103">
        <v>45885</v>
      </c>
      <c r="AJ671" s="96">
        <v>592</v>
      </c>
      <c r="AK671" s="91">
        <f t="shared" si="164"/>
        <v>37</v>
      </c>
      <c r="AL671" s="96">
        <f t="shared" si="165"/>
        <v>70</v>
      </c>
      <c r="AM671" s="92"/>
      <c r="AN671" s="91"/>
      <c r="AO671" s="91"/>
    </row>
    <row r="672" spans="1:41" ht="14.5" x14ac:dyDescent="0.25">
      <c r="A672" s="92" t="s">
        <v>1243</v>
      </c>
      <c r="B672" s="91"/>
      <c r="C672" s="119" t="s">
        <v>1207</v>
      </c>
      <c r="D672" s="120" t="s">
        <v>1242</v>
      </c>
      <c r="E672" s="135" t="s">
        <v>287</v>
      </c>
      <c r="F672" s="135" t="s">
        <v>0</v>
      </c>
      <c r="G672" s="159" t="s">
        <v>284</v>
      </c>
      <c r="H672" s="126">
        <v>688</v>
      </c>
      <c r="I672" s="126" t="s">
        <v>502</v>
      </c>
      <c r="J672" s="126" t="s">
        <v>503</v>
      </c>
      <c r="K672" s="120" t="s">
        <v>14</v>
      </c>
      <c r="L672" s="93" t="s">
        <v>3039</v>
      </c>
      <c r="M672" s="94" t="s">
        <v>3323</v>
      </c>
      <c r="N672" s="95" t="s">
        <v>2915</v>
      </c>
      <c r="O672" s="163">
        <v>43</v>
      </c>
      <c r="P672" s="153">
        <f>1755/121*O672</f>
        <v>623.67768595041321</v>
      </c>
      <c r="Q672" s="122" t="s">
        <v>16</v>
      </c>
      <c r="R672" s="152">
        <v>7</v>
      </c>
      <c r="S672" s="95"/>
      <c r="T672" s="98"/>
      <c r="U672" s="125">
        <f>R672*P672+350/209*O672</f>
        <v>4437.7533710308826</v>
      </c>
      <c r="V672" s="113">
        <f t="shared" si="167"/>
        <v>6.4502229230100037</v>
      </c>
      <c r="W672" s="114">
        <f t="shared" si="168"/>
        <v>0.92146041757285768</v>
      </c>
      <c r="X672" s="95"/>
      <c r="Y672" s="95"/>
      <c r="Z672" s="102"/>
      <c r="AA672" s="103">
        <v>45815</v>
      </c>
      <c r="AB672" s="103">
        <v>45839</v>
      </c>
      <c r="AC672" s="103"/>
      <c r="AD672" s="102">
        <f>IF(ISNA(VLOOKUP(D672,亚马逊入库配置费!B:F,5,0)),0,VLOOKUP(D672,亚马逊入库配置费!B:F,5,0))</f>
        <v>0.49</v>
      </c>
      <c r="AE672" s="102">
        <f t="shared" si="162"/>
        <v>337.12</v>
      </c>
      <c r="AF672" s="103">
        <v>45848</v>
      </c>
      <c r="AG672" s="91">
        <f t="shared" si="163"/>
        <v>33</v>
      </c>
      <c r="AH672" s="103">
        <v>45848</v>
      </c>
      <c r="AI672" s="103">
        <v>45885</v>
      </c>
      <c r="AJ672" s="96">
        <v>688</v>
      </c>
      <c r="AK672" s="91">
        <f t="shared" si="164"/>
        <v>37</v>
      </c>
      <c r="AL672" s="96">
        <f t="shared" si="165"/>
        <v>70</v>
      </c>
      <c r="AM672" s="92"/>
      <c r="AN672" s="91"/>
      <c r="AO672" s="91"/>
    </row>
    <row r="673" spans="1:41" ht="14.5" x14ac:dyDescent="0.25">
      <c r="A673" s="92" t="s">
        <v>1244</v>
      </c>
      <c r="B673" s="91"/>
      <c r="C673" s="119" t="s">
        <v>1207</v>
      </c>
      <c r="D673" s="120" t="s">
        <v>1242</v>
      </c>
      <c r="E673" s="135" t="s">
        <v>287</v>
      </c>
      <c r="F673" s="135" t="s">
        <v>0</v>
      </c>
      <c r="G673" s="159" t="s">
        <v>663</v>
      </c>
      <c r="H673" s="126">
        <v>240</v>
      </c>
      <c r="I673" s="126" t="s">
        <v>502</v>
      </c>
      <c r="J673" s="126" t="s">
        <v>503</v>
      </c>
      <c r="K673" s="120" t="s">
        <v>14</v>
      </c>
      <c r="L673" s="93" t="s">
        <v>3080</v>
      </c>
      <c r="M673" s="94" t="s">
        <v>3383</v>
      </c>
      <c r="N673" s="95" t="s">
        <v>2915</v>
      </c>
      <c r="O673" s="163">
        <v>15</v>
      </c>
      <c r="P673" s="153">
        <f>1755/121*O673</f>
        <v>217.5619834710744</v>
      </c>
      <c r="Q673" s="122" t="s">
        <v>16</v>
      </c>
      <c r="R673" s="152">
        <v>7</v>
      </c>
      <c r="S673" s="95"/>
      <c r="T673" s="98"/>
      <c r="U673" s="125">
        <f>R673*P673+350/209*O673</f>
        <v>1548.0535015224011</v>
      </c>
      <c r="V673" s="113">
        <f t="shared" si="167"/>
        <v>6.4502229230100045</v>
      </c>
      <c r="W673" s="114">
        <f t="shared" si="168"/>
        <v>0.92146041757285779</v>
      </c>
      <c r="X673" s="95"/>
      <c r="Y673" s="95"/>
      <c r="Z673" s="102"/>
      <c r="AA673" s="103">
        <v>45815</v>
      </c>
      <c r="AB673" s="103">
        <v>45839</v>
      </c>
      <c r="AC673" s="103"/>
      <c r="AD673" s="102">
        <f>IF(ISNA(VLOOKUP(D673,亚马逊入库配置费!B:F,5,0)),0,VLOOKUP(D673,亚马逊入库配置费!B:F,5,0))</f>
        <v>0.49</v>
      </c>
      <c r="AE673" s="102">
        <f t="shared" si="162"/>
        <v>117.6</v>
      </c>
      <c r="AF673" s="103">
        <v>45848</v>
      </c>
      <c r="AG673" s="91">
        <f t="shared" si="163"/>
        <v>33</v>
      </c>
      <c r="AH673" s="103">
        <v>45848</v>
      </c>
      <c r="AI673" s="103">
        <v>45885</v>
      </c>
      <c r="AJ673" s="96">
        <v>241</v>
      </c>
      <c r="AK673" s="91">
        <f t="shared" si="164"/>
        <v>37</v>
      </c>
      <c r="AL673" s="96">
        <f t="shared" si="165"/>
        <v>70</v>
      </c>
      <c r="AM673" s="92"/>
      <c r="AN673" s="91"/>
      <c r="AO673" s="91"/>
    </row>
    <row r="674" spans="1:41" ht="14.5" x14ac:dyDescent="0.25">
      <c r="A674" s="92" t="s">
        <v>1245</v>
      </c>
      <c r="B674" s="91"/>
      <c r="C674" s="119" t="s">
        <v>1207</v>
      </c>
      <c r="D674" s="120" t="s">
        <v>1242</v>
      </c>
      <c r="E674" s="135" t="s">
        <v>287</v>
      </c>
      <c r="F674" s="135" t="s">
        <v>0</v>
      </c>
      <c r="G674" s="159" t="s">
        <v>779</v>
      </c>
      <c r="H674" s="126">
        <v>320</v>
      </c>
      <c r="I674" s="126" t="s">
        <v>502</v>
      </c>
      <c r="J674" s="126" t="s">
        <v>503</v>
      </c>
      <c r="K674" s="120" t="s">
        <v>14</v>
      </c>
      <c r="L674" s="93" t="s">
        <v>3083</v>
      </c>
      <c r="M674" s="94" t="s">
        <v>3394</v>
      </c>
      <c r="N674" s="95" t="s">
        <v>2793</v>
      </c>
      <c r="O674" s="163">
        <v>20</v>
      </c>
      <c r="P674" s="153">
        <f>1755/121*O674</f>
        <v>290.08264462809916</v>
      </c>
      <c r="Q674" s="122" t="s">
        <v>16</v>
      </c>
      <c r="R674" s="152">
        <v>7</v>
      </c>
      <c r="S674" s="95"/>
      <c r="T674" s="98"/>
      <c r="U674" s="125">
        <f>R674*P674+350/209*O674</f>
        <v>2064.0713353632013</v>
      </c>
      <c r="V674" s="113">
        <f t="shared" si="167"/>
        <v>6.4502229230100045</v>
      </c>
      <c r="W674" s="114">
        <f t="shared" si="168"/>
        <v>0.92146041757285779</v>
      </c>
      <c r="X674" s="95"/>
      <c r="Y674" s="95"/>
      <c r="Z674" s="102"/>
      <c r="AA674" s="103">
        <v>45815</v>
      </c>
      <c r="AB674" s="103">
        <v>45839</v>
      </c>
      <c r="AC674" s="103"/>
      <c r="AD674" s="102">
        <f>IF(ISNA(VLOOKUP(D674,亚马逊入库配置费!B:F,5,0)),0,VLOOKUP(D674,亚马逊入库配置费!B:F,5,0))</f>
        <v>0.49</v>
      </c>
      <c r="AE674" s="102">
        <f t="shared" si="162"/>
        <v>156.80000000000001</v>
      </c>
      <c r="AF674" s="103">
        <v>45848</v>
      </c>
      <c r="AG674" s="91">
        <f t="shared" si="163"/>
        <v>33</v>
      </c>
      <c r="AH674" s="103">
        <v>45848</v>
      </c>
      <c r="AI674" s="103">
        <v>45885</v>
      </c>
      <c r="AJ674" s="96">
        <v>320</v>
      </c>
      <c r="AK674" s="91">
        <f t="shared" si="164"/>
        <v>37</v>
      </c>
      <c r="AL674" s="96">
        <f t="shared" si="165"/>
        <v>70</v>
      </c>
      <c r="AM674" s="92"/>
      <c r="AN674" s="91"/>
      <c r="AO674" s="91"/>
    </row>
    <row r="675" spans="1:41" ht="14.5" x14ac:dyDescent="0.25">
      <c r="A675" s="92" t="s">
        <v>1246</v>
      </c>
      <c r="B675" s="91"/>
      <c r="C675" s="119" t="s">
        <v>1207</v>
      </c>
      <c r="D675" s="120" t="s">
        <v>1242</v>
      </c>
      <c r="E675" s="135" t="s">
        <v>287</v>
      </c>
      <c r="F675" s="135" t="s">
        <v>0</v>
      </c>
      <c r="G675" s="159" t="s">
        <v>551</v>
      </c>
      <c r="H675" s="126">
        <v>96</v>
      </c>
      <c r="I675" s="126" t="s">
        <v>502</v>
      </c>
      <c r="J675" s="126" t="s">
        <v>503</v>
      </c>
      <c r="K675" s="120" t="s">
        <v>14</v>
      </c>
      <c r="L675" s="93" t="s">
        <v>3072</v>
      </c>
      <c r="M675" s="94" t="s">
        <v>3372</v>
      </c>
      <c r="N675" s="95" t="s">
        <v>2793</v>
      </c>
      <c r="O675" s="163">
        <v>6</v>
      </c>
      <c r="P675" s="153">
        <f>1755/121*O675</f>
        <v>87.024793388429757</v>
      </c>
      <c r="Q675" s="122" t="s">
        <v>16</v>
      </c>
      <c r="R675" s="152">
        <v>7</v>
      </c>
      <c r="S675" s="95"/>
      <c r="T675" s="98"/>
      <c r="U675" s="125">
        <f>R675*P675+350/209*O675</f>
        <v>619.22140060896049</v>
      </c>
      <c r="V675" s="113">
        <f t="shared" si="167"/>
        <v>6.4502229230100054</v>
      </c>
      <c r="W675" s="114">
        <f t="shared" si="168"/>
        <v>0.9214604175728579</v>
      </c>
      <c r="X675" s="95"/>
      <c r="Y675" s="95"/>
      <c r="Z675" s="102"/>
      <c r="AA675" s="103">
        <v>45815</v>
      </c>
      <c r="AB675" s="103">
        <v>45839</v>
      </c>
      <c r="AC675" s="103"/>
      <c r="AD675" s="102">
        <f>IF(ISNA(VLOOKUP(D675,亚马逊入库配置费!B:F,5,0)),0,VLOOKUP(D675,亚马逊入库配置费!B:F,5,0))</f>
        <v>0.49</v>
      </c>
      <c r="AE675" s="102">
        <f t="shared" si="162"/>
        <v>47.04</v>
      </c>
      <c r="AF675" s="103">
        <v>45848</v>
      </c>
      <c r="AG675" s="91">
        <f t="shared" si="163"/>
        <v>33</v>
      </c>
      <c r="AH675" s="103">
        <v>45848</v>
      </c>
      <c r="AI675" s="103">
        <v>45885</v>
      </c>
      <c r="AJ675" s="96">
        <v>96</v>
      </c>
      <c r="AK675" s="91">
        <f t="shared" si="164"/>
        <v>37</v>
      </c>
      <c r="AL675" s="96">
        <f t="shared" si="165"/>
        <v>70</v>
      </c>
      <c r="AM675" s="92"/>
      <c r="AN675" s="91"/>
      <c r="AO675" s="91"/>
    </row>
    <row r="676" spans="1:41" ht="14.5" x14ac:dyDescent="0.25">
      <c r="A676" s="92" t="s">
        <v>1247</v>
      </c>
      <c r="B676" s="91"/>
      <c r="C676" s="119" t="s">
        <v>1248</v>
      </c>
      <c r="D676" s="120" t="s">
        <v>1249</v>
      </c>
      <c r="E676" s="135" t="s">
        <v>97</v>
      </c>
      <c r="F676" s="135" t="s">
        <v>0</v>
      </c>
      <c r="G676" s="159" t="s">
        <v>228</v>
      </c>
      <c r="H676" s="126">
        <v>200</v>
      </c>
      <c r="I676" s="126" t="s">
        <v>502</v>
      </c>
      <c r="J676" s="126" t="s">
        <v>503</v>
      </c>
      <c r="K676" s="120" t="s">
        <v>50</v>
      </c>
      <c r="L676" s="93" t="s">
        <v>3036</v>
      </c>
      <c r="M676" s="94" t="s">
        <v>3315</v>
      </c>
      <c r="N676" s="95" t="s">
        <v>2870</v>
      </c>
      <c r="O676" s="132">
        <v>10</v>
      </c>
      <c r="P676" s="153">
        <f t="shared" ref="P676:P684" si="171">1054/74*O676</f>
        <v>142.43243243243245</v>
      </c>
      <c r="Q676" s="122" t="s">
        <v>16</v>
      </c>
      <c r="R676" s="122">
        <v>5</v>
      </c>
      <c r="S676" s="95"/>
      <c r="T676" s="98"/>
      <c r="U676" s="125">
        <f t="shared" ref="U676:U686" si="172">R676*P676+350/118*O676</f>
        <v>741.82317911131486</v>
      </c>
      <c r="V676" s="113">
        <f t="shared" si="167"/>
        <v>3.7091158955565744</v>
      </c>
      <c r="W676" s="114">
        <f t="shared" si="168"/>
        <v>0.52987369936522488</v>
      </c>
      <c r="X676" s="95"/>
      <c r="Y676" s="95"/>
      <c r="Z676" s="102"/>
      <c r="AA676" s="103">
        <v>45821</v>
      </c>
      <c r="AB676" s="103">
        <v>45844</v>
      </c>
      <c r="AC676" s="103"/>
      <c r="AD676" s="102">
        <f>IF(ISNA(VLOOKUP(D676,亚马逊入库配置费!B:F,5,0)),0,VLOOKUP(D676,亚马逊入库配置费!B:F,5,0))</f>
        <v>0.367674418604651</v>
      </c>
      <c r="AE676" s="102">
        <f t="shared" si="162"/>
        <v>73.534883720930196</v>
      </c>
      <c r="AF676" s="103">
        <v>45858</v>
      </c>
      <c r="AG676" s="91">
        <f t="shared" si="163"/>
        <v>37</v>
      </c>
      <c r="AH676" s="103">
        <v>45858</v>
      </c>
      <c r="AI676" s="103">
        <v>45896</v>
      </c>
      <c r="AJ676" s="96">
        <v>200</v>
      </c>
      <c r="AK676" s="91">
        <f t="shared" si="164"/>
        <v>38</v>
      </c>
      <c r="AL676" s="96">
        <f t="shared" si="165"/>
        <v>75</v>
      </c>
      <c r="AM676" s="92"/>
      <c r="AN676" s="91"/>
      <c r="AO676" s="91"/>
    </row>
    <row r="677" spans="1:41" ht="14.5" x14ac:dyDescent="0.25">
      <c r="A677" s="92" t="s">
        <v>1250</v>
      </c>
      <c r="B677" s="91"/>
      <c r="C677" s="119" t="s">
        <v>1248</v>
      </c>
      <c r="D677" s="120" t="s">
        <v>1249</v>
      </c>
      <c r="E677" s="135" t="s">
        <v>97</v>
      </c>
      <c r="F677" s="135" t="s">
        <v>0</v>
      </c>
      <c r="G677" s="159" t="s">
        <v>163</v>
      </c>
      <c r="H677" s="126">
        <v>680</v>
      </c>
      <c r="I677" s="126" t="s">
        <v>502</v>
      </c>
      <c r="J677" s="126" t="s">
        <v>503</v>
      </c>
      <c r="K677" s="120" t="s">
        <v>50</v>
      </c>
      <c r="L677" s="93" t="s">
        <v>2881</v>
      </c>
      <c r="M677" s="94" t="s">
        <v>3302</v>
      </c>
      <c r="N677" s="95" t="s">
        <v>2870</v>
      </c>
      <c r="O677" s="132">
        <v>17</v>
      </c>
      <c r="P677" s="153">
        <f t="shared" si="171"/>
        <v>242.13513513513516</v>
      </c>
      <c r="Q677" s="122" t="s">
        <v>16</v>
      </c>
      <c r="R677" s="122">
        <v>5</v>
      </c>
      <c r="S677" s="95"/>
      <c r="T677" s="98"/>
      <c r="U677" s="125">
        <f t="shared" si="172"/>
        <v>1261.0994044892352</v>
      </c>
      <c r="V677" s="113">
        <f t="shared" si="167"/>
        <v>1.854557947778287</v>
      </c>
      <c r="W677" s="114">
        <f t="shared" si="168"/>
        <v>0.26493684968261244</v>
      </c>
      <c r="X677" s="95"/>
      <c r="Y677" s="95"/>
      <c r="Z677" s="102"/>
      <c r="AA677" s="103">
        <v>45821</v>
      </c>
      <c r="AB677" s="103">
        <v>45844</v>
      </c>
      <c r="AC677" s="103"/>
      <c r="AD677" s="102">
        <f>IF(ISNA(VLOOKUP(D677,亚马逊入库配置费!B:F,5,0)),0,VLOOKUP(D677,亚马逊入库配置费!B:F,5,0))</f>
        <v>0.367674418604651</v>
      </c>
      <c r="AE677" s="102">
        <f t="shared" si="162"/>
        <v>250.01860465116269</v>
      </c>
      <c r="AF677" s="103">
        <v>45858</v>
      </c>
      <c r="AG677" s="91">
        <f t="shared" si="163"/>
        <v>37</v>
      </c>
      <c r="AH677" s="103">
        <v>45858</v>
      </c>
      <c r="AI677" s="103">
        <v>45896</v>
      </c>
      <c r="AJ677" s="96">
        <v>634</v>
      </c>
      <c r="AK677" s="91">
        <f t="shared" si="164"/>
        <v>38</v>
      </c>
      <c r="AL677" s="96">
        <f t="shared" si="165"/>
        <v>75</v>
      </c>
      <c r="AM677" s="92"/>
      <c r="AN677" s="91"/>
      <c r="AO677" s="91"/>
    </row>
    <row r="678" spans="1:41" ht="14.5" x14ac:dyDescent="0.25">
      <c r="A678" s="92" t="s">
        <v>1251</v>
      </c>
      <c r="B678" s="91"/>
      <c r="C678" s="119" t="s">
        <v>1248</v>
      </c>
      <c r="D678" s="120" t="s">
        <v>1249</v>
      </c>
      <c r="E678" s="135" t="s">
        <v>97</v>
      </c>
      <c r="F678" s="135" t="s">
        <v>0</v>
      </c>
      <c r="G678" s="159" t="s">
        <v>872</v>
      </c>
      <c r="H678" s="126">
        <v>480</v>
      </c>
      <c r="I678" s="126" t="s">
        <v>502</v>
      </c>
      <c r="J678" s="126" t="s">
        <v>503</v>
      </c>
      <c r="K678" s="120" t="s">
        <v>50</v>
      </c>
      <c r="L678" s="93" t="s">
        <v>872</v>
      </c>
      <c r="M678" s="94" t="s">
        <v>3399</v>
      </c>
      <c r="N678" s="95" t="s">
        <v>2870</v>
      </c>
      <c r="O678" s="132">
        <v>16</v>
      </c>
      <c r="P678" s="153">
        <f t="shared" si="171"/>
        <v>227.8918918918919</v>
      </c>
      <c r="Q678" s="122" t="s">
        <v>16</v>
      </c>
      <c r="R678" s="122">
        <v>5</v>
      </c>
      <c r="S678" s="95"/>
      <c r="T678" s="98"/>
      <c r="U678" s="125">
        <f t="shared" si="172"/>
        <v>1186.9170865781036</v>
      </c>
      <c r="V678" s="113">
        <f t="shared" si="167"/>
        <v>2.4727439303710494</v>
      </c>
      <c r="W678" s="114">
        <f t="shared" si="168"/>
        <v>0.35324913291014992</v>
      </c>
      <c r="X678" s="95"/>
      <c r="Y678" s="95"/>
      <c r="Z678" s="102"/>
      <c r="AA678" s="103">
        <v>45821</v>
      </c>
      <c r="AB678" s="103">
        <v>45844</v>
      </c>
      <c r="AC678" s="103"/>
      <c r="AD678" s="102">
        <f>IF(ISNA(VLOOKUP(D678,亚马逊入库配置费!B:F,5,0)),0,VLOOKUP(D678,亚马逊入库配置费!B:F,5,0))</f>
        <v>0.367674418604651</v>
      </c>
      <c r="AE678" s="102">
        <f t="shared" si="162"/>
        <v>176.48372093023249</v>
      </c>
      <c r="AF678" s="103">
        <v>45858</v>
      </c>
      <c r="AG678" s="91">
        <f t="shared" si="163"/>
        <v>37</v>
      </c>
      <c r="AH678" s="103">
        <v>45858</v>
      </c>
      <c r="AI678" s="103">
        <v>45896</v>
      </c>
      <c r="AJ678" s="96">
        <v>480</v>
      </c>
      <c r="AK678" s="91">
        <f t="shared" si="164"/>
        <v>38</v>
      </c>
      <c r="AL678" s="96">
        <f t="shared" si="165"/>
        <v>75</v>
      </c>
      <c r="AM678" s="92"/>
      <c r="AN678" s="91"/>
      <c r="AO678" s="91"/>
    </row>
    <row r="679" spans="1:41" ht="14.5" x14ac:dyDescent="0.25">
      <c r="A679" s="92" t="s">
        <v>1252</v>
      </c>
      <c r="B679" s="91"/>
      <c r="C679" s="119" t="s">
        <v>1248</v>
      </c>
      <c r="D679" s="120" t="s">
        <v>1249</v>
      </c>
      <c r="E679" s="135" t="s">
        <v>97</v>
      </c>
      <c r="F679" s="135" t="s">
        <v>0</v>
      </c>
      <c r="G679" s="159" t="s">
        <v>876</v>
      </c>
      <c r="H679" s="126">
        <v>160</v>
      </c>
      <c r="I679" s="126" t="s">
        <v>502</v>
      </c>
      <c r="J679" s="126" t="s">
        <v>503</v>
      </c>
      <c r="K679" s="120" t="s">
        <v>50</v>
      </c>
      <c r="L679" s="93" t="s">
        <v>876</v>
      </c>
      <c r="M679" s="94" t="s">
        <v>3400</v>
      </c>
      <c r="N679" s="95" t="s">
        <v>2870</v>
      </c>
      <c r="O679" s="132">
        <v>4</v>
      </c>
      <c r="P679" s="153">
        <f t="shared" si="171"/>
        <v>56.972972972972975</v>
      </c>
      <c r="Q679" s="122" t="s">
        <v>16</v>
      </c>
      <c r="R679" s="122">
        <v>5</v>
      </c>
      <c r="S679" s="95"/>
      <c r="T679" s="98"/>
      <c r="U679" s="125">
        <f t="shared" si="172"/>
        <v>296.72927164452591</v>
      </c>
      <c r="V679" s="113">
        <f t="shared" si="167"/>
        <v>1.854557947778287</v>
      </c>
      <c r="W679" s="114">
        <f t="shared" si="168"/>
        <v>0.26493684968261244</v>
      </c>
      <c r="X679" s="95"/>
      <c r="Y679" s="95"/>
      <c r="Z679" s="102"/>
      <c r="AA679" s="103">
        <v>45821</v>
      </c>
      <c r="AB679" s="103">
        <v>45844</v>
      </c>
      <c r="AC679" s="103"/>
      <c r="AD679" s="102">
        <f>IF(ISNA(VLOOKUP(D679,亚马逊入库配置费!B:F,5,0)),0,VLOOKUP(D679,亚马逊入库配置费!B:F,5,0))</f>
        <v>0.367674418604651</v>
      </c>
      <c r="AE679" s="102">
        <f t="shared" si="162"/>
        <v>58.82790697674416</v>
      </c>
      <c r="AF679" s="103">
        <v>45858</v>
      </c>
      <c r="AG679" s="91">
        <f t="shared" si="163"/>
        <v>37</v>
      </c>
      <c r="AH679" s="103">
        <v>45858</v>
      </c>
      <c r="AI679" s="103">
        <v>45896</v>
      </c>
      <c r="AJ679" s="96">
        <v>153</v>
      </c>
      <c r="AK679" s="91">
        <f t="shared" si="164"/>
        <v>38</v>
      </c>
      <c r="AL679" s="96">
        <f t="shared" si="165"/>
        <v>75</v>
      </c>
      <c r="AM679" s="92"/>
      <c r="AN679" s="91"/>
      <c r="AO679" s="91"/>
    </row>
    <row r="680" spans="1:41" ht="14.5" x14ac:dyDescent="0.25">
      <c r="A680" s="92" t="s">
        <v>1253</v>
      </c>
      <c r="B680" s="91"/>
      <c r="C680" s="119" t="s">
        <v>1248</v>
      </c>
      <c r="D680" s="120" t="s">
        <v>1249</v>
      </c>
      <c r="E680" s="135" t="s">
        <v>97</v>
      </c>
      <c r="F680" s="135" t="s">
        <v>0</v>
      </c>
      <c r="G680" s="159" t="s">
        <v>355</v>
      </c>
      <c r="H680" s="126">
        <v>200</v>
      </c>
      <c r="I680" s="126" t="s">
        <v>502</v>
      </c>
      <c r="J680" s="126" t="s">
        <v>503</v>
      </c>
      <c r="K680" s="120" t="s">
        <v>50</v>
      </c>
      <c r="L680" s="93" t="s">
        <v>2712</v>
      </c>
      <c r="M680" s="94" t="s">
        <v>3216</v>
      </c>
      <c r="N680" s="95" t="s">
        <v>3050</v>
      </c>
      <c r="O680" s="132">
        <v>1</v>
      </c>
      <c r="P680" s="153">
        <f t="shared" si="171"/>
        <v>14.243243243243244</v>
      </c>
      <c r="Q680" s="122" t="s">
        <v>16</v>
      </c>
      <c r="R680" s="122">
        <v>5</v>
      </c>
      <c r="S680" s="95"/>
      <c r="T680" s="98"/>
      <c r="U680" s="125">
        <f t="shared" si="172"/>
        <v>74.182317911131477</v>
      </c>
      <c r="V680" s="113">
        <f t="shared" si="167"/>
        <v>0.37091158955565739</v>
      </c>
      <c r="W680" s="114">
        <f t="shared" si="168"/>
        <v>5.2987369936522484E-2</v>
      </c>
      <c r="X680" s="95"/>
      <c r="Y680" s="95"/>
      <c r="Z680" s="102"/>
      <c r="AA680" s="103">
        <v>45821</v>
      </c>
      <c r="AB680" s="103">
        <v>45844</v>
      </c>
      <c r="AC680" s="103"/>
      <c r="AD680" s="102">
        <f>IF(ISNA(VLOOKUP(D680,亚马逊入库配置费!B:F,5,0)),0,VLOOKUP(D680,亚马逊入库配置费!B:F,5,0))</f>
        <v>0.367674418604651</v>
      </c>
      <c r="AE680" s="102">
        <f t="shared" si="162"/>
        <v>73.534883720930196</v>
      </c>
      <c r="AF680" s="103">
        <v>45858</v>
      </c>
      <c r="AG680" s="91">
        <f t="shared" si="163"/>
        <v>37</v>
      </c>
      <c r="AH680" s="103">
        <v>45858</v>
      </c>
      <c r="AI680" s="103">
        <v>45896</v>
      </c>
      <c r="AJ680" s="96">
        <v>199</v>
      </c>
      <c r="AK680" s="91">
        <f t="shared" si="164"/>
        <v>38</v>
      </c>
      <c r="AL680" s="96">
        <f t="shared" si="165"/>
        <v>75</v>
      </c>
      <c r="AM680" s="92"/>
      <c r="AN680" s="91"/>
      <c r="AO680" s="91"/>
    </row>
    <row r="681" spans="1:41" ht="14.5" x14ac:dyDescent="0.25">
      <c r="A681" s="92" t="s">
        <v>1254</v>
      </c>
      <c r="B681" s="91"/>
      <c r="C681" s="119" t="s">
        <v>1248</v>
      </c>
      <c r="D681" s="120" t="s">
        <v>1255</v>
      </c>
      <c r="E681" s="135" t="s">
        <v>115</v>
      </c>
      <c r="F681" s="135" t="s">
        <v>0</v>
      </c>
      <c r="G681" s="159" t="s">
        <v>1186</v>
      </c>
      <c r="H681" s="126">
        <v>210</v>
      </c>
      <c r="I681" s="126" t="s">
        <v>502</v>
      </c>
      <c r="J681" s="126" t="s">
        <v>503</v>
      </c>
      <c r="K681" s="120" t="s">
        <v>50</v>
      </c>
      <c r="L681" s="93" t="s">
        <v>1186</v>
      </c>
      <c r="M681" s="94" t="s">
        <v>3431</v>
      </c>
      <c r="N681" s="95" t="s">
        <v>2869</v>
      </c>
      <c r="O681" s="132">
        <v>7</v>
      </c>
      <c r="P681" s="153">
        <f t="shared" si="171"/>
        <v>99.702702702702709</v>
      </c>
      <c r="Q681" s="122" t="s">
        <v>16</v>
      </c>
      <c r="R681" s="122">
        <v>5</v>
      </c>
      <c r="S681" s="95"/>
      <c r="T681" s="98"/>
      <c r="U681" s="125">
        <f t="shared" si="172"/>
        <v>519.27622537792035</v>
      </c>
      <c r="V681" s="113">
        <f t="shared" si="167"/>
        <v>2.4727439303710494</v>
      </c>
      <c r="W681" s="114">
        <f t="shared" si="168"/>
        <v>0.35324913291014992</v>
      </c>
      <c r="X681" s="95"/>
      <c r="Y681" s="95"/>
      <c r="Z681" s="102"/>
      <c r="AA681" s="103">
        <v>45821</v>
      </c>
      <c r="AB681" s="103">
        <v>45844</v>
      </c>
      <c r="AC681" s="103"/>
      <c r="AD681" s="102">
        <f>IF(ISNA(VLOOKUP(D681,亚马逊入库配置费!B:F,5,0)),0,VLOOKUP(D681,亚马逊入库配置费!B:F,5,0))</f>
        <v>0.41</v>
      </c>
      <c r="AE681" s="102">
        <f t="shared" si="162"/>
        <v>86.1</v>
      </c>
      <c r="AF681" s="103">
        <v>45858</v>
      </c>
      <c r="AG681" s="91">
        <f t="shared" si="163"/>
        <v>37</v>
      </c>
      <c r="AH681" s="103">
        <v>45858</v>
      </c>
      <c r="AI681" s="103">
        <v>45899</v>
      </c>
      <c r="AJ681" s="96">
        <v>210</v>
      </c>
      <c r="AK681" s="91">
        <f t="shared" si="164"/>
        <v>41</v>
      </c>
      <c r="AL681" s="96">
        <f t="shared" si="165"/>
        <v>78</v>
      </c>
      <c r="AM681" s="92"/>
      <c r="AN681" s="91"/>
      <c r="AO681" s="91"/>
    </row>
    <row r="682" spans="1:41" ht="14.5" x14ac:dyDescent="0.25">
      <c r="A682" s="92" t="s">
        <v>1256</v>
      </c>
      <c r="B682" s="91"/>
      <c r="C682" s="119" t="s">
        <v>1248</v>
      </c>
      <c r="D682" s="120" t="s">
        <v>1255</v>
      </c>
      <c r="E682" s="135" t="s">
        <v>115</v>
      </c>
      <c r="F682" s="135" t="s">
        <v>0</v>
      </c>
      <c r="G682" s="159" t="s">
        <v>1190</v>
      </c>
      <c r="H682" s="126">
        <v>210</v>
      </c>
      <c r="I682" s="126" t="s">
        <v>502</v>
      </c>
      <c r="J682" s="126" t="s">
        <v>503</v>
      </c>
      <c r="K682" s="120" t="s">
        <v>50</v>
      </c>
      <c r="L682" s="93" t="s">
        <v>1190</v>
      </c>
      <c r="M682" s="94" t="s">
        <v>3432</v>
      </c>
      <c r="N682" s="95" t="s">
        <v>2869</v>
      </c>
      <c r="O682" s="132">
        <v>7</v>
      </c>
      <c r="P682" s="153">
        <f t="shared" si="171"/>
        <v>99.702702702702709</v>
      </c>
      <c r="Q682" s="122" t="s">
        <v>16</v>
      </c>
      <c r="R682" s="122">
        <v>5</v>
      </c>
      <c r="S682" s="95"/>
      <c r="T682" s="98"/>
      <c r="U682" s="125">
        <f t="shared" si="172"/>
        <v>519.27622537792035</v>
      </c>
      <c r="V682" s="113">
        <f t="shared" si="167"/>
        <v>2.4727439303710494</v>
      </c>
      <c r="W682" s="114">
        <f t="shared" si="168"/>
        <v>0.35324913291014992</v>
      </c>
      <c r="X682" s="95"/>
      <c r="Y682" s="95"/>
      <c r="Z682" s="102"/>
      <c r="AA682" s="103">
        <v>45821</v>
      </c>
      <c r="AB682" s="103">
        <v>45844</v>
      </c>
      <c r="AC682" s="103"/>
      <c r="AD682" s="102">
        <f>IF(ISNA(VLOOKUP(D682,亚马逊入库配置费!B:F,5,0)),0,VLOOKUP(D682,亚马逊入库配置费!B:F,5,0))</f>
        <v>0.41</v>
      </c>
      <c r="AE682" s="102">
        <f t="shared" si="162"/>
        <v>86.1</v>
      </c>
      <c r="AF682" s="103">
        <v>45858</v>
      </c>
      <c r="AG682" s="91">
        <f t="shared" si="163"/>
        <v>37</v>
      </c>
      <c r="AH682" s="103">
        <v>45858</v>
      </c>
      <c r="AI682" s="103">
        <v>45899</v>
      </c>
      <c r="AJ682" s="96">
        <v>210</v>
      </c>
      <c r="AK682" s="91">
        <f t="shared" si="164"/>
        <v>41</v>
      </c>
      <c r="AL682" s="96">
        <f t="shared" si="165"/>
        <v>78</v>
      </c>
      <c r="AM682" s="92"/>
      <c r="AN682" s="91"/>
      <c r="AO682" s="91"/>
    </row>
    <row r="683" spans="1:41" ht="14.5" x14ac:dyDescent="0.25">
      <c r="A683" s="92" t="s">
        <v>1257</v>
      </c>
      <c r="B683" s="91"/>
      <c r="C683" s="119" t="s">
        <v>1248</v>
      </c>
      <c r="D683" s="120" t="s">
        <v>1255</v>
      </c>
      <c r="E683" s="135" t="s">
        <v>115</v>
      </c>
      <c r="F683" s="135" t="s">
        <v>0</v>
      </c>
      <c r="G683" s="159" t="s">
        <v>608</v>
      </c>
      <c r="H683" s="126">
        <v>120</v>
      </c>
      <c r="I683" s="126" t="s">
        <v>502</v>
      </c>
      <c r="J683" s="126" t="s">
        <v>503</v>
      </c>
      <c r="K683" s="120" t="s">
        <v>50</v>
      </c>
      <c r="L683" s="93" t="s">
        <v>3076</v>
      </c>
      <c r="M683" s="94" t="s">
        <v>3377</v>
      </c>
      <c r="N683" s="95" t="s">
        <v>2869</v>
      </c>
      <c r="O683" s="132">
        <v>4</v>
      </c>
      <c r="P683" s="153">
        <f t="shared" si="171"/>
        <v>56.972972972972975</v>
      </c>
      <c r="Q683" s="122" t="s">
        <v>16</v>
      </c>
      <c r="R683" s="122">
        <v>5</v>
      </c>
      <c r="S683" s="95"/>
      <c r="T683" s="98"/>
      <c r="U683" s="125">
        <f t="shared" si="172"/>
        <v>296.72927164452591</v>
      </c>
      <c r="V683" s="113">
        <f t="shared" si="167"/>
        <v>2.4727439303710494</v>
      </c>
      <c r="W683" s="114">
        <f t="shared" si="168"/>
        <v>0.35324913291014992</v>
      </c>
      <c r="X683" s="95"/>
      <c r="Y683" s="95"/>
      <c r="Z683" s="102"/>
      <c r="AA683" s="103">
        <v>45821</v>
      </c>
      <c r="AB683" s="103">
        <v>45844</v>
      </c>
      <c r="AC683" s="103"/>
      <c r="AD683" s="102">
        <f>IF(ISNA(VLOOKUP(D683,亚马逊入库配置费!B:F,5,0)),0,VLOOKUP(D683,亚马逊入库配置费!B:F,5,0))</f>
        <v>0.41</v>
      </c>
      <c r="AE683" s="102">
        <f t="shared" si="162"/>
        <v>49.199999999999996</v>
      </c>
      <c r="AF683" s="103">
        <v>45858</v>
      </c>
      <c r="AG683" s="91">
        <f t="shared" si="163"/>
        <v>37</v>
      </c>
      <c r="AH683" s="103">
        <v>45858</v>
      </c>
      <c r="AI683" s="103">
        <v>45899</v>
      </c>
      <c r="AJ683" s="96">
        <v>120</v>
      </c>
      <c r="AK683" s="91">
        <f t="shared" si="164"/>
        <v>41</v>
      </c>
      <c r="AL683" s="96">
        <f t="shared" si="165"/>
        <v>78</v>
      </c>
      <c r="AM683" s="92"/>
      <c r="AN683" s="91"/>
      <c r="AO683" s="91"/>
    </row>
    <row r="684" spans="1:41" ht="14.5" x14ac:dyDescent="0.25">
      <c r="A684" s="92" t="s">
        <v>1258</v>
      </c>
      <c r="B684" s="91"/>
      <c r="C684" s="119" t="s">
        <v>1248</v>
      </c>
      <c r="D684" s="120" t="s">
        <v>1255</v>
      </c>
      <c r="E684" s="135" t="s">
        <v>115</v>
      </c>
      <c r="F684" s="135" t="s">
        <v>0</v>
      </c>
      <c r="G684" s="159" t="s">
        <v>213</v>
      </c>
      <c r="H684" s="126">
        <v>240</v>
      </c>
      <c r="I684" s="126" t="s">
        <v>502</v>
      </c>
      <c r="J684" s="126" t="s">
        <v>503</v>
      </c>
      <c r="K684" s="120" t="s">
        <v>50</v>
      </c>
      <c r="L684" s="93" t="s">
        <v>3035</v>
      </c>
      <c r="M684" s="94" t="s">
        <v>3313</v>
      </c>
      <c r="N684" s="95" t="s">
        <v>2869</v>
      </c>
      <c r="O684" s="132">
        <v>8</v>
      </c>
      <c r="P684" s="153">
        <f t="shared" si="171"/>
        <v>113.94594594594595</v>
      </c>
      <c r="Q684" s="122" t="s">
        <v>16</v>
      </c>
      <c r="R684" s="122">
        <v>5</v>
      </c>
      <c r="S684" s="95"/>
      <c r="T684" s="98"/>
      <c r="U684" s="125">
        <f t="shared" si="172"/>
        <v>593.45854328905182</v>
      </c>
      <c r="V684" s="113">
        <f t="shared" si="167"/>
        <v>2.4727439303710494</v>
      </c>
      <c r="W684" s="114">
        <f t="shared" si="168"/>
        <v>0.35324913291014992</v>
      </c>
      <c r="X684" s="95"/>
      <c r="Y684" s="95"/>
      <c r="Z684" s="102"/>
      <c r="AA684" s="103">
        <v>45821</v>
      </c>
      <c r="AB684" s="103">
        <v>45844</v>
      </c>
      <c r="AC684" s="103"/>
      <c r="AD684" s="102">
        <f>IF(ISNA(VLOOKUP(D684,亚马逊入库配置费!B:F,5,0)),0,VLOOKUP(D684,亚马逊入库配置费!B:F,5,0))</f>
        <v>0.41</v>
      </c>
      <c r="AE684" s="102">
        <f t="shared" si="162"/>
        <v>98.399999999999991</v>
      </c>
      <c r="AF684" s="103">
        <v>45858</v>
      </c>
      <c r="AG684" s="91">
        <f t="shared" si="163"/>
        <v>37</v>
      </c>
      <c r="AH684" s="103">
        <v>45858</v>
      </c>
      <c r="AI684" s="103">
        <v>45899</v>
      </c>
      <c r="AJ684" s="96">
        <v>241</v>
      </c>
      <c r="AK684" s="91">
        <f t="shared" si="164"/>
        <v>41</v>
      </c>
      <c r="AL684" s="96">
        <f t="shared" si="165"/>
        <v>78</v>
      </c>
      <c r="AM684" s="92"/>
      <c r="AN684" s="91"/>
      <c r="AO684" s="91"/>
    </row>
    <row r="685" spans="1:41" ht="14.5" x14ac:dyDescent="0.25">
      <c r="A685" s="92" t="s">
        <v>1259</v>
      </c>
      <c r="B685" s="91"/>
      <c r="C685" s="119" t="s">
        <v>1248</v>
      </c>
      <c r="D685" s="120" t="s">
        <v>1260</v>
      </c>
      <c r="E685" s="135" t="s">
        <v>97</v>
      </c>
      <c r="F685" s="135" t="s">
        <v>0</v>
      </c>
      <c r="G685" s="159" t="s">
        <v>88</v>
      </c>
      <c r="H685" s="126">
        <v>432</v>
      </c>
      <c r="I685" s="126" t="s">
        <v>502</v>
      </c>
      <c r="J685" s="126" t="s">
        <v>503</v>
      </c>
      <c r="K685" s="120" t="s">
        <v>17</v>
      </c>
      <c r="L685" s="93" t="s">
        <v>3014</v>
      </c>
      <c r="M685" s="94" t="s">
        <v>3286</v>
      </c>
      <c r="N685" s="95" t="s">
        <v>2821</v>
      </c>
      <c r="O685" s="132">
        <v>24</v>
      </c>
      <c r="P685" s="153">
        <f>936/44*O685</f>
        <v>510.54545454545456</v>
      </c>
      <c r="Q685" s="122" t="s">
        <v>16</v>
      </c>
      <c r="R685" s="122">
        <v>7.5</v>
      </c>
      <c r="S685" s="95"/>
      <c r="T685" s="98"/>
      <c r="U685" s="125">
        <f t="shared" si="172"/>
        <v>3900.277349768875</v>
      </c>
      <c r="V685" s="113">
        <f t="shared" si="167"/>
        <v>9.0284197911316557</v>
      </c>
      <c r="W685" s="114">
        <f t="shared" si="168"/>
        <v>1.2897742558759508</v>
      </c>
      <c r="X685" s="95"/>
      <c r="Y685" s="95"/>
      <c r="Z685" s="102"/>
      <c r="AA685" s="103">
        <v>45821</v>
      </c>
      <c r="AB685" s="103">
        <v>45844</v>
      </c>
      <c r="AC685" s="103"/>
      <c r="AD685" s="102">
        <f>IF(ISNA(VLOOKUP(D685,亚马逊入库配置费!B:F,5,0)),0,VLOOKUP(D685,亚马逊入库配置费!B:F,5,0))</f>
        <v>0.49</v>
      </c>
      <c r="AE685" s="102">
        <f t="shared" si="162"/>
        <v>211.68</v>
      </c>
      <c r="AF685" s="103">
        <v>45857</v>
      </c>
      <c r="AG685" s="91">
        <f t="shared" si="163"/>
        <v>36</v>
      </c>
      <c r="AH685" s="103">
        <v>45857</v>
      </c>
      <c r="AI685" s="103">
        <v>45892</v>
      </c>
      <c r="AJ685" s="96">
        <v>432</v>
      </c>
      <c r="AK685" s="91">
        <f t="shared" si="164"/>
        <v>35</v>
      </c>
      <c r="AL685" s="96">
        <f t="shared" si="165"/>
        <v>71</v>
      </c>
      <c r="AM685" s="92"/>
      <c r="AN685" s="91"/>
      <c r="AO685" s="91"/>
    </row>
    <row r="686" spans="1:41" ht="14.5" x14ac:dyDescent="0.25">
      <c r="A686" s="92" t="s">
        <v>1261</v>
      </c>
      <c r="B686" s="91"/>
      <c r="C686" s="119" t="s">
        <v>1248</v>
      </c>
      <c r="D686" s="120" t="s">
        <v>1260</v>
      </c>
      <c r="E686" s="135" t="s">
        <v>97</v>
      </c>
      <c r="F686" s="135" t="s">
        <v>0</v>
      </c>
      <c r="G686" s="159" t="s">
        <v>93</v>
      </c>
      <c r="H686" s="126">
        <v>360</v>
      </c>
      <c r="I686" s="126" t="s">
        <v>502</v>
      </c>
      <c r="J686" s="126" t="s">
        <v>503</v>
      </c>
      <c r="K686" s="120" t="s">
        <v>17</v>
      </c>
      <c r="L686" s="93" t="s">
        <v>3015</v>
      </c>
      <c r="M686" s="94" t="s">
        <v>3288</v>
      </c>
      <c r="N686" s="95" t="s">
        <v>2821</v>
      </c>
      <c r="O686" s="132">
        <v>20</v>
      </c>
      <c r="P686" s="153">
        <f>936/44*O686</f>
        <v>425.4545454545455</v>
      </c>
      <c r="Q686" s="122" t="s">
        <v>16</v>
      </c>
      <c r="R686" s="122">
        <v>7.5</v>
      </c>
      <c r="S686" s="95"/>
      <c r="T686" s="98"/>
      <c r="U686" s="125">
        <f t="shared" si="172"/>
        <v>3250.2311248073961</v>
      </c>
      <c r="V686" s="113">
        <f t="shared" si="167"/>
        <v>9.0284197911316557</v>
      </c>
      <c r="W686" s="114">
        <f t="shared" si="168"/>
        <v>1.2897742558759508</v>
      </c>
      <c r="X686" s="95"/>
      <c r="Y686" s="95"/>
      <c r="Z686" s="102"/>
      <c r="AA686" s="103">
        <v>45821</v>
      </c>
      <c r="AB686" s="118">
        <v>45844</v>
      </c>
      <c r="AC686" s="103"/>
      <c r="AD686" s="102">
        <f>IF(ISNA(VLOOKUP(D686,亚马逊入库配置费!B:F,5,0)),0,VLOOKUP(D686,亚马逊入库配置费!B:F,5,0))</f>
        <v>0.49</v>
      </c>
      <c r="AE686" s="102">
        <f t="shared" si="162"/>
        <v>176.4</v>
      </c>
      <c r="AF686" s="103">
        <v>45857</v>
      </c>
      <c r="AG686" s="91">
        <f t="shared" si="163"/>
        <v>36</v>
      </c>
      <c r="AH686" s="103">
        <v>45857</v>
      </c>
      <c r="AI686" s="103">
        <v>45892</v>
      </c>
      <c r="AJ686" s="96">
        <v>360</v>
      </c>
      <c r="AK686" s="91">
        <f t="shared" si="164"/>
        <v>35</v>
      </c>
      <c r="AL686" s="96">
        <f t="shared" si="165"/>
        <v>71</v>
      </c>
      <c r="AM686" s="92"/>
      <c r="AN686" s="91"/>
      <c r="AO686" s="91"/>
    </row>
    <row r="687" spans="1:41" ht="14.5" x14ac:dyDescent="0.25">
      <c r="A687" s="92" t="s">
        <v>1262</v>
      </c>
      <c r="B687" s="91"/>
      <c r="C687" s="119" t="s">
        <v>1263</v>
      </c>
      <c r="D687" s="120" t="s">
        <v>1264</v>
      </c>
      <c r="E687" s="135" t="s">
        <v>295</v>
      </c>
      <c r="F687" s="135" t="s">
        <v>87</v>
      </c>
      <c r="G687" s="159" t="s">
        <v>300</v>
      </c>
      <c r="H687" s="126">
        <v>996</v>
      </c>
      <c r="I687" s="126" t="s">
        <v>1227</v>
      </c>
      <c r="J687" s="126" t="s">
        <v>1265</v>
      </c>
      <c r="K687" s="120" t="s">
        <v>280</v>
      </c>
      <c r="L687" s="93" t="s">
        <v>2679</v>
      </c>
      <c r="M687" s="94" t="s">
        <v>3328</v>
      </c>
      <c r="N687" s="95" t="s">
        <v>2917</v>
      </c>
      <c r="O687" s="163">
        <v>83</v>
      </c>
      <c r="P687" s="153">
        <f>1703/124*O687</f>
        <v>1139.9112903225807</v>
      </c>
      <c r="Q687" s="122" t="s">
        <v>16</v>
      </c>
      <c r="R687" s="152">
        <v>5.4</v>
      </c>
      <c r="S687" s="95"/>
      <c r="T687" s="98"/>
      <c r="U687" s="125">
        <f>R687*P687+350/124*O687</f>
        <v>6389.7951612903234</v>
      </c>
      <c r="V687" s="113">
        <f t="shared" si="167"/>
        <v>6.4154569892473123</v>
      </c>
      <c r="W687" s="114">
        <f t="shared" si="168"/>
        <v>0.91649385560675889</v>
      </c>
      <c r="X687" s="95"/>
      <c r="Y687" s="95"/>
      <c r="Z687" s="102"/>
      <c r="AA687" s="103">
        <v>45827</v>
      </c>
      <c r="AB687" s="103">
        <v>45855</v>
      </c>
      <c r="AC687" s="103"/>
      <c r="AD687" s="102">
        <f>IF(ISNA(VLOOKUP(D687,亚马逊入库配置费!B:F,5,0)),0,VLOOKUP(D687,亚马逊入库配置费!B:F,5,0))</f>
        <v>0</v>
      </c>
      <c r="AE687" s="102">
        <f t="shared" si="162"/>
        <v>0</v>
      </c>
      <c r="AF687" s="103">
        <v>45874</v>
      </c>
      <c r="AG687" s="91">
        <f t="shared" si="163"/>
        <v>47</v>
      </c>
      <c r="AH687" s="103">
        <v>45874</v>
      </c>
      <c r="AI687" s="103">
        <v>45897</v>
      </c>
      <c r="AJ687" s="96">
        <v>1033</v>
      </c>
      <c r="AK687" s="91">
        <f t="shared" si="164"/>
        <v>23</v>
      </c>
      <c r="AL687" s="96">
        <f t="shared" si="165"/>
        <v>70</v>
      </c>
      <c r="AM687" s="92"/>
      <c r="AN687" s="91"/>
      <c r="AO687" s="91"/>
    </row>
    <row r="688" spans="1:41" ht="14.5" x14ac:dyDescent="0.25">
      <c r="A688" s="92" t="s">
        <v>1266</v>
      </c>
      <c r="B688" s="91"/>
      <c r="C688" s="119" t="s">
        <v>1263</v>
      </c>
      <c r="D688" s="120" t="s">
        <v>1264</v>
      </c>
      <c r="E688" s="135" t="s">
        <v>295</v>
      </c>
      <c r="F688" s="135" t="s">
        <v>87</v>
      </c>
      <c r="G688" s="159" t="s">
        <v>561</v>
      </c>
      <c r="H688" s="126">
        <v>480</v>
      </c>
      <c r="I688" s="126" t="s">
        <v>1227</v>
      </c>
      <c r="J688" s="126" t="s">
        <v>1265</v>
      </c>
      <c r="K688" s="120" t="s">
        <v>280</v>
      </c>
      <c r="L688" s="93" t="s">
        <v>2683</v>
      </c>
      <c r="M688" s="94" t="s">
        <v>3374</v>
      </c>
      <c r="N688" s="95" t="s">
        <v>2917</v>
      </c>
      <c r="O688" s="163">
        <v>40</v>
      </c>
      <c r="P688" s="153">
        <f>1703/124*O688</f>
        <v>549.35483870967744</v>
      </c>
      <c r="Q688" s="122" t="s">
        <v>16</v>
      </c>
      <c r="R688" s="152">
        <v>5.4</v>
      </c>
      <c r="S688" s="95"/>
      <c r="T688" s="98"/>
      <c r="U688" s="125">
        <f>R688*P688+350/124*O688</f>
        <v>3079.4193548387102</v>
      </c>
      <c r="V688" s="113">
        <f t="shared" si="167"/>
        <v>6.4154569892473132</v>
      </c>
      <c r="W688" s="114">
        <f t="shared" si="168"/>
        <v>0.916493855606759</v>
      </c>
      <c r="X688" s="95"/>
      <c r="Y688" s="95"/>
      <c r="Z688" s="102"/>
      <c r="AA688" s="103">
        <v>45827</v>
      </c>
      <c r="AB688" s="103">
        <v>45855</v>
      </c>
      <c r="AC688" s="103"/>
      <c r="AD688" s="102">
        <f>IF(ISNA(VLOOKUP(D688,亚马逊入库配置费!B:F,5,0)),0,VLOOKUP(D688,亚马逊入库配置费!B:F,5,0))</f>
        <v>0</v>
      </c>
      <c r="AE688" s="102">
        <f t="shared" si="162"/>
        <v>0</v>
      </c>
      <c r="AF688" s="103">
        <v>45874</v>
      </c>
      <c r="AG688" s="91">
        <f t="shared" si="163"/>
        <v>47</v>
      </c>
      <c r="AH688" s="103">
        <v>45874</v>
      </c>
      <c r="AI688" s="103">
        <v>45897</v>
      </c>
      <c r="AJ688" s="96">
        <v>480</v>
      </c>
      <c r="AK688" s="91">
        <f t="shared" si="164"/>
        <v>23</v>
      </c>
      <c r="AL688" s="96">
        <f t="shared" si="165"/>
        <v>70</v>
      </c>
      <c r="AM688" s="92"/>
      <c r="AN688" s="91"/>
      <c r="AO688" s="91"/>
    </row>
    <row r="689" spans="1:41" ht="14.5" x14ac:dyDescent="0.25">
      <c r="A689" s="92" t="s">
        <v>1267</v>
      </c>
      <c r="B689" s="91"/>
      <c r="C689" s="119" t="s">
        <v>1263</v>
      </c>
      <c r="D689" s="120" t="s">
        <v>1264</v>
      </c>
      <c r="E689" s="135" t="s">
        <v>295</v>
      </c>
      <c r="F689" s="135" t="s">
        <v>87</v>
      </c>
      <c r="G689" s="159" t="s">
        <v>300</v>
      </c>
      <c r="H689" s="126">
        <v>11</v>
      </c>
      <c r="I689" s="126" t="s">
        <v>1227</v>
      </c>
      <c r="J689" s="126" t="s">
        <v>1265</v>
      </c>
      <c r="K689" s="120" t="s">
        <v>280</v>
      </c>
      <c r="L689" s="93" t="s">
        <v>2679</v>
      </c>
      <c r="M689" s="94" t="s">
        <v>3328</v>
      </c>
      <c r="N689" s="95" t="s">
        <v>2917</v>
      </c>
      <c r="O689" s="163">
        <v>0.5</v>
      </c>
      <c r="P689" s="153">
        <f>1703/124*O689</f>
        <v>6.866935483870968</v>
      </c>
      <c r="Q689" s="122" t="s">
        <v>16</v>
      </c>
      <c r="R689" s="152">
        <v>5.4</v>
      </c>
      <c r="S689" s="95"/>
      <c r="T689" s="98"/>
      <c r="U689" s="125">
        <f>R689*P689+350/124*O689</f>
        <v>38.492741935483878</v>
      </c>
      <c r="V689" s="113">
        <f t="shared" si="167"/>
        <v>3.4993401759530798</v>
      </c>
      <c r="W689" s="114">
        <f t="shared" si="168"/>
        <v>0.49990573942186856</v>
      </c>
      <c r="X689" s="95"/>
      <c r="Y689" s="95"/>
      <c r="Z689" s="102"/>
      <c r="AA689" s="103">
        <v>45827</v>
      </c>
      <c r="AB689" s="103">
        <v>45855</v>
      </c>
      <c r="AC689" s="103"/>
      <c r="AD689" s="102">
        <f>IF(ISNA(VLOOKUP(D689,亚马逊入库配置费!B:F,5,0)),0,VLOOKUP(D689,亚马逊入库配置费!B:F,5,0))</f>
        <v>0</v>
      </c>
      <c r="AE689" s="102">
        <f t="shared" si="162"/>
        <v>0</v>
      </c>
      <c r="AF689" s="103">
        <v>45874</v>
      </c>
      <c r="AG689" s="91">
        <f t="shared" si="163"/>
        <v>47</v>
      </c>
      <c r="AH689" s="103">
        <v>45874</v>
      </c>
      <c r="AI689" s="103">
        <v>45897</v>
      </c>
      <c r="AJ689" s="96">
        <v>11</v>
      </c>
      <c r="AK689" s="91">
        <f t="shared" si="164"/>
        <v>23</v>
      </c>
      <c r="AL689" s="96">
        <f t="shared" si="165"/>
        <v>70</v>
      </c>
      <c r="AM689" s="92"/>
      <c r="AN689" s="91"/>
      <c r="AO689" s="91"/>
    </row>
    <row r="690" spans="1:41" ht="14.5" x14ac:dyDescent="0.25">
      <c r="A690" s="92" t="s">
        <v>1268</v>
      </c>
      <c r="B690" s="91"/>
      <c r="C690" s="119" t="s">
        <v>1263</v>
      </c>
      <c r="D690" s="120" t="s">
        <v>1264</v>
      </c>
      <c r="E690" s="135" t="s">
        <v>295</v>
      </c>
      <c r="F690" s="135" t="s">
        <v>87</v>
      </c>
      <c r="G690" s="159" t="s">
        <v>561</v>
      </c>
      <c r="H690" s="126">
        <v>1</v>
      </c>
      <c r="I690" s="126" t="s">
        <v>1227</v>
      </c>
      <c r="J690" s="126" t="s">
        <v>1265</v>
      </c>
      <c r="K690" s="120" t="s">
        <v>280</v>
      </c>
      <c r="L690" s="93" t="s">
        <v>2683</v>
      </c>
      <c r="M690" s="94" t="s">
        <v>3374</v>
      </c>
      <c r="N690" s="95" t="s">
        <v>2917</v>
      </c>
      <c r="O690" s="163">
        <v>0.5</v>
      </c>
      <c r="P690" s="153">
        <f>1703/124*O690</f>
        <v>6.866935483870968</v>
      </c>
      <c r="Q690" s="122" t="s">
        <v>16</v>
      </c>
      <c r="R690" s="152">
        <v>5.4</v>
      </c>
      <c r="S690" s="95"/>
      <c r="T690" s="98"/>
      <c r="U690" s="125">
        <f>R690*P690+350/124*O690</f>
        <v>38.492741935483878</v>
      </c>
      <c r="V690" s="113">
        <f t="shared" si="167"/>
        <v>38.492741935483878</v>
      </c>
      <c r="W690" s="114">
        <f t="shared" si="168"/>
        <v>5.4989631336405536</v>
      </c>
      <c r="X690" s="95"/>
      <c r="Y690" s="95"/>
      <c r="Z690" s="102"/>
      <c r="AA690" s="103">
        <v>45827</v>
      </c>
      <c r="AB690" s="103">
        <v>45855</v>
      </c>
      <c r="AC690" s="103"/>
      <c r="AD690" s="102">
        <f>IF(ISNA(VLOOKUP(D690,亚马逊入库配置费!B:F,5,0)),0,VLOOKUP(D690,亚马逊入库配置费!B:F,5,0))</f>
        <v>0</v>
      </c>
      <c r="AE690" s="102">
        <f t="shared" si="162"/>
        <v>0</v>
      </c>
      <c r="AF690" s="103">
        <v>45874</v>
      </c>
      <c r="AG690" s="91">
        <f t="shared" si="163"/>
        <v>47</v>
      </c>
      <c r="AH690" s="103">
        <v>45874</v>
      </c>
      <c r="AI690" s="103">
        <v>45897</v>
      </c>
      <c r="AJ690" s="96">
        <v>1</v>
      </c>
      <c r="AK690" s="91">
        <f t="shared" si="164"/>
        <v>23</v>
      </c>
      <c r="AL690" s="96">
        <f t="shared" si="165"/>
        <v>70</v>
      </c>
      <c r="AM690" s="92"/>
      <c r="AN690" s="91"/>
      <c r="AO690" s="91"/>
    </row>
    <row r="691" spans="1:41" ht="14.5" x14ac:dyDescent="0.25">
      <c r="A691" s="92" t="s">
        <v>1269</v>
      </c>
      <c r="B691" s="91"/>
      <c r="C691" s="119" t="s">
        <v>1270</v>
      </c>
      <c r="D691" s="120" t="s">
        <v>1271</v>
      </c>
      <c r="E691" s="135" t="s">
        <v>97</v>
      </c>
      <c r="F691" s="135" t="s">
        <v>0</v>
      </c>
      <c r="G691" s="159" t="s">
        <v>1272</v>
      </c>
      <c r="H691" s="126">
        <v>480</v>
      </c>
      <c r="I691" s="126" t="s">
        <v>502</v>
      </c>
      <c r="J691" s="126" t="s">
        <v>503</v>
      </c>
      <c r="K691" s="120" t="s">
        <v>17</v>
      </c>
      <c r="L691" s="93" t="s">
        <v>3097</v>
      </c>
      <c r="M691" s="94" t="s">
        <v>3439</v>
      </c>
      <c r="N691" s="95" t="s">
        <v>2821</v>
      </c>
      <c r="O691" s="132">
        <v>40</v>
      </c>
      <c r="P691" s="153">
        <f>2117/114*O691</f>
        <v>742.80701754385962</v>
      </c>
      <c r="Q691" s="122" t="s">
        <v>16</v>
      </c>
      <c r="R691" s="122">
        <v>6.2</v>
      </c>
      <c r="S691" s="95"/>
      <c r="T691" s="98"/>
      <c r="U691" s="125">
        <f t="shared" ref="U691:U699" si="173">R691*P691+350/170*O691</f>
        <v>4687.7564499483997</v>
      </c>
      <c r="V691" s="113">
        <f t="shared" si="167"/>
        <v>9.7661592707258329</v>
      </c>
      <c r="W691" s="114">
        <f t="shared" si="168"/>
        <v>1.3951656101036904</v>
      </c>
      <c r="X691" s="95"/>
      <c r="Y691" s="95"/>
      <c r="Z691" s="102"/>
      <c r="AA691" s="103">
        <v>45827</v>
      </c>
      <c r="AB691" s="103">
        <v>45848</v>
      </c>
      <c r="AC691" s="103"/>
      <c r="AD691" s="102">
        <f>IF(ISNA(VLOOKUP(D691,亚马逊入库配置费!B:F,5,0)),0,VLOOKUP(D691,亚马逊入库配置费!B:F,5,0))</f>
        <v>0.49</v>
      </c>
      <c r="AE691" s="102">
        <f t="shared" si="162"/>
        <v>235.2</v>
      </c>
      <c r="AF691" s="103">
        <v>45874</v>
      </c>
      <c r="AG691" s="91">
        <f t="shared" si="163"/>
        <v>47</v>
      </c>
      <c r="AH691" s="103">
        <v>45874</v>
      </c>
      <c r="AI691" s="103">
        <v>45935</v>
      </c>
      <c r="AJ691" s="96">
        <v>263</v>
      </c>
      <c r="AK691" s="91">
        <f t="shared" si="164"/>
        <v>61</v>
      </c>
      <c r="AL691" s="96">
        <f t="shared" si="165"/>
        <v>108</v>
      </c>
      <c r="AM691" s="92"/>
      <c r="AN691" s="91"/>
      <c r="AO691" s="91"/>
    </row>
    <row r="692" spans="1:41" ht="14.5" x14ac:dyDescent="0.25">
      <c r="A692" s="92" t="s">
        <v>1273</v>
      </c>
      <c r="B692" s="91"/>
      <c r="C692" s="119" t="s">
        <v>1270</v>
      </c>
      <c r="D692" s="120" t="s">
        <v>1271</v>
      </c>
      <c r="E692" s="135" t="s">
        <v>97</v>
      </c>
      <c r="F692" s="135" t="s">
        <v>0</v>
      </c>
      <c r="G692" s="159" t="s">
        <v>1274</v>
      </c>
      <c r="H692" s="126">
        <v>480</v>
      </c>
      <c r="I692" s="126" t="s">
        <v>502</v>
      </c>
      <c r="J692" s="126" t="s">
        <v>503</v>
      </c>
      <c r="K692" s="120" t="s">
        <v>17</v>
      </c>
      <c r="L692" s="93" t="s">
        <v>3098</v>
      </c>
      <c r="M692" s="94" t="s">
        <v>3440</v>
      </c>
      <c r="N692" s="95" t="s">
        <v>2821</v>
      </c>
      <c r="O692" s="132">
        <v>40</v>
      </c>
      <c r="P692" s="153">
        <f>2117/114*O692</f>
        <v>742.80701754385962</v>
      </c>
      <c r="Q692" s="122" t="s">
        <v>16</v>
      </c>
      <c r="R692" s="122">
        <v>6.2</v>
      </c>
      <c r="S692" s="95"/>
      <c r="T692" s="98"/>
      <c r="U692" s="125">
        <f t="shared" si="173"/>
        <v>4687.7564499483997</v>
      </c>
      <c r="V692" s="113">
        <f t="shared" si="167"/>
        <v>9.7661592707258329</v>
      </c>
      <c r="W692" s="114">
        <f t="shared" si="168"/>
        <v>1.3951656101036904</v>
      </c>
      <c r="X692" s="95"/>
      <c r="Y692" s="95"/>
      <c r="Z692" s="102"/>
      <c r="AA692" s="103">
        <v>45827</v>
      </c>
      <c r="AB692" s="103">
        <v>45848</v>
      </c>
      <c r="AC692" s="103"/>
      <c r="AD692" s="102">
        <f>IF(ISNA(VLOOKUP(D692,亚马逊入库配置费!B:F,5,0)),0,VLOOKUP(D692,亚马逊入库配置费!B:F,5,0))</f>
        <v>0.49</v>
      </c>
      <c r="AE692" s="102">
        <f t="shared" si="162"/>
        <v>235.2</v>
      </c>
      <c r="AF692" s="103">
        <v>45874</v>
      </c>
      <c r="AG692" s="91">
        <f t="shared" si="163"/>
        <v>47</v>
      </c>
      <c r="AH692" s="103">
        <v>45874</v>
      </c>
      <c r="AI692" s="103">
        <v>45935</v>
      </c>
      <c r="AJ692" s="96">
        <v>49</v>
      </c>
      <c r="AK692" s="91">
        <f t="shared" si="164"/>
        <v>61</v>
      </c>
      <c r="AL692" s="96">
        <f t="shared" si="165"/>
        <v>108</v>
      </c>
      <c r="AM692" s="92"/>
      <c r="AN692" s="91"/>
      <c r="AO692" s="91"/>
    </row>
    <row r="693" spans="1:41" ht="14.5" x14ac:dyDescent="0.25">
      <c r="A693" s="92" t="s">
        <v>1275</v>
      </c>
      <c r="B693" s="91"/>
      <c r="C693" s="119" t="s">
        <v>1270</v>
      </c>
      <c r="D693" s="120" t="s">
        <v>1271</v>
      </c>
      <c r="E693" s="135" t="s">
        <v>97</v>
      </c>
      <c r="F693" s="135" t="s">
        <v>0</v>
      </c>
      <c r="G693" s="159" t="s">
        <v>93</v>
      </c>
      <c r="H693" s="126">
        <v>612</v>
      </c>
      <c r="I693" s="126" t="s">
        <v>502</v>
      </c>
      <c r="J693" s="126" t="s">
        <v>503</v>
      </c>
      <c r="K693" s="120" t="s">
        <v>17</v>
      </c>
      <c r="L693" s="93" t="s">
        <v>3015</v>
      </c>
      <c r="M693" s="94" t="s">
        <v>3288</v>
      </c>
      <c r="N693" s="95" t="s">
        <v>2821</v>
      </c>
      <c r="O693" s="132">
        <v>34</v>
      </c>
      <c r="P693" s="153">
        <f>2117/114*O693</f>
        <v>631.38596491228066</v>
      </c>
      <c r="Q693" s="122" t="s">
        <v>16</v>
      </c>
      <c r="R693" s="122">
        <v>6.2</v>
      </c>
      <c r="S693" s="95"/>
      <c r="T693" s="98"/>
      <c r="U693" s="125">
        <f t="shared" si="173"/>
        <v>3984.5929824561404</v>
      </c>
      <c r="V693" s="113">
        <f t="shared" si="167"/>
        <v>6.5107728471505562</v>
      </c>
      <c r="W693" s="114">
        <f t="shared" si="168"/>
        <v>0.9301104067357937</v>
      </c>
      <c r="X693" s="95"/>
      <c r="Y693" s="95"/>
      <c r="Z693" s="102"/>
      <c r="AA693" s="103">
        <v>45827</v>
      </c>
      <c r="AB693" s="118">
        <v>45848</v>
      </c>
      <c r="AC693" s="103"/>
      <c r="AD693" s="102">
        <f>IF(ISNA(VLOOKUP(D693,亚马逊入库配置费!B:F,5,0)),0,VLOOKUP(D693,亚马逊入库配置费!B:F,5,0))</f>
        <v>0.49</v>
      </c>
      <c r="AE693" s="102">
        <f t="shared" si="162"/>
        <v>299.88</v>
      </c>
      <c r="AF693" s="103">
        <v>45874</v>
      </c>
      <c r="AG693" s="91">
        <f t="shared" si="163"/>
        <v>47</v>
      </c>
      <c r="AH693" s="103">
        <v>45874</v>
      </c>
      <c r="AI693" s="103">
        <v>45935</v>
      </c>
      <c r="AJ693" s="96">
        <v>614</v>
      </c>
      <c r="AK693" s="91">
        <f t="shared" si="164"/>
        <v>61</v>
      </c>
      <c r="AL693" s="96">
        <f t="shared" si="165"/>
        <v>108</v>
      </c>
      <c r="AM693" s="92"/>
      <c r="AN693" s="91"/>
      <c r="AO693" s="91"/>
    </row>
    <row r="694" spans="1:41" ht="14.5" x14ac:dyDescent="0.25">
      <c r="A694" s="92" t="s">
        <v>1276</v>
      </c>
      <c r="B694" s="91"/>
      <c r="C694" s="119" t="s">
        <v>1270</v>
      </c>
      <c r="D694" s="120" t="s">
        <v>1277</v>
      </c>
      <c r="E694" s="135" t="s">
        <v>97</v>
      </c>
      <c r="F694" s="135" t="s">
        <v>0</v>
      </c>
      <c r="G694" s="159" t="s">
        <v>872</v>
      </c>
      <c r="H694" s="126">
        <v>660</v>
      </c>
      <c r="I694" s="126" t="s">
        <v>502</v>
      </c>
      <c r="J694" s="126" t="s">
        <v>503</v>
      </c>
      <c r="K694" s="120" t="s">
        <v>17</v>
      </c>
      <c r="L694" s="93" t="s">
        <v>872</v>
      </c>
      <c r="M694" s="94" t="s">
        <v>3399</v>
      </c>
      <c r="N694" s="95" t="s">
        <v>2870</v>
      </c>
      <c r="O694" s="132">
        <v>22</v>
      </c>
      <c r="P694" s="153">
        <f t="shared" ref="P694:P699" si="174">814/56*O694</f>
        <v>319.78571428571428</v>
      </c>
      <c r="Q694" s="122" t="s">
        <v>16</v>
      </c>
      <c r="R694" s="122">
        <v>6.2</v>
      </c>
      <c r="S694" s="95"/>
      <c r="T694" s="98"/>
      <c r="U694" s="125">
        <f t="shared" si="173"/>
        <v>2027.9655462184874</v>
      </c>
      <c r="V694" s="113">
        <f t="shared" si="167"/>
        <v>3.0726750700280112</v>
      </c>
      <c r="W694" s="114">
        <f t="shared" si="168"/>
        <v>0.43895358143257301</v>
      </c>
      <c r="X694" s="95"/>
      <c r="Y694" s="95"/>
      <c r="Z694" s="102"/>
      <c r="AA694" s="103">
        <v>45827</v>
      </c>
      <c r="AB694" s="103">
        <v>45848</v>
      </c>
      <c r="AC694" s="103"/>
      <c r="AD694" s="102">
        <f>IF(ISNA(VLOOKUP(D694,亚马逊入库配置费!B:F,5,0)),0,VLOOKUP(D694,亚马逊入库配置费!B:F,5,0))</f>
        <v>0.37579545454545499</v>
      </c>
      <c r="AE694" s="102">
        <f t="shared" si="162"/>
        <v>248.02500000000029</v>
      </c>
      <c r="AF694" s="103">
        <v>45840</v>
      </c>
      <c r="AG694" s="91">
        <f t="shared" si="163"/>
        <v>13</v>
      </c>
      <c r="AH694" s="103">
        <v>45840</v>
      </c>
      <c r="AI694" s="103">
        <v>45884</v>
      </c>
      <c r="AJ694" s="96">
        <v>662</v>
      </c>
      <c r="AK694" s="91">
        <f t="shared" si="164"/>
        <v>44</v>
      </c>
      <c r="AL694" s="96">
        <f t="shared" si="165"/>
        <v>57</v>
      </c>
      <c r="AM694" s="92"/>
      <c r="AN694" s="91"/>
      <c r="AO694" s="91"/>
    </row>
    <row r="695" spans="1:41" ht="14.5" x14ac:dyDescent="0.25">
      <c r="A695" s="92" t="s">
        <v>1278</v>
      </c>
      <c r="B695" s="91"/>
      <c r="C695" s="119" t="s">
        <v>1270</v>
      </c>
      <c r="D695" s="120" t="s">
        <v>1277</v>
      </c>
      <c r="E695" s="135" t="s">
        <v>97</v>
      </c>
      <c r="F695" s="135" t="s">
        <v>0</v>
      </c>
      <c r="G695" s="159" t="s">
        <v>231</v>
      </c>
      <c r="H695" s="126">
        <v>120</v>
      </c>
      <c r="I695" s="126" t="s">
        <v>502</v>
      </c>
      <c r="J695" s="126" t="s">
        <v>503</v>
      </c>
      <c r="K695" s="120" t="s">
        <v>17</v>
      </c>
      <c r="L695" s="93" t="s">
        <v>3037</v>
      </c>
      <c r="M695" s="94" t="s">
        <v>3207</v>
      </c>
      <c r="N695" s="95" t="s">
        <v>2870</v>
      </c>
      <c r="O695" s="132">
        <v>6</v>
      </c>
      <c r="P695" s="153">
        <f t="shared" si="174"/>
        <v>87.214285714285722</v>
      </c>
      <c r="Q695" s="122" t="s">
        <v>16</v>
      </c>
      <c r="R695" s="122">
        <v>6.2</v>
      </c>
      <c r="S695" s="95"/>
      <c r="T695" s="98"/>
      <c r="U695" s="125">
        <f t="shared" si="173"/>
        <v>553.08151260504212</v>
      </c>
      <c r="V695" s="113">
        <f t="shared" si="167"/>
        <v>4.6090126050420173</v>
      </c>
      <c r="W695" s="114">
        <f t="shared" si="168"/>
        <v>0.65843037214885958</v>
      </c>
      <c r="X695" s="95"/>
      <c r="Y695" s="95"/>
      <c r="Z695" s="102"/>
      <c r="AA695" s="103">
        <v>45827</v>
      </c>
      <c r="AB695" s="103">
        <v>45848</v>
      </c>
      <c r="AC695" s="103"/>
      <c r="AD695" s="102">
        <f>IF(ISNA(VLOOKUP(D695,亚马逊入库配置费!B:F,5,0)),0,VLOOKUP(D695,亚马逊入库配置费!B:F,5,0))</f>
        <v>0.37579545454545499</v>
      </c>
      <c r="AE695" s="102">
        <f t="shared" si="162"/>
        <v>45.095454545454601</v>
      </c>
      <c r="AF695" s="103">
        <v>45840</v>
      </c>
      <c r="AG695" s="91">
        <f t="shared" si="163"/>
        <v>13</v>
      </c>
      <c r="AH695" s="103">
        <v>45840</v>
      </c>
      <c r="AI695" s="103">
        <v>45884</v>
      </c>
      <c r="AJ695" s="96">
        <v>121</v>
      </c>
      <c r="AK695" s="91">
        <f t="shared" si="164"/>
        <v>44</v>
      </c>
      <c r="AL695" s="96">
        <f t="shared" si="165"/>
        <v>57</v>
      </c>
      <c r="AM695" s="92"/>
      <c r="AN695" s="91"/>
      <c r="AO695" s="91"/>
    </row>
    <row r="696" spans="1:41" ht="14.5" x14ac:dyDescent="0.25">
      <c r="A696" s="92" t="s">
        <v>1279</v>
      </c>
      <c r="B696" s="91"/>
      <c r="C696" s="119" t="s">
        <v>1270</v>
      </c>
      <c r="D696" s="120" t="s">
        <v>1277</v>
      </c>
      <c r="E696" s="135" t="s">
        <v>97</v>
      </c>
      <c r="F696" s="135" t="s">
        <v>0</v>
      </c>
      <c r="G696" s="159" t="s">
        <v>165</v>
      </c>
      <c r="H696" s="126">
        <v>440</v>
      </c>
      <c r="I696" s="126" t="s">
        <v>502</v>
      </c>
      <c r="J696" s="126" t="s">
        <v>503</v>
      </c>
      <c r="K696" s="120" t="s">
        <v>17</v>
      </c>
      <c r="L696" s="93" t="s">
        <v>2880</v>
      </c>
      <c r="M696" s="94" t="s">
        <v>3209</v>
      </c>
      <c r="N696" s="95" t="s">
        <v>2870</v>
      </c>
      <c r="O696" s="132">
        <v>11</v>
      </c>
      <c r="P696" s="153">
        <f t="shared" si="174"/>
        <v>159.89285714285714</v>
      </c>
      <c r="Q696" s="122" t="s">
        <v>16</v>
      </c>
      <c r="R696" s="122">
        <v>6.2</v>
      </c>
      <c r="S696" s="95"/>
      <c r="T696" s="98"/>
      <c r="U696" s="125">
        <f t="shared" si="173"/>
        <v>1013.9827731092437</v>
      </c>
      <c r="V696" s="113">
        <f t="shared" si="167"/>
        <v>2.3045063025210082</v>
      </c>
      <c r="W696" s="114">
        <f t="shared" si="168"/>
        <v>0.32921518607442973</v>
      </c>
      <c r="X696" s="95"/>
      <c r="Y696" s="95"/>
      <c r="Z696" s="102"/>
      <c r="AA696" s="103">
        <v>45827</v>
      </c>
      <c r="AB696" s="103">
        <v>45848</v>
      </c>
      <c r="AC696" s="103"/>
      <c r="AD696" s="102">
        <f>IF(ISNA(VLOOKUP(D696,亚马逊入库配置费!B:F,5,0)),0,VLOOKUP(D696,亚马逊入库配置费!B:F,5,0))</f>
        <v>0.37579545454545499</v>
      </c>
      <c r="AE696" s="102">
        <f t="shared" si="162"/>
        <v>165.35000000000019</v>
      </c>
      <c r="AF696" s="103">
        <v>45840</v>
      </c>
      <c r="AG696" s="91">
        <f t="shared" si="163"/>
        <v>13</v>
      </c>
      <c r="AH696" s="103">
        <v>45840</v>
      </c>
      <c r="AI696" s="103">
        <v>45884</v>
      </c>
      <c r="AJ696" s="96">
        <v>441</v>
      </c>
      <c r="AK696" s="91">
        <f t="shared" si="164"/>
        <v>44</v>
      </c>
      <c r="AL696" s="96">
        <f t="shared" si="165"/>
        <v>57</v>
      </c>
      <c r="AM696" s="92"/>
      <c r="AN696" s="91"/>
      <c r="AO696" s="91"/>
    </row>
    <row r="697" spans="1:41" ht="14.5" x14ac:dyDescent="0.25">
      <c r="A697" s="92" t="s">
        <v>1280</v>
      </c>
      <c r="B697" s="91"/>
      <c r="C697" s="119" t="s">
        <v>1270</v>
      </c>
      <c r="D697" s="120" t="s">
        <v>1277</v>
      </c>
      <c r="E697" s="135" t="s">
        <v>97</v>
      </c>
      <c r="F697" s="135" t="s">
        <v>0</v>
      </c>
      <c r="G697" s="159" t="s">
        <v>1213</v>
      </c>
      <c r="H697" s="126">
        <v>120</v>
      </c>
      <c r="I697" s="126" t="s">
        <v>502</v>
      </c>
      <c r="J697" s="126" t="s">
        <v>503</v>
      </c>
      <c r="K697" s="120" t="s">
        <v>17</v>
      </c>
      <c r="L697" s="93" t="s">
        <v>1213</v>
      </c>
      <c r="M697" s="94" t="s">
        <v>3435</v>
      </c>
      <c r="N697" s="95" t="s">
        <v>2867</v>
      </c>
      <c r="O697" s="132">
        <v>3</v>
      </c>
      <c r="P697" s="153">
        <f t="shared" si="174"/>
        <v>43.607142857142861</v>
      </c>
      <c r="Q697" s="122" t="s">
        <v>16</v>
      </c>
      <c r="R697" s="122">
        <v>6.2</v>
      </c>
      <c r="S697" s="95"/>
      <c r="T697" s="98"/>
      <c r="U697" s="125">
        <f t="shared" si="173"/>
        <v>276.54075630252106</v>
      </c>
      <c r="V697" s="113">
        <f t="shared" si="167"/>
        <v>2.3045063025210086</v>
      </c>
      <c r="W697" s="114">
        <f t="shared" si="168"/>
        <v>0.32921518607442979</v>
      </c>
      <c r="X697" s="95"/>
      <c r="Y697" s="95"/>
      <c r="Z697" s="102"/>
      <c r="AA697" s="103">
        <v>45827</v>
      </c>
      <c r="AB697" s="103">
        <v>45848</v>
      </c>
      <c r="AC697" s="103"/>
      <c r="AD697" s="102">
        <f>IF(ISNA(VLOOKUP(D697,亚马逊入库配置费!B:F,5,0)),0,VLOOKUP(D697,亚马逊入库配置费!B:F,5,0))</f>
        <v>0.37579545454545499</v>
      </c>
      <c r="AE697" s="102">
        <f t="shared" si="162"/>
        <v>45.095454545454601</v>
      </c>
      <c r="AF697" s="103">
        <v>45840</v>
      </c>
      <c r="AG697" s="91">
        <f t="shared" si="163"/>
        <v>13</v>
      </c>
      <c r="AH697" s="103">
        <v>45840</v>
      </c>
      <c r="AI697" s="103">
        <v>45884</v>
      </c>
      <c r="AJ697" s="96">
        <v>119</v>
      </c>
      <c r="AK697" s="91">
        <f t="shared" si="164"/>
        <v>44</v>
      </c>
      <c r="AL697" s="96">
        <f t="shared" si="165"/>
        <v>57</v>
      </c>
      <c r="AM697" s="92"/>
      <c r="AN697" s="91"/>
      <c r="AO697" s="91"/>
    </row>
    <row r="698" spans="1:41" ht="14.5" x14ac:dyDescent="0.25">
      <c r="A698" s="92" t="s">
        <v>1281</v>
      </c>
      <c r="B698" s="91"/>
      <c r="C698" s="119" t="s">
        <v>1270</v>
      </c>
      <c r="D698" s="120" t="s">
        <v>1277</v>
      </c>
      <c r="E698" s="135" t="s">
        <v>97</v>
      </c>
      <c r="F698" s="135" t="s">
        <v>0</v>
      </c>
      <c r="G698" s="159" t="s">
        <v>1215</v>
      </c>
      <c r="H698" s="126">
        <v>300</v>
      </c>
      <c r="I698" s="126" t="s">
        <v>502</v>
      </c>
      <c r="J698" s="126" t="s">
        <v>503</v>
      </c>
      <c r="K698" s="120" t="s">
        <v>17</v>
      </c>
      <c r="L698" s="93" t="s">
        <v>3095</v>
      </c>
      <c r="M698" s="94" t="s">
        <v>3436</v>
      </c>
      <c r="N698" s="95" t="s">
        <v>2867</v>
      </c>
      <c r="O698" s="132">
        <v>10</v>
      </c>
      <c r="P698" s="153">
        <f t="shared" si="174"/>
        <v>145.35714285714286</v>
      </c>
      <c r="Q698" s="122" t="s">
        <v>16</v>
      </c>
      <c r="R698" s="122">
        <v>6.2</v>
      </c>
      <c r="S698" s="95"/>
      <c r="T698" s="98"/>
      <c r="U698" s="125">
        <f t="shared" si="173"/>
        <v>921.80252100840346</v>
      </c>
      <c r="V698" s="113">
        <f t="shared" si="167"/>
        <v>3.0726750700280117</v>
      </c>
      <c r="W698" s="114">
        <f t="shared" si="168"/>
        <v>0.43895358143257307</v>
      </c>
      <c r="X698" s="95"/>
      <c r="Y698" s="95"/>
      <c r="Z698" s="102"/>
      <c r="AA698" s="103">
        <v>45827</v>
      </c>
      <c r="AB698" s="103">
        <v>45848</v>
      </c>
      <c r="AC698" s="103"/>
      <c r="AD698" s="102">
        <f>IF(ISNA(VLOOKUP(D698,亚马逊入库配置费!B:F,5,0)),0,VLOOKUP(D698,亚马逊入库配置费!B:F,5,0))</f>
        <v>0.37579545454545499</v>
      </c>
      <c r="AE698" s="102">
        <f t="shared" si="162"/>
        <v>112.7386363636365</v>
      </c>
      <c r="AF698" s="103">
        <v>45840</v>
      </c>
      <c r="AG698" s="91">
        <f t="shared" si="163"/>
        <v>13</v>
      </c>
      <c r="AH698" s="103">
        <v>45840</v>
      </c>
      <c r="AI698" s="103">
        <v>45884</v>
      </c>
      <c r="AJ698" s="96">
        <v>301</v>
      </c>
      <c r="AK698" s="91">
        <f t="shared" si="164"/>
        <v>44</v>
      </c>
      <c r="AL698" s="96">
        <f t="shared" si="165"/>
        <v>57</v>
      </c>
      <c r="AM698" s="92"/>
      <c r="AN698" s="91"/>
      <c r="AO698" s="91"/>
    </row>
    <row r="699" spans="1:41" ht="14.5" x14ac:dyDescent="0.25">
      <c r="A699" s="92" t="s">
        <v>1282</v>
      </c>
      <c r="B699" s="91"/>
      <c r="C699" s="119" t="s">
        <v>1270</v>
      </c>
      <c r="D699" s="120" t="s">
        <v>1277</v>
      </c>
      <c r="E699" s="135" t="s">
        <v>97</v>
      </c>
      <c r="F699" s="135" t="s">
        <v>0</v>
      </c>
      <c r="G699" s="159" t="s">
        <v>878</v>
      </c>
      <c r="H699" s="126">
        <v>120</v>
      </c>
      <c r="I699" s="126" t="s">
        <v>502</v>
      </c>
      <c r="J699" s="126" t="s">
        <v>503</v>
      </c>
      <c r="K699" s="120" t="s">
        <v>17</v>
      </c>
      <c r="L699" s="93" t="s">
        <v>878</v>
      </c>
      <c r="M699" s="94" t="s">
        <v>3401</v>
      </c>
      <c r="N699" s="95" t="s">
        <v>2876</v>
      </c>
      <c r="O699" s="132">
        <v>4</v>
      </c>
      <c r="P699" s="153">
        <f t="shared" si="174"/>
        <v>58.142857142857146</v>
      </c>
      <c r="Q699" s="122" t="s">
        <v>16</v>
      </c>
      <c r="R699" s="122">
        <v>6.2</v>
      </c>
      <c r="S699" s="95"/>
      <c r="T699" s="98"/>
      <c r="U699" s="125">
        <f t="shared" si="173"/>
        <v>368.7210084033614</v>
      </c>
      <c r="V699" s="113">
        <f t="shared" si="167"/>
        <v>3.0726750700280117</v>
      </c>
      <c r="W699" s="114">
        <f t="shared" si="168"/>
        <v>0.43895358143257307</v>
      </c>
      <c r="X699" s="95"/>
      <c r="Y699" s="95"/>
      <c r="Z699" s="102"/>
      <c r="AA699" s="103">
        <v>45827</v>
      </c>
      <c r="AB699" s="103">
        <v>45848</v>
      </c>
      <c r="AC699" s="103"/>
      <c r="AD699" s="102">
        <f>IF(ISNA(VLOOKUP(D699,亚马逊入库配置费!B:F,5,0)),0,VLOOKUP(D699,亚马逊入库配置费!B:F,5,0))</f>
        <v>0.37579545454545499</v>
      </c>
      <c r="AE699" s="102">
        <f t="shared" si="162"/>
        <v>45.095454545454601</v>
      </c>
      <c r="AF699" s="103">
        <v>45840</v>
      </c>
      <c r="AG699" s="91">
        <f t="shared" si="163"/>
        <v>13</v>
      </c>
      <c r="AH699" s="103">
        <v>45840</v>
      </c>
      <c r="AI699" s="103">
        <v>45884</v>
      </c>
      <c r="AJ699" s="96">
        <v>120</v>
      </c>
      <c r="AK699" s="91">
        <f t="shared" si="164"/>
        <v>44</v>
      </c>
      <c r="AL699" s="96">
        <f t="shared" si="165"/>
        <v>57</v>
      </c>
      <c r="AM699" s="92"/>
      <c r="AN699" s="91"/>
      <c r="AO699" s="91"/>
    </row>
    <row r="700" spans="1:41" ht="14.5" x14ac:dyDescent="0.25">
      <c r="A700" s="92" t="s">
        <v>1283</v>
      </c>
      <c r="B700" s="91"/>
      <c r="C700" s="119" t="s">
        <v>1284</v>
      </c>
      <c r="D700" s="120" t="s">
        <v>1285</v>
      </c>
      <c r="E700" s="135" t="s">
        <v>270</v>
      </c>
      <c r="F700" s="135" t="s">
        <v>271</v>
      </c>
      <c r="G700" s="159" t="s">
        <v>163</v>
      </c>
      <c r="H700" s="126">
        <v>240</v>
      </c>
      <c r="I700" s="126" t="s">
        <v>1286</v>
      </c>
      <c r="J700" s="126" t="s">
        <v>1287</v>
      </c>
      <c r="K700" s="120" t="s">
        <v>273</v>
      </c>
      <c r="L700" s="93" t="s">
        <v>2881</v>
      </c>
      <c r="M700" s="94" t="s">
        <v>3302</v>
      </c>
      <c r="N700" s="95" t="s">
        <v>2870</v>
      </c>
      <c r="O700" s="163">
        <v>6</v>
      </c>
      <c r="P700" s="153">
        <f>110/8*O700</f>
        <v>82.5</v>
      </c>
      <c r="Q700" s="122" t="s">
        <v>16</v>
      </c>
      <c r="R700" s="152">
        <v>5.4</v>
      </c>
      <c r="S700" s="95"/>
      <c r="T700" s="98"/>
      <c r="U700" s="125">
        <f>R700*P700+600/8*O700</f>
        <v>895.5</v>
      </c>
      <c r="V700" s="113">
        <f t="shared" si="167"/>
        <v>3.7312500000000002</v>
      </c>
      <c r="W700" s="114">
        <f t="shared" si="168"/>
        <v>0.53303571428571428</v>
      </c>
      <c r="X700" s="95"/>
      <c r="Y700" s="95"/>
      <c r="Z700" s="102"/>
      <c r="AA700" s="103">
        <v>45827</v>
      </c>
      <c r="AB700" s="103">
        <v>45852</v>
      </c>
      <c r="AC700" s="103"/>
      <c r="AD700" s="102">
        <f>IF(ISNA(VLOOKUP(D700,亚马逊入库配置费!B:F,5,0)),0,VLOOKUP(D700,亚马逊入库配置费!B:F,5,0))</f>
        <v>0</v>
      </c>
      <c r="AE700" s="102">
        <f t="shared" si="162"/>
        <v>0</v>
      </c>
      <c r="AF700" s="103">
        <v>45858</v>
      </c>
      <c r="AG700" s="91">
        <f t="shared" si="163"/>
        <v>31</v>
      </c>
      <c r="AH700" s="103">
        <v>45858</v>
      </c>
      <c r="AI700" s="103">
        <v>45876</v>
      </c>
      <c r="AJ700" s="96">
        <v>240</v>
      </c>
      <c r="AK700" s="91">
        <f t="shared" si="164"/>
        <v>18</v>
      </c>
      <c r="AL700" s="96">
        <f t="shared" si="165"/>
        <v>49</v>
      </c>
      <c r="AM700" s="92"/>
      <c r="AN700" s="91"/>
      <c r="AO700" s="91"/>
    </row>
    <row r="701" spans="1:41" ht="14.5" x14ac:dyDescent="0.25">
      <c r="A701" s="92" t="s">
        <v>1288</v>
      </c>
      <c r="B701" s="91"/>
      <c r="C701" s="119" t="s">
        <v>1284</v>
      </c>
      <c r="D701" s="120" t="s">
        <v>1285</v>
      </c>
      <c r="E701" s="135" t="s">
        <v>270</v>
      </c>
      <c r="F701" s="135" t="s">
        <v>271</v>
      </c>
      <c r="G701" s="159" t="s">
        <v>165</v>
      </c>
      <c r="H701" s="126">
        <v>80</v>
      </c>
      <c r="I701" s="126" t="s">
        <v>1286</v>
      </c>
      <c r="J701" s="126" t="s">
        <v>1287</v>
      </c>
      <c r="K701" s="120" t="s">
        <v>273</v>
      </c>
      <c r="L701" s="93" t="s">
        <v>2880</v>
      </c>
      <c r="M701" s="94" t="s">
        <v>3209</v>
      </c>
      <c r="N701" s="95" t="s">
        <v>2870</v>
      </c>
      <c r="O701" s="163">
        <v>2</v>
      </c>
      <c r="P701" s="153">
        <f>110/8*O701</f>
        <v>27.5</v>
      </c>
      <c r="Q701" s="122" t="s">
        <v>16</v>
      </c>
      <c r="R701" s="152">
        <v>5.4</v>
      </c>
      <c r="S701" s="95"/>
      <c r="T701" s="98"/>
      <c r="U701" s="125">
        <f>R701*P701+600/8*O701</f>
        <v>298.5</v>
      </c>
      <c r="V701" s="113">
        <f t="shared" si="167"/>
        <v>3.7312500000000002</v>
      </c>
      <c r="W701" s="114">
        <f t="shared" si="168"/>
        <v>0.53303571428571428</v>
      </c>
      <c r="X701" s="95"/>
      <c r="Y701" s="95"/>
      <c r="Z701" s="102"/>
      <c r="AA701" s="103">
        <v>45827</v>
      </c>
      <c r="AB701" s="103">
        <v>45852</v>
      </c>
      <c r="AC701" s="103"/>
      <c r="AD701" s="102">
        <f>IF(ISNA(VLOOKUP(D701,亚马逊入库配置费!B:F,5,0)),0,VLOOKUP(D701,亚马逊入库配置费!B:F,5,0))</f>
        <v>0</v>
      </c>
      <c r="AE701" s="102">
        <f t="shared" si="162"/>
        <v>0</v>
      </c>
      <c r="AF701" s="103">
        <v>45858</v>
      </c>
      <c r="AG701" s="91">
        <f t="shared" si="163"/>
        <v>31</v>
      </c>
      <c r="AH701" s="103">
        <v>45858</v>
      </c>
      <c r="AI701" s="103">
        <v>45876</v>
      </c>
      <c r="AJ701" s="96">
        <v>81</v>
      </c>
      <c r="AK701" s="91">
        <f t="shared" si="164"/>
        <v>18</v>
      </c>
      <c r="AL701" s="96">
        <f t="shared" si="165"/>
        <v>49</v>
      </c>
      <c r="AM701" s="92"/>
      <c r="AN701" s="91"/>
      <c r="AO701" s="91"/>
    </row>
    <row r="702" spans="1:41" ht="14.5" x14ac:dyDescent="0.25">
      <c r="A702" s="92" t="s">
        <v>1289</v>
      </c>
      <c r="B702" s="91"/>
      <c r="C702" s="119" t="s">
        <v>1290</v>
      </c>
      <c r="D702" s="120" t="s">
        <v>1291</v>
      </c>
      <c r="E702" s="135" t="s">
        <v>86</v>
      </c>
      <c r="F702" s="135" t="s">
        <v>87</v>
      </c>
      <c r="G702" s="159" t="s">
        <v>350</v>
      </c>
      <c r="H702" s="126">
        <v>40</v>
      </c>
      <c r="I702" s="126" t="s">
        <v>502</v>
      </c>
      <c r="J702" s="126" t="s">
        <v>1265</v>
      </c>
      <c r="K702" s="120" t="s">
        <v>91</v>
      </c>
      <c r="L702" s="93" t="s">
        <v>3048</v>
      </c>
      <c r="M702" s="94" t="s">
        <v>3208</v>
      </c>
      <c r="N702" s="95" t="s">
        <v>2870</v>
      </c>
      <c r="O702" s="132">
        <v>1</v>
      </c>
      <c r="P702" s="153">
        <f t="shared" ref="P702:P709" si="175">276/20*O702</f>
        <v>13.8</v>
      </c>
      <c r="Q702" s="122" t="s">
        <v>16</v>
      </c>
      <c r="R702" s="122">
        <v>6</v>
      </c>
      <c r="S702" s="95"/>
      <c r="T702" s="98"/>
      <c r="U702" s="125">
        <f t="shared" ref="U702:U709" si="176">R702*P702+350/20*O702</f>
        <v>100.30000000000001</v>
      </c>
      <c r="V702" s="113">
        <f t="shared" si="167"/>
        <v>2.5075000000000003</v>
      </c>
      <c r="W702" s="114">
        <f t="shared" si="168"/>
        <v>0.35821428571428576</v>
      </c>
      <c r="X702" s="95"/>
      <c r="Y702" s="95"/>
      <c r="Z702" s="102"/>
      <c r="AA702" s="103">
        <v>45834</v>
      </c>
      <c r="AB702" s="103">
        <v>45862</v>
      </c>
      <c r="AC702" s="103"/>
      <c r="AD702" s="102">
        <f>IF(ISNA(VLOOKUP(D702,亚马逊入库配置费!B:F,5,0)),0,VLOOKUP(D702,亚马逊入库配置费!B:F,5,0))</f>
        <v>0</v>
      </c>
      <c r="AE702" s="102">
        <f t="shared" si="162"/>
        <v>0</v>
      </c>
      <c r="AF702" s="103">
        <v>45875</v>
      </c>
      <c r="AG702" s="91">
        <f t="shared" si="163"/>
        <v>41</v>
      </c>
      <c r="AH702" s="103">
        <v>45875</v>
      </c>
      <c r="AI702" s="103">
        <v>45889</v>
      </c>
      <c r="AJ702" s="96">
        <v>40</v>
      </c>
      <c r="AK702" s="91">
        <f t="shared" si="164"/>
        <v>14</v>
      </c>
      <c r="AL702" s="96">
        <f t="shared" si="165"/>
        <v>55</v>
      </c>
      <c r="AM702" s="92"/>
      <c r="AN702" s="91"/>
      <c r="AO702" s="91"/>
    </row>
    <row r="703" spans="1:41" ht="14.5" x14ac:dyDescent="0.25">
      <c r="A703" s="92" t="s">
        <v>1292</v>
      </c>
      <c r="B703" s="91"/>
      <c r="C703" s="119" t="s">
        <v>1290</v>
      </c>
      <c r="D703" s="120" t="s">
        <v>1291</v>
      </c>
      <c r="E703" s="135" t="s">
        <v>86</v>
      </c>
      <c r="F703" s="135" t="s">
        <v>87</v>
      </c>
      <c r="G703" s="159" t="s">
        <v>352</v>
      </c>
      <c r="H703" s="126">
        <v>40</v>
      </c>
      <c r="I703" s="126" t="s">
        <v>502</v>
      </c>
      <c r="J703" s="126" t="s">
        <v>1265</v>
      </c>
      <c r="K703" s="120" t="s">
        <v>91</v>
      </c>
      <c r="L703" s="93" t="s">
        <v>3049</v>
      </c>
      <c r="M703" s="94" t="s">
        <v>3336</v>
      </c>
      <c r="N703" s="95" t="s">
        <v>2870</v>
      </c>
      <c r="O703" s="132">
        <v>1</v>
      </c>
      <c r="P703" s="153">
        <f t="shared" si="175"/>
        <v>13.8</v>
      </c>
      <c r="Q703" s="122" t="s">
        <v>16</v>
      </c>
      <c r="R703" s="122">
        <v>6</v>
      </c>
      <c r="S703" s="95"/>
      <c r="T703" s="98"/>
      <c r="U703" s="125">
        <f t="shared" si="176"/>
        <v>100.30000000000001</v>
      </c>
      <c r="V703" s="113">
        <f t="shared" si="167"/>
        <v>2.5075000000000003</v>
      </c>
      <c r="W703" s="114">
        <f t="shared" si="168"/>
        <v>0.35821428571428576</v>
      </c>
      <c r="X703" s="95"/>
      <c r="Y703" s="95"/>
      <c r="Z703" s="102"/>
      <c r="AA703" s="103">
        <v>45834</v>
      </c>
      <c r="AB703" s="103">
        <v>45862</v>
      </c>
      <c r="AC703" s="103"/>
      <c r="AD703" s="102">
        <f>IF(ISNA(VLOOKUP(D703,亚马逊入库配置费!B:F,5,0)),0,VLOOKUP(D703,亚马逊入库配置费!B:F,5,0))</f>
        <v>0</v>
      </c>
      <c r="AE703" s="102">
        <f t="shared" si="162"/>
        <v>0</v>
      </c>
      <c r="AF703" s="103">
        <v>45875</v>
      </c>
      <c r="AG703" s="91">
        <f t="shared" si="163"/>
        <v>41</v>
      </c>
      <c r="AH703" s="103">
        <v>45875</v>
      </c>
      <c r="AI703" s="103">
        <v>45889</v>
      </c>
      <c r="AJ703" s="96">
        <v>40</v>
      </c>
      <c r="AK703" s="91">
        <f t="shared" si="164"/>
        <v>14</v>
      </c>
      <c r="AL703" s="96">
        <f t="shared" si="165"/>
        <v>55</v>
      </c>
      <c r="AM703" s="92"/>
      <c r="AN703" s="91"/>
      <c r="AO703" s="91"/>
    </row>
    <row r="704" spans="1:41" ht="14.5" x14ac:dyDescent="0.25">
      <c r="A704" s="92" t="s">
        <v>1293</v>
      </c>
      <c r="B704" s="91"/>
      <c r="C704" s="119" t="s">
        <v>1290</v>
      </c>
      <c r="D704" s="120" t="s">
        <v>1291</v>
      </c>
      <c r="E704" s="135" t="s">
        <v>86</v>
      </c>
      <c r="F704" s="135" t="s">
        <v>87</v>
      </c>
      <c r="G704" s="159" t="s">
        <v>167</v>
      </c>
      <c r="H704" s="126">
        <v>150</v>
      </c>
      <c r="I704" s="126" t="s">
        <v>502</v>
      </c>
      <c r="J704" s="126" t="s">
        <v>1265</v>
      </c>
      <c r="K704" s="120" t="s">
        <v>91</v>
      </c>
      <c r="L704" s="93" t="s">
        <v>3025</v>
      </c>
      <c r="M704" s="94" t="s">
        <v>3210</v>
      </c>
      <c r="N704" s="95" t="s">
        <v>2876</v>
      </c>
      <c r="O704" s="132">
        <v>5</v>
      </c>
      <c r="P704" s="153">
        <f t="shared" si="175"/>
        <v>69</v>
      </c>
      <c r="Q704" s="122" t="s">
        <v>16</v>
      </c>
      <c r="R704" s="122">
        <v>6</v>
      </c>
      <c r="S704" s="95"/>
      <c r="T704" s="98"/>
      <c r="U704" s="125">
        <f t="shared" si="176"/>
        <v>501.5</v>
      </c>
      <c r="V704" s="113">
        <f t="shared" si="167"/>
        <v>3.3433333333333333</v>
      </c>
      <c r="W704" s="114">
        <f t="shared" si="168"/>
        <v>0.47761904761904761</v>
      </c>
      <c r="X704" s="95"/>
      <c r="Y704" s="95"/>
      <c r="Z704" s="102"/>
      <c r="AA704" s="103">
        <v>45834</v>
      </c>
      <c r="AB704" s="103">
        <v>45862</v>
      </c>
      <c r="AC704" s="103"/>
      <c r="AD704" s="102">
        <f>IF(ISNA(VLOOKUP(D704,亚马逊入库配置费!B:F,5,0)),0,VLOOKUP(D704,亚马逊入库配置费!B:F,5,0))</f>
        <v>0</v>
      </c>
      <c r="AE704" s="102">
        <f t="shared" si="162"/>
        <v>0</v>
      </c>
      <c r="AF704" s="103">
        <v>45875</v>
      </c>
      <c r="AG704" s="91">
        <f t="shared" si="163"/>
        <v>41</v>
      </c>
      <c r="AH704" s="103">
        <v>45875</v>
      </c>
      <c r="AI704" s="103">
        <v>45889</v>
      </c>
      <c r="AJ704" s="96">
        <v>150</v>
      </c>
      <c r="AK704" s="91">
        <f t="shared" si="164"/>
        <v>14</v>
      </c>
      <c r="AL704" s="96">
        <f t="shared" si="165"/>
        <v>55</v>
      </c>
      <c r="AM704" s="92"/>
      <c r="AN704" s="91"/>
      <c r="AO704" s="91"/>
    </row>
    <row r="705" spans="1:41" ht="14.5" x14ac:dyDescent="0.25">
      <c r="A705" s="92" t="s">
        <v>1294</v>
      </c>
      <c r="B705" s="91"/>
      <c r="C705" s="119" t="s">
        <v>1290</v>
      </c>
      <c r="D705" s="120" t="s">
        <v>1291</v>
      </c>
      <c r="E705" s="135" t="s">
        <v>86</v>
      </c>
      <c r="F705" s="135" t="s">
        <v>87</v>
      </c>
      <c r="G705" s="159" t="s">
        <v>169</v>
      </c>
      <c r="H705" s="126">
        <v>60</v>
      </c>
      <c r="I705" s="126" t="s">
        <v>502</v>
      </c>
      <c r="J705" s="126" t="s">
        <v>1265</v>
      </c>
      <c r="K705" s="120" t="s">
        <v>91</v>
      </c>
      <c r="L705" s="93" t="s">
        <v>3026</v>
      </c>
      <c r="M705" s="94" t="s">
        <v>3211</v>
      </c>
      <c r="N705" s="95" t="s">
        <v>2876</v>
      </c>
      <c r="O705" s="132">
        <v>2</v>
      </c>
      <c r="P705" s="153">
        <f t="shared" si="175"/>
        <v>27.6</v>
      </c>
      <c r="Q705" s="122" t="s">
        <v>16</v>
      </c>
      <c r="R705" s="122">
        <v>6</v>
      </c>
      <c r="S705" s="95"/>
      <c r="T705" s="98"/>
      <c r="U705" s="125">
        <f t="shared" si="176"/>
        <v>200.60000000000002</v>
      </c>
      <c r="V705" s="113">
        <f t="shared" si="167"/>
        <v>3.3433333333333337</v>
      </c>
      <c r="W705" s="114">
        <f t="shared" si="168"/>
        <v>0.47761904761904767</v>
      </c>
      <c r="X705" s="95"/>
      <c r="Y705" s="95"/>
      <c r="Z705" s="102"/>
      <c r="AA705" s="103">
        <v>45834</v>
      </c>
      <c r="AB705" s="103">
        <v>45862</v>
      </c>
      <c r="AC705" s="103"/>
      <c r="AD705" s="102">
        <f>IF(ISNA(VLOOKUP(D705,亚马逊入库配置费!B:F,5,0)),0,VLOOKUP(D705,亚马逊入库配置费!B:F,5,0))</f>
        <v>0</v>
      </c>
      <c r="AE705" s="102">
        <f t="shared" si="162"/>
        <v>0</v>
      </c>
      <c r="AF705" s="103">
        <v>45875</v>
      </c>
      <c r="AG705" s="91">
        <f t="shared" si="163"/>
        <v>41</v>
      </c>
      <c r="AH705" s="103">
        <v>45875</v>
      </c>
      <c r="AI705" s="103">
        <v>45889</v>
      </c>
      <c r="AJ705" s="96">
        <v>60</v>
      </c>
      <c r="AK705" s="91">
        <f t="shared" si="164"/>
        <v>14</v>
      </c>
      <c r="AL705" s="96">
        <f t="shared" si="165"/>
        <v>55</v>
      </c>
      <c r="AM705" s="92"/>
      <c r="AN705" s="91"/>
      <c r="AO705" s="91"/>
    </row>
    <row r="706" spans="1:41" ht="14.5" x14ac:dyDescent="0.25">
      <c r="A706" s="92" t="s">
        <v>1295</v>
      </c>
      <c r="B706" s="91"/>
      <c r="C706" s="119" t="s">
        <v>1290</v>
      </c>
      <c r="D706" s="120" t="s">
        <v>1291</v>
      </c>
      <c r="E706" s="135" t="s">
        <v>86</v>
      </c>
      <c r="F706" s="135" t="s">
        <v>87</v>
      </c>
      <c r="G706" s="159" t="s">
        <v>211</v>
      </c>
      <c r="H706" s="126">
        <v>120</v>
      </c>
      <c r="I706" s="126" t="s">
        <v>502</v>
      </c>
      <c r="J706" s="126" t="s">
        <v>1265</v>
      </c>
      <c r="K706" s="120" t="s">
        <v>91</v>
      </c>
      <c r="L706" s="93" t="s">
        <v>3034</v>
      </c>
      <c r="M706" s="94" t="s">
        <v>3312</v>
      </c>
      <c r="N706" s="95" t="s">
        <v>2869</v>
      </c>
      <c r="O706" s="132">
        <v>4</v>
      </c>
      <c r="P706" s="153">
        <f t="shared" si="175"/>
        <v>55.2</v>
      </c>
      <c r="Q706" s="122" t="s">
        <v>16</v>
      </c>
      <c r="R706" s="122">
        <v>6</v>
      </c>
      <c r="S706" s="95"/>
      <c r="T706" s="98"/>
      <c r="U706" s="125">
        <f t="shared" si="176"/>
        <v>401.20000000000005</v>
      </c>
      <c r="V706" s="113">
        <f t="shared" si="167"/>
        <v>3.3433333333333337</v>
      </c>
      <c r="W706" s="114">
        <f t="shared" si="168"/>
        <v>0.47761904761904767</v>
      </c>
      <c r="X706" s="95"/>
      <c r="Y706" s="95"/>
      <c r="Z706" s="102"/>
      <c r="AA706" s="103">
        <v>45834</v>
      </c>
      <c r="AB706" s="103">
        <v>45862</v>
      </c>
      <c r="AC706" s="103"/>
      <c r="AD706" s="102">
        <f>IF(ISNA(VLOOKUP(D706,亚马逊入库配置费!B:F,5,0)),0,VLOOKUP(D706,亚马逊入库配置费!B:F,5,0))</f>
        <v>0</v>
      </c>
      <c r="AE706" s="102">
        <f t="shared" ref="AE706:AE769" si="177">H706*AD706</f>
        <v>0</v>
      </c>
      <c r="AF706" s="103">
        <v>45875</v>
      </c>
      <c r="AG706" s="91">
        <f t="shared" ref="AG706:AG769" si="178">AF706-AA706</f>
        <v>41</v>
      </c>
      <c r="AH706" s="103">
        <v>45875</v>
      </c>
      <c r="AI706" s="103">
        <v>45889</v>
      </c>
      <c r="AJ706" s="96">
        <v>120</v>
      </c>
      <c r="AK706" s="91">
        <f t="shared" ref="AK706:AK769" si="179">AI706-AH706</f>
        <v>14</v>
      </c>
      <c r="AL706" s="96">
        <f t="shared" si="165"/>
        <v>55</v>
      </c>
      <c r="AM706" s="92"/>
      <c r="AN706" s="91"/>
      <c r="AO706" s="91"/>
    </row>
    <row r="707" spans="1:41" ht="14.5" x14ac:dyDescent="0.25">
      <c r="A707" s="92" t="s">
        <v>1296</v>
      </c>
      <c r="B707" s="91"/>
      <c r="C707" s="119" t="s">
        <v>1290</v>
      </c>
      <c r="D707" s="120" t="s">
        <v>1291</v>
      </c>
      <c r="E707" s="135" t="s">
        <v>86</v>
      </c>
      <c r="F707" s="135" t="s">
        <v>87</v>
      </c>
      <c r="G707" s="159" t="s">
        <v>213</v>
      </c>
      <c r="H707" s="126">
        <v>90</v>
      </c>
      <c r="I707" s="126" t="s">
        <v>502</v>
      </c>
      <c r="J707" s="126" t="s">
        <v>1265</v>
      </c>
      <c r="K707" s="120" t="s">
        <v>91</v>
      </c>
      <c r="L707" s="93" t="s">
        <v>3035</v>
      </c>
      <c r="M707" s="94" t="s">
        <v>3313</v>
      </c>
      <c r="N707" s="95" t="s">
        <v>2869</v>
      </c>
      <c r="O707" s="132">
        <v>3</v>
      </c>
      <c r="P707" s="153">
        <f t="shared" si="175"/>
        <v>41.400000000000006</v>
      </c>
      <c r="Q707" s="122" t="s">
        <v>16</v>
      </c>
      <c r="R707" s="122">
        <v>6</v>
      </c>
      <c r="S707" s="95"/>
      <c r="T707" s="98"/>
      <c r="U707" s="125">
        <f t="shared" si="176"/>
        <v>300.90000000000003</v>
      </c>
      <c r="V707" s="113">
        <f t="shared" si="167"/>
        <v>3.3433333333333337</v>
      </c>
      <c r="W707" s="114">
        <f t="shared" si="168"/>
        <v>0.47761904761904767</v>
      </c>
      <c r="X707" s="95"/>
      <c r="Y707" s="95"/>
      <c r="Z707" s="102"/>
      <c r="AA707" s="103">
        <v>45834</v>
      </c>
      <c r="AB707" s="103">
        <v>45862</v>
      </c>
      <c r="AC707" s="103"/>
      <c r="AD707" s="102">
        <f>IF(ISNA(VLOOKUP(D707,亚马逊入库配置费!B:F,5,0)),0,VLOOKUP(D707,亚马逊入库配置费!B:F,5,0))</f>
        <v>0</v>
      </c>
      <c r="AE707" s="102">
        <f t="shared" si="177"/>
        <v>0</v>
      </c>
      <c r="AF707" s="103">
        <v>45875</v>
      </c>
      <c r="AG707" s="91">
        <f t="shared" si="178"/>
        <v>41</v>
      </c>
      <c r="AH707" s="103">
        <v>45875</v>
      </c>
      <c r="AI707" s="103">
        <v>45889</v>
      </c>
      <c r="AJ707" s="96">
        <v>90</v>
      </c>
      <c r="AK707" s="91">
        <f t="shared" si="179"/>
        <v>14</v>
      </c>
      <c r="AL707" s="96">
        <f t="shared" si="165"/>
        <v>55</v>
      </c>
      <c r="AM707" s="92"/>
      <c r="AN707" s="91"/>
      <c r="AO707" s="91"/>
    </row>
    <row r="708" spans="1:41" ht="14.5" x14ac:dyDescent="0.25">
      <c r="A708" s="92" t="s">
        <v>1297</v>
      </c>
      <c r="B708" s="91"/>
      <c r="C708" s="119" t="s">
        <v>1290</v>
      </c>
      <c r="D708" s="120" t="s">
        <v>1291</v>
      </c>
      <c r="E708" s="135" t="s">
        <v>86</v>
      </c>
      <c r="F708" s="135" t="s">
        <v>87</v>
      </c>
      <c r="G708" s="159" t="s">
        <v>608</v>
      </c>
      <c r="H708" s="126">
        <v>90</v>
      </c>
      <c r="I708" s="126" t="s">
        <v>502</v>
      </c>
      <c r="J708" s="126" t="s">
        <v>1265</v>
      </c>
      <c r="K708" s="120" t="s">
        <v>91</v>
      </c>
      <c r="L708" s="93" t="s">
        <v>3076</v>
      </c>
      <c r="M708" s="94" t="s">
        <v>3377</v>
      </c>
      <c r="N708" s="95" t="s">
        <v>2869</v>
      </c>
      <c r="O708" s="132">
        <v>3</v>
      </c>
      <c r="P708" s="153">
        <f t="shared" si="175"/>
        <v>41.400000000000006</v>
      </c>
      <c r="Q708" s="122" t="s">
        <v>16</v>
      </c>
      <c r="R708" s="122">
        <v>6</v>
      </c>
      <c r="S708" s="95"/>
      <c r="T708" s="98"/>
      <c r="U708" s="125">
        <f t="shared" si="176"/>
        <v>300.90000000000003</v>
      </c>
      <c r="V708" s="113">
        <f t="shared" si="167"/>
        <v>3.3433333333333337</v>
      </c>
      <c r="W708" s="114">
        <f t="shared" si="168"/>
        <v>0.47761904761904767</v>
      </c>
      <c r="X708" s="95"/>
      <c r="Y708" s="95"/>
      <c r="Z708" s="102"/>
      <c r="AA708" s="103">
        <v>45834</v>
      </c>
      <c r="AB708" s="103">
        <v>45862</v>
      </c>
      <c r="AC708" s="103"/>
      <c r="AD708" s="102">
        <f>IF(ISNA(VLOOKUP(D708,亚马逊入库配置费!B:F,5,0)),0,VLOOKUP(D708,亚马逊入库配置费!B:F,5,0))</f>
        <v>0</v>
      </c>
      <c r="AE708" s="102">
        <f t="shared" si="177"/>
        <v>0</v>
      </c>
      <c r="AF708" s="103">
        <v>45875</v>
      </c>
      <c r="AG708" s="91">
        <f t="shared" si="178"/>
        <v>41</v>
      </c>
      <c r="AH708" s="103">
        <v>45875</v>
      </c>
      <c r="AI708" s="103">
        <v>45889</v>
      </c>
      <c r="AJ708" s="96">
        <v>90</v>
      </c>
      <c r="AK708" s="91">
        <f t="shared" si="179"/>
        <v>14</v>
      </c>
      <c r="AL708" s="96">
        <f t="shared" ref="AL708:AL771" si="180">AG708+AK708</f>
        <v>55</v>
      </c>
      <c r="AM708" s="92"/>
      <c r="AN708" s="91"/>
      <c r="AO708" s="91"/>
    </row>
    <row r="709" spans="1:41" ht="14.5" x14ac:dyDescent="0.25">
      <c r="A709" s="92" t="s">
        <v>1298</v>
      </c>
      <c r="B709" s="91"/>
      <c r="C709" s="119" t="s">
        <v>1290</v>
      </c>
      <c r="D709" s="120" t="s">
        <v>1291</v>
      </c>
      <c r="E709" s="135" t="s">
        <v>86</v>
      </c>
      <c r="F709" s="135" t="s">
        <v>87</v>
      </c>
      <c r="G709" s="159" t="s">
        <v>853</v>
      </c>
      <c r="H709" s="126">
        <v>40</v>
      </c>
      <c r="I709" s="126" t="s">
        <v>502</v>
      </c>
      <c r="J709" s="126" t="s">
        <v>1265</v>
      </c>
      <c r="K709" s="120" t="s">
        <v>91</v>
      </c>
      <c r="L709" s="93" t="s">
        <v>853</v>
      </c>
      <c r="M709" s="94" t="s">
        <v>3396</v>
      </c>
      <c r="N709" s="95" t="s">
        <v>2870</v>
      </c>
      <c r="O709" s="132">
        <v>1</v>
      </c>
      <c r="P709" s="153">
        <f t="shared" si="175"/>
        <v>13.8</v>
      </c>
      <c r="Q709" s="122" t="s">
        <v>16</v>
      </c>
      <c r="R709" s="122">
        <v>6</v>
      </c>
      <c r="S709" s="95"/>
      <c r="T709" s="98"/>
      <c r="U709" s="125">
        <f t="shared" si="176"/>
        <v>100.30000000000001</v>
      </c>
      <c r="V709" s="113">
        <f t="shared" si="167"/>
        <v>2.5075000000000003</v>
      </c>
      <c r="W709" s="114">
        <f t="shared" si="168"/>
        <v>0.35821428571428576</v>
      </c>
      <c r="X709" s="95"/>
      <c r="Y709" s="95"/>
      <c r="Z709" s="102"/>
      <c r="AA709" s="103">
        <v>45834</v>
      </c>
      <c r="AB709" s="103">
        <v>45862</v>
      </c>
      <c r="AC709" s="103"/>
      <c r="AD709" s="102">
        <f>IF(ISNA(VLOOKUP(D709,亚马逊入库配置费!B:F,5,0)),0,VLOOKUP(D709,亚马逊入库配置费!B:F,5,0))</f>
        <v>0</v>
      </c>
      <c r="AE709" s="102">
        <f t="shared" si="177"/>
        <v>0</v>
      </c>
      <c r="AF709" s="103">
        <v>45875</v>
      </c>
      <c r="AG709" s="91">
        <f t="shared" si="178"/>
        <v>41</v>
      </c>
      <c r="AH709" s="103">
        <v>45875</v>
      </c>
      <c r="AI709" s="103">
        <v>45889</v>
      </c>
      <c r="AJ709" s="96">
        <v>40</v>
      </c>
      <c r="AK709" s="91">
        <f t="shared" si="179"/>
        <v>14</v>
      </c>
      <c r="AL709" s="96">
        <f t="shared" si="180"/>
        <v>55</v>
      </c>
      <c r="AM709" s="92"/>
      <c r="AN709" s="91"/>
      <c r="AO709" s="91"/>
    </row>
    <row r="710" spans="1:41" ht="14.5" x14ac:dyDescent="0.25">
      <c r="A710" s="92" t="s">
        <v>1299</v>
      </c>
      <c r="B710" s="91"/>
      <c r="C710" s="119" t="s">
        <v>1300</v>
      </c>
      <c r="D710" s="120" t="s">
        <v>1301</v>
      </c>
      <c r="E710" s="135" t="s">
        <v>97</v>
      </c>
      <c r="F710" s="135" t="s">
        <v>0</v>
      </c>
      <c r="G710" s="159" t="s">
        <v>161</v>
      </c>
      <c r="H710" s="126">
        <v>192</v>
      </c>
      <c r="I710" s="126" t="s">
        <v>1227</v>
      </c>
      <c r="J710" s="126" t="s">
        <v>503</v>
      </c>
      <c r="K710" s="120" t="s">
        <v>43</v>
      </c>
      <c r="L710" s="93" t="s">
        <v>3024</v>
      </c>
      <c r="M710" s="94" t="s">
        <v>3301</v>
      </c>
      <c r="N710" s="95" t="s">
        <v>2870</v>
      </c>
      <c r="O710" s="163">
        <v>6</v>
      </c>
      <c r="P710" s="153">
        <f>492/36*O710</f>
        <v>82</v>
      </c>
      <c r="Q710" s="122" t="s">
        <v>16</v>
      </c>
      <c r="R710" s="152">
        <v>4.3</v>
      </c>
      <c r="S710" s="95"/>
      <c r="T710" s="98"/>
      <c r="U710" s="125">
        <f>R710*P710+350/36*O710</f>
        <v>410.93333333333328</v>
      </c>
      <c r="V710" s="113">
        <f t="shared" si="167"/>
        <v>2.1402777777777775</v>
      </c>
      <c r="W710" s="114">
        <f t="shared" si="168"/>
        <v>0.30575396825396822</v>
      </c>
      <c r="X710" s="95"/>
      <c r="Y710" s="95"/>
      <c r="Z710" s="102"/>
      <c r="AA710" s="103">
        <v>45834</v>
      </c>
      <c r="AB710" s="103">
        <v>45857</v>
      </c>
      <c r="AC710" s="103"/>
      <c r="AD710" s="102">
        <f>IF(ISNA(VLOOKUP(D710,亚马逊入库配置费!B:F,5,0)),0,VLOOKUP(D710,亚马逊入库配置费!B:F,5,0))</f>
        <v>0.36625000000000002</v>
      </c>
      <c r="AE710" s="102">
        <f t="shared" si="177"/>
        <v>70.320000000000007</v>
      </c>
      <c r="AF710" s="103">
        <v>45874</v>
      </c>
      <c r="AG710" s="91">
        <f t="shared" si="178"/>
        <v>40</v>
      </c>
      <c r="AH710" s="103">
        <v>45874</v>
      </c>
      <c r="AI710" s="103">
        <v>45901</v>
      </c>
      <c r="AJ710" s="96">
        <v>191</v>
      </c>
      <c r="AK710" s="91">
        <f t="shared" si="179"/>
        <v>27</v>
      </c>
      <c r="AL710" s="96">
        <f t="shared" si="180"/>
        <v>67</v>
      </c>
      <c r="AM710" s="92"/>
      <c r="AN710" s="91"/>
      <c r="AO710" s="91"/>
    </row>
    <row r="711" spans="1:41" ht="14.5" x14ac:dyDescent="0.25">
      <c r="A711" s="92" t="s">
        <v>1302</v>
      </c>
      <c r="B711" s="91"/>
      <c r="C711" s="119" t="s">
        <v>1300</v>
      </c>
      <c r="D711" s="120" t="s">
        <v>1301</v>
      </c>
      <c r="E711" s="135" t="s">
        <v>97</v>
      </c>
      <c r="F711" s="135" t="s">
        <v>0</v>
      </c>
      <c r="G711" s="159" t="s">
        <v>228</v>
      </c>
      <c r="H711" s="126">
        <v>240</v>
      </c>
      <c r="I711" s="126" t="s">
        <v>1227</v>
      </c>
      <c r="J711" s="126" t="s">
        <v>503</v>
      </c>
      <c r="K711" s="120" t="s">
        <v>43</v>
      </c>
      <c r="L711" s="93" t="s">
        <v>3036</v>
      </c>
      <c r="M711" s="94" t="s">
        <v>3315</v>
      </c>
      <c r="N711" s="95" t="s">
        <v>2870</v>
      </c>
      <c r="O711" s="163">
        <v>12</v>
      </c>
      <c r="P711" s="153">
        <f>492/36*O711</f>
        <v>164</v>
      </c>
      <c r="Q711" s="122" t="s">
        <v>16</v>
      </c>
      <c r="R711" s="152">
        <v>4.3</v>
      </c>
      <c r="S711" s="95"/>
      <c r="T711" s="98"/>
      <c r="U711" s="125">
        <f>R711*P711+350/36*O711</f>
        <v>821.86666666666656</v>
      </c>
      <c r="V711" s="113">
        <f t="shared" si="167"/>
        <v>3.4244444444444442</v>
      </c>
      <c r="W711" s="114">
        <f t="shared" si="168"/>
        <v>0.48920634920634914</v>
      </c>
      <c r="X711" s="95"/>
      <c r="Y711" s="95"/>
      <c r="Z711" s="102"/>
      <c r="AA711" s="103">
        <v>45834</v>
      </c>
      <c r="AB711" s="103">
        <v>45857</v>
      </c>
      <c r="AC711" s="103"/>
      <c r="AD711" s="102">
        <f>IF(ISNA(VLOOKUP(D711,亚马逊入库配置费!B:F,5,0)),0,VLOOKUP(D711,亚马逊入库配置费!B:F,5,0))</f>
        <v>0.36625000000000002</v>
      </c>
      <c r="AE711" s="102">
        <f t="shared" si="177"/>
        <v>87.9</v>
      </c>
      <c r="AF711" s="103">
        <v>45874</v>
      </c>
      <c r="AG711" s="91">
        <f t="shared" si="178"/>
        <v>40</v>
      </c>
      <c r="AH711" s="103">
        <v>45874</v>
      </c>
      <c r="AI711" s="103">
        <v>45901</v>
      </c>
      <c r="AJ711" s="96">
        <v>240</v>
      </c>
      <c r="AK711" s="91">
        <f t="shared" si="179"/>
        <v>27</v>
      </c>
      <c r="AL711" s="96">
        <f t="shared" si="180"/>
        <v>67</v>
      </c>
      <c r="AM711" s="92"/>
      <c r="AN711" s="91"/>
      <c r="AO711" s="91"/>
    </row>
    <row r="712" spans="1:41" ht="14.5" x14ac:dyDescent="0.25">
      <c r="A712" s="92" t="s">
        <v>1303</v>
      </c>
      <c r="B712" s="91"/>
      <c r="C712" s="119" t="s">
        <v>1300</v>
      </c>
      <c r="D712" s="120" t="s">
        <v>1301</v>
      </c>
      <c r="E712" s="135" t="s">
        <v>97</v>
      </c>
      <c r="F712" s="135" t="s">
        <v>0</v>
      </c>
      <c r="G712" s="159" t="s">
        <v>163</v>
      </c>
      <c r="H712" s="126">
        <v>400</v>
      </c>
      <c r="I712" s="126" t="s">
        <v>1227</v>
      </c>
      <c r="J712" s="126" t="s">
        <v>503</v>
      </c>
      <c r="K712" s="120" t="s">
        <v>43</v>
      </c>
      <c r="L712" s="93" t="s">
        <v>2881</v>
      </c>
      <c r="M712" s="94" t="s">
        <v>3302</v>
      </c>
      <c r="N712" s="95" t="s">
        <v>2870</v>
      </c>
      <c r="O712" s="163">
        <v>10</v>
      </c>
      <c r="P712" s="153">
        <f>492/36*O712</f>
        <v>136.66666666666666</v>
      </c>
      <c r="Q712" s="122" t="s">
        <v>16</v>
      </c>
      <c r="R712" s="152">
        <v>4.3</v>
      </c>
      <c r="S712" s="95"/>
      <c r="T712" s="98"/>
      <c r="U712" s="125">
        <f>R712*P712+350/36*O712</f>
        <v>684.8888888888888</v>
      </c>
      <c r="V712" s="113">
        <f t="shared" si="167"/>
        <v>1.7122222222222221</v>
      </c>
      <c r="W712" s="114">
        <f t="shared" si="168"/>
        <v>0.24460317460317457</v>
      </c>
      <c r="X712" s="95"/>
      <c r="Y712" s="95"/>
      <c r="Z712" s="102"/>
      <c r="AA712" s="103">
        <v>45834</v>
      </c>
      <c r="AB712" s="103">
        <v>45857</v>
      </c>
      <c r="AC712" s="103"/>
      <c r="AD712" s="102">
        <f>IF(ISNA(VLOOKUP(D712,亚马逊入库配置费!B:F,5,0)),0,VLOOKUP(D712,亚马逊入库配置费!B:F,5,0))</f>
        <v>0.36625000000000002</v>
      </c>
      <c r="AE712" s="102">
        <f t="shared" si="177"/>
        <v>146.5</v>
      </c>
      <c r="AF712" s="103">
        <v>45874</v>
      </c>
      <c r="AG712" s="91">
        <f t="shared" si="178"/>
        <v>40</v>
      </c>
      <c r="AH712" s="103">
        <v>45874</v>
      </c>
      <c r="AI712" s="103">
        <v>45901</v>
      </c>
      <c r="AJ712" s="96">
        <v>400</v>
      </c>
      <c r="AK712" s="91">
        <f t="shared" si="179"/>
        <v>27</v>
      </c>
      <c r="AL712" s="96">
        <f t="shared" si="180"/>
        <v>67</v>
      </c>
      <c r="AM712" s="92"/>
      <c r="AN712" s="91"/>
      <c r="AO712" s="91"/>
    </row>
    <row r="713" spans="1:41" ht="14.5" x14ac:dyDescent="0.25">
      <c r="A713" s="92" t="s">
        <v>1304</v>
      </c>
      <c r="B713" s="91"/>
      <c r="C713" s="119" t="s">
        <v>1300</v>
      </c>
      <c r="D713" s="120" t="s">
        <v>1301</v>
      </c>
      <c r="E713" s="135" t="s">
        <v>97</v>
      </c>
      <c r="F713" s="135" t="s">
        <v>0</v>
      </c>
      <c r="G713" s="159" t="s">
        <v>876</v>
      </c>
      <c r="H713" s="126">
        <v>120</v>
      </c>
      <c r="I713" s="126" t="s">
        <v>1227</v>
      </c>
      <c r="J713" s="126" t="s">
        <v>503</v>
      </c>
      <c r="K713" s="120" t="s">
        <v>43</v>
      </c>
      <c r="L713" s="93" t="s">
        <v>876</v>
      </c>
      <c r="M713" s="94" t="s">
        <v>3400</v>
      </c>
      <c r="N713" s="95" t="s">
        <v>2870</v>
      </c>
      <c r="O713" s="163">
        <v>3</v>
      </c>
      <c r="P713" s="153">
        <f>492/36*O713</f>
        <v>41</v>
      </c>
      <c r="Q713" s="122" t="s">
        <v>16</v>
      </c>
      <c r="R713" s="152">
        <v>4.3</v>
      </c>
      <c r="S713" s="95"/>
      <c r="T713" s="98"/>
      <c r="U713" s="125">
        <f>R713*P713+350/36*O713</f>
        <v>205.46666666666664</v>
      </c>
      <c r="V713" s="113">
        <f t="shared" si="167"/>
        <v>1.7122222222222221</v>
      </c>
      <c r="W713" s="114">
        <f t="shared" si="168"/>
        <v>0.24460317460317457</v>
      </c>
      <c r="X713" s="95"/>
      <c r="Y713" s="95"/>
      <c r="Z713" s="102"/>
      <c r="AA713" s="103">
        <v>45834</v>
      </c>
      <c r="AB713" s="103">
        <v>45857</v>
      </c>
      <c r="AC713" s="103"/>
      <c r="AD713" s="102">
        <f>IF(ISNA(VLOOKUP(D713,亚马逊入库配置费!B:F,5,0)),0,VLOOKUP(D713,亚马逊入库配置费!B:F,5,0))</f>
        <v>0.36625000000000002</v>
      </c>
      <c r="AE713" s="102">
        <f t="shared" si="177"/>
        <v>43.95</v>
      </c>
      <c r="AF713" s="103">
        <v>45874</v>
      </c>
      <c r="AG713" s="91">
        <f t="shared" si="178"/>
        <v>40</v>
      </c>
      <c r="AH713" s="103">
        <v>45874</v>
      </c>
      <c r="AI713" s="103">
        <v>45901</v>
      </c>
      <c r="AJ713" s="96">
        <v>124</v>
      </c>
      <c r="AK713" s="91">
        <f t="shared" si="179"/>
        <v>27</v>
      </c>
      <c r="AL713" s="96">
        <f t="shared" si="180"/>
        <v>67</v>
      </c>
      <c r="AM713" s="92"/>
      <c r="AN713" s="91"/>
      <c r="AO713" s="91"/>
    </row>
    <row r="714" spans="1:41" ht="14.5" x14ac:dyDescent="0.25">
      <c r="A714" s="92" t="s">
        <v>1305</v>
      </c>
      <c r="B714" s="91"/>
      <c r="C714" s="119" t="s">
        <v>1300</v>
      </c>
      <c r="D714" s="120" t="s">
        <v>1301</v>
      </c>
      <c r="E714" s="135" t="s">
        <v>97</v>
      </c>
      <c r="F714" s="135" t="s">
        <v>0</v>
      </c>
      <c r="G714" s="159" t="s">
        <v>786</v>
      </c>
      <c r="H714" s="126">
        <v>200</v>
      </c>
      <c r="I714" s="126" t="s">
        <v>1227</v>
      </c>
      <c r="J714" s="126" t="s">
        <v>503</v>
      </c>
      <c r="K714" s="120" t="s">
        <v>43</v>
      </c>
      <c r="L714" s="93" t="s">
        <v>786</v>
      </c>
      <c r="M714" s="94" t="s">
        <v>3395</v>
      </c>
      <c r="N714" s="95" t="s">
        <v>2870</v>
      </c>
      <c r="O714" s="163">
        <v>5</v>
      </c>
      <c r="P714" s="153">
        <f>492/36*O714</f>
        <v>68.333333333333329</v>
      </c>
      <c r="Q714" s="122" t="s">
        <v>16</v>
      </c>
      <c r="R714" s="152">
        <v>4.3</v>
      </c>
      <c r="S714" s="95"/>
      <c r="T714" s="98"/>
      <c r="U714" s="125">
        <f>R714*P714+350/36*O714</f>
        <v>342.4444444444444</v>
      </c>
      <c r="V714" s="113">
        <f t="shared" si="167"/>
        <v>1.7122222222222221</v>
      </c>
      <c r="W714" s="114">
        <f t="shared" si="168"/>
        <v>0.24460317460317457</v>
      </c>
      <c r="X714" s="95"/>
      <c r="Y714" s="95"/>
      <c r="Z714" s="102"/>
      <c r="AA714" s="103">
        <v>45834</v>
      </c>
      <c r="AB714" s="103">
        <v>45857</v>
      </c>
      <c r="AC714" s="103"/>
      <c r="AD714" s="102">
        <f>IF(ISNA(VLOOKUP(D714,亚马逊入库配置费!B:F,5,0)),0,VLOOKUP(D714,亚马逊入库配置费!B:F,5,0))</f>
        <v>0.36625000000000002</v>
      </c>
      <c r="AE714" s="102">
        <f t="shared" si="177"/>
        <v>73.25</v>
      </c>
      <c r="AF714" s="103">
        <v>45874</v>
      </c>
      <c r="AG714" s="91">
        <f t="shared" si="178"/>
        <v>40</v>
      </c>
      <c r="AH714" s="103">
        <v>45874</v>
      </c>
      <c r="AI714" s="103">
        <v>45901</v>
      </c>
      <c r="AJ714" s="96">
        <v>201</v>
      </c>
      <c r="AK714" s="91">
        <f t="shared" si="179"/>
        <v>27</v>
      </c>
      <c r="AL714" s="96">
        <f t="shared" si="180"/>
        <v>67</v>
      </c>
      <c r="AM714" s="92"/>
      <c r="AN714" s="91"/>
      <c r="AO714" s="91"/>
    </row>
    <row r="715" spans="1:41" ht="14.5" x14ac:dyDescent="0.25">
      <c r="A715" s="92" t="s">
        <v>1306</v>
      </c>
      <c r="B715" s="91"/>
      <c r="C715" s="119" t="s">
        <v>1307</v>
      </c>
      <c r="D715" s="120" t="s">
        <v>1308</v>
      </c>
      <c r="E715" s="135" t="s">
        <v>97</v>
      </c>
      <c r="F715" s="135" t="s">
        <v>0</v>
      </c>
      <c r="G715" s="159" t="s">
        <v>88</v>
      </c>
      <c r="H715" s="126">
        <v>180</v>
      </c>
      <c r="I715" s="126" t="s">
        <v>1227</v>
      </c>
      <c r="J715" s="126" t="s">
        <v>503</v>
      </c>
      <c r="K715" s="120" t="s">
        <v>17</v>
      </c>
      <c r="L715" s="93" t="s">
        <v>3014</v>
      </c>
      <c r="M715" s="94" t="s">
        <v>3286</v>
      </c>
      <c r="N715" s="95" t="s">
        <v>2821</v>
      </c>
      <c r="O715" s="163">
        <v>10</v>
      </c>
      <c r="P715" s="153">
        <f>1037/48*O715</f>
        <v>216.04166666666669</v>
      </c>
      <c r="Q715" s="122" t="s">
        <v>16</v>
      </c>
      <c r="R715" s="152">
        <v>6.1</v>
      </c>
      <c r="S715" s="95"/>
      <c r="T715" s="98"/>
      <c r="U715" s="125">
        <f>R715*P715+350/48*O715</f>
        <v>1390.7708333333335</v>
      </c>
      <c r="V715" s="113">
        <f t="shared" si="167"/>
        <v>7.7265046296296305</v>
      </c>
      <c r="W715" s="114">
        <f t="shared" si="168"/>
        <v>1.1037863756613757</v>
      </c>
      <c r="X715" s="95"/>
      <c r="Y715" s="95"/>
      <c r="Z715" s="102"/>
      <c r="AA715" s="103">
        <v>45834</v>
      </c>
      <c r="AB715" s="103">
        <v>45859</v>
      </c>
      <c r="AC715" s="103"/>
      <c r="AD715" s="102">
        <f>IF(ISNA(VLOOKUP(D715,亚马逊入库配置费!B:F,5,0)),0,VLOOKUP(D715,亚马逊入库配置费!B:F,5,0))</f>
        <v>0.49</v>
      </c>
      <c r="AE715" s="102">
        <f t="shared" si="177"/>
        <v>88.2</v>
      </c>
      <c r="AF715" s="103">
        <v>45866</v>
      </c>
      <c r="AG715" s="91">
        <f t="shared" si="178"/>
        <v>32</v>
      </c>
      <c r="AH715" s="103">
        <v>45866</v>
      </c>
      <c r="AI715" s="103">
        <v>45900</v>
      </c>
      <c r="AJ715" s="96">
        <v>180</v>
      </c>
      <c r="AK715" s="91">
        <f t="shared" si="179"/>
        <v>34</v>
      </c>
      <c r="AL715" s="96">
        <f t="shared" si="180"/>
        <v>66</v>
      </c>
      <c r="AM715" s="92"/>
      <c r="AN715" s="91"/>
      <c r="AO715" s="91"/>
    </row>
    <row r="716" spans="1:41" ht="14.5" x14ac:dyDescent="0.25">
      <c r="A716" s="92" t="s">
        <v>1309</v>
      </c>
      <c r="B716" s="91"/>
      <c r="C716" s="119" t="s">
        <v>1307</v>
      </c>
      <c r="D716" s="120" t="s">
        <v>1308</v>
      </c>
      <c r="E716" s="135" t="s">
        <v>97</v>
      </c>
      <c r="F716" s="135" t="s">
        <v>0</v>
      </c>
      <c r="G716" s="159" t="s">
        <v>93</v>
      </c>
      <c r="H716" s="126">
        <v>684</v>
      </c>
      <c r="I716" s="126" t="s">
        <v>1227</v>
      </c>
      <c r="J716" s="126" t="s">
        <v>503</v>
      </c>
      <c r="K716" s="120" t="s">
        <v>17</v>
      </c>
      <c r="L716" s="93" t="s">
        <v>3015</v>
      </c>
      <c r="M716" s="94" t="s">
        <v>3288</v>
      </c>
      <c r="N716" s="95" t="s">
        <v>2821</v>
      </c>
      <c r="O716" s="163">
        <v>38</v>
      </c>
      <c r="P716" s="153">
        <f>1037/48*O716</f>
        <v>820.95833333333337</v>
      </c>
      <c r="Q716" s="122" t="s">
        <v>16</v>
      </c>
      <c r="R716" s="152">
        <v>6.1</v>
      </c>
      <c r="S716" s="95"/>
      <c r="T716" s="98"/>
      <c r="U716" s="125">
        <f>R716*P716+350/48*O716</f>
        <v>5284.9291666666659</v>
      </c>
      <c r="V716" s="113">
        <f t="shared" si="167"/>
        <v>7.7265046296296287</v>
      </c>
      <c r="W716" s="114">
        <f t="shared" si="168"/>
        <v>1.1037863756613755</v>
      </c>
      <c r="X716" s="95"/>
      <c r="Y716" s="95"/>
      <c r="Z716" s="102"/>
      <c r="AA716" s="103">
        <v>45834</v>
      </c>
      <c r="AB716" s="103">
        <v>45859</v>
      </c>
      <c r="AC716" s="103"/>
      <c r="AD716" s="102">
        <f>IF(ISNA(VLOOKUP(D716,亚马逊入库配置费!B:F,5,0)),0,VLOOKUP(D716,亚马逊入库配置费!B:F,5,0))</f>
        <v>0.49</v>
      </c>
      <c r="AE716" s="102">
        <f t="shared" si="177"/>
        <v>335.15999999999997</v>
      </c>
      <c r="AF716" s="103">
        <v>45866</v>
      </c>
      <c r="AG716" s="91">
        <f t="shared" si="178"/>
        <v>32</v>
      </c>
      <c r="AH716" s="103">
        <v>45866</v>
      </c>
      <c r="AI716" s="103">
        <v>45900</v>
      </c>
      <c r="AJ716" s="96">
        <v>684</v>
      </c>
      <c r="AK716" s="91">
        <f t="shared" si="179"/>
        <v>34</v>
      </c>
      <c r="AL716" s="96">
        <f t="shared" si="180"/>
        <v>66</v>
      </c>
      <c r="AM716" s="92"/>
      <c r="AN716" s="91"/>
      <c r="AO716" s="91"/>
    </row>
    <row r="717" spans="1:41" ht="14.5" x14ac:dyDescent="0.25">
      <c r="A717" s="92" t="s">
        <v>1310</v>
      </c>
      <c r="B717" s="91"/>
      <c r="C717" s="119" t="s">
        <v>303</v>
      </c>
      <c r="D717" s="120" t="s">
        <v>1311</v>
      </c>
      <c r="E717" s="135" t="s">
        <v>97</v>
      </c>
      <c r="F717" s="135" t="s">
        <v>0</v>
      </c>
      <c r="G717" s="159" t="s">
        <v>1312</v>
      </c>
      <c r="H717" s="126">
        <v>120</v>
      </c>
      <c r="I717" s="126" t="s">
        <v>1313</v>
      </c>
      <c r="J717" s="126" t="s">
        <v>1314</v>
      </c>
      <c r="K717" s="120" t="s">
        <v>13</v>
      </c>
      <c r="L717" s="93" t="s">
        <v>1312</v>
      </c>
      <c r="M717" s="94" t="s">
        <v>3441</v>
      </c>
      <c r="N717" s="95" t="s">
        <v>3042</v>
      </c>
      <c r="O717" s="163">
        <v>6</v>
      </c>
      <c r="P717" s="153">
        <f>78/6*O717</f>
        <v>78</v>
      </c>
      <c r="Q717" s="122" t="s">
        <v>16</v>
      </c>
      <c r="R717" s="152">
        <v>7</v>
      </c>
      <c r="S717" s="95"/>
      <c r="T717" s="98"/>
      <c r="U717" s="125">
        <f>R717*P717/6*O717</f>
        <v>546</v>
      </c>
      <c r="V717" s="113">
        <f t="shared" ref="V717:V780" si="181">U717/H717</f>
        <v>4.55</v>
      </c>
      <c r="W717" s="114">
        <f t="shared" ref="W717:W780" si="182">V717/7</f>
        <v>0.65</v>
      </c>
      <c r="X717" s="95"/>
      <c r="Y717" s="95"/>
      <c r="Z717" s="102"/>
      <c r="AA717" s="103">
        <v>45834</v>
      </c>
      <c r="AB717" s="103">
        <v>45857</v>
      </c>
      <c r="AC717" s="103"/>
      <c r="AD717" s="102">
        <f>IF(ISNA(VLOOKUP(D717,亚马逊入库配置费!B:F,5,0)),0,VLOOKUP(D717,亚马逊入库配置费!B:F,5,0))</f>
        <v>0.49</v>
      </c>
      <c r="AE717" s="102">
        <f t="shared" si="177"/>
        <v>58.8</v>
      </c>
      <c r="AF717" s="103">
        <v>45874</v>
      </c>
      <c r="AG717" s="91">
        <f t="shared" si="178"/>
        <v>40</v>
      </c>
      <c r="AH717" s="103">
        <v>45874</v>
      </c>
      <c r="AI717" s="103">
        <v>45904</v>
      </c>
      <c r="AJ717" s="96">
        <v>120</v>
      </c>
      <c r="AK717" s="91">
        <f t="shared" si="179"/>
        <v>30</v>
      </c>
      <c r="AL717" s="96">
        <f t="shared" si="180"/>
        <v>70</v>
      </c>
      <c r="AM717" s="92"/>
      <c r="AN717" s="91"/>
      <c r="AO717" s="91"/>
    </row>
    <row r="718" spans="1:41" ht="14.5" x14ac:dyDescent="0.25">
      <c r="A718" s="92" t="s">
        <v>1315</v>
      </c>
      <c r="B718" s="91"/>
      <c r="C718" s="119" t="s">
        <v>1316</v>
      </c>
      <c r="D718" s="120" t="s">
        <v>1317</v>
      </c>
      <c r="E718" s="135" t="s">
        <v>115</v>
      </c>
      <c r="F718" s="135" t="s">
        <v>0</v>
      </c>
      <c r="G718" s="159" t="s">
        <v>864</v>
      </c>
      <c r="H718" s="126">
        <v>210</v>
      </c>
      <c r="I718" s="126" t="s">
        <v>502</v>
      </c>
      <c r="J718" s="126" t="s">
        <v>503</v>
      </c>
      <c r="K718" s="120" t="s">
        <v>17</v>
      </c>
      <c r="L718" s="93" t="s">
        <v>864</v>
      </c>
      <c r="M718" s="94" t="s">
        <v>3397</v>
      </c>
      <c r="N718" s="95" t="s">
        <v>2869</v>
      </c>
      <c r="O718" s="122">
        <v>7</v>
      </c>
      <c r="P718" s="153">
        <f>145/10*O718</f>
        <v>101.5</v>
      </c>
      <c r="Q718" s="122" t="s">
        <v>16</v>
      </c>
      <c r="R718" s="166">
        <v>6</v>
      </c>
      <c r="S718" s="167"/>
      <c r="T718" s="168"/>
      <c r="U718" s="125">
        <f>R718*P718+350/169*O718</f>
        <v>623.49704142011831</v>
      </c>
      <c r="V718" s="113">
        <f t="shared" si="181"/>
        <v>2.9690335305719922</v>
      </c>
      <c r="W718" s="114">
        <f t="shared" si="182"/>
        <v>0.42414764722457032</v>
      </c>
      <c r="X718" s="167"/>
      <c r="Y718" s="167"/>
      <c r="Z718" s="102"/>
      <c r="AA718" s="103">
        <v>45842</v>
      </c>
      <c r="AB718" s="103">
        <v>45864</v>
      </c>
      <c r="AC718" s="103"/>
      <c r="AD718" s="102">
        <f>IF(ISNA(VLOOKUP(D718,亚马逊入库配置费!B:F,5,0)),0,VLOOKUP(D718,亚马逊入库配置费!B:F,5,0))</f>
        <v>0.41</v>
      </c>
      <c r="AE718" s="102">
        <f t="shared" si="177"/>
        <v>86.1</v>
      </c>
      <c r="AF718" s="103">
        <v>45875</v>
      </c>
      <c r="AG718" s="91">
        <f t="shared" si="178"/>
        <v>33</v>
      </c>
      <c r="AH718" s="103">
        <v>45875</v>
      </c>
      <c r="AI718" s="103">
        <v>45904</v>
      </c>
      <c r="AJ718" s="96">
        <v>210</v>
      </c>
      <c r="AK718" s="91">
        <f t="shared" si="179"/>
        <v>29</v>
      </c>
      <c r="AL718" s="96">
        <f t="shared" si="180"/>
        <v>62</v>
      </c>
      <c r="AM718" s="92"/>
      <c r="AN718" s="91"/>
      <c r="AO718" s="91"/>
    </row>
    <row r="719" spans="1:41" ht="14.5" x14ac:dyDescent="0.25">
      <c r="A719" s="92" t="s">
        <v>1318</v>
      </c>
      <c r="B719" s="91"/>
      <c r="C719" s="119" t="s">
        <v>1316</v>
      </c>
      <c r="D719" s="120" t="s">
        <v>1317</v>
      </c>
      <c r="E719" s="135" t="s">
        <v>115</v>
      </c>
      <c r="F719" s="135" t="s">
        <v>0</v>
      </c>
      <c r="G719" s="159" t="s">
        <v>606</v>
      </c>
      <c r="H719" s="126">
        <v>90</v>
      </c>
      <c r="I719" s="126" t="s">
        <v>502</v>
      </c>
      <c r="J719" s="126" t="s">
        <v>503</v>
      </c>
      <c r="K719" s="120" t="s">
        <v>17</v>
      </c>
      <c r="L719" s="93" t="s">
        <v>3075</v>
      </c>
      <c r="M719" s="94" t="s">
        <v>3376</v>
      </c>
      <c r="N719" s="95" t="s">
        <v>2869</v>
      </c>
      <c r="O719" s="122">
        <v>3</v>
      </c>
      <c r="P719" s="153">
        <f>145/10*O719</f>
        <v>43.5</v>
      </c>
      <c r="Q719" s="122" t="s">
        <v>16</v>
      </c>
      <c r="R719" s="166">
        <v>6</v>
      </c>
      <c r="S719" s="167"/>
      <c r="T719" s="168"/>
      <c r="U719" s="125">
        <f>R719*P719+350/169*O719</f>
        <v>267.2130177514793</v>
      </c>
      <c r="V719" s="113">
        <f t="shared" si="181"/>
        <v>2.9690335305719922</v>
      </c>
      <c r="W719" s="114">
        <f t="shared" si="182"/>
        <v>0.42414764722457032</v>
      </c>
      <c r="X719" s="167"/>
      <c r="Y719" s="167"/>
      <c r="Z719" s="102"/>
      <c r="AA719" s="103">
        <v>45842</v>
      </c>
      <c r="AB719" s="103">
        <v>45864</v>
      </c>
      <c r="AC719" s="103"/>
      <c r="AD719" s="102">
        <f>IF(ISNA(VLOOKUP(D719,亚马逊入库配置费!B:F,5,0)),0,VLOOKUP(D719,亚马逊入库配置费!B:F,5,0))</f>
        <v>0.41</v>
      </c>
      <c r="AE719" s="102">
        <f t="shared" si="177"/>
        <v>36.9</v>
      </c>
      <c r="AF719" s="103">
        <v>45875</v>
      </c>
      <c r="AG719" s="91">
        <f t="shared" si="178"/>
        <v>33</v>
      </c>
      <c r="AH719" s="103">
        <v>45875</v>
      </c>
      <c r="AI719" s="103">
        <v>45904</v>
      </c>
      <c r="AJ719" s="96">
        <v>89</v>
      </c>
      <c r="AK719" s="91">
        <f t="shared" si="179"/>
        <v>29</v>
      </c>
      <c r="AL719" s="96">
        <f t="shared" si="180"/>
        <v>62</v>
      </c>
      <c r="AM719" s="92"/>
      <c r="AN719" s="91"/>
      <c r="AO719" s="91"/>
    </row>
    <row r="720" spans="1:41" ht="14.5" x14ac:dyDescent="0.25">
      <c r="A720" s="92" t="s">
        <v>1319</v>
      </c>
      <c r="B720" s="91"/>
      <c r="C720" s="119" t="s">
        <v>1320</v>
      </c>
      <c r="D720" s="120" t="s">
        <v>1321</v>
      </c>
      <c r="E720" s="135" t="s">
        <v>97</v>
      </c>
      <c r="F720" s="135" t="s">
        <v>0</v>
      </c>
      <c r="G720" s="159" t="s">
        <v>163</v>
      </c>
      <c r="H720" s="126">
        <v>480</v>
      </c>
      <c r="I720" s="126" t="s">
        <v>1234</v>
      </c>
      <c r="J720" s="126" t="s">
        <v>503</v>
      </c>
      <c r="K720" s="120" t="s">
        <v>14</v>
      </c>
      <c r="L720" s="93" t="s">
        <v>2881</v>
      </c>
      <c r="M720" s="94" t="s">
        <v>3302</v>
      </c>
      <c r="N720" s="95" t="s">
        <v>2870</v>
      </c>
      <c r="O720" s="165">
        <v>12</v>
      </c>
      <c r="P720" s="169">
        <f t="shared" ref="P720:P726" si="183">3.2/58*O720</f>
        <v>0.66206896551724148</v>
      </c>
      <c r="Q720" s="170" t="s">
        <v>3264</v>
      </c>
      <c r="R720" s="171">
        <v>1700</v>
      </c>
      <c r="S720" s="167"/>
      <c r="T720" s="168"/>
      <c r="U720" s="125">
        <f t="shared" ref="U720:U726" si="184">R720*P720+220/58*O720</f>
        <v>1171.0344827586209</v>
      </c>
      <c r="V720" s="113">
        <f t="shared" si="181"/>
        <v>2.4396551724137936</v>
      </c>
      <c r="W720" s="114">
        <f t="shared" si="182"/>
        <v>0.34852216748768478</v>
      </c>
      <c r="X720" s="167"/>
      <c r="Y720" s="167"/>
      <c r="Z720" s="102"/>
      <c r="AA720" s="103">
        <v>45842</v>
      </c>
      <c r="AB720" s="103">
        <v>45864</v>
      </c>
      <c r="AC720" s="103"/>
      <c r="AD720" s="102">
        <f>IF(ISNA(VLOOKUP(D720,亚马逊入库配置费!B:F,5,0)),0,VLOOKUP(D720,亚马逊入库配置费!B:F,5,0))</f>
        <v>0.35643478260869599</v>
      </c>
      <c r="AE720" s="102">
        <f t="shared" si="177"/>
        <v>171.08869565217407</v>
      </c>
      <c r="AF720" s="103">
        <v>45877</v>
      </c>
      <c r="AG720" s="91">
        <f t="shared" si="178"/>
        <v>35</v>
      </c>
      <c r="AH720" s="103">
        <v>45877</v>
      </c>
      <c r="AI720" s="103">
        <v>45911</v>
      </c>
      <c r="AJ720" s="96">
        <v>480</v>
      </c>
      <c r="AK720" s="91">
        <f t="shared" si="179"/>
        <v>34</v>
      </c>
      <c r="AL720" s="96">
        <f t="shared" si="180"/>
        <v>69</v>
      </c>
      <c r="AM720" s="92"/>
      <c r="AN720" s="91"/>
      <c r="AO720" s="91"/>
    </row>
    <row r="721" spans="1:41" ht="14.5" x14ac:dyDescent="0.25">
      <c r="A721" s="92" t="s">
        <v>1322</v>
      </c>
      <c r="B721" s="91"/>
      <c r="C721" s="119" t="s">
        <v>1320</v>
      </c>
      <c r="D721" s="120" t="s">
        <v>1321</v>
      </c>
      <c r="E721" s="135" t="s">
        <v>97</v>
      </c>
      <c r="F721" s="135" t="s">
        <v>0</v>
      </c>
      <c r="G721" s="159" t="s">
        <v>872</v>
      </c>
      <c r="H721" s="126">
        <v>390</v>
      </c>
      <c r="I721" s="126" t="s">
        <v>1234</v>
      </c>
      <c r="J721" s="126" t="s">
        <v>503</v>
      </c>
      <c r="K721" s="120" t="s">
        <v>14</v>
      </c>
      <c r="L721" s="93" t="s">
        <v>872</v>
      </c>
      <c r="M721" s="94" t="s">
        <v>3399</v>
      </c>
      <c r="N721" s="95" t="s">
        <v>2870</v>
      </c>
      <c r="O721" s="165">
        <v>13</v>
      </c>
      <c r="P721" s="169">
        <f t="shared" si="183"/>
        <v>0.71724137931034493</v>
      </c>
      <c r="Q721" s="165" t="s">
        <v>3264</v>
      </c>
      <c r="R721" s="171">
        <v>1700</v>
      </c>
      <c r="S721" s="167"/>
      <c r="T721" s="168"/>
      <c r="U721" s="125">
        <f t="shared" si="184"/>
        <v>1268.6206896551726</v>
      </c>
      <c r="V721" s="113">
        <f t="shared" si="181"/>
        <v>3.2528735632183912</v>
      </c>
      <c r="W721" s="114">
        <f t="shared" si="182"/>
        <v>0.46469622331691302</v>
      </c>
      <c r="X721" s="167"/>
      <c r="Y721" s="167"/>
      <c r="Z721" s="102"/>
      <c r="AA721" s="103">
        <v>45842</v>
      </c>
      <c r="AB721" s="103">
        <v>45864</v>
      </c>
      <c r="AC721" s="103"/>
      <c r="AD721" s="102">
        <f>IF(ISNA(VLOOKUP(D721,亚马逊入库配置费!B:F,5,0)),0,VLOOKUP(D721,亚马逊入库配置费!B:F,5,0))</f>
        <v>0.35643478260869599</v>
      </c>
      <c r="AE721" s="102">
        <f t="shared" si="177"/>
        <v>139.00956521739144</v>
      </c>
      <c r="AF721" s="103">
        <v>45877</v>
      </c>
      <c r="AG721" s="91">
        <f t="shared" si="178"/>
        <v>35</v>
      </c>
      <c r="AH721" s="103">
        <v>45877</v>
      </c>
      <c r="AI721" s="103">
        <v>45911</v>
      </c>
      <c r="AJ721" s="96">
        <v>393</v>
      </c>
      <c r="AK721" s="91">
        <f t="shared" si="179"/>
        <v>34</v>
      </c>
      <c r="AL721" s="96">
        <f t="shared" si="180"/>
        <v>69</v>
      </c>
      <c r="AM721" s="92"/>
      <c r="AN721" s="91"/>
      <c r="AO721" s="91"/>
    </row>
    <row r="722" spans="1:41" ht="14.5" x14ac:dyDescent="0.25">
      <c r="A722" s="92" t="s">
        <v>1323</v>
      </c>
      <c r="B722" s="91"/>
      <c r="C722" s="119" t="s">
        <v>1320</v>
      </c>
      <c r="D722" s="120" t="s">
        <v>1321</v>
      </c>
      <c r="E722" s="135" t="s">
        <v>97</v>
      </c>
      <c r="F722" s="135" t="s">
        <v>0</v>
      </c>
      <c r="G722" s="159" t="s">
        <v>853</v>
      </c>
      <c r="H722" s="126">
        <v>280</v>
      </c>
      <c r="I722" s="126" t="s">
        <v>1234</v>
      </c>
      <c r="J722" s="126" t="s">
        <v>503</v>
      </c>
      <c r="K722" s="120" t="s">
        <v>14</v>
      </c>
      <c r="L722" s="93" t="s">
        <v>853</v>
      </c>
      <c r="M722" s="94" t="s">
        <v>3396</v>
      </c>
      <c r="N722" s="95" t="s">
        <v>2870</v>
      </c>
      <c r="O722" s="165">
        <v>7</v>
      </c>
      <c r="P722" s="169">
        <f t="shared" si="183"/>
        <v>0.38620689655172419</v>
      </c>
      <c r="Q722" s="165" t="s">
        <v>3264</v>
      </c>
      <c r="R722" s="171">
        <v>1700</v>
      </c>
      <c r="S722" s="167"/>
      <c r="T722" s="168"/>
      <c r="U722" s="125">
        <f t="shared" si="184"/>
        <v>683.10344827586221</v>
      </c>
      <c r="V722" s="113">
        <f t="shared" si="181"/>
        <v>2.4396551724137936</v>
      </c>
      <c r="W722" s="114">
        <f t="shared" si="182"/>
        <v>0.34852216748768478</v>
      </c>
      <c r="X722" s="167"/>
      <c r="Y722" s="167"/>
      <c r="Z722" s="102"/>
      <c r="AA722" s="103">
        <v>45842</v>
      </c>
      <c r="AB722" s="103">
        <v>45864</v>
      </c>
      <c r="AC722" s="103"/>
      <c r="AD722" s="102">
        <f>IF(ISNA(VLOOKUP(D722,亚马逊入库配置费!B:F,5,0)),0,VLOOKUP(D722,亚马逊入库配置费!B:F,5,0))</f>
        <v>0.35643478260869599</v>
      </c>
      <c r="AE722" s="102">
        <f t="shared" si="177"/>
        <v>99.801739130434882</v>
      </c>
      <c r="AF722" s="103">
        <v>45877</v>
      </c>
      <c r="AG722" s="91">
        <f t="shared" si="178"/>
        <v>35</v>
      </c>
      <c r="AH722" s="103">
        <v>45877</v>
      </c>
      <c r="AI722" s="103">
        <v>45911</v>
      </c>
      <c r="AJ722" s="96">
        <v>281</v>
      </c>
      <c r="AK722" s="91">
        <f t="shared" si="179"/>
        <v>34</v>
      </c>
      <c r="AL722" s="96">
        <f t="shared" si="180"/>
        <v>69</v>
      </c>
      <c r="AM722" s="92"/>
      <c r="AN722" s="91"/>
      <c r="AO722" s="91"/>
    </row>
    <row r="723" spans="1:41" ht="14.5" x14ac:dyDescent="0.25">
      <c r="A723" s="92" t="s">
        <v>1324</v>
      </c>
      <c r="B723" s="91"/>
      <c r="C723" s="119" t="s">
        <v>1320</v>
      </c>
      <c r="D723" s="120" t="s">
        <v>1321</v>
      </c>
      <c r="E723" s="135" t="s">
        <v>97</v>
      </c>
      <c r="F723" s="135" t="s">
        <v>0</v>
      </c>
      <c r="G723" s="159" t="s">
        <v>350</v>
      </c>
      <c r="H723" s="126">
        <v>400</v>
      </c>
      <c r="I723" s="126" t="s">
        <v>1234</v>
      </c>
      <c r="J723" s="126" t="s">
        <v>503</v>
      </c>
      <c r="K723" s="120" t="s">
        <v>14</v>
      </c>
      <c r="L723" s="93" t="s">
        <v>3048</v>
      </c>
      <c r="M723" s="94" t="s">
        <v>3208</v>
      </c>
      <c r="N723" s="95" t="s">
        <v>2870</v>
      </c>
      <c r="O723" s="165">
        <v>10</v>
      </c>
      <c r="P723" s="169">
        <f t="shared" si="183"/>
        <v>0.55172413793103459</v>
      </c>
      <c r="Q723" s="165" t="s">
        <v>3264</v>
      </c>
      <c r="R723" s="171">
        <v>1700</v>
      </c>
      <c r="S723" s="167"/>
      <c r="T723" s="168"/>
      <c r="U723" s="125">
        <f t="shared" si="184"/>
        <v>975.86206896551744</v>
      </c>
      <c r="V723" s="113">
        <f t="shared" si="181"/>
        <v>2.4396551724137936</v>
      </c>
      <c r="W723" s="114">
        <f t="shared" si="182"/>
        <v>0.34852216748768478</v>
      </c>
      <c r="X723" s="167"/>
      <c r="Y723" s="167"/>
      <c r="Z723" s="102"/>
      <c r="AA723" s="103">
        <v>45842</v>
      </c>
      <c r="AB723" s="103">
        <v>45864</v>
      </c>
      <c r="AC723" s="103"/>
      <c r="AD723" s="102">
        <f>IF(ISNA(VLOOKUP(D723,亚马逊入库配置费!B:F,5,0)),0,VLOOKUP(D723,亚马逊入库配置费!B:F,5,0))</f>
        <v>0.35643478260869599</v>
      </c>
      <c r="AE723" s="102">
        <f t="shared" si="177"/>
        <v>142.5739130434784</v>
      </c>
      <c r="AF723" s="103">
        <v>45877</v>
      </c>
      <c r="AG723" s="91">
        <f t="shared" si="178"/>
        <v>35</v>
      </c>
      <c r="AH723" s="103">
        <v>45877</v>
      </c>
      <c r="AI723" s="103">
        <v>45911</v>
      </c>
      <c r="AJ723" s="96">
        <v>401</v>
      </c>
      <c r="AK723" s="91">
        <f t="shared" si="179"/>
        <v>34</v>
      </c>
      <c r="AL723" s="96">
        <f t="shared" si="180"/>
        <v>69</v>
      </c>
      <c r="AM723" s="92"/>
      <c r="AN723" s="91"/>
      <c r="AO723" s="91"/>
    </row>
    <row r="724" spans="1:41" ht="14.5" x14ac:dyDescent="0.25">
      <c r="A724" s="92" t="s">
        <v>1325</v>
      </c>
      <c r="B724" s="91"/>
      <c r="C724" s="119" t="s">
        <v>1320</v>
      </c>
      <c r="D724" s="120" t="s">
        <v>1321</v>
      </c>
      <c r="E724" s="135" t="s">
        <v>97</v>
      </c>
      <c r="F724" s="135" t="s">
        <v>0</v>
      </c>
      <c r="G724" s="159" t="s">
        <v>165</v>
      </c>
      <c r="H724" s="126">
        <v>400</v>
      </c>
      <c r="I724" s="126" t="s">
        <v>1234</v>
      </c>
      <c r="J724" s="126" t="s">
        <v>503</v>
      </c>
      <c r="K724" s="120" t="s">
        <v>14</v>
      </c>
      <c r="L724" s="93" t="s">
        <v>2880</v>
      </c>
      <c r="M724" s="94" t="s">
        <v>3209</v>
      </c>
      <c r="N724" s="95" t="s">
        <v>2870</v>
      </c>
      <c r="O724" s="165">
        <v>10</v>
      </c>
      <c r="P724" s="169">
        <f t="shared" si="183"/>
        <v>0.55172413793103459</v>
      </c>
      <c r="Q724" s="165" t="s">
        <v>3264</v>
      </c>
      <c r="R724" s="171">
        <v>1700</v>
      </c>
      <c r="S724" s="167"/>
      <c r="T724" s="168"/>
      <c r="U724" s="125">
        <f t="shared" si="184"/>
        <v>975.86206896551744</v>
      </c>
      <c r="V724" s="113">
        <f t="shared" si="181"/>
        <v>2.4396551724137936</v>
      </c>
      <c r="W724" s="114">
        <f t="shared" si="182"/>
        <v>0.34852216748768478</v>
      </c>
      <c r="X724" s="167"/>
      <c r="Y724" s="167"/>
      <c r="Z724" s="102"/>
      <c r="AA724" s="103">
        <v>45842</v>
      </c>
      <c r="AB724" s="103">
        <v>45864</v>
      </c>
      <c r="AC724" s="103"/>
      <c r="AD724" s="102">
        <f>IF(ISNA(VLOOKUP(D724,亚马逊入库配置费!B:F,5,0)),0,VLOOKUP(D724,亚马逊入库配置费!B:F,5,0))</f>
        <v>0.35643478260869599</v>
      </c>
      <c r="AE724" s="102">
        <f t="shared" si="177"/>
        <v>142.5739130434784</v>
      </c>
      <c r="AF724" s="103">
        <v>45877</v>
      </c>
      <c r="AG724" s="91">
        <f t="shared" si="178"/>
        <v>35</v>
      </c>
      <c r="AH724" s="103">
        <v>45877</v>
      </c>
      <c r="AI724" s="103">
        <v>45911</v>
      </c>
      <c r="AJ724" s="96">
        <v>400</v>
      </c>
      <c r="AK724" s="91">
        <f t="shared" si="179"/>
        <v>34</v>
      </c>
      <c r="AL724" s="96">
        <f t="shared" si="180"/>
        <v>69</v>
      </c>
      <c r="AM724" s="92"/>
      <c r="AN724" s="91"/>
      <c r="AO724" s="91"/>
    </row>
    <row r="725" spans="1:41" ht="14.5" x14ac:dyDescent="0.25">
      <c r="A725" s="92" t="s">
        <v>1326</v>
      </c>
      <c r="B725" s="91"/>
      <c r="C725" s="119" t="s">
        <v>1320</v>
      </c>
      <c r="D725" s="120" t="s">
        <v>1321</v>
      </c>
      <c r="E725" s="135" t="s">
        <v>97</v>
      </c>
      <c r="F725" s="135" t="s">
        <v>0</v>
      </c>
      <c r="G725" s="159" t="s">
        <v>878</v>
      </c>
      <c r="H725" s="126">
        <v>150</v>
      </c>
      <c r="I725" s="126" t="s">
        <v>1234</v>
      </c>
      <c r="J725" s="126" t="s">
        <v>503</v>
      </c>
      <c r="K725" s="120" t="s">
        <v>14</v>
      </c>
      <c r="L725" s="93" t="s">
        <v>878</v>
      </c>
      <c r="M725" s="94" t="s">
        <v>3401</v>
      </c>
      <c r="N725" s="95" t="s">
        <v>2876</v>
      </c>
      <c r="O725" s="165">
        <v>5</v>
      </c>
      <c r="P725" s="169">
        <f t="shared" si="183"/>
        <v>0.27586206896551729</v>
      </c>
      <c r="Q725" s="165" t="s">
        <v>3264</v>
      </c>
      <c r="R725" s="171">
        <v>1700</v>
      </c>
      <c r="S725" s="167"/>
      <c r="T725" s="168"/>
      <c r="U725" s="125">
        <f t="shared" si="184"/>
        <v>487.93103448275872</v>
      </c>
      <c r="V725" s="113">
        <f t="shared" si="181"/>
        <v>3.2528735632183916</v>
      </c>
      <c r="W725" s="114">
        <f t="shared" si="182"/>
        <v>0.46469622331691307</v>
      </c>
      <c r="X725" s="167"/>
      <c r="Y725" s="167"/>
      <c r="Z725" s="102"/>
      <c r="AA725" s="103">
        <v>45842</v>
      </c>
      <c r="AB725" s="103">
        <v>45864</v>
      </c>
      <c r="AC725" s="103"/>
      <c r="AD725" s="102">
        <f>IF(ISNA(VLOOKUP(D725,亚马逊入库配置费!B:F,5,0)),0,VLOOKUP(D725,亚马逊入库配置费!B:F,5,0))</f>
        <v>0.35643478260869599</v>
      </c>
      <c r="AE725" s="102">
        <f t="shared" si="177"/>
        <v>53.4652173913044</v>
      </c>
      <c r="AF725" s="103">
        <v>45877</v>
      </c>
      <c r="AG725" s="91">
        <f t="shared" si="178"/>
        <v>35</v>
      </c>
      <c r="AH725" s="103">
        <v>45877</v>
      </c>
      <c r="AI725" s="103">
        <v>45911</v>
      </c>
      <c r="AJ725" s="96">
        <v>150</v>
      </c>
      <c r="AK725" s="91">
        <f t="shared" si="179"/>
        <v>34</v>
      </c>
      <c r="AL725" s="96">
        <f t="shared" si="180"/>
        <v>69</v>
      </c>
      <c r="AM725" s="92"/>
      <c r="AN725" s="91"/>
      <c r="AO725" s="91"/>
    </row>
    <row r="726" spans="1:41" ht="14.5" x14ac:dyDescent="0.25">
      <c r="A726" s="92" t="s">
        <v>1327</v>
      </c>
      <c r="B726" s="91"/>
      <c r="C726" s="119" t="s">
        <v>1320</v>
      </c>
      <c r="D726" s="120" t="s">
        <v>1321</v>
      </c>
      <c r="E726" s="135" t="s">
        <v>97</v>
      </c>
      <c r="F726" s="135" t="s">
        <v>0</v>
      </c>
      <c r="G726" s="159" t="s">
        <v>355</v>
      </c>
      <c r="H726" s="126">
        <v>200</v>
      </c>
      <c r="I726" s="126" t="s">
        <v>1234</v>
      </c>
      <c r="J726" s="126" t="s">
        <v>503</v>
      </c>
      <c r="K726" s="120" t="s">
        <v>14</v>
      </c>
      <c r="L726" s="93" t="s">
        <v>2712</v>
      </c>
      <c r="M726" s="94" t="s">
        <v>3216</v>
      </c>
      <c r="N726" s="95" t="s">
        <v>3050</v>
      </c>
      <c r="O726" s="165">
        <v>1</v>
      </c>
      <c r="P726" s="169">
        <f t="shared" si="183"/>
        <v>5.5172413793103454E-2</v>
      </c>
      <c r="Q726" s="165" t="s">
        <v>3264</v>
      </c>
      <c r="R726" s="171">
        <v>1700</v>
      </c>
      <c r="S726" s="167"/>
      <c r="T726" s="168"/>
      <c r="U726" s="125">
        <f t="shared" si="184"/>
        <v>97.58620689655173</v>
      </c>
      <c r="V726" s="113">
        <f t="shared" si="181"/>
        <v>0.48793103448275865</v>
      </c>
      <c r="W726" s="114">
        <f t="shared" si="182"/>
        <v>6.9704433497536952E-2</v>
      </c>
      <c r="X726" s="167"/>
      <c r="Y726" s="167"/>
      <c r="Z726" s="102"/>
      <c r="AA726" s="103">
        <v>45842</v>
      </c>
      <c r="AB726" s="103">
        <v>45864</v>
      </c>
      <c r="AC726" s="103"/>
      <c r="AD726" s="102">
        <f>IF(ISNA(VLOOKUP(D726,亚马逊入库配置费!B:F,5,0)),0,VLOOKUP(D726,亚马逊入库配置费!B:F,5,0))</f>
        <v>0.35643478260869599</v>
      </c>
      <c r="AE726" s="102">
        <f t="shared" si="177"/>
        <v>71.286956521739199</v>
      </c>
      <c r="AF726" s="103">
        <v>45877</v>
      </c>
      <c r="AG726" s="91">
        <f t="shared" si="178"/>
        <v>35</v>
      </c>
      <c r="AH726" s="103">
        <v>45877</v>
      </c>
      <c r="AI726" s="103">
        <v>45911</v>
      </c>
      <c r="AJ726" s="96">
        <v>200</v>
      </c>
      <c r="AK726" s="91">
        <f t="shared" si="179"/>
        <v>34</v>
      </c>
      <c r="AL726" s="96">
        <f t="shared" si="180"/>
        <v>69</v>
      </c>
      <c r="AM726" s="92"/>
      <c r="AN726" s="91"/>
      <c r="AO726" s="91"/>
    </row>
    <row r="727" spans="1:41" ht="14.5" x14ac:dyDescent="0.25">
      <c r="A727" s="92" t="s">
        <v>1328</v>
      </c>
      <c r="B727" s="91"/>
      <c r="C727" s="119" t="s">
        <v>1316</v>
      </c>
      <c r="D727" s="120" t="s">
        <v>1329</v>
      </c>
      <c r="E727" s="135" t="s">
        <v>97</v>
      </c>
      <c r="F727" s="135" t="s">
        <v>0</v>
      </c>
      <c r="G727" s="159" t="s">
        <v>1330</v>
      </c>
      <c r="H727" s="126">
        <v>900</v>
      </c>
      <c r="I727" s="126" t="s">
        <v>502</v>
      </c>
      <c r="J727" s="126" t="s">
        <v>503</v>
      </c>
      <c r="K727" s="120" t="s">
        <v>42</v>
      </c>
      <c r="L727" s="93" t="s">
        <v>1330</v>
      </c>
      <c r="M727" s="94" t="s">
        <v>3442</v>
      </c>
      <c r="N727" s="95" t="s">
        <v>3099</v>
      </c>
      <c r="O727" s="122">
        <v>75</v>
      </c>
      <c r="P727" s="153">
        <f>2392/159*O727</f>
        <v>1128.3018867924529</v>
      </c>
      <c r="Q727" s="122" t="s">
        <v>16</v>
      </c>
      <c r="R727" s="166">
        <v>4.5</v>
      </c>
      <c r="S727" s="167"/>
      <c r="T727" s="168"/>
      <c r="U727" s="125">
        <f>R727*P727+350/169*O727</f>
        <v>5232.68393435302</v>
      </c>
      <c r="V727" s="113">
        <f t="shared" si="181"/>
        <v>5.8140932603922444</v>
      </c>
      <c r="W727" s="114">
        <f t="shared" si="182"/>
        <v>0.83058475148460631</v>
      </c>
      <c r="X727" s="167"/>
      <c r="Y727" s="167"/>
      <c r="Z727" s="102"/>
      <c r="AA727" s="103">
        <v>45842</v>
      </c>
      <c r="AB727" s="103">
        <v>45864</v>
      </c>
      <c r="AC727" s="103"/>
      <c r="AD727" s="102">
        <f>IF(ISNA(VLOOKUP(D727,亚马逊入库配置费!B:F,5,0)),0,VLOOKUP(D727,亚马逊入库配置费!B:F,5,0))</f>
        <v>0.49</v>
      </c>
      <c r="AE727" s="102">
        <f t="shared" si="177"/>
        <v>441</v>
      </c>
      <c r="AF727" s="103">
        <v>45874</v>
      </c>
      <c r="AG727" s="91">
        <f t="shared" si="178"/>
        <v>32</v>
      </c>
      <c r="AH727" s="103">
        <v>45874</v>
      </c>
      <c r="AI727" s="103">
        <v>45905</v>
      </c>
      <c r="AJ727" s="96">
        <v>909</v>
      </c>
      <c r="AK727" s="91">
        <f t="shared" si="179"/>
        <v>31</v>
      </c>
      <c r="AL727" s="96">
        <f t="shared" si="180"/>
        <v>63</v>
      </c>
      <c r="AM727" s="92"/>
      <c r="AN727" s="91"/>
      <c r="AO727" s="91"/>
    </row>
    <row r="728" spans="1:41" ht="14.5" x14ac:dyDescent="0.25">
      <c r="A728" s="92" t="s">
        <v>1331</v>
      </c>
      <c r="B728" s="91"/>
      <c r="C728" s="119" t="s">
        <v>1316</v>
      </c>
      <c r="D728" s="120" t="s">
        <v>1329</v>
      </c>
      <c r="E728" s="135" t="s">
        <v>97</v>
      </c>
      <c r="F728" s="135" t="s">
        <v>0</v>
      </c>
      <c r="G728" s="159" t="s">
        <v>1332</v>
      </c>
      <c r="H728" s="126">
        <v>900</v>
      </c>
      <c r="I728" s="126" t="s">
        <v>502</v>
      </c>
      <c r="J728" s="126" t="s">
        <v>503</v>
      </c>
      <c r="K728" s="120" t="s">
        <v>42</v>
      </c>
      <c r="L728" s="93" t="s">
        <v>1332</v>
      </c>
      <c r="M728" s="94" t="s">
        <v>3443</v>
      </c>
      <c r="N728" s="95" t="s">
        <v>3099</v>
      </c>
      <c r="O728" s="122">
        <v>75</v>
      </c>
      <c r="P728" s="153">
        <f>2392/159*O728</f>
        <v>1128.3018867924529</v>
      </c>
      <c r="Q728" s="122" t="s">
        <v>16</v>
      </c>
      <c r="R728" s="166">
        <v>4.5</v>
      </c>
      <c r="S728" s="167"/>
      <c r="T728" s="168"/>
      <c r="U728" s="125">
        <f>R728*P728+350/169*O728</f>
        <v>5232.68393435302</v>
      </c>
      <c r="V728" s="113">
        <f t="shared" si="181"/>
        <v>5.8140932603922444</v>
      </c>
      <c r="W728" s="114">
        <f t="shared" si="182"/>
        <v>0.83058475148460631</v>
      </c>
      <c r="X728" s="167"/>
      <c r="Y728" s="167"/>
      <c r="Z728" s="102"/>
      <c r="AA728" s="103">
        <v>45842</v>
      </c>
      <c r="AB728" s="103">
        <v>45864</v>
      </c>
      <c r="AC728" s="103"/>
      <c r="AD728" s="102">
        <f>IF(ISNA(VLOOKUP(D728,亚马逊入库配置费!B:F,5,0)),0,VLOOKUP(D728,亚马逊入库配置费!B:F,5,0))</f>
        <v>0.49</v>
      </c>
      <c r="AE728" s="102">
        <f t="shared" si="177"/>
        <v>441</v>
      </c>
      <c r="AF728" s="103">
        <v>45874</v>
      </c>
      <c r="AG728" s="91">
        <f t="shared" si="178"/>
        <v>32</v>
      </c>
      <c r="AH728" s="103">
        <v>45874</v>
      </c>
      <c r="AI728" s="103">
        <v>45905</v>
      </c>
      <c r="AJ728" s="96">
        <v>874</v>
      </c>
      <c r="AK728" s="91">
        <f t="shared" si="179"/>
        <v>31</v>
      </c>
      <c r="AL728" s="96">
        <f t="shared" si="180"/>
        <v>63</v>
      </c>
      <c r="AM728" s="92"/>
      <c r="AN728" s="91"/>
      <c r="AO728" s="91"/>
    </row>
    <row r="729" spans="1:41" ht="14.5" x14ac:dyDescent="0.25">
      <c r="A729" s="92" t="s">
        <v>1333</v>
      </c>
      <c r="B729" s="91"/>
      <c r="C729" s="119" t="s">
        <v>1316</v>
      </c>
      <c r="D729" s="120" t="s">
        <v>1329</v>
      </c>
      <c r="E729" s="135" t="s">
        <v>97</v>
      </c>
      <c r="F729" s="135" t="s">
        <v>0</v>
      </c>
      <c r="G729" s="159" t="s">
        <v>88</v>
      </c>
      <c r="H729" s="126">
        <v>162</v>
      </c>
      <c r="I729" s="126" t="s">
        <v>502</v>
      </c>
      <c r="J729" s="126" t="s">
        <v>503</v>
      </c>
      <c r="K729" s="120" t="s">
        <v>42</v>
      </c>
      <c r="L729" s="93" t="s">
        <v>3014</v>
      </c>
      <c r="M729" s="94" t="s">
        <v>3286</v>
      </c>
      <c r="N729" s="95" t="s">
        <v>2821</v>
      </c>
      <c r="O729" s="122">
        <v>9</v>
      </c>
      <c r="P729" s="153">
        <f>2392/159*O729</f>
        <v>135.39622641509433</v>
      </c>
      <c r="Q729" s="122" t="s">
        <v>16</v>
      </c>
      <c r="R729" s="166">
        <v>4.5</v>
      </c>
      <c r="S729" s="167"/>
      <c r="T729" s="168"/>
      <c r="U729" s="125">
        <f>R729*P729+350/169*O729</f>
        <v>627.92207212236235</v>
      </c>
      <c r="V729" s="113">
        <f t="shared" si="181"/>
        <v>3.8760621735948293</v>
      </c>
      <c r="W729" s="114">
        <f t="shared" si="182"/>
        <v>0.55372316765640417</v>
      </c>
      <c r="X729" s="167"/>
      <c r="Y729" s="167"/>
      <c r="Z729" s="102"/>
      <c r="AA729" s="103">
        <v>45842</v>
      </c>
      <c r="AB729" s="103">
        <v>45864</v>
      </c>
      <c r="AC729" s="103"/>
      <c r="AD729" s="102">
        <f>IF(ISNA(VLOOKUP(D729,亚马逊入库配置费!B:F,5,0)),0,VLOOKUP(D729,亚马逊入库配置费!B:F,5,0))</f>
        <v>0.49</v>
      </c>
      <c r="AE729" s="102">
        <f t="shared" si="177"/>
        <v>79.38</v>
      </c>
      <c r="AF729" s="103">
        <v>45874</v>
      </c>
      <c r="AG729" s="91">
        <f t="shared" si="178"/>
        <v>32</v>
      </c>
      <c r="AH729" s="103">
        <v>45874</v>
      </c>
      <c r="AI729" s="103">
        <v>45905</v>
      </c>
      <c r="AJ729" s="96">
        <v>162</v>
      </c>
      <c r="AK729" s="91">
        <f t="shared" si="179"/>
        <v>31</v>
      </c>
      <c r="AL729" s="96">
        <f t="shared" si="180"/>
        <v>63</v>
      </c>
      <c r="AM729" s="92"/>
      <c r="AN729" s="91"/>
      <c r="AO729" s="91"/>
    </row>
    <row r="730" spans="1:41" ht="14.5" x14ac:dyDescent="0.25">
      <c r="A730" s="92" t="s">
        <v>1334</v>
      </c>
      <c r="B730" s="91"/>
      <c r="C730" s="119" t="s">
        <v>303</v>
      </c>
      <c r="D730" s="120" t="s">
        <v>1335</v>
      </c>
      <c r="E730" s="135" t="s">
        <v>97</v>
      </c>
      <c r="F730" s="135" t="s">
        <v>0</v>
      </c>
      <c r="G730" s="159" t="s">
        <v>316</v>
      </c>
      <c r="H730" s="126">
        <v>900</v>
      </c>
      <c r="I730" s="126" t="s">
        <v>1313</v>
      </c>
      <c r="J730" s="126" t="s">
        <v>1314</v>
      </c>
      <c r="K730" s="120" t="s">
        <v>17</v>
      </c>
      <c r="L730" s="93" t="s">
        <v>3046</v>
      </c>
      <c r="M730" s="94" t="s">
        <v>3333</v>
      </c>
      <c r="N730" s="95" t="s">
        <v>3042</v>
      </c>
      <c r="O730" s="122">
        <v>10</v>
      </c>
      <c r="P730" s="153">
        <f>196/10*O730</f>
        <v>196</v>
      </c>
      <c r="Q730" s="122" t="s">
        <v>16</v>
      </c>
      <c r="R730" s="166">
        <v>8.1</v>
      </c>
      <c r="S730" s="167"/>
      <c r="T730" s="168"/>
      <c r="U730" s="125">
        <f t="shared" ref="U730:U735" si="185">R730*P730</f>
        <v>1587.6</v>
      </c>
      <c r="V730" s="113">
        <f t="shared" si="181"/>
        <v>1.7639999999999998</v>
      </c>
      <c r="W730" s="114">
        <f t="shared" si="182"/>
        <v>0.25199999999999995</v>
      </c>
      <c r="X730" s="167"/>
      <c r="Y730" s="167"/>
      <c r="Z730" s="102"/>
      <c r="AA730" s="103">
        <v>45842</v>
      </c>
      <c r="AB730" s="103">
        <v>45860</v>
      </c>
      <c r="AC730" s="103"/>
      <c r="AD730" s="102">
        <f>IF(ISNA(VLOOKUP(D730,亚马逊入库配置费!B:F,5,0)),0,VLOOKUP(D730,亚马逊入库配置费!B:F,5,0))</f>
        <v>0.34</v>
      </c>
      <c r="AE730" s="102">
        <f t="shared" si="177"/>
        <v>306</v>
      </c>
      <c r="AF730" s="103">
        <v>45874</v>
      </c>
      <c r="AG730" s="91">
        <f t="shared" si="178"/>
        <v>32</v>
      </c>
      <c r="AH730" s="103">
        <v>45874</v>
      </c>
      <c r="AI730" s="103">
        <v>45895</v>
      </c>
      <c r="AJ730" s="96">
        <v>902</v>
      </c>
      <c r="AK730" s="91">
        <f t="shared" si="179"/>
        <v>21</v>
      </c>
      <c r="AL730" s="96">
        <f t="shared" si="180"/>
        <v>53</v>
      </c>
      <c r="AM730" s="92"/>
      <c r="AN730" s="91"/>
      <c r="AO730" s="91"/>
    </row>
    <row r="731" spans="1:41" ht="14.5" x14ac:dyDescent="0.25">
      <c r="A731" s="110" t="s">
        <v>1336</v>
      </c>
      <c r="B731" s="90"/>
      <c r="C731" s="126" t="s">
        <v>1337</v>
      </c>
      <c r="D731" s="127" t="s">
        <v>1338</v>
      </c>
      <c r="E731" s="155" t="s">
        <v>254</v>
      </c>
      <c r="F731" s="155" t="s">
        <v>1139</v>
      </c>
      <c r="G731" s="172" t="s">
        <v>163</v>
      </c>
      <c r="H731" s="126">
        <v>480</v>
      </c>
      <c r="I731" s="126" t="s">
        <v>502</v>
      </c>
      <c r="J731" s="160" t="s">
        <v>1140</v>
      </c>
      <c r="K731" s="127" t="s">
        <v>1339</v>
      </c>
      <c r="L731" s="93" t="s">
        <v>2881</v>
      </c>
      <c r="M731" s="94" t="s">
        <v>3302</v>
      </c>
      <c r="N731" s="95" t="s">
        <v>2870</v>
      </c>
      <c r="O731" s="173">
        <v>12</v>
      </c>
      <c r="P731" s="97">
        <f>1.07/23*O731</f>
        <v>0.55826086956521748</v>
      </c>
      <c r="Q731" s="173" t="s">
        <v>3430</v>
      </c>
      <c r="R731" s="174">
        <v>800</v>
      </c>
      <c r="S731" s="175"/>
      <c r="T731" s="131"/>
      <c r="U731" s="157">
        <f t="shared" si="185"/>
        <v>446.60869565217399</v>
      </c>
      <c r="V731" s="100">
        <f t="shared" si="181"/>
        <v>0.93043478260869583</v>
      </c>
      <c r="W731" s="101">
        <f t="shared" si="182"/>
        <v>0.13291925465838511</v>
      </c>
      <c r="X731" s="175"/>
      <c r="Y731" s="175">
        <f t="shared" ref="Y731:Y737" si="186">1203.56/972*H731</f>
        <v>594.35061728395056</v>
      </c>
      <c r="Z731" s="104" t="s">
        <v>476</v>
      </c>
      <c r="AA731" s="118">
        <v>45849</v>
      </c>
      <c r="AB731" s="118">
        <v>45886</v>
      </c>
      <c r="AC731" s="118"/>
      <c r="AD731" s="104">
        <f>IF(ISNA(VLOOKUP(D731,亚马逊入库配置费!B:F,5,0)),0,VLOOKUP(D731,亚马逊入库配置费!B:F,5,0))</f>
        <v>0</v>
      </c>
      <c r="AE731" s="104">
        <f t="shared" si="177"/>
        <v>0</v>
      </c>
      <c r="AF731" s="118">
        <v>45892</v>
      </c>
      <c r="AG731" s="90">
        <f t="shared" si="178"/>
        <v>43</v>
      </c>
      <c r="AH731" s="118">
        <v>45892</v>
      </c>
      <c r="AI731" s="118">
        <v>45906</v>
      </c>
      <c r="AJ731" s="158">
        <v>464</v>
      </c>
      <c r="AK731" s="91">
        <f t="shared" si="179"/>
        <v>14</v>
      </c>
      <c r="AL731" s="96">
        <f t="shared" si="180"/>
        <v>57</v>
      </c>
      <c r="AM731" s="110"/>
      <c r="AN731" s="90"/>
      <c r="AO731" s="90"/>
    </row>
    <row r="732" spans="1:41" ht="14.5" x14ac:dyDescent="0.25">
      <c r="A732" s="110" t="s">
        <v>1340</v>
      </c>
      <c r="B732" s="90"/>
      <c r="C732" s="126" t="s">
        <v>1337</v>
      </c>
      <c r="D732" s="127" t="s">
        <v>1338</v>
      </c>
      <c r="E732" s="155" t="s">
        <v>254</v>
      </c>
      <c r="F732" s="155" t="s">
        <v>1139</v>
      </c>
      <c r="G732" s="159" t="s">
        <v>350</v>
      </c>
      <c r="H732" s="126">
        <v>80</v>
      </c>
      <c r="I732" s="126" t="s">
        <v>502</v>
      </c>
      <c r="J732" s="160" t="s">
        <v>1140</v>
      </c>
      <c r="K732" s="127" t="s">
        <v>1339</v>
      </c>
      <c r="L732" s="93" t="s">
        <v>3048</v>
      </c>
      <c r="M732" s="94" t="s">
        <v>3208</v>
      </c>
      <c r="N732" s="95" t="s">
        <v>2870</v>
      </c>
      <c r="O732" s="173">
        <v>2</v>
      </c>
      <c r="P732" s="97">
        <f>1.07/23*O732</f>
        <v>9.3043478260869575E-2</v>
      </c>
      <c r="Q732" s="173" t="s">
        <v>3430</v>
      </c>
      <c r="R732" s="174">
        <v>800</v>
      </c>
      <c r="S732" s="175"/>
      <c r="T732" s="131"/>
      <c r="U732" s="157">
        <f t="shared" si="185"/>
        <v>74.434782608695656</v>
      </c>
      <c r="V732" s="100">
        <f t="shared" si="181"/>
        <v>0.93043478260869572</v>
      </c>
      <c r="W732" s="101">
        <f t="shared" si="182"/>
        <v>0.13291925465838511</v>
      </c>
      <c r="X732" s="175"/>
      <c r="Y732" s="175">
        <f t="shared" si="186"/>
        <v>99.058436213991769</v>
      </c>
      <c r="Z732" s="104" t="s">
        <v>476</v>
      </c>
      <c r="AA732" s="118">
        <v>45849</v>
      </c>
      <c r="AB732" s="118">
        <v>45886</v>
      </c>
      <c r="AC732" s="118"/>
      <c r="AD732" s="104">
        <f>IF(ISNA(VLOOKUP(D732,亚马逊入库配置费!B:F,5,0)),0,VLOOKUP(D732,亚马逊入库配置费!B:F,5,0))</f>
        <v>0</v>
      </c>
      <c r="AE732" s="104">
        <f t="shared" si="177"/>
        <v>0</v>
      </c>
      <c r="AF732" s="118">
        <v>45892</v>
      </c>
      <c r="AG732" s="90">
        <f t="shared" si="178"/>
        <v>43</v>
      </c>
      <c r="AH732" s="118">
        <v>45892</v>
      </c>
      <c r="AI732" s="118">
        <v>45906</v>
      </c>
      <c r="AJ732" s="158">
        <v>77</v>
      </c>
      <c r="AK732" s="91">
        <f t="shared" si="179"/>
        <v>14</v>
      </c>
      <c r="AL732" s="96">
        <f t="shared" si="180"/>
        <v>57</v>
      </c>
      <c r="AM732" s="110"/>
      <c r="AN732" s="90"/>
      <c r="AO732" s="90"/>
    </row>
    <row r="733" spans="1:41" ht="14.5" x14ac:dyDescent="0.25">
      <c r="A733" s="110" t="s">
        <v>1341</v>
      </c>
      <c r="B733" s="90"/>
      <c r="C733" s="126" t="s">
        <v>1337</v>
      </c>
      <c r="D733" s="127" t="s">
        <v>1338</v>
      </c>
      <c r="E733" s="155" t="s">
        <v>254</v>
      </c>
      <c r="F733" s="155" t="s">
        <v>1139</v>
      </c>
      <c r="G733" s="159" t="s">
        <v>352</v>
      </c>
      <c r="H733" s="126">
        <v>80</v>
      </c>
      <c r="I733" s="126" t="s">
        <v>502</v>
      </c>
      <c r="J733" s="160" t="s">
        <v>1140</v>
      </c>
      <c r="K733" s="127" t="s">
        <v>1339</v>
      </c>
      <c r="L733" s="93" t="s">
        <v>3049</v>
      </c>
      <c r="M733" s="94" t="s">
        <v>3336</v>
      </c>
      <c r="N733" s="95" t="s">
        <v>2870</v>
      </c>
      <c r="O733" s="173">
        <v>2</v>
      </c>
      <c r="P733" s="97">
        <f>1.07/23*O733</f>
        <v>9.3043478260869575E-2</v>
      </c>
      <c r="Q733" s="173" t="s">
        <v>3430</v>
      </c>
      <c r="R733" s="174">
        <v>800</v>
      </c>
      <c r="S733" s="175"/>
      <c r="T733" s="131"/>
      <c r="U733" s="157">
        <f t="shared" si="185"/>
        <v>74.434782608695656</v>
      </c>
      <c r="V733" s="100">
        <f t="shared" si="181"/>
        <v>0.93043478260869572</v>
      </c>
      <c r="W733" s="101">
        <f t="shared" si="182"/>
        <v>0.13291925465838511</v>
      </c>
      <c r="X733" s="175"/>
      <c r="Y733" s="175">
        <f t="shared" si="186"/>
        <v>99.058436213991769</v>
      </c>
      <c r="Z733" s="104" t="s">
        <v>476</v>
      </c>
      <c r="AA733" s="118">
        <v>45849</v>
      </c>
      <c r="AB733" s="118">
        <v>45886</v>
      </c>
      <c r="AC733" s="118"/>
      <c r="AD733" s="104">
        <f>IF(ISNA(VLOOKUP(D733,亚马逊入库配置费!B:F,5,0)),0,VLOOKUP(D733,亚马逊入库配置费!B:F,5,0))</f>
        <v>0</v>
      </c>
      <c r="AE733" s="104">
        <f t="shared" si="177"/>
        <v>0</v>
      </c>
      <c r="AF733" s="118">
        <v>45892</v>
      </c>
      <c r="AG733" s="90">
        <f t="shared" si="178"/>
        <v>43</v>
      </c>
      <c r="AH733" s="118">
        <v>45892</v>
      </c>
      <c r="AI733" s="118">
        <v>45906</v>
      </c>
      <c r="AJ733" s="158">
        <v>75</v>
      </c>
      <c r="AK733" s="91">
        <f t="shared" si="179"/>
        <v>14</v>
      </c>
      <c r="AL733" s="96">
        <f t="shared" si="180"/>
        <v>57</v>
      </c>
      <c r="AM733" s="110"/>
      <c r="AN733" s="90"/>
      <c r="AO733" s="90"/>
    </row>
    <row r="734" spans="1:41" ht="14.5" x14ac:dyDescent="0.25">
      <c r="A734" s="110" t="s">
        <v>1342</v>
      </c>
      <c r="B734" s="90"/>
      <c r="C734" s="126" t="s">
        <v>1337</v>
      </c>
      <c r="D734" s="127" t="s">
        <v>1338</v>
      </c>
      <c r="E734" s="155" t="s">
        <v>254</v>
      </c>
      <c r="F734" s="155" t="s">
        <v>1139</v>
      </c>
      <c r="G734" s="159" t="s">
        <v>165</v>
      </c>
      <c r="H734" s="126">
        <v>200</v>
      </c>
      <c r="I734" s="126" t="s">
        <v>502</v>
      </c>
      <c r="J734" s="160" t="s">
        <v>1140</v>
      </c>
      <c r="K734" s="127" t="s">
        <v>1339</v>
      </c>
      <c r="L734" s="93" t="s">
        <v>2880</v>
      </c>
      <c r="M734" s="94" t="s">
        <v>3209</v>
      </c>
      <c r="N734" s="95" t="s">
        <v>2870</v>
      </c>
      <c r="O734" s="173">
        <v>5</v>
      </c>
      <c r="P734" s="97">
        <f>1.07/23*O734</f>
        <v>0.23260869565217393</v>
      </c>
      <c r="Q734" s="173" t="s">
        <v>3430</v>
      </c>
      <c r="R734" s="174">
        <v>800</v>
      </c>
      <c r="S734" s="175"/>
      <c r="T734" s="131"/>
      <c r="U734" s="157">
        <f t="shared" si="185"/>
        <v>186.08695652173915</v>
      </c>
      <c r="V734" s="100">
        <f t="shared" si="181"/>
        <v>0.93043478260869572</v>
      </c>
      <c r="W734" s="101">
        <f t="shared" si="182"/>
        <v>0.13291925465838511</v>
      </c>
      <c r="X734" s="175"/>
      <c r="Y734" s="175">
        <f t="shared" si="186"/>
        <v>247.64609053497941</v>
      </c>
      <c r="Z734" s="104" t="s">
        <v>476</v>
      </c>
      <c r="AA734" s="118">
        <v>45849</v>
      </c>
      <c r="AB734" s="118">
        <v>45886</v>
      </c>
      <c r="AC734" s="118"/>
      <c r="AD734" s="104">
        <f>IF(ISNA(VLOOKUP(D734,亚马逊入库配置费!B:F,5,0)),0,VLOOKUP(D734,亚马逊入库配置费!B:F,5,0))</f>
        <v>0</v>
      </c>
      <c r="AE734" s="104">
        <f t="shared" si="177"/>
        <v>0</v>
      </c>
      <c r="AF734" s="118">
        <v>45892</v>
      </c>
      <c r="AG734" s="90">
        <f t="shared" si="178"/>
        <v>43</v>
      </c>
      <c r="AH734" s="118">
        <v>45892</v>
      </c>
      <c r="AI734" s="118">
        <v>45906</v>
      </c>
      <c r="AJ734" s="158">
        <v>191</v>
      </c>
      <c r="AK734" s="91">
        <f t="shared" si="179"/>
        <v>14</v>
      </c>
      <c r="AL734" s="96">
        <f t="shared" si="180"/>
        <v>57</v>
      </c>
      <c r="AM734" s="110"/>
      <c r="AN734" s="90"/>
      <c r="AO734" s="90"/>
    </row>
    <row r="735" spans="1:41" ht="14.5" x14ac:dyDescent="0.25">
      <c r="A735" s="110" t="s">
        <v>1343</v>
      </c>
      <c r="B735" s="90"/>
      <c r="C735" s="126" t="s">
        <v>1337</v>
      </c>
      <c r="D735" s="127" t="s">
        <v>1338</v>
      </c>
      <c r="E735" s="155" t="s">
        <v>254</v>
      </c>
      <c r="F735" s="155" t="s">
        <v>1139</v>
      </c>
      <c r="G735" s="159" t="s">
        <v>608</v>
      </c>
      <c r="H735" s="126">
        <v>60</v>
      </c>
      <c r="I735" s="126" t="s">
        <v>502</v>
      </c>
      <c r="J735" s="160" t="s">
        <v>1140</v>
      </c>
      <c r="K735" s="127" t="s">
        <v>1339</v>
      </c>
      <c r="L735" s="93" t="s">
        <v>3076</v>
      </c>
      <c r="M735" s="94" t="s">
        <v>3377</v>
      </c>
      <c r="N735" s="95" t="s">
        <v>2869</v>
      </c>
      <c r="O735" s="173">
        <v>2</v>
      </c>
      <c r="P735" s="97">
        <f>1.07/23*O735</f>
        <v>9.3043478260869575E-2</v>
      </c>
      <c r="Q735" s="173" t="s">
        <v>3430</v>
      </c>
      <c r="R735" s="174">
        <v>800</v>
      </c>
      <c r="S735" s="175"/>
      <c r="T735" s="131"/>
      <c r="U735" s="157">
        <f t="shared" si="185"/>
        <v>74.434782608695656</v>
      </c>
      <c r="V735" s="100">
        <f t="shared" si="181"/>
        <v>1.2405797101449276</v>
      </c>
      <c r="W735" s="101">
        <f t="shared" si="182"/>
        <v>0.1772256728778468</v>
      </c>
      <c r="X735" s="175"/>
      <c r="Y735" s="175">
        <f t="shared" si="186"/>
        <v>74.293827160493819</v>
      </c>
      <c r="Z735" s="104" t="s">
        <v>476</v>
      </c>
      <c r="AA735" s="118">
        <v>45849</v>
      </c>
      <c r="AB735" s="118">
        <v>45886</v>
      </c>
      <c r="AC735" s="118"/>
      <c r="AD735" s="104">
        <f>IF(ISNA(VLOOKUP(D735,亚马逊入库配置费!B:F,5,0)),0,VLOOKUP(D735,亚马逊入库配置费!B:F,5,0))</f>
        <v>0</v>
      </c>
      <c r="AE735" s="104">
        <f t="shared" si="177"/>
        <v>0</v>
      </c>
      <c r="AF735" s="118">
        <v>45892</v>
      </c>
      <c r="AG735" s="90">
        <f t="shared" si="178"/>
        <v>43</v>
      </c>
      <c r="AH735" s="118">
        <v>45892</v>
      </c>
      <c r="AI735" s="118">
        <v>45906</v>
      </c>
      <c r="AJ735" s="158">
        <v>60</v>
      </c>
      <c r="AK735" s="91">
        <f t="shared" si="179"/>
        <v>14</v>
      </c>
      <c r="AL735" s="96">
        <f t="shared" si="180"/>
        <v>57</v>
      </c>
      <c r="AM735" s="110"/>
      <c r="AN735" s="90"/>
      <c r="AO735" s="90"/>
    </row>
    <row r="736" spans="1:41" ht="14.5" x14ac:dyDescent="0.25">
      <c r="A736" s="110" t="s">
        <v>1344</v>
      </c>
      <c r="B736" s="90"/>
      <c r="C736" s="126" t="s">
        <v>1337</v>
      </c>
      <c r="D736" s="127" t="s">
        <v>1338</v>
      </c>
      <c r="E736" s="155" t="s">
        <v>254</v>
      </c>
      <c r="F736" s="155" t="s">
        <v>1139</v>
      </c>
      <c r="G736" s="159" t="s">
        <v>614</v>
      </c>
      <c r="H736" s="126">
        <v>36</v>
      </c>
      <c r="I736" s="126" t="s">
        <v>502</v>
      </c>
      <c r="J736" s="160" t="s">
        <v>1140</v>
      </c>
      <c r="K736" s="127" t="s">
        <v>1339</v>
      </c>
      <c r="L736" s="93" t="s">
        <v>2695</v>
      </c>
      <c r="M736" s="94" t="s">
        <v>3215</v>
      </c>
      <c r="N736" s="95" t="s">
        <v>2822</v>
      </c>
      <c r="O736" s="173">
        <v>1</v>
      </c>
      <c r="P736" s="97">
        <f>0.26/2*O736</f>
        <v>0.13</v>
      </c>
      <c r="Q736" s="173" t="s">
        <v>3430</v>
      </c>
      <c r="R736" s="174">
        <v>800</v>
      </c>
      <c r="S736" s="175"/>
      <c r="T736" s="131"/>
      <c r="U736" s="157">
        <f>R736*P736+700/2*O736</f>
        <v>454</v>
      </c>
      <c r="V736" s="100">
        <f t="shared" si="181"/>
        <v>12.611111111111111</v>
      </c>
      <c r="W736" s="101">
        <f t="shared" si="182"/>
        <v>1.8015873015873016</v>
      </c>
      <c r="X736" s="175"/>
      <c r="Y736" s="175">
        <f t="shared" si="186"/>
        <v>44.576296296296292</v>
      </c>
      <c r="Z736" s="104" t="s">
        <v>476</v>
      </c>
      <c r="AA736" s="118">
        <v>45849</v>
      </c>
      <c r="AB736" s="118">
        <v>45886</v>
      </c>
      <c r="AC736" s="118"/>
      <c r="AD736" s="104">
        <f>IF(ISNA(VLOOKUP(D736,亚马逊入库配置费!B:F,5,0)),0,VLOOKUP(D736,亚马逊入库配置费!B:F,5,0))</f>
        <v>0</v>
      </c>
      <c r="AE736" s="104">
        <f t="shared" si="177"/>
        <v>0</v>
      </c>
      <c r="AF736" s="118">
        <v>45892</v>
      </c>
      <c r="AG736" s="90">
        <f t="shared" si="178"/>
        <v>43</v>
      </c>
      <c r="AH736" s="118">
        <v>45892</v>
      </c>
      <c r="AI736" s="118">
        <v>45906</v>
      </c>
      <c r="AJ736" s="158">
        <v>0</v>
      </c>
      <c r="AK736" s="91">
        <f t="shared" si="179"/>
        <v>14</v>
      </c>
      <c r="AL736" s="96">
        <f t="shared" si="180"/>
        <v>57</v>
      </c>
      <c r="AM736" s="110"/>
      <c r="AN736" s="90"/>
      <c r="AO736" s="90"/>
    </row>
    <row r="737" spans="1:41" ht="14.5" x14ac:dyDescent="0.25">
      <c r="A737" s="110" t="s">
        <v>1345</v>
      </c>
      <c r="B737" s="90"/>
      <c r="C737" s="126" t="s">
        <v>1337</v>
      </c>
      <c r="D737" s="127" t="s">
        <v>1338</v>
      </c>
      <c r="E737" s="155" t="s">
        <v>254</v>
      </c>
      <c r="F737" s="155" t="s">
        <v>1139</v>
      </c>
      <c r="G737" s="159" t="s">
        <v>594</v>
      </c>
      <c r="H737" s="126">
        <v>36</v>
      </c>
      <c r="I737" s="126" t="s">
        <v>502</v>
      </c>
      <c r="J737" s="160" t="s">
        <v>1140</v>
      </c>
      <c r="K737" s="127" t="s">
        <v>1339</v>
      </c>
      <c r="L737" s="93" t="s">
        <v>2694</v>
      </c>
      <c r="M737" s="94" t="s">
        <v>3214</v>
      </c>
      <c r="N737" s="95" t="s">
        <v>2822</v>
      </c>
      <c r="O737" s="173">
        <v>1</v>
      </c>
      <c r="P737" s="97">
        <f>0.26/2*O737</f>
        <v>0.13</v>
      </c>
      <c r="Q737" s="173" t="s">
        <v>3430</v>
      </c>
      <c r="R737" s="174">
        <v>800</v>
      </c>
      <c r="S737" s="175"/>
      <c r="T737" s="131"/>
      <c r="U737" s="157">
        <f>R737*P737+700/2*O737</f>
        <v>454</v>
      </c>
      <c r="V737" s="100">
        <f t="shared" si="181"/>
        <v>12.611111111111111</v>
      </c>
      <c r="W737" s="101">
        <f t="shared" si="182"/>
        <v>1.8015873015873016</v>
      </c>
      <c r="X737" s="175"/>
      <c r="Y737" s="175">
        <f t="shared" si="186"/>
        <v>44.576296296296292</v>
      </c>
      <c r="Z737" s="104" t="s">
        <v>476</v>
      </c>
      <c r="AA737" s="118">
        <v>45849</v>
      </c>
      <c r="AB737" s="118">
        <v>45886</v>
      </c>
      <c r="AC737" s="118"/>
      <c r="AD737" s="104">
        <f>IF(ISNA(VLOOKUP(D737,亚马逊入库配置费!B:F,5,0)),0,VLOOKUP(D737,亚马逊入库配置费!B:F,5,0))</f>
        <v>0</v>
      </c>
      <c r="AE737" s="104">
        <f t="shared" si="177"/>
        <v>0</v>
      </c>
      <c r="AF737" s="118">
        <v>45892</v>
      </c>
      <c r="AG737" s="90">
        <f t="shared" si="178"/>
        <v>43</v>
      </c>
      <c r="AH737" s="118">
        <v>45892</v>
      </c>
      <c r="AI737" s="118">
        <v>45906</v>
      </c>
      <c r="AJ737" s="158">
        <v>0</v>
      </c>
      <c r="AK737" s="91">
        <f t="shared" si="179"/>
        <v>14</v>
      </c>
      <c r="AL737" s="96">
        <f t="shared" si="180"/>
        <v>57</v>
      </c>
      <c r="AM737" s="110"/>
      <c r="AN737" s="90"/>
      <c r="AO737" s="90"/>
    </row>
    <row r="738" spans="1:41" ht="14.5" x14ac:dyDescent="0.25">
      <c r="A738" s="92" t="s">
        <v>1346</v>
      </c>
      <c r="B738" s="91"/>
      <c r="C738" s="119" t="s">
        <v>1347</v>
      </c>
      <c r="D738" s="120" t="s">
        <v>1348</v>
      </c>
      <c r="E738" s="135" t="s">
        <v>115</v>
      </c>
      <c r="F738" s="135" t="s">
        <v>0</v>
      </c>
      <c r="G738" s="159" t="s">
        <v>864</v>
      </c>
      <c r="H738" s="126">
        <v>270</v>
      </c>
      <c r="I738" s="126" t="s">
        <v>502</v>
      </c>
      <c r="J738" s="126" t="s">
        <v>503</v>
      </c>
      <c r="K738" s="120" t="s">
        <v>15</v>
      </c>
      <c r="L738" s="93" t="s">
        <v>864</v>
      </c>
      <c r="M738" s="94" t="s">
        <v>3397</v>
      </c>
      <c r="N738" s="95" t="s">
        <v>2869</v>
      </c>
      <c r="O738" s="165">
        <v>9</v>
      </c>
      <c r="P738" s="153">
        <f t="shared" ref="P738:P745" si="187">1618/116*O738</f>
        <v>125.5344827586207</v>
      </c>
      <c r="Q738" s="165" t="s">
        <v>16</v>
      </c>
      <c r="R738" s="171">
        <v>4</v>
      </c>
      <c r="S738" s="167"/>
      <c r="T738" s="168"/>
      <c r="U738" s="125">
        <f t="shared" ref="U738:U748" si="188">R738*P738+350/164*O738</f>
        <v>521.34524810765356</v>
      </c>
      <c r="V738" s="113">
        <f t="shared" si="181"/>
        <v>1.9309083263246427</v>
      </c>
      <c r="W738" s="114">
        <f t="shared" si="182"/>
        <v>0.27584404661780609</v>
      </c>
      <c r="X738" s="167"/>
      <c r="Y738" s="167"/>
      <c r="Z738" s="102"/>
      <c r="AA738" s="103">
        <v>45849</v>
      </c>
      <c r="AB738" s="103">
        <v>45872</v>
      </c>
      <c r="AC738" s="103"/>
      <c r="AD738" s="102">
        <f>IF(ISNA(VLOOKUP(D738,亚马逊入库配置费!B:F,5,0)),0,VLOOKUP(D738,亚马逊入库配置费!B:F,5,0))</f>
        <v>0.41</v>
      </c>
      <c r="AE738" s="102">
        <f t="shared" si="177"/>
        <v>110.69999999999999</v>
      </c>
      <c r="AF738" s="103">
        <v>45889</v>
      </c>
      <c r="AG738" s="91">
        <f t="shared" si="178"/>
        <v>40</v>
      </c>
      <c r="AH738" s="103">
        <v>45889</v>
      </c>
      <c r="AI738" s="103">
        <v>45916</v>
      </c>
      <c r="AJ738" s="96">
        <v>270</v>
      </c>
      <c r="AK738" s="91">
        <f t="shared" si="179"/>
        <v>27</v>
      </c>
      <c r="AL738" s="96">
        <f t="shared" si="180"/>
        <v>67</v>
      </c>
      <c r="AM738" s="92"/>
      <c r="AN738" s="91"/>
      <c r="AO738" s="91"/>
    </row>
    <row r="739" spans="1:41" ht="14.5" x14ac:dyDescent="0.25">
      <c r="A739" s="92" t="s">
        <v>1349</v>
      </c>
      <c r="B739" s="91"/>
      <c r="C739" s="119" t="s">
        <v>1347</v>
      </c>
      <c r="D739" s="120" t="s">
        <v>1350</v>
      </c>
      <c r="E739" s="135" t="s">
        <v>97</v>
      </c>
      <c r="F739" s="135" t="s">
        <v>0</v>
      </c>
      <c r="G739" s="159" t="s">
        <v>228</v>
      </c>
      <c r="H739" s="126">
        <v>500</v>
      </c>
      <c r="I739" s="126" t="s">
        <v>502</v>
      </c>
      <c r="J739" s="126" t="s">
        <v>503</v>
      </c>
      <c r="K739" s="120" t="s">
        <v>15</v>
      </c>
      <c r="L739" s="93" t="s">
        <v>3036</v>
      </c>
      <c r="M739" s="94" t="s">
        <v>3315</v>
      </c>
      <c r="N739" s="95" t="s">
        <v>2870</v>
      </c>
      <c r="O739" s="165">
        <v>25</v>
      </c>
      <c r="P739" s="153">
        <f t="shared" si="187"/>
        <v>348.70689655172413</v>
      </c>
      <c r="Q739" s="165" t="s">
        <v>16</v>
      </c>
      <c r="R739" s="171">
        <v>4</v>
      </c>
      <c r="S739" s="167"/>
      <c r="T739" s="168"/>
      <c r="U739" s="125">
        <f t="shared" si="188"/>
        <v>1448.1812447434818</v>
      </c>
      <c r="V739" s="113">
        <f t="shared" si="181"/>
        <v>2.8963624894869637</v>
      </c>
      <c r="W739" s="114">
        <f t="shared" si="182"/>
        <v>0.41376606992670911</v>
      </c>
      <c r="X739" s="167"/>
      <c r="Y739" s="167"/>
      <c r="Z739" s="102"/>
      <c r="AA739" s="103">
        <v>45849</v>
      </c>
      <c r="AB739" s="103">
        <v>45872</v>
      </c>
      <c r="AC739" s="103"/>
      <c r="AD739" s="102">
        <f>IF(ISNA(VLOOKUP(D739,亚马逊入库配置费!B:F,5,0)),0,VLOOKUP(D739,亚马逊入库配置费!B:F,5,0))</f>
        <v>0.36816091954023</v>
      </c>
      <c r="AE739" s="102">
        <f t="shared" si="177"/>
        <v>184.080459770115</v>
      </c>
      <c r="AF739" s="103">
        <v>45889</v>
      </c>
      <c r="AG739" s="91">
        <f t="shared" si="178"/>
        <v>40</v>
      </c>
      <c r="AH739" s="103">
        <v>45889</v>
      </c>
      <c r="AI739" s="103">
        <v>45918</v>
      </c>
      <c r="AJ739" s="96">
        <v>501</v>
      </c>
      <c r="AK739" s="91">
        <f t="shared" si="179"/>
        <v>29</v>
      </c>
      <c r="AL739" s="96">
        <f t="shared" si="180"/>
        <v>69</v>
      </c>
      <c r="AM739" s="92"/>
      <c r="AN739" s="91"/>
      <c r="AO739" s="91"/>
    </row>
    <row r="740" spans="1:41" ht="14.5" x14ac:dyDescent="0.25">
      <c r="A740" s="92" t="s">
        <v>1351</v>
      </c>
      <c r="B740" s="91"/>
      <c r="C740" s="119" t="s">
        <v>1347</v>
      </c>
      <c r="D740" s="120" t="s">
        <v>1350</v>
      </c>
      <c r="E740" s="135" t="s">
        <v>97</v>
      </c>
      <c r="F740" s="135" t="s">
        <v>0</v>
      </c>
      <c r="G740" s="159" t="s">
        <v>163</v>
      </c>
      <c r="H740" s="126">
        <v>1200</v>
      </c>
      <c r="I740" s="126" t="s">
        <v>502</v>
      </c>
      <c r="J740" s="126" t="s">
        <v>503</v>
      </c>
      <c r="K740" s="120" t="s">
        <v>15</v>
      </c>
      <c r="L740" s="93" t="s">
        <v>2881</v>
      </c>
      <c r="M740" s="94" t="s">
        <v>3302</v>
      </c>
      <c r="N740" s="95" t="s">
        <v>2870</v>
      </c>
      <c r="O740" s="165">
        <v>30</v>
      </c>
      <c r="P740" s="153">
        <f t="shared" si="187"/>
        <v>418.44827586206901</v>
      </c>
      <c r="Q740" s="165" t="s">
        <v>16</v>
      </c>
      <c r="R740" s="171">
        <v>4</v>
      </c>
      <c r="S740" s="167"/>
      <c r="T740" s="168"/>
      <c r="U740" s="125">
        <f t="shared" si="188"/>
        <v>1737.8174936921785</v>
      </c>
      <c r="V740" s="113">
        <f t="shared" si="181"/>
        <v>1.4481812447434821</v>
      </c>
      <c r="W740" s="114">
        <f t="shared" si="182"/>
        <v>0.20688303496335458</v>
      </c>
      <c r="X740" s="167"/>
      <c r="Y740" s="167"/>
      <c r="Z740" s="102"/>
      <c r="AA740" s="103">
        <v>45849</v>
      </c>
      <c r="AB740" s="103">
        <v>45872</v>
      </c>
      <c r="AC740" s="103"/>
      <c r="AD740" s="102">
        <f>IF(ISNA(VLOOKUP(D740,亚马逊入库配置费!B:F,5,0)),0,VLOOKUP(D740,亚马逊入库配置费!B:F,5,0))</f>
        <v>0.36816091954023</v>
      </c>
      <c r="AE740" s="102">
        <f t="shared" si="177"/>
        <v>441.79310344827599</v>
      </c>
      <c r="AF740" s="103">
        <v>45889</v>
      </c>
      <c r="AG740" s="91">
        <f t="shared" si="178"/>
        <v>40</v>
      </c>
      <c r="AH740" s="103">
        <v>45889</v>
      </c>
      <c r="AI740" s="103">
        <v>45918</v>
      </c>
      <c r="AJ740" s="96">
        <v>1184</v>
      </c>
      <c r="AK740" s="91">
        <f t="shared" si="179"/>
        <v>29</v>
      </c>
      <c r="AL740" s="96">
        <f t="shared" si="180"/>
        <v>69</v>
      </c>
      <c r="AM740" s="92"/>
      <c r="AN740" s="91"/>
      <c r="AO740" s="91"/>
    </row>
    <row r="741" spans="1:41" ht="14.5" x14ac:dyDescent="0.25">
      <c r="A741" s="92" t="s">
        <v>1352</v>
      </c>
      <c r="B741" s="91"/>
      <c r="C741" s="119" t="s">
        <v>1347</v>
      </c>
      <c r="D741" s="120" t="s">
        <v>1350</v>
      </c>
      <c r="E741" s="135" t="s">
        <v>97</v>
      </c>
      <c r="F741" s="135" t="s">
        <v>0</v>
      </c>
      <c r="G741" s="159" t="s">
        <v>872</v>
      </c>
      <c r="H741" s="126">
        <v>450</v>
      </c>
      <c r="I741" s="126" t="s">
        <v>502</v>
      </c>
      <c r="J741" s="126" t="s">
        <v>503</v>
      </c>
      <c r="K741" s="120" t="s">
        <v>15</v>
      </c>
      <c r="L741" s="93" t="s">
        <v>872</v>
      </c>
      <c r="M741" s="94" t="s">
        <v>3399</v>
      </c>
      <c r="N741" s="95" t="s">
        <v>2870</v>
      </c>
      <c r="O741" s="165">
        <v>15</v>
      </c>
      <c r="P741" s="153">
        <f t="shared" si="187"/>
        <v>209.22413793103451</v>
      </c>
      <c r="Q741" s="165" t="s">
        <v>16</v>
      </c>
      <c r="R741" s="171">
        <v>4</v>
      </c>
      <c r="S741" s="167"/>
      <c r="T741" s="168"/>
      <c r="U741" s="125">
        <f t="shared" si="188"/>
        <v>868.90874684608923</v>
      </c>
      <c r="V741" s="113">
        <f t="shared" si="181"/>
        <v>1.9309083263246427</v>
      </c>
      <c r="W741" s="114">
        <f t="shared" si="182"/>
        <v>0.27584404661780609</v>
      </c>
      <c r="X741" s="167"/>
      <c r="Y741" s="167"/>
      <c r="Z741" s="102"/>
      <c r="AA741" s="103">
        <v>45849</v>
      </c>
      <c r="AB741" s="103">
        <v>45872</v>
      </c>
      <c r="AC741" s="103"/>
      <c r="AD741" s="102">
        <f>IF(ISNA(VLOOKUP(D741,亚马逊入库配置费!B:F,5,0)),0,VLOOKUP(D741,亚马逊入库配置费!B:F,5,0))</f>
        <v>0.36816091954023</v>
      </c>
      <c r="AE741" s="102">
        <f t="shared" si="177"/>
        <v>165.67241379310349</v>
      </c>
      <c r="AF741" s="103">
        <v>45889</v>
      </c>
      <c r="AG741" s="91">
        <f t="shared" si="178"/>
        <v>40</v>
      </c>
      <c r="AH741" s="103">
        <v>45889</v>
      </c>
      <c r="AI741" s="103">
        <v>45918</v>
      </c>
      <c r="AJ741" s="96">
        <v>449</v>
      </c>
      <c r="AK741" s="91">
        <f t="shared" si="179"/>
        <v>29</v>
      </c>
      <c r="AL741" s="96">
        <f t="shared" si="180"/>
        <v>69</v>
      </c>
      <c r="AM741" s="92"/>
      <c r="AN741" s="91"/>
      <c r="AO741" s="91"/>
    </row>
    <row r="742" spans="1:41" ht="14.5" x14ac:dyDescent="0.25">
      <c r="A742" s="92" t="s">
        <v>1353</v>
      </c>
      <c r="B742" s="91"/>
      <c r="C742" s="119" t="s">
        <v>1347</v>
      </c>
      <c r="D742" s="120" t="s">
        <v>1350</v>
      </c>
      <c r="E742" s="135" t="s">
        <v>97</v>
      </c>
      <c r="F742" s="135" t="s">
        <v>0</v>
      </c>
      <c r="G742" s="159" t="s">
        <v>165</v>
      </c>
      <c r="H742" s="126">
        <v>600</v>
      </c>
      <c r="I742" s="126" t="s">
        <v>502</v>
      </c>
      <c r="J742" s="126" t="s">
        <v>503</v>
      </c>
      <c r="K742" s="120" t="s">
        <v>15</v>
      </c>
      <c r="L742" s="93" t="s">
        <v>2880</v>
      </c>
      <c r="M742" s="94" t="s">
        <v>3209</v>
      </c>
      <c r="N742" s="95" t="s">
        <v>2870</v>
      </c>
      <c r="O742" s="165">
        <v>15</v>
      </c>
      <c r="P742" s="153">
        <f t="shared" si="187"/>
        <v>209.22413793103451</v>
      </c>
      <c r="Q742" s="165" t="s">
        <v>16</v>
      </c>
      <c r="R742" s="171">
        <v>4</v>
      </c>
      <c r="S742" s="167"/>
      <c r="T742" s="168"/>
      <c r="U742" s="125">
        <f t="shared" si="188"/>
        <v>868.90874684608923</v>
      </c>
      <c r="V742" s="113">
        <f t="shared" si="181"/>
        <v>1.4481812447434821</v>
      </c>
      <c r="W742" s="114">
        <f t="shared" si="182"/>
        <v>0.20688303496335458</v>
      </c>
      <c r="X742" s="167"/>
      <c r="Y742" s="167"/>
      <c r="Z742" s="102"/>
      <c r="AA742" s="103">
        <v>45849</v>
      </c>
      <c r="AB742" s="103">
        <v>45872</v>
      </c>
      <c r="AC742" s="103"/>
      <c r="AD742" s="102">
        <f>IF(ISNA(VLOOKUP(D742,亚马逊入库配置费!B:F,5,0)),0,VLOOKUP(D742,亚马逊入库配置费!B:F,5,0))</f>
        <v>0.36816091954023</v>
      </c>
      <c r="AE742" s="102">
        <f t="shared" si="177"/>
        <v>220.89655172413799</v>
      </c>
      <c r="AF742" s="103">
        <v>45889</v>
      </c>
      <c r="AG742" s="91">
        <f t="shared" si="178"/>
        <v>40</v>
      </c>
      <c r="AH742" s="103">
        <v>45889</v>
      </c>
      <c r="AI742" s="103">
        <v>45918</v>
      </c>
      <c r="AJ742" s="96">
        <v>600</v>
      </c>
      <c r="AK742" s="91">
        <f t="shared" si="179"/>
        <v>29</v>
      </c>
      <c r="AL742" s="96">
        <f t="shared" si="180"/>
        <v>69</v>
      </c>
      <c r="AM742" s="92"/>
      <c r="AN742" s="91"/>
      <c r="AO742" s="91"/>
    </row>
    <row r="743" spans="1:41" ht="14.5" x14ac:dyDescent="0.25">
      <c r="A743" s="92" t="s">
        <v>1354</v>
      </c>
      <c r="B743" s="91"/>
      <c r="C743" s="119" t="s">
        <v>1347</v>
      </c>
      <c r="D743" s="120" t="s">
        <v>1350</v>
      </c>
      <c r="E743" s="135" t="s">
        <v>97</v>
      </c>
      <c r="F743" s="135" t="s">
        <v>0</v>
      </c>
      <c r="G743" s="159" t="s">
        <v>786</v>
      </c>
      <c r="H743" s="126">
        <v>280</v>
      </c>
      <c r="I743" s="126" t="s">
        <v>502</v>
      </c>
      <c r="J743" s="126" t="s">
        <v>503</v>
      </c>
      <c r="K743" s="120" t="s">
        <v>15</v>
      </c>
      <c r="L743" s="93" t="s">
        <v>786</v>
      </c>
      <c r="M743" s="94" t="s">
        <v>3395</v>
      </c>
      <c r="N743" s="95" t="s">
        <v>2870</v>
      </c>
      <c r="O743" s="165">
        <v>7</v>
      </c>
      <c r="P743" s="153">
        <f t="shared" si="187"/>
        <v>97.637931034482762</v>
      </c>
      <c r="Q743" s="165" t="s">
        <v>16</v>
      </c>
      <c r="R743" s="171">
        <v>4</v>
      </c>
      <c r="S743" s="167"/>
      <c r="T743" s="168"/>
      <c r="U743" s="125">
        <f t="shared" si="188"/>
        <v>405.49074852817495</v>
      </c>
      <c r="V743" s="113">
        <f t="shared" si="181"/>
        <v>1.4481812447434819</v>
      </c>
      <c r="W743" s="114">
        <f t="shared" si="182"/>
        <v>0.20688303496335456</v>
      </c>
      <c r="X743" s="167"/>
      <c r="Y743" s="167"/>
      <c r="Z743" s="102"/>
      <c r="AA743" s="103">
        <v>45849</v>
      </c>
      <c r="AB743" s="103">
        <v>45872</v>
      </c>
      <c r="AC743" s="103"/>
      <c r="AD743" s="102">
        <f>IF(ISNA(VLOOKUP(D743,亚马逊入库配置费!B:F,5,0)),0,VLOOKUP(D743,亚马逊入库配置费!B:F,5,0))</f>
        <v>0.36816091954023</v>
      </c>
      <c r="AE743" s="102">
        <f t="shared" si="177"/>
        <v>103.08505747126441</v>
      </c>
      <c r="AF743" s="103">
        <v>45889</v>
      </c>
      <c r="AG743" s="91">
        <f t="shared" si="178"/>
        <v>40</v>
      </c>
      <c r="AH743" s="103">
        <v>45889</v>
      </c>
      <c r="AI743" s="103">
        <v>45918</v>
      </c>
      <c r="AJ743" s="96">
        <v>281</v>
      </c>
      <c r="AK743" s="91">
        <f t="shared" si="179"/>
        <v>29</v>
      </c>
      <c r="AL743" s="96">
        <f t="shared" si="180"/>
        <v>69</v>
      </c>
      <c r="AM743" s="92"/>
      <c r="AN743" s="91"/>
      <c r="AO743" s="91"/>
    </row>
    <row r="744" spans="1:41" ht="14.5" x14ac:dyDescent="0.25">
      <c r="A744" s="92" t="s">
        <v>1355</v>
      </c>
      <c r="B744" s="91"/>
      <c r="C744" s="119" t="s">
        <v>1347</v>
      </c>
      <c r="D744" s="120" t="s">
        <v>1350</v>
      </c>
      <c r="E744" s="135" t="s">
        <v>97</v>
      </c>
      <c r="F744" s="135" t="s">
        <v>0</v>
      </c>
      <c r="G744" s="159" t="s">
        <v>169</v>
      </c>
      <c r="H744" s="126">
        <v>330</v>
      </c>
      <c r="I744" s="126" t="s">
        <v>502</v>
      </c>
      <c r="J744" s="126" t="s">
        <v>503</v>
      </c>
      <c r="K744" s="120" t="s">
        <v>15</v>
      </c>
      <c r="L744" s="93" t="s">
        <v>3026</v>
      </c>
      <c r="M744" s="94" t="s">
        <v>3211</v>
      </c>
      <c r="N744" s="95" t="s">
        <v>2876</v>
      </c>
      <c r="O744" s="165">
        <v>11</v>
      </c>
      <c r="P744" s="153">
        <f t="shared" si="187"/>
        <v>153.43103448275863</v>
      </c>
      <c r="Q744" s="165" t="s">
        <v>16</v>
      </c>
      <c r="R744" s="171">
        <v>4</v>
      </c>
      <c r="S744" s="167"/>
      <c r="T744" s="168"/>
      <c r="U744" s="125">
        <f t="shared" si="188"/>
        <v>637.19974768713212</v>
      </c>
      <c r="V744" s="113">
        <f t="shared" si="181"/>
        <v>1.9309083263246427</v>
      </c>
      <c r="W744" s="114">
        <f t="shared" si="182"/>
        <v>0.27584404661780609</v>
      </c>
      <c r="X744" s="167"/>
      <c r="Y744" s="167"/>
      <c r="Z744" s="102"/>
      <c r="AA744" s="103">
        <v>45849</v>
      </c>
      <c r="AB744" s="103">
        <v>45872</v>
      </c>
      <c r="AC744" s="103"/>
      <c r="AD744" s="102">
        <f>IF(ISNA(VLOOKUP(D744,亚马逊入库配置费!B:F,5,0)),0,VLOOKUP(D744,亚马逊入库配置费!B:F,5,0))</f>
        <v>0.36816091954023</v>
      </c>
      <c r="AE744" s="102">
        <f t="shared" si="177"/>
        <v>121.4931034482759</v>
      </c>
      <c r="AF744" s="103">
        <v>45889</v>
      </c>
      <c r="AG744" s="91">
        <f t="shared" si="178"/>
        <v>40</v>
      </c>
      <c r="AH744" s="103">
        <v>45889</v>
      </c>
      <c r="AI744" s="103">
        <v>45918</v>
      </c>
      <c r="AJ744" s="96">
        <v>299</v>
      </c>
      <c r="AK744" s="91">
        <f t="shared" si="179"/>
        <v>29</v>
      </c>
      <c r="AL744" s="96">
        <f t="shared" si="180"/>
        <v>69</v>
      </c>
      <c r="AM744" s="92"/>
      <c r="AN744" s="91"/>
      <c r="AO744" s="91"/>
    </row>
    <row r="745" spans="1:41" ht="14.5" x14ac:dyDescent="0.25">
      <c r="A745" s="92" t="s">
        <v>1356</v>
      </c>
      <c r="B745" s="91"/>
      <c r="C745" s="119" t="s">
        <v>1347</v>
      </c>
      <c r="D745" s="120" t="s">
        <v>1350</v>
      </c>
      <c r="E745" s="135" t="s">
        <v>97</v>
      </c>
      <c r="F745" s="135" t="s">
        <v>0</v>
      </c>
      <c r="G745" s="159" t="s">
        <v>173</v>
      </c>
      <c r="H745" s="126">
        <v>120</v>
      </c>
      <c r="I745" s="126" t="s">
        <v>502</v>
      </c>
      <c r="J745" s="126" t="s">
        <v>503</v>
      </c>
      <c r="K745" s="120" t="s">
        <v>15</v>
      </c>
      <c r="L745" s="93" t="s">
        <v>3028</v>
      </c>
      <c r="M745" s="94" t="s">
        <v>3304</v>
      </c>
      <c r="N745" s="95" t="s">
        <v>2876</v>
      </c>
      <c r="O745" s="165">
        <v>4</v>
      </c>
      <c r="P745" s="153">
        <f t="shared" si="187"/>
        <v>55.793103448275865</v>
      </c>
      <c r="Q745" s="165" t="s">
        <v>16</v>
      </c>
      <c r="R745" s="171">
        <v>4</v>
      </c>
      <c r="S745" s="167"/>
      <c r="T745" s="168"/>
      <c r="U745" s="125">
        <f t="shared" si="188"/>
        <v>231.70899915895711</v>
      </c>
      <c r="V745" s="113">
        <f t="shared" si="181"/>
        <v>1.9309083263246427</v>
      </c>
      <c r="W745" s="114">
        <f t="shared" si="182"/>
        <v>0.27584404661780609</v>
      </c>
      <c r="X745" s="167"/>
      <c r="Y745" s="167"/>
      <c r="Z745" s="102"/>
      <c r="AA745" s="103">
        <v>45849</v>
      </c>
      <c r="AB745" s="103">
        <v>45872</v>
      </c>
      <c r="AC745" s="103"/>
      <c r="AD745" s="102">
        <f>IF(ISNA(VLOOKUP(D745,亚马逊入库配置费!B:F,5,0)),0,VLOOKUP(D745,亚马逊入库配置费!B:F,5,0))</f>
        <v>0.36816091954023</v>
      </c>
      <c r="AE745" s="102">
        <f t="shared" si="177"/>
        <v>44.179310344827599</v>
      </c>
      <c r="AF745" s="103">
        <v>45889</v>
      </c>
      <c r="AG745" s="91">
        <f t="shared" si="178"/>
        <v>40</v>
      </c>
      <c r="AH745" s="103">
        <v>45889</v>
      </c>
      <c r="AI745" s="103">
        <v>45918</v>
      </c>
      <c r="AJ745" s="96">
        <v>119</v>
      </c>
      <c r="AK745" s="91">
        <f t="shared" si="179"/>
        <v>29</v>
      </c>
      <c r="AL745" s="96">
        <f t="shared" si="180"/>
        <v>69</v>
      </c>
      <c r="AM745" s="92"/>
      <c r="AN745" s="91"/>
      <c r="AO745" s="91"/>
    </row>
    <row r="746" spans="1:41" ht="14.5" x14ac:dyDescent="0.25">
      <c r="A746" s="92" t="s">
        <v>1357</v>
      </c>
      <c r="B746" s="91"/>
      <c r="C746" s="119" t="s">
        <v>1347</v>
      </c>
      <c r="D746" s="120" t="s">
        <v>1358</v>
      </c>
      <c r="E746" s="135" t="s">
        <v>115</v>
      </c>
      <c r="F746" s="135" t="s">
        <v>0</v>
      </c>
      <c r="G746" s="159" t="s">
        <v>614</v>
      </c>
      <c r="H746" s="126">
        <v>108</v>
      </c>
      <c r="I746" s="126" t="s">
        <v>502</v>
      </c>
      <c r="J746" s="126" t="s">
        <v>503</v>
      </c>
      <c r="K746" s="120" t="s">
        <v>44</v>
      </c>
      <c r="L746" s="93" t="s">
        <v>2695</v>
      </c>
      <c r="M746" s="94" t="s">
        <v>3215</v>
      </c>
      <c r="N746" s="95" t="s">
        <v>2822</v>
      </c>
      <c r="O746" s="165">
        <v>3</v>
      </c>
      <c r="P746" s="153">
        <f>110/5*O746</f>
        <v>66</v>
      </c>
      <c r="Q746" s="165" t="s">
        <v>16</v>
      </c>
      <c r="R746" s="171">
        <v>4.8</v>
      </c>
      <c r="S746" s="167"/>
      <c r="T746" s="168"/>
      <c r="U746" s="125">
        <f t="shared" si="188"/>
        <v>323.20243902439023</v>
      </c>
      <c r="V746" s="113">
        <f t="shared" si="181"/>
        <v>2.9926151761517614</v>
      </c>
      <c r="W746" s="114">
        <f t="shared" si="182"/>
        <v>0.42751645373596592</v>
      </c>
      <c r="X746" s="167"/>
      <c r="Y746" s="167"/>
      <c r="Z746" s="102"/>
      <c r="AA746" s="103">
        <v>45849</v>
      </c>
      <c r="AB746" s="103">
        <v>45872</v>
      </c>
      <c r="AC746" s="103"/>
      <c r="AD746" s="102">
        <f>IF(ISNA(VLOOKUP(D746,亚马逊入库配置费!B:F,5,0)),0,VLOOKUP(D746,亚马逊入库配置费!B:F,5,0))</f>
        <v>0.45800000000000002</v>
      </c>
      <c r="AE746" s="102">
        <f t="shared" si="177"/>
        <v>49.463999999999999</v>
      </c>
      <c r="AF746" s="103">
        <v>45884</v>
      </c>
      <c r="AG746" s="91">
        <f t="shared" si="178"/>
        <v>35</v>
      </c>
      <c r="AH746" s="103">
        <v>45884</v>
      </c>
      <c r="AI746" s="103">
        <v>45912</v>
      </c>
      <c r="AJ746" s="96">
        <v>107</v>
      </c>
      <c r="AK746" s="91">
        <f t="shared" si="179"/>
        <v>28</v>
      </c>
      <c r="AL746" s="96">
        <f t="shared" si="180"/>
        <v>63</v>
      </c>
      <c r="AM746" s="92"/>
      <c r="AN746" s="91"/>
      <c r="AO746" s="91"/>
    </row>
    <row r="747" spans="1:41" ht="14.5" x14ac:dyDescent="0.25">
      <c r="A747" s="92" t="s">
        <v>1359</v>
      </c>
      <c r="B747" s="91"/>
      <c r="C747" s="119" t="s">
        <v>1347</v>
      </c>
      <c r="D747" s="120" t="s">
        <v>1358</v>
      </c>
      <c r="E747" s="135" t="s">
        <v>115</v>
      </c>
      <c r="F747" s="135" t="s">
        <v>0</v>
      </c>
      <c r="G747" s="159" t="s">
        <v>594</v>
      </c>
      <c r="H747" s="126">
        <v>72</v>
      </c>
      <c r="I747" s="126" t="s">
        <v>502</v>
      </c>
      <c r="J747" s="126" t="s">
        <v>503</v>
      </c>
      <c r="K747" s="120" t="s">
        <v>44</v>
      </c>
      <c r="L747" s="93" t="s">
        <v>2694</v>
      </c>
      <c r="M747" s="94" t="s">
        <v>3214</v>
      </c>
      <c r="N747" s="95" t="s">
        <v>2822</v>
      </c>
      <c r="O747" s="165">
        <v>2</v>
      </c>
      <c r="P747" s="153">
        <f>110/5*O747</f>
        <v>44</v>
      </c>
      <c r="Q747" s="165" t="s">
        <v>16</v>
      </c>
      <c r="R747" s="171">
        <v>4.8</v>
      </c>
      <c r="S747" s="167"/>
      <c r="T747" s="168"/>
      <c r="U747" s="125">
        <f t="shared" si="188"/>
        <v>215.46829268292683</v>
      </c>
      <c r="V747" s="113">
        <f t="shared" si="181"/>
        <v>2.9926151761517614</v>
      </c>
      <c r="W747" s="114">
        <f t="shared" si="182"/>
        <v>0.42751645373596592</v>
      </c>
      <c r="X747" s="167"/>
      <c r="Y747" s="167"/>
      <c r="Z747" s="102"/>
      <c r="AA747" s="103">
        <v>45849</v>
      </c>
      <c r="AB747" s="103">
        <v>45872</v>
      </c>
      <c r="AC747" s="103"/>
      <c r="AD747" s="102">
        <f>IF(ISNA(VLOOKUP(D747,亚马逊入库配置费!B:F,5,0)),0,VLOOKUP(D747,亚马逊入库配置费!B:F,5,0))</f>
        <v>0.45800000000000002</v>
      </c>
      <c r="AE747" s="102">
        <f t="shared" si="177"/>
        <v>32.975999999999999</v>
      </c>
      <c r="AF747" s="103">
        <v>45884</v>
      </c>
      <c r="AG747" s="91">
        <f t="shared" si="178"/>
        <v>35</v>
      </c>
      <c r="AH747" s="103">
        <v>45884</v>
      </c>
      <c r="AI747" s="103">
        <v>45912</v>
      </c>
      <c r="AJ747" s="96">
        <v>72</v>
      </c>
      <c r="AK747" s="91">
        <f t="shared" si="179"/>
        <v>28</v>
      </c>
      <c r="AL747" s="96">
        <f t="shared" si="180"/>
        <v>63</v>
      </c>
      <c r="AM747" s="92"/>
      <c r="AN747" s="91"/>
      <c r="AO747" s="91"/>
    </row>
    <row r="748" spans="1:41" ht="14.5" x14ac:dyDescent="0.25">
      <c r="A748" s="92" t="s">
        <v>1360</v>
      </c>
      <c r="B748" s="91"/>
      <c r="C748" s="119" t="s">
        <v>1347</v>
      </c>
      <c r="D748" s="120" t="s">
        <v>1361</v>
      </c>
      <c r="E748" s="135" t="s">
        <v>97</v>
      </c>
      <c r="F748" s="135" t="s">
        <v>0</v>
      </c>
      <c r="G748" s="159" t="s">
        <v>93</v>
      </c>
      <c r="H748" s="126">
        <v>516</v>
      </c>
      <c r="I748" s="126" t="s">
        <v>502</v>
      </c>
      <c r="J748" s="126" t="s">
        <v>503</v>
      </c>
      <c r="K748" s="120" t="s">
        <v>50</v>
      </c>
      <c r="L748" s="93" t="s">
        <v>3015</v>
      </c>
      <c r="M748" s="94" t="s">
        <v>3288</v>
      </c>
      <c r="N748" s="95" t="s">
        <v>2821</v>
      </c>
      <c r="O748" s="165">
        <v>43</v>
      </c>
      <c r="P748" s="153">
        <f>624/43*O748</f>
        <v>624</v>
      </c>
      <c r="Q748" s="165" t="s">
        <v>16</v>
      </c>
      <c r="R748" s="171">
        <v>4</v>
      </c>
      <c r="S748" s="167"/>
      <c r="T748" s="168"/>
      <c r="U748" s="125">
        <f t="shared" si="188"/>
        <v>2587.768292682927</v>
      </c>
      <c r="V748" s="113">
        <f t="shared" si="181"/>
        <v>5.0150548307808664</v>
      </c>
      <c r="W748" s="114">
        <f t="shared" si="182"/>
        <v>0.71643640439726664</v>
      </c>
      <c r="X748" s="167"/>
      <c r="Y748" s="167"/>
      <c r="Z748" s="102"/>
      <c r="AA748" s="103">
        <v>45849</v>
      </c>
      <c r="AB748" s="103">
        <v>45872</v>
      </c>
      <c r="AC748" s="103"/>
      <c r="AD748" s="102">
        <f>IF(ISNA(VLOOKUP(D748,亚马逊入库配置费!B:F,5,0)),0,VLOOKUP(D748,亚马逊入库配置费!B:F,5,0))</f>
        <v>0.49</v>
      </c>
      <c r="AE748" s="102">
        <f t="shared" si="177"/>
        <v>252.84</v>
      </c>
      <c r="AF748" s="103">
        <v>45888</v>
      </c>
      <c r="AG748" s="91">
        <f t="shared" si="178"/>
        <v>39</v>
      </c>
      <c r="AH748" s="103">
        <v>45888</v>
      </c>
      <c r="AI748" s="103">
        <v>45921</v>
      </c>
      <c r="AJ748" s="96">
        <v>504</v>
      </c>
      <c r="AK748" s="91">
        <f t="shared" si="179"/>
        <v>33</v>
      </c>
      <c r="AL748" s="96">
        <f t="shared" si="180"/>
        <v>72</v>
      </c>
      <c r="AM748" s="92"/>
      <c r="AN748" s="91"/>
      <c r="AO748" s="91"/>
    </row>
    <row r="749" spans="1:41" ht="14.5" x14ac:dyDescent="0.25">
      <c r="A749" s="92" t="s">
        <v>1362</v>
      </c>
      <c r="B749" s="91"/>
      <c r="C749" s="119" t="s">
        <v>1363</v>
      </c>
      <c r="D749" s="120" t="s">
        <v>1364</v>
      </c>
      <c r="E749" s="135" t="s">
        <v>97</v>
      </c>
      <c r="F749" s="135" t="s">
        <v>0</v>
      </c>
      <c r="G749" s="159" t="s">
        <v>93</v>
      </c>
      <c r="H749" s="126">
        <v>612</v>
      </c>
      <c r="I749" s="126" t="s">
        <v>502</v>
      </c>
      <c r="J749" s="126" t="s">
        <v>1365</v>
      </c>
      <c r="K749" s="120" t="s">
        <v>9</v>
      </c>
      <c r="L749" s="93" t="s">
        <v>3015</v>
      </c>
      <c r="M749" s="94" t="s">
        <v>3288</v>
      </c>
      <c r="N749" s="95" t="s">
        <v>2821</v>
      </c>
      <c r="O749" s="122">
        <v>51</v>
      </c>
      <c r="P749" s="153">
        <f>739</f>
        <v>739</v>
      </c>
      <c r="Q749" s="122" t="s">
        <v>16</v>
      </c>
      <c r="R749" s="166">
        <v>10</v>
      </c>
      <c r="S749" s="167"/>
      <c r="T749" s="168"/>
      <c r="U749" s="125">
        <f>R749*P749+350</f>
        <v>7740</v>
      </c>
      <c r="V749" s="113">
        <f t="shared" si="181"/>
        <v>12.647058823529411</v>
      </c>
      <c r="W749" s="114">
        <f t="shared" si="182"/>
        <v>1.8067226890756303</v>
      </c>
      <c r="X749" s="167"/>
      <c r="Y749" s="167"/>
      <c r="Z749" s="102"/>
      <c r="AA749" s="103">
        <v>45849</v>
      </c>
      <c r="AB749" s="103">
        <v>45865</v>
      </c>
      <c r="AC749" s="103"/>
      <c r="AD749" s="102">
        <f>IF(ISNA(VLOOKUP(D749,亚马逊入库配置费!B:F,5,0)),0,VLOOKUP(D749,亚马逊入库配置费!B:F,5,0))</f>
        <v>0.49</v>
      </c>
      <c r="AE749" s="102">
        <f t="shared" si="177"/>
        <v>299.88</v>
      </c>
      <c r="AF749" s="103">
        <v>45874</v>
      </c>
      <c r="AG749" s="91">
        <f t="shared" si="178"/>
        <v>25</v>
      </c>
      <c r="AH749" s="103">
        <v>45874</v>
      </c>
      <c r="AI749" s="103">
        <v>45904</v>
      </c>
      <c r="AJ749" s="96">
        <v>635</v>
      </c>
      <c r="AK749" s="91">
        <f t="shared" si="179"/>
        <v>30</v>
      </c>
      <c r="AL749" s="96">
        <f t="shared" si="180"/>
        <v>55</v>
      </c>
      <c r="AM749" s="92"/>
      <c r="AN749" s="91"/>
      <c r="AO749" s="91"/>
    </row>
    <row r="750" spans="1:41" ht="14.5" x14ac:dyDescent="0.25">
      <c r="A750" s="92" t="s">
        <v>1366</v>
      </c>
      <c r="B750" s="53"/>
      <c r="C750" s="160" t="s">
        <v>1367</v>
      </c>
      <c r="D750" s="177" t="s">
        <v>1368</v>
      </c>
      <c r="E750" s="178" t="s">
        <v>115</v>
      </c>
      <c r="F750" s="178" t="s">
        <v>1369</v>
      </c>
      <c r="G750" s="179" t="s">
        <v>209</v>
      </c>
      <c r="H750" s="160">
        <v>80</v>
      </c>
      <c r="I750" s="160" t="s">
        <v>1227</v>
      </c>
      <c r="J750" s="160" t="s">
        <v>503</v>
      </c>
      <c r="K750" s="177" t="s">
        <v>9</v>
      </c>
      <c r="L750" s="93" t="s">
        <v>3033</v>
      </c>
      <c r="M750" s="94" t="s">
        <v>3311</v>
      </c>
      <c r="N750" s="95" t="s">
        <v>2869</v>
      </c>
      <c r="O750" s="166">
        <v>5</v>
      </c>
      <c r="P750" s="153">
        <v>64.285714285714306</v>
      </c>
      <c r="Q750" s="122" t="s">
        <v>16</v>
      </c>
      <c r="R750" s="166">
        <v>4</v>
      </c>
      <c r="S750" s="167"/>
      <c r="T750" s="168"/>
      <c r="U750" s="125">
        <f t="shared" ref="U750:U759" si="189">R750*P750+350/101*O750</f>
        <v>274.46958981612454</v>
      </c>
      <c r="V750" s="113">
        <f t="shared" si="181"/>
        <v>3.4308698727015567</v>
      </c>
      <c r="W750" s="114">
        <f t="shared" si="182"/>
        <v>0.49012426752879384</v>
      </c>
      <c r="X750" s="167"/>
      <c r="Y750" s="167"/>
      <c r="Z750" s="59"/>
      <c r="AA750" s="103">
        <v>45856</v>
      </c>
      <c r="AB750" s="103">
        <v>45879</v>
      </c>
      <c r="AC750" s="52"/>
      <c r="AD750" s="102">
        <f>IF(ISNA(VLOOKUP(D750,亚马逊入库配置费!B:F,5,0)),0,VLOOKUP(D750,亚马逊入库配置费!B:F,5,0))</f>
        <v>0.42142857142857099</v>
      </c>
      <c r="AE750" s="102">
        <f t="shared" si="177"/>
        <v>33.71428571428568</v>
      </c>
      <c r="AF750" s="103">
        <v>45886</v>
      </c>
      <c r="AG750" s="91">
        <f t="shared" si="178"/>
        <v>30</v>
      </c>
      <c r="AH750" s="103">
        <v>45886</v>
      </c>
      <c r="AI750" s="103">
        <v>45917</v>
      </c>
      <c r="AJ750" s="96">
        <v>80</v>
      </c>
      <c r="AK750" s="91">
        <f t="shared" si="179"/>
        <v>31</v>
      </c>
      <c r="AL750" s="96">
        <f t="shared" si="180"/>
        <v>61</v>
      </c>
      <c r="AM750" s="56"/>
      <c r="AN750" s="53"/>
      <c r="AO750" s="53"/>
    </row>
    <row r="751" spans="1:41" ht="14.5" x14ac:dyDescent="0.25">
      <c r="A751" s="92" t="s">
        <v>1370</v>
      </c>
      <c r="B751" s="53"/>
      <c r="C751" s="160" t="s">
        <v>1367</v>
      </c>
      <c r="D751" s="177" t="s">
        <v>1368</v>
      </c>
      <c r="E751" s="178" t="s">
        <v>115</v>
      </c>
      <c r="F751" s="178" t="s">
        <v>1369</v>
      </c>
      <c r="G751" s="179" t="s">
        <v>211</v>
      </c>
      <c r="H751" s="160">
        <v>300</v>
      </c>
      <c r="I751" s="160" t="s">
        <v>1227</v>
      </c>
      <c r="J751" s="160" t="s">
        <v>503</v>
      </c>
      <c r="K751" s="177" t="s">
        <v>9</v>
      </c>
      <c r="L751" s="93" t="s">
        <v>3034</v>
      </c>
      <c r="M751" s="94" t="s">
        <v>3312</v>
      </c>
      <c r="N751" s="95" t="s">
        <v>2869</v>
      </c>
      <c r="O751" s="166">
        <v>10</v>
      </c>
      <c r="P751" s="153">
        <v>128.57142857142901</v>
      </c>
      <c r="Q751" s="122" t="s">
        <v>16</v>
      </c>
      <c r="R751" s="166">
        <v>4</v>
      </c>
      <c r="S751" s="167"/>
      <c r="T751" s="168"/>
      <c r="U751" s="125">
        <f t="shared" si="189"/>
        <v>548.93917963225067</v>
      </c>
      <c r="V751" s="113">
        <f t="shared" si="181"/>
        <v>1.8297972654408357</v>
      </c>
      <c r="W751" s="114">
        <f t="shared" si="182"/>
        <v>0.26139960934869083</v>
      </c>
      <c r="X751" s="167"/>
      <c r="Y751" s="167"/>
      <c r="Z751" s="59"/>
      <c r="AA751" s="103">
        <v>45856</v>
      </c>
      <c r="AB751" s="103">
        <v>45879</v>
      </c>
      <c r="AC751" s="52"/>
      <c r="AD751" s="102">
        <f>IF(ISNA(VLOOKUP(D751,亚马逊入库配置费!B:F,5,0)),0,VLOOKUP(D751,亚马逊入库配置费!B:F,5,0))</f>
        <v>0.42142857142857099</v>
      </c>
      <c r="AE751" s="102">
        <f t="shared" si="177"/>
        <v>126.4285714285713</v>
      </c>
      <c r="AF751" s="103">
        <v>45886</v>
      </c>
      <c r="AG751" s="91">
        <f t="shared" si="178"/>
        <v>30</v>
      </c>
      <c r="AH751" s="103">
        <v>45886</v>
      </c>
      <c r="AI751" s="103">
        <v>45917</v>
      </c>
      <c r="AJ751" s="96">
        <v>300</v>
      </c>
      <c r="AK751" s="91">
        <f t="shared" si="179"/>
        <v>31</v>
      </c>
      <c r="AL751" s="96">
        <f t="shared" si="180"/>
        <v>61</v>
      </c>
      <c r="AM751" s="56"/>
      <c r="AN751" s="53"/>
      <c r="AO751" s="53"/>
    </row>
    <row r="752" spans="1:41" ht="14.5" x14ac:dyDescent="0.25">
      <c r="A752" s="92" t="s">
        <v>1371</v>
      </c>
      <c r="B752" s="53"/>
      <c r="C752" s="160" t="s">
        <v>1367</v>
      </c>
      <c r="D752" s="177" t="s">
        <v>1368</v>
      </c>
      <c r="E752" s="178" t="s">
        <v>115</v>
      </c>
      <c r="F752" s="178" t="s">
        <v>1369</v>
      </c>
      <c r="G752" s="179" t="s">
        <v>606</v>
      </c>
      <c r="H752" s="160">
        <v>180</v>
      </c>
      <c r="I752" s="160" t="s">
        <v>1227</v>
      </c>
      <c r="J752" s="160" t="s">
        <v>503</v>
      </c>
      <c r="K752" s="177" t="s">
        <v>9</v>
      </c>
      <c r="L752" s="93" t="s">
        <v>3075</v>
      </c>
      <c r="M752" s="94" t="s">
        <v>3376</v>
      </c>
      <c r="N752" s="95" t="s">
        <v>2869</v>
      </c>
      <c r="O752" s="166">
        <v>6</v>
      </c>
      <c r="P752" s="153">
        <v>77.142857142857096</v>
      </c>
      <c r="Q752" s="122" t="s">
        <v>16</v>
      </c>
      <c r="R752" s="166">
        <v>4</v>
      </c>
      <c r="S752" s="167"/>
      <c r="T752" s="168"/>
      <c r="U752" s="125">
        <f t="shared" si="189"/>
        <v>329.36350777934916</v>
      </c>
      <c r="V752" s="113">
        <f t="shared" si="181"/>
        <v>1.8297972654408288</v>
      </c>
      <c r="W752" s="114">
        <f t="shared" si="182"/>
        <v>0.26139960934868983</v>
      </c>
      <c r="X752" s="167"/>
      <c r="Y752" s="167"/>
      <c r="Z752" s="59"/>
      <c r="AA752" s="103">
        <v>45856</v>
      </c>
      <c r="AB752" s="103">
        <v>45879</v>
      </c>
      <c r="AC752" s="52"/>
      <c r="AD752" s="102">
        <f>IF(ISNA(VLOOKUP(D752,亚马逊入库配置费!B:F,5,0)),0,VLOOKUP(D752,亚马逊入库配置费!B:F,5,0))</f>
        <v>0.42142857142857099</v>
      </c>
      <c r="AE752" s="102">
        <f t="shared" si="177"/>
        <v>75.857142857142776</v>
      </c>
      <c r="AF752" s="103">
        <v>45886</v>
      </c>
      <c r="AG752" s="91">
        <f t="shared" si="178"/>
        <v>30</v>
      </c>
      <c r="AH752" s="103">
        <v>45886</v>
      </c>
      <c r="AI752" s="103">
        <v>45917</v>
      </c>
      <c r="AJ752" s="96">
        <v>180</v>
      </c>
      <c r="AK752" s="91">
        <f t="shared" si="179"/>
        <v>31</v>
      </c>
      <c r="AL752" s="96">
        <f t="shared" si="180"/>
        <v>61</v>
      </c>
      <c r="AM752" s="56"/>
      <c r="AN752" s="53"/>
      <c r="AO752" s="53"/>
    </row>
    <row r="753" spans="1:41" ht="14.5" x14ac:dyDescent="0.25">
      <c r="A753" s="92" t="s">
        <v>1372</v>
      </c>
      <c r="B753" s="53"/>
      <c r="C753" s="160" t="s">
        <v>1367</v>
      </c>
      <c r="D753" s="177" t="s">
        <v>1373</v>
      </c>
      <c r="E753" s="178" t="s">
        <v>97</v>
      </c>
      <c r="F753" s="178" t="s">
        <v>1369</v>
      </c>
      <c r="G753" s="179" t="s">
        <v>161</v>
      </c>
      <c r="H753" s="160">
        <v>320</v>
      </c>
      <c r="I753" s="160" t="s">
        <v>1227</v>
      </c>
      <c r="J753" s="160" t="s">
        <v>503</v>
      </c>
      <c r="K753" s="177" t="s">
        <v>11</v>
      </c>
      <c r="L753" s="93" t="s">
        <v>3024</v>
      </c>
      <c r="M753" s="94" t="s">
        <v>3301</v>
      </c>
      <c r="N753" s="95" t="s">
        <v>2870</v>
      </c>
      <c r="O753" s="166">
        <v>10</v>
      </c>
      <c r="P753" s="153">
        <v>139.374285714286</v>
      </c>
      <c r="Q753" s="122" t="s">
        <v>16</v>
      </c>
      <c r="R753" s="166">
        <v>4</v>
      </c>
      <c r="S753" s="167"/>
      <c r="T753" s="168"/>
      <c r="U753" s="125">
        <f t="shared" si="189"/>
        <v>592.15060820367864</v>
      </c>
      <c r="V753" s="113">
        <f t="shared" si="181"/>
        <v>1.8504706506364959</v>
      </c>
      <c r="W753" s="114">
        <f t="shared" si="182"/>
        <v>0.26435295009092796</v>
      </c>
      <c r="X753" s="167"/>
      <c r="Y753" s="167"/>
      <c r="Z753" s="59"/>
      <c r="AA753" s="103">
        <v>45856</v>
      </c>
      <c r="AB753" s="103">
        <v>45879</v>
      </c>
      <c r="AC753" s="52"/>
      <c r="AD753" s="102">
        <f>IF(ISNA(VLOOKUP(D753,亚马逊入库配置费!B:F,5,0)),0,VLOOKUP(D753,亚马逊入库配置费!B:F,5,0))</f>
        <v>0.34823529411764698</v>
      </c>
      <c r="AE753" s="102">
        <f t="shared" si="177"/>
        <v>111.43529411764703</v>
      </c>
      <c r="AF753" s="103">
        <v>45894</v>
      </c>
      <c r="AG753" s="91">
        <f t="shared" si="178"/>
        <v>38</v>
      </c>
      <c r="AH753" s="103">
        <v>45894</v>
      </c>
      <c r="AI753" s="103">
        <v>45919</v>
      </c>
      <c r="AJ753" s="96">
        <v>324</v>
      </c>
      <c r="AK753" s="91">
        <f t="shared" si="179"/>
        <v>25</v>
      </c>
      <c r="AL753" s="96">
        <f t="shared" si="180"/>
        <v>63</v>
      </c>
      <c r="AM753" s="56"/>
      <c r="AN753" s="53"/>
      <c r="AO753" s="53"/>
    </row>
    <row r="754" spans="1:41" ht="14.5" x14ac:dyDescent="0.25">
      <c r="A754" s="92" t="s">
        <v>1374</v>
      </c>
      <c r="B754" s="53"/>
      <c r="C754" s="160" t="s">
        <v>1367</v>
      </c>
      <c r="D754" s="177" t="s">
        <v>1373</v>
      </c>
      <c r="E754" s="178" t="s">
        <v>97</v>
      </c>
      <c r="F754" s="178" t="s">
        <v>1369</v>
      </c>
      <c r="G754" s="179" t="s">
        <v>163</v>
      </c>
      <c r="H754" s="160">
        <v>1600</v>
      </c>
      <c r="I754" s="160" t="s">
        <v>1227</v>
      </c>
      <c r="J754" s="160" t="s">
        <v>503</v>
      </c>
      <c r="K754" s="177" t="s">
        <v>11</v>
      </c>
      <c r="L754" s="93" t="s">
        <v>2881</v>
      </c>
      <c r="M754" s="94" t="s">
        <v>3302</v>
      </c>
      <c r="N754" s="95" t="s">
        <v>2870</v>
      </c>
      <c r="O754" s="166">
        <v>40</v>
      </c>
      <c r="P754" s="153">
        <v>557.49714285714299</v>
      </c>
      <c r="Q754" s="122" t="s">
        <v>16</v>
      </c>
      <c r="R754" s="166">
        <v>4</v>
      </c>
      <c r="S754" s="167"/>
      <c r="T754" s="168"/>
      <c r="U754" s="125">
        <f t="shared" si="189"/>
        <v>2368.6024328147105</v>
      </c>
      <c r="V754" s="113">
        <f t="shared" si="181"/>
        <v>1.4803765205091941</v>
      </c>
      <c r="W754" s="114">
        <f t="shared" si="182"/>
        <v>0.21148236007274201</v>
      </c>
      <c r="X754" s="167"/>
      <c r="Y754" s="167"/>
      <c r="Z754" s="59" t="s">
        <v>1375</v>
      </c>
      <c r="AA754" s="103">
        <v>45856</v>
      </c>
      <c r="AB754" s="103">
        <v>45879</v>
      </c>
      <c r="AC754" s="52"/>
      <c r="AD754" s="102">
        <f>IF(ISNA(VLOOKUP(D754,亚马逊入库配置费!B:F,5,0)),0,VLOOKUP(D754,亚马逊入库配置费!B:F,5,0))</f>
        <v>0.34823529411764698</v>
      </c>
      <c r="AE754" s="102">
        <f t="shared" si="177"/>
        <v>557.17647058823513</v>
      </c>
      <c r="AF754" s="103">
        <v>45894</v>
      </c>
      <c r="AG754" s="91">
        <f t="shared" si="178"/>
        <v>38</v>
      </c>
      <c r="AH754" s="103">
        <v>45894</v>
      </c>
      <c r="AI754" s="103">
        <v>45919</v>
      </c>
      <c r="AJ754" s="96">
        <v>1599</v>
      </c>
      <c r="AK754" s="91">
        <f t="shared" si="179"/>
        <v>25</v>
      </c>
      <c r="AL754" s="96">
        <f t="shared" si="180"/>
        <v>63</v>
      </c>
      <c r="AM754" s="56"/>
      <c r="AN754" s="53"/>
      <c r="AO754" s="53"/>
    </row>
    <row r="755" spans="1:41" ht="14.5" x14ac:dyDescent="0.25">
      <c r="A755" s="92" t="s">
        <v>1376</v>
      </c>
      <c r="B755" s="53"/>
      <c r="C755" s="160" t="s">
        <v>1367</v>
      </c>
      <c r="D755" s="177" t="s">
        <v>1373</v>
      </c>
      <c r="E755" s="178" t="s">
        <v>97</v>
      </c>
      <c r="F755" s="178" t="s">
        <v>1369</v>
      </c>
      <c r="G755" s="179" t="s">
        <v>853</v>
      </c>
      <c r="H755" s="160">
        <v>200</v>
      </c>
      <c r="I755" s="160" t="s">
        <v>1227</v>
      </c>
      <c r="J755" s="160" t="s">
        <v>503</v>
      </c>
      <c r="K755" s="177" t="s">
        <v>11</v>
      </c>
      <c r="L755" s="93" t="s">
        <v>853</v>
      </c>
      <c r="M755" s="94" t="s">
        <v>3396</v>
      </c>
      <c r="N755" s="95" t="s">
        <v>2870</v>
      </c>
      <c r="O755" s="166">
        <v>5</v>
      </c>
      <c r="P755" s="153">
        <v>69.687142857142902</v>
      </c>
      <c r="Q755" s="122" t="s">
        <v>16</v>
      </c>
      <c r="R755" s="166">
        <v>4</v>
      </c>
      <c r="S755" s="167"/>
      <c r="T755" s="168"/>
      <c r="U755" s="125">
        <f t="shared" si="189"/>
        <v>296.07530410183892</v>
      </c>
      <c r="V755" s="113">
        <f t="shared" si="181"/>
        <v>1.4803765205091945</v>
      </c>
      <c r="W755" s="114">
        <f t="shared" si="182"/>
        <v>0.21148236007274207</v>
      </c>
      <c r="X755" s="167"/>
      <c r="Y755" s="167"/>
      <c r="Z755" s="59"/>
      <c r="AA755" s="103">
        <v>45856</v>
      </c>
      <c r="AB755" s="103">
        <v>45879</v>
      </c>
      <c r="AC755" s="52"/>
      <c r="AD755" s="102">
        <f>IF(ISNA(VLOOKUP(D755,亚马逊入库配置费!B:F,5,0)),0,VLOOKUP(D755,亚马逊入库配置费!B:F,5,0))</f>
        <v>0.34823529411764698</v>
      </c>
      <c r="AE755" s="102">
        <f t="shared" si="177"/>
        <v>69.647058823529392</v>
      </c>
      <c r="AF755" s="103">
        <v>45894</v>
      </c>
      <c r="AG755" s="91">
        <f t="shared" si="178"/>
        <v>38</v>
      </c>
      <c r="AH755" s="103">
        <v>45894</v>
      </c>
      <c r="AI755" s="103">
        <v>45919</v>
      </c>
      <c r="AJ755" s="96">
        <v>197</v>
      </c>
      <c r="AK755" s="91">
        <f t="shared" si="179"/>
        <v>25</v>
      </c>
      <c r="AL755" s="96">
        <f t="shared" si="180"/>
        <v>63</v>
      </c>
      <c r="AM755" s="56"/>
      <c r="AN755" s="53"/>
      <c r="AO755" s="53"/>
    </row>
    <row r="756" spans="1:41" ht="14.5" x14ac:dyDescent="0.25">
      <c r="A756" s="92" t="s">
        <v>1377</v>
      </c>
      <c r="B756" s="53"/>
      <c r="C756" s="160" t="s">
        <v>1367</v>
      </c>
      <c r="D756" s="177" t="s">
        <v>1373</v>
      </c>
      <c r="E756" s="178" t="s">
        <v>97</v>
      </c>
      <c r="F756" s="178" t="s">
        <v>1369</v>
      </c>
      <c r="G756" s="179" t="s">
        <v>350</v>
      </c>
      <c r="H756" s="160">
        <v>360</v>
      </c>
      <c r="I756" s="160" t="s">
        <v>1227</v>
      </c>
      <c r="J756" s="160" t="s">
        <v>503</v>
      </c>
      <c r="K756" s="177" t="s">
        <v>11</v>
      </c>
      <c r="L756" s="93" t="s">
        <v>3048</v>
      </c>
      <c r="M756" s="94" t="s">
        <v>3208</v>
      </c>
      <c r="N756" s="95" t="s">
        <v>2870</v>
      </c>
      <c r="O756" s="166">
        <v>9</v>
      </c>
      <c r="P756" s="153">
        <v>125.43685714285699</v>
      </c>
      <c r="Q756" s="122" t="s">
        <v>16</v>
      </c>
      <c r="R756" s="166">
        <v>4</v>
      </c>
      <c r="S756" s="167"/>
      <c r="T756" s="168"/>
      <c r="U756" s="125">
        <f t="shared" si="189"/>
        <v>532.9355473833092</v>
      </c>
      <c r="V756" s="113">
        <f t="shared" si="181"/>
        <v>1.4803765205091923</v>
      </c>
      <c r="W756" s="114">
        <f t="shared" si="182"/>
        <v>0.21148236007274177</v>
      </c>
      <c r="X756" s="167"/>
      <c r="Y756" s="167"/>
      <c r="Z756" s="59"/>
      <c r="AA756" s="103">
        <v>45856</v>
      </c>
      <c r="AB756" s="103">
        <v>45879</v>
      </c>
      <c r="AC756" s="52"/>
      <c r="AD756" s="102">
        <f>IF(ISNA(VLOOKUP(D756,亚马逊入库配置费!B:F,5,0)),0,VLOOKUP(D756,亚马逊入库配置费!B:F,5,0))</f>
        <v>0.34823529411764698</v>
      </c>
      <c r="AE756" s="102">
        <f t="shared" si="177"/>
        <v>125.36470588235291</v>
      </c>
      <c r="AF756" s="103">
        <v>45894</v>
      </c>
      <c r="AG756" s="91">
        <f t="shared" si="178"/>
        <v>38</v>
      </c>
      <c r="AH756" s="103">
        <v>45894</v>
      </c>
      <c r="AI756" s="103">
        <v>45919</v>
      </c>
      <c r="AJ756" s="96">
        <v>360</v>
      </c>
      <c r="AK756" s="91">
        <f t="shared" si="179"/>
        <v>25</v>
      </c>
      <c r="AL756" s="96">
        <f t="shared" si="180"/>
        <v>63</v>
      </c>
      <c r="AM756" s="56"/>
      <c r="AN756" s="53"/>
      <c r="AO756" s="53"/>
    </row>
    <row r="757" spans="1:41" ht="14.5" x14ac:dyDescent="0.25">
      <c r="A757" s="92" t="s">
        <v>1378</v>
      </c>
      <c r="B757" s="53"/>
      <c r="C757" s="160" t="s">
        <v>1367</v>
      </c>
      <c r="D757" s="177" t="s">
        <v>1373</v>
      </c>
      <c r="E757" s="178" t="s">
        <v>97</v>
      </c>
      <c r="F757" s="178" t="s">
        <v>1369</v>
      </c>
      <c r="G757" s="179" t="s">
        <v>352</v>
      </c>
      <c r="H757" s="160">
        <v>240</v>
      </c>
      <c r="I757" s="160" t="s">
        <v>1227</v>
      </c>
      <c r="J757" s="160" t="s">
        <v>503</v>
      </c>
      <c r="K757" s="177" t="s">
        <v>11</v>
      </c>
      <c r="L757" s="93" t="s">
        <v>3049</v>
      </c>
      <c r="M757" s="94" t="s">
        <v>3336</v>
      </c>
      <c r="N757" s="95" t="s">
        <v>2870</v>
      </c>
      <c r="O757" s="166">
        <v>6</v>
      </c>
      <c r="P757" s="153">
        <v>83.6245714285714</v>
      </c>
      <c r="Q757" s="122" t="s">
        <v>16</v>
      </c>
      <c r="R757" s="166">
        <v>4</v>
      </c>
      <c r="S757" s="167"/>
      <c r="T757" s="168"/>
      <c r="U757" s="125">
        <f t="shared" si="189"/>
        <v>355.29036492220638</v>
      </c>
      <c r="V757" s="113">
        <f t="shared" si="181"/>
        <v>1.4803765205091932</v>
      </c>
      <c r="W757" s="114">
        <f t="shared" si="182"/>
        <v>0.21148236007274188</v>
      </c>
      <c r="X757" s="167"/>
      <c r="Y757" s="167"/>
      <c r="Z757" s="59"/>
      <c r="AA757" s="103">
        <v>45856</v>
      </c>
      <c r="AB757" s="103">
        <v>45879</v>
      </c>
      <c r="AC757" s="52"/>
      <c r="AD757" s="102">
        <f>IF(ISNA(VLOOKUP(D757,亚马逊入库配置费!B:F,5,0)),0,VLOOKUP(D757,亚马逊入库配置费!B:F,5,0))</f>
        <v>0.34823529411764698</v>
      </c>
      <c r="AE757" s="102">
        <f t="shared" si="177"/>
        <v>83.576470588235281</v>
      </c>
      <c r="AF757" s="103">
        <v>45894</v>
      </c>
      <c r="AG757" s="91">
        <f t="shared" si="178"/>
        <v>38</v>
      </c>
      <c r="AH757" s="103">
        <v>45894</v>
      </c>
      <c r="AI757" s="103">
        <v>45919</v>
      </c>
      <c r="AJ757" s="96">
        <v>240</v>
      </c>
      <c r="AK757" s="91">
        <f t="shared" si="179"/>
        <v>25</v>
      </c>
      <c r="AL757" s="96">
        <f t="shared" si="180"/>
        <v>63</v>
      </c>
      <c r="AM757" s="56"/>
      <c r="AN757" s="53"/>
      <c r="AO757" s="53"/>
    </row>
    <row r="758" spans="1:41" ht="14.5" x14ac:dyDescent="0.25">
      <c r="A758" s="92" t="s">
        <v>1379</v>
      </c>
      <c r="B758" s="53"/>
      <c r="C758" s="160" t="s">
        <v>1367</v>
      </c>
      <c r="D758" s="177" t="s">
        <v>1380</v>
      </c>
      <c r="E758" s="178" t="s">
        <v>1037</v>
      </c>
      <c r="F758" s="178" t="s">
        <v>1369</v>
      </c>
      <c r="G758" s="179" t="s">
        <v>1381</v>
      </c>
      <c r="H758" s="160">
        <v>280</v>
      </c>
      <c r="I758" s="160" t="s">
        <v>1227</v>
      </c>
      <c r="J758" s="160" t="s">
        <v>503</v>
      </c>
      <c r="K758" s="177" t="s">
        <v>11</v>
      </c>
      <c r="L758" s="93" t="s">
        <v>3100</v>
      </c>
      <c r="M758" s="94" t="s">
        <v>3444</v>
      </c>
      <c r="N758" s="95" t="s">
        <v>2874</v>
      </c>
      <c r="O758" s="166">
        <v>7</v>
      </c>
      <c r="P758" s="153">
        <v>97.566000000000003</v>
      </c>
      <c r="Q758" s="122" t="s">
        <v>16</v>
      </c>
      <c r="R758" s="166">
        <v>4</v>
      </c>
      <c r="S758" s="167"/>
      <c r="T758" s="168"/>
      <c r="U758" s="125">
        <f t="shared" si="189"/>
        <v>414.52142574257425</v>
      </c>
      <c r="V758" s="113">
        <f t="shared" si="181"/>
        <v>1.4804336633663366</v>
      </c>
      <c r="W758" s="114">
        <f t="shared" si="182"/>
        <v>0.2114905233380481</v>
      </c>
      <c r="X758" s="167"/>
      <c r="Y758" s="167"/>
      <c r="Z758" s="59"/>
      <c r="AA758" s="103">
        <v>45856</v>
      </c>
      <c r="AB758" s="103">
        <v>45879</v>
      </c>
      <c r="AC758" s="52"/>
      <c r="AD758" s="102">
        <f>IF(ISNA(VLOOKUP(D758,亚马逊入库配置费!B:F,5,0)),0,VLOOKUP(D758,亚马逊入库配置费!B:F,5,0))</f>
        <v>0.34</v>
      </c>
      <c r="AE758" s="102">
        <f t="shared" si="177"/>
        <v>95.2</v>
      </c>
      <c r="AF758" s="103">
        <v>45885</v>
      </c>
      <c r="AG758" s="91">
        <f t="shared" si="178"/>
        <v>29</v>
      </c>
      <c r="AH758" s="103">
        <v>45885</v>
      </c>
      <c r="AI758" s="103">
        <v>45916</v>
      </c>
      <c r="AJ758" s="96">
        <v>180</v>
      </c>
      <c r="AK758" s="91">
        <f t="shared" si="179"/>
        <v>31</v>
      </c>
      <c r="AL758" s="96">
        <f t="shared" si="180"/>
        <v>60</v>
      </c>
      <c r="AM758" s="56"/>
      <c r="AN758" s="53"/>
      <c r="AO758" s="53"/>
    </row>
    <row r="759" spans="1:41" ht="14.5" x14ac:dyDescent="0.25">
      <c r="A759" s="92" t="s">
        <v>1382</v>
      </c>
      <c r="B759" s="53"/>
      <c r="C759" s="160" t="s">
        <v>1367</v>
      </c>
      <c r="D759" s="177" t="s">
        <v>1380</v>
      </c>
      <c r="E759" s="178" t="s">
        <v>1037</v>
      </c>
      <c r="F759" s="178" t="s">
        <v>1369</v>
      </c>
      <c r="G759" s="179" t="s">
        <v>1383</v>
      </c>
      <c r="H759" s="160">
        <v>120</v>
      </c>
      <c r="I759" s="160" t="s">
        <v>1227</v>
      </c>
      <c r="J759" s="160" t="s">
        <v>503</v>
      </c>
      <c r="K759" s="177" t="s">
        <v>11</v>
      </c>
      <c r="L759" s="93" t="s">
        <v>3101</v>
      </c>
      <c r="M759" s="94" t="s">
        <v>3445</v>
      </c>
      <c r="N759" s="95" t="s">
        <v>2874</v>
      </c>
      <c r="O759" s="166">
        <v>3</v>
      </c>
      <c r="P759" s="153">
        <v>41.814</v>
      </c>
      <c r="Q759" s="122" t="s">
        <v>16</v>
      </c>
      <c r="R759" s="166">
        <v>4</v>
      </c>
      <c r="S759" s="167"/>
      <c r="T759" s="168"/>
      <c r="U759" s="125">
        <f t="shared" si="189"/>
        <v>177.65203960396039</v>
      </c>
      <c r="V759" s="113">
        <f t="shared" si="181"/>
        <v>1.4804336633663366</v>
      </c>
      <c r="W759" s="114">
        <f t="shared" si="182"/>
        <v>0.2114905233380481</v>
      </c>
      <c r="X759" s="167"/>
      <c r="Y759" s="167"/>
      <c r="Z759" s="59"/>
      <c r="AA759" s="103">
        <v>45856</v>
      </c>
      <c r="AB759" s="103">
        <v>45879</v>
      </c>
      <c r="AC759" s="52"/>
      <c r="AD759" s="102">
        <f>IF(ISNA(VLOOKUP(D759,亚马逊入库配置费!B:F,5,0)),0,VLOOKUP(D759,亚马逊入库配置费!B:F,5,0))</f>
        <v>0.34</v>
      </c>
      <c r="AE759" s="102">
        <f t="shared" si="177"/>
        <v>40.800000000000004</v>
      </c>
      <c r="AF759" s="103">
        <v>45885</v>
      </c>
      <c r="AG759" s="91">
        <f t="shared" si="178"/>
        <v>29</v>
      </c>
      <c r="AH759" s="103">
        <v>45885</v>
      </c>
      <c r="AI759" s="103">
        <v>45916</v>
      </c>
      <c r="AJ759" s="96">
        <v>116</v>
      </c>
      <c r="AK759" s="91">
        <f t="shared" si="179"/>
        <v>31</v>
      </c>
      <c r="AL759" s="96">
        <f t="shared" si="180"/>
        <v>60</v>
      </c>
      <c r="AM759" s="56"/>
      <c r="AN759" s="53"/>
      <c r="AO759" s="53"/>
    </row>
    <row r="760" spans="1:41" ht="14.5" x14ac:dyDescent="0.25">
      <c r="A760" s="92" t="s">
        <v>1384</v>
      </c>
      <c r="B760" s="53"/>
      <c r="C760" s="180" t="s">
        <v>1385</v>
      </c>
      <c r="D760" s="177" t="s">
        <v>1386</v>
      </c>
      <c r="E760" s="178" t="s">
        <v>115</v>
      </c>
      <c r="F760" s="178" t="s">
        <v>1369</v>
      </c>
      <c r="G760" s="179" t="s">
        <v>211</v>
      </c>
      <c r="H760" s="160">
        <v>600</v>
      </c>
      <c r="I760" s="160" t="s">
        <v>1234</v>
      </c>
      <c r="J760" s="126" t="s">
        <v>1387</v>
      </c>
      <c r="K760" s="177" t="s">
        <v>9</v>
      </c>
      <c r="L760" s="93" t="s">
        <v>3034</v>
      </c>
      <c r="M760" s="94" t="s">
        <v>3312</v>
      </c>
      <c r="N760" s="95" t="s">
        <v>2869</v>
      </c>
      <c r="O760" s="171">
        <v>20</v>
      </c>
      <c r="P760" s="153">
        <f>1.07</f>
        <v>1.07</v>
      </c>
      <c r="Q760" s="170" t="s">
        <v>3264</v>
      </c>
      <c r="R760" s="171">
        <v>2340</v>
      </c>
      <c r="S760" s="167"/>
      <c r="T760" s="168"/>
      <c r="U760" s="125">
        <f>R760*P760+220</f>
        <v>2723.8</v>
      </c>
      <c r="V760" s="113">
        <f t="shared" si="181"/>
        <v>4.5396666666666672</v>
      </c>
      <c r="W760" s="114">
        <f t="shared" si="182"/>
        <v>0.64852380952380961</v>
      </c>
      <c r="X760" s="167"/>
      <c r="Y760" s="167"/>
      <c r="Z760" s="59"/>
      <c r="AA760" s="103">
        <v>45856</v>
      </c>
      <c r="AB760" s="103">
        <v>45872</v>
      </c>
      <c r="AC760" s="52"/>
      <c r="AD760" s="102">
        <f>IF(ISNA(VLOOKUP(D760,亚马逊入库配置费!B:F,5,0)),0,VLOOKUP(D760,亚马逊入库配置费!B:F,5,0))</f>
        <v>0.41</v>
      </c>
      <c r="AE760" s="102">
        <f t="shared" si="177"/>
        <v>245.99999999999997</v>
      </c>
      <c r="AF760" s="103">
        <v>45881</v>
      </c>
      <c r="AG760" s="91">
        <f t="shared" si="178"/>
        <v>25</v>
      </c>
      <c r="AH760" s="103">
        <v>45881</v>
      </c>
      <c r="AI760" s="103">
        <v>45912</v>
      </c>
      <c r="AJ760" s="96">
        <v>600</v>
      </c>
      <c r="AK760" s="91">
        <f t="shared" si="179"/>
        <v>31</v>
      </c>
      <c r="AL760" s="96">
        <f t="shared" si="180"/>
        <v>56</v>
      </c>
      <c r="AM760" s="56"/>
      <c r="AN760" s="53"/>
      <c r="AO760" s="53"/>
    </row>
    <row r="761" spans="1:41" ht="14.5" x14ac:dyDescent="0.25">
      <c r="A761" s="92" t="s">
        <v>1388</v>
      </c>
      <c r="B761" s="53"/>
      <c r="C761" s="180" t="s">
        <v>1389</v>
      </c>
      <c r="D761" s="177" t="s">
        <v>1390</v>
      </c>
      <c r="E761" s="178" t="s">
        <v>97</v>
      </c>
      <c r="F761" s="178" t="s">
        <v>1369</v>
      </c>
      <c r="G761" s="179" t="s">
        <v>316</v>
      </c>
      <c r="H761" s="160">
        <v>1350</v>
      </c>
      <c r="I761" s="160" t="s">
        <v>1234</v>
      </c>
      <c r="J761" s="126" t="s">
        <v>503</v>
      </c>
      <c r="K761" s="177" t="s">
        <v>14</v>
      </c>
      <c r="L761" s="93" t="s">
        <v>3046</v>
      </c>
      <c r="M761" s="94" t="s">
        <v>3333</v>
      </c>
      <c r="N761" s="95" t="s">
        <v>3042</v>
      </c>
      <c r="O761" s="171">
        <v>15</v>
      </c>
      <c r="P761" s="153">
        <f>1.03/19*O761</f>
        <v>0.81315789473684208</v>
      </c>
      <c r="Q761" s="170" t="s">
        <v>3264</v>
      </c>
      <c r="R761" s="171">
        <v>1720</v>
      </c>
      <c r="S761" s="167"/>
      <c r="T761" s="168"/>
      <c r="U761" s="125">
        <f>R761*P761</f>
        <v>1398.6315789473683</v>
      </c>
      <c r="V761" s="113">
        <f t="shared" si="181"/>
        <v>1.0360233918128654</v>
      </c>
      <c r="W761" s="114">
        <f t="shared" si="182"/>
        <v>0.14800334168755219</v>
      </c>
      <c r="X761" s="167"/>
      <c r="Y761" s="167"/>
      <c r="Z761" s="59"/>
      <c r="AA761" s="103">
        <v>45856</v>
      </c>
      <c r="AB761" s="103">
        <v>45876</v>
      </c>
      <c r="AC761" s="52"/>
      <c r="AD761" s="102">
        <f>IF(ISNA(VLOOKUP(D761,亚马逊入库配置费!B:F,5,0)),0,VLOOKUP(D761,亚马逊入库配置费!B:F,5,0))</f>
        <v>0.34</v>
      </c>
      <c r="AE761" s="102">
        <f t="shared" si="177"/>
        <v>459.00000000000006</v>
      </c>
      <c r="AF761" s="103">
        <v>45898</v>
      </c>
      <c r="AG761" s="91">
        <f t="shared" si="178"/>
        <v>42</v>
      </c>
      <c r="AH761" s="103">
        <v>45898</v>
      </c>
      <c r="AI761" s="103">
        <v>45928</v>
      </c>
      <c r="AJ761" s="96">
        <v>1350</v>
      </c>
      <c r="AK761" s="91">
        <f t="shared" si="179"/>
        <v>30</v>
      </c>
      <c r="AL761" s="96">
        <f t="shared" si="180"/>
        <v>72</v>
      </c>
      <c r="AM761" s="56"/>
      <c r="AN761" s="53"/>
      <c r="AO761" s="53"/>
    </row>
    <row r="762" spans="1:41" ht="14.5" x14ac:dyDescent="0.25">
      <c r="A762" s="92" t="s">
        <v>1391</v>
      </c>
      <c r="B762" s="53"/>
      <c r="C762" s="180" t="s">
        <v>1389</v>
      </c>
      <c r="D762" s="177" t="s">
        <v>1390</v>
      </c>
      <c r="E762" s="178" t="s">
        <v>97</v>
      </c>
      <c r="F762" s="178" t="s">
        <v>1369</v>
      </c>
      <c r="G762" s="179" t="s">
        <v>526</v>
      </c>
      <c r="H762" s="160">
        <v>360</v>
      </c>
      <c r="I762" s="160" t="s">
        <v>1234</v>
      </c>
      <c r="J762" s="126" t="s">
        <v>503</v>
      </c>
      <c r="K762" s="177" t="s">
        <v>14</v>
      </c>
      <c r="L762" s="93" t="s">
        <v>3069</v>
      </c>
      <c r="M762" s="94" t="s">
        <v>3367</v>
      </c>
      <c r="N762" s="95" t="s">
        <v>3042</v>
      </c>
      <c r="O762" s="171">
        <v>4</v>
      </c>
      <c r="P762" s="153">
        <f>1.03/19*O762</f>
        <v>0.21684210526315789</v>
      </c>
      <c r="Q762" s="170" t="s">
        <v>3264</v>
      </c>
      <c r="R762" s="171">
        <v>1720</v>
      </c>
      <c r="S762" s="167"/>
      <c r="T762" s="168"/>
      <c r="U762" s="125">
        <f>R762*P762</f>
        <v>372.96842105263158</v>
      </c>
      <c r="V762" s="113">
        <f t="shared" si="181"/>
        <v>1.0360233918128654</v>
      </c>
      <c r="W762" s="114">
        <f t="shared" si="182"/>
        <v>0.14800334168755219</v>
      </c>
      <c r="X762" s="167"/>
      <c r="Y762" s="167"/>
      <c r="Z762" s="59"/>
      <c r="AA762" s="103">
        <v>45856</v>
      </c>
      <c r="AB762" s="103">
        <v>45876</v>
      </c>
      <c r="AC762" s="52"/>
      <c r="AD762" s="102">
        <f>IF(ISNA(VLOOKUP(D762,亚马逊入库配置费!B:F,5,0)),0,VLOOKUP(D762,亚马逊入库配置费!B:F,5,0))</f>
        <v>0.34</v>
      </c>
      <c r="AE762" s="102">
        <f t="shared" si="177"/>
        <v>122.4</v>
      </c>
      <c r="AF762" s="103">
        <v>45898</v>
      </c>
      <c r="AG762" s="91">
        <f t="shared" si="178"/>
        <v>42</v>
      </c>
      <c r="AH762" s="103">
        <v>45898</v>
      </c>
      <c r="AI762" s="103">
        <v>45928</v>
      </c>
      <c r="AJ762" s="96">
        <v>360</v>
      </c>
      <c r="AK762" s="91">
        <f t="shared" si="179"/>
        <v>30</v>
      </c>
      <c r="AL762" s="96">
        <f t="shared" si="180"/>
        <v>72</v>
      </c>
      <c r="AM762" s="56"/>
      <c r="AN762" s="53"/>
      <c r="AO762" s="53"/>
    </row>
    <row r="763" spans="1:41" ht="14.5" x14ac:dyDescent="0.25">
      <c r="A763" s="92" t="s">
        <v>1392</v>
      </c>
      <c r="B763" s="53"/>
      <c r="C763" s="180" t="s">
        <v>1393</v>
      </c>
      <c r="D763" s="177" t="s">
        <v>1394</v>
      </c>
      <c r="E763" s="178" t="s">
        <v>287</v>
      </c>
      <c r="F763" s="178" t="s">
        <v>1369</v>
      </c>
      <c r="G763" s="179" t="s">
        <v>884</v>
      </c>
      <c r="H763" s="160">
        <v>208</v>
      </c>
      <c r="I763" s="160" t="s">
        <v>1234</v>
      </c>
      <c r="J763" s="126" t="s">
        <v>503</v>
      </c>
      <c r="K763" s="177" t="s">
        <v>13</v>
      </c>
      <c r="L763" s="93" t="s">
        <v>3084</v>
      </c>
      <c r="M763" s="94" t="s">
        <v>3402</v>
      </c>
      <c r="N763" s="95" t="s">
        <v>51</v>
      </c>
      <c r="O763" s="171">
        <v>13</v>
      </c>
      <c r="P763" s="153">
        <v>1</v>
      </c>
      <c r="Q763" s="170" t="s">
        <v>3264</v>
      </c>
      <c r="R763" s="171">
        <v>1120</v>
      </c>
      <c r="S763" s="167"/>
      <c r="T763" s="168"/>
      <c r="U763" s="125">
        <f>R763*P763+220/13*O763</f>
        <v>1340</v>
      </c>
      <c r="V763" s="113">
        <f t="shared" si="181"/>
        <v>6.4423076923076925</v>
      </c>
      <c r="W763" s="114">
        <f t="shared" si="182"/>
        <v>0.92032967032967039</v>
      </c>
      <c r="X763" s="167"/>
      <c r="Y763" s="167"/>
      <c r="Z763" s="59"/>
      <c r="AA763" s="103">
        <v>45856</v>
      </c>
      <c r="AB763" s="103">
        <v>45879</v>
      </c>
      <c r="AC763" s="52"/>
      <c r="AD763" s="102">
        <f>IF(ISNA(VLOOKUP(D763,亚马逊入库配置费!B:F,5,0)),0,VLOOKUP(D763,亚马逊入库配置费!B:F,5,0))</f>
        <v>0.49</v>
      </c>
      <c r="AE763" s="102">
        <f t="shared" si="177"/>
        <v>101.92</v>
      </c>
      <c r="AF763" s="103">
        <v>45894</v>
      </c>
      <c r="AG763" s="91">
        <f t="shared" si="178"/>
        <v>38</v>
      </c>
      <c r="AH763" s="103">
        <v>45894</v>
      </c>
      <c r="AI763" s="103">
        <v>45924</v>
      </c>
      <c r="AJ763" s="96">
        <v>206</v>
      </c>
      <c r="AK763" s="91">
        <f t="shared" si="179"/>
        <v>30</v>
      </c>
      <c r="AL763" s="96">
        <f t="shared" si="180"/>
        <v>68</v>
      </c>
      <c r="AM763" s="56"/>
      <c r="AN763" s="53"/>
      <c r="AO763" s="53"/>
    </row>
    <row r="764" spans="1:41" ht="14.5" x14ac:dyDescent="0.25">
      <c r="A764" s="92" t="s">
        <v>1395</v>
      </c>
      <c r="B764" s="53"/>
      <c r="C764" s="180" t="s">
        <v>1396</v>
      </c>
      <c r="D764" s="177" t="s">
        <v>1397</v>
      </c>
      <c r="E764" s="178" t="s">
        <v>287</v>
      </c>
      <c r="F764" s="178" t="s">
        <v>1369</v>
      </c>
      <c r="G764" s="179" t="s">
        <v>884</v>
      </c>
      <c r="H764" s="160">
        <v>288</v>
      </c>
      <c r="I764" s="160" t="s">
        <v>1234</v>
      </c>
      <c r="J764" s="126" t="s">
        <v>1387</v>
      </c>
      <c r="K764" s="177" t="s">
        <v>10</v>
      </c>
      <c r="L764" s="93" t="s">
        <v>3084</v>
      </c>
      <c r="M764" s="94" t="s">
        <v>3402</v>
      </c>
      <c r="N764" s="95" t="s">
        <v>51</v>
      </c>
      <c r="O764" s="171">
        <v>18</v>
      </c>
      <c r="P764" s="153">
        <v>1.18</v>
      </c>
      <c r="Q764" s="170" t="s">
        <v>3264</v>
      </c>
      <c r="R764" s="171">
        <v>2140</v>
      </c>
      <c r="S764" s="167"/>
      <c r="T764" s="168"/>
      <c r="U764" s="125">
        <f>R764*P764+220/18*O764</f>
        <v>2745.2</v>
      </c>
      <c r="V764" s="113">
        <f t="shared" si="181"/>
        <v>9.5319444444444432</v>
      </c>
      <c r="W764" s="114">
        <f t="shared" si="182"/>
        <v>1.361706349206349</v>
      </c>
      <c r="X764" s="167"/>
      <c r="Y764" s="167"/>
      <c r="Z764" s="59"/>
      <c r="AA764" s="103">
        <v>45856</v>
      </c>
      <c r="AB764" s="103">
        <v>45872</v>
      </c>
      <c r="AC764" s="52"/>
      <c r="AD764" s="102">
        <f>IF(ISNA(VLOOKUP(D764,亚马逊入库配置费!B:F,5,0)),0,VLOOKUP(D764,亚马逊入库配置费!B:F,5,0))</f>
        <v>0.49</v>
      </c>
      <c r="AE764" s="102">
        <f t="shared" si="177"/>
        <v>141.12</v>
      </c>
      <c r="AF764" s="103">
        <v>45878</v>
      </c>
      <c r="AG764" s="91">
        <f t="shared" si="178"/>
        <v>22</v>
      </c>
      <c r="AH764" s="103">
        <v>45878</v>
      </c>
      <c r="AI764" s="103">
        <v>45912</v>
      </c>
      <c r="AJ764" s="96">
        <v>288</v>
      </c>
      <c r="AK764" s="91">
        <f t="shared" si="179"/>
        <v>34</v>
      </c>
      <c r="AL764" s="96">
        <f t="shared" si="180"/>
        <v>56</v>
      </c>
      <c r="AM764" s="56"/>
      <c r="AN764" s="53"/>
      <c r="AO764" s="53"/>
    </row>
    <row r="765" spans="1:41" ht="14.5" x14ac:dyDescent="0.25">
      <c r="A765" s="92" t="s">
        <v>1398</v>
      </c>
      <c r="B765" s="91"/>
      <c r="C765" s="180" t="s">
        <v>1399</v>
      </c>
      <c r="D765" s="177" t="s">
        <v>1400</v>
      </c>
      <c r="E765" s="178" t="s">
        <v>115</v>
      </c>
      <c r="F765" s="178" t="s">
        <v>1369</v>
      </c>
      <c r="G765" s="179" t="s">
        <v>211</v>
      </c>
      <c r="H765" s="160">
        <v>1590</v>
      </c>
      <c r="I765" s="160" t="s">
        <v>502</v>
      </c>
      <c r="J765" s="126" t="s">
        <v>503</v>
      </c>
      <c r="K765" s="177" t="s">
        <v>9</v>
      </c>
      <c r="L765" s="93" t="s">
        <v>3034</v>
      </c>
      <c r="M765" s="94" t="s">
        <v>3312</v>
      </c>
      <c r="N765" s="95" t="s">
        <v>2869</v>
      </c>
      <c r="O765" s="171">
        <v>53</v>
      </c>
      <c r="P765" s="153">
        <f>1009/77*O765</f>
        <v>694.50649350649348</v>
      </c>
      <c r="Q765" s="165" t="s">
        <v>16</v>
      </c>
      <c r="R765" s="171">
        <v>4</v>
      </c>
      <c r="S765" s="167"/>
      <c r="T765" s="168"/>
      <c r="U765" s="125">
        <f t="shared" ref="U765:U773" si="190">R765*P765+350/440*O765</f>
        <v>2820.1850649350649</v>
      </c>
      <c r="V765" s="113">
        <f t="shared" si="181"/>
        <v>1.7737012987012988</v>
      </c>
      <c r="W765" s="114">
        <f t="shared" si="182"/>
        <v>0.25338589981447124</v>
      </c>
      <c r="X765" s="167"/>
      <c r="Y765" s="167"/>
      <c r="Z765" s="102"/>
      <c r="AA765" s="103">
        <v>45863</v>
      </c>
      <c r="AB765" s="103">
        <v>45887</v>
      </c>
      <c r="AC765" s="103"/>
      <c r="AD765" s="102">
        <f>IF(ISNA(VLOOKUP(D765,亚马逊入库配置费!B:F,5,0)),0,VLOOKUP(D765,亚马逊入库配置费!B:F,5,0))</f>
        <v>0.41</v>
      </c>
      <c r="AE765" s="102">
        <f t="shared" si="177"/>
        <v>651.9</v>
      </c>
      <c r="AF765" s="103">
        <v>45899</v>
      </c>
      <c r="AG765" s="91">
        <f t="shared" si="178"/>
        <v>36</v>
      </c>
      <c r="AH765" s="103">
        <v>45899</v>
      </c>
      <c r="AI765" s="103">
        <v>45934</v>
      </c>
      <c r="AJ765" s="96">
        <v>1589</v>
      </c>
      <c r="AK765" s="91">
        <f t="shared" si="179"/>
        <v>35</v>
      </c>
      <c r="AL765" s="96">
        <f t="shared" si="180"/>
        <v>71</v>
      </c>
      <c r="AM765" s="92"/>
      <c r="AN765" s="91"/>
      <c r="AO765" s="91"/>
    </row>
    <row r="766" spans="1:41" ht="14.5" x14ac:dyDescent="0.25">
      <c r="A766" s="92" t="s">
        <v>1401</v>
      </c>
      <c r="B766" s="91"/>
      <c r="C766" s="180" t="s">
        <v>1399</v>
      </c>
      <c r="D766" s="177" t="s">
        <v>1400</v>
      </c>
      <c r="E766" s="178" t="s">
        <v>115</v>
      </c>
      <c r="F766" s="178" t="s">
        <v>1369</v>
      </c>
      <c r="G766" s="179" t="s">
        <v>864</v>
      </c>
      <c r="H766" s="160">
        <v>420</v>
      </c>
      <c r="I766" s="160" t="s">
        <v>502</v>
      </c>
      <c r="J766" s="126" t="s">
        <v>503</v>
      </c>
      <c r="K766" s="177" t="s">
        <v>9</v>
      </c>
      <c r="L766" s="93" t="s">
        <v>864</v>
      </c>
      <c r="M766" s="94" t="s">
        <v>3397</v>
      </c>
      <c r="N766" s="95" t="s">
        <v>2869</v>
      </c>
      <c r="O766" s="171">
        <v>14</v>
      </c>
      <c r="P766" s="153">
        <f>1009/77*O766</f>
        <v>183.45454545454544</v>
      </c>
      <c r="Q766" s="165" t="s">
        <v>16</v>
      </c>
      <c r="R766" s="171">
        <v>4</v>
      </c>
      <c r="S766" s="167"/>
      <c r="T766" s="168"/>
      <c r="U766" s="125">
        <f t="shared" si="190"/>
        <v>744.95454545454538</v>
      </c>
      <c r="V766" s="113">
        <f t="shared" si="181"/>
        <v>1.7737012987012986</v>
      </c>
      <c r="W766" s="114">
        <f t="shared" si="182"/>
        <v>0.25338589981447124</v>
      </c>
      <c r="X766" s="167"/>
      <c r="Y766" s="167"/>
      <c r="Z766" s="102"/>
      <c r="AA766" s="103">
        <v>45863</v>
      </c>
      <c r="AB766" s="103">
        <v>45887</v>
      </c>
      <c r="AC766" s="103"/>
      <c r="AD766" s="102">
        <f>IF(ISNA(VLOOKUP(D766,亚马逊入库配置费!B:F,5,0)),0,VLOOKUP(D766,亚马逊入库配置费!B:F,5,0))</f>
        <v>0.41</v>
      </c>
      <c r="AE766" s="102">
        <f t="shared" si="177"/>
        <v>172.2</v>
      </c>
      <c r="AF766" s="103">
        <v>45899</v>
      </c>
      <c r="AG766" s="91">
        <f t="shared" si="178"/>
        <v>36</v>
      </c>
      <c r="AH766" s="103">
        <v>45899</v>
      </c>
      <c r="AI766" s="103">
        <v>45934</v>
      </c>
      <c r="AJ766" s="96">
        <v>419</v>
      </c>
      <c r="AK766" s="91">
        <f t="shared" si="179"/>
        <v>35</v>
      </c>
      <c r="AL766" s="96">
        <f t="shared" si="180"/>
        <v>71</v>
      </c>
      <c r="AM766" s="92"/>
      <c r="AN766" s="91"/>
      <c r="AO766" s="91"/>
    </row>
    <row r="767" spans="1:41" ht="14.5" x14ac:dyDescent="0.25">
      <c r="A767" s="92" t="s">
        <v>1402</v>
      </c>
      <c r="B767" s="91"/>
      <c r="C767" s="180" t="s">
        <v>1399</v>
      </c>
      <c r="D767" s="177" t="s">
        <v>1400</v>
      </c>
      <c r="E767" s="178" t="s">
        <v>115</v>
      </c>
      <c r="F767" s="178" t="s">
        <v>1369</v>
      </c>
      <c r="G767" s="179" t="s">
        <v>606</v>
      </c>
      <c r="H767" s="160">
        <v>300</v>
      </c>
      <c r="I767" s="160" t="s">
        <v>502</v>
      </c>
      <c r="J767" s="126" t="s">
        <v>503</v>
      </c>
      <c r="K767" s="177" t="s">
        <v>9</v>
      </c>
      <c r="L767" s="93" t="s">
        <v>3075</v>
      </c>
      <c r="M767" s="94" t="s">
        <v>3376</v>
      </c>
      <c r="N767" s="95" t="s">
        <v>2869</v>
      </c>
      <c r="O767" s="171">
        <v>10</v>
      </c>
      <c r="P767" s="153">
        <f>1009/77*O767</f>
        <v>131.03896103896102</v>
      </c>
      <c r="Q767" s="165" t="s">
        <v>16</v>
      </c>
      <c r="R767" s="171">
        <v>4</v>
      </c>
      <c r="S767" s="167"/>
      <c r="T767" s="168"/>
      <c r="U767" s="125">
        <f t="shared" si="190"/>
        <v>532.11038961038957</v>
      </c>
      <c r="V767" s="113">
        <f t="shared" si="181"/>
        <v>1.7737012987012986</v>
      </c>
      <c r="W767" s="114">
        <f t="shared" si="182"/>
        <v>0.25338589981447124</v>
      </c>
      <c r="X767" s="167"/>
      <c r="Y767" s="167"/>
      <c r="Z767" s="102"/>
      <c r="AA767" s="103">
        <v>45863</v>
      </c>
      <c r="AB767" s="103">
        <v>45887</v>
      </c>
      <c r="AC767" s="103"/>
      <c r="AD767" s="102">
        <f>IF(ISNA(VLOOKUP(D767,亚马逊入库配置费!B:F,5,0)),0,VLOOKUP(D767,亚马逊入库配置费!B:F,5,0))</f>
        <v>0.41</v>
      </c>
      <c r="AE767" s="102">
        <f t="shared" si="177"/>
        <v>122.99999999999999</v>
      </c>
      <c r="AF767" s="103">
        <v>45899</v>
      </c>
      <c r="AG767" s="91">
        <f t="shared" si="178"/>
        <v>36</v>
      </c>
      <c r="AH767" s="103">
        <v>45899</v>
      </c>
      <c r="AI767" s="103">
        <v>45934</v>
      </c>
      <c r="AJ767" s="96">
        <v>300</v>
      </c>
      <c r="AK767" s="91">
        <f t="shared" si="179"/>
        <v>35</v>
      </c>
      <c r="AL767" s="96">
        <f t="shared" si="180"/>
        <v>71</v>
      </c>
      <c r="AM767" s="92"/>
      <c r="AN767" s="91"/>
      <c r="AO767" s="91"/>
    </row>
    <row r="768" spans="1:41" ht="14.5" x14ac:dyDescent="0.25">
      <c r="A768" s="92" t="s">
        <v>1403</v>
      </c>
      <c r="B768" s="91"/>
      <c r="C768" s="180" t="s">
        <v>1399</v>
      </c>
      <c r="D768" s="177" t="s">
        <v>1404</v>
      </c>
      <c r="E768" s="178" t="s">
        <v>97</v>
      </c>
      <c r="F768" s="178" t="s">
        <v>1369</v>
      </c>
      <c r="G768" s="179" t="s">
        <v>163</v>
      </c>
      <c r="H768" s="160">
        <v>1600</v>
      </c>
      <c r="I768" s="160" t="s">
        <v>502</v>
      </c>
      <c r="J768" s="126" t="s">
        <v>503</v>
      </c>
      <c r="K768" s="177" t="s">
        <v>14</v>
      </c>
      <c r="L768" s="93" t="s">
        <v>2881</v>
      </c>
      <c r="M768" s="94" t="s">
        <v>3302</v>
      </c>
      <c r="N768" s="95" t="s">
        <v>2870</v>
      </c>
      <c r="O768" s="171">
        <v>40</v>
      </c>
      <c r="P768" s="153">
        <f t="shared" ref="P768:P773" si="191">1209/89*O768</f>
        <v>543.37078651685397</v>
      </c>
      <c r="Q768" s="165" t="s">
        <v>16</v>
      </c>
      <c r="R768" s="171">
        <v>5</v>
      </c>
      <c r="S768" s="167"/>
      <c r="T768" s="168"/>
      <c r="U768" s="125">
        <f t="shared" si="190"/>
        <v>2748.6721144024518</v>
      </c>
      <c r="V768" s="113">
        <f t="shared" si="181"/>
        <v>1.7179200715015324</v>
      </c>
      <c r="W768" s="114">
        <f t="shared" si="182"/>
        <v>0.24541715307164749</v>
      </c>
      <c r="X768" s="167"/>
      <c r="Y768" s="167"/>
      <c r="Z768" s="102"/>
      <c r="AA768" s="103">
        <v>45863</v>
      </c>
      <c r="AB768" s="103">
        <v>45887</v>
      </c>
      <c r="AC768" s="103"/>
      <c r="AD768" s="102">
        <f>IF(ISNA(VLOOKUP(D768,亚马逊入库配置费!B:F,5,0)),0,VLOOKUP(D768,亚马逊入库配置费!B:F,5,0))</f>
        <v>0.36058823529411799</v>
      </c>
      <c r="AE768" s="102">
        <f t="shared" si="177"/>
        <v>576.94117647058874</v>
      </c>
      <c r="AF768" s="103">
        <v>45898</v>
      </c>
      <c r="AG768" s="91">
        <f t="shared" si="178"/>
        <v>35</v>
      </c>
      <c r="AH768" s="103">
        <v>45898</v>
      </c>
      <c r="AI768" s="103">
        <v>45933</v>
      </c>
      <c r="AJ768" s="96">
        <v>1518</v>
      </c>
      <c r="AK768" s="91">
        <f t="shared" si="179"/>
        <v>35</v>
      </c>
      <c r="AL768" s="96">
        <f t="shared" si="180"/>
        <v>70</v>
      </c>
      <c r="AM768" s="92"/>
      <c r="AN768" s="91"/>
      <c r="AO768" s="91"/>
    </row>
    <row r="769" spans="1:41" ht="14.5" x14ac:dyDescent="0.25">
      <c r="A769" s="92" t="s">
        <v>1405</v>
      </c>
      <c r="B769" s="91"/>
      <c r="C769" s="180" t="s">
        <v>1399</v>
      </c>
      <c r="D769" s="177" t="s">
        <v>1404</v>
      </c>
      <c r="E769" s="178" t="s">
        <v>97</v>
      </c>
      <c r="F769" s="178" t="s">
        <v>1369</v>
      </c>
      <c r="G769" s="179" t="s">
        <v>231</v>
      </c>
      <c r="H769" s="160">
        <v>300</v>
      </c>
      <c r="I769" s="160" t="s">
        <v>502</v>
      </c>
      <c r="J769" s="126" t="s">
        <v>503</v>
      </c>
      <c r="K769" s="177" t="s">
        <v>14</v>
      </c>
      <c r="L769" s="93" t="s">
        <v>3037</v>
      </c>
      <c r="M769" s="94" t="s">
        <v>3207</v>
      </c>
      <c r="N769" s="95" t="s">
        <v>2870</v>
      </c>
      <c r="O769" s="171">
        <v>15</v>
      </c>
      <c r="P769" s="153">
        <f t="shared" si="191"/>
        <v>203.76404494382024</v>
      </c>
      <c r="Q769" s="165" t="s">
        <v>16</v>
      </c>
      <c r="R769" s="171">
        <v>5</v>
      </c>
      <c r="S769" s="167"/>
      <c r="T769" s="168"/>
      <c r="U769" s="125">
        <f t="shared" si="190"/>
        <v>1030.7520429009194</v>
      </c>
      <c r="V769" s="113">
        <f t="shared" si="181"/>
        <v>3.4358401430030647</v>
      </c>
      <c r="W769" s="114">
        <f t="shared" si="182"/>
        <v>0.49083430614329498</v>
      </c>
      <c r="X769" s="167"/>
      <c r="Y769" s="167"/>
      <c r="Z769" s="102"/>
      <c r="AA769" s="103">
        <v>45863</v>
      </c>
      <c r="AB769" s="103">
        <v>45887</v>
      </c>
      <c r="AC769" s="103"/>
      <c r="AD769" s="102">
        <f>IF(ISNA(VLOOKUP(D769,亚马逊入库配置费!B:F,5,0)),0,VLOOKUP(D769,亚马逊入库配置费!B:F,5,0))</f>
        <v>0.36058823529411799</v>
      </c>
      <c r="AE769" s="102">
        <f t="shared" si="177"/>
        <v>108.17647058823539</v>
      </c>
      <c r="AF769" s="103">
        <v>45898</v>
      </c>
      <c r="AG769" s="91">
        <f t="shared" si="178"/>
        <v>35</v>
      </c>
      <c r="AH769" s="103">
        <v>45898</v>
      </c>
      <c r="AI769" s="103">
        <v>45933</v>
      </c>
      <c r="AJ769" s="96">
        <v>301</v>
      </c>
      <c r="AK769" s="91">
        <f t="shared" si="179"/>
        <v>35</v>
      </c>
      <c r="AL769" s="96">
        <f t="shared" si="180"/>
        <v>70</v>
      </c>
      <c r="AM769" s="92"/>
      <c r="AN769" s="91"/>
      <c r="AO769" s="91"/>
    </row>
    <row r="770" spans="1:41" ht="14.5" x14ac:dyDescent="0.25">
      <c r="A770" s="92" t="s">
        <v>1406</v>
      </c>
      <c r="B770" s="91"/>
      <c r="C770" s="180" t="s">
        <v>1399</v>
      </c>
      <c r="D770" s="177" t="s">
        <v>1404</v>
      </c>
      <c r="E770" s="178" t="s">
        <v>97</v>
      </c>
      <c r="F770" s="178" t="s">
        <v>1369</v>
      </c>
      <c r="G770" s="179" t="s">
        <v>876</v>
      </c>
      <c r="H770" s="160">
        <v>200</v>
      </c>
      <c r="I770" s="160" t="s">
        <v>502</v>
      </c>
      <c r="J770" s="126" t="s">
        <v>503</v>
      </c>
      <c r="K770" s="177" t="s">
        <v>14</v>
      </c>
      <c r="L770" s="93" t="s">
        <v>876</v>
      </c>
      <c r="M770" s="94" t="s">
        <v>3400</v>
      </c>
      <c r="N770" s="95" t="s">
        <v>2870</v>
      </c>
      <c r="O770" s="171">
        <v>5</v>
      </c>
      <c r="P770" s="153">
        <f t="shared" si="191"/>
        <v>67.921348314606746</v>
      </c>
      <c r="Q770" s="165" t="s">
        <v>16</v>
      </c>
      <c r="R770" s="171">
        <v>5</v>
      </c>
      <c r="S770" s="167"/>
      <c r="T770" s="168"/>
      <c r="U770" s="125">
        <f t="shared" si="190"/>
        <v>343.58401430030648</v>
      </c>
      <c r="V770" s="113">
        <f t="shared" si="181"/>
        <v>1.7179200715015324</v>
      </c>
      <c r="W770" s="114">
        <f t="shared" si="182"/>
        <v>0.24541715307164749</v>
      </c>
      <c r="X770" s="167"/>
      <c r="Y770" s="167"/>
      <c r="Z770" s="102"/>
      <c r="AA770" s="103">
        <v>45863</v>
      </c>
      <c r="AB770" s="103">
        <v>45887</v>
      </c>
      <c r="AC770" s="103"/>
      <c r="AD770" s="102">
        <f>IF(ISNA(VLOOKUP(D770,亚马逊入库配置费!B:F,5,0)),0,VLOOKUP(D770,亚马逊入库配置费!B:F,5,0))</f>
        <v>0.36058823529411799</v>
      </c>
      <c r="AE770" s="102">
        <f t="shared" ref="AE770:AE833" si="192">H770*AD770</f>
        <v>72.117647058823593</v>
      </c>
      <c r="AF770" s="103">
        <v>45898</v>
      </c>
      <c r="AG770" s="91">
        <f t="shared" ref="AG770:AG833" si="193">AF770-AA770</f>
        <v>35</v>
      </c>
      <c r="AH770" s="103">
        <v>45898</v>
      </c>
      <c r="AI770" s="103">
        <v>45933</v>
      </c>
      <c r="AJ770" s="96">
        <v>200</v>
      </c>
      <c r="AK770" s="91">
        <f t="shared" ref="AK770:AK833" si="194">AI770-AH770</f>
        <v>35</v>
      </c>
      <c r="AL770" s="96">
        <f t="shared" si="180"/>
        <v>70</v>
      </c>
      <c r="AM770" s="92"/>
      <c r="AN770" s="91"/>
      <c r="AO770" s="91"/>
    </row>
    <row r="771" spans="1:41" ht="14.5" x14ac:dyDescent="0.25">
      <c r="A771" s="92" t="s">
        <v>1407</v>
      </c>
      <c r="B771" s="91"/>
      <c r="C771" s="180" t="s">
        <v>1399</v>
      </c>
      <c r="D771" s="177" t="s">
        <v>1404</v>
      </c>
      <c r="E771" s="178" t="s">
        <v>97</v>
      </c>
      <c r="F771" s="178" t="s">
        <v>1369</v>
      </c>
      <c r="G771" s="179" t="s">
        <v>165</v>
      </c>
      <c r="H771" s="160">
        <v>200</v>
      </c>
      <c r="I771" s="160" t="s">
        <v>502</v>
      </c>
      <c r="J771" s="126" t="s">
        <v>503</v>
      </c>
      <c r="K771" s="177" t="s">
        <v>14</v>
      </c>
      <c r="L771" s="93" t="s">
        <v>2880</v>
      </c>
      <c r="M771" s="94" t="s">
        <v>3209</v>
      </c>
      <c r="N771" s="95" t="s">
        <v>2870</v>
      </c>
      <c r="O771" s="171">
        <v>5</v>
      </c>
      <c r="P771" s="153">
        <f t="shared" si="191"/>
        <v>67.921348314606746</v>
      </c>
      <c r="Q771" s="165" t="s">
        <v>16</v>
      </c>
      <c r="R771" s="171">
        <v>5</v>
      </c>
      <c r="S771" s="167"/>
      <c r="T771" s="168"/>
      <c r="U771" s="125">
        <f t="shared" si="190"/>
        <v>343.58401430030648</v>
      </c>
      <c r="V771" s="113">
        <f t="shared" si="181"/>
        <v>1.7179200715015324</v>
      </c>
      <c r="W771" s="114">
        <f t="shared" si="182"/>
        <v>0.24541715307164749</v>
      </c>
      <c r="X771" s="167"/>
      <c r="Y771" s="167"/>
      <c r="Z771" s="102"/>
      <c r="AA771" s="103">
        <v>45863</v>
      </c>
      <c r="AB771" s="103">
        <v>45887</v>
      </c>
      <c r="AC771" s="103"/>
      <c r="AD771" s="102">
        <f>IF(ISNA(VLOOKUP(D771,亚马逊入库配置费!B:F,5,0)),0,VLOOKUP(D771,亚马逊入库配置费!B:F,5,0))</f>
        <v>0.36058823529411799</v>
      </c>
      <c r="AE771" s="102">
        <f t="shared" si="192"/>
        <v>72.117647058823593</v>
      </c>
      <c r="AF771" s="103">
        <v>45898</v>
      </c>
      <c r="AG771" s="91">
        <f t="shared" si="193"/>
        <v>35</v>
      </c>
      <c r="AH771" s="103">
        <v>45898</v>
      </c>
      <c r="AI771" s="103">
        <v>45933</v>
      </c>
      <c r="AJ771" s="96">
        <v>161</v>
      </c>
      <c r="AK771" s="91">
        <f t="shared" si="194"/>
        <v>35</v>
      </c>
      <c r="AL771" s="96">
        <f t="shared" si="180"/>
        <v>70</v>
      </c>
      <c r="AM771" s="92"/>
      <c r="AN771" s="91"/>
      <c r="AO771" s="91"/>
    </row>
    <row r="772" spans="1:41" ht="14.5" x14ac:dyDescent="0.25">
      <c r="A772" s="92" t="s">
        <v>1408</v>
      </c>
      <c r="B772" s="91"/>
      <c r="C772" s="180" t="s">
        <v>1399</v>
      </c>
      <c r="D772" s="177" t="s">
        <v>1404</v>
      </c>
      <c r="E772" s="178" t="s">
        <v>97</v>
      </c>
      <c r="F772" s="178" t="s">
        <v>1369</v>
      </c>
      <c r="G772" s="179" t="s">
        <v>1409</v>
      </c>
      <c r="H772" s="160">
        <v>600</v>
      </c>
      <c r="I772" s="160" t="s">
        <v>502</v>
      </c>
      <c r="J772" s="126" t="s">
        <v>503</v>
      </c>
      <c r="K772" s="177" t="s">
        <v>14</v>
      </c>
      <c r="L772" s="93" t="s">
        <v>1409</v>
      </c>
      <c r="M772" s="94" t="s">
        <v>3446</v>
      </c>
      <c r="N772" s="95" t="s">
        <v>2870</v>
      </c>
      <c r="O772" s="171">
        <v>20</v>
      </c>
      <c r="P772" s="153">
        <f t="shared" si="191"/>
        <v>271.68539325842698</v>
      </c>
      <c r="Q772" s="165" t="s">
        <v>16</v>
      </c>
      <c r="R772" s="171">
        <v>5</v>
      </c>
      <c r="S772" s="167"/>
      <c r="T772" s="168"/>
      <c r="U772" s="125">
        <f t="shared" si="190"/>
        <v>1374.3360572012259</v>
      </c>
      <c r="V772" s="113">
        <f t="shared" si="181"/>
        <v>2.2905600953353766</v>
      </c>
      <c r="W772" s="114">
        <f t="shared" si="182"/>
        <v>0.32722287076219664</v>
      </c>
      <c r="X772" s="167"/>
      <c r="Y772" s="167"/>
      <c r="Z772" s="102"/>
      <c r="AA772" s="103">
        <v>45863</v>
      </c>
      <c r="AB772" s="103">
        <v>45887</v>
      </c>
      <c r="AC772" s="103"/>
      <c r="AD772" s="102">
        <f>IF(ISNA(VLOOKUP(D772,亚马逊入库配置费!B:F,5,0)),0,VLOOKUP(D772,亚马逊入库配置费!B:F,5,0))</f>
        <v>0.36058823529411799</v>
      </c>
      <c r="AE772" s="102">
        <f t="shared" si="192"/>
        <v>216.35294117647078</v>
      </c>
      <c r="AF772" s="103">
        <v>45898</v>
      </c>
      <c r="AG772" s="91">
        <f t="shared" si="193"/>
        <v>35</v>
      </c>
      <c r="AH772" s="103">
        <v>45898</v>
      </c>
      <c r="AI772" s="103">
        <v>45933</v>
      </c>
      <c r="AJ772" s="96">
        <v>599</v>
      </c>
      <c r="AK772" s="91">
        <f t="shared" si="194"/>
        <v>35</v>
      </c>
      <c r="AL772" s="96">
        <f t="shared" ref="AL772:AL835" si="195">AG772+AK772</f>
        <v>70</v>
      </c>
      <c r="AM772" s="92"/>
      <c r="AN772" s="91"/>
      <c r="AO772" s="91"/>
    </row>
    <row r="773" spans="1:41" ht="14.5" x14ac:dyDescent="0.25">
      <c r="A773" s="92" t="s">
        <v>1410</v>
      </c>
      <c r="B773" s="91"/>
      <c r="C773" s="180" t="s">
        <v>1399</v>
      </c>
      <c r="D773" s="177" t="s">
        <v>1404</v>
      </c>
      <c r="E773" s="178" t="s">
        <v>97</v>
      </c>
      <c r="F773" s="178" t="s">
        <v>1369</v>
      </c>
      <c r="G773" s="179" t="s">
        <v>786</v>
      </c>
      <c r="H773" s="160">
        <v>160</v>
      </c>
      <c r="I773" s="160" t="s">
        <v>502</v>
      </c>
      <c r="J773" s="126" t="s">
        <v>503</v>
      </c>
      <c r="K773" s="177" t="s">
        <v>14</v>
      </c>
      <c r="L773" s="93" t="s">
        <v>786</v>
      </c>
      <c r="M773" s="94" t="s">
        <v>3395</v>
      </c>
      <c r="N773" s="95" t="s">
        <v>2870</v>
      </c>
      <c r="O773" s="171">
        <v>4</v>
      </c>
      <c r="P773" s="153">
        <f t="shared" si="191"/>
        <v>54.337078651685395</v>
      </c>
      <c r="Q773" s="165" t="s">
        <v>16</v>
      </c>
      <c r="R773" s="171">
        <v>5</v>
      </c>
      <c r="S773" s="167"/>
      <c r="T773" s="168"/>
      <c r="U773" s="125">
        <f t="shared" si="190"/>
        <v>274.86721144024517</v>
      </c>
      <c r="V773" s="113">
        <f t="shared" si="181"/>
        <v>1.7179200715015324</v>
      </c>
      <c r="W773" s="114">
        <f t="shared" si="182"/>
        <v>0.24541715307164749</v>
      </c>
      <c r="X773" s="167"/>
      <c r="Y773" s="167"/>
      <c r="Z773" s="102"/>
      <c r="AA773" s="103">
        <v>45863</v>
      </c>
      <c r="AB773" s="103">
        <v>45887</v>
      </c>
      <c r="AC773" s="103"/>
      <c r="AD773" s="102">
        <f>IF(ISNA(VLOOKUP(D773,亚马逊入库配置费!B:F,5,0)),0,VLOOKUP(D773,亚马逊入库配置费!B:F,5,0))</f>
        <v>0.36058823529411799</v>
      </c>
      <c r="AE773" s="102">
        <f t="shared" si="192"/>
        <v>57.694117647058874</v>
      </c>
      <c r="AF773" s="103">
        <v>45898</v>
      </c>
      <c r="AG773" s="91">
        <f t="shared" si="193"/>
        <v>35</v>
      </c>
      <c r="AH773" s="103">
        <v>45898</v>
      </c>
      <c r="AI773" s="103">
        <v>45933</v>
      </c>
      <c r="AJ773" s="96">
        <v>157</v>
      </c>
      <c r="AK773" s="91">
        <f t="shared" si="194"/>
        <v>35</v>
      </c>
      <c r="AL773" s="96">
        <f t="shared" si="195"/>
        <v>70</v>
      </c>
      <c r="AM773" s="92"/>
      <c r="AN773" s="91"/>
      <c r="AO773" s="91"/>
    </row>
    <row r="774" spans="1:41" ht="14.5" x14ac:dyDescent="0.25">
      <c r="A774" s="92" t="s">
        <v>1411</v>
      </c>
      <c r="B774" s="91"/>
      <c r="C774" s="180" t="s">
        <v>1389</v>
      </c>
      <c r="D774" s="177" t="s">
        <v>1412</v>
      </c>
      <c r="E774" s="178" t="s">
        <v>97</v>
      </c>
      <c r="F774" s="178" t="s">
        <v>1369</v>
      </c>
      <c r="G774" s="179" t="s">
        <v>1052</v>
      </c>
      <c r="H774" s="160">
        <v>234</v>
      </c>
      <c r="I774" s="160" t="s">
        <v>1313</v>
      </c>
      <c r="J774" s="126" t="s">
        <v>1314</v>
      </c>
      <c r="K774" s="177" t="s">
        <v>17</v>
      </c>
      <c r="L774" s="93" t="s">
        <v>3089</v>
      </c>
      <c r="M774" s="94" t="s">
        <v>3423</v>
      </c>
      <c r="N774" s="95" t="s">
        <v>3042</v>
      </c>
      <c r="O774" s="166">
        <v>3</v>
      </c>
      <c r="P774" s="153">
        <f>105/5*O774</f>
        <v>63</v>
      </c>
      <c r="Q774" s="122" t="s">
        <v>16</v>
      </c>
      <c r="R774" s="166">
        <v>7.3</v>
      </c>
      <c r="S774" s="167"/>
      <c r="T774" s="168"/>
      <c r="U774" s="125">
        <f>R774*P774</f>
        <v>459.9</v>
      </c>
      <c r="V774" s="113">
        <f t="shared" si="181"/>
        <v>1.9653846153846153</v>
      </c>
      <c r="W774" s="114">
        <f t="shared" si="182"/>
        <v>0.28076923076923077</v>
      </c>
      <c r="X774" s="167"/>
      <c r="Y774" s="167"/>
      <c r="Z774" s="102"/>
      <c r="AA774" s="103">
        <v>45863</v>
      </c>
      <c r="AB774" s="103">
        <v>45885</v>
      </c>
      <c r="AC774" s="103"/>
      <c r="AD774" s="102">
        <f>IF(ISNA(VLOOKUP(D774,亚马逊入库配置费!B:F,5,0)),0,VLOOKUP(D774,亚马逊入库配置费!B:F,5,0))</f>
        <v>0.34</v>
      </c>
      <c r="AE774" s="102">
        <f t="shared" si="192"/>
        <v>79.56</v>
      </c>
      <c r="AF774" s="103">
        <v>45895</v>
      </c>
      <c r="AG774" s="91">
        <f t="shared" si="193"/>
        <v>32</v>
      </c>
      <c r="AH774" s="103">
        <v>45895</v>
      </c>
      <c r="AI774" s="103">
        <v>45924</v>
      </c>
      <c r="AJ774" s="96">
        <v>234</v>
      </c>
      <c r="AK774" s="91">
        <f t="shared" si="194"/>
        <v>29</v>
      </c>
      <c r="AL774" s="96">
        <f t="shared" si="195"/>
        <v>61</v>
      </c>
      <c r="AM774" s="92"/>
      <c r="AN774" s="91"/>
      <c r="AO774" s="91"/>
    </row>
    <row r="775" spans="1:41" ht="14.5" x14ac:dyDescent="0.25">
      <c r="A775" s="92" t="s">
        <v>1413</v>
      </c>
      <c r="B775" s="91"/>
      <c r="C775" s="180" t="s">
        <v>1389</v>
      </c>
      <c r="D775" s="177" t="s">
        <v>1412</v>
      </c>
      <c r="E775" s="178" t="s">
        <v>97</v>
      </c>
      <c r="F775" s="178" t="s">
        <v>1369</v>
      </c>
      <c r="G775" s="179" t="s">
        <v>1059</v>
      </c>
      <c r="H775" s="160">
        <v>180</v>
      </c>
      <c r="I775" s="160" t="s">
        <v>1313</v>
      </c>
      <c r="J775" s="126" t="s">
        <v>1314</v>
      </c>
      <c r="K775" s="177" t="s">
        <v>17</v>
      </c>
      <c r="L775" s="93" t="s">
        <v>3092</v>
      </c>
      <c r="M775" s="94" t="s">
        <v>3426</v>
      </c>
      <c r="N775" s="95" t="s">
        <v>3042</v>
      </c>
      <c r="O775" s="166">
        <v>2</v>
      </c>
      <c r="P775" s="153">
        <f>105/5*O775</f>
        <v>42</v>
      </c>
      <c r="Q775" s="122" t="s">
        <v>16</v>
      </c>
      <c r="R775" s="166">
        <v>7.3</v>
      </c>
      <c r="S775" s="167"/>
      <c r="T775" s="168"/>
      <c r="U775" s="125">
        <f>R775*P775</f>
        <v>306.59999999999997</v>
      </c>
      <c r="V775" s="113">
        <f t="shared" si="181"/>
        <v>1.7033333333333331</v>
      </c>
      <c r="W775" s="114">
        <f t="shared" si="182"/>
        <v>0.24333333333333332</v>
      </c>
      <c r="X775" s="167"/>
      <c r="Y775" s="167"/>
      <c r="Z775" s="102"/>
      <c r="AA775" s="103">
        <v>45863</v>
      </c>
      <c r="AB775" s="103">
        <v>45885</v>
      </c>
      <c r="AC775" s="103"/>
      <c r="AD775" s="102">
        <f>IF(ISNA(VLOOKUP(D775,亚马逊入库配置费!B:F,5,0)),0,VLOOKUP(D775,亚马逊入库配置费!B:F,5,0))</f>
        <v>0.34</v>
      </c>
      <c r="AE775" s="102">
        <f t="shared" si="192"/>
        <v>61.2</v>
      </c>
      <c r="AF775" s="103">
        <v>45895</v>
      </c>
      <c r="AG775" s="91">
        <f t="shared" si="193"/>
        <v>32</v>
      </c>
      <c r="AH775" s="103">
        <v>45895</v>
      </c>
      <c r="AI775" s="103">
        <v>45924</v>
      </c>
      <c r="AJ775" s="96">
        <v>180</v>
      </c>
      <c r="AK775" s="91">
        <f t="shared" si="194"/>
        <v>29</v>
      </c>
      <c r="AL775" s="96">
        <f t="shared" si="195"/>
        <v>61</v>
      </c>
      <c r="AM775" s="92"/>
      <c r="AN775" s="91"/>
      <c r="AO775" s="91"/>
    </row>
    <row r="776" spans="1:41" ht="14.5" x14ac:dyDescent="0.25">
      <c r="A776" s="92" t="s">
        <v>1414</v>
      </c>
      <c r="B776" s="91"/>
      <c r="C776" s="180" t="s">
        <v>1389</v>
      </c>
      <c r="D776" s="177" t="s">
        <v>1415</v>
      </c>
      <c r="E776" s="178" t="s">
        <v>115</v>
      </c>
      <c r="F776" s="178" t="s">
        <v>1369</v>
      </c>
      <c r="G776" s="179" t="s">
        <v>1052</v>
      </c>
      <c r="H776" s="160">
        <v>78</v>
      </c>
      <c r="I776" s="160" t="s">
        <v>1313</v>
      </c>
      <c r="J776" s="126" t="s">
        <v>1314</v>
      </c>
      <c r="K776" s="177" t="s">
        <v>17</v>
      </c>
      <c r="L776" s="93" t="s">
        <v>3089</v>
      </c>
      <c r="M776" s="94" t="s">
        <v>3423</v>
      </c>
      <c r="N776" s="95" t="s">
        <v>3042</v>
      </c>
      <c r="O776" s="166">
        <v>1</v>
      </c>
      <c r="P776" s="153">
        <f>61/3*O776</f>
        <v>20.333333333333332</v>
      </c>
      <c r="Q776" s="122" t="s">
        <v>16</v>
      </c>
      <c r="R776" s="166">
        <v>7.3</v>
      </c>
      <c r="S776" s="167"/>
      <c r="T776" s="168"/>
      <c r="U776" s="125">
        <f>R776*P776</f>
        <v>148.43333333333331</v>
      </c>
      <c r="V776" s="113">
        <f t="shared" si="181"/>
        <v>1.9029914529914527</v>
      </c>
      <c r="W776" s="114">
        <f t="shared" si="182"/>
        <v>0.27185592185592183</v>
      </c>
      <c r="X776" s="167"/>
      <c r="Y776" s="167"/>
      <c r="Z776" s="102"/>
      <c r="AA776" s="103">
        <v>45863</v>
      </c>
      <c r="AB776" s="103">
        <v>45885</v>
      </c>
      <c r="AC776" s="103"/>
      <c r="AD776" s="102">
        <f>IF(ISNA(VLOOKUP(D776,亚马逊入库配置费!B:F,5,0)),0,VLOOKUP(D776,亚马逊入库配置费!B:F,5,0))</f>
        <v>0.34</v>
      </c>
      <c r="AE776" s="102">
        <f t="shared" si="192"/>
        <v>26.520000000000003</v>
      </c>
      <c r="AF776" s="103">
        <v>45895</v>
      </c>
      <c r="AG776" s="91">
        <f t="shared" si="193"/>
        <v>32</v>
      </c>
      <c r="AH776" s="103">
        <v>45895</v>
      </c>
      <c r="AI776" s="103">
        <v>45923</v>
      </c>
      <c r="AJ776" s="96">
        <v>78</v>
      </c>
      <c r="AK776" s="91">
        <f t="shared" si="194"/>
        <v>28</v>
      </c>
      <c r="AL776" s="96">
        <f t="shared" si="195"/>
        <v>60</v>
      </c>
      <c r="AM776" s="92"/>
      <c r="AN776" s="91"/>
      <c r="AO776" s="91"/>
    </row>
    <row r="777" spans="1:41" ht="14.5" x14ac:dyDescent="0.25">
      <c r="A777" s="92" t="s">
        <v>1416</v>
      </c>
      <c r="B777" s="91"/>
      <c r="C777" s="180" t="s">
        <v>1389</v>
      </c>
      <c r="D777" s="177" t="s">
        <v>1415</v>
      </c>
      <c r="E777" s="178" t="s">
        <v>115</v>
      </c>
      <c r="F777" s="178" t="s">
        <v>1369</v>
      </c>
      <c r="G777" s="179" t="s">
        <v>1057</v>
      </c>
      <c r="H777" s="160">
        <v>90</v>
      </c>
      <c r="I777" s="160" t="s">
        <v>1313</v>
      </c>
      <c r="J777" s="126" t="s">
        <v>1314</v>
      </c>
      <c r="K777" s="177" t="s">
        <v>17</v>
      </c>
      <c r="L777" s="93" t="s">
        <v>3091</v>
      </c>
      <c r="M777" s="94" t="s">
        <v>3425</v>
      </c>
      <c r="N777" s="95" t="s">
        <v>3042</v>
      </c>
      <c r="O777" s="166">
        <v>1</v>
      </c>
      <c r="P777" s="153">
        <f>61/3*O777</f>
        <v>20.333333333333332</v>
      </c>
      <c r="Q777" s="122" t="s">
        <v>16</v>
      </c>
      <c r="R777" s="166">
        <v>7.3</v>
      </c>
      <c r="S777" s="167"/>
      <c r="T777" s="168"/>
      <c r="U777" s="125">
        <f t="shared" ref="U777:U778" si="196">R777*P777</f>
        <v>148.43333333333331</v>
      </c>
      <c r="V777" s="113">
        <f t="shared" si="181"/>
        <v>1.649259259259259</v>
      </c>
      <c r="W777" s="114">
        <f t="shared" si="182"/>
        <v>0.23560846560846557</v>
      </c>
      <c r="X777" s="167"/>
      <c r="Y777" s="167"/>
      <c r="Z777" s="102"/>
      <c r="AA777" s="103">
        <v>45863</v>
      </c>
      <c r="AB777" s="103">
        <v>45885</v>
      </c>
      <c r="AC777" s="103"/>
      <c r="AD777" s="102">
        <f>IF(ISNA(VLOOKUP(D777,亚马逊入库配置费!B:F,5,0)),0,VLOOKUP(D777,亚马逊入库配置费!B:F,5,0))</f>
        <v>0.34</v>
      </c>
      <c r="AE777" s="102">
        <f t="shared" si="192"/>
        <v>30.6</v>
      </c>
      <c r="AF777" s="103">
        <v>45895</v>
      </c>
      <c r="AG777" s="91">
        <f t="shared" si="193"/>
        <v>32</v>
      </c>
      <c r="AH777" s="103">
        <v>45895</v>
      </c>
      <c r="AI777" s="103">
        <v>45923</v>
      </c>
      <c r="AJ777" s="96">
        <v>90</v>
      </c>
      <c r="AK777" s="91">
        <f t="shared" si="194"/>
        <v>28</v>
      </c>
      <c r="AL777" s="96">
        <f t="shared" si="195"/>
        <v>60</v>
      </c>
      <c r="AM777" s="92"/>
      <c r="AN777" s="91"/>
      <c r="AO777" s="91"/>
    </row>
    <row r="778" spans="1:41" ht="14.5" x14ac:dyDescent="0.25">
      <c r="A778" s="92" t="s">
        <v>1417</v>
      </c>
      <c r="B778" s="91"/>
      <c r="C778" s="180" t="s">
        <v>1389</v>
      </c>
      <c r="D778" s="177" t="s">
        <v>1415</v>
      </c>
      <c r="E778" s="178" t="s">
        <v>115</v>
      </c>
      <c r="F778" s="178" t="s">
        <v>1369</v>
      </c>
      <c r="G778" s="179" t="s">
        <v>1059</v>
      </c>
      <c r="H778" s="160">
        <v>90</v>
      </c>
      <c r="I778" s="160" t="s">
        <v>1313</v>
      </c>
      <c r="J778" s="126" t="s">
        <v>1314</v>
      </c>
      <c r="K778" s="177" t="s">
        <v>17</v>
      </c>
      <c r="L778" s="93" t="s">
        <v>3092</v>
      </c>
      <c r="M778" s="94" t="s">
        <v>3426</v>
      </c>
      <c r="N778" s="95" t="s">
        <v>3042</v>
      </c>
      <c r="O778" s="166">
        <v>1</v>
      </c>
      <c r="P778" s="153">
        <f>61/3*O778</f>
        <v>20.333333333333332</v>
      </c>
      <c r="Q778" s="122" t="s">
        <v>16</v>
      </c>
      <c r="R778" s="166">
        <v>7.3</v>
      </c>
      <c r="S778" s="167"/>
      <c r="T778" s="168"/>
      <c r="U778" s="125">
        <f t="shared" si="196"/>
        <v>148.43333333333331</v>
      </c>
      <c r="V778" s="113">
        <f t="shared" si="181"/>
        <v>1.649259259259259</v>
      </c>
      <c r="W778" s="114">
        <f t="shared" si="182"/>
        <v>0.23560846560846557</v>
      </c>
      <c r="X778" s="167"/>
      <c r="Y778" s="167"/>
      <c r="Z778" s="102"/>
      <c r="AA778" s="103">
        <v>45863</v>
      </c>
      <c r="AB778" s="103">
        <v>45885</v>
      </c>
      <c r="AC778" s="103"/>
      <c r="AD778" s="102">
        <f>IF(ISNA(VLOOKUP(D778,亚马逊入库配置费!B:F,5,0)),0,VLOOKUP(D778,亚马逊入库配置费!B:F,5,0))</f>
        <v>0.34</v>
      </c>
      <c r="AE778" s="102">
        <f t="shared" si="192"/>
        <v>30.6</v>
      </c>
      <c r="AF778" s="103">
        <v>45895</v>
      </c>
      <c r="AG778" s="91">
        <f t="shared" si="193"/>
        <v>32</v>
      </c>
      <c r="AH778" s="103">
        <v>45895</v>
      </c>
      <c r="AI778" s="103">
        <v>45923</v>
      </c>
      <c r="AJ778" s="96">
        <v>90</v>
      </c>
      <c r="AK778" s="91">
        <f t="shared" si="194"/>
        <v>28</v>
      </c>
      <c r="AL778" s="96">
        <f t="shared" si="195"/>
        <v>60</v>
      </c>
      <c r="AM778" s="92"/>
      <c r="AN778" s="91"/>
      <c r="AO778" s="91"/>
    </row>
    <row r="779" spans="1:41" ht="14.5" x14ac:dyDescent="0.25">
      <c r="A779" s="92" t="s">
        <v>1418</v>
      </c>
      <c r="B779" s="91"/>
      <c r="C779" s="180" t="s">
        <v>1399</v>
      </c>
      <c r="D779" s="177" t="s">
        <v>1419</v>
      </c>
      <c r="E779" s="178" t="s">
        <v>287</v>
      </c>
      <c r="F779" s="178" t="s">
        <v>1369</v>
      </c>
      <c r="G779" s="179" t="s">
        <v>288</v>
      </c>
      <c r="H779" s="160">
        <v>144</v>
      </c>
      <c r="I779" s="160" t="s">
        <v>502</v>
      </c>
      <c r="J779" s="126" t="s">
        <v>503</v>
      </c>
      <c r="K779" s="177" t="s">
        <v>14</v>
      </c>
      <c r="L779" s="93" t="s">
        <v>3040</v>
      </c>
      <c r="M779" s="94" t="s">
        <v>3324</v>
      </c>
      <c r="N779" s="95" t="s">
        <v>2785</v>
      </c>
      <c r="O779" s="171">
        <v>9</v>
      </c>
      <c r="P779" s="153">
        <f>803/55*O779</f>
        <v>131.4</v>
      </c>
      <c r="Q779" s="165" t="s">
        <v>16</v>
      </c>
      <c r="R779" s="171">
        <v>5</v>
      </c>
      <c r="S779" s="167"/>
      <c r="T779" s="168"/>
      <c r="U779" s="125">
        <f t="shared" ref="U779:U786" si="197">R779*P779+350/440*O779</f>
        <v>664.15909090909088</v>
      </c>
      <c r="V779" s="113">
        <f t="shared" si="181"/>
        <v>4.6122159090909092</v>
      </c>
      <c r="W779" s="114">
        <f t="shared" si="182"/>
        <v>0.65888798701298701</v>
      </c>
      <c r="X779" s="167"/>
      <c r="Y779" s="167"/>
      <c r="Z779" s="102"/>
      <c r="AA779" s="103">
        <v>45863</v>
      </c>
      <c r="AB779" s="103">
        <v>45887</v>
      </c>
      <c r="AC779" s="103"/>
      <c r="AD779" s="102">
        <f>IF(ISNA(VLOOKUP(D779,亚马逊入库配置费!B:F,5,0)),0,VLOOKUP(D779,亚马逊入库配置费!B:F,5,0))</f>
        <v>0.49</v>
      </c>
      <c r="AE779" s="102">
        <f t="shared" si="192"/>
        <v>70.56</v>
      </c>
      <c r="AF779" s="103">
        <v>45898</v>
      </c>
      <c r="AG779" s="91">
        <f t="shared" si="193"/>
        <v>35</v>
      </c>
      <c r="AH779" s="103">
        <v>45898</v>
      </c>
      <c r="AI779" s="103">
        <v>45933</v>
      </c>
      <c r="AJ779" s="96">
        <v>144</v>
      </c>
      <c r="AK779" s="91">
        <f t="shared" si="194"/>
        <v>35</v>
      </c>
      <c r="AL779" s="96">
        <f t="shared" si="195"/>
        <v>70</v>
      </c>
      <c r="AM779" s="92"/>
      <c r="AN779" s="91"/>
      <c r="AO779" s="91"/>
    </row>
    <row r="780" spans="1:41" ht="14.5" x14ac:dyDescent="0.25">
      <c r="A780" s="92" t="s">
        <v>1420</v>
      </c>
      <c r="B780" s="91"/>
      <c r="C780" s="180" t="s">
        <v>1399</v>
      </c>
      <c r="D780" s="177" t="s">
        <v>1419</v>
      </c>
      <c r="E780" s="178" t="s">
        <v>287</v>
      </c>
      <c r="F780" s="178" t="s">
        <v>1369</v>
      </c>
      <c r="G780" s="179" t="s">
        <v>284</v>
      </c>
      <c r="H780" s="160">
        <v>320</v>
      </c>
      <c r="I780" s="160" t="s">
        <v>502</v>
      </c>
      <c r="J780" s="126" t="s">
        <v>503</v>
      </c>
      <c r="K780" s="177" t="s">
        <v>14</v>
      </c>
      <c r="L780" s="93" t="s">
        <v>3039</v>
      </c>
      <c r="M780" s="94" t="s">
        <v>3323</v>
      </c>
      <c r="N780" s="95" t="s">
        <v>2915</v>
      </c>
      <c r="O780" s="171">
        <v>20</v>
      </c>
      <c r="P780" s="153">
        <f>803/55*O780</f>
        <v>292</v>
      </c>
      <c r="Q780" s="165" t="s">
        <v>16</v>
      </c>
      <c r="R780" s="171">
        <v>5</v>
      </c>
      <c r="S780" s="167"/>
      <c r="T780" s="168"/>
      <c r="U780" s="125">
        <f t="shared" si="197"/>
        <v>1475.909090909091</v>
      </c>
      <c r="V780" s="113">
        <f t="shared" si="181"/>
        <v>4.6122159090909092</v>
      </c>
      <c r="W780" s="114">
        <f t="shared" si="182"/>
        <v>0.65888798701298701</v>
      </c>
      <c r="X780" s="167"/>
      <c r="Y780" s="167"/>
      <c r="Z780" s="102"/>
      <c r="AA780" s="103">
        <v>45863</v>
      </c>
      <c r="AB780" s="103">
        <v>45887</v>
      </c>
      <c r="AC780" s="103"/>
      <c r="AD780" s="102">
        <f>IF(ISNA(VLOOKUP(D780,亚马逊入库配置费!B:F,5,0)),0,VLOOKUP(D780,亚马逊入库配置费!B:F,5,0))</f>
        <v>0.49</v>
      </c>
      <c r="AE780" s="102">
        <f t="shared" si="192"/>
        <v>156.80000000000001</v>
      </c>
      <c r="AF780" s="103">
        <v>45898</v>
      </c>
      <c r="AG780" s="91">
        <f t="shared" si="193"/>
        <v>35</v>
      </c>
      <c r="AH780" s="103">
        <v>45898</v>
      </c>
      <c r="AI780" s="103">
        <v>45933</v>
      </c>
      <c r="AJ780" s="96">
        <v>320</v>
      </c>
      <c r="AK780" s="91">
        <f t="shared" si="194"/>
        <v>35</v>
      </c>
      <c r="AL780" s="96">
        <f t="shared" si="195"/>
        <v>70</v>
      </c>
      <c r="AM780" s="92"/>
      <c r="AN780" s="91"/>
      <c r="AO780" s="91"/>
    </row>
    <row r="781" spans="1:41" ht="14.5" x14ac:dyDescent="0.25">
      <c r="A781" s="92" t="s">
        <v>1421</v>
      </c>
      <c r="B781" s="91"/>
      <c r="C781" s="180" t="s">
        <v>1399</v>
      </c>
      <c r="D781" s="177" t="s">
        <v>1419</v>
      </c>
      <c r="E781" s="178" t="s">
        <v>287</v>
      </c>
      <c r="F781" s="178" t="s">
        <v>1369</v>
      </c>
      <c r="G781" s="179" t="s">
        <v>663</v>
      </c>
      <c r="H781" s="160">
        <v>288</v>
      </c>
      <c r="I781" s="160" t="s">
        <v>502</v>
      </c>
      <c r="J781" s="126" t="s">
        <v>503</v>
      </c>
      <c r="K781" s="177" t="s">
        <v>14</v>
      </c>
      <c r="L781" s="93" t="s">
        <v>3080</v>
      </c>
      <c r="M781" s="94" t="s">
        <v>3383</v>
      </c>
      <c r="N781" s="95" t="s">
        <v>2915</v>
      </c>
      <c r="O781" s="171">
        <v>18</v>
      </c>
      <c r="P781" s="153">
        <f>803/55*O781</f>
        <v>262.8</v>
      </c>
      <c r="Q781" s="165" t="s">
        <v>16</v>
      </c>
      <c r="R781" s="171">
        <v>5</v>
      </c>
      <c r="S781" s="167"/>
      <c r="T781" s="168"/>
      <c r="U781" s="125">
        <f t="shared" si="197"/>
        <v>1328.3181818181818</v>
      </c>
      <c r="V781" s="113">
        <f t="shared" ref="V781:V844" si="198">U781/H781</f>
        <v>4.6122159090909092</v>
      </c>
      <c r="W781" s="114">
        <f t="shared" ref="W781:W844" si="199">V781/7</f>
        <v>0.65888798701298701</v>
      </c>
      <c r="X781" s="167"/>
      <c r="Y781" s="167"/>
      <c r="Z781" s="102"/>
      <c r="AA781" s="103">
        <v>45863</v>
      </c>
      <c r="AB781" s="103">
        <v>45887</v>
      </c>
      <c r="AC781" s="103"/>
      <c r="AD781" s="102">
        <f>IF(ISNA(VLOOKUP(D781,亚马逊入库配置费!B:F,5,0)),0,VLOOKUP(D781,亚马逊入库配置费!B:F,5,0))</f>
        <v>0.49</v>
      </c>
      <c r="AE781" s="102">
        <f t="shared" si="192"/>
        <v>141.12</v>
      </c>
      <c r="AF781" s="103">
        <v>45898</v>
      </c>
      <c r="AG781" s="91">
        <f t="shared" si="193"/>
        <v>35</v>
      </c>
      <c r="AH781" s="103">
        <v>45898</v>
      </c>
      <c r="AI781" s="103">
        <v>45933</v>
      </c>
      <c r="AJ781" s="96">
        <v>287</v>
      </c>
      <c r="AK781" s="91">
        <f t="shared" si="194"/>
        <v>35</v>
      </c>
      <c r="AL781" s="96">
        <f t="shared" si="195"/>
        <v>70</v>
      </c>
      <c r="AM781" s="92"/>
      <c r="AN781" s="91"/>
      <c r="AO781" s="91"/>
    </row>
    <row r="782" spans="1:41" ht="14.5" x14ac:dyDescent="0.25">
      <c r="A782" s="92" t="s">
        <v>1422</v>
      </c>
      <c r="B782" s="91"/>
      <c r="C782" s="180" t="s">
        <v>1399</v>
      </c>
      <c r="D782" s="177" t="s">
        <v>1419</v>
      </c>
      <c r="E782" s="178" t="s">
        <v>287</v>
      </c>
      <c r="F782" s="178" t="s">
        <v>1369</v>
      </c>
      <c r="G782" s="179" t="s">
        <v>556</v>
      </c>
      <c r="H782" s="160">
        <v>128</v>
      </c>
      <c r="I782" s="160" t="s">
        <v>502</v>
      </c>
      <c r="J782" s="126" t="s">
        <v>503</v>
      </c>
      <c r="K782" s="177" t="s">
        <v>14</v>
      </c>
      <c r="L782" s="93" t="s">
        <v>3073</v>
      </c>
      <c r="M782" s="94" t="s">
        <v>3373</v>
      </c>
      <c r="N782" s="95" t="s">
        <v>2915</v>
      </c>
      <c r="O782" s="171">
        <v>8</v>
      </c>
      <c r="P782" s="153">
        <f>803/55*O782</f>
        <v>116.8</v>
      </c>
      <c r="Q782" s="165" t="s">
        <v>16</v>
      </c>
      <c r="R782" s="171">
        <v>5</v>
      </c>
      <c r="S782" s="167"/>
      <c r="T782" s="168"/>
      <c r="U782" s="125">
        <f t="shared" si="197"/>
        <v>590.36363636363637</v>
      </c>
      <c r="V782" s="113">
        <f t="shared" si="198"/>
        <v>4.6122159090909092</v>
      </c>
      <c r="W782" s="114">
        <f t="shared" si="199"/>
        <v>0.65888798701298701</v>
      </c>
      <c r="X782" s="167"/>
      <c r="Y782" s="167"/>
      <c r="Z782" s="102"/>
      <c r="AA782" s="103">
        <v>45863</v>
      </c>
      <c r="AB782" s="103">
        <v>45887</v>
      </c>
      <c r="AC782" s="103"/>
      <c r="AD782" s="102">
        <f>IF(ISNA(VLOOKUP(D782,亚马逊入库配置费!B:F,5,0)),0,VLOOKUP(D782,亚马逊入库配置费!B:F,5,0))</f>
        <v>0.49</v>
      </c>
      <c r="AE782" s="102">
        <f t="shared" si="192"/>
        <v>62.72</v>
      </c>
      <c r="AF782" s="103">
        <v>45898</v>
      </c>
      <c r="AG782" s="91">
        <f t="shared" si="193"/>
        <v>35</v>
      </c>
      <c r="AH782" s="103">
        <v>45898</v>
      </c>
      <c r="AI782" s="103">
        <v>45933</v>
      </c>
      <c r="AJ782" s="96">
        <v>125</v>
      </c>
      <c r="AK782" s="91">
        <f t="shared" si="194"/>
        <v>35</v>
      </c>
      <c r="AL782" s="96">
        <f t="shared" si="195"/>
        <v>70</v>
      </c>
      <c r="AM782" s="92"/>
      <c r="AN782" s="91"/>
      <c r="AO782" s="91"/>
    </row>
    <row r="783" spans="1:41" ht="14.5" x14ac:dyDescent="0.25">
      <c r="A783" s="92" t="s">
        <v>1423</v>
      </c>
      <c r="B783" s="91"/>
      <c r="C783" s="180" t="s">
        <v>1399</v>
      </c>
      <c r="D783" s="177" t="s">
        <v>1424</v>
      </c>
      <c r="E783" s="178" t="s">
        <v>97</v>
      </c>
      <c r="F783" s="178" t="s">
        <v>1369</v>
      </c>
      <c r="G783" s="179" t="s">
        <v>88</v>
      </c>
      <c r="H783" s="160">
        <v>600</v>
      </c>
      <c r="I783" s="160" t="s">
        <v>502</v>
      </c>
      <c r="J783" s="126" t="s">
        <v>503</v>
      </c>
      <c r="K783" s="177" t="s">
        <v>11</v>
      </c>
      <c r="L783" s="93" t="s">
        <v>3014</v>
      </c>
      <c r="M783" s="94" t="s">
        <v>3286</v>
      </c>
      <c r="N783" s="95" t="s">
        <v>2821</v>
      </c>
      <c r="O783" s="171">
        <v>50</v>
      </c>
      <c r="P783" s="153">
        <f>3131/219*O783</f>
        <v>714.84018264840176</v>
      </c>
      <c r="Q783" s="165" t="s">
        <v>16</v>
      </c>
      <c r="R783" s="171">
        <v>5.0999999999999996</v>
      </c>
      <c r="S783" s="167"/>
      <c r="T783" s="168"/>
      <c r="U783" s="125">
        <f t="shared" si="197"/>
        <v>3685.4576587795764</v>
      </c>
      <c r="V783" s="113">
        <f t="shared" si="198"/>
        <v>6.142429431299294</v>
      </c>
      <c r="W783" s="114">
        <f t="shared" si="199"/>
        <v>0.87748991875704196</v>
      </c>
      <c r="X783" s="167"/>
      <c r="Y783" s="167"/>
      <c r="Z783" s="102"/>
      <c r="AA783" s="103">
        <v>45863</v>
      </c>
      <c r="AB783" s="103">
        <v>45887</v>
      </c>
      <c r="AC783" s="103"/>
      <c r="AD783" s="102">
        <f>IF(ISNA(VLOOKUP(D783,亚马逊入库配置费!B:F,5,0)),0,VLOOKUP(D783,亚马逊入库配置费!B:F,5,0))</f>
        <v>0.48030172413793099</v>
      </c>
      <c r="AE783" s="102">
        <f t="shared" si="192"/>
        <v>288.18103448275861</v>
      </c>
      <c r="AF783" s="103">
        <v>45900</v>
      </c>
      <c r="AG783" s="91">
        <f t="shared" si="193"/>
        <v>37</v>
      </c>
      <c r="AH783" s="103">
        <v>45900</v>
      </c>
      <c r="AI783" s="103">
        <v>45932</v>
      </c>
      <c r="AJ783" s="96">
        <v>595</v>
      </c>
      <c r="AK783" s="91">
        <f t="shared" si="194"/>
        <v>32</v>
      </c>
      <c r="AL783" s="96">
        <f t="shared" si="195"/>
        <v>69</v>
      </c>
      <c r="AM783" s="92"/>
      <c r="AN783" s="91"/>
      <c r="AO783" s="91"/>
    </row>
    <row r="784" spans="1:41" ht="14.5" x14ac:dyDescent="0.25">
      <c r="A784" s="92" t="s">
        <v>1425</v>
      </c>
      <c r="B784" s="91"/>
      <c r="C784" s="180" t="s">
        <v>1399</v>
      </c>
      <c r="D784" s="177" t="s">
        <v>1424</v>
      </c>
      <c r="E784" s="178" t="s">
        <v>97</v>
      </c>
      <c r="F784" s="178" t="s">
        <v>1369</v>
      </c>
      <c r="G784" s="179" t="s">
        <v>93</v>
      </c>
      <c r="H784" s="160">
        <v>2004</v>
      </c>
      <c r="I784" s="160" t="s">
        <v>502</v>
      </c>
      <c r="J784" s="126" t="s">
        <v>503</v>
      </c>
      <c r="K784" s="177" t="s">
        <v>11</v>
      </c>
      <c r="L784" s="93" t="s">
        <v>3015</v>
      </c>
      <c r="M784" s="94" t="s">
        <v>3288</v>
      </c>
      <c r="N784" s="95" t="s">
        <v>2821</v>
      </c>
      <c r="O784" s="171">
        <v>167</v>
      </c>
      <c r="P784" s="153">
        <f>3131/219*O784</f>
        <v>2387.566210045662</v>
      </c>
      <c r="Q784" s="165" t="s">
        <v>16</v>
      </c>
      <c r="R784" s="171">
        <v>5.0999999999999996</v>
      </c>
      <c r="S784" s="167"/>
      <c r="T784" s="168"/>
      <c r="U784" s="125">
        <f t="shared" si="197"/>
        <v>12309.428580323785</v>
      </c>
      <c r="V784" s="113">
        <f t="shared" si="198"/>
        <v>6.142429431299294</v>
      </c>
      <c r="W784" s="114">
        <f t="shared" si="199"/>
        <v>0.87748991875704196</v>
      </c>
      <c r="X784" s="167"/>
      <c r="Y784" s="167"/>
      <c r="Z784" s="102"/>
      <c r="AA784" s="103">
        <v>45863</v>
      </c>
      <c r="AB784" s="103">
        <v>45887</v>
      </c>
      <c r="AC784" s="103"/>
      <c r="AD784" s="102">
        <f>IF(ISNA(VLOOKUP(D784,亚马逊入库配置费!B:F,5,0)),0,VLOOKUP(D784,亚马逊入库配置费!B:F,5,0))</f>
        <v>0.48030172413793099</v>
      </c>
      <c r="AE784" s="102">
        <f t="shared" si="192"/>
        <v>962.52465517241365</v>
      </c>
      <c r="AF784" s="103">
        <v>45900</v>
      </c>
      <c r="AG784" s="91">
        <f t="shared" si="193"/>
        <v>37</v>
      </c>
      <c r="AH784" s="103">
        <v>45900</v>
      </c>
      <c r="AI784" s="103">
        <v>45932</v>
      </c>
      <c r="AJ784" s="96">
        <v>1999</v>
      </c>
      <c r="AK784" s="91">
        <f t="shared" si="194"/>
        <v>32</v>
      </c>
      <c r="AL784" s="96">
        <f t="shared" si="195"/>
        <v>69</v>
      </c>
      <c r="AM784" s="92"/>
      <c r="AN784" s="91"/>
      <c r="AO784" s="91"/>
    </row>
    <row r="785" spans="1:41" ht="14.5" x14ac:dyDescent="0.25">
      <c r="A785" s="92" t="s">
        <v>1426</v>
      </c>
      <c r="B785" s="91"/>
      <c r="C785" s="180" t="s">
        <v>1399</v>
      </c>
      <c r="D785" s="177" t="s">
        <v>1424</v>
      </c>
      <c r="E785" s="178" t="s">
        <v>97</v>
      </c>
      <c r="F785" s="178" t="s">
        <v>1369</v>
      </c>
      <c r="G785" s="179" t="s">
        <v>100</v>
      </c>
      <c r="H785" s="160">
        <v>90</v>
      </c>
      <c r="I785" s="160" t="s">
        <v>502</v>
      </c>
      <c r="J785" s="126" t="s">
        <v>503</v>
      </c>
      <c r="K785" s="177" t="s">
        <v>11</v>
      </c>
      <c r="L785" s="93" t="s">
        <v>2819</v>
      </c>
      <c r="M785" s="94" t="s">
        <v>3290</v>
      </c>
      <c r="N785" s="95" t="s">
        <v>3016</v>
      </c>
      <c r="O785" s="171">
        <v>1</v>
      </c>
      <c r="P785" s="153">
        <f>3131/219*O785</f>
        <v>14.296803652968036</v>
      </c>
      <c r="Q785" s="165" t="s">
        <v>16</v>
      </c>
      <c r="R785" s="171">
        <v>5.0999999999999996</v>
      </c>
      <c r="S785" s="167"/>
      <c r="T785" s="168"/>
      <c r="U785" s="125">
        <f t="shared" si="197"/>
        <v>73.709153175591524</v>
      </c>
      <c r="V785" s="113">
        <f t="shared" si="198"/>
        <v>0.81899059083990577</v>
      </c>
      <c r="W785" s="114">
        <f t="shared" si="199"/>
        <v>0.11699865583427226</v>
      </c>
      <c r="X785" s="167"/>
      <c r="Y785" s="167"/>
      <c r="Z785" s="102"/>
      <c r="AA785" s="103">
        <v>45863</v>
      </c>
      <c r="AB785" s="103">
        <v>45887</v>
      </c>
      <c r="AC785" s="103"/>
      <c r="AD785" s="102">
        <f>IF(ISNA(VLOOKUP(D785,亚马逊入库配置费!B:F,5,0)),0,VLOOKUP(D785,亚马逊入库配置费!B:F,5,0))</f>
        <v>0.48030172413793099</v>
      </c>
      <c r="AE785" s="102">
        <f t="shared" si="192"/>
        <v>43.227155172413788</v>
      </c>
      <c r="AF785" s="103">
        <v>45900</v>
      </c>
      <c r="AG785" s="91">
        <f t="shared" si="193"/>
        <v>37</v>
      </c>
      <c r="AH785" s="103">
        <v>45900</v>
      </c>
      <c r="AI785" s="103">
        <v>45932</v>
      </c>
      <c r="AJ785" s="96">
        <v>90</v>
      </c>
      <c r="AK785" s="91">
        <f t="shared" si="194"/>
        <v>32</v>
      </c>
      <c r="AL785" s="96">
        <f t="shared" si="195"/>
        <v>69</v>
      </c>
      <c r="AM785" s="92"/>
      <c r="AN785" s="91"/>
      <c r="AO785" s="91"/>
    </row>
    <row r="786" spans="1:41" ht="14.5" x14ac:dyDescent="0.25">
      <c r="A786" s="92" t="s">
        <v>1427</v>
      </c>
      <c r="B786" s="91"/>
      <c r="C786" s="180" t="s">
        <v>1399</v>
      </c>
      <c r="D786" s="177" t="s">
        <v>1424</v>
      </c>
      <c r="E786" s="178" t="s">
        <v>97</v>
      </c>
      <c r="F786" s="178" t="s">
        <v>1369</v>
      </c>
      <c r="G786" s="179" t="s">
        <v>98</v>
      </c>
      <c r="H786" s="160">
        <v>90</v>
      </c>
      <c r="I786" s="160" t="s">
        <v>502</v>
      </c>
      <c r="J786" s="126" t="s">
        <v>503</v>
      </c>
      <c r="K786" s="177" t="s">
        <v>11</v>
      </c>
      <c r="L786" s="93" t="s">
        <v>2820</v>
      </c>
      <c r="M786" s="94" t="s">
        <v>3289</v>
      </c>
      <c r="N786" s="95" t="s">
        <v>3016</v>
      </c>
      <c r="O786" s="171">
        <v>1</v>
      </c>
      <c r="P786" s="153">
        <f>3131/219*O786</f>
        <v>14.296803652968036</v>
      </c>
      <c r="Q786" s="165" t="s">
        <v>16</v>
      </c>
      <c r="R786" s="171">
        <v>5.0999999999999996</v>
      </c>
      <c r="S786" s="167"/>
      <c r="T786" s="168"/>
      <c r="U786" s="125">
        <f t="shared" si="197"/>
        <v>73.709153175591524</v>
      </c>
      <c r="V786" s="113">
        <f t="shared" si="198"/>
        <v>0.81899059083990577</v>
      </c>
      <c r="W786" s="114">
        <f t="shared" si="199"/>
        <v>0.11699865583427226</v>
      </c>
      <c r="X786" s="167"/>
      <c r="Y786" s="167"/>
      <c r="Z786" s="102"/>
      <c r="AA786" s="103">
        <v>45863</v>
      </c>
      <c r="AB786" s="103">
        <v>45887</v>
      </c>
      <c r="AC786" s="103"/>
      <c r="AD786" s="102">
        <f>IF(ISNA(VLOOKUP(D786,亚马逊入库配置费!B:F,5,0)),0,VLOOKUP(D786,亚马逊入库配置费!B:F,5,0))</f>
        <v>0.48030172413793099</v>
      </c>
      <c r="AE786" s="102">
        <f t="shared" si="192"/>
        <v>43.227155172413788</v>
      </c>
      <c r="AF786" s="103">
        <v>45900</v>
      </c>
      <c r="AG786" s="91">
        <f t="shared" si="193"/>
        <v>37</v>
      </c>
      <c r="AH786" s="103">
        <v>45900</v>
      </c>
      <c r="AI786" s="103">
        <v>45932</v>
      </c>
      <c r="AJ786" s="96">
        <v>90</v>
      </c>
      <c r="AK786" s="91">
        <f t="shared" si="194"/>
        <v>32</v>
      </c>
      <c r="AL786" s="96">
        <f t="shared" si="195"/>
        <v>69</v>
      </c>
      <c r="AM786" s="92"/>
      <c r="AN786" s="91"/>
      <c r="AO786" s="91"/>
    </row>
    <row r="787" spans="1:41" ht="14.5" x14ac:dyDescent="0.25">
      <c r="A787" s="92" t="s">
        <v>1428</v>
      </c>
      <c r="B787" s="91"/>
      <c r="C787" s="180" t="s">
        <v>1429</v>
      </c>
      <c r="D787" s="177" t="s">
        <v>1430</v>
      </c>
      <c r="E787" s="178" t="s">
        <v>287</v>
      </c>
      <c r="F787" s="178" t="s">
        <v>1369</v>
      </c>
      <c r="G787" s="179" t="s">
        <v>884</v>
      </c>
      <c r="H787" s="160">
        <v>16</v>
      </c>
      <c r="I787" s="160" t="s">
        <v>1234</v>
      </c>
      <c r="J787" s="126" t="s">
        <v>1387</v>
      </c>
      <c r="K787" s="177" t="s">
        <v>13</v>
      </c>
      <c r="L787" s="93" t="s">
        <v>3084</v>
      </c>
      <c r="M787" s="94" t="s">
        <v>3402</v>
      </c>
      <c r="N787" s="95" t="s">
        <v>51</v>
      </c>
      <c r="O787" s="171">
        <v>1</v>
      </c>
      <c r="P787" s="153">
        <f>2.23/34*O787</f>
        <v>6.5588235294117642E-2</v>
      </c>
      <c r="Q787" s="170" t="s">
        <v>3264</v>
      </c>
      <c r="R787" s="171">
        <v>2180</v>
      </c>
      <c r="S787" s="167"/>
      <c r="T787" s="168"/>
      <c r="U787" s="125">
        <f>R787*P787+220/34*O787</f>
        <v>149.45294117647057</v>
      </c>
      <c r="V787" s="113">
        <f t="shared" si="198"/>
        <v>9.3408088235294109</v>
      </c>
      <c r="W787" s="114">
        <f t="shared" si="199"/>
        <v>1.3344012605042015</v>
      </c>
      <c r="X787" s="167"/>
      <c r="Y787" s="167"/>
      <c r="Z787" s="102"/>
      <c r="AA787" s="103">
        <v>45863</v>
      </c>
      <c r="AB787" s="103">
        <v>45879</v>
      </c>
      <c r="AC787" s="103"/>
      <c r="AD787" s="102">
        <f>IF(ISNA(VLOOKUP(D787,亚马逊入库配置费!B:F,5,0)),0,VLOOKUP(D787,亚马逊入库配置费!B:F,5,0))</f>
        <v>0.49</v>
      </c>
      <c r="AE787" s="102">
        <f t="shared" si="192"/>
        <v>7.84</v>
      </c>
      <c r="AF787" s="103">
        <v>45883</v>
      </c>
      <c r="AG787" s="91">
        <f t="shared" si="193"/>
        <v>20</v>
      </c>
      <c r="AH787" s="103">
        <v>45883</v>
      </c>
      <c r="AI787" s="103">
        <v>45919</v>
      </c>
      <c r="AJ787" s="96">
        <v>16</v>
      </c>
      <c r="AK787" s="91">
        <f t="shared" si="194"/>
        <v>36</v>
      </c>
      <c r="AL787" s="96">
        <f t="shared" si="195"/>
        <v>56</v>
      </c>
      <c r="AM787" s="92"/>
      <c r="AN787" s="91"/>
      <c r="AO787" s="91"/>
    </row>
    <row r="788" spans="1:41" ht="14.5" x14ac:dyDescent="0.25">
      <c r="A788" s="92" t="s">
        <v>1431</v>
      </c>
      <c r="B788" s="91"/>
      <c r="C788" s="180" t="s">
        <v>1429</v>
      </c>
      <c r="D788" s="177" t="s">
        <v>1430</v>
      </c>
      <c r="E788" s="178" t="s">
        <v>287</v>
      </c>
      <c r="F788" s="178" t="s">
        <v>1369</v>
      </c>
      <c r="G788" s="179" t="s">
        <v>884</v>
      </c>
      <c r="H788" s="160">
        <v>512</v>
      </c>
      <c r="I788" s="160" t="s">
        <v>1234</v>
      </c>
      <c r="J788" s="126" t="s">
        <v>1387</v>
      </c>
      <c r="K788" s="177" t="s">
        <v>13</v>
      </c>
      <c r="L788" s="93" t="s">
        <v>3084</v>
      </c>
      <c r="M788" s="94" t="s">
        <v>3402</v>
      </c>
      <c r="N788" s="95" t="s">
        <v>51</v>
      </c>
      <c r="O788" s="171">
        <v>32</v>
      </c>
      <c r="P788" s="153">
        <f>2.23/34*O788</f>
        <v>2.0988235294117645</v>
      </c>
      <c r="Q788" s="170" t="s">
        <v>3264</v>
      </c>
      <c r="R788" s="171">
        <v>2180</v>
      </c>
      <c r="S788" s="167"/>
      <c r="T788" s="168"/>
      <c r="U788" s="125">
        <f>R788*P788+220/34*O788</f>
        <v>4782.4941176470584</v>
      </c>
      <c r="V788" s="113">
        <f t="shared" si="198"/>
        <v>9.3408088235294109</v>
      </c>
      <c r="W788" s="114">
        <f t="shared" si="199"/>
        <v>1.3344012605042015</v>
      </c>
      <c r="X788" s="167"/>
      <c r="Y788" s="167"/>
      <c r="Z788" s="102"/>
      <c r="AA788" s="103">
        <v>45863</v>
      </c>
      <c r="AB788" s="103">
        <v>45879</v>
      </c>
      <c r="AC788" s="103"/>
      <c r="AD788" s="102">
        <f>IF(ISNA(VLOOKUP(D788,亚马逊入库配置费!B:F,5,0)),0,VLOOKUP(D788,亚马逊入库配置费!B:F,5,0))</f>
        <v>0.49</v>
      </c>
      <c r="AE788" s="102">
        <f t="shared" si="192"/>
        <v>250.88</v>
      </c>
      <c r="AF788" s="103">
        <v>45883</v>
      </c>
      <c r="AG788" s="91">
        <f t="shared" si="193"/>
        <v>20</v>
      </c>
      <c r="AH788" s="103">
        <v>45883</v>
      </c>
      <c r="AI788" s="103">
        <v>45919</v>
      </c>
      <c r="AJ788" s="96">
        <v>512</v>
      </c>
      <c r="AK788" s="91">
        <f t="shared" si="194"/>
        <v>36</v>
      </c>
      <c r="AL788" s="96">
        <f t="shared" si="195"/>
        <v>56</v>
      </c>
      <c r="AM788" s="92"/>
      <c r="AN788" s="91"/>
      <c r="AO788" s="91"/>
    </row>
    <row r="789" spans="1:41" ht="14.5" x14ac:dyDescent="0.25">
      <c r="A789" s="92" t="s">
        <v>1432</v>
      </c>
      <c r="B789" s="91"/>
      <c r="C789" s="180" t="s">
        <v>1429</v>
      </c>
      <c r="D789" s="177" t="s">
        <v>1430</v>
      </c>
      <c r="E789" s="178" t="s">
        <v>287</v>
      </c>
      <c r="F789" s="178" t="s">
        <v>1369</v>
      </c>
      <c r="G789" s="179" t="s">
        <v>884</v>
      </c>
      <c r="H789" s="160">
        <v>2</v>
      </c>
      <c r="I789" s="160" t="s">
        <v>1234</v>
      </c>
      <c r="J789" s="126" t="s">
        <v>1387</v>
      </c>
      <c r="K789" s="177" t="s">
        <v>13</v>
      </c>
      <c r="L789" s="93" t="s">
        <v>3084</v>
      </c>
      <c r="M789" s="94" t="s">
        <v>3402</v>
      </c>
      <c r="N789" s="95" t="s">
        <v>51</v>
      </c>
      <c r="O789" s="171">
        <f>2/16</f>
        <v>0.125</v>
      </c>
      <c r="P789" s="153">
        <f>2.23/34*O789</f>
        <v>8.1985294117647052E-3</v>
      </c>
      <c r="Q789" s="170" t="s">
        <v>3264</v>
      </c>
      <c r="R789" s="171">
        <v>2180</v>
      </c>
      <c r="S789" s="167"/>
      <c r="T789" s="168"/>
      <c r="U789" s="125">
        <f>R789*P789+220/34*O789</f>
        <v>18.681617647058822</v>
      </c>
      <c r="V789" s="113">
        <f t="shared" si="198"/>
        <v>9.3408088235294109</v>
      </c>
      <c r="W789" s="114">
        <f t="shared" si="199"/>
        <v>1.3344012605042015</v>
      </c>
      <c r="X789" s="167"/>
      <c r="Y789" s="167"/>
      <c r="Z789" s="102"/>
      <c r="AA789" s="103">
        <v>45863</v>
      </c>
      <c r="AB789" s="103">
        <v>45879</v>
      </c>
      <c r="AC789" s="103"/>
      <c r="AD789" s="102">
        <f>IF(ISNA(VLOOKUP(D789,亚马逊入库配置费!B:F,5,0)),0,VLOOKUP(D789,亚马逊入库配置费!B:F,5,0))</f>
        <v>0.49</v>
      </c>
      <c r="AE789" s="102">
        <f t="shared" si="192"/>
        <v>0.98</v>
      </c>
      <c r="AF789" s="103">
        <v>45883</v>
      </c>
      <c r="AG789" s="91">
        <f t="shared" si="193"/>
        <v>20</v>
      </c>
      <c r="AH789" s="103">
        <v>45883</v>
      </c>
      <c r="AI789" s="103">
        <v>45919</v>
      </c>
      <c r="AJ789" s="96">
        <v>0</v>
      </c>
      <c r="AK789" s="91">
        <f t="shared" si="194"/>
        <v>36</v>
      </c>
      <c r="AL789" s="96">
        <f t="shared" si="195"/>
        <v>56</v>
      </c>
      <c r="AM789" s="92"/>
      <c r="AN789" s="91"/>
      <c r="AO789" s="91"/>
    </row>
    <row r="790" spans="1:41" ht="14.5" x14ac:dyDescent="0.25">
      <c r="A790" s="92" t="s">
        <v>1433</v>
      </c>
      <c r="B790" s="91"/>
      <c r="C790" s="180" t="s">
        <v>1429</v>
      </c>
      <c r="D790" s="177" t="s">
        <v>1430</v>
      </c>
      <c r="E790" s="178" t="s">
        <v>287</v>
      </c>
      <c r="F790" s="178" t="s">
        <v>1369</v>
      </c>
      <c r="G790" s="179" t="s">
        <v>884</v>
      </c>
      <c r="H790" s="160">
        <v>14</v>
      </c>
      <c r="I790" s="160" t="s">
        <v>1234</v>
      </c>
      <c r="J790" s="126" t="s">
        <v>1387</v>
      </c>
      <c r="K790" s="177" t="s">
        <v>13</v>
      </c>
      <c r="L790" s="93" t="s">
        <v>3084</v>
      </c>
      <c r="M790" s="94" t="s">
        <v>3402</v>
      </c>
      <c r="N790" s="95" t="s">
        <v>51</v>
      </c>
      <c r="O790" s="171">
        <f>14/16</f>
        <v>0.875</v>
      </c>
      <c r="P790" s="153">
        <f>2.23/34*O790</f>
        <v>5.738970588235294E-2</v>
      </c>
      <c r="Q790" s="170" t="s">
        <v>3264</v>
      </c>
      <c r="R790" s="171">
        <v>2180</v>
      </c>
      <c r="S790" s="167"/>
      <c r="T790" s="168"/>
      <c r="U790" s="125">
        <f>R790*P790+220/34*O790</f>
        <v>130.77132352941177</v>
      </c>
      <c r="V790" s="113">
        <f t="shared" si="198"/>
        <v>9.3408088235294127</v>
      </c>
      <c r="W790" s="114">
        <f t="shared" si="199"/>
        <v>1.3344012605042017</v>
      </c>
      <c r="X790" s="167"/>
      <c r="Y790" s="167"/>
      <c r="Z790" s="102"/>
      <c r="AA790" s="103">
        <v>45863</v>
      </c>
      <c r="AB790" s="103">
        <v>45879</v>
      </c>
      <c r="AC790" s="103"/>
      <c r="AD790" s="102">
        <f>IF(ISNA(VLOOKUP(D790,亚马逊入库配置费!B:F,5,0)),0,VLOOKUP(D790,亚马逊入库配置费!B:F,5,0))</f>
        <v>0.49</v>
      </c>
      <c r="AE790" s="102">
        <f t="shared" si="192"/>
        <v>6.8599999999999994</v>
      </c>
      <c r="AF790" s="103">
        <v>45883</v>
      </c>
      <c r="AG790" s="91">
        <f t="shared" si="193"/>
        <v>20</v>
      </c>
      <c r="AH790" s="103">
        <v>45883</v>
      </c>
      <c r="AI790" s="103">
        <v>45919</v>
      </c>
      <c r="AJ790" s="96">
        <v>14</v>
      </c>
      <c r="AK790" s="91">
        <f t="shared" si="194"/>
        <v>36</v>
      </c>
      <c r="AL790" s="96">
        <f t="shared" si="195"/>
        <v>56</v>
      </c>
      <c r="AM790" s="92"/>
      <c r="AN790" s="91"/>
      <c r="AO790" s="91"/>
    </row>
    <row r="791" spans="1:41" ht="14.5" x14ac:dyDescent="0.25">
      <c r="A791" s="92" t="s">
        <v>1434</v>
      </c>
      <c r="B791" s="91"/>
      <c r="C791" s="180" t="s">
        <v>1435</v>
      </c>
      <c r="D791" s="177" t="s">
        <v>1436</v>
      </c>
      <c r="E791" s="178" t="s">
        <v>115</v>
      </c>
      <c r="F791" s="178" t="s">
        <v>1369</v>
      </c>
      <c r="G791" s="179" t="s">
        <v>209</v>
      </c>
      <c r="H791" s="160">
        <v>224</v>
      </c>
      <c r="I791" s="160" t="s">
        <v>502</v>
      </c>
      <c r="J791" s="160" t="s">
        <v>1365</v>
      </c>
      <c r="K791" s="177" t="s">
        <v>14</v>
      </c>
      <c r="L791" s="93" t="s">
        <v>3033</v>
      </c>
      <c r="M791" s="94" t="s">
        <v>3311</v>
      </c>
      <c r="N791" s="95" t="s">
        <v>2869</v>
      </c>
      <c r="O791" s="180">
        <v>14</v>
      </c>
      <c r="P791" s="153">
        <f>1185/95*O791</f>
        <v>174.63157894736841</v>
      </c>
      <c r="Q791" s="119" t="s">
        <v>16</v>
      </c>
      <c r="R791" s="180">
        <v>5.5</v>
      </c>
      <c r="S791" s="167"/>
      <c r="T791" s="168"/>
      <c r="U791" s="125">
        <f>R791*P791+350/207*O791</f>
        <v>984.14518179506729</v>
      </c>
      <c r="V791" s="113">
        <f t="shared" si="198"/>
        <v>4.3935052758708357</v>
      </c>
      <c r="W791" s="114">
        <f t="shared" si="199"/>
        <v>0.6276436108386908</v>
      </c>
      <c r="X791" s="167"/>
      <c r="Y791" s="167"/>
      <c r="Z791" s="102"/>
      <c r="AA791" s="103">
        <v>45871</v>
      </c>
      <c r="AB791" s="103">
        <v>45891</v>
      </c>
      <c r="AC791" s="103"/>
      <c r="AD791" s="102">
        <f>IF(ISNA(VLOOKUP(D791,亚马逊入库配置费!B:F,5,0)),0,VLOOKUP(D791,亚马逊入库配置费!B:F,5,0))</f>
        <v>0.41675207234363199</v>
      </c>
      <c r="AE791" s="102">
        <f t="shared" si="192"/>
        <v>93.352464204973558</v>
      </c>
      <c r="AF791" s="103">
        <v>45915</v>
      </c>
      <c r="AG791" s="91">
        <f t="shared" si="193"/>
        <v>44</v>
      </c>
      <c r="AH791" s="103">
        <v>45915</v>
      </c>
      <c r="AI791" s="103">
        <v>45949</v>
      </c>
      <c r="AJ791" s="96">
        <v>223</v>
      </c>
      <c r="AK791" s="91">
        <f t="shared" si="194"/>
        <v>34</v>
      </c>
      <c r="AL791" s="96">
        <f t="shared" si="195"/>
        <v>78</v>
      </c>
      <c r="AM791" s="92"/>
      <c r="AN791" s="91"/>
      <c r="AO791" s="91"/>
    </row>
    <row r="792" spans="1:41" ht="14.5" x14ac:dyDescent="0.25">
      <c r="A792" s="92" t="s">
        <v>1437</v>
      </c>
      <c r="B792" s="91"/>
      <c r="C792" s="180" t="s">
        <v>1435</v>
      </c>
      <c r="D792" s="177" t="s">
        <v>1436</v>
      </c>
      <c r="E792" s="178" t="s">
        <v>115</v>
      </c>
      <c r="F792" s="178" t="s">
        <v>1369</v>
      </c>
      <c r="G792" s="179" t="s">
        <v>211</v>
      </c>
      <c r="H792" s="160">
        <v>1710</v>
      </c>
      <c r="I792" s="160" t="s">
        <v>502</v>
      </c>
      <c r="J792" s="160" t="s">
        <v>1365</v>
      </c>
      <c r="K792" s="177" t="s">
        <v>14</v>
      </c>
      <c r="L792" s="93" t="s">
        <v>3034</v>
      </c>
      <c r="M792" s="94" t="s">
        <v>3312</v>
      </c>
      <c r="N792" s="95" t="s">
        <v>2869</v>
      </c>
      <c r="O792" s="180">
        <v>57</v>
      </c>
      <c r="P792" s="153">
        <f>1185/95*O792</f>
        <v>711</v>
      </c>
      <c r="Q792" s="119" t="s">
        <v>16</v>
      </c>
      <c r="R792" s="180">
        <v>5.5</v>
      </c>
      <c r="S792" s="167"/>
      <c r="T792" s="168"/>
      <c r="U792" s="125">
        <f>R792*P792+350/207*O792</f>
        <v>4006.876811594203</v>
      </c>
      <c r="V792" s="113">
        <f t="shared" si="198"/>
        <v>2.3432028137977796</v>
      </c>
      <c r="W792" s="114">
        <f t="shared" si="199"/>
        <v>0.33474325911396852</v>
      </c>
      <c r="X792" s="167"/>
      <c r="Y792" s="167"/>
      <c r="Z792" s="102"/>
      <c r="AA792" s="103">
        <v>45871</v>
      </c>
      <c r="AB792" s="103">
        <v>45891</v>
      </c>
      <c r="AC792" s="103"/>
      <c r="AD792" s="102">
        <f>IF(ISNA(VLOOKUP(D792,亚马逊入库配置费!B:F,5,0)),0,VLOOKUP(D792,亚马逊入库配置费!B:F,5,0))</f>
        <v>0.41675207234363199</v>
      </c>
      <c r="AE792" s="102">
        <f t="shared" si="192"/>
        <v>712.64604370761072</v>
      </c>
      <c r="AF792" s="103">
        <v>45915</v>
      </c>
      <c r="AG792" s="91">
        <f t="shared" si="193"/>
        <v>44</v>
      </c>
      <c r="AH792" s="103">
        <v>45915</v>
      </c>
      <c r="AI792" s="103">
        <v>45949</v>
      </c>
      <c r="AJ792" s="96">
        <v>1711</v>
      </c>
      <c r="AK792" s="91">
        <f t="shared" si="194"/>
        <v>34</v>
      </c>
      <c r="AL792" s="96">
        <f t="shared" si="195"/>
        <v>78</v>
      </c>
      <c r="AM792" s="92"/>
      <c r="AN792" s="91"/>
      <c r="AO792" s="91"/>
    </row>
    <row r="793" spans="1:41" ht="14.5" x14ac:dyDescent="0.25">
      <c r="A793" s="92" t="s">
        <v>1438</v>
      </c>
      <c r="B793" s="91"/>
      <c r="C793" s="180" t="s">
        <v>1435</v>
      </c>
      <c r="D793" s="177" t="s">
        <v>1436</v>
      </c>
      <c r="E793" s="178" t="s">
        <v>115</v>
      </c>
      <c r="F793" s="178" t="s">
        <v>1369</v>
      </c>
      <c r="G793" s="179" t="s">
        <v>487</v>
      </c>
      <c r="H793" s="160">
        <v>180</v>
      </c>
      <c r="I793" s="160" t="s">
        <v>502</v>
      </c>
      <c r="J793" s="160" t="s">
        <v>1365</v>
      </c>
      <c r="K793" s="177" t="s">
        <v>14</v>
      </c>
      <c r="L793" s="93" t="s">
        <v>3066</v>
      </c>
      <c r="M793" s="94" t="s">
        <v>3359</v>
      </c>
      <c r="N793" s="95" t="s">
        <v>2869</v>
      </c>
      <c r="O793" s="180">
        <v>6</v>
      </c>
      <c r="P793" s="153">
        <f>1185/95*O793</f>
        <v>74.84210526315789</v>
      </c>
      <c r="Q793" s="119" t="s">
        <v>16</v>
      </c>
      <c r="R793" s="180">
        <v>5.5</v>
      </c>
      <c r="S793" s="167"/>
      <c r="T793" s="168"/>
      <c r="U793" s="125">
        <f>R793*P793+350/207*O793</f>
        <v>421.77650648360026</v>
      </c>
      <c r="V793" s="113">
        <f t="shared" si="198"/>
        <v>2.3432028137977792</v>
      </c>
      <c r="W793" s="114">
        <f t="shared" si="199"/>
        <v>0.33474325911396846</v>
      </c>
      <c r="X793" s="167"/>
      <c r="Y793" s="167"/>
      <c r="Z793" s="102"/>
      <c r="AA793" s="103">
        <v>45871</v>
      </c>
      <c r="AB793" s="103">
        <v>45891</v>
      </c>
      <c r="AC793" s="103"/>
      <c r="AD793" s="102">
        <f>IF(ISNA(VLOOKUP(D793,亚马逊入库配置费!B:F,5,0)),0,VLOOKUP(D793,亚马逊入库配置费!B:F,5,0))</f>
        <v>0.41675207234363199</v>
      </c>
      <c r="AE793" s="102">
        <f t="shared" si="192"/>
        <v>75.015373021853762</v>
      </c>
      <c r="AF793" s="103">
        <v>45915</v>
      </c>
      <c r="AG793" s="91">
        <f t="shared" si="193"/>
        <v>44</v>
      </c>
      <c r="AH793" s="103">
        <v>45915</v>
      </c>
      <c r="AI793" s="103">
        <v>45949</v>
      </c>
      <c r="AJ793" s="96">
        <v>180</v>
      </c>
      <c r="AK793" s="91">
        <f t="shared" si="194"/>
        <v>34</v>
      </c>
      <c r="AL793" s="96">
        <f t="shared" si="195"/>
        <v>78</v>
      </c>
      <c r="AM793" s="92"/>
      <c r="AN793" s="91"/>
      <c r="AO793" s="91"/>
    </row>
    <row r="794" spans="1:41" ht="14.5" x14ac:dyDescent="0.25">
      <c r="A794" s="92" t="s">
        <v>1439</v>
      </c>
      <c r="B794" s="91"/>
      <c r="C794" s="180" t="s">
        <v>1435</v>
      </c>
      <c r="D794" s="177" t="s">
        <v>1436</v>
      </c>
      <c r="E794" s="178" t="s">
        <v>115</v>
      </c>
      <c r="F794" s="178" t="s">
        <v>1369</v>
      </c>
      <c r="G794" s="179" t="s">
        <v>213</v>
      </c>
      <c r="H794" s="160">
        <v>540</v>
      </c>
      <c r="I794" s="160" t="s">
        <v>502</v>
      </c>
      <c r="J794" s="160" t="s">
        <v>1365</v>
      </c>
      <c r="K794" s="177" t="s">
        <v>14</v>
      </c>
      <c r="L794" s="93" t="s">
        <v>3035</v>
      </c>
      <c r="M794" s="94" t="s">
        <v>3313</v>
      </c>
      <c r="N794" s="95" t="s">
        <v>2869</v>
      </c>
      <c r="O794" s="180">
        <v>18</v>
      </c>
      <c r="P794" s="153">
        <f>1185/95*O794</f>
        <v>224.52631578947367</v>
      </c>
      <c r="Q794" s="119" t="s">
        <v>16</v>
      </c>
      <c r="R794" s="180">
        <v>5.5</v>
      </c>
      <c r="S794" s="167"/>
      <c r="T794" s="168"/>
      <c r="U794" s="125">
        <f>R794*P794+350/207*O794</f>
        <v>1265.3295194508009</v>
      </c>
      <c r="V794" s="113">
        <f t="shared" si="198"/>
        <v>2.3432028137977796</v>
      </c>
      <c r="W794" s="114">
        <f t="shared" si="199"/>
        <v>0.33474325911396852</v>
      </c>
      <c r="X794" s="167"/>
      <c r="Y794" s="167"/>
      <c r="Z794" s="102"/>
      <c r="AA794" s="103">
        <v>45871</v>
      </c>
      <c r="AB794" s="103">
        <v>45891</v>
      </c>
      <c r="AC794" s="103"/>
      <c r="AD794" s="102">
        <f>IF(ISNA(VLOOKUP(D794,亚马逊入库配置费!B:F,5,0)),0,VLOOKUP(D794,亚马逊入库配置费!B:F,5,0))</f>
        <v>0.41675207234363199</v>
      </c>
      <c r="AE794" s="102">
        <f t="shared" si="192"/>
        <v>225.04611906556127</v>
      </c>
      <c r="AF794" s="103">
        <v>45915</v>
      </c>
      <c r="AG794" s="91">
        <f t="shared" si="193"/>
        <v>44</v>
      </c>
      <c r="AH794" s="103">
        <v>45915</v>
      </c>
      <c r="AI794" s="103">
        <v>45949</v>
      </c>
      <c r="AJ794" s="96">
        <v>540</v>
      </c>
      <c r="AK794" s="91">
        <f t="shared" si="194"/>
        <v>34</v>
      </c>
      <c r="AL794" s="96">
        <f t="shared" si="195"/>
        <v>78</v>
      </c>
      <c r="AM794" s="92"/>
      <c r="AN794" s="91"/>
      <c r="AO794" s="91"/>
    </row>
    <row r="795" spans="1:41" ht="14.5" x14ac:dyDescent="0.25">
      <c r="A795" s="92" t="s">
        <v>1440</v>
      </c>
      <c r="B795" s="91"/>
      <c r="C795" s="180" t="s">
        <v>1441</v>
      </c>
      <c r="D795" s="177" t="s">
        <v>1442</v>
      </c>
      <c r="E795" s="178" t="s">
        <v>97</v>
      </c>
      <c r="F795" s="178" t="s">
        <v>1369</v>
      </c>
      <c r="G795" s="179" t="s">
        <v>161</v>
      </c>
      <c r="H795" s="160">
        <v>320</v>
      </c>
      <c r="I795" s="160" t="s">
        <v>1227</v>
      </c>
      <c r="J795" s="160" t="s">
        <v>503</v>
      </c>
      <c r="K795" s="177" t="s">
        <v>11</v>
      </c>
      <c r="L795" s="93" t="s">
        <v>3024</v>
      </c>
      <c r="M795" s="94" t="s">
        <v>3301</v>
      </c>
      <c r="N795" s="95" t="s">
        <v>2870</v>
      </c>
      <c r="O795" s="174">
        <v>10</v>
      </c>
      <c r="P795" s="97">
        <f t="shared" ref="P795:P803" si="200">2727/196*O795</f>
        <v>139.13265306122449</v>
      </c>
      <c r="Q795" s="173" t="s">
        <v>1443</v>
      </c>
      <c r="R795" s="174">
        <v>3.4</v>
      </c>
      <c r="S795" s="175"/>
      <c r="T795" s="131"/>
      <c r="U795" s="157">
        <f t="shared" ref="U795:U803" si="201">R795*P795+400/228*O795</f>
        <v>490.59488005728605</v>
      </c>
      <c r="V795" s="113">
        <f t="shared" si="198"/>
        <v>1.5331090001790189</v>
      </c>
      <c r="W795" s="114">
        <f t="shared" si="199"/>
        <v>0.21901557145414555</v>
      </c>
      <c r="X795" s="175"/>
      <c r="Y795" s="175"/>
      <c r="Z795" s="102"/>
      <c r="AA795" s="103">
        <v>45871</v>
      </c>
      <c r="AB795" s="103">
        <v>45888</v>
      </c>
      <c r="AC795" s="103"/>
      <c r="AD795" s="102">
        <f>IF(ISNA(VLOOKUP(D795,亚马逊入库配置费!B:F,5,0)),0,VLOOKUP(D795,亚马逊入库配置费!B:F,5,0))</f>
        <v>0.349732620320856</v>
      </c>
      <c r="AE795" s="102">
        <f t="shared" si="192"/>
        <v>111.91443850267392</v>
      </c>
      <c r="AF795" s="103">
        <v>45900</v>
      </c>
      <c r="AG795" s="91">
        <f t="shared" si="193"/>
        <v>29</v>
      </c>
      <c r="AH795" s="103">
        <v>45900</v>
      </c>
      <c r="AI795" s="103">
        <v>45929</v>
      </c>
      <c r="AJ795" s="96">
        <v>288</v>
      </c>
      <c r="AK795" s="91">
        <f t="shared" si="194"/>
        <v>29</v>
      </c>
      <c r="AL795" s="96">
        <f t="shared" si="195"/>
        <v>58</v>
      </c>
      <c r="AM795" s="92"/>
      <c r="AN795" s="91"/>
      <c r="AO795" s="91"/>
    </row>
    <row r="796" spans="1:41" ht="14.5" x14ac:dyDescent="0.25">
      <c r="A796" s="92" t="s">
        <v>1444</v>
      </c>
      <c r="B796" s="91"/>
      <c r="C796" s="180" t="s">
        <v>1441</v>
      </c>
      <c r="D796" s="177" t="s">
        <v>1442</v>
      </c>
      <c r="E796" s="178" t="s">
        <v>97</v>
      </c>
      <c r="F796" s="178" t="s">
        <v>1369</v>
      </c>
      <c r="G796" s="179" t="s">
        <v>228</v>
      </c>
      <c r="H796" s="160">
        <v>300</v>
      </c>
      <c r="I796" s="160" t="s">
        <v>1227</v>
      </c>
      <c r="J796" s="160" t="s">
        <v>503</v>
      </c>
      <c r="K796" s="177" t="s">
        <v>11</v>
      </c>
      <c r="L796" s="93" t="s">
        <v>3036</v>
      </c>
      <c r="M796" s="94" t="s">
        <v>3315</v>
      </c>
      <c r="N796" s="95" t="s">
        <v>2870</v>
      </c>
      <c r="O796" s="174">
        <v>15</v>
      </c>
      <c r="P796" s="97">
        <f t="shared" si="200"/>
        <v>208.69897959183675</v>
      </c>
      <c r="Q796" s="173" t="s">
        <v>1443</v>
      </c>
      <c r="R796" s="174">
        <v>3.4</v>
      </c>
      <c r="S796" s="175"/>
      <c r="T796" s="131"/>
      <c r="U796" s="157">
        <f t="shared" si="201"/>
        <v>735.8923200859291</v>
      </c>
      <c r="V796" s="113">
        <f t="shared" si="198"/>
        <v>2.4529744002864304</v>
      </c>
      <c r="W796" s="114">
        <f t="shared" si="199"/>
        <v>0.35042491432663292</v>
      </c>
      <c r="X796" s="175"/>
      <c r="Y796" s="175"/>
      <c r="Z796" s="102"/>
      <c r="AA796" s="103">
        <v>45871</v>
      </c>
      <c r="AB796" s="103">
        <v>45888</v>
      </c>
      <c r="AC796" s="103"/>
      <c r="AD796" s="102">
        <f>IF(ISNA(VLOOKUP(D796,亚马逊入库配置费!B:F,5,0)),0,VLOOKUP(D796,亚马逊入库配置费!B:F,5,0))</f>
        <v>0.349732620320856</v>
      </c>
      <c r="AE796" s="102">
        <f t="shared" si="192"/>
        <v>104.9197860962568</v>
      </c>
      <c r="AF796" s="103">
        <v>45900</v>
      </c>
      <c r="AG796" s="91">
        <f t="shared" si="193"/>
        <v>29</v>
      </c>
      <c r="AH796" s="103">
        <v>45900</v>
      </c>
      <c r="AI796" s="103">
        <v>45929</v>
      </c>
      <c r="AJ796" s="96">
        <v>298</v>
      </c>
      <c r="AK796" s="91">
        <f t="shared" si="194"/>
        <v>29</v>
      </c>
      <c r="AL796" s="96">
        <f t="shared" si="195"/>
        <v>58</v>
      </c>
      <c r="AM796" s="92"/>
      <c r="AN796" s="91"/>
      <c r="AO796" s="91"/>
    </row>
    <row r="797" spans="1:41" ht="14.5" x14ac:dyDescent="0.25">
      <c r="A797" s="92" t="s">
        <v>1445</v>
      </c>
      <c r="B797" s="91"/>
      <c r="C797" s="180" t="s">
        <v>1441</v>
      </c>
      <c r="D797" s="177" t="s">
        <v>1442</v>
      </c>
      <c r="E797" s="178" t="s">
        <v>97</v>
      </c>
      <c r="F797" s="178" t="s">
        <v>1369</v>
      </c>
      <c r="G797" s="179" t="s">
        <v>163</v>
      </c>
      <c r="H797" s="160">
        <v>4000</v>
      </c>
      <c r="I797" s="160" t="s">
        <v>1227</v>
      </c>
      <c r="J797" s="160" t="s">
        <v>503</v>
      </c>
      <c r="K797" s="177" t="s">
        <v>11</v>
      </c>
      <c r="L797" s="93" t="s">
        <v>2881</v>
      </c>
      <c r="M797" s="94" t="s">
        <v>3302</v>
      </c>
      <c r="N797" s="95" t="s">
        <v>2870</v>
      </c>
      <c r="O797" s="174">
        <v>100</v>
      </c>
      <c r="P797" s="97">
        <f t="shared" si="200"/>
        <v>1391.3265306122448</v>
      </c>
      <c r="Q797" s="173" t="s">
        <v>1443</v>
      </c>
      <c r="R797" s="174">
        <v>3.4</v>
      </c>
      <c r="S797" s="175"/>
      <c r="T797" s="131"/>
      <c r="U797" s="157">
        <f t="shared" si="201"/>
        <v>4905.9488005728599</v>
      </c>
      <c r="V797" s="113">
        <f t="shared" si="198"/>
        <v>1.226487200143215</v>
      </c>
      <c r="W797" s="114">
        <f t="shared" si="199"/>
        <v>0.17521245716331643</v>
      </c>
      <c r="X797" s="175"/>
      <c r="Y797" s="175"/>
      <c r="Z797" s="102"/>
      <c r="AA797" s="103">
        <v>45871</v>
      </c>
      <c r="AB797" s="103">
        <v>45888</v>
      </c>
      <c r="AC797" s="103"/>
      <c r="AD797" s="102">
        <f>IF(ISNA(VLOOKUP(D797,亚马逊入库配置费!B:F,5,0)),0,VLOOKUP(D797,亚马逊入库配置费!B:F,5,0))</f>
        <v>0.349732620320856</v>
      </c>
      <c r="AE797" s="102">
        <f t="shared" si="192"/>
        <v>1398.9304812834241</v>
      </c>
      <c r="AF797" s="103">
        <v>45900</v>
      </c>
      <c r="AG797" s="91">
        <f t="shared" si="193"/>
        <v>29</v>
      </c>
      <c r="AH797" s="103">
        <v>45900</v>
      </c>
      <c r="AI797" s="103">
        <v>45929</v>
      </c>
      <c r="AJ797" s="96">
        <v>3997</v>
      </c>
      <c r="AK797" s="91">
        <f t="shared" si="194"/>
        <v>29</v>
      </c>
      <c r="AL797" s="96">
        <f t="shared" si="195"/>
        <v>58</v>
      </c>
      <c r="AM797" s="92"/>
      <c r="AN797" s="91"/>
      <c r="AO797" s="91"/>
    </row>
    <row r="798" spans="1:41" ht="14.5" x14ac:dyDescent="0.25">
      <c r="A798" s="92" t="s">
        <v>1446</v>
      </c>
      <c r="B798" s="91"/>
      <c r="C798" s="180" t="s">
        <v>1441</v>
      </c>
      <c r="D798" s="177" t="s">
        <v>1442</v>
      </c>
      <c r="E798" s="178" t="s">
        <v>97</v>
      </c>
      <c r="F798" s="178" t="s">
        <v>1369</v>
      </c>
      <c r="G798" s="179" t="s">
        <v>872</v>
      </c>
      <c r="H798" s="160">
        <v>420</v>
      </c>
      <c r="I798" s="160" t="s">
        <v>1227</v>
      </c>
      <c r="J798" s="160" t="s">
        <v>503</v>
      </c>
      <c r="K798" s="177" t="s">
        <v>11</v>
      </c>
      <c r="L798" s="93" t="s">
        <v>872</v>
      </c>
      <c r="M798" s="94" t="s">
        <v>3399</v>
      </c>
      <c r="N798" s="95" t="s">
        <v>2870</v>
      </c>
      <c r="O798" s="174">
        <v>14</v>
      </c>
      <c r="P798" s="97">
        <f t="shared" si="200"/>
        <v>194.78571428571428</v>
      </c>
      <c r="Q798" s="173" t="s">
        <v>1443</v>
      </c>
      <c r="R798" s="174">
        <v>3.4</v>
      </c>
      <c r="S798" s="175"/>
      <c r="T798" s="131"/>
      <c r="U798" s="157">
        <f t="shared" si="201"/>
        <v>686.83283208020043</v>
      </c>
      <c r="V798" s="113">
        <f t="shared" si="198"/>
        <v>1.63531626685762</v>
      </c>
      <c r="W798" s="114">
        <f t="shared" si="199"/>
        <v>0.23361660955108857</v>
      </c>
      <c r="X798" s="175"/>
      <c r="Y798" s="175"/>
      <c r="Z798" s="102"/>
      <c r="AA798" s="103">
        <v>45871</v>
      </c>
      <c r="AB798" s="103">
        <v>45888</v>
      </c>
      <c r="AC798" s="103"/>
      <c r="AD798" s="102">
        <f>IF(ISNA(VLOOKUP(D798,亚马逊入库配置费!B:F,5,0)),0,VLOOKUP(D798,亚马逊入库配置费!B:F,5,0))</f>
        <v>0.349732620320856</v>
      </c>
      <c r="AE798" s="102">
        <f t="shared" si="192"/>
        <v>146.88770053475952</v>
      </c>
      <c r="AF798" s="103">
        <v>45900</v>
      </c>
      <c r="AG798" s="91">
        <f t="shared" si="193"/>
        <v>29</v>
      </c>
      <c r="AH798" s="103">
        <v>45900</v>
      </c>
      <c r="AI798" s="103">
        <v>45929</v>
      </c>
      <c r="AJ798" s="96">
        <v>417</v>
      </c>
      <c r="AK798" s="91">
        <f t="shared" si="194"/>
        <v>29</v>
      </c>
      <c r="AL798" s="96">
        <f t="shared" si="195"/>
        <v>58</v>
      </c>
      <c r="AM798" s="92"/>
      <c r="AN798" s="91"/>
      <c r="AO798" s="91"/>
    </row>
    <row r="799" spans="1:41" ht="14.5" x14ac:dyDescent="0.25">
      <c r="A799" s="92" t="s">
        <v>1447</v>
      </c>
      <c r="B799" s="91"/>
      <c r="C799" s="180" t="s">
        <v>1441</v>
      </c>
      <c r="D799" s="177" t="s">
        <v>1442</v>
      </c>
      <c r="E799" s="178" t="s">
        <v>97</v>
      </c>
      <c r="F799" s="178" t="s">
        <v>1369</v>
      </c>
      <c r="G799" s="179" t="s">
        <v>853</v>
      </c>
      <c r="H799" s="160">
        <v>400</v>
      </c>
      <c r="I799" s="160" t="s">
        <v>1227</v>
      </c>
      <c r="J799" s="160" t="s">
        <v>503</v>
      </c>
      <c r="K799" s="177" t="s">
        <v>11</v>
      </c>
      <c r="L799" s="93" t="s">
        <v>853</v>
      </c>
      <c r="M799" s="94" t="s">
        <v>3396</v>
      </c>
      <c r="N799" s="95" t="s">
        <v>2870</v>
      </c>
      <c r="O799" s="174">
        <v>10</v>
      </c>
      <c r="P799" s="97">
        <f t="shared" si="200"/>
        <v>139.13265306122449</v>
      </c>
      <c r="Q799" s="173" t="s">
        <v>1443</v>
      </c>
      <c r="R799" s="174">
        <v>3.4</v>
      </c>
      <c r="S799" s="175"/>
      <c r="T799" s="131"/>
      <c r="U799" s="157">
        <f t="shared" si="201"/>
        <v>490.59488005728605</v>
      </c>
      <c r="V799" s="113">
        <f t="shared" si="198"/>
        <v>1.2264872001432152</v>
      </c>
      <c r="W799" s="114">
        <f t="shared" si="199"/>
        <v>0.17521245716331646</v>
      </c>
      <c r="X799" s="175"/>
      <c r="Y799" s="175"/>
      <c r="Z799" s="102"/>
      <c r="AA799" s="103">
        <v>45871</v>
      </c>
      <c r="AB799" s="103">
        <v>45888</v>
      </c>
      <c r="AC799" s="103"/>
      <c r="AD799" s="102">
        <f>IF(ISNA(VLOOKUP(D799,亚马逊入库配置费!B:F,5,0)),0,VLOOKUP(D799,亚马逊入库配置费!B:F,5,0))</f>
        <v>0.349732620320856</v>
      </c>
      <c r="AE799" s="102">
        <f t="shared" si="192"/>
        <v>139.8930481283424</v>
      </c>
      <c r="AF799" s="103">
        <v>45900</v>
      </c>
      <c r="AG799" s="91">
        <f t="shared" si="193"/>
        <v>29</v>
      </c>
      <c r="AH799" s="103">
        <v>45900</v>
      </c>
      <c r="AI799" s="103">
        <v>45929</v>
      </c>
      <c r="AJ799" s="96">
        <v>400</v>
      </c>
      <c r="AK799" s="91">
        <f t="shared" si="194"/>
        <v>29</v>
      </c>
      <c r="AL799" s="96">
        <f t="shared" si="195"/>
        <v>58</v>
      </c>
      <c r="AM799" s="92"/>
      <c r="AN799" s="91"/>
      <c r="AO799" s="91"/>
    </row>
    <row r="800" spans="1:41" ht="14.5" x14ac:dyDescent="0.25">
      <c r="A800" s="92" t="s">
        <v>1448</v>
      </c>
      <c r="B800" s="91"/>
      <c r="C800" s="180" t="s">
        <v>1441</v>
      </c>
      <c r="D800" s="177" t="s">
        <v>1442</v>
      </c>
      <c r="E800" s="178" t="s">
        <v>97</v>
      </c>
      <c r="F800" s="178" t="s">
        <v>1369</v>
      </c>
      <c r="G800" s="179" t="s">
        <v>350</v>
      </c>
      <c r="H800" s="160">
        <v>480</v>
      </c>
      <c r="I800" s="160" t="s">
        <v>1227</v>
      </c>
      <c r="J800" s="160" t="s">
        <v>503</v>
      </c>
      <c r="K800" s="177" t="s">
        <v>11</v>
      </c>
      <c r="L800" s="93" t="s">
        <v>3048</v>
      </c>
      <c r="M800" s="94" t="s">
        <v>3208</v>
      </c>
      <c r="N800" s="95" t="s">
        <v>2870</v>
      </c>
      <c r="O800" s="174">
        <v>12</v>
      </c>
      <c r="P800" s="97">
        <f t="shared" si="200"/>
        <v>166.9591836734694</v>
      </c>
      <c r="Q800" s="173" t="s">
        <v>1443</v>
      </c>
      <c r="R800" s="174">
        <v>3.4</v>
      </c>
      <c r="S800" s="175"/>
      <c r="T800" s="131"/>
      <c r="U800" s="157">
        <f t="shared" si="201"/>
        <v>588.71385606874333</v>
      </c>
      <c r="V800" s="113">
        <f t="shared" si="198"/>
        <v>1.2264872001432152</v>
      </c>
      <c r="W800" s="114">
        <f t="shared" si="199"/>
        <v>0.17521245716331646</v>
      </c>
      <c r="X800" s="175"/>
      <c r="Y800" s="175"/>
      <c r="Z800" s="102"/>
      <c r="AA800" s="103">
        <v>45871</v>
      </c>
      <c r="AB800" s="103">
        <v>45888</v>
      </c>
      <c r="AC800" s="103"/>
      <c r="AD800" s="102">
        <f>IF(ISNA(VLOOKUP(D800,亚马逊入库配置费!B:F,5,0)),0,VLOOKUP(D800,亚马逊入库配置费!B:F,5,0))</f>
        <v>0.349732620320856</v>
      </c>
      <c r="AE800" s="102">
        <f t="shared" si="192"/>
        <v>167.87165775401087</v>
      </c>
      <c r="AF800" s="103">
        <v>45900</v>
      </c>
      <c r="AG800" s="91">
        <f t="shared" si="193"/>
        <v>29</v>
      </c>
      <c r="AH800" s="103">
        <v>45900</v>
      </c>
      <c r="AI800" s="103">
        <v>45929</v>
      </c>
      <c r="AJ800" s="96">
        <v>478</v>
      </c>
      <c r="AK800" s="91">
        <f t="shared" si="194"/>
        <v>29</v>
      </c>
      <c r="AL800" s="96">
        <f t="shared" si="195"/>
        <v>58</v>
      </c>
      <c r="AM800" s="92"/>
      <c r="AN800" s="91"/>
      <c r="AO800" s="91"/>
    </row>
    <row r="801" spans="1:41" ht="14.5" x14ac:dyDescent="0.25">
      <c r="A801" s="92" t="s">
        <v>1449</v>
      </c>
      <c r="B801" s="91"/>
      <c r="C801" s="180" t="s">
        <v>1441</v>
      </c>
      <c r="D801" s="177" t="s">
        <v>1442</v>
      </c>
      <c r="E801" s="178" t="s">
        <v>97</v>
      </c>
      <c r="F801" s="178" t="s">
        <v>1369</v>
      </c>
      <c r="G801" s="179" t="s">
        <v>352</v>
      </c>
      <c r="H801" s="160">
        <v>360</v>
      </c>
      <c r="I801" s="160" t="s">
        <v>1227</v>
      </c>
      <c r="J801" s="160" t="s">
        <v>503</v>
      </c>
      <c r="K801" s="177" t="s">
        <v>11</v>
      </c>
      <c r="L801" s="93" t="s">
        <v>3049</v>
      </c>
      <c r="M801" s="94" t="s">
        <v>3336</v>
      </c>
      <c r="N801" s="95" t="s">
        <v>2870</v>
      </c>
      <c r="O801" s="174">
        <v>9</v>
      </c>
      <c r="P801" s="97">
        <f t="shared" si="200"/>
        <v>125.21938775510205</v>
      </c>
      <c r="Q801" s="173" t="s">
        <v>1443</v>
      </c>
      <c r="R801" s="174">
        <v>3.4</v>
      </c>
      <c r="S801" s="175"/>
      <c r="T801" s="131"/>
      <c r="U801" s="157">
        <f t="shared" si="201"/>
        <v>441.53539205155749</v>
      </c>
      <c r="V801" s="113">
        <f t="shared" si="198"/>
        <v>1.2264872001432152</v>
      </c>
      <c r="W801" s="114">
        <f t="shared" si="199"/>
        <v>0.17521245716331646</v>
      </c>
      <c r="X801" s="175"/>
      <c r="Y801" s="175"/>
      <c r="Z801" s="102"/>
      <c r="AA801" s="103">
        <v>45871</v>
      </c>
      <c r="AB801" s="103">
        <v>45888</v>
      </c>
      <c r="AC801" s="103"/>
      <c r="AD801" s="102">
        <f>IF(ISNA(VLOOKUP(D801,亚马逊入库配置费!B:F,5,0)),0,VLOOKUP(D801,亚马逊入库配置费!B:F,5,0))</f>
        <v>0.349732620320856</v>
      </c>
      <c r="AE801" s="102">
        <f t="shared" si="192"/>
        <v>125.90374331550817</v>
      </c>
      <c r="AF801" s="103">
        <v>45900</v>
      </c>
      <c r="AG801" s="91">
        <f t="shared" si="193"/>
        <v>29</v>
      </c>
      <c r="AH801" s="103">
        <v>45900</v>
      </c>
      <c r="AI801" s="103">
        <v>45929</v>
      </c>
      <c r="AJ801" s="96">
        <v>350</v>
      </c>
      <c r="AK801" s="91">
        <f t="shared" si="194"/>
        <v>29</v>
      </c>
      <c r="AL801" s="96">
        <f t="shared" si="195"/>
        <v>58</v>
      </c>
      <c r="AM801" s="92"/>
      <c r="AN801" s="91"/>
      <c r="AO801" s="91"/>
    </row>
    <row r="802" spans="1:41" ht="14.5" x14ac:dyDescent="0.25">
      <c r="A802" s="92" t="s">
        <v>1450</v>
      </c>
      <c r="B802" s="91"/>
      <c r="C802" s="180" t="s">
        <v>1441</v>
      </c>
      <c r="D802" s="177" t="s">
        <v>1442</v>
      </c>
      <c r="E802" s="178" t="s">
        <v>97</v>
      </c>
      <c r="F802" s="178" t="s">
        <v>1369</v>
      </c>
      <c r="G802" s="179" t="s">
        <v>165</v>
      </c>
      <c r="H802" s="160">
        <v>1000</v>
      </c>
      <c r="I802" s="160" t="s">
        <v>1227</v>
      </c>
      <c r="J802" s="160" t="s">
        <v>503</v>
      </c>
      <c r="K802" s="177" t="s">
        <v>11</v>
      </c>
      <c r="L802" s="93" t="s">
        <v>2880</v>
      </c>
      <c r="M802" s="94" t="s">
        <v>3209</v>
      </c>
      <c r="N802" s="95" t="s">
        <v>2870</v>
      </c>
      <c r="O802" s="174">
        <v>25</v>
      </c>
      <c r="P802" s="97">
        <f t="shared" si="200"/>
        <v>347.83163265306121</v>
      </c>
      <c r="Q802" s="173" t="s">
        <v>1443</v>
      </c>
      <c r="R802" s="174">
        <v>3.4</v>
      </c>
      <c r="S802" s="175"/>
      <c r="T802" s="131"/>
      <c r="U802" s="157">
        <f t="shared" si="201"/>
        <v>1226.487200143215</v>
      </c>
      <c r="V802" s="113">
        <f t="shared" si="198"/>
        <v>1.226487200143215</v>
      </c>
      <c r="W802" s="114">
        <f t="shared" si="199"/>
        <v>0.17521245716331643</v>
      </c>
      <c r="X802" s="175"/>
      <c r="Y802" s="175"/>
      <c r="Z802" s="102"/>
      <c r="AA802" s="103">
        <v>45871</v>
      </c>
      <c r="AB802" s="103">
        <v>45888</v>
      </c>
      <c r="AC802" s="103"/>
      <c r="AD802" s="102">
        <f>IF(ISNA(VLOOKUP(D802,亚马逊入库配置费!B:F,5,0)),0,VLOOKUP(D802,亚马逊入库配置费!B:F,5,0))</f>
        <v>0.349732620320856</v>
      </c>
      <c r="AE802" s="102">
        <f t="shared" si="192"/>
        <v>349.73262032085603</v>
      </c>
      <c r="AF802" s="103">
        <v>45900</v>
      </c>
      <c r="AG802" s="91">
        <f t="shared" si="193"/>
        <v>29</v>
      </c>
      <c r="AH802" s="103">
        <v>45900</v>
      </c>
      <c r="AI802" s="103">
        <v>45929</v>
      </c>
      <c r="AJ802" s="96">
        <v>1002</v>
      </c>
      <c r="AK802" s="91">
        <f t="shared" si="194"/>
        <v>29</v>
      </c>
      <c r="AL802" s="96">
        <f t="shared" si="195"/>
        <v>58</v>
      </c>
      <c r="AM802" s="92"/>
      <c r="AN802" s="91"/>
      <c r="AO802" s="91"/>
    </row>
    <row r="803" spans="1:41" ht="14.5" x14ac:dyDescent="0.25">
      <c r="A803" s="92" t="s">
        <v>1451</v>
      </c>
      <c r="B803" s="91"/>
      <c r="C803" s="180" t="s">
        <v>1441</v>
      </c>
      <c r="D803" s="177" t="s">
        <v>1442</v>
      </c>
      <c r="E803" s="178" t="s">
        <v>97</v>
      </c>
      <c r="F803" s="178" t="s">
        <v>1369</v>
      </c>
      <c r="G803" s="179" t="s">
        <v>355</v>
      </c>
      <c r="H803" s="160">
        <v>200</v>
      </c>
      <c r="I803" s="160" t="s">
        <v>1227</v>
      </c>
      <c r="J803" s="160" t="s">
        <v>503</v>
      </c>
      <c r="K803" s="177" t="s">
        <v>11</v>
      </c>
      <c r="L803" s="93" t="s">
        <v>2712</v>
      </c>
      <c r="M803" s="94" t="s">
        <v>3216</v>
      </c>
      <c r="N803" s="95" t="s">
        <v>3050</v>
      </c>
      <c r="O803" s="174">
        <v>1</v>
      </c>
      <c r="P803" s="97">
        <f t="shared" si="200"/>
        <v>13.913265306122449</v>
      </c>
      <c r="Q803" s="173" t="s">
        <v>1443</v>
      </c>
      <c r="R803" s="174">
        <v>3.4</v>
      </c>
      <c r="S803" s="175"/>
      <c r="T803" s="131"/>
      <c r="U803" s="157">
        <f t="shared" si="201"/>
        <v>49.059488005728603</v>
      </c>
      <c r="V803" s="100">
        <f t="shared" si="198"/>
        <v>0.24529744002864301</v>
      </c>
      <c r="W803" s="114">
        <f t="shared" si="199"/>
        <v>3.5042491432663289E-2</v>
      </c>
      <c r="X803" s="175"/>
      <c r="Y803" s="175"/>
      <c r="Z803" s="102"/>
      <c r="AA803" s="103">
        <v>45871</v>
      </c>
      <c r="AB803" s="103">
        <v>45888</v>
      </c>
      <c r="AC803" s="103"/>
      <c r="AD803" s="102">
        <f>IF(ISNA(VLOOKUP(D803,亚马逊入库配置费!B:F,5,0)),0,VLOOKUP(D803,亚马逊入库配置费!B:F,5,0))</f>
        <v>0.349732620320856</v>
      </c>
      <c r="AE803" s="102">
        <f t="shared" si="192"/>
        <v>69.9465240641712</v>
      </c>
      <c r="AF803" s="103">
        <v>45900</v>
      </c>
      <c r="AG803" s="91">
        <f t="shared" si="193"/>
        <v>29</v>
      </c>
      <c r="AH803" s="103">
        <v>45900</v>
      </c>
      <c r="AI803" s="103">
        <v>45929</v>
      </c>
      <c r="AJ803" s="96">
        <v>202</v>
      </c>
      <c r="AK803" s="91">
        <f t="shared" si="194"/>
        <v>29</v>
      </c>
      <c r="AL803" s="96">
        <f t="shared" si="195"/>
        <v>58</v>
      </c>
      <c r="AM803" s="92"/>
      <c r="AN803" s="91"/>
      <c r="AO803" s="91"/>
    </row>
    <row r="804" spans="1:41" ht="14.5" x14ac:dyDescent="0.25">
      <c r="A804" s="92" t="s">
        <v>1452</v>
      </c>
      <c r="B804" s="91"/>
      <c r="C804" s="180" t="s">
        <v>1453</v>
      </c>
      <c r="D804" s="177" t="s">
        <v>1454</v>
      </c>
      <c r="E804" s="178" t="s">
        <v>1455</v>
      </c>
      <c r="F804" s="178" t="s">
        <v>1369</v>
      </c>
      <c r="G804" s="179" t="s">
        <v>209</v>
      </c>
      <c r="H804" s="160">
        <v>96</v>
      </c>
      <c r="I804" s="160" t="s">
        <v>1227</v>
      </c>
      <c r="J804" s="160" t="s">
        <v>503</v>
      </c>
      <c r="K804" s="177" t="s">
        <v>42</v>
      </c>
      <c r="L804" s="93" t="s">
        <v>3033</v>
      </c>
      <c r="M804" s="94" t="s">
        <v>3311</v>
      </c>
      <c r="N804" s="95" t="s">
        <v>2869</v>
      </c>
      <c r="O804" s="171">
        <v>6</v>
      </c>
      <c r="P804" s="97">
        <v>106</v>
      </c>
      <c r="Q804" s="165" t="s">
        <v>16</v>
      </c>
      <c r="R804" s="174">
        <v>10</v>
      </c>
      <c r="S804" s="175"/>
      <c r="T804" s="131"/>
      <c r="U804" s="157">
        <f>R804*P804+350/19*O804</f>
        <v>1170.5263157894738</v>
      </c>
      <c r="V804" s="100">
        <f t="shared" si="198"/>
        <v>12.192982456140351</v>
      </c>
      <c r="W804" s="114">
        <f t="shared" si="199"/>
        <v>1.7418546365914787</v>
      </c>
      <c r="X804" s="175"/>
      <c r="Y804" s="175"/>
      <c r="Z804" s="102"/>
      <c r="AA804" s="103">
        <v>45871</v>
      </c>
      <c r="AB804" s="103">
        <v>45886</v>
      </c>
      <c r="AC804" s="103"/>
      <c r="AD804" s="102">
        <f>IF(ISNA(VLOOKUP(D804,亚马逊入库配置费!B:F,5,0)),0,VLOOKUP(D804,亚马逊入库配置费!B:F,5,0))</f>
        <v>0.41</v>
      </c>
      <c r="AE804" s="102">
        <f t="shared" si="192"/>
        <v>39.36</v>
      </c>
      <c r="AF804" s="103">
        <v>45892</v>
      </c>
      <c r="AG804" s="91">
        <f t="shared" si="193"/>
        <v>21</v>
      </c>
      <c r="AH804" s="103">
        <v>45892</v>
      </c>
      <c r="AI804" s="103">
        <v>45921</v>
      </c>
      <c r="AJ804" s="96">
        <v>96</v>
      </c>
      <c r="AK804" s="91">
        <f t="shared" si="194"/>
        <v>29</v>
      </c>
      <c r="AL804" s="96">
        <f t="shared" si="195"/>
        <v>50</v>
      </c>
      <c r="AM804" s="92"/>
      <c r="AN804" s="91"/>
      <c r="AO804" s="91"/>
    </row>
    <row r="805" spans="1:41" ht="14.5" x14ac:dyDescent="0.25">
      <c r="A805" s="92" t="s">
        <v>1456</v>
      </c>
      <c r="B805" s="91"/>
      <c r="C805" s="180" t="s">
        <v>1435</v>
      </c>
      <c r="D805" s="177" t="s">
        <v>1457</v>
      </c>
      <c r="E805" s="178" t="s">
        <v>97</v>
      </c>
      <c r="F805" s="178" t="s">
        <v>1369</v>
      </c>
      <c r="G805" s="179" t="s">
        <v>88</v>
      </c>
      <c r="H805" s="160">
        <v>1344</v>
      </c>
      <c r="I805" s="160" t="s">
        <v>502</v>
      </c>
      <c r="J805" s="160" t="s">
        <v>1365</v>
      </c>
      <c r="K805" s="177" t="s">
        <v>44</v>
      </c>
      <c r="L805" s="93" t="s">
        <v>3014</v>
      </c>
      <c r="M805" s="94" t="s">
        <v>3286</v>
      </c>
      <c r="N805" s="95" t="s">
        <v>2821</v>
      </c>
      <c r="O805" s="171">
        <v>112</v>
      </c>
      <c r="P805" s="153">
        <f>1616/112*O805</f>
        <v>1616</v>
      </c>
      <c r="Q805" s="165" t="s">
        <v>16</v>
      </c>
      <c r="R805" s="174">
        <v>4.2</v>
      </c>
      <c r="S805" s="175"/>
      <c r="T805" s="131"/>
      <c r="U805" s="125">
        <f>R805*P805+350/207*O805</f>
        <v>6976.5719806763291</v>
      </c>
      <c r="V805" s="113">
        <f t="shared" si="198"/>
        <v>5.1909017713365539</v>
      </c>
      <c r="W805" s="114">
        <f t="shared" si="199"/>
        <v>0.74155739590522196</v>
      </c>
      <c r="X805" s="175"/>
      <c r="Y805" s="175"/>
      <c r="Z805" s="102"/>
      <c r="AA805" s="103">
        <v>45871</v>
      </c>
      <c r="AB805" s="103">
        <v>45891</v>
      </c>
      <c r="AC805" s="103"/>
      <c r="AD805" s="102">
        <f>IF(ISNA(VLOOKUP(D805,亚马逊入库配置费!B:F,5,0)),0,VLOOKUP(D805,亚马逊入库配置费!B:F,5,0))</f>
        <v>0.49</v>
      </c>
      <c r="AE805" s="102">
        <f t="shared" si="192"/>
        <v>658.56</v>
      </c>
      <c r="AF805" s="103">
        <v>45912</v>
      </c>
      <c r="AG805" s="91">
        <f t="shared" si="193"/>
        <v>41</v>
      </c>
      <c r="AH805" s="103">
        <v>45912</v>
      </c>
      <c r="AI805" s="103">
        <v>45976</v>
      </c>
      <c r="AJ805" s="96">
        <v>1341</v>
      </c>
      <c r="AK805" s="91">
        <f t="shared" si="194"/>
        <v>64</v>
      </c>
      <c r="AL805" s="96">
        <f t="shared" si="195"/>
        <v>105</v>
      </c>
      <c r="AM805" s="92"/>
      <c r="AN805" s="91"/>
      <c r="AO805" s="91"/>
    </row>
    <row r="806" spans="1:41" ht="14.5" x14ac:dyDescent="0.25">
      <c r="A806" s="92" t="s">
        <v>1458</v>
      </c>
      <c r="B806" s="91"/>
      <c r="C806" s="180" t="s">
        <v>1389</v>
      </c>
      <c r="D806" s="177" t="s">
        <v>1459</v>
      </c>
      <c r="E806" s="178" t="s">
        <v>115</v>
      </c>
      <c r="F806" s="178" t="s">
        <v>1369</v>
      </c>
      <c r="G806" s="179" t="s">
        <v>1052</v>
      </c>
      <c r="H806" s="160">
        <v>78</v>
      </c>
      <c r="I806" s="160" t="s">
        <v>1313</v>
      </c>
      <c r="J806" s="126" t="s">
        <v>1314</v>
      </c>
      <c r="K806" s="177" t="s">
        <v>17</v>
      </c>
      <c r="L806" s="93" t="s">
        <v>3089</v>
      </c>
      <c r="M806" s="94" t="s">
        <v>3423</v>
      </c>
      <c r="N806" s="95" t="s">
        <v>3042</v>
      </c>
      <c r="O806" s="171">
        <v>1</v>
      </c>
      <c r="P806" s="97">
        <f>23/1*O806</f>
        <v>23</v>
      </c>
      <c r="Q806" s="165" t="s">
        <v>16</v>
      </c>
      <c r="R806" s="174">
        <v>7.3</v>
      </c>
      <c r="S806" s="175"/>
      <c r="T806" s="131"/>
      <c r="U806" s="157">
        <f>R806*P806</f>
        <v>167.9</v>
      </c>
      <c r="V806" s="113">
        <f t="shared" si="198"/>
        <v>2.1525641025641025</v>
      </c>
      <c r="W806" s="114">
        <f t="shared" si="199"/>
        <v>0.30750915750915747</v>
      </c>
      <c r="X806" s="175"/>
      <c r="Y806" s="175"/>
      <c r="Z806" s="102"/>
      <c r="AA806" s="103">
        <v>45871</v>
      </c>
      <c r="AB806" s="103">
        <v>45893</v>
      </c>
      <c r="AC806" s="103"/>
      <c r="AD806" s="102">
        <f>IF(ISNA(VLOOKUP(D806,亚马逊入库配置费!B:F,5,0)),0,VLOOKUP(D806,亚马逊入库配置费!B:F,5,0))</f>
        <v>0.34</v>
      </c>
      <c r="AE806" s="102">
        <f t="shared" si="192"/>
        <v>26.520000000000003</v>
      </c>
      <c r="AF806" s="103">
        <v>45901</v>
      </c>
      <c r="AG806" s="91">
        <f t="shared" si="193"/>
        <v>30</v>
      </c>
      <c r="AH806" s="103">
        <v>45901</v>
      </c>
      <c r="AI806" s="103">
        <v>45920</v>
      </c>
      <c r="AJ806" s="96">
        <v>78</v>
      </c>
      <c r="AK806" s="91">
        <f t="shared" si="194"/>
        <v>19</v>
      </c>
      <c r="AL806" s="96">
        <f t="shared" si="195"/>
        <v>49</v>
      </c>
      <c r="AM806" s="92"/>
      <c r="AN806" s="91"/>
      <c r="AO806" s="91"/>
    </row>
    <row r="807" spans="1:41" ht="14.5" x14ac:dyDescent="0.25">
      <c r="A807" s="92" t="s">
        <v>1460</v>
      </c>
      <c r="B807" s="91"/>
      <c r="C807" s="180" t="s">
        <v>1389</v>
      </c>
      <c r="D807" s="177" t="s">
        <v>1461</v>
      </c>
      <c r="E807" s="178" t="s">
        <v>97</v>
      </c>
      <c r="F807" s="178" t="s">
        <v>1369</v>
      </c>
      <c r="G807" s="179" t="s">
        <v>1052</v>
      </c>
      <c r="H807" s="160">
        <v>234</v>
      </c>
      <c r="I807" s="160" t="s">
        <v>1313</v>
      </c>
      <c r="J807" s="126" t="s">
        <v>1314</v>
      </c>
      <c r="K807" s="177" t="s">
        <v>17</v>
      </c>
      <c r="L807" s="93" t="s">
        <v>3089</v>
      </c>
      <c r="M807" s="94" t="s">
        <v>3423</v>
      </c>
      <c r="N807" s="95" t="s">
        <v>3042</v>
      </c>
      <c r="O807" s="171">
        <v>3</v>
      </c>
      <c r="P807" s="97">
        <f>244/12*O807</f>
        <v>61</v>
      </c>
      <c r="Q807" s="165" t="s">
        <v>16</v>
      </c>
      <c r="R807" s="174">
        <v>7.3</v>
      </c>
      <c r="S807" s="175"/>
      <c r="T807" s="131"/>
      <c r="U807" s="157">
        <f>R807*P807</f>
        <v>445.3</v>
      </c>
      <c r="V807" s="113">
        <f t="shared" si="198"/>
        <v>1.9029914529914531</v>
      </c>
      <c r="W807" s="114">
        <f t="shared" si="199"/>
        <v>0.27185592185592189</v>
      </c>
      <c r="X807" s="175"/>
      <c r="Y807" s="175"/>
      <c r="Z807" s="102"/>
      <c r="AA807" s="103">
        <v>45871</v>
      </c>
      <c r="AB807" s="103">
        <v>45893</v>
      </c>
      <c r="AC807" s="103"/>
      <c r="AD807" s="102">
        <f>IF(ISNA(VLOOKUP(D807,亚马逊入库配置费!B:F,5,0)),0,VLOOKUP(D807,亚马逊入库配置费!B:F,5,0))</f>
        <v>0.34</v>
      </c>
      <c r="AE807" s="102">
        <f t="shared" si="192"/>
        <v>79.56</v>
      </c>
      <c r="AF807" s="103">
        <v>45901</v>
      </c>
      <c r="AG807" s="91">
        <f t="shared" si="193"/>
        <v>30</v>
      </c>
      <c r="AH807" s="103">
        <v>45901</v>
      </c>
      <c r="AI807" s="103">
        <v>45932</v>
      </c>
      <c r="AJ807" s="96">
        <v>232</v>
      </c>
      <c r="AK807" s="91">
        <f t="shared" si="194"/>
        <v>31</v>
      </c>
      <c r="AL807" s="96">
        <f t="shared" si="195"/>
        <v>61</v>
      </c>
      <c r="AM807" s="92"/>
      <c r="AN807" s="91"/>
      <c r="AO807" s="91"/>
    </row>
    <row r="808" spans="1:41" ht="14.5" x14ac:dyDescent="0.25">
      <c r="A808" s="92" t="s">
        <v>1462</v>
      </c>
      <c r="B808" s="91"/>
      <c r="C808" s="180" t="s">
        <v>1389</v>
      </c>
      <c r="D808" s="177" t="s">
        <v>1461</v>
      </c>
      <c r="E808" s="178" t="s">
        <v>97</v>
      </c>
      <c r="F808" s="178" t="s">
        <v>1369</v>
      </c>
      <c r="G808" s="179" t="s">
        <v>316</v>
      </c>
      <c r="H808" s="160">
        <v>630</v>
      </c>
      <c r="I808" s="160" t="s">
        <v>1313</v>
      </c>
      <c r="J808" s="126" t="s">
        <v>1314</v>
      </c>
      <c r="K808" s="177" t="s">
        <v>17</v>
      </c>
      <c r="L808" s="93" t="s">
        <v>3046</v>
      </c>
      <c r="M808" s="94" t="s">
        <v>3333</v>
      </c>
      <c r="N808" s="95" t="s">
        <v>3042</v>
      </c>
      <c r="O808" s="171">
        <v>7</v>
      </c>
      <c r="P808" s="97">
        <f>244/12*O808</f>
        <v>142.33333333333331</v>
      </c>
      <c r="Q808" s="165" t="s">
        <v>16</v>
      </c>
      <c r="R808" s="174">
        <v>7.3</v>
      </c>
      <c r="S808" s="175"/>
      <c r="T808" s="131"/>
      <c r="U808" s="157">
        <f t="shared" ref="U808:U809" si="202">R808*P808</f>
        <v>1039.0333333333331</v>
      </c>
      <c r="V808" s="113">
        <f t="shared" si="198"/>
        <v>1.6492592592592588</v>
      </c>
      <c r="W808" s="114">
        <f t="shared" si="199"/>
        <v>0.23560846560846554</v>
      </c>
      <c r="X808" s="175"/>
      <c r="Y808" s="175"/>
      <c r="Z808" s="102"/>
      <c r="AA808" s="103">
        <v>45871</v>
      </c>
      <c r="AB808" s="103">
        <v>45893</v>
      </c>
      <c r="AC808" s="103"/>
      <c r="AD808" s="102">
        <f>IF(ISNA(VLOOKUP(D808,亚马逊入库配置费!B:F,5,0)),0,VLOOKUP(D808,亚马逊入库配置费!B:F,5,0))</f>
        <v>0.34</v>
      </c>
      <c r="AE808" s="102">
        <f t="shared" si="192"/>
        <v>214.20000000000002</v>
      </c>
      <c r="AF808" s="103">
        <v>45901</v>
      </c>
      <c r="AG808" s="91">
        <f t="shared" si="193"/>
        <v>30</v>
      </c>
      <c r="AH808" s="103">
        <v>45901</v>
      </c>
      <c r="AI808" s="103">
        <v>45932</v>
      </c>
      <c r="AJ808" s="96">
        <v>630</v>
      </c>
      <c r="AK808" s="91">
        <f t="shared" si="194"/>
        <v>31</v>
      </c>
      <c r="AL808" s="96">
        <f t="shared" si="195"/>
        <v>61</v>
      </c>
      <c r="AM808" s="92"/>
      <c r="AN808" s="91"/>
      <c r="AO808" s="91"/>
    </row>
    <row r="809" spans="1:41" ht="14.5" x14ac:dyDescent="0.25">
      <c r="A809" s="92" t="s">
        <v>1463</v>
      </c>
      <c r="B809" s="91"/>
      <c r="C809" s="180" t="s">
        <v>1389</v>
      </c>
      <c r="D809" s="177" t="s">
        <v>1461</v>
      </c>
      <c r="E809" s="178" t="s">
        <v>97</v>
      </c>
      <c r="F809" s="178" t="s">
        <v>1369</v>
      </c>
      <c r="G809" s="179" t="s">
        <v>526</v>
      </c>
      <c r="H809" s="160">
        <v>180</v>
      </c>
      <c r="I809" s="160" t="s">
        <v>1313</v>
      </c>
      <c r="J809" s="126" t="s">
        <v>1314</v>
      </c>
      <c r="K809" s="177" t="s">
        <v>17</v>
      </c>
      <c r="L809" s="93" t="s">
        <v>3069</v>
      </c>
      <c r="M809" s="94" t="s">
        <v>3367</v>
      </c>
      <c r="N809" s="95" t="s">
        <v>3042</v>
      </c>
      <c r="O809" s="171">
        <v>2</v>
      </c>
      <c r="P809" s="97">
        <f>244/12*O809</f>
        <v>40.666666666666664</v>
      </c>
      <c r="Q809" s="165" t="s">
        <v>16</v>
      </c>
      <c r="R809" s="174">
        <v>7.3</v>
      </c>
      <c r="S809" s="175"/>
      <c r="T809" s="131"/>
      <c r="U809" s="157">
        <f t="shared" si="202"/>
        <v>296.86666666666662</v>
      </c>
      <c r="V809" s="113">
        <f t="shared" si="198"/>
        <v>1.649259259259259</v>
      </c>
      <c r="W809" s="114">
        <f t="shared" si="199"/>
        <v>0.23560846560846557</v>
      </c>
      <c r="X809" s="175"/>
      <c r="Y809" s="175"/>
      <c r="Z809" s="102"/>
      <c r="AA809" s="103">
        <v>45871</v>
      </c>
      <c r="AB809" s="103">
        <v>45893</v>
      </c>
      <c r="AC809" s="103"/>
      <c r="AD809" s="102">
        <f>IF(ISNA(VLOOKUP(D809,亚马逊入库配置费!B:F,5,0)),0,VLOOKUP(D809,亚马逊入库配置费!B:F,5,0))</f>
        <v>0.34</v>
      </c>
      <c r="AE809" s="102">
        <f t="shared" si="192"/>
        <v>61.2</v>
      </c>
      <c r="AF809" s="103">
        <v>45901</v>
      </c>
      <c r="AG809" s="91">
        <f t="shared" si="193"/>
        <v>30</v>
      </c>
      <c r="AH809" s="103">
        <v>45901</v>
      </c>
      <c r="AI809" s="103">
        <v>45932</v>
      </c>
      <c r="AJ809" s="96">
        <v>180</v>
      </c>
      <c r="AK809" s="91">
        <f t="shared" si="194"/>
        <v>31</v>
      </c>
      <c r="AL809" s="96">
        <f t="shared" si="195"/>
        <v>61</v>
      </c>
      <c r="AM809" s="92"/>
      <c r="AN809" s="91"/>
      <c r="AO809" s="91"/>
    </row>
    <row r="810" spans="1:41" ht="14.5" x14ac:dyDescent="0.25">
      <c r="A810" s="92" t="s">
        <v>1464</v>
      </c>
      <c r="B810" s="91"/>
      <c r="C810" s="180" t="s">
        <v>1453</v>
      </c>
      <c r="D810" s="177" t="s">
        <v>1465</v>
      </c>
      <c r="E810" s="178" t="s">
        <v>287</v>
      </c>
      <c r="F810" s="178" t="s">
        <v>1369</v>
      </c>
      <c r="G810" s="179" t="s">
        <v>779</v>
      </c>
      <c r="H810" s="160">
        <v>208</v>
      </c>
      <c r="I810" s="160" t="s">
        <v>1227</v>
      </c>
      <c r="J810" s="160" t="s">
        <v>503</v>
      </c>
      <c r="K810" s="177" t="s">
        <v>10</v>
      </c>
      <c r="L810" s="93" t="s">
        <v>3083</v>
      </c>
      <c r="M810" s="94" t="s">
        <v>3394</v>
      </c>
      <c r="N810" s="95" t="s">
        <v>2793</v>
      </c>
      <c r="O810" s="171">
        <v>13</v>
      </c>
      <c r="P810" s="97">
        <v>195</v>
      </c>
      <c r="Q810" s="165" t="s">
        <v>16</v>
      </c>
      <c r="R810" s="174">
        <v>10.5</v>
      </c>
      <c r="S810" s="175"/>
      <c r="T810" s="131"/>
      <c r="U810" s="157">
        <f>R810*P810+350/19*O810</f>
        <v>2286.9736842105262</v>
      </c>
      <c r="V810" s="113">
        <f t="shared" si="198"/>
        <v>10.995065789473683</v>
      </c>
      <c r="W810" s="114">
        <f t="shared" si="199"/>
        <v>1.5707236842105261</v>
      </c>
      <c r="X810" s="175"/>
      <c r="Y810" s="175"/>
      <c r="Z810" s="102"/>
      <c r="AA810" s="103">
        <v>45871</v>
      </c>
      <c r="AB810" s="103">
        <v>45886</v>
      </c>
      <c r="AC810" s="103"/>
      <c r="AD810" s="102">
        <f>IF(ISNA(VLOOKUP(D810,亚马逊入库配置费!B:F,5,0)),0,VLOOKUP(D810,亚马逊入库配置费!B:F,5,0))</f>
        <v>0.49</v>
      </c>
      <c r="AE810" s="102">
        <f t="shared" si="192"/>
        <v>101.92</v>
      </c>
      <c r="AF810" s="103">
        <v>45893</v>
      </c>
      <c r="AG810" s="91">
        <f t="shared" si="193"/>
        <v>22</v>
      </c>
      <c r="AH810" s="103">
        <v>45893</v>
      </c>
      <c r="AI810" s="103">
        <v>45924</v>
      </c>
      <c r="AJ810" s="96">
        <v>206</v>
      </c>
      <c r="AK810" s="91">
        <f t="shared" si="194"/>
        <v>31</v>
      </c>
      <c r="AL810" s="96">
        <f t="shared" si="195"/>
        <v>53</v>
      </c>
      <c r="AM810" s="92"/>
      <c r="AN810" s="91"/>
      <c r="AO810" s="91"/>
    </row>
    <row r="811" spans="1:41" ht="14.5" x14ac:dyDescent="0.25">
      <c r="A811" s="92" t="s">
        <v>1466</v>
      </c>
      <c r="B811" s="91"/>
      <c r="C811" s="180" t="s">
        <v>1441</v>
      </c>
      <c r="D811" s="177" t="s">
        <v>1467</v>
      </c>
      <c r="E811" s="178" t="s">
        <v>287</v>
      </c>
      <c r="F811" s="178" t="s">
        <v>1369</v>
      </c>
      <c r="G811" s="179" t="s">
        <v>884</v>
      </c>
      <c r="H811" s="160">
        <v>448</v>
      </c>
      <c r="I811" s="160" t="s">
        <v>1227</v>
      </c>
      <c r="J811" s="160" t="s">
        <v>503</v>
      </c>
      <c r="K811" s="177" t="s">
        <v>10</v>
      </c>
      <c r="L811" s="93" t="s">
        <v>3084</v>
      </c>
      <c r="M811" s="94" t="s">
        <v>3402</v>
      </c>
      <c r="N811" s="95" t="s">
        <v>51</v>
      </c>
      <c r="O811" s="171">
        <v>28</v>
      </c>
      <c r="P811" s="97">
        <f>564/32*O811</f>
        <v>493.5</v>
      </c>
      <c r="Q811" s="165" t="s">
        <v>16</v>
      </c>
      <c r="R811" s="174">
        <v>3.3</v>
      </c>
      <c r="S811" s="175"/>
      <c r="T811" s="131"/>
      <c r="U811" s="157">
        <f>R811*P811+400/228*O811</f>
        <v>1677.6728070175438</v>
      </c>
      <c r="V811" s="113">
        <f t="shared" si="198"/>
        <v>3.7448053728070176</v>
      </c>
      <c r="W811" s="114">
        <f t="shared" si="199"/>
        <v>0.53497219611528823</v>
      </c>
      <c r="X811" s="175"/>
      <c r="Y811" s="175"/>
      <c r="Z811" s="102"/>
      <c r="AA811" s="103">
        <v>45871</v>
      </c>
      <c r="AB811" s="103">
        <v>45888</v>
      </c>
      <c r="AC811" s="103"/>
      <c r="AD811" s="102">
        <f>IF(ISNA(VLOOKUP(D811,亚马逊入库配置费!B:F,5,0)),0,VLOOKUP(D811,亚马逊入库配置费!B:F,5,0))</f>
        <v>0.49</v>
      </c>
      <c r="AE811" s="102">
        <f t="shared" si="192"/>
        <v>219.51999999999998</v>
      </c>
      <c r="AF811" s="103">
        <v>45900</v>
      </c>
      <c r="AG811" s="91">
        <f t="shared" si="193"/>
        <v>29</v>
      </c>
      <c r="AH811" s="103">
        <v>45900</v>
      </c>
      <c r="AI811" s="103">
        <v>45934</v>
      </c>
      <c r="AJ811" s="96">
        <v>446</v>
      </c>
      <c r="AK811" s="91">
        <f t="shared" si="194"/>
        <v>34</v>
      </c>
      <c r="AL811" s="96">
        <f t="shared" si="195"/>
        <v>63</v>
      </c>
      <c r="AM811" s="92"/>
      <c r="AN811" s="91"/>
      <c r="AO811" s="91"/>
    </row>
    <row r="812" spans="1:41" ht="14.5" x14ac:dyDescent="0.25">
      <c r="A812" s="92" t="s">
        <v>1468</v>
      </c>
      <c r="B812" s="91"/>
      <c r="C812" s="180" t="s">
        <v>1441</v>
      </c>
      <c r="D812" s="177" t="s">
        <v>1467</v>
      </c>
      <c r="E812" s="178" t="s">
        <v>287</v>
      </c>
      <c r="F812" s="178" t="s">
        <v>1369</v>
      </c>
      <c r="G812" s="179" t="s">
        <v>1006</v>
      </c>
      <c r="H812" s="160">
        <v>64</v>
      </c>
      <c r="I812" s="160" t="s">
        <v>1227</v>
      </c>
      <c r="J812" s="160" t="s">
        <v>503</v>
      </c>
      <c r="K812" s="177" t="s">
        <v>10</v>
      </c>
      <c r="L812" s="93" t="s">
        <v>3087</v>
      </c>
      <c r="M812" s="94" t="s">
        <v>3419</v>
      </c>
      <c r="N812" s="95" t="s">
        <v>51</v>
      </c>
      <c r="O812" s="171">
        <v>4</v>
      </c>
      <c r="P812" s="97">
        <f>564/32*O812</f>
        <v>70.5</v>
      </c>
      <c r="Q812" s="165" t="s">
        <v>16</v>
      </c>
      <c r="R812" s="174">
        <v>3.3</v>
      </c>
      <c r="S812" s="175"/>
      <c r="T812" s="131"/>
      <c r="U812" s="157">
        <f>R812*P812+400/228*O812</f>
        <v>239.6675438596491</v>
      </c>
      <c r="V812" s="113">
        <f t="shared" si="198"/>
        <v>3.7448053728070172</v>
      </c>
      <c r="W812" s="114">
        <f t="shared" si="199"/>
        <v>0.53497219611528812</v>
      </c>
      <c r="X812" s="175"/>
      <c r="Y812" s="175"/>
      <c r="Z812" s="102"/>
      <c r="AA812" s="103">
        <v>45871</v>
      </c>
      <c r="AB812" s="103">
        <v>45888</v>
      </c>
      <c r="AC812" s="103"/>
      <c r="AD812" s="102">
        <f>IF(ISNA(VLOOKUP(D812,亚马逊入库配置费!B:F,5,0)),0,VLOOKUP(D812,亚马逊入库配置费!B:F,5,0))</f>
        <v>0.49</v>
      </c>
      <c r="AE812" s="102">
        <f t="shared" si="192"/>
        <v>31.36</v>
      </c>
      <c r="AF812" s="103">
        <v>45900</v>
      </c>
      <c r="AG812" s="91">
        <f t="shared" si="193"/>
        <v>29</v>
      </c>
      <c r="AH812" s="103">
        <v>45900</v>
      </c>
      <c r="AI812" s="103">
        <v>45934</v>
      </c>
      <c r="AJ812" s="96">
        <v>64</v>
      </c>
      <c r="AK812" s="91">
        <f t="shared" si="194"/>
        <v>34</v>
      </c>
      <c r="AL812" s="96">
        <f t="shared" si="195"/>
        <v>63</v>
      </c>
      <c r="AM812" s="92"/>
      <c r="AN812" s="91"/>
      <c r="AO812" s="91"/>
    </row>
    <row r="813" spans="1:41" ht="14.5" x14ac:dyDescent="0.25">
      <c r="A813" s="110" t="s">
        <v>1469</v>
      </c>
      <c r="B813" s="90"/>
      <c r="C813" s="160" t="s">
        <v>1470</v>
      </c>
      <c r="D813" s="181" t="s">
        <v>1471</v>
      </c>
      <c r="E813" s="182" t="s">
        <v>254</v>
      </c>
      <c r="F813" s="182" t="s">
        <v>1139</v>
      </c>
      <c r="G813" s="179" t="s">
        <v>163</v>
      </c>
      <c r="H813" s="160">
        <v>400</v>
      </c>
      <c r="I813" s="160" t="s">
        <v>502</v>
      </c>
      <c r="J813" s="160" t="s">
        <v>1140</v>
      </c>
      <c r="K813" s="181" t="s">
        <v>257</v>
      </c>
      <c r="L813" s="93" t="s">
        <v>2881</v>
      </c>
      <c r="M813" s="94" t="s">
        <v>3302</v>
      </c>
      <c r="N813" s="95" t="s">
        <v>2870</v>
      </c>
      <c r="O813" s="160">
        <v>10</v>
      </c>
      <c r="P813" s="97">
        <f>1/16*O813</f>
        <v>0.625</v>
      </c>
      <c r="Q813" s="160" t="s">
        <v>3430</v>
      </c>
      <c r="R813" s="160">
        <v>800</v>
      </c>
      <c r="S813" s="175"/>
      <c r="T813" s="131"/>
      <c r="U813" s="157">
        <f>R813*P813+700/16*O813</f>
        <v>937.5</v>
      </c>
      <c r="V813" s="100">
        <f t="shared" si="198"/>
        <v>2.34375</v>
      </c>
      <c r="W813" s="101">
        <f t="shared" si="199"/>
        <v>0.33482142857142855</v>
      </c>
      <c r="X813" s="95"/>
      <c r="Y813" s="175">
        <f>963.57/16*O813</f>
        <v>602.23125000000005</v>
      </c>
      <c r="Z813" s="104" t="s">
        <v>476</v>
      </c>
      <c r="AA813" s="118">
        <v>45878</v>
      </c>
      <c r="AB813" s="118">
        <v>45916</v>
      </c>
      <c r="AC813" s="103"/>
      <c r="AD813" s="102">
        <f>IF(ISNA(VLOOKUP(D813,亚马逊入库配置费!B:F,5,0)),0,VLOOKUP(D813,亚马逊入库配置费!B:F,5,0))</f>
        <v>0</v>
      </c>
      <c r="AE813" s="102">
        <f t="shared" si="192"/>
        <v>0</v>
      </c>
      <c r="AF813" s="103">
        <v>45925</v>
      </c>
      <c r="AG813" s="91">
        <f t="shared" si="193"/>
        <v>47</v>
      </c>
      <c r="AH813" s="103">
        <v>45925</v>
      </c>
      <c r="AI813" s="103">
        <v>45939</v>
      </c>
      <c r="AJ813" s="96">
        <v>400</v>
      </c>
      <c r="AK813" s="91">
        <f t="shared" si="194"/>
        <v>14</v>
      </c>
      <c r="AL813" s="96">
        <f t="shared" si="195"/>
        <v>61</v>
      </c>
      <c r="AM813" s="92"/>
      <c r="AN813" s="91"/>
      <c r="AO813" s="91"/>
    </row>
    <row r="814" spans="1:41" ht="14.5" x14ac:dyDescent="0.25">
      <c r="A814" s="110" t="s">
        <v>1472</v>
      </c>
      <c r="B814" s="90"/>
      <c r="C814" s="160" t="s">
        <v>1470</v>
      </c>
      <c r="D814" s="181" t="s">
        <v>1471</v>
      </c>
      <c r="E814" s="182" t="s">
        <v>254</v>
      </c>
      <c r="F814" s="182" t="s">
        <v>1139</v>
      </c>
      <c r="G814" s="179" t="s">
        <v>165</v>
      </c>
      <c r="H814" s="160">
        <v>200</v>
      </c>
      <c r="I814" s="160" t="s">
        <v>502</v>
      </c>
      <c r="J814" s="160" t="s">
        <v>1140</v>
      </c>
      <c r="K814" s="181" t="s">
        <v>257</v>
      </c>
      <c r="L814" s="93" t="s">
        <v>2880</v>
      </c>
      <c r="M814" s="94" t="s">
        <v>3209</v>
      </c>
      <c r="N814" s="95" t="s">
        <v>2870</v>
      </c>
      <c r="O814" s="160">
        <v>5</v>
      </c>
      <c r="P814" s="97">
        <f>1/16*O814</f>
        <v>0.3125</v>
      </c>
      <c r="Q814" s="160" t="s">
        <v>3430</v>
      </c>
      <c r="R814" s="160">
        <v>800</v>
      </c>
      <c r="S814" s="175"/>
      <c r="T814" s="131"/>
      <c r="U814" s="157">
        <f>R814*P814+700/16*O814</f>
        <v>468.75</v>
      </c>
      <c r="V814" s="100">
        <f t="shared" si="198"/>
        <v>2.34375</v>
      </c>
      <c r="W814" s="101">
        <f t="shared" si="199"/>
        <v>0.33482142857142855</v>
      </c>
      <c r="X814" s="175"/>
      <c r="Y814" s="175">
        <f>963.57/16*O814</f>
        <v>301.11562500000002</v>
      </c>
      <c r="Z814" s="104" t="s">
        <v>476</v>
      </c>
      <c r="AA814" s="118">
        <v>45878</v>
      </c>
      <c r="AB814" s="118">
        <v>45916</v>
      </c>
      <c r="AC814" s="103"/>
      <c r="AD814" s="102">
        <f>IF(ISNA(VLOOKUP(D814,亚马逊入库配置费!B:F,5,0)),0,VLOOKUP(D814,亚马逊入库配置费!B:F,5,0))</f>
        <v>0</v>
      </c>
      <c r="AE814" s="102">
        <f t="shared" si="192"/>
        <v>0</v>
      </c>
      <c r="AF814" s="103">
        <v>45925</v>
      </c>
      <c r="AG814" s="91">
        <f t="shared" si="193"/>
        <v>47</v>
      </c>
      <c r="AH814" s="103">
        <v>45925</v>
      </c>
      <c r="AI814" s="103">
        <v>45939</v>
      </c>
      <c r="AJ814" s="96">
        <v>200</v>
      </c>
      <c r="AK814" s="91">
        <f t="shared" si="194"/>
        <v>14</v>
      </c>
      <c r="AL814" s="96">
        <f t="shared" si="195"/>
        <v>61</v>
      </c>
      <c r="AM814" s="92"/>
      <c r="AN814" s="91"/>
      <c r="AO814" s="91"/>
    </row>
    <row r="815" spans="1:41" ht="14.5" x14ac:dyDescent="0.25">
      <c r="A815" s="110" t="s">
        <v>1473</v>
      </c>
      <c r="B815" s="90"/>
      <c r="C815" s="160" t="s">
        <v>1470</v>
      </c>
      <c r="D815" s="181" t="s">
        <v>1471</v>
      </c>
      <c r="E815" s="182" t="s">
        <v>254</v>
      </c>
      <c r="F815" s="182" t="s">
        <v>1139</v>
      </c>
      <c r="G815" s="179" t="s">
        <v>355</v>
      </c>
      <c r="H815" s="160">
        <v>110</v>
      </c>
      <c r="I815" s="160" t="s">
        <v>502</v>
      </c>
      <c r="J815" s="160" t="s">
        <v>1140</v>
      </c>
      <c r="K815" s="181" t="s">
        <v>257</v>
      </c>
      <c r="L815" s="93" t="s">
        <v>2712</v>
      </c>
      <c r="M815" s="94" t="s">
        <v>3216</v>
      </c>
      <c r="N815" s="95" t="s">
        <v>3050</v>
      </c>
      <c r="O815" s="160">
        <f>110/200</f>
        <v>0.55000000000000004</v>
      </c>
      <c r="P815" s="97">
        <f>1/16*O815</f>
        <v>3.4375000000000003E-2</v>
      </c>
      <c r="Q815" s="160" t="s">
        <v>3430</v>
      </c>
      <c r="R815" s="160">
        <v>800</v>
      </c>
      <c r="S815" s="175"/>
      <c r="T815" s="131"/>
      <c r="U815" s="157">
        <f>R815*P815+700/16*O815</f>
        <v>51.562500000000007</v>
      </c>
      <c r="V815" s="100">
        <f t="shared" si="198"/>
        <v>0.46875000000000006</v>
      </c>
      <c r="W815" s="101">
        <f t="shared" si="199"/>
        <v>6.6964285714285726E-2</v>
      </c>
      <c r="X815" s="175"/>
      <c r="Y815" s="175">
        <f>963.57/16*O815</f>
        <v>33.122718750000004</v>
      </c>
      <c r="Z815" s="104" t="s">
        <v>476</v>
      </c>
      <c r="AA815" s="118">
        <v>45878</v>
      </c>
      <c r="AB815" s="118">
        <v>45916</v>
      </c>
      <c r="AC815" s="103"/>
      <c r="AD815" s="102">
        <f>IF(ISNA(VLOOKUP(D815,亚马逊入库配置费!B:F,5,0)),0,VLOOKUP(D815,亚马逊入库配置费!B:F,5,0))</f>
        <v>0</v>
      </c>
      <c r="AE815" s="102">
        <f t="shared" si="192"/>
        <v>0</v>
      </c>
      <c r="AF815" s="103">
        <v>45925</v>
      </c>
      <c r="AG815" s="91">
        <f t="shared" si="193"/>
        <v>47</v>
      </c>
      <c r="AH815" s="103">
        <v>45925</v>
      </c>
      <c r="AI815" s="103">
        <v>45939</v>
      </c>
      <c r="AJ815" s="96">
        <v>110</v>
      </c>
      <c r="AK815" s="91">
        <f t="shared" si="194"/>
        <v>14</v>
      </c>
      <c r="AL815" s="96">
        <f t="shared" si="195"/>
        <v>61</v>
      </c>
      <c r="AM815" s="92"/>
      <c r="AN815" s="91"/>
      <c r="AO815" s="91"/>
    </row>
    <row r="816" spans="1:41" ht="14.5" x14ac:dyDescent="0.25">
      <c r="A816" s="110" t="s">
        <v>1474</v>
      </c>
      <c r="B816" s="90"/>
      <c r="C816" s="160" t="s">
        <v>1470</v>
      </c>
      <c r="D816" s="181" t="s">
        <v>1471</v>
      </c>
      <c r="E816" s="182" t="s">
        <v>254</v>
      </c>
      <c r="F816" s="182" t="s">
        <v>1139</v>
      </c>
      <c r="G816" s="179" t="s">
        <v>357</v>
      </c>
      <c r="H816" s="160">
        <v>90</v>
      </c>
      <c r="I816" s="160" t="s">
        <v>502</v>
      </c>
      <c r="J816" s="160" t="s">
        <v>1140</v>
      </c>
      <c r="K816" s="181" t="s">
        <v>257</v>
      </c>
      <c r="L816" s="93" t="s">
        <v>3051</v>
      </c>
      <c r="M816" s="94" t="s">
        <v>3337</v>
      </c>
      <c r="N816" s="95" t="s">
        <v>3050</v>
      </c>
      <c r="O816" s="160">
        <f>90/200</f>
        <v>0.45</v>
      </c>
      <c r="P816" s="97">
        <f>1/16*O816</f>
        <v>2.8125000000000001E-2</v>
      </c>
      <c r="Q816" s="160" t="s">
        <v>3430</v>
      </c>
      <c r="R816" s="160">
        <v>800</v>
      </c>
      <c r="S816" s="175"/>
      <c r="T816" s="131"/>
      <c r="U816" s="157">
        <f>R816*P816+700/16*O816</f>
        <v>42.1875</v>
      </c>
      <c r="V816" s="100">
        <f t="shared" si="198"/>
        <v>0.46875</v>
      </c>
      <c r="W816" s="101">
        <f t="shared" si="199"/>
        <v>6.6964285714285712E-2</v>
      </c>
      <c r="X816" s="175"/>
      <c r="Y816" s="175">
        <f>963.57/16*O816</f>
        <v>27.100406250000002</v>
      </c>
      <c r="Z816" s="104" t="s">
        <v>476</v>
      </c>
      <c r="AA816" s="118">
        <v>45878</v>
      </c>
      <c r="AB816" s="118">
        <v>45916</v>
      </c>
      <c r="AC816" s="103"/>
      <c r="AD816" s="102">
        <f>IF(ISNA(VLOOKUP(D816,亚马逊入库配置费!B:F,5,0)),0,VLOOKUP(D816,亚马逊入库配置费!B:F,5,0))</f>
        <v>0</v>
      </c>
      <c r="AE816" s="102">
        <f t="shared" si="192"/>
        <v>0</v>
      </c>
      <c r="AF816" s="103">
        <v>45925</v>
      </c>
      <c r="AG816" s="91">
        <f t="shared" si="193"/>
        <v>47</v>
      </c>
      <c r="AH816" s="103">
        <v>45925</v>
      </c>
      <c r="AI816" s="103">
        <v>45939</v>
      </c>
      <c r="AJ816" s="96">
        <v>90</v>
      </c>
      <c r="AK816" s="91">
        <f t="shared" si="194"/>
        <v>14</v>
      </c>
      <c r="AL816" s="96">
        <f t="shared" si="195"/>
        <v>61</v>
      </c>
      <c r="AM816" s="92"/>
      <c r="AN816" s="91"/>
      <c r="AO816" s="91"/>
    </row>
    <row r="817" spans="1:41" ht="14.5" x14ac:dyDescent="0.25">
      <c r="A817" s="92" t="s">
        <v>1475</v>
      </c>
      <c r="B817" s="91"/>
      <c r="C817" s="180" t="s">
        <v>1476</v>
      </c>
      <c r="D817" s="177" t="s">
        <v>1477</v>
      </c>
      <c r="E817" s="178" t="s">
        <v>97</v>
      </c>
      <c r="F817" s="178" t="s">
        <v>1369</v>
      </c>
      <c r="G817" s="179" t="s">
        <v>161</v>
      </c>
      <c r="H817" s="160">
        <v>160</v>
      </c>
      <c r="I817" s="160" t="s">
        <v>502</v>
      </c>
      <c r="J817" s="160" t="s">
        <v>1365</v>
      </c>
      <c r="K817" s="177" t="s">
        <v>46</v>
      </c>
      <c r="L817" s="93" t="s">
        <v>3024</v>
      </c>
      <c r="M817" s="94" t="s">
        <v>3301</v>
      </c>
      <c r="N817" s="95" t="s">
        <v>2870</v>
      </c>
      <c r="O817" s="160">
        <v>5</v>
      </c>
      <c r="P817" s="97">
        <f t="shared" ref="P817:P826" si="203">1654/123*O817</f>
        <v>67.235772357723576</v>
      </c>
      <c r="Q817" s="126" t="s">
        <v>1443</v>
      </c>
      <c r="R817" s="160">
        <v>3.5</v>
      </c>
      <c r="S817" s="175"/>
      <c r="T817" s="131"/>
      <c r="U817" s="157">
        <f>R817*P817+350/437*O817</f>
        <v>239.3297799110714</v>
      </c>
      <c r="V817" s="100">
        <f t="shared" si="198"/>
        <v>1.4958111244441963</v>
      </c>
      <c r="W817" s="114">
        <f t="shared" si="199"/>
        <v>0.21368730349202805</v>
      </c>
      <c r="X817" s="175"/>
      <c r="Y817" s="175"/>
      <c r="Z817" s="102"/>
      <c r="AA817" s="103">
        <v>45878</v>
      </c>
      <c r="AB817" s="118">
        <v>45901</v>
      </c>
      <c r="AC817" s="103"/>
      <c r="AD817" s="102">
        <f>IF(ISNA(VLOOKUP(D817,亚马逊入库配置费!B:F,5,0)),0,VLOOKUP(D817,亚马逊入库配置费!B:F,5,0))</f>
        <v>0.35424778761061898</v>
      </c>
      <c r="AE817" s="102">
        <f t="shared" si="192"/>
        <v>56.679646017699035</v>
      </c>
      <c r="AF817" s="103">
        <v>45914</v>
      </c>
      <c r="AG817" s="91">
        <f t="shared" si="193"/>
        <v>36</v>
      </c>
      <c r="AH817" s="103">
        <v>45914</v>
      </c>
      <c r="AI817" s="103">
        <v>45948</v>
      </c>
      <c r="AJ817" s="96">
        <v>160</v>
      </c>
      <c r="AK817" s="91">
        <f t="shared" si="194"/>
        <v>34</v>
      </c>
      <c r="AL817" s="96">
        <f t="shared" si="195"/>
        <v>70</v>
      </c>
      <c r="AM817" s="92"/>
      <c r="AN817" s="91"/>
      <c r="AO817" s="91"/>
    </row>
    <row r="818" spans="1:41" ht="14.5" x14ac:dyDescent="0.25">
      <c r="A818" s="92" t="s">
        <v>1478</v>
      </c>
      <c r="B818" s="91"/>
      <c r="C818" s="180" t="s">
        <v>1476</v>
      </c>
      <c r="D818" s="177" t="s">
        <v>1477</v>
      </c>
      <c r="E818" s="178" t="s">
        <v>97</v>
      </c>
      <c r="F818" s="178" t="s">
        <v>1369</v>
      </c>
      <c r="G818" s="179" t="s">
        <v>228</v>
      </c>
      <c r="H818" s="160">
        <v>200</v>
      </c>
      <c r="I818" s="160" t="s">
        <v>502</v>
      </c>
      <c r="J818" s="160" t="s">
        <v>1365</v>
      </c>
      <c r="K818" s="177" t="s">
        <v>46</v>
      </c>
      <c r="L818" s="93" t="s">
        <v>3036</v>
      </c>
      <c r="M818" s="94" t="s">
        <v>3315</v>
      </c>
      <c r="N818" s="95" t="s">
        <v>2870</v>
      </c>
      <c r="O818" s="160">
        <v>10</v>
      </c>
      <c r="P818" s="97">
        <f t="shared" si="203"/>
        <v>134.47154471544715</v>
      </c>
      <c r="Q818" s="126" t="s">
        <v>1443</v>
      </c>
      <c r="R818" s="160">
        <v>3.5</v>
      </c>
      <c r="S818" s="175"/>
      <c r="T818" s="131"/>
      <c r="U818" s="157">
        <f t="shared" ref="U818:U826" si="204">R818*P818+350/437*O818</f>
        <v>478.6595598221428</v>
      </c>
      <c r="V818" s="100">
        <f t="shared" si="198"/>
        <v>2.3932977991107141</v>
      </c>
      <c r="W818" s="114">
        <f t="shared" si="199"/>
        <v>0.34189968558724487</v>
      </c>
      <c r="X818" s="175"/>
      <c r="Y818" s="175"/>
      <c r="Z818" s="102"/>
      <c r="AA818" s="103">
        <v>45878</v>
      </c>
      <c r="AB818" s="118">
        <v>45901</v>
      </c>
      <c r="AC818" s="103"/>
      <c r="AD818" s="102">
        <f>IF(ISNA(VLOOKUP(D818,亚马逊入库配置费!B:F,5,0)),0,VLOOKUP(D818,亚马逊入库配置费!B:F,5,0))</f>
        <v>0.35424778761061898</v>
      </c>
      <c r="AE818" s="102">
        <f t="shared" si="192"/>
        <v>70.849557522123803</v>
      </c>
      <c r="AF818" s="103">
        <v>45914</v>
      </c>
      <c r="AG818" s="91">
        <f t="shared" si="193"/>
        <v>36</v>
      </c>
      <c r="AH818" s="103">
        <v>45914</v>
      </c>
      <c r="AI818" s="103">
        <v>45948</v>
      </c>
      <c r="AJ818" s="96">
        <v>200</v>
      </c>
      <c r="AK818" s="91">
        <f t="shared" si="194"/>
        <v>34</v>
      </c>
      <c r="AL818" s="96">
        <f t="shared" si="195"/>
        <v>70</v>
      </c>
      <c r="AM818" s="92"/>
      <c r="AN818" s="91"/>
      <c r="AO818" s="91"/>
    </row>
    <row r="819" spans="1:41" ht="14.5" x14ac:dyDescent="0.25">
      <c r="A819" s="92" t="s">
        <v>1479</v>
      </c>
      <c r="B819" s="91"/>
      <c r="C819" s="180" t="s">
        <v>1476</v>
      </c>
      <c r="D819" s="177" t="s">
        <v>1477</v>
      </c>
      <c r="E819" s="178" t="s">
        <v>97</v>
      </c>
      <c r="F819" s="178" t="s">
        <v>1369</v>
      </c>
      <c r="G819" s="179" t="s">
        <v>163</v>
      </c>
      <c r="H819" s="160">
        <v>2000</v>
      </c>
      <c r="I819" s="160" t="s">
        <v>502</v>
      </c>
      <c r="J819" s="160" t="s">
        <v>1365</v>
      </c>
      <c r="K819" s="177" t="s">
        <v>46</v>
      </c>
      <c r="L819" s="93" t="s">
        <v>2881</v>
      </c>
      <c r="M819" s="94" t="s">
        <v>3302</v>
      </c>
      <c r="N819" s="95" t="s">
        <v>2870</v>
      </c>
      <c r="O819" s="160">
        <v>50</v>
      </c>
      <c r="P819" s="97">
        <f t="shared" si="203"/>
        <v>672.35772357723579</v>
      </c>
      <c r="Q819" s="126" t="s">
        <v>1443</v>
      </c>
      <c r="R819" s="160">
        <v>3.5</v>
      </c>
      <c r="S819" s="175"/>
      <c r="T819" s="131"/>
      <c r="U819" s="157">
        <f t="shared" si="204"/>
        <v>2393.2977991107145</v>
      </c>
      <c r="V819" s="100">
        <f t="shared" si="198"/>
        <v>1.1966488995553572</v>
      </c>
      <c r="W819" s="114">
        <f t="shared" si="199"/>
        <v>0.17094984279362246</v>
      </c>
      <c r="X819" s="175"/>
      <c r="Y819" s="175"/>
      <c r="Z819" s="102"/>
      <c r="AA819" s="103">
        <v>45878</v>
      </c>
      <c r="AB819" s="118">
        <v>45901</v>
      </c>
      <c r="AC819" s="103"/>
      <c r="AD819" s="102">
        <f>IF(ISNA(VLOOKUP(D819,亚马逊入库配置费!B:F,5,0)),0,VLOOKUP(D819,亚马逊入库配置费!B:F,5,0))</f>
        <v>0.35424778761061898</v>
      </c>
      <c r="AE819" s="102">
        <f t="shared" si="192"/>
        <v>708.49557522123791</v>
      </c>
      <c r="AF819" s="103">
        <v>45914</v>
      </c>
      <c r="AG819" s="91">
        <f t="shared" si="193"/>
        <v>36</v>
      </c>
      <c r="AH819" s="103">
        <v>45914</v>
      </c>
      <c r="AI819" s="103">
        <v>45948</v>
      </c>
      <c r="AJ819" s="96">
        <v>1960</v>
      </c>
      <c r="AK819" s="91">
        <f t="shared" si="194"/>
        <v>34</v>
      </c>
      <c r="AL819" s="96">
        <f t="shared" si="195"/>
        <v>70</v>
      </c>
      <c r="AM819" s="92"/>
      <c r="AN819" s="91"/>
      <c r="AO819" s="91"/>
    </row>
    <row r="820" spans="1:41" ht="14.5" x14ac:dyDescent="0.25">
      <c r="A820" s="92" t="s">
        <v>1480</v>
      </c>
      <c r="B820" s="91"/>
      <c r="C820" s="180" t="s">
        <v>1476</v>
      </c>
      <c r="D820" s="177" t="s">
        <v>1477</v>
      </c>
      <c r="E820" s="178" t="s">
        <v>97</v>
      </c>
      <c r="F820" s="178" t="s">
        <v>1369</v>
      </c>
      <c r="G820" s="179" t="s">
        <v>872</v>
      </c>
      <c r="H820" s="160">
        <v>240</v>
      </c>
      <c r="I820" s="160" t="s">
        <v>502</v>
      </c>
      <c r="J820" s="160" t="s">
        <v>1365</v>
      </c>
      <c r="K820" s="177" t="s">
        <v>46</v>
      </c>
      <c r="L820" s="93" t="s">
        <v>872</v>
      </c>
      <c r="M820" s="94" t="s">
        <v>3399</v>
      </c>
      <c r="N820" s="95" t="s">
        <v>2870</v>
      </c>
      <c r="O820" s="160">
        <v>8</v>
      </c>
      <c r="P820" s="97">
        <f t="shared" si="203"/>
        <v>107.57723577235772</v>
      </c>
      <c r="Q820" s="126" t="s">
        <v>1443</v>
      </c>
      <c r="R820" s="160">
        <v>3.5</v>
      </c>
      <c r="S820" s="175"/>
      <c r="T820" s="131"/>
      <c r="U820" s="157">
        <f t="shared" si="204"/>
        <v>382.92764785771425</v>
      </c>
      <c r="V820" s="100">
        <f t="shared" si="198"/>
        <v>1.5955318660738094</v>
      </c>
      <c r="W820" s="114">
        <f t="shared" si="199"/>
        <v>0.22793312372482991</v>
      </c>
      <c r="X820" s="175"/>
      <c r="Y820" s="175"/>
      <c r="Z820" s="102"/>
      <c r="AA820" s="103">
        <v>45878</v>
      </c>
      <c r="AB820" s="118">
        <v>45901</v>
      </c>
      <c r="AC820" s="103"/>
      <c r="AD820" s="102">
        <f>IF(ISNA(VLOOKUP(D820,亚马逊入库配置费!B:F,5,0)),0,VLOOKUP(D820,亚马逊入库配置费!B:F,5,0))</f>
        <v>0.35424778761061898</v>
      </c>
      <c r="AE820" s="102">
        <f t="shared" si="192"/>
        <v>85.019469026548549</v>
      </c>
      <c r="AF820" s="103">
        <v>45914</v>
      </c>
      <c r="AG820" s="91">
        <f t="shared" si="193"/>
        <v>36</v>
      </c>
      <c r="AH820" s="103">
        <v>45914</v>
      </c>
      <c r="AI820" s="103">
        <v>45948</v>
      </c>
      <c r="AJ820" s="96">
        <v>237</v>
      </c>
      <c r="AK820" s="91">
        <f t="shared" si="194"/>
        <v>34</v>
      </c>
      <c r="AL820" s="96">
        <f t="shared" si="195"/>
        <v>70</v>
      </c>
      <c r="AM820" s="92"/>
      <c r="AN820" s="91"/>
      <c r="AO820" s="91"/>
    </row>
    <row r="821" spans="1:41" ht="14.5" x14ac:dyDescent="0.25">
      <c r="A821" s="92" t="s">
        <v>1481</v>
      </c>
      <c r="B821" s="91"/>
      <c r="C821" s="180" t="s">
        <v>1476</v>
      </c>
      <c r="D821" s="177" t="s">
        <v>1477</v>
      </c>
      <c r="E821" s="178" t="s">
        <v>97</v>
      </c>
      <c r="F821" s="178" t="s">
        <v>1369</v>
      </c>
      <c r="G821" s="179" t="s">
        <v>231</v>
      </c>
      <c r="H821" s="160">
        <v>200</v>
      </c>
      <c r="I821" s="160" t="s">
        <v>502</v>
      </c>
      <c r="J821" s="160" t="s">
        <v>1365</v>
      </c>
      <c r="K821" s="177" t="s">
        <v>46</v>
      </c>
      <c r="L821" s="93" t="s">
        <v>3037</v>
      </c>
      <c r="M821" s="94" t="s">
        <v>3207</v>
      </c>
      <c r="N821" s="95" t="s">
        <v>2870</v>
      </c>
      <c r="O821" s="160">
        <v>10</v>
      </c>
      <c r="P821" s="97">
        <f t="shared" si="203"/>
        <v>134.47154471544715</v>
      </c>
      <c r="Q821" s="126" t="s">
        <v>1443</v>
      </c>
      <c r="R821" s="160">
        <v>3.5</v>
      </c>
      <c r="S821" s="175"/>
      <c r="T821" s="131"/>
      <c r="U821" s="157">
        <f t="shared" si="204"/>
        <v>478.6595598221428</v>
      </c>
      <c r="V821" s="100">
        <f t="shared" si="198"/>
        <v>2.3932977991107141</v>
      </c>
      <c r="W821" s="114">
        <f t="shared" si="199"/>
        <v>0.34189968558724487</v>
      </c>
      <c r="X821" s="175"/>
      <c r="Y821" s="175"/>
      <c r="Z821" s="102"/>
      <c r="AA821" s="103">
        <v>45878</v>
      </c>
      <c r="AB821" s="118">
        <v>45901</v>
      </c>
      <c r="AC821" s="103"/>
      <c r="AD821" s="102">
        <f>IF(ISNA(VLOOKUP(D821,亚马逊入库配置费!B:F,5,0)),0,VLOOKUP(D821,亚马逊入库配置费!B:F,5,0))</f>
        <v>0.35424778761061898</v>
      </c>
      <c r="AE821" s="102">
        <f t="shared" si="192"/>
        <v>70.849557522123803</v>
      </c>
      <c r="AF821" s="103">
        <v>45914</v>
      </c>
      <c r="AG821" s="91">
        <f t="shared" si="193"/>
        <v>36</v>
      </c>
      <c r="AH821" s="103">
        <v>45914</v>
      </c>
      <c r="AI821" s="103">
        <v>45948</v>
      </c>
      <c r="AJ821" s="96">
        <v>200</v>
      </c>
      <c r="AK821" s="91">
        <f t="shared" si="194"/>
        <v>34</v>
      </c>
      <c r="AL821" s="96">
        <f t="shared" si="195"/>
        <v>70</v>
      </c>
      <c r="AM821" s="92"/>
      <c r="AN821" s="91"/>
      <c r="AO821" s="91"/>
    </row>
    <row r="822" spans="1:41" ht="14.5" x14ac:dyDescent="0.25">
      <c r="A822" s="92" t="s">
        <v>1482</v>
      </c>
      <c r="B822" s="91"/>
      <c r="C822" s="180" t="s">
        <v>1476</v>
      </c>
      <c r="D822" s="177" t="s">
        <v>1477</v>
      </c>
      <c r="E822" s="178" t="s">
        <v>97</v>
      </c>
      <c r="F822" s="178" t="s">
        <v>1369</v>
      </c>
      <c r="G822" s="179" t="s">
        <v>853</v>
      </c>
      <c r="H822" s="160">
        <v>200</v>
      </c>
      <c r="I822" s="160" t="s">
        <v>502</v>
      </c>
      <c r="J822" s="160" t="s">
        <v>1365</v>
      </c>
      <c r="K822" s="177" t="s">
        <v>46</v>
      </c>
      <c r="L822" s="93" t="s">
        <v>853</v>
      </c>
      <c r="M822" s="94" t="s">
        <v>3396</v>
      </c>
      <c r="N822" s="95" t="s">
        <v>2870</v>
      </c>
      <c r="O822" s="160">
        <v>5</v>
      </c>
      <c r="P822" s="97">
        <f t="shared" si="203"/>
        <v>67.235772357723576</v>
      </c>
      <c r="Q822" s="126" t="s">
        <v>1443</v>
      </c>
      <c r="R822" s="160">
        <v>3.5</v>
      </c>
      <c r="S822" s="175"/>
      <c r="T822" s="131"/>
      <c r="U822" s="157">
        <f t="shared" si="204"/>
        <v>239.3297799110714</v>
      </c>
      <c r="V822" s="100">
        <f t="shared" si="198"/>
        <v>1.196648899555357</v>
      </c>
      <c r="W822" s="114">
        <f t="shared" si="199"/>
        <v>0.17094984279362244</v>
      </c>
      <c r="X822" s="175"/>
      <c r="Y822" s="175"/>
      <c r="Z822" s="102"/>
      <c r="AA822" s="103">
        <v>45878</v>
      </c>
      <c r="AB822" s="118">
        <v>45901</v>
      </c>
      <c r="AC822" s="103"/>
      <c r="AD822" s="102">
        <f>IF(ISNA(VLOOKUP(D822,亚马逊入库配置费!B:F,5,0)),0,VLOOKUP(D822,亚马逊入库配置费!B:F,5,0))</f>
        <v>0.35424778761061898</v>
      </c>
      <c r="AE822" s="102">
        <f t="shared" si="192"/>
        <v>70.849557522123803</v>
      </c>
      <c r="AF822" s="103">
        <v>45914</v>
      </c>
      <c r="AG822" s="91">
        <f t="shared" si="193"/>
        <v>36</v>
      </c>
      <c r="AH822" s="103">
        <v>45914</v>
      </c>
      <c r="AI822" s="103">
        <v>45948</v>
      </c>
      <c r="AJ822" s="96">
        <v>200</v>
      </c>
      <c r="AK822" s="91">
        <f t="shared" si="194"/>
        <v>34</v>
      </c>
      <c r="AL822" s="96">
        <f t="shared" si="195"/>
        <v>70</v>
      </c>
      <c r="AM822" s="92"/>
      <c r="AN822" s="91"/>
      <c r="AO822" s="91"/>
    </row>
    <row r="823" spans="1:41" ht="14.5" x14ac:dyDescent="0.25">
      <c r="A823" s="92" t="s">
        <v>1483</v>
      </c>
      <c r="B823" s="91"/>
      <c r="C823" s="180" t="s">
        <v>1476</v>
      </c>
      <c r="D823" s="177" t="s">
        <v>1477</v>
      </c>
      <c r="E823" s="178" t="s">
        <v>97</v>
      </c>
      <c r="F823" s="178" t="s">
        <v>1369</v>
      </c>
      <c r="G823" s="179" t="s">
        <v>352</v>
      </c>
      <c r="H823" s="160">
        <v>200</v>
      </c>
      <c r="I823" s="160" t="s">
        <v>502</v>
      </c>
      <c r="J823" s="160" t="s">
        <v>1365</v>
      </c>
      <c r="K823" s="177" t="s">
        <v>46</v>
      </c>
      <c r="L823" s="93" t="s">
        <v>3049</v>
      </c>
      <c r="M823" s="94" t="s">
        <v>3336</v>
      </c>
      <c r="N823" s="95" t="s">
        <v>2870</v>
      </c>
      <c r="O823" s="160">
        <v>5</v>
      </c>
      <c r="P823" s="97">
        <f t="shared" si="203"/>
        <v>67.235772357723576</v>
      </c>
      <c r="Q823" s="126" t="s">
        <v>1443</v>
      </c>
      <c r="R823" s="160">
        <v>3.5</v>
      </c>
      <c r="S823" s="175"/>
      <c r="T823" s="131"/>
      <c r="U823" s="157">
        <f t="shared" si="204"/>
        <v>239.3297799110714</v>
      </c>
      <c r="V823" s="100">
        <f t="shared" si="198"/>
        <v>1.196648899555357</v>
      </c>
      <c r="W823" s="114">
        <f t="shared" si="199"/>
        <v>0.17094984279362244</v>
      </c>
      <c r="X823" s="175"/>
      <c r="Y823" s="175"/>
      <c r="Z823" s="102"/>
      <c r="AA823" s="103">
        <v>45878</v>
      </c>
      <c r="AB823" s="118">
        <v>45901</v>
      </c>
      <c r="AC823" s="103"/>
      <c r="AD823" s="102">
        <f>IF(ISNA(VLOOKUP(D823,亚马逊入库配置费!B:F,5,0)),0,VLOOKUP(D823,亚马逊入库配置费!B:F,5,0))</f>
        <v>0.35424778761061898</v>
      </c>
      <c r="AE823" s="102">
        <f t="shared" si="192"/>
        <v>70.849557522123803</v>
      </c>
      <c r="AF823" s="103">
        <v>45914</v>
      </c>
      <c r="AG823" s="91">
        <f t="shared" si="193"/>
        <v>36</v>
      </c>
      <c r="AH823" s="103">
        <v>45914</v>
      </c>
      <c r="AI823" s="103">
        <v>45948</v>
      </c>
      <c r="AJ823" s="96">
        <v>198</v>
      </c>
      <c r="AK823" s="91">
        <f t="shared" si="194"/>
        <v>34</v>
      </c>
      <c r="AL823" s="96">
        <f t="shared" si="195"/>
        <v>70</v>
      </c>
      <c r="AM823" s="92"/>
      <c r="AN823" s="91"/>
      <c r="AO823" s="91"/>
    </row>
    <row r="824" spans="1:41" ht="14.5" x14ac:dyDescent="0.25">
      <c r="A824" s="92" t="s">
        <v>1484</v>
      </c>
      <c r="B824" s="91"/>
      <c r="C824" s="180" t="s">
        <v>1476</v>
      </c>
      <c r="D824" s="177" t="s">
        <v>1477</v>
      </c>
      <c r="E824" s="178" t="s">
        <v>97</v>
      </c>
      <c r="F824" s="178" t="s">
        <v>1369</v>
      </c>
      <c r="G824" s="179" t="s">
        <v>165</v>
      </c>
      <c r="H824" s="160">
        <v>1000</v>
      </c>
      <c r="I824" s="160" t="s">
        <v>502</v>
      </c>
      <c r="J824" s="160" t="s">
        <v>1365</v>
      </c>
      <c r="K824" s="177" t="s">
        <v>46</v>
      </c>
      <c r="L824" s="93" t="s">
        <v>2880</v>
      </c>
      <c r="M824" s="94" t="s">
        <v>3209</v>
      </c>
      <c r="N824" s="95" t="s">
        <v>2870</v>
      </c>
      <c r="O824" s="160">
        <v>25</v>
      </c>
      <c r="P824" s="97">
        <f t="shared" si="203"/>
        <v>336.17886178861789</v>
      </c>
      <c r="Q824" s="126" t="s">
        <v>1443</v>
      </c>
      <c r="R824" s="160">
        <v>3.5</v>
      </c>
      <c r="S824" s="175"/>
      <c r="T824" s="131"/>
      <c r="U824" s="157">
        <f t="shared" si="204"/>
        <v>1196.6488995553573</v>
      </c>
      <c r="V824" s="100">
        <f t="shared" si="198"/>
        <v>1.1966488995553572</v>
      </c>
      <c r="W824" s="114">
        <f t="shared" si="199"/>
        <v>0.17094984279362246</v>
      </c>
      <c r="X824" s="175"/>
      <c r="Y824" s="175"/>
      <c r="Z824" s="102"/>
      <c r="AA824" s="103">
        <v>45878</v>
      </c>
      <c r="AB824" s="118">
        <v>45901</v>
      </c>
      <c r="AC824" s="103"/>
      <c r="AD824" s="102">
        <f>IF(ISNA(VLOOKUP(D824,亚马逊入库配置费!B:F,5,0)),0,VLOOKUP(D824,亚马逊入库配置费!B:F,5,0))</f>
        <v>0.35424778761061898</v>
      </c>
      <c r="AE824" s="102">
        <f t="shared" si="192"/>
        <v>354.24778761061896</v>
      </c>
      <c r="AF824" s="103">
        <v>45914</v>
      </c>
      <c r="AG824" s="91">
        <f t="shared" si="193"/>
        <v>36</v>
      </c>
      <c r="AH824" s="103">
        <v>45914</v>
      </c>
      <c r="AI824" s="103">
        <v>45948</v>
      </c>
      <c r="AJ824" s="96">
        <v>1005</v>
      </c>
      <c r="AK824" s="91">
        <f t="shared" si="194"/>
        <v>34</v>
      </c>
      <c r="AL824" s="96">
        <f t="shared" si="195"/>
        <v>70</v>
      </c>
      <c r="AM824" s="92"/>
      <c r="AN824" s="91"/>
      <c r="AO824" s="91"/>
    </row>
    <row r="825" spans="1:41" ht="14.5" x14ac:dyDescent="0.25">
      <c r="A825" s="92" t="s">
        <v>1485</v>
      </c>
      <c r="B825" s="91"/>
      <c r="C825" s="180" t="s">
        <v>1476</v>
      </c>
      <c r="D825" s="177" t="s">
        <v>1477</v>
      </c>
      <c r="E825" s="178" t="s">
        <v>97</v>
      </c>
      <c r="F825" s="178" t="s">
        <v>1369</v>
      </c>
      <c r="G825" s="179" t="s">
        <v>1409</v>
      </c>
      <c r="H825" s="160">
        <v>120</v>
      </c>
      <c r="I825" s="160" t="s">
        <v>502</v>
      </c>
      <c r="J825" s="160" t="s">
        <v>1365</v>
      </c>
      <c r="K825" s="177" t="s">
        <v>46</v>
      </c>
      <c r="L825" s="93" t="s">
        <v>1409</v>
      </c>
      <c r="M825" s="94" t="s">
        <v>3446</v>
      </c>
      <c r="N825" s="95" t="s">
        <v>2870</v>
      </c>
      <c r="O825" s="160">
        <v>4</v>
      </c>
      <c r="P825" s="97">
        <f t="shared" si="203"/>
        <v>53.788617886178862</v>
      </c>
      <c r="Q825" s="126" t="s">
        <v>1443</v>
      </c>
      <c r="R825" s="160">
        <v>3.5</v>
      </c>
      <c r="S825" s="175"/>
      <c r="T825" s="131"/>
      <c r="U825" s="157">
        <f t="shared" si="204"/>
        <v>191.46382392885712</v>
      </c>
      <c r="V825" s="100">
        <f t="shared" si="198"/>
        <v>1.5955318660738094</v>
      </c>
      <c r="W825" s="114">
        <f t="shared" si="199"/>
        <v>0.22793312372482991</v>
      </c>
      <c r="X825" s="175"/>
      <c r="Y825" s="175"/>
      <c r="Z825" s="102"/>
      <c r="AA825" s="103">
        <v>45878</v>
      </c>
      <c r="AB825" s="118">
        <v>45901</v>
      </c>
      <c r="AC825" s="103"/>
      <c r="AD825" s="102">
        <f>IF(ISNA(VLOOKUP(D825,亚马逊入库配置费!B:F,5,0)),0,VLOOKUP(D825,亚马逊入库配置费!B:F,5,0))</f>
        <v>0.35424778761061898</v>
      </c>
      <c r="AE825" s="102">
        <f t="shared" si="192"/>
        <v>42.509734513274275</v>
      </c>
      <c r="AF825" s="103">
        <v>45914</v>
      </c>
      <c r="AG825" s="91">
        <f t="shared" si="193"/>
        <v>36</v>
      </c>
      <c r="AH825" s="103">
        <v>45914</v>
      </c>
      <c r="AI825" s="103">
        <v>45948</v>
      </c>
      <c r="AJ825" s="96">
        <v>130</v>
      </c>
      <c r="AK825" s="91">
        <f t="shared" si="194"/>
        <v>34</v>
      </c>
      <c r="AL825" s="96">
        <f t="shared" si="195"/>
        <v>70</v>
      </c>
      <c r="AM825" s="92"/>
      <c r="AN825" s="91"/>
      <c r="AO825" s="91"/>
    </row>
    <row r="826" spans="1:41" ht="14.5" x14ac:dyDescent="0.25">
      <c r="A826" s="92" t="s">
        <v>1486</v>
      </c>
      <c r="B826" s="91"/>
      <c r="C826" s="180" t="s">
        <v>1476</v>
      </c>
      <c r="D826" s="177" t="s">
        <v>1477</v>
      </c>
      <c r="E826" s="178" t="s">
        <v>97</v>
      </c>
      <c r="F826" s="178" t="s">
        <v>1369</v>
      </c>
      <c r="G826" s="179" t="s">
        <v>1487</v>
      </c>
      <c r="H826" s="160">
        <v>200</v>
      </c>
      <c r="I826" s="160" t="s">
        <v>502</v>
      </c>
      <c r="J826" s="160" t="s">
        <v>1365</v>
      </c>
      <c r="K826" s="177" t="s">
        <v>46</v>
      </c>
      <c r="L826" s="93" t="s">
        <v>1487</v>
      </c>
      <c r="M826" s="94" t="s">
        <v>3447</v>
      </c>
      <c r="N826" s="95" t="s">
        <v>3102</v>
      </c>
      <c r="O826" s="160">
        <v>1</v>
      </c>
      <c r="P826" s="97">
        <f t="shared" si="203"/>
        <v>13.447154471544716</v>
      </c>
      <c r="Q826" s="126" t="s">
        <v>1443</v>
      </c>
      <c r="R826" s="160">
        <v>3.5</v>
      </c>
      <c r="S826" s="175"/>
      <c r="T826" s="131"/>
      <c r="U826" s="157">
        <f t="shared" si="204"/>
        <v>47.865955982214281</v>
      </c>
      <c r="V826" s="100">
        <f t="shared" si="198"/>
        <v>0.23932977991107141</v>
      </c>
      <c r="W826" s="114">
        <f t="shared" si="199"/>
        <v>3.4189968558724484E-2</v>
      </c>
      <c r="X826" s="175"/>
      <c r="Y826" s="175"/>
      <c r="Z826" s="102"/>
      <c r="AA826" s="103">
        <v>45878</v>
      </c>
      <c r="AB826" s="118">
        <v>45901</v>
      </c>
      <c r="AC826" s="103"/>
      <c r="AD826" s="102">
        <f>IF(ISNA(VLOOKUP(D826,亚马逊入库配置费!B:F,5,0)),0,VLOOKUP(D826,亚马逊入库配置费!B:F,5,0))</f>
        <v>0.35424778761061898</v>
      </c>
      <c r="AE826" s="102">
        <f t="shared" si="192"/>
        <v>70.849557522123803</v>
      </c>
      <c r="AF826" s="103">
        <v>45914</v>
      </c>
      <c r="AG826" s="91">
        <f t="shared" si="193"/>
        <v>36</v>
      </c>
      <c r="AH826" s="103">
        <v>45914</v>
      </c>
      <c r="AI826" s="103">
        <v>45948</v>
      </c>
      <c r="AJ826" s="96">
        <v>199</v>
      </c>
      <c r="AK826" s="91">
        <f t="shared" si="194"/>
        <v>34</v>
      </c>
      <c r="AL826" s="96">
        <f t="shared" si="195"/>
        <v>70</v>
      </c>
      <c r="AM826" s="92"/>
      <c r="AN826" s="91"/>
      <c r="AO826" s="91"/>
    </row>
    <row r="827" spans="1:41" ht="14.5" x14ac:dyDescent="0.25">
      <c r="A827" s="92" t="s">
        <v>1488</v>
      </c>
      <c r="B827" s="91"/>
      <c r="C827" s="180" t="s">
        <v>1489</v>
      </c>
      <c r="D827" s="177" t="s">
        <v>1490</v>
      </c>
      <c r="E827" s="178" t="s">
        <v>97</v>
      </c>
      <c r="F827" s="178" t="s">
        <v>1369</v>
      </c>
      <c r="G827" s="179" t="s">
        <v>161</v>
      </c>
      <c r="H827" s="160">
        <v>160</v>
      </c>
      <c r="I827" s="160" t="s">
        <v>1227</v>
      </c>
      <c r="J827" s="160" t="s">
        <v>503</v>
      </c>
      <c r="K827" s="177" t="s">
        <v>14</v>
      </c>
      <c r="L827" s="93" t="s">
        <v>3024</v>
      </c>
      <c r="M827" s="94" t="s">
        <v>3301</v>
      </c>
      <c r="N827" s="95" t="s">
        <v>2870</v>
      </c>
      <c r="O827" s="171">
        <v>5</v>
      </c>
      <c r="P827" s="97">
        <v>69.2561983471074</v>
      </c>
      <c r="Q827" s="165" t="s">
        <v>16</v>
      </c>
      <c r="R827" s="174">
        <v>4.4000000000000004</v>
      </c>
      <c r="S827" s="175"/>
      <c r="T827" s="131"/>
      <c r="U827" s="157">
        <f t="shared" ref="U827:U835" si="205">R827*P827+518/121*O827</f>
        <v>326.13223140495853</v>
      </c>
      <c r="V827" s="113">
        <f t="shared" si="198"/>
        <v>2.0383264462809909</v>
      </c>
      <c r="W827" s="114">
        <f t="shared" si="199"/>
        <v>0.29118949232585584</v>
      </c>
      <c r="X827" s="175"/>
      <c r="Y827" s="175"/>
      <c r="Z827" s="102"/>
      <c r="AA827" s="103">
        <v>45878</v>
      </c>
      <c r="AB827" s="118">
        <v>45906</v>
      </c>
      <c r="AC827" s="103"/>
      <c r="AD827" s="102">
        <f>IF(ISNA(VLOOKUP(D827,亚马逊入库配置费!B:F,5,0)),0,VLOOKUP(D827,亚马逊入库配置费!B:F,5,0))</f>
        <v>0.35504672897196299</v>
      </c>
      <c r="AE827" s="102">
        <f t="shared" si="192"/>
        <v>56.807476635514078</v>
      </c>
      <c r="AF827" s="103">
        <v>45915</v>
      </c>
      <c r="AG827" s="91">
        <f t="shared" si="193"/>
        <v>37</v>
      </c>
      <c r="AH827" s="103">
        <v>45915</v>
      </c>
      <c r="AI827" s="103">
        <v>45944</v>
      </c>
      <c r="AJ827" s="96">
        <v>157</v>
      </c>
      <c r="AK827" s="91">
        <f t="shared" si="194"/>
        <v>29</v>
      </c>
      <c r="AL827" s="96">
        <f t="shared" si="195"/>
        <v>66</v>
      </c>
      <c r="AM827" s="92"/>
      <c r="AN827" s="91"/>
      <c r="AO827" s="91"/>
    </row>
    <row r="828" spans="1:41" ht="14.5" x14ac:dyDescent="0.25">
      <c r="A828" s="92" t="s">
        <v>1491</v>
      </c>
      <c r="B828" s="91"/>
      <c r="C828" s="180" t="s">
        <v>1489</v>
      </c>
      <c r="D828" s="177" t="s">
        <v>1490</v>
      </c>
      <c r="E828" s="178" t="s">
        <v>97</v>
      </c>
      <c r="F828" s="178" t="s">
        <v>1369</v>
      </c>
      <c r="G828" s="179" t="s">
        <v>228</v>
      </c>
      <c r="H828" s="160">
        <v>200</v>
      </c>
      <c r="I828" s="160" t="s">
        <v>1227</v>
      </c>
      <c r="J828" s="160" t="s">
        <v>503</v>
      </c>
      <c r="K828" s="177" t="s">
        <v>14</v>
      </c>
      <c r="L828" s="93" t="s">
        <v>3036</v>
      </c>
      <c r="M828" s="94" t="s">
        <v>3315</v>
      </c>
      <c r="N828" s="95" t="s">
        <v>2870</v>
      </c>
      <c r="O828" s="171">
        <v>10</v>
      </c>
      <c r="P828" s="97">
        <v>138.512396694215</v>
      </c>
      <c r="Q828" s="165" t="s">
        <v>16</v>
      </c>
      <c r="R828" s="174">
        <v>4.4000000000000004</v>
      </c>
      <c r="S828" s="175"/>
      <c r="T828" s="131"/>
      <c r="U828" s="157">
        <f t="shared" si="205"/>
        <v>652.26446280991797</v>
      </c>
      <c r="V828" s="113">
        <f t="shared" si="198"/>
        <v>3.2613223140495897</v>
      </c>
      <c r="W828" s="114">
        <f t="shared" si="199"/>
        <v>0.46590318772136996</v>
      </c>
      <c r="X828" s="175"/>
      <c r="Y828" s="175"/>
      <c r="Z828" s="102"/>
      <c r="AA828" s="103">
        <v>45878</v>
      </c>
      <c r="AB828" s="118">
        <v>45906</v>
      </c>
      <c r="AC828" s="103"/>
      <c r="AD828" s="102">
        <f>IF(ISNA(VLOOKUP(D828,亚马逊入库配置费!B:F,5,0)),0,VLOOKUP(D828,亚马逊入库配置费!B:F,5,0))</f>
        <v>0.35504672897196299</v>
      </c>
      <c r="AE828" s="102">
        <f t="shared" si="192"/>
        <v>71.009345794392601</v>
      </c>
      <c r="AF828" s="103">
        <v>45915</v>
      </c>
      <c r="AG828" s="91">
        <f t="shared" si="193"/>
        <v>37</v>
      </c>
      <c r="AH828" s="103">
        <v>45915</v>
      </c>
      <c r="AI828" s="103">
        <v>45944</v>
      </c>
      <c r="AJ828" s="96">
        <v>200</v>
      </c>
      <c r="AK828" s="91">
        <f t="shared" si="194"/>
        <v>29</v>
      </c>
      <c r="AL828" s="96">
        <f t="shared" si="195"/>
        <v>66</v>
      </c>
      <c r="AM828" s="92"/>
      <c r="AN828" s="91"/>
      <c r="AO828" s="91"/>
    </row>
    <row r="829" spans="1:41" ht="14.5" x14ac:dyDescent="0.25">
      <c r="A829" s="92" t="s">
        <v>1492</v>
      </c>
      <c r="B829" s="91"/>
      <c r="C829" s="180" t="s">
        <v>1489</v>
      </c>
      <c r="D829" s="177" t="s">
        <v>1490</v>
      </c>
      <c r="E829" s="178" t="s">
        <v>97</v>
      </c>
      <c r="F829" s="178" t="s">
        <v>1369</v>
      </c>
      <c r="G829" s="179" t="s">
        <v>163</v>
      </c>
      <c r="H829" s="160">
        <v>2000</v>
      </c>
      <c r="I829" s="160" t="s">
        <v>1227</v>
      </c>
      <c r="J829" s="160" t="s">
        <v>503</v>
      </c>
      <c r="K829" s="177" t="s">
        <v>14</v>
      </c>
      <c r="L829" s="93" t="s">
        <v>2881</v>
      </c>
      <c r="M829" s="94" t="s">
        <v>3302</v>
      </c>
      <c r="N829" s="95" t="s">
        <v>2870</v>
      </c>
      <c r="O829" s="171">
        <v>50</v>
      </c>
      <c r="P829" s="97">
        <v>692.56198347107397</v>
      </c>
      <c r="Q829" s="165" t="s">
        <v>16</v>
      </c>
      <c r="R829" s="174">
        <v>4.4000000000000004</v>
      </c>
      <c r="S829" s="175"/>
      <c r="T829" s="131"/>
      <c r="U829" s="157">
        <f t="shared" si="205"/>
        <v>3261.3223140495852</v>
      </c>
      <c r="V829" s="113">
        <f t="shared" si="198"/>
        <v>1.6306611570247926</v>
      </c>
      <c r="W829" s="114">
        <f t="shared" si="199"/>
        <v>0.23295159386068467</v>
      </c>
      <c r="X829" s="175"/>
      <c r="Y829" s="175"/>
      <c r="Z829" s="102"/>
      <c r="AA829" s="103">
        <v>45878</v>
      </c>
      <c r="AB829" s="118">
        <v>45906</v>
      </c>
      <c r="AC829" s="103"/>
      <c r="AD829" s="102">
        <f>IF(ISNA(VLOOKUP(D829,亚马逊入库配置费!B:F,5,0)),0,VLOOKUP(D829,亚马逊入库配置费!B:F,5,0))</f>
        <v>0.35504672897196299</v>
      </c>
      <c r="AE829" s="102">
        <f t="shared" si="192"/>
        <v>710.09345794392596</v>
      </c>
      <c r="AF829" s="103">
        <v>45915</v>
      </c>
      <c r="AG829" s="91">
        <f t="shared" si="193"/>
        <v>37</v>
      </c>
      <c r="AH829" s="103">
        <v>45915</v>
      </c>
      <c r="AI829" s="103">
        <v>45944</v>
      </c>
      <c r="AJ829" s="96">
        <v>1979</v>
      </c>
      <c r="AK829" s="91">
        <f t="shared" si="194"/>
        <v>29</v>
      </c>
      <c r="AL829" s="96">
        <f t="shared" si="195"/>
        <v>66</v>
      </c>
      <c r="AM829" s="92"/>
      <c r="AN829" s="91"/>
      <c r="AO829" s="91"/>
    </row>
    <row r="830" spans="1:41" ht="14.5" x14ac:dyDescent="0.25">
      <c r="A830" s="92" t="s">
        <v>1493</v>
      </c>
      <c r="B830" s="91"/>
      <c r="C830" s="180" t="s">
        <v>1489</v>
      </c>
      <c r="D830" s="177" t="s">
        <v>1490</v>
      </c>
      <c r="E830" s="178" t="s">
        <v>97</v>
      </c>
      <c r="F830" s="178" t="s">
        <v>1369</v>
      </c>
      <c r="G830" s="179" t="s">
        <v>872</v>
      </c>
      <c r="H830" s="160">
        <v>240</v>
      </c>
      <c r="I830" s="160" t="s">
        <v>1227</v>
      </c>
      <c r="J830" s="160" t="s">
        <v>503</v>
      </c>
      <c r="K830" s="177" t="s">
        <v>14</v>
      </c>
      <c r="L830" s="93" t="s">
        <v>872</v>
      </c>
      <c r="M830" s="94" t="s">
        <v>3399</v>
      </c>
      <c r="N830" s="95" t="s">
        <v>2870</v>
      </c>
      <c r="O830" s="171">
        <v>8</v>
      </c>
      <c r="P830" s="97">
        <v>110.80991735537199</v>
      </c>
      <c r="Q830" s="165" t="s">
        <v>16</v>
      </c>
      <c r="R830" s="174">
        <v>4.4000000000000004</v>
      </c>
      <c r="S830" s="175"/>
      <c r="T830" s="131"/>
      <c r="U830" s="157">
        <f t="shared" si="205"/>
        <v>521.81157024793436</v>
      </c>
      <c r="V830" s="113">
        <f t="shared" si="198"/>
        <v>2.17421487603306</v>
      </c>
      <c r="W830" s="114">
        <f t="shared" si="199"/>
        <v>0.31060212514758001</v>
      </c>
      <c r="X830" s="175"/>
      <c r="Y830" s="175"/>
      <c r="Z830" s="102"/>
      <c r="AA830" s="103">
        <v>45878</v>
      </c>
      <c r="AB830" s="118">
        <v>45906</v>
      </c>
      <c r="AC830" s="103"/>
      <c r="AD830" s="102">
        <f>IF(ISNA(VLOOKUP(D830,亚马逊入库配置费!B:F,5,0)),0,VLOOKUP(D830,亚马逊入库配置费!B:F,5,0))</f>
        <v>0.35504672897196299</v>
      </c>
      <c r="AE830" s="102">
        <f t="shared" si="192"/>
        <v>85.21121495327111</v>
      </c>
      <c r="AF830" s="103">
        <v>45915</v>
      </c>
      <c r="AG830" s="91">
        <f t="shared" si="193"/>
        <v>37</v>
      </c>
      <c r="AH830" s="103">
        <v>45915</v>
      </c>
      <c r="AI830" s="103">
        <v>45944</v>
      </c>
      <c r="AJ830" s="96">
        <v>240</v>
      </c>
      <c r="AK830" s="91">
        <f t="shared" si="194"/>
        <v>29</v>
      </c>
      <c r="AL830" s="96">
        <f t="shared" si="195"/>
        <v>66</v>
      </c>
      <c r="AM830" s="92"/>
      <c r="AN830" s="91"/>
      <c r="AO830" s="91"/>
    </row>
    <row r="831" spans="1:41" ht="14.5" x14ac:dyDescent="0.25">
      <c r="A831" s="92" t="s">
        <v>1494</v>
      </c>
      <c r="B831" s="91"/>
      <c r="C831" s="180" t="s">
        <v>1489</v>
      </c>
      <c r="D831" s="177" t="s">
        <v>1490</v>
      </c>
      <c r="E831" s="178" t="s">
        <v>97</v>
      </c>
      <c r="F831" s="178" t="s">
        <v>1369</v>
      </c>
      <c r="G831" s="179" t="s">
        <v>231</v>
      </c>
      <c r="H831" s="160">
        <v>200</v>
      </c>
      <c r="I831" s="160" t="s">
        <v>1227</v>
      </c>
      <c r="J831" s="160" t="s">
        <v>503</v>
      </c>
      <c r="K831" s="177" t="s">
        <v>14</v>
      </c>
      <c r="L831" s="93" t="s">
        <v>3037</v>
      </c>
      <c r="M831" s="94" t="s">
        <v>3207</v>
      </c>
      <c r="N831" s="95" t="s">
        <v>2870</v>
      </c>
      <c r="O831" s="171">
        <v>10</v>
      </c>
      <c r="P831" s="97">
        <v>138.512396694215</v>
      </c>
      <c r="Q831" s="165" t="s">
        <v>16</v>
      </c>
      <c r="R831" s="174">
        <v>4.4000000000000004</v>
      </c>
      <c r="S831" s="175"/>
      <c r="T831" s="131"/>
      <c r="U831" s="157">
        <f t="shared" si="205"/>
        <v>652.26446280991797</v>
      </c>
      <c r="V831" s="113">
        <f t="shared" si="198"/>
        <v>3.2613223140495897</v>
      </c>
      <c r="W831" s="114">
        <f t="shared" si="199"/>
        <v>0.46590318772136996</v>
      </c>
      <c r="X831" s="175"/>
      <c r="Y831" s="175"/>
      <c r="Z831" s="102"/>
      <c r="AA831" s="103">
        <v>45878</v>
      </c>
      <c r="AB831" s="118">
        <v>45906</v>
      </c>
      <c r="AC831" s="103"/>
      <c r="AD831" s="102">
        <f>IF(ISNA(VLOOKUP(D831,亚马逊入库配置费!B:F,5,0)),0,VLOOKUP(D831,亚马逊入库配置费!B:F,5,0))</f>
        <v>0.35504672897196299</v>
      </c>
      <c r="AE831" s="102">
        <f t="shared" si="192"/>
        <v>71.009345794392601</v>
      </c>
      <c r="AF831" s="103">
        <v>45915</v>
      </c>
      <c r="AG831" s="91">
        <f t="shared" si="193"/>
        <v>37</v>
      </c>
      <c r="AH831" s="103">
        <v>45915</v>
      </c>
      <c r="AI831" s="103">
        <v>45944</v>
      </c>
      <c r="AJ831" s="96">
        <v>200</v>
      </c>
      <c r="AK831" s="91">
        <f t="shared" si="194"/>
        <v>29</v>
      </c>
      <c r="AL831" s="96">
        <f t="shared" si="195"/>
        <v>66</v>
      </c>
      <c r="AM831" s="92"/>
      <c r="AN831" s="91"/>
      <c r="AO831" s="91"/>
    </row>
    <row r="832" spans="1:41" ht="14.5" x14ac:dyDescent="0.25">
      <c r="A832" s="92" t="s">
        <v>1495</v>
      </c>
      <c r="B832" s="91"/>
      <c r="C832" s="180" t="s">
        <v>1489</v>
      </c>
      <c r="D832" s="177" t="s">
        <v>1490</v>
      </c>
      <c r="E832" s="178" t="s">
        <v>97</v>
      </c>
      <c r="F832" s="178" t="s">
        <v>1369</v>
      </c>
      <c r="G832" s="179" t="s">
        <v>853</v>
      </c>
      <c r="H832" s="160">
        <v>200</v>
      </c>
      <c r="I832" s="160" t="s">
        <v>1227</v>
      </c>
      <c r="J832" s="160" t="s">
        <v>503</v>
      </c>
      <c r="K832" s="177" t="s">
        <v>14</v>
      </c>
      <c r="L832" s="93" t="s">
        <v>853</v>
      </c>
      <c r="M832" s="94" t="s">
        <v>3396</v>
      </c>
      <c r="N832" s="95" t="s">
        <v>2870</v>
      </c>
      <c r="O832" s="171">
        <v>5</v>
      </c>
      <c r="P832" s="97">
        <v>69.2561983471074</v>
      </c>
      <c r="Q832" s="165" t="s">
        <v>16</v>
      </c>
      <c r="R832" s="174">
        <v>4.4000000000000004</v>
      </c>
      <c r="S832" s="175"/>
      <c r="T832" s="131"/>
      <c r="U832" s="157">
        <f t="shared" si="205"/>
        <v>326.13223140495853</v>
      </c>
      <c r="V832" s="113">
        <f t="shared" si="198"/>
        <v>1.6306611570247926</v>
      </c>
      <c r="W832" s="114">
        <f t="shared" si="199"/>
        <v>0.23295159386068467</v>
      </c>
      <c r="X832" s="175"/>
      <c r="Y832" s="175"/>
      <c r="Z832" s="102"/>
      <c r="AA832" s="103">
        <v>45878</v>
      </c>
      <c r="AB832" s="118">
        <v>45906</v>
      </c>
      <c r="AC832" s="103"/>
      <c r="AD832" s="102">
        <f>IF(ISNA(VLOOKUP(D832,亚马逊入库配置费!B:F,5,0)),0,VLOOKUP(D832,亚马逊入库配置费!B:F,5,0))</f>
        <v>0.35504672897196299</v>
      </c>
      <c r="AE832" s="102">
        <f t="shared" si="192"/>
        <v>71.009345794392601</v>
      </c>
      <c r="AF832" s="103">
        <v>45915</v>
      </c>
      <c r="AG832" s="91">
        <f t="shared" si="193"/>
        <v>37</v>
      </c>
      <c r="AH832" s="103">
        <v>45915</v>
      </c>
      <c r="AI832" s="103">
        <v>45944</v>
      </c>
      <c r="AJ832" s="96">
        <v>196</v>
      </c>
      <c r="AK832" s="91">
        <f t="shared" si="194"/>
        <v>29</v>
      </c>
      <c r="AL832" s="96">
        <f t="shared" si="195"/>
        <v>66</v>
      </c>
      <c r="AM832" s="92"/>
      <c r="AN832" s="91"/>
      <c r="AO832" s="91"/>
    </row>
    <row r="833" spans="1:41" ht="14.5" x14ac:dyDescent="0.25">
      <c r="A833" s="92" t="s">
        <v>1496</v>
      </c>
      <c r="B833" s="91"/>
      <c r="C833" s="180" t="s">
        <v>1489</v>
      </c>
      <c r="D833" s="177" t="s">
        <v>1490</v>
      </c>
      <c r="E833" s="178" t="s">
        <v>97</v>
      </c>
      <c r="F833" s="178" t="s">
        <v>1369</v>
      </c>
      <c r="G833" s="179" t="s">
        <v>352</v>
      </c>
      <c r="H833" s="160">
        <v>160</v>
      </c>
      <c r="I833" s="160" t="s">
        <v>1227</v>
      </c>
      <c r="J833" s="160" t="s">
        <v>503</v>
      </c>
      <c r="K833" s="177" t="s">
        <v>14</v>
      </c>
      <c r="L833" s="93" t="s">
        <v>3049</v>
      </c>
      <c r="M833" s="94" t="s">
        <v>3336</v>
      </c>
      <c r="N833" s="95" t="s">
        <v>2870</v>
      </c>
      <c r="O833" s="171">
        <v>4</v>
      </c>
      <c r="P833" s="97">
        <v>55.404958677685897</v>
      </c>
      <c r="Q833" s="165" t="s">
        <v>16</v>
      </c>
      <c r="R833" s="174">
        <v>4.4000000000000004</v>
      </c>
      <c r="S833" s="175"/>
      <c r="T833" s="131"/>
      <c r="U833" s="157">
        <f t="shared" si="205"/>
        <v>260.90578512396672</v>
      </c>
      <c r="V833" s="113">
        <f t="shared" si="198"/>
        <v>1.630661157024792</v>
      </c>
      <c r="W833" s="114">
        <f t="shared" si="199"/>
        <v>0.23295159386068456</v>
      </c>
      <c r="X833" s="175"/>
      <c r="Y833" s="175"/>
      <c r="Z833" s="102"/>
      <c r="AA833" s="103">
        <v>45878</v>
      </c>
      <c r="AB833" s="118">
        <v>45906</v>
      </c>
      <c r="AC833" s="103"/>
      <c r="AD833" s="102">
        <f>IF(ISNA(VLOOKUP(D833,亚马逊入库配置费!B:F,5,0)),0,VLOOKUP(D833,亚马逊入库配置费!B:F,5,0))</f>
        <v>0.35504672897196299</v>
      </c>
      <c r="AE833" s="102">
        <f t="shared" si="192"/>
        <v>56.807476635514078</v>
      </c>
      <c r="AF833" s="103">
        <v>45915</v>
      </c>
      <c r="AG833" s="91">
        <f t="shared" si="193"/>
        <v>37</v>
      </c>
      <c r="AH833" s="103">
        <v>45915</v>
      </c>
      <c r="AI833" s="103">
        <v>45944</v>
      </c>
      <c r="AJ833" s="96">
        <v>158</v>
      </c>
      <c r="AK833" s="91">
        <f t="shared" si="194"/>
        <v>29</v>
      </c>
      <c r="AL833" s="96">
        <f t="shared" si="195"/>
        <v>66</v>
      </c>
      <c r="AM833" s="92"/>
      <c r="AN833" s="91"/>
      <c r="AO833" s="91"/>
    </row>
    <row r="834" spans="1:41" ht="14.5" x14ac:dyDescent="0.25">
      <c r="A834" s="92" t="s">
        <v>1497</v>
      </c>
      <c r="B834" s="91"/>
      <c r="C834" s="180" t="s">
        <v>1489</v>
      </c>
      <c r="D834" s="177" t="s">
        <v>1490</v>
      </c>
      <c r="E834" s="178" t="s">
        <v>97</v>
      </c>
      <c r="F834" s="178" t="s">
        <v>1369</v>
      </c>
      <c r="G834" s="179" t="s">
        <v>165</v>
      </c>
      <c r="H834" s="160">
        <v>1000</v>
      </c>
      <c r="I834" s="160" t="s">
        <v>1227</v>
      </c>
      <c r="J834" s="160" t="s">
        <v>503</v>
      </c>
      <c r="K834" s="177" t="s">
        <v>14</v>
      </c>
      <c r="L834" s="93" t="s">
        <v>2880</v>
      </c>
      <c r="M834" s="94" t="s">
        <v>3209</v>
      </c>
      <c r="N834" s="95" t="s">
        <v>2870</v>
      </c>
      <c r="O834" s="171">
        <v>25</v>
      </c>
      <c r="P834" s="97">
        <v>346.28099173553699</v>
      </c>
      <c r="Q834" s="165" t="s">
        <v>16</v>
      </c>
      <c r="R834" s="174">
        <v>4.4000000000000004</v>
      </c>
      <c r="S834" s="175"/>
      <c r="T834" s="131"/>
      <c r="U834" s="157">
        <f t="shared" si="205"/>
        <v>1630.6611570247926</v>
      </c>
      <c r="V834" s="113">
        <f t="shared" si="198"/>
        <v>1.6306611570247926</v>
      </c>
      <c r="W834" s="114">
        <f t="shared" si="199"/>
        <v>0.23295159386068467</v>
      </c>
      <c r="X834" s="175"/>
      <c r="Y834" s="175"/>
      <c r="Z834" s="102"/>
      <c r="AA834" s="103">
        <v>45878</v>
      </c>
      <c r="AB834" s="118">
        <v>45906</v>
      </c>
      <c r="AC834" s="103"/>
      <c r="AD834" s="102">
        <f>IF(ISNA(VLOOKUP(D834,亚马逊入库配置费!B:F,5,0)),0,VLOOKUP(D834,亚马逊入库配置费!B:F,5,0))</f>
        <v>0.35504672897196299</v>
      </c>
      <c r="AE834" s="102">
        <f t="shared" ref="AE834:AE897" si="206">H834*AD834</f>
        <v>355.04672897196298</v>
      </c>
      <c r="AF834" s="103">
        <v>45915</v>
      </c>
      <c r="AG834" s="91">
        <f t="shared" ref="AG834:AG897" si="207">AF834-AA834</f>
        <v>37</v>
      </c>
      <c r="AH834" s="103">
        <v>45915</v>
      </c>
      <c r="AI834" s="103">
        <v>45944</v>
      </c>
      <c r="AJ834" s="96">
        <v>996</v>
      </c>
      <c r="AK834" s="91">
        <f t="shared" ref="AK834:AK897" si="208">AI834-AH834</f>
        <v>29</v>
      </c>
      <c r="AL834" s="96">
        <f t="shared" si="195"/>
        <v>66</v>
      </c>
      <c r="AM834" s="92"/>
      <c r="AN834" s="91"/>
      <c r="AO834" s="91"/>
    </row>
    <row r="835" spans="1:41" ht="14.5" x14ac:dyDescent="0.25">
      <c r="A835" s="92" t="s">
        <v>1498</v>
      </c>
      <c r="B835" s="91"/>
      <c r="C835" s="180" t="s">
        <v>1489</v>
      </c>
      <c r="D835" s="177" t="s">
        <v>1490</v>
      </c>
      <c r="E835" s="178" t="s">
        <v>97</v>
      </c>
      <c r="F835" s="178" t="s">
        <v>1369</v>
      </c>
      <c r="G835" s="179" t="s">
        <v>1409</v>
      </c>
      <c r="H835" s="160">
        <v>120</v>
      </c>
      <c r="I835" s="160" t="s">
        <v>1227</v>
      </c>
      <c r="J835" s="160" t="s">
        <v>503</v>
      </c>
      <c r="K835" s="177" t="s">
        <v>14</v>
      </c>
      <c r="L835" s="93" t="s">
        <v>1409</v>
      </c>
      <c r="M835" s="94" t="s">
        <v>3446</v>
      </c>
      <c r="N835" s="95" t="s">
        <v>2870</v>
      </c>
      <c r="O835" s="171">
        <v>4</v>
      </c>
      <c r="P835" s="97">
        <v>55.404958677685897</v>
      </c>
      <c r="Q835" s="165" t="s">
        <v>16</v>
      </c>
      <c r="R835" s="174">
        <v>4.4000000000000004</v>
      </c>
      <c r="S835" s="175"/>
      <c r="T835" s="131"/>
      <c r="U835" s="157">
        <f t="shared" si="205"/>
        <v>260.90578512396672</v>
      </c>
      <c r="V835" s="113">
        <f t="shared" si="198"/>
        <v>2.174214876033056</v>
      </c>
      <c r="W835" s="114">
        <f t="shared" si="199"/>
        <v>0.3106021251475794</v>
      </c>
      <c r="X835" s="175"/>
      <c r="Y835" s="175"/>
      <c r="Z835" s="102"/>
      <c r="AA835" s="103">
        <v>45878</v>
      </c>
      <c r="AB835" s="118">
        <v>45906</v>
      </c>
      <c r="AC835" s="103"/>
      <c r="AD835" s="102">
        <f>IF(ISNA(VLOOKUP(D835,亚马逊入库配置费!B:F,5,0)),0,VLOOKUP(D835,亚马逊入库配置费!B:F,5,0))</f>
        <v>0.35504672897196299</v>
      </c>
      <c r="AE835" s="102">
        <f t="shared" si="206"/>
        <v>42.605607476635555</v>
      </c>
      <c r="AF835" s="103">
        <v>45915</v>
      </c>
      <c r="AG835" s="91">
        <f t="shared" si="207"/>
        <v>37</v>
      </c>
      <c r="AH835" s="103">
        <v>45915</v>
      </c>
      <c r="AI835" s="103">
        <v>45944</v>
      </c>
      <c r="AJ835" s="96">
        <v>119</v>
      </c>
      <c r="AK835" s="91">
        <f t="shared" si="208"/>
        <v>29</v>
      </c>
      <c r="AL835" s="96">
        <f t="shared" si="195"/>
        <v>66</v>
      </c>
      <c r="AM835" s="92"/>
      <c r="AN835" s="91"/>
      <c r="AO835" s="91"/>
    </row>
    <row r="836" spans="1:41" ht="14.5" x14ac:dyDescent="0.25">
      <c r="A836" s="110" t="s">
        <v>1499</v>
      </c>
      <c r="B836" s="90"/>
      <c r="C836" s="160" t="s">
        <v>1476</v>
      </c>
      <c r="D836" s="181" t="s">
        <v>1500</v>
      </c>
      <c r="E836" s="182" t="s">
        <v>97</v>
      </c>
      <c r="F836" s="182" t="s">
        <v>175</v>
      </c>
      <c r="G836" s="179" t="s">
        <v>1501</v>
      </c>
      <c r="H836" s="160">
        <v>480</v>
      </c>
      <c r="I836" s="160" t="s">
        <v>502</v>
      </c>
      <c r="J836" s="160" t="s">
        <v>1365</v>
      </c>
      <c r="K836" s="181" t="s">
        <v>14</v>
      </c>
      <c r="L836" s="93" t="s">
        <v>1501</v>
      </c>
      <c r="M836" s="94" t="s">
        <v>3448</v>
      </c>
      <c r="N836" s="95" t="s">
        <v>3099</v>
      </c>
      <c r="O836" s="174">
        <v>40</v>
      </c>
      <c r="P836" s="97">
        <f t="shared" ref="P836:P841" si="209">4579/293*O836</f>
        <v>625.11945392491475</v>
      </c>
      <c r="Q836" s="173" t="s">
        <v>1443</v>
      </c>
      <c r="R836" s="174">
        <v>5.5</v>
      </c>
      <c r="S836" s="175"/>
      <c r="T836" s="131"/>
      <c r="U836" s="157">
        <f t="shared" ref="U836:U842" si="210">R836*P836+350/437*O836</f>
        <v>3470.1936098593424</v>
      </c>
      <c r="V836" s="100">
        <f t="shared" si="198"/>
        <v>7.2295700205402964</v>
      </c>
      <c r="W836" s="101">
        <f t="shared" si="199"/>
        <v>1.0327957172200424</v>
      </c>
      <c r="X836" s="175"/>
      <c r="Y836" s="175"/>
      <c r="Z836" s="112"/>
      <c r="AA836" s="118">
        <v>45878</v>
      </c>
      <c r="AB836" s="118">
        <v>45901</v>
      </c>
      <c r="AC836" s="118"/>
      <c r="AD836" s="104">
        <f>IF(ISNA(VLOOKUP(D836,亚马逊入库配置费!B:F,5,0)),0,VLOOKUP(D836,亚马逊入库配置费!B:F,5,0))</f>
        <v>0.55522556390977396</v>
      </c>
      <c r="AE836" s="104">
        <f t="shared" si="206"/>
        <v>266.5082706766915</v>
      </c>
      <c r="AF836" s="118">
        <v>45912</v>
      </c>
      <c r="AG836" s="90">
        <f t="shared" si="207"/>
        <v>34</v>
      </c>
      <c r="AH836" s="118">
        <v>45912</v>
      </c>
      <c r="AI836" s="118">
        <v>45978</v>
      </c>
      <c r="AJ836" s="158">
        <v>480</v>
      </c>
      <c r="AK836" s="91">
        <f t="shared" si="208"/>
        <v>66</v>
      </c>
      <c r="AL836" s="96">
        <f t="shared" ref="AL836:AL899" si="211">AG836+AK836</f>
        <v>100</v>
      </c>
      <c r="AM836" s="110"/>
      <c r="AN836" s="90"/>
      <c r="AO836" s="90"/>
    </row>
    <row r="837" spans="1:41" ht="14.5" x14ac:dyDescent="0.25">
      <c r="A837" s="110" t="s">
        <v>1502</v>
      </c>
      <c r="B837" s="90"/>
      <c r="C837" s="160" t="s">
        <v>1476</v>
      </c>
      <c r="D837" s="181" t="s">
        <v>1500</v>
      </c>
      <c r="E837" s="182" t="s">
        <v>97</v>
      </c>
      <c r="F837" s="182" t="s">
        <v>175</v>
      </c>
      <c r="G837" s="179" t="s">
        <v>1503</v>
      </c>
      <c r="H837" s="160">
        <v>480</v>
      </c>
      <c r="I837" s="160" t="s">
        <v>502</v>
      </c>
      <c r="J837" s="160" t="s">
        <v>1365</v>
      </c>
      <c r="K837" s="181" t="s">
        <v>14</v>
      </c>
      <c r="L837" s="93" t="s">
        <v>1503</v>
      </c>
      <c r="M837" s="94" t="s">
        <v>3449</v>
      </c>
      <c r="N837" s="95" t="s">
        <v>3099</v>
      </c>
      <c r="O837" s="174">
        <v>40</v>
      </c>
      <c r="P837" s="97">
        <f t="shared" si="209"/>
        <v>625.11945392491475</v>
      </c>
      <c r="Q837" s="173" t="s">
        <v>1443</v>
      </c>
      <c r="R837" s="174">
        <v>5.5</v>
      </c>
      <c r="S837" s="175"/>
      <c r="T837" s="131"/>
      <c r="U837" s="157">
        <f t="shared" si="210"/>
        <v>3470.1936098593424</v>
      </c>
      <c r="V837" s="100">
        <f t="shared" si="198"/>
        <v>7.2295700205402964</v>
      </c>
      <c r="W837" s="101">
        <f t="shared" si="199"/>
        <v>1.0327957172200424</v>
      </c>
      <c r="X837" s="175"/>
      <c r="Y837" s="175"/>
      <c r="Z837" s="112"/>
      <c r="AA837" s="118">
        <v>45878</v>
      </c>
      <c r="AB837" s="118">
        <v>45901</v>
      </c>
      <c r="AC837" s="118"/>
      <c r="AD837" s="104">
        <f>IF(ISNA(VLOOKUP(D837,亚马逊入库配置费!B:F,5,0)),0,VLOOKUP(D837,亚马逊入库配置费!B:F,5,0))</f>
        <v>0.55522556390977396</v>
      </c>
      <c r="AE837" s="104">
        <f t="shared" si="206"/>
        <v>266.5082706766915</v>
      </c>
      <c r="AF837" s="118">
        <v>45912</v>
      </c>
      <c r="AG837" s="90">
        <f t="shared" si="207"/>
        <v>34</v>
      </c>
      <c r="AH837" s="118">
        <v>45912</v>
      </c>
      <c r="AI837" s="118">
        <v>45978</v>
      </c>
      <c r="AJ837" s="158">
        <v>480</v>
      </c>
      <c r="AK837" s="91">
        <f t="shared" si="208"/>
        <v>66</v>
      </c>
      <c r="AL837" s="96">
        <f t="shared" si="211"/>
        <v>100</v>
      </c>
      <c r="AM837" s="110"/>
      <c r="AN837" s="90"/>
      <c r="AO837" s="90"/>
    </row>
    <row r="838" spans="1:41" ht="14.5" x14ac:dyDescent="0.25">
      <c r="A838" s="110" t="s">
        <v>1504</v>
      </c>
      <c r="B838" s="90"/>
      <c r="C838" s="160" t="s">
        <v>1476</v>
      </c>
      <c r="D838" s="181" t="s">
        <v>1500</v>
      </c>
      <c r="E838" s="182" t="s">
        <v>97</v>
      </c>
      <c r="F838" s="182" t="s">
        <v>175</v>
      </c>
      <c r="G838" s="179" t="s">
        <v>93</v>
      </c>
      <c r="H838" s="160">
        <v>2052</v>
      </c>
      <c r="I838" s="160" t="s">
        <v>502</v>
      </c>
      <c r="J838" s="160" t="s">
        <v>1365</v>
      </c>
      <c r="K838" s="181" t="s">
        <v>14</v>
      </c>
      <c r="L838" s="93" t="s">
        <v>3015</v>
      </c>
      <c r="M838" s="94" t="s">
        <v>3288</v>
      </c>
      <c r="N838" s="95" t="s">
        <v>2821</v>
      </c>
      <c r="O838" s="174">
        <v>171</v>
      </c>
      <c r="P838" s="97">
        <f t="shared" si="209"/>
        <v>2672.3856655290101</v>
      </c>
      <c r="Q838" s="173" t="s">
        <v>1443</v>
      </c>
      <c r="R838" s="174">
        <v>5.5</v>
      </c>
      <c r="S838" s="175"/>
      <c r="T838" s="131"/>
      <c r="U838" s="157">
        <f t="shared" si="210"/>
        <v>14835.077682148685</v>
      </c>
      <c r="V838" s="100">
        <f t="shared" si="198"/>
        <v>7.2295700205402946</v>
      </c>
      <c r="W838" s="101">
        <f t="shared" si="199"/>
        <v>1.0327957172200422</v>
      </c>
      <c r="X838" s="175"/>
      <c r="Y838" s="175"/>
      <c r="Z838" s="112"/>
      <c r="AA838" s="118">
        <v>45878</v>
      </c>
      <c r="AB838" s="118">
        <v>45901</v>
      </c>
      <c r="AC838" s="118"/>
      <c r="AD838" s="104">
        <f>IF(ISNA(VLOOKUP(D838,亚马逊入库配置费!B:F,5,0)),0,VLOOKUP(D838,亚马逊入库配置费!B:F,5,0))</f>
        <v>0.55522556390977396</v>
      </c>
      <c r="AE838" s="104">
        <f t="shared" si="206"/>
        <v>1139.3228571428563</v>
      </c>
      <c r="AF838" s="118">
        <v>45912</v>
      </c>
      <c r="AG838" s="90">
        <f t="shared" si="207"/>
        <v>34</v>
      </c>
      <c r="AH838" s="118">
        <v>45912</v>
      </c>
      <c r="AI838" s="118">
        <v>45978</v>
      </c>
      <c r="AJ838" s="158">
        <v>2064</v>
      </c>
      <c r="AK838" s="91">
        <f t="shared" si="208"/>
        <v>66</v>
      </c>
      <c r="AL838" s="96">
        <f t="shared" si="211"/>
        <v>100</v>
      </c>
      <c r="AM838" s="110"/>
      <c r="AN838" s="90"/>
      <c r="AO838" s="90"/>
    </row>
    <row r="839" spans="1:41" ht="14.5" x14ac:dyDescent="0.25">
      <c r="A839" s="110" t="s">
        <v>1505</v>
      </c>
      <c r="B839" s="90"/>
      <c r="C839" s="160" t="s">
        <v>1476</v>
      </c>
      <c r="D839" s="181" t="s">
        <v>1500</v>
      </c>
      <c r="E839" s="182" t="s">
        <v>97</v>
      </c>
      <c r="F839" s="182" t="s">
        <v>175</v>
      </c>
      <c r="G839" s="179" t="s">
        <v>98</v>
      </c>
      <c r="H839" s="160">
        <v>180</v>
      </c>
      <c r="I839" s="160" t="s">
        <v>502</v>
      </c>
      <c r="J839" s="160" t="s">
        <v>1365</v>
      </c>
      <c r="K839" s="181" t="s">
        <v>14</v>
      </c>
      <c r="L839" s="93" t="s">
        <v>2820</v>
      </c>
      <c r="M839" s="94" t="s">
        <v>3289</v>
      </c>
      <c r="N839" s="95" t="s">
        <v>3016</v>
      </c>
      <c r="O839" s="174">
        <v>2</v>
      </c>
      <c r="P839" s="97">
        <f t="shared" si="209"/>
        <v>31.255972696245735</v>
      </c>
      <c r="Q839" s="173" t="s">
        <v>1443</v>
      </c>
      <c r="R839" s="174">
        <v>5.5</v>
      </c>
      <c r="S839" s="175"/>
      <c r="T839" s="131"/>
      <c r="U839" s="157">
        <f t="shared" si="210"/>
        <v>173.50968049296711</v>
      </c>
      <c r="V839" s="100">
        <f t="shared" si="198"/>
        <v>0.96394266940537277</v>
      </c>
      <c r="W839" s="101">
        <f t="shared" si="199"/>
        <v>0.13770609562933897</v>
      </c>
      <c r="X839" s="175"/>
      <c r="Y839" s="175"/>
      <c r="Z839" s="112"/>
      <c r="AA839" s="118">
        <v>45878</v>
      </c>
      <c r="AB839" s="118">
        <v>45901</v>
      </c>
      <c r="AC839" s="118"/>
      <c r="AD839" s="104">
        <f>IF(ISNA(VLOOKUP(D839,亚马逊入库配置费!B:F,5,0)),0,VLOOKUP(D839,亚马逊入库配置费!B:F,5,0))</f>
        <v>0.55522556390977396</v>
      </c>
      <c r="AE839" s="104">
        <f t="shared" si="206"/>
        <v>99.940601503759311</v>
      </c>
      <c r="AF839" s="118">
        <v>45912</v>
      </c>
      <c r="AG839" s="90">
        <f t="shared" si="207"/>
        <v>34</v>
      </c>
      <c r="AH839" s="118">
        <v>45912</v>
      </c>
      <c r="AI839" s="118">
        <v>45978</v>
      </c>
      <c r="AJ839" s="158">
        <v>180</v>
      </c>
      <c r="AK839" s="91">
        <f t="shared" si="208"/>
        <v>66</v>
      </c>
      <c r="AL839" s="96">
        <f t="shared" si="211"/>
        <v>100</v>
      </c>
      <c r="AM839" s="110"/>
      <c r="AN839" s="90"/>
      <c r="AO839" s="90"/>
    </row>
    <row r="840" spans="1:41" ht="14.5" x14ac:dyDescent="0.25">
      <c r="A840" s="110" t="s">
        <v>1506</v>
      </c>
      <c r="B840" s="90"/>
      <c r="C840" s="160" t="s">
        <v>1476</v>
      </c>
      <c r="D840" s="181" t="s">
        <v>1507</v>
      </c>
      <c r="E840" s="182" t="s">
        <v>97</v>
      </c>
      <c r="F840" s="182" t="s">
        <v>175</v>
      </c>
      <c r="G840" s="179" t="s">
        <v>1272</v>
      </c>
      <c r="H840" s="160">
        <v>240</v>
      </c>
      <c r="I840" s="160" t="s">
        <v>502</v>
      </c>
      <c r="J840" s="160" t="s">
        <v>1365</v>
      </c>
      <c r="K840" s="181" t="s">
        <v>14</v>
      </c>
      <c r="L840" s="93" t="s">
        <v>3097</v>
      </c>
      <c r="M840" s="94" t="s">
        <v>3439</v>
      </c>
      <c r="N840" s="95" t="s">
        <v>2821</v>
      </c>
      <c r="O840" s="174">
        <v>20</v>
      </c>
      <c r="P840" s="97">
        <f t="shared" si="209"/>
        <v>312.55972696245738</v>
      </c>
      <c r="Q840" s="173" t="s">
        <v>1443</v>
      </c>
      <c r="R840" s="174">
        <v>5.5</v>
      </c>
      <c r="S840" s="175"/>
      <c r="T840" s="131"/>
      <c r="U840" s="157">
        <f t="shared" si="210"/>
        <v>1735.0968049296712</v>
      </c>
      <c r="V840" s="100">
        <f t="shared" si="198"/>
        <v>7.2295700205402964</v>
      </c>
      <c r="W840" s="101">
        <f t="shared" si="199"/>
        <v>1.0327957172200424</v>
      </c>
      <c r="X840" s="175"/>
      <c r="Y840" s="175"/>
      <c r="Z840" s="112"/>
      <c r="AA840" s="118">
        <v>45878</v>
      </c>
      <c r="AB840" s="118">
        <v>45901</v>
      </c>
      <c r="AC840" s="118"/>
      <c r="AD840" s="104">
        <f>IF(ISNA(VLOOKUP(D840,亚马逊入库配置费!B:F,5,0)),0,VLOOKUP(D840,亚马逊入库配置费!B:F,5,0))</f>
        <v>0.49</v>
      </c>
      <c r="AE840" s="104">
        <f t="shared" si="206"/>
        <v>117.6</v>
      </c>
      <c r="AF840" s="118">
        <v>45912</v>
      </c>
      <c r="AG840" s="90">
        <f t="shared" si="207"/>
        <v>34</v>
      </c>
      <c r="AH840" s="118">
        <v>45912</v>
      </c>
      <c r="AI840" s="118">
        <v>45948</v>
      </c>
      <c r="AJ840" s="158">
        <v>239</v>
      </c>
      <c r="AK840" s="91">
        <f t="shared" si="208"/>
        <v>36</v>
      </c>
      <c r="AL840" s="96">
        <f t="shared" si="211"/>
        <v>70</v>
      </c>
      <c r="AM840" s="110"/>
      <c r="AN840" s="90"/>
      <c r="AO840" s="90"/>
    </row>
    <row r="841" spans="1:41" ht="14.5" x14ac:dyDescent="0.25">
      <c r="A841" s="110" t="s">
        <v>1508</v>
      </c>
      <c r="B841" s="90"/>
      <c r="C841" s="160" t="s">
        <v>1476</v>
      </c>
      <c r="D841" s="181" t="s">
        <v>1507</v>
      </c>
      <c r="E841" s="182" t="s">
        <v>97</v>
      </c>
      <c r="F841" s="182" t="s">
        <v>175</v>
      </c>
      <c r="G841" s="179" t="s">
        <v>1274</v>
      </c>
      <c r="H841" s="160">
        <v>240</v>
      </c>
      <c r="I841" s="160" t="s">
        <v>502</v>
      </c>
      <c r="J841" s="160" t="s">
        <v>1365</v>
      </c>
      <c r="K841" s="181" t="s">
        <v>14</v>
      </c>
      <c r="L841" s="93" t="s">
        <v>3098</v>
      </c>
      <c r="M841" s="94" t="s">
        <v>3440</v>
      </c>
      <c r="N841" s="95" t="s">
        <v>2821</v>
      </c>
      <c r="O841" s="174">
        <v>20</v>
      </c>
      <c r="P841" s="97">
        <f t="shared" si="209"/>
        <v>312.55972696245738</v>
      </c>
      <c r="Q841" s="173" t="s">
        <v>1443</v>
      </c>
      <c r="R841" s="174">
        <v>5.5</v>
      </c>
      <c r="S841" s="175"/>
      <c r="T841" s="131"/>
      <c r="U841" s="157">
        <f t="shared" si="210"/>
        <v>1735.0968049296712</v>
      </c>
      <c r="V841" s="100">
        <f t="shared" si="198"/>
        <v>7.2295700205402964</v>
      </c>
      <c r="W841" s="101">
        <f t="shared" si="199"/>
        <v>1.0327957172200424</v>
      </c>
      <c r="X841" s="175"/>
      <c r="Y841" s="175"/>
      <c r="Z841" s="112"/>
      <c r="AA841" s="118">
        <v>45878</v>
      </c>
      <c r="AB841" s="118">
        <v>45901</v>
      </c>
      <c r="AC841" s="118"/>
      <c r="AD841" s="104">
        <f>IF(ISNA(VLOOKUP(D841,亚马逊入库配置费!B:F,5,0)),0,VLOOKUP(D841,亚马逊入库配置费!B:F,5,0))</f>
        <v>0.49</v>
      </c>
      <c r="AE841" s="104">
        <f t="shared" si="206"/>
        <v>117.6</v>
      </c>
      <c r="AF841" s="118">
        <v>45912</v>
      </c>
      <c r="AG841" s="90">
        <f t="shared" si="207"/>
        <v>34</v>
      </c>
      <c r="AH841" s="118">
        <v>45912</v>
      </c>
      <c r="AI841" s="118">
        <v>45948</v>
      </c>
      <c r="AJ841" s="158">
        <v>239</v>
      </c>
      <c r="AK841" s="91">
        <f t="shared" si="208"/>
        <v>36</v>
      </c>
      <c r="AL841" s="96">
        <f t="shared" si="211"/>
        <v>70</v>
      </c>
      <c r="AM841" s="110"/>
      <c r="AN841" s="90"/>
      <c r="AO841" s="90"/>
    </row>
    <row r="842" spans="1:41" ht="14.5" x14ac:dyDescent="0.25">
      <c r="A842" s="92" t="s">
        <v>1509</v>
      </c>
      <c r="B842" s="91"/>
      <c r="C842" s="180" t="s">
        <v>1476</v>
      </c>
      <c r="D842" s="177" t="s">
        <v>1510</v>
      </c>
      <c r="E842" s="178" t="s">
        <v>287</v>
      </c>
      <c r="F842" s="178" t="s">
        <v>1369</v>
      </c>
      <c r="G842" s="179" t="s">
        <v>884</v>
      </c>
      <c r="H842" s="160">
        <v>336</v>
      </c>
      <c r="I842" s="160" t="s">
        <v>502</v>
      </c>
      <c r="J842" s="160" t="s">
        <v>1365</v>
      </c>
      <c r="K842" s="177" t="s">
        <v>15</v>
      </c>
      <c r="L842" s="93" t="s">
        <v>3084</v>
      </c>
      <c r="M842" s="94" t="s">
        <v>3402</v>
      </c>
      <c r="N842" s="95" t="s">
        <v>51</v>
      </c>
      <c r="O842" s="171">
        <v>21</v>
      </c>
      <c r="P842" s="97">
        <f>365</f>
        <v>365</v>
      </c>
      <c r="Q842" s="165" t="s">
        <v>16</v>
      </c>
      <c r="R842" s="174">
        <v>3.5</v>
      </c>
      <c r="S842" s="175"/>
      <c r="T842" s="131"/>
      <c r="U842" s="157">
        <f t="shared" si="210"/>
        <v>1294.3192219679634</v>
      </c>
      <c r="V842" s="113">
        <f t="shared" si="198"/>
        <v>3.8521405415713197</v>
      </c>
      <c r="W842" s="114">
        <f t="shared" si="199"/>
        <v>0.55030579165304572</v>
      </c>
      <c r="X842" s="175"/>
      <c r="Y842" s="175"/>
      <c r="Z842" s="102"/>
      <c r="AA842" s="103">
        <v>45878</v>
      </c>
      <c r="AB842" s="118">
        <v>45901</v>
      </c>
      <c r="AC842" s="103"/>
      <c r="AD842" s="102">
        <f>IF(ISNA(VLOOKUP(D842,亚马逊入库配置费!B:F,5,0)),0,VLOOKUP(D842,亚马逊入库配置费!B:F,5,0))</f>
        <v>0.49</v>
      </c>
      <c r="AE842" s="102">
        <f t="shared" si="206"/>
        <v>164.64</v>
      </c>
      <c r="AF842" s="103">
        <v>45909</v>
      </c>
      <c r="AG842" s="91">
        <f t="shared" si="207"/>
        <v>31</v>
      </c>
      <c r="AH842" s="103">
        <v>45909</v>
      </c>
      <c r="AI842" s="103">
        <v>45938</v>
      </c>
      <c r="AJ842" s="96">
        <v>323</v>
      </c>
      <c r="AK842" s="91">
        <f t="shared" si="208"/>
        <v>29</v>
      </c>
      <c r="AL842" s="96">
        <f t="shared" si="211"/>
        <v>60</v>
      </c>
      <c r="AM842" s="92"/>
      <c r="AN842" s="91"/>
      <c r="AO842" s="91"/>
    </row>
    <row r="843" spans="1:41" ht="14.5" x14ac:dyDescent="0.25">
      <c r="A843" s="92" t="s">
        <v>1511</v>
      </c>
      <c r="B843" s="91"/>
      <c r="C843" s="180" t="s">
        <v>1512</v>
      </c>
      <c r="D843" s="177" t="s">
        <v>1513</v>
      </c>
      <c r="E843" s="178" t="s">
        <v>278</v>
      </c>
      <c r="F843" s="178" t="s">
        <v>1514</v>
      </c>
      <c r="G843" s="179" t="s">
        <v>884</v>
      </c>
      <c r="H843" s="160">
        <v>96</v>
      </c>
      <c r="I843" s="160" t="s">
        <v>502</v>
      </c>
      <c r="J843" s="160" t="s">
        <v>1515</v>
      </c>
      <c r="K843" s="177" t="s">
        <v>280</v>
      </c>
      <c r="L843" s="93" t="s">
        <v>3084</v>
      </c>
      <c r="M843" s="94" t="s">
        <v>3402</v>
      </c>
      <c r="N843" s="95" t="s">
        <v>51</v>
      </c>
      <c r="O843" s="180">
        <v>6</v>
      </c>
      <c r="P843" s="97">
        <f>105/6*O843</f>
        <v>105</v>
      </c>
      <c r="Q843" s="119" t="s">
        <v>16</v>
      </c>
      <c r="R843" s="160">
        <v>6</v>
      </c>
      <c r="S843" s="175"/>
      <c r="T843" s="131"/>
      <c r="U843" s="157">
        <f>R843*P843+350</f>
        <v>980</v>
      </c>
      <c r="V843" s="113">
        <f t="shared" si="198"/>
        <v>10.208333333333334</v>
      </c>
      <c r="W843" s="114">
        <f t="shared" si="199"/>
        <v>1.4583333333333335</v>
      </c>
      <c r="X843" s="175"/>
      <c r="Y843" s="175"/>
      <c r="Z843" s="102"/>
      <c r="AA843" s="103">
        <v>45878</v>
      </c>
      <c r="AB843" s="118">
        <v>45912</v>
      </c>
      <c r="AC843" s="103"/>
      <c r="AD843" s="102">
        <f>IF(ISNA(VLOOKUP(D843,亚马逊入库配置费!B:F,5,0)),0,VLOOKUP(D843,亚马逊入库配置费!B:F,5,0))</f>
        <v>0</v>
      </c>
      <c r="AE843" s="102">
        <f t="shared" si="206"/>
        <v>0</v>
      </c>
      <c r="AF843" s="103">
        <v>45915</v>
      </c>
      <c r="AG843" s="91">
        <f t="shared" si="207"/>
        <v>37</v>
      </c>
      <c r="AH843" s="103">
        <v>45915</v>
      </c>
      <c r="AI843" s="103">
        <v>45928</v>
      </c>
      <c r="AJ843" s="96">
        <v>96</v>
      </c>
      <c r="AK843" s="91">
        <f t="shared" si="208"/>
        <v>13</v>
      </c>
      <c r="AL843" s="96">
        <f t="shared" si="211"/>
        <v>50</v>
      </c>
      <c r="AM843" s="92"/>
      <c r="AN843" s="91"/>
      <c r="AO843" s="91"/>
    </row>
    <row r="844" spans="1:41" ht="14.5" x14ac:dyDescent="0.25">
      <c r="A844" s="92" t="s">
        <v>1516</v>
      </c>
      <c r="B844" s="91"/>
      <c r="C844" s="180" t="s">
        <v>1517</v>
      </c>
      <c r="D844" s="177" t="s">
        <v>1518</v>
      </c>
      <c r="E844" s="178" t="s">
        <v>270</v>
      </c>
      <c r="F844" s="178" t="s">
        <v>1519</v>
      </c>
      <c r="G844" s="179" t="s">
        <v>163</v>
      </c>
      <c r="H844" s="160">
        <v>360</v>
      </c>
      <c r="I844" s="160" t="s">
        <v>1520</v>
      </c>
      <c r="J844" s="160" t="s">
        <v>1287</v>
      </c>
      <c r="K844" s="177" t="s">
        <v>1521</v>
      </c>
      <c r="L844" s="93" t="s">
        <v>2881</v>
      </c>
      <c r="M844" s="94" t="s">
        <v>3302</v>
      </c>
      <c r="N844" s="95" t="s">
        <v>2870</v>
      </c>
      <c r="O844" s="180">
        <v>9</v>
      </c>
      <c r="P844" s="97">
        <f>0.45/10*O844</f>
        <v>0.40499999999999997</v>
      </c>
      <c r="Q844" s="183" t="s">
        <v>3264</v>
      </c>
      <c r="R844" s="160">
        <v>700</v>
      </c>
      <c r="S844" s="175"/>
      <c r="T844" s="131"/>
      <c r="U844" s="157">
        <f>R844*P844+450/10*O844</f>
        <v>688.5</v>
      </c>
      <c r="V844" s="100">
        <f t="shared" si="198"/>
        <v>1.9125000000000001</v>
      </c>
      <c r="W844" s="101">
        <f t="shared" si="199"/>
        <v>0.27321428571428574</v>
      </c>
      <c r="X844" s="175"/>
      <c r="Y844" s="175"/>
      <c r="Z844" s="102"/>
      <c r="AA844" s="103">
        <v>45885</v>
      </c>
      <c r="AB844" s="118">
        <v>45911</v>
      </c>
      <c r="AC844" s="103"/>
      <c r="AD844" s="102">
        <f>IF(ISNA(VLOOKUP(D844,亚马逊入库配置费!B:F,5,0)),0,VLOOKUP(D844,亚马逊入库配置费!B:F,5,0))</f>
        <v>0</v>
      </c>
      <c r="AE844" s="102">
        <f t="shared" si="206"/>
        <v>0</v>
      </c>
      <c r="AF844" s="103">
        <v>45920</v>
      </c>
      <c r="AG844" s="91">
        <f t="shared" si="207"/>
        <v>35</v>
      </c>
      <c r="AH844" s="103">
        <v>45920</v>
      </c>
      <c r="AI844" s="103">
        <v>45935</v>
      </c>
      <c r="AJ844" s="96">
        <v>360</v>
      </c>
      <c r="AK844" s="91">
        <f t="shared" si="208"/>
        <v>15</v>
      </c>
      <c r="AL844" s="96">
        <f t="shared" si="211"/>
        <v>50</v>
      </c>
      <c r="AM844" s="92"/>
      <c r="AN844" s="91"/>
      <c r="AO844" s="91"/>
    </row>
    <row r="845" spans="1:41" ht="14.5" x14ac:dyDescent="0.25">
      <c r="A845" s="92" t="s">
        <v>1522</v>
      </c>
      <c r="B845" s="91"/>
      <c r="C845" s="180" t="s">
        <v>1517</v>
      </c>
      <c r="D845" s="177" t="s">
        <v>1518</v>
      </c>
      <c r="E845" s="178" t="s">
        <v>270</v>
      </c>
      <c r="F845" s="178" t="s">
        <v>1519</v>
      </c>
      <c r="G845" s="179" t="s">
        <v>165</v>
      </c>
      <c r="H845" s="160">
        <v>40</v>
      </c>
      <c r="I845" s="160" t="s">
        <v>1520</v>
      </c>
      <c r="J845" s="160" t="s">
        <v>1287</v>
      </c>
      <c r="K845" s="177" t="s">
        <v>1521</v>
      </c>
      <c r="L845" s="93" t="s">
        <v>2880</v>
      </c>
      <c r="M845" s="94" t="s">
        <v>3209</v>
      </c>
      <c r="N845" s="95" t="s">
        <v>2870</v>
      </c>
      <c r="O845" s="180">
        <v>1</v>
      </c>
      <c r="P845" s="97">
        <f>0.45/10*O845</f>
        <v>4.4999999999999998E-2</v>
      </c>
      <c r="Q845" s="183" t="s">
        <v>3264</v>
      </c>
      <c r="R845" s="160">
        <v>700</v>
      </c>
      <c r="S845" s="175"/>
      <c r="T845" s="131"/>
      <c r="U845" s="157">
        <f>R845*P845+450/10*O845</f>
        <v>76.5</v>
      </c>
      <c r="V845" s="100">
        <f t="shared" ref="V845:V908" si="212">U845/H845</f>
        <v>1.9125000000000001</v>
      </c>
      <c r="W845" s="101">
        <f t="shared" ref="W845:W908" si="213">V845/7</f>
        <v>0.27321428571428574</v>
      </c>
      <c r="X845" s="175"/>
      <c r="Y845" s="175"/>
      <c r="Z845" s="102"/>
      <c r="AA845" s="103">
        <v>45885</v>
      </c>
      <c r="AB845" s="118">
        <v>45911</v>
      </c>
      <c r="AC845" s="103"/>
      <c r="AD845" s="102">
        <f>IF(ISNA(VLOOKUP(D845,亚马逊入库配置费!B:F,5,0)),0,VLOOKUP(D845,亚马逊入库配置费!B:F,5,0))</f>
        <v>0</v>
      </c>
      <c r="AE845" s="102">
        <f t="shared" si="206"/>
        <v>0</v>
      </c>
      <c r="AF845" s="103">
        <v>45920</v>
      </c>
      <c r="AG845" s="91">
        <f t="shared" si="207"/>
        <v>35</v>
      </c>
      <c r="AH845" s="103">
        <v>45920</v>
      </c>
      <c r="AI845" s="103">
        <v>45935</v>
      </c>
      <c r="AJ845" s="96">
        <v>40</v>
      </c>
      <c r="AK845" s="91">
        <f t="shared" si="208"/>
        <v>15</v>
      </c>
      <c r="AL845" s="96">
        <f t="shared" si="211"/>
        <v>50</v>
      </c>
      <c r="AM845" s="92"/>
      <c r="AN845" s="91"/>
      <c r="AO845" s="91"/>
    </row>
    <row r="846" spans="1:41" ht="14.5" x14ac:dyDescent="0.25">
      <c r="A846" s="92" t="s">
        <v>1523</v>
      </c>
      <c r="B846" s="91"/>
      <c r="C846" s="180" t="s">
        <v>1524</v>
      </c>
      <c r="D846" s="177" t="s">
        <v>1525</v>
      </c>
      <c r="E846" s="178" t="s">
        <v>97</v>
      </c>
      <c r="F846" s="178" t="s">
        <v>1369</v>
      </c>
      <c r="G846" s="179" t="s">
        <v>228</v>
      </c>
      <c r="H846" s="160">
        <v>260</v>
      </c>
      <c r="I846" s="160" t="s">
        <v>502</v>
      </c>
      <c r="J846" s="160" t="s">
        <v>1365</v>
      </c>
      <c r="K846" s="177" t="s">
        <v>9</v>
      </c>
      <c r="L846" s="93" t="s">
        <v>3036</v>
      </c>
      <c r="M846" s="94" t="s">
        <v>3315</v>
      </c>
      <c r="N846" s="95" t="s">
        <v>2870</v>
      </c>
      <c r="O846" s="180">
        <v>13</v>
      </c>
      <c r="P846" s="97">
        <f t="shared" ref="P846:P856" si="214">1593/117*O846</f>
        <v>177</v>
      </c>
      <c r="Q846" s="119" t="s">
        <v>16</v>
      </c>
      <c r="R846" s="160">
        <v>3.8</v>
      </c>
      <c r="S846" s="175"/>
      <c r="T846" s="131"/>
      <c r="U846" s="157">
        <f t="shared" ref="U846:U873" si="215">R846*P846+350/495*O846</f>
        <v>681.79191919191919</v>
      </c>
      <c r="V846" s="100">
        <f t="shared" si="212"/>
        <v>2.6222766122766124</v>
      </c>
      <c r="W846" s="101">
        <f t="shared" si="213"/>
        <v>0.37461094461094463</v>
      </c>
      <c r="X846" s="175"/>
      <c r="Y846" s="175"/>
      <c r="Z846" s="102"/>
      <c r="AA846" s="103">
        <v>45885</v>
      </c>
      <c r="AB846" s="118">
        <v>45908</v>
      </c>
      <c r="AC846" s="103"/>
      <c r="AD846" s="102">
        <f>IF(ISNA(VLOOKUP(D846,亚马逊入库配置费!B:F,5,0)),0,VLOOKUP(D846,亚马逊入库配置费!B:F,5,0))</f>
        <v>0.36113207547169801</v>
      </c>
      <c r="AE846" s="102">
        <f t="shared" si="206"/>
        <v>93.894339622641482</v>
      </c>
      <c r="AF846" s="103">
        <v>45919</v>
      </c>
      <c r="AG846" s="91">
        <f t="shared" si="207"/>
        <v>34</v>
      </c>
      <c r="AH846" s="103">
        <v>45919</v>
      </c>
      <c r="AI846" s="103">
        <v>45959</v>
      </c>
      <c r="AJ846" s="96">
        <v>260</v>
      </c>
      <c r="AK846" s="91">
        <f t="shared" si="208"/>
        <v>40</v>
      </c>
      <c r="AL846" s="96">
        <f t="shared" si="211"/>
        <v>74</v>
      </c>
      <c r="AM846" s="92"/>
      <c r="AN846" s="91"/>
      <c r="AO846" s="91"/>
    </row>
    <row r="847" spans="1:41" ht="14.5" x14ac:dyDescent="0.25">
      <c r="A847" s="92" t="s">
        <v>1526</v>
      </c>
      <c r="B847" s="91"/>
      <c r="C847" s="180" t="s">
        <v>1524</v>
      </c>
      <c r="D847" s="177" t="s">
        <v>1525</v>
      </c>
      <c r="E847" s="178" t="s">
        <v>97</v>
      </c>
      <c r="F847" s="178" t="s">
        <v>1369</v>
      </c>
      <c r="G847" s="179" t="s">
        <v>163</v>
      </c>
      <c r="H847" s="160">
        <v>1520</v>
      </c>
      <c r="I847" s="160" t="s">
        <v>502</v>
      </c>
      <c r="J847" s="160" t="s">
        <v>1365</v>
      </c>
      <c r="K847" s="177" t="s">
        <v>9</v>
      </c>
      <c r="L847" s="93" t="s">
        <v>2881</v>
      </c>
      <c r="M847" s="94" t="s">
        <v>3302</v>
      </c>
      <c r="N847" s="95" t="s">
        <v>2870</v>
      </c>
      <c r="O847" s="180">
        <v>38</v>
      </c>
      <c r="P847" s="97">
        <f t="shared" si="214"/>
        <v>517.38461538461536</v>
      </c>
      <c r="Q847" s="119" t="s">
        <v>16</v>
      </c>
      <c r="R847" s="160">
        <v>3.8</v>
      </c>
      <c r="S847" s="175"/>
      <c r="T847" s="131"/>
      <c r="U847" s="157">
        <f t="shared" si="215"/>
        <v>1992.9302253302251</v>
      </c>
      <c r="V847" s="100">
        <f t="shared" si="212"/>
        <v>1.311138306138306</v>
      </c>
      <c r="W847" s="101">
        <f t="shared" si="213"/>
        <v>0.18730547230547229</v>
      </c>
      <c r="X847" s="175"/>
      <c r="Y847" s="175"/>
      <c r="Z847" s="102"/>
      <c r="AA847" s="103">
        <v>45885</v>
      </c>
      <c r="AB847" s="118">
        <v>45908</v>
      </c>
      <c r="AC847" s="103"/>
      <c r="AD847" s="102">
        <f>IF(ISNA(VLOOKUP(D847,亚马逊入库配置费!B:F,5,0)),0,VLOOKUP(D847,亚马逊入库配置费!B:F,5,0))</f>
        <v>0.36113207547169801</v>
      </c>
      <c r="AE847" s="102">
        <f t="shared" si="206"/>
        <v>548.92075471698092</v>
      </c>
      <c r="AF847" s="103">
        <v>45919</v>
      </c>
      <c r="AG847" s="91">
        <f t="shared" si="207"/>
        <v>34</v>
      </c>
      <c r="AH847" s="103">
        <v>45919</v>
      </c>
      <c r="AI847" s="103">
        <v>45959</v>
      </c>
      <c r="AJ847" s="96">
        <v>1539</v>
      </c>
      <c r="AK847" s="91">
        <f t="shared" si="208"/>
        <v>40</v>
      </c>
      <c r="AL847" s="96">
        <f t="shared" si="211"/>
        <v>74</v>
      </c>
      <c r="AM847" s="92"/>
      <c r="AN847" s="91"/>
      <c r="AO847" s="91"/>
    </row>
    <row r="848" spans="1:41" ht="14.5" x14ac:dyDescent="0.25">
      <c r="A848" s="92" t="s">
        <v>1527</v>
      </c>
      <c r="B848" s="91"/>
      <c r="C848" s="180" t="s">
        <v>1524</v>
      </c>
      <c r="D848" s="177" t="s">
        <v>1525</v>
      </c>
      <c r="E848" s="178" t="s">
        <v>97</v>
      </c>
      <c r="F848" s="178" t="s">
        <v>1369</v>
      </c>
      <c r="G848" s="179" t="s">
        <v>872</v>
      </c>
      <c r="H848" s="160">
        <v>750</v>
      </c>
      <c r="I848" s="160" t="s">
        <v>502</v>
      </c>
      <c r="J848" s="160" t="s">
        <v>1365</v>
      </c>
      <c r="K848" s="177" t="s">
        <v>9</v>
      </c>
      <c r="L848" s="93" t="s">
        <v>872</v>
      </c>
      <c r="M848" s="94" t="s">
        <v>3399</v>
      </c>
      <c r="N848" s="95" t="s">
        <v>2870</v>
      </c>
      <c r="O848" s="180">
        <v>25</v>
      </c>
      <c r="P848" s="97">
        <f t="shared" si="214"/>
        <v>340.38461538461536</v>
      </c>
      <c r="Q848" s="119" t="s">
        <v>16</v>
      </c>
      <c r="R848" s="160">
        <v>3.8</v>
      </c>
      <c r="S848" s="175"/>
      <c r="T848" s="131"/>
      <c r="U848" s="157">
        <f t="shared" si="215"/>
        <v>1311.138306138306</v>
      </c>
      <c r="V848" s="100">
        <f t="shared" si="212"/>
        <v>1.748184408184408</v>
      </c>
      <c r="W848" s="101">
        <f t="shared" si="213"/>
        <v>0.24974062974062972</v>
      </c>
      <c r="X848" s="175"/>
      <c r="Y848" s="175"/>
      <c r="Z848" s="102"/>
      <c r="AA848" s="103">
        <v>45885</v>
      </c>
      <c r="AB848" s="118">
        <v>45908</v>
      </c>
      <c r="AC848" s="103"/>
      <c r="AD848" s="102">
        <f>IF(ISNA(VLOOKUP(D848,亚马逊入库配置费!B:F,5,0)),0,VLOOKUP(D848,亚马逊入库配置费!B:F,5,0))</f>
        <v>0.36113207547169801</v>
      </c>
      <c r="AE848" s="102">
        <f t="shared" si="206"/>
        <v>270.84905660377353</v>
      </c>
      <c r="AF848" s="103">
        <v>45919</v>
      </c>
      <c r="AG848" s="91">
        <f t="shared" si="207"/>
        <v>34</v>
      </c>
      <c r="AH848" s="103">
        <v>45919</v>
      </c>
      <c r="AI848" s="103">
        <v>45959</v>
      </c>
      <c r="AJ848" s="96">
        <v>720</v>
      </c>
      <c r="AK848" s="91">
        <f t="shared" si="208"/>
        <v>40</v>
      </c>
      <c r="AL848" s="96">
        <f t="shared" si="211"/>
        <v>74</v>
      </c>
      <c r="AM848" s="92"/>
      <c r="AN848" s="91"/>
      <c r="AO848" s="91"/>
    </row>
    <row r="849" spans="1:41" ht="14.5" x14ac:dyDescent="0.25">
      <c r="A849" s="92" t="s">
        <v>1528</v>
      </c>
      <c r="B849" s="91"/>
      <c r="C849" s="180" t="s">
        <v>1524</v>
      </c>
      <c r="D849" s="177" t="s">
        <v>1525</v>
      </c>
      <c r="E849" s="178" t="s">
        <v>97</v>
      </c>
      <c r="F849" s="178" t="s">
        <v>1369</v>
      </c>
      <c r="G849" s="179" t="s">
        <v>350</v>
      </c>
      <c r="H849" s="160">
        <v>200</v>
      </c>
      <c r="I849" s="160" t="s">
        <v>502</v>
      </c>
      <c r="J849" s="160" t="s">
        <v>1365</v>
      </c>
      <c r="K849" s="177" t="s">
        <v>9</v>
      </c>
      <c r="L849" s="93" t="s">
        <v>3048</v>
      </c>
      <c r="M849" s="94" t="s">
        <v>3208</v>
      </c>
      <c r="N849" s="95" t="s">
        <v>2870</v>
      </c>
      <c r="O849" s="180">
        <v>5</v>
      </c>
      <c r="P849" s="97">
        <f t="shared" si="214"/>
        <v>68.07692307692308</v>
      </c>
      <c r="Q849" s="119" t="s">
        <v>16</v>
      </c>
      <c r="R849" s="160">
        <v>3.8</v>
      </c>
      <c r="S849" s="175"/>
      <c r="T849" s="131"/>
      <c r="U849" s="157">
        <f t="shared" si="215"/>
        <v>262.2276612276612</v>
      </c>
      <c r="V849" s="100">
        <f t="shared" si="212"/>
        <v>1.311138306138306</v>
      </c>
      <c r="W849" s="101">
        <f t="shared" si="213"/>
        <v>0.18730547230547229</v>
      </c>
      <c r="X849" s="175"/>
      <c r="Y849" s="175"/>
      <c r="Z849" s="102"/>
      <c r="AA849" s="103">
        <v>45885</v>
      </c>
      <c r="AB849" s="118">
        <v>45908</v>
      </c>
      <c r="AC849" s="103"/>
      <c r="AD849" s="102">
        <f>IF(ISNA(VLOOKUP(D849,亚马逊入库配置费!B:F,5,0)),0,VLOOKUP(D849,亚马逊入库配置费!B:F,5,0))</f>
        <v>0.36113207547169801</v>
      </c>
      <c r="AE849" s="102">
        <f t="shared" si="206"/>
        <v>72.2264150943396</v>
      </c>
      <c r="AF849" s="103">
        <v>45919</v>
      </c>
      <c r="AG849" s="91">
        <f t="shared" si="207"/>
        <v>34</v>
      </c>
      <c r="AH849" s="103">
        <v>45919</v>
      </c>
      <c r="AI849" s="103">
        <v>45959</v>
      </c>
      <c r="AJ849" s="96">
        <v>200</v>
      </c>
      <c r="AK849" s="91">
        <f t="shared" si="208"/>
        <v>40</v>
      </c>
      <c r="AL849" s="96">
        <f t="shared" si="211"/>
        <v>74</v>
      </c>
      <c r="AM849" s="92"/>
      <c r="AN849" s="91"/>
      <c r="AO849" s="91"/>
    </row>
    <row r="850" spans="1:41" ht="14.5" x14ac:dyDescent="0.25">
      <c r="A850" s="92" t="s">
        <v>1529</v>
      </c>
      <c r="B850" s="91"/>
      <c r="C850" s="180" t="s">
        <v>1524</v>
      </c>
      <c r="D850" s="177" t="s">
        <v>1525</v>
      </c>
      <c r="E850" s="178" t="s">
        <v>97</v>
      </c>
      <c r="F850" s="178" t="s">
        <v>1369</v>
      </c>
      <c r="G850" s="179" t="s">
        <v>876</v>
      </c>
      <c r="H850" s="160">
        <v>40</v>
      </c>
      <c r="I850" s="160" t="s">
        <v>502</v>
      </c>
      <c r="J850" s="160" t="s">
        <v>1365</v>
      </c>
      <c r="K850" s="177" t="s">
        <v>9</v>
      </c>
      <c r="L850" s="93" t="s">
        <v>876</v>
      </c>
      <c r="M850" s="94" t="s">
        <v>3400</v>
      </c>
      <c r="N850" s="95" t="s">
        <v>2870</v>
      </c>
      <c r="O850" s="180">
        <v>1</v>
      </c>
      <c r="P850" s="97">
        <f t="shared" si="214"/>
        <v>13.615384615384615</v>
      </c>
      <c r="Q850" s="119" t="s">
        <v>16</v>
      </c>
      <c r="R850" s="160">
        <v>3.8</v>
      </c>
      <c r="S850" s="175"/>
      <c r="T850" s="131"/>
      <c r="U850" s="157">
        <f t="shared" si="215"/>
        <v>52.445532245532242</v>
      </c>
      <c r="V850" s="100">
        <f t="shared" si="212"/>
        <v>1.311138306138306</v>
      </c>
      <c r="W850" s="101">
        <f t="shared" si="213"/>
        <v>0.18730547230547229</v>
      </c>
      <c r="X850" s="175"/>
      <c r="Y850" s="175"/>
      <c r="Z850" s="102"/>
      <c r="AA850" s="103">
        <v>45885</v>
      </c>
      <c r="AB850" s="118">
        <v>45908</v>
      </c>
      <c r="AC850" s="103"/>
      <c r="AD850" s="102">
        <f>IF(ISNA(VLOOKUP(D850,亚马逊入库配置费!B:F,5,0)),0,VLOOKUP(D850,亚马逊入库配置费!B:F,5,0))</f>
        <v>0.36113207547169801</v>
      </c>
      <c r="AE850" s="102">
        <f t="shared" si="206"/>
        <v>14.44528301886792</v>
      </c>
      <c r="AF850" s="103">
        <v>45919</v>
      </c>
      <c r="AG850" s="91">
        <f t="shared" si="207"/>
        <v>34</v>
      </c>
      <c r="AH850" s="103">
        <v>45919</v>
      </c>
      <c r="AI850" s="103">
        <v>45959</v>
      </c>
      <c r="AJ850" s="96">
        <v>42</v>
      </c>
      <c r="AK850" s="91">
        <f t="shared" si="208"/>
        <v>40</v>
      </c>
      <c r="AL850" s="96">
        <f t="shared" si="211"/>
        <v>74</v>
      </c>
      <c r="AM850" s="92"/>
      <c r="AN850" s="91"/>
      <c r="AO850" s="91"/>
    </row>
    <row r="851" spans="1:41" ht="14.5" x14ac:dyDescent="0.25">
      <c r="A851" s="92" t="s">
        <v>1530</v>
      </c>
      <c r="B851" s="91"/>
      <c r="C851" s="180" t="s">
        <v>1524</v>
      </c>
      <c r="D851" s="177" t="s">
        <v>1525</v>
      </c>
      <c r="E851" s="178" t="s">
        <v>97</v>
      </c>
      <c r="F851" s="178" t="s">
        <v>1369</v>
      </c>
      <c r="G851" s="179" t="s">
        <v>165</v>
      </c>
      <c r="H851" s="160">
        <v>1000</v>
      </c>
      <c r="I851" s="160" t="s">
        <v>502</v>
      </c>
      <c r="J851" s="160" t="s">
        <v>1365</v>
      </c>
      <c r="K851" s="177" t="s">
        <v>9</v>
      </c>
      <c r="L851" s="93" t="s">
        <v>2880</v>
      </c>
      <c r="M851" s="94" t="s">
        <v>3209</v>
      </c>
      <c r="N851" s="95" t="s">
        <v>2870</v>
      </c>
      <c r="O851" s="180">
        <v>25</v>
      </c>
      <c r="P851" s="97">
        <f t="shared" si="214"/>
        <v>340.38461538461536</v>
      </c>
      <c r="Q851" s="119" t="s">
        <v>16</v>
      </c>
      <c r="R851" s="160">
        <v>3.8</v>
      </c>
      <c r="S851" s="175"/>
      <c r="T851" s="131"/>
      <c r="U851" s="157">
        <f t="shared" si="215"/>
        <v>1311.138306138306</v>
      </c>
      <c r="V851" s="100">
        <f t="shared" si="212"/>
        <v>1.311138306138306</v>
      </c>
      <c r="W851" s="101">
        <f t="shared" si="213"/>
        <v>0.18730547230547229</v>
      </c>
      <c r="X851" s="175"/>
      <c r="Y851" s="175"/>
      <c r="Z851" s="102"/>
      <c r="AA851" s="103">
        <v>45885</v>
      </c>
      <c r="AB851" s="118">
        <v>45908</v>
      </c>
      <c r="AC851" s="103"/>
      <c r="AD851" s="102">
        <f>IF(ISNA(VLOOKUP(D851,亚马逊入库配置费!B:F,5,0)),0,VLOOKUP(D851,亚马逊入库配置费!B:F,5,0))</f>
        <v>0.36113207547169801</v>
      </c>
      <c r="AE851" s="102">
        <f t="shared" si="206"/>
        <v>361.13207547169799</v>
      </c>
      <c r="AF851" s="103">
        <v>45919</v>
      </c>
      <c r="AG851" s="91">
        <f t="shared" si="207"/>
        <v>34</v>
      </c>
      <c r="AH851" s="103">
        <v>45919</v>
      </c>
      <c r="AI851" s="103">
        <v>45959</v>
      </c>
      <c r="AJ851" s="96">
        <v>996</v>
      </c>
      <c r="AK851" s="91">
        <f t="shared" si="208"/>
        <v>40</v>
      </c>
      <c r="AL851" s="96">
        <f t="shared" si="211"/>
        <v>74</v>
      </c>
      <c r="AM851" s="92"/>
      <c r="AN851" s="91"/>
      <c r="AO851" s="91"/>
    </row>
    <row r="852" spans="1:41" ht="14.5" x14ac:dyDescent="0.25">
      <c r="A852" s="92" t="s">
        <v>1531</v>
      </c>
      <c r="B852" s="91"/>
      <c r="C852" s="180" t="s">
        <v>1524</v>
      </c>
      <c r="D852" s="177" t="s">
        <v>1525</v>
      </c>
      <c r="E852" s="178" t="s">
        <v>97</v>
      </c>
      <c r="F852" s="178" t="s">
        <v>1369</v>
      </c>
      <c r="G852" s="179" t="s">
        <v>1409</v>
      </c>
      <c r="H852" s="160">
        <v>180</v>
      </c>
      <c r="I852" s="160" t="s">
        <v>502</v>
      </c>
      <c r="J852" s="160" t="s">
        <v>1365</v>
      </c>
      <c r="K852" s="177" t="s">
        <v>9</v>
      </c>
      <c r="L852" s="93" t="s">
        <v>1409</v>
      </c>
      <c r="M852" s="94" t="s">
        <v>3446</v>
      </c>
      <c r="N852" s="95" t="s">
        <v>2870</v>
      </c>
      <c r="O852" s="180">
        <v>6</v>
      </c>
      <c r="P852" s="97">
        <f t="shared" si="214"/>
        <v>81.692307692307693</v>
      </c>
      <c r="Q852" s="119" t="s">
        <v>16</v>
      </c>
      <c r="R852" s="160">
        <v>3.8</v>
      </c>
      <c r="S852" s="175"/>
      <c r="T852" s="131"/>
      <c r="U852" s="157">
        <f t="shared" si="215"/>
        <v>314.67319347319346</v>
      </c>
      <c r="V852" s="100">
        <f t="shared" si="212"/>
        <v>1.7481844081844082</v>
      </c>
      <c r="W852" s="101">
        <f t="shared" si="213"/>
        <v>0.24974062974062974</v>
      </c>
      <c r="X852" s="175"/>
      <c r="Y852" s="175"/>
      <c r="Z852" s="102"/>
      <c r="AA852" s="103">
        <v>45885</v>
      </c>
      <c r="AB852" s="118">
        <v>45908</v>
      </c>
      <c r="AC852" s="103"/>
      <c r="AD852" s="102">
        <f>IF(ISNA(VLOOKUP(D852,亚马逊入库配置费!B:F,5,0)),0,VLOOKUP(D852,亚马逊入库配置费!B:F,5,0))</f>
        <v>0.36113207547169801</v>
      </c>
      <c r="AE852" s="102">
        <f t="shared" si="206"/>
        <v>65.003773584905645</v>
      </c>
      <c r="AF852" s="103">
        <v>45919</v>
      </c>
      <c r="AG852" s="91">
        <f t="shared" si="207"/>
        <v>34</v>
      </c>
      <c r="AH852" s="103">
        <v>45919</v>
      </c>
      <c r="AI852" s="103">
        <v>45959</v>
      </c>
      <c r="AJ852" s="96">
        <v>180</v>
      </c>
      <c r="AK852" s="91">
        <f t="shared" si="208"/>
        <v>40</v>
      </c>
      <c r="AL852" s="96">
        <f t="shared" si="211"/>
        <v>74</v>
      </c>
      <c r="AM852" s="92"/>
      <c r="AN852" s="91"/>
      <c r="AO852" s="91"/>
    </row>
    <row r="853" spans="1:41" ht="14.5" x14ac:dyDescent="0.25">
      <c r="A853" s="92" t="s">
        <v>1532</v>
      </c>
      <c r="B853" s="91"/>
      <c r="C853" s="180" t="s">
        <v>1524</v>
      </c>
      <c r="D853" s="177" t="s">
        <v>1525</v>
      </c>
      <c r="E853" s="178" t="s">
        <v>97</v>
      </c>
      <c r="F853" s="178" t="s">
        <v>1369</v>
      </c>
      <c r="G853" s="179" t="s">
        <v>878</v>
      </c>
      <c r="H853" s="160">
        <v>30</v>
      </c>
      <c r="I853" s="160" t="s">
        <v>502</v>
      </c>
      <c r="J853" s="160" t="s">
        <v>1365</v>
      </c>
      <c r="K853" s="177" t="s">
        <v>9</v>
      </c>
      <c r="L853" s="93" t="s">
        <v>878</v>
      </c>
      <c r="M853" s="94" t="s">
        <v>3401</v>
      </c>
      <c r="N853" s="95" t="s">
        <v>2876</v>
      </c>
      <c r="O853" s="180">
        <v>1</v>
      </c>
      <c r="P853" s="97">
        <f t="shared" si="214"/>
        <v>13.615384615384615</v>
      </c>
      <c r="Q853" s="119" t="s">
        <v>16</v>
      </c>
      <c r="R853" s="160">
        <v>3.8</v>
      </c>
      <c r="S853" s="175"/>
      <c r="T853" s="131"/>
      <c r="U853" s="157">
        <f t="shared" si="215"/>
        <v>52.445532245532242</v>
      </c>
      <c r="V853" s="100">
        <f t="shared" si="212"/>
        <v>1.748184408184408</v>
      </c>
      <c r="W853" s="101">
        <f t="shared" si="213"/>
        <v>0.24974062974062972</v>
      </c>
      <c r="X853" s="175"/>
      <c r="Y853" s="175"/>
      <c r="Z853" s="102"/>
      <c r="AA853" s="103">
        <v>45885</v>
      </c>
      <c r="AB853" s="118">
        <v>45908</v>
      </c>
      <c r="AC853" s="103"/>
      <c r="AD853" s="102">
        <f>IF(ISNA(VLOOKUP(D853,亚马逊入库配置费!B:F,5,0)),0,VLOOKUP(D853,亚马逊入库配置费!B:F,5,0))</f>
        <v>0.36113207547169801</v>
      </c>
      <c r="AE853" s="102">
        <f t="shared" si="206"/>
        <v>10.833962264150941</v>
      </c>
      <c r="AF853" s="103">
        <v>45919</v>
      </c>
      <c r="AG853" s="91">
        <f t="shared" si="207"/>
        <v>34</v>
      </c>
      <c r="AH853" s="103">
        <v>45919</v>
      </c>
      <c r="AI853" s="103">
        <v>45959</v>
      </c>
      <c r="AJ853" s="96">
        <v>30</v>
      </c>
      <c r="AK853" s="91">
        <f t="shared" si="208"/>
        <v>40</v>
      </c>
      <c r="AL853" s="96">
        <f t="shared" si="211"/>
        <v>74</v>
      </c>
      <c r="AM853" s="92"/>
      <c r="AN853" s="91"/>
      <c r="AO853" s="91"/>
    </row>
    <row r="854" spans="1:41" ht="14.5" x14ac:dyDescent="0.25">
      <c r="A854" s="92" t="s">
        <v>1533</v>
      </c>
      <c r="B854" s="91"/>
      <c r="C854" s="180" t="s">
        <v>1524</v>
      </c>
      <c r="D854" s="177" t="s">
        <v>1525</v>
      </c>
      <c r="E854" s="178" t="s">
        <v>97</v>
      </c>
      <c r="F854" s="178" t="s">
        <v>1369</v>
      </c>
      <c r="G854" s="179" t="s">
        <v>167</v>
      </c>
      <c r="H854" s="160">
        <v>60</v>
      </c>
      <c r="I854" s="160" t="s">
        <v>502</v>
      </c>
      <c r="J854" s="160" t="s">
        <v>1365</v>
      </c>
      <c r="K854" s="177" t="s">
        <v>9</v>
      </c>
      <c r="L854" s="93" t="s">
        <v>3025</v>
      </c>
      <c r="M854" s="94" t="s">
        <v>3210</v>
      </c>
      <c r="N854" s="95" t="s">
        <v>2876</v>
      </c>
      <c r="O854" s="180">
        <v>2</v>
      </c>
      <c r="P854" s="97">
        <f t="shared" si="214"/>
        <v>27.23076923076923</v>
      </c>
      <c r="Q854" s="119" t="s">
        <v>16</v>
      </c>
      <c r="R854" s="160">
        <v>3.8</v>
      </c>
      <c r="S854" s="175"/>
      <c r="T854" s="131"/>
      <c r="U854" s="157">
        <f t="shared" si="215"/>
        <v>104.89106449106448</v>
      </c>
      <c r="V854" s="100">
        <f t="shared" si="212"/>
        <v>1.748184408184408</v>
      </c>
      <c r="W854" s="101">
        <f t="shared" si="213"/>
        <v>0.24974062974062972</v>
      </c>
      <c r="X854" s="175"/>
      <c r="Y854" s="175"/>
      <c r="Z854" s="102"/>
      <c r="AA854" s="103">
        <v>45885</v>
      </c>
      <c r="AB854" s="118">
        <v>45908</v>
      </c>
      <c r="AC854" s="103"/>
      <c r="AD854" s="102">
        <f>IF(ISNA(VLOOKUP(D854,亚马逊入库配置费!B:F,5,0)),0,VLOOKUP(D854,亚马逊入库配置费!B:F,5,0))</f>
        <v>0.36113207547169801</v>
      </c>
      <c r="AE854" s="102">
        <f t="shared" si="206"/>
        <v>21.667924528301882</v>
      </c>
      <c r="AF854" s="103">
        <v>45919</v>
      </c>
      <c r="AG854" s="91">
        <f t="shared" si="207"/>
        <v>34</v>
      </c>
      <c r="AH854" s="103">
        <v>45919</v>
      </c>
      <c r="AI854" s="103">
        <v>45959</v>
      </c>
      <c r="AJ854" s="96">
        <v>60</v>
      </c>
      <c r="AK854" s="91">
        <f t="shared" si="208"/>
        <v>40</v>
      </c>
      <c r="AL854" s="96">
        <f t="shared" si="211"/>
        <v>74</v>
      </c>
      <c r="AM854" s="92"/>
      <c r="AN854" s="91"/>
      <c r="AO854" s="91"/>
    </row>
    <row r="855" spans="1:41" ht="14.5" x14ac:dyDescent="0.25">
      <c r="A855" s="92" t="s">
        <v>1534</v>
      </c>
      <c r="B855" s="91"/>
      <c r="C855" s="180" t="s">
        <v>1524</v>
      </c>
      <c r="D855" s="177" t="s">
        <v>1525</v>
      </c>
      <c r="E855" s="178" t="s">
        <v>97</v>
      </c>
      <c r="F855" s="178" t="s">
        <v>1369</v>
      </c>
      <c r="G855" s="179" t="s">
        <v>355</v>
      </c>
      <c r="H855" s="160">
        <v>100</v>
      </c>
      <c r="I855" s="160" t="s">
        <v>502</v>
      </c>
      <c r="J855" s="160" t="s">
        <v>1365</v>
      </c>
      <c r="K855" s="177" t="s">
        <v>9</v>
      </c>
      <c r="L855" s="93" t="s">
        <v>2712</v>
      </c>
      <c r="M855" s="94" t="s">
        <v>3216</v>
      </c>
      <c r="N855" s="95" t="s">
        <v>3050</v>
      </c>
      <c r="O855" s="180">
        <v>0.5</v>
      </c>
      <c r="P855" s="97">
        <f t="shared" si="214"/>
        <v>6.8076923076923075</v>
      </c>
      <c r="Q855" s="119" t="s">
        <v>16</v>
      </c>
      <c r="R855" s="160">
        <v>3.8</v>
      </c>
      <c r="S855" s="175"/>
      <c r="T855" s="131"/>
      <c r="U855" s="157">
        <f t="shared" si="215"/>
        <v>26.222766122766121</v>
      </c>
      <c r="V855" s="100">
        <f t="shared" si="212"/>
        <v>0.26222766122766122</v>
      </c>
      <c r="W855" s="101">
        <f t="shared" si="213"/>
        <v>3.7461094461094462E-2</v>
      </c>
      <c r="X855" s="175"/>
      <c r="Y855" s="175"/>
      <c r="Z855" s="102"/>
      <c r="AA855" s="103">
        <v>45885</v>
      </c>
      <c r="AB855" s="118">
        <v>45908</v>
      </c>
      <c r="AC855" s="103"/>
      <c r="AD855" s="102">
        <f>IF(ISNA(VLOOKUP(D855,亚马逊入库配置费!B:F,5,0)),0,VLOOKUP(D855,亚马逊入库配置费!B:F,5,0))</f>
        <v>0.36113207547169801</v>
      </c>
      <c r="AE855" s="102">
        <f t="shared" si="206"/>
        <v>36.1132075471698</v>
      </c>
      <c r="AF855" s="103">
        <v>45919</v>
      </c>
      <c r="AG855" s="91">
        <f t="shared" si="207"/>
        <v>34</v>
      </c>
      <c r="AH855" s="103">
        <v>45919</v>
      </c>
      <c r="AI855" s="103">
        <v>45959</v>
      </c>
      <c r="AJ855" s="96">
        <v>100</v>
      </c>
      <c r="AK855" s="91">
        <f t="shared" si="208"/>
        <v>40</v>
      </c>
      <c r="AL855" s="96">
        <f t="shared" si="211"/>
        <v>74</v>
      </c>
      <c r="AM855" s="92"/>
      <c r="AN855" s="91"/>
      <c r="AO855" s="91"/>
    </row>
    <row r="856" spans="1:41" ht="14.5" x14ac:dyDescent="0.25">
      <c r="A856" s="92" t="s">
        <v>1535</v>
      </c>
      <c r="B856" s="91"/>
      <c r="C856" s="180" t="s">
        <v>1524</v>
      </c>
      <c r="D856" s="177" t="s">
        <v>1525</v>
      </c>
      <c r="E856" s="178" t="s">
        <v>97</v>
      </c>
      <c r="F856" s="178" t="s">
        <v>1369</v>
      </c>
      <c r="G856" s="179" t="s">
        <v>357</v>
      </c>
      <c r="H856" s="160">
        <v>100</v>
      </c>
      <c r="I856" s="160" t="s">
        <v>502</v>
      </c>
      <c r="J856" s="160" t="s">
        <v>1365</v>
      </c>
      <c r="K856" s="177" t="s">
        <v>9</v>
      </c>
      <c r="L856" s="93" t="s">
        <v>3051</v>
      </c>
      <c r="M856" s="94" t="s">
        <v>3337</v>
      </c>
      <c r="N856" s="95" t="s">
        <v>3050</v>
      </c>
      <c r="O856" s="180">
        <v>0.5</v>
      </c>
      <c r="P856" s="97">
        <f t="shared" si="214"/>
        <v>6.8076923076923075</v>
      </c>
      <c r="Q856" s="119" t="s">
        <v>16</v>
      </c>
      <c r="R856" s="160">
        <v>3.8</v>
      </c>
      <c r="S856" s="175"/>
      <c r="T856" s="131"/>
      <c r="U856" s="157">
        <f t="shared" si="215"/>
        <v>26.222766122766121</v>
      </c>
      <c r="V856" s="100">
        <f t="shared" si="212"/>
        <v>0.26222766122766122</v>
      </c>
      <c r="W856" s="101">
        <f t="shared" si="213"/>
        <v>3.7461094461094462E-2</v>
      </c>
      <c r="X856" s="175"/>
      <c r="Y856" s="175"/>
      <c r="Z856" s="102"/>
      <c r="AA856" s="103">
        <v>45885</v>
      </c>
      <c r="AB856" s="118">
        <v>45908</v>
      </c>
      <c r="AC856" s="103"/>
      <c r="AD856" s="102">
        <f>IF(ISNA(VLOOKUP(D856,亚马逊入库配置费!B:F,5,0)),0,VLOOKUP(D856,亚马逊入库配置费!B:F,5,0))</f>
        <v>0.36113207547169801</v>
      </c>
      <c r="AE856" s="102">
        <f t="shared" si="206"/>
        <v>36.1132075471698</v>
      </c>
      <c r="AF856" s="103">
        <v>45919</v>
      </c>
      <c r="AG856" s="91">
        <f t="shared" si="207"/>
        <v>34</v>
      </c>
      <c r="AH856" s="103">
        <v>45919</v>
      </c>
      <c r="AI856" s="103">
        <v>45959</v>
      </c>
      <c r="AJ856" s="96">
        <v>103</v>
      </c>
      <c r="AK856" s="91">
        <f t="shared" si="208"/>
        <v>40</v>
      </c>
      <c r="AL856" s="96">
        <f t="shared" si="211"/>
        <v>74</v>
      </c>
      <c r="AM856" s="92"/>
      <c r="AN856" s="91"/>
      <c r="AO856" s="91"/>
    </row>
    <row r="857" spans="1:41" ht="14.5" x14ac:dyDescent="0.25">
      <c r="A857" s="92" t="s">
        <v>1536</v>
      </c>
      <c r="B857" s="91"/>
      <c r="C857" s="180" t="s">
        <v>1524</v>
      </c>
      <c r="D857" s="177" t="s">
        <v>1537</v>
      </c>
      <c r="E857" s="178" t="s">
        <v>97</v>
      </c>
      <c r="F857" s="178" t="s">
        <v>1369</v>
      </c>
      <c r="G857" s="179" t="s">
        <v>228</v>
      </c>
      <c r="H857" s="160">
        <v>240</v>
      </c>
      <c r="I857" s="160" t="s">
        <v>502</v>
      </c>
      <c r="J857" s="160" t="s">
        <v>1365</v>
      </c>
      <c r="K857" s="177" t="s">
        <v>13</v>
      </c>
      <c r="L857" s="93" t="s">
        <v>3036</v>
      </c>
      <c r="M857" s="94" t="s">
        <v>3315</v>
      </c>
      <c r="N857" s="95" t="s">
        <v>2870</v>
      </c>
      <c r="O857" s="180">
        <v>12</v>
      </c>
      <c r="P857" s="97">
        <f t="shared" ref="P857:P864" si="216">2375/181*O857</f>
        <v>157.45856353591159</v>
      </c>
      <c r="Q857" s="119" t="s">
        <v>16</v>
      </c>
      <c r="R857" s="160">
        <v>3.8</v>
      </c>
      <c r="S857" s="175"/>
      <c r="T857" s="131"/>
      <c r="U857" s="157">
        <f t="shared" si="215"/>
        <v>606.82738992131249</v>
      </c>
      <c r="V857" s="100">
        <f t="shared" si="212"/>
        <v>2.5284474580054686</v>
      </c>
      <c r="W857" s="101">
        <f t="shared" si="213"/>
        <v>0.36120677971506693</v>
      </c>
      <c r="X857" s="175"/>
      <c r="Y857" s="175"/>
      <c r="Z857" s="102"/>
      <c r="AA857" s="103">
        <v>45885</v>
      </c>
      <c r="AB857" s="118">
        <v>45908</v>
      </c>
      <c r="AC857" s="103"/>
      <c r="AD857" s="102">
        <f>IF(ISNA(VLOOKUP(D857,亚马逊入库配置费!B:F,5,0)),0,VLOOKUP(D857,亚马逊入库配置费!B:F,5,0))</f>
        <v>0.35891454965358</v>
      </c>
      <c r="AE857" s="102">
        <f t="shared" si="206"/>
        <v>86.1394919168592</v>
      </c>
      <c r="AF857" s="103">
        <v>45920</v>
      </c>
      <c r="AG857" s="91">
        <f t="shared" si="207"/>
        <v>35</v>
      </c>
      <c r="AH857" s="103">
        <v>45920</v>
      </c>
      <c r="AI857" s="103">
        <v>45953</v>
      </c>
      <c r="AJ857" s="96">
        <v>230</v>
      </c>
      <c r="AK857" s="91">
        <f t="shared" si="208"/>
        <v>33</v>
      </c>
      <c r="AL857" s="96">
        <f t="shared" si="211"/>
        <v>68</v>
      </c>
      <c r="AM857" s="92"/>
      <c r="AN857" s="91"/>
      <c r="AO857" s="91"/>
    </row>
    <row r="858" spans="1:41" ht="14.5" x14ac:dyDescent="0.25">
      <c r="A858" s="92" t="s">
        <v>1538</v>
      </c>
      <c r="B858" s="91"/>
      <c r="C858" s="180" t="s">
        <v>1524</v>
      </c>
      <c r="D858" s="177" t="s">
        <v>1537</v>
      </c>
      <c r="E858" s="178" t="s">
        <v>97</v>
      </c>
      <c r="F858" s="178" t="s">
        <v>1369</v>
      </c>
      <c r="G858" s="179" t="s">
        <v>163</v>
      </c>
      <c r="H858" s="160">
        <v>1480</v>
      </c>
      <c r="I858" s="160" t="s">
        <v>502</v>
      </c>
      <c r="J858" s="160" t="s">
        <v>1365</v>
      </c>
      <c r="K858" s="177" t="s">
        <v>13</v>
      </c>
      <c r="L858" s="93" t="s">
        <v>2881</v>
      </c>
      <c r="M858" s="94" t="s">
        <v>3302</v>
      </c>
      <c r="N858" s="95" t="s">
        <v>2870</v>
      </c>
      <c r="O858" s="180">
        <v>37</v>
      </c>
      <c r="P858" s="97">
        <f t="shared" si="216"/>
        <v>485.49723756906076</v>
      </c>
      <c r="Q858" s="119" t="s">
        <v>16</v>
      </c>
      <c r="R858" s="160">
        <v>3.8</v>
      </c>
      <c r="S858" s="175"/>
      <c r="T858" s="131"/>
      <c r="U858" s="157">
        <f t="shared" si="215"/>
        <v>1871.0511189240469</v>
      </c>
      <c r="V858" s="100">
        <f t="shared" si="212"/>
        <v>1.2642237290027345</v>
      </c>
      <c r="W858" s="101">
        <f t="shared" si="213"/>
        <v>0.18060338985753349</v>
      </c>
      <c r="X858" s="175"/>
      <c r="Y858" s="175"/>
      <c r="Z858" s="102"/>
      <c r="AA858" s="103">
        <v>45885</v>
      </c>
      <c r="AB858" s="118">
        <v>45908</v>
      </c>
      <c r="AC858" s="103"/>
      <c r="AD858" s="102">
        <f>IF(ISNA(VLOOKUP(D858,亚马逊入库配置费!B:F,5,0)),0,VLOOKUP(D858,亚马逊入库配置费!B:F,5,0))</f>
        <v>0.35891454965358</v>
      </c>
      <c r="AE858" s="102">
        <f t="shared" si="206"/>
        <v>531.1935334872984</v>
      </c>
      <c r="AF858" s="103">
        <v>45920</v>
      </c>
      <c r="AG858" s="91">
        <f t="shared" si="207"/>
        <v>35</v>
      </c>
      <c r="AH858" s="103">
        <v>45920</v>
      </c>
      <c r="AI858" s="103">
        <v>45953</v>
      </c>
      <c r="AJ858" s="96">
        <v>1515</v>
      </c>
      <c r="AK858" s="91">
        <f t="shared" si="208"/>
        <v>33</v>
      </c>
      <c r="AL858" s="96">
        <f t="shared" si="211"/>
        <v>68</v>
      </c>
      <c r="AM858" s="92"/>
      <c r="AN858" s="91"/>
      <c r="AO858" s="91"/>
    </row>
    <row r="859" spans="1:41" ht="14.5" x14ac:dyDescent="0.25">
      <c r="A859" s="92" t="s">
        <v>1539</v>
      </c>
      <c r="B859" s="91"/>
      <c r="C859" s="180" t="s">
        <v>1524</v>
      </c>
      <c r="D859" s="177" t="s">
        <v>1537</v>
      </c>
      <c r="E859" s="178" t="s">
        <v>97</v>
      </c>
      <c r="F859" s="178" t="s">
        <v>1369</v>
      </c>
      <c r="G859" s="179" t="s">
        <v>872</v>
      </c>
      <c r="H859" s="160">
        <v>750</v>
      </c>
      <c r="I859" s="160" t="s">
        <v>502</v>
      </c>
      <c r="J859" s="160" t="s">
        <v>1365</v>
      </c>
      <c r="K859" s="177" t="s">
        <v>13</v>
      </c>
      <c r="L859" s="93" t="s">
        <v>872</v>
      </c>
      <c r="M859" s="94" t="s">
        <v>3399</v>
      </c>
      <c r="N859" s="95" t="s">
        <v>2870</v>
      </c>
      <c r="O859" s="180">
        <v>25</v>
      </c>
      <c r="P859" s="97">
        <f t="shared" si="216"/>
        <v>328.03867403314916</v>
      </c>
      <c r="Q859" s="119" t="s">
        <v>16</v>
      </c>
      <c r="R859" s="160">
        <v>3.8</v>
      </c>
      <c r="S859" s="175"/>
      <c r="T859" s="131"/>
      <c r="U859" s="157">
        <f t="shared" si="215"/>
        <v>1264.2237290027344</v>
      </c>
      <c r="V859" s="100">
        <f t="shared" si="212"/>
        <v>1.6856316386703125</v>
      </c>
      <c r="W859" s="101">
        <f t="shared" si="213"/>
        <v>0.24080451981004464</v>
      </c>
      <c r="X859" s="175"/>
      <c r="Y859" s="175"/>
      <c r="Z859" s="102"/>
      <c r="AA859" s="103">
        <v>45885</v>
      </c>
      <c r="AB859" s="118">
        <v>45908</v>
      </c>
      <c r="AC859" s="103"/>
      <c r="AD859" s="102">
        <f>IF(ISNA(VLOOKUP(D859,亚马逊入库配置费!B:F,5,0)),0,VLOOKUP(D859,亚马逊入库配置费!B:F,5,0))</f>
        <v>0.35891454965358</v>
      </c>
      <c r="AE859" s="102">
        <f t="shared" si="206"/>
        <v>269.18591224018502</v>
      </c>
      <c r="AF859" s="103">
        <v>45920</v>
      </c>
      <c r="AG859" s="91">
        <f t="shared" si="207"/>
        <v>35</v>
      </c>
      <c r="AH859" s="103">
        <v>45920</v>
      </c>
      <c r="AI859" s="103">
        <v>45953</v>
      </c>
      <c r="AJ859" s="96">
        <v>747</v>
      </c>
      <c r="AK859" s="91">
        <f t="shared" si="208"/>
        <v>33</v>
      </c>
      <c r="AL859" s="96">
        <f t="shared" si="211"/>
        <v>68</v>
      </c>
      <c r="AM859" s="92"/>
      <c r="AN859" s="91"/>
      <c r="AO859" s="91"/>
    </row>
    <row r="860" spans="1:41" ht="14.5" x14ac:dyDescent="0.25">
      <c r="A860" s="92" t="s">
        <v>1540</v>
      </c>
      <c r="B860" s="91"/>
      <c r="C860" s="180" t="s">
        <v>1524</v>
      </c>
      <c r="D860" s="177" t="s">
        <v>1537</v>
      </c>
      <c r="E860" s="178" t="s">
        <v>97</v>
      </c>
      <c r="F860" s="178" t="s">
        <v>1369</v>
      </c>
      <c r="G860" s="179" t="s">
        <v>350</v>
      </c>
      <c r="H860" s="160">
        <v>200</v>
      </c>
      <c r="I860" s="160" t="s">
        <v>502</v>
      </c>
      <c r="J860" s="160" t="s">
        <v>1365</v>
      </c>
      <c r="K860" s="177" t="s">
        <v>13</v>
      </c>
      <c r="L860" s="93" t="s">
        <v>3048</v>
      </c>
      <c r="M860" s="94" t="s">
        <v>3208</v>
      </c>
      <c r="N860" s="95" t="s">
        <v>2870</v>
      </c>
      <c r="O860" s="180">
        <v>5</v>
      </c>
      <c r="P860" s="97">
        <f t="shared" si="216"/>
        <v>65.607734806629836</v>
      </c>
      <c r="Q860" s="119" t="s">
        <v>16</v>
      </c>
      <c r="R860" s="160">
        <v>3.8</v>
      </c>
      <c r="S860" s="175"/>
      <c r="T860" s="131"/>
      <c r="U860" s="157">
        <f t="shared" si="215"/>
        <v>252.84474580054689</v>
      </c>
      <c r="V860" s="100">
        <f t="shared" si="212"/>
        <v>1.2642237290027345</v>
      </c>
      <c r="W860" s="101">
        <f t="shared" si="213"/>
        <v>0.18060338985753349</v>
      </c>
      <c r="X860" s="175"/>
      <c r="Y860" s="175"/>
      <c r="Z860" s="102"/>
      <c r="AA860" s="103">
        <v>45885</v>
      </c>
      <c r="AB860" s="118">
        <v>45908</v>
      </c>
      <c r="AC860" s="103"/>
      <c r="AD860" s="102">
        <f>IF(ISNA(VLOOKUP(D860,亚马逊入库配置费!B:F,5,0)),0,VLOOKUP(D860,亚马逊入库配置费!B:F,5,0))</f>
        <v>0.35891454965358</v>
      </c>
      <c r="AE860" s="102">
        <f t="shared" si="206"/>
        <v>71.782909930716002</v>
      </c>
      <c r="AF860" s="103">
        <v>45920</v>
      </c>
      <c r="AG860" s="91">
        <f t="shared" si="207"/>
        <v>35</v>
      </c>
      <c r="AH860" s="103">
        <v>45920</v>
      </c>
      <c r="AI860" s="103">
        <v>45953</v>
      </c>
      <c r="AJ860" s="96">
        <v>197</v>
      </c>
      <c r="AK860" s="91">
        <f t="shared" si="208"/>
        <v>33</v>
      </c>
      <c r="AL860" s="96">
        <f t="shared" si="211"/>
        <v>68</v>
      </c>
      <c r="AM860" s="92"/>
      <c r="AN860" s="91"/>
      <c r="AO860" s="91"/>
    </row>
    <row r="861" spans="1:41" ht="14.5" x14ac:dyDescent="0.25">
      <c r="A861" s="92" t="s">
        <v>1541</v>
      </c>
      <c r="B861" s="91"/>
      <c r="C861" s="180" t="s">
        <v>1524</v>
      </c>
      <c r="D861" s="177" t="s">
        <v>1537</v>
      </c>
      <c r="E861" s="178" t="s">
        <v>97</v>
      </c>
      <c r="F861" s="178" t="s">
        <v>1369</v>
      </c>
      <c r="G861" s="179" t="s">
        <v>876</v>
      </c>
      <c r="H861" s="160">
        <v>80</v>
      </c>
      <c r="I861" s="160" t="s">
        <v>502</v>
      </c>
      <c r="J861" s="160" t="s">
        <v>1365</v>
      </c>
      <c r="K861" s="177" t="s">
        <v>13</v>
      </c>
      <c r="L861" s="93" t="s">
        <v>876</v>
      </c>
      <c r="M861" s="94" t="s">
        <v>3400</v>
      </c>
      <c r="N861" s="95" t="s">
        <v>2870</v>
      </c>
      <c r="O861" s="180">
        <v>2</v>
      </c>
      <c r="P861" s="97">
        <f t="shared" si="216"/>
        <v>26.243093922651934</v>
      </c>
      <c r="Q861" s="119" t="s">
        <v>16</v>
      </c>
      <c r="R861" s="160">
        <v>3.8</v>
      </c>
      <c r="S861" s="175"/>
      <c r="T861" s="131"/>
      <c r="U861" s="157">
        <f t="shared" si="215"/>
        <v>101.13789832021875</v>
      </c>
      <c r="V861" s="100">
        <f t="shared" si="212"/>
        <v>1.2642237290027345</v>
      </c>
      <c r="W861" s="101">
        <f t="shared" si="213"/>
        <v>0.18060338985753349</v>
      </c>
      <c r="X861" s="175"/>
      <c r="Y861" s="175"/>
      <c r="Z861" s="102"/>
      <c r="AA861" s="103">
        <v>45885</v>
      </c>
      <c r="AB861" s="118">
        <v>45908</v>
      </c>
      <c r="AC861" s="103"/>
      <c r="AD861" s="102">
        <f>IF(ISNA(VLOOKUP(D861,亚马逊入库配置费!B:F,5,0)),0,VLOOKUP(D861,亚马逊入库配置费!B:F,5,0))</f>
        <v>0.35891454965358</v>
      </c>
      <c r="AE861" s="102">
        <f t="shared" si="206"/>
        <v>28.713163972286399</v>
      </c>
      <c r="AF861" s="103">
        <v>45920</v>
      </c>
      <c r="AG861" s="91">
        <f t="shared" si="207"/>
        <v>35</v>
      </c>
      <c r="AH861" s="103">
        <v>45920</v>
      </c>
      <c r="AI861" s="103">
        <v>45953</v>
      </c>
      <c r="AJ861" s="96">
        <v>80</v>
      </c>
      <c r="AK861" s="91">
        <f t="shared" si="208"/>
        <v>33</v>
      </c>
      <c r="AL861" s="96">
        <f t="shared" si="211"/>
        <v>68</v>
      </c>
      <c r="AM861" s="92"/>
      <c r="AN861" s="91"/>
      <c r="AO861" s="91"/>
    </row>
    <row r="862" spans="1:41" ht="14.5" x14ac:dyDescent="0.25">
      <c r="A862" s="92" t="s">
        <v>1542</v>
      </c>
      <c r="B862" s="91"/>
      <c r="C862" s="180" t="s">
        <v>1524</v>
      </c>
      <c r="D862" s="177" t="s">
        <v>1537</v>
      </c>
      <c r="E862" s="178" t="s">
        <v>97</v>
      </c>
      <c r="F862" s="178" t="s">
        <v>1369</v>
      </c>
      <c r="G862" s="179" t="s">
        <v>165</v>
      </c>
      <c r="H862" s="160">
        <v>1000</v>
      </c>
      <c r="I862" s="160" t="s">
        <v>502</v>
      </c>
      <c r="J862" s="160" t="s">
        <v>1365</v>
      </c>
      <c r="K862" s="177" t="s">
        <v>13</v>
      </c>
      <c r="L862" s="93" t="s">
        <v>2880</v>
      </c>
      <c r="M862" s="94" t="s">
        <v>3209</v>
      </c>
      <c r="N862" s="95" t="s">
        <v>2870</v>
      </c>
      <c r="O862" s="180">
        <v>25</v>
      </c>
      <c r="P862" s="97">
        <f t="shared" si="216"/>
        <v>328.03867403314916</v>
      </c>
      <c r="Q862" s="119" t="s">
        <v>16</v>
      </c>
      <c r="R862" s="160">
        <v>3.8</v>
      </c>
      <c r="S862" s="175"/>
      <c r="T862" s="131"/>
      <c r="U862" s="157">
        <f t="shared" si="215"/>
        <v>1264.2237290027344</v>
      </c>
      <c r="V862" s="100">
        <f t="shared" si="212"/>
        <v>1.2642237290027345</v>
      </c>
      <c r="W862" s="101">
        <f t="shared" si="213"/>
        <v>0.18060338985753349</v>
      </c>
      <c r="X862" s="175"/>
      <c r="Y862" s="175"/>
      <c r="Z862" s="102"/>
      <c r="AA862" s="103">
        <v>45885</v>
      </c>
      <c r="AB862" s="118">
        <v>45908</v>
      </c>
      <c r="AC862" s="103"/>
      <c r="AD862" s="102">
        <f>IF(ISNA(VLOOKUP(D862,亚马逊入库配置费!B:F,5,0)),0,VLOOKUP(D862,亚马逊入库配置费!B:F,5,0))</f>
        <v>0.35891454965358</v>
      </c>
      <c r="AE862" s="102">
        <f t="shared" si="206"/>
        <v>358.91454965357997</v>
      </c>
      <c r="AF862" s="103">
        <v>45920</v>
      </c>
      <c r="AG862" s="91">
        <f t="shared" si="207"/>
        <v>35</v>
      </c>
      <c r="AH862" s="103">
        <v>45920</v>
      </c>
      <c r="AI862" s="103">
        <v>45953</v>
      </c>
      <c r="AJ862" s="96">
        <v>996</v>
      </c>
      <c r="AK862" s="91">
        <f t="shared" si="208"/>
        <v>33</v>
      </c>
      <c r="AL862" s="96">
        <f t="shared" si="211"/>
        <v>68</v>
      </c>
      <c r="AM862" s="92"/>
      <c r="AN862" s="91"/>
      <c r="AO862" s="91"/>
    </row>
    <row r="863" spans="1:41" ht="14.5" x14ac:dyDescent="0.25">
      <c r="A863" s="92" t="s">
        <v>1543</v>
      </c>
      <c r="B863" s="91"/>
      <c r="C863" s="180" t="s">
        <v>1524</v>
      </c>
      <c r="D863" s="177" t="s">
        <v>1537</v>
      </c>
      <c r="E863" s="178" t="s">
        <v>97</v>
      </c>
      <c r="F863" s="178" t="s">
        <v>1369</v>
      </c>
      <c r="G863" s="179" t="s">
        <v>1409</v>
      </c>
      <c r="H863" s="160">
        <v>180</v>
      </c>
      <c r="I863" s="160" t="s">
        <v>502</v>
      </c>
      <c r="J863" s="160" t="s">
        <v>1365</v>
      </c>
      <c r="K863" s="177" t="s">
        <v>13</v>
      </c>
      <c r="L863" s="93" t="s">
        <v>1409</v>
      </c>
      <c r="M863" s="94" t="s">
        <v>3446</v>
      </c>
      <c r="N863" s="95" t="s">
        <v>2870</v>
      </c>
      <c r="O863" s="180">
        <v>6</v>
      </c>
      <c r="P863" s="97">
        <f t="shared" si="216"/>
        <v>78.729281767955797</v>
      </c>
      <c r="Q863" s="119" t="s">
        <v>16</v>
      </c>
      <c r="R863" s="160">
        <v>3.8</v>
      </c>
      <c r="S863" s="175"/>
      <c r="T863" s="131"/>
      <c r="U863" s="157">
        <f t="shared" si="215"/>
        <v>303.41369496065624</v>
      </c>
      <c r="V863" s="100">
        <f t="shared" si="212"/>
        <v>1.6856316386703125</v>
      </c>
      <c r="W863" s="101">
        <f t="shared" si="213"/>
        <v>0.24080451981004464</v>
      </c>
      <c r="X863" s="175"/>
      <c r="Y863" s="175"/>
      <c r="Z863" s="102"/>
      <c r="AA863" s="103">
        <v>45885</v>
      </c>
      <c r="AB863" s="118">
        <v>45908</v>
      </c>
      <c r="AC863" s="103"/>
      <c r="AD863" s="102">
        <f>IF(ISNA(VLOOKUP(D863,亚马逊入库配置费!B:F,5,0)),0,VLOOKUP(D863,亚马逊入库配置费!B:F,5,0))</f>
        <v>0.35891454965358</v>
      </c>
      <c r="AE863" s="102">
        <f t="shared" si="206"/>
        <v>64.604618937644403</v>
      </c>
      <c r="AF863" s="103">
        <v>45920</v>
      </c>
      <c r="AG863" s="91">
        <f t="shared" si="207"/>
        <v>35</v>
      </c>
      <c r="AH863" s="103">
        <v>45920</v>
      </c>
      <c r="AI863" s="103">
        <v>45953</v>
      </c>
      <c r="AJ863" s="96">
        <v>180</v>
      </c>
      <c r="AK863" s="91">
        <f t="shared" si="208"/>
        <v>33</v>
      </c>
      <c r="AL863" s="96">
        <f t="shared" si="211"/>
        <v>68</v>
      </c>
      <c r="AM863" s="92"/>
      <c r="AN863" s="91"/>
      <c r="AO863" s="91"/>
    </row>
    <row r="864" spans="1:41" ht="14.5" x14ac:dyDescent="0.25">
      <c r="A864" s="92" t="s">
        <v>1544</v>
      </c>
      <c r="B864" s="91"/>
      <c r="C864" s="180" t="s">
        <v>1524</v>
      </c>
      <c r="D864" s="177" t="s">
        <v>1537</v>
      </c>
      <c r="E864" s="178" t="s">
        <v>97</v>
      </c>
      <c r="F864" s="178" t="s">
        <v>1369</v>
      </c>
      <c r="G864" s="179" t="s">
        <v>355</v>
      </c>
      <c r="H864" s="160">
        <v>400</v>
      </c>
      <c r="I864" s="160" t="s">
        <v>502</v>
      </c>
      <c r="J864" s="160" t="s">
        <v>1365</v>
      </c>
      <c r="K864" s="177" t="s">
        <v>13</v>
      </c>
      <c r="L864" s="93" t="s">
        <v>2712</v>
      </c>
      <c r="M864" s="94" t="s">
        <v>3216</v>
      </c>
      <c r="N864" s="95" t="s">
        <v>3050</v>
      </c>
      <c r="O864" s="180">
        <v>2</v>
      </c>
      <c r="P864" s="97">
        <f t="shared" si="216"/>
        <v>26.243093922651934</v>
      </c>
      <c r="Q864" s="119" t="s">
        <v>16</v>
      </c>
      <c r="R864" s="160">
        <v>3.8</v>
      </c>
      <c r="S864" s="175"/>
      <c r="T864" s="131"/>
      <c r="U864" s="157">
        <f t="shared" si="215"/>
        <v>101.13789832021875</v>
      </c>
      <c r="V864" s="100">
        <f t="shared" si="212"/>
        <v>0.25284474580054689</v>
      </c>
      <c r="W864" s="101">
        <f t="shared" si="213"/>
        <v>3.6120677971506698E-2</v>
      </c>
      <c r="X864" s="175"/>
      <c r="Y864" s="175"/>
      <c r="Z864" s="102"/>
      <c r="AA864" s="103">
        <v>45885</v>
      </c>
      <c r="AB864" s="118">
        <v>45908</v>
      </c>
      <c r="AC864" s="103"/>
      <c r="AD864" s="102">
        <f>IF(ISNA(VLOOKUP(D864,亚马逊入库配置费!B:F,5,0)),0,VLOOKUP(D864,亚马逊入库配置费!B:F,5,0))</f>
        <v>0.35891454965358</v>
      </c>
      <c r="AE864" s="102">
        <f t="shared" si="206"/>
        <v>143.565819861432</v>
      </c>
      <c r="AF864" s="103">
        <v>45920</v>
      </c>
      <c r="AG864" s="91">
        <f t="shared" si="207"/>
        <v>35</v>
      </c>
      <c r="AH864" s="103">
        <v>45920</v>
      </c>
      <c r="AI864" s="103">
        <v>45953</v>
      </c>
      <c r="AJ864" s="96">
        <v>400</v>
      </c>
      <c r="AK864" s="91">
        <f t="shared" si="208"/>
        <v>33</v>
      </c>
      <c r="AL864" s="96">
        <f t="shared" si="211"/>
        <v>68</v>
      </c>
      <c r="AM864" s="92"/>
      <c r="AN864" s="91"/>
      <c r="AO864" s="91"/>
    </row>
    <row r="865" spans="1:41" ht="14.5" x14ac:dyDescent="0.25">
      <c r="A865" s="92" t="s">
        <v>1545</v>
      </c>
      <c r="B865" s="91"/>
      <c r="C865" s="180" t="s">
        <v>1524</v>
      </c>
      <c r="D865" s="177" t="s">
        <v>1546</v>
      </c>
      <c r="E865" s="178" t="s">
        <v>1037</v>
      </c>
      <c r="F865" s="178" t="s">
        <v>1369</v>
      </c>
      <c r="G865" s="179" t="s">
        <v>1381</v>
      </c>
      <c r="H865" s="160">
        <v>240</v>
      </c>
      <c r="I865" s="160" t="s">
        <v>502</v>
      </c>
      <c r="J865" s="160" t="s">
        <v>1365</v>
      </c>
      <c r="K865" s="177" t="s">
        <v>46</v>
      </c>
      <c r="L865" s="93" t="s">
        <v>3100</v>
      </c>
      <c r="M865" s="94" t="s">
        <v>3444</v>
      </c>
      <c r="N865" s="95" t="s">
        <v>2874</v>
      </c>
      <c r="O865" s="180">
        <v>6</v>
      </c>
      <c r="P865" s="97">
        <f>364/28*O865</f>
        <v>78</v>
      </c>
      <c r="Q865" s="119" t="s">
        <v>16</v>
      </c>
      <c r="R865" s="160">
        <v>3.8</v>
      </c>
      <c r="S865" s="175"/>
      <c r="T865" s="131"/>
      <c r="U865" s="157">
        <f t="shared" si="215"/>
        <v>300.64242424242423</v>
      </c>
      <c r="V865" s="100">
        <f t="shared" si="212"/>
        <v>1.2526767676767676</v>
      </c>
      <c r="W865" s="101">
        <f t="shared" si="213"/>
        <v>0.17895382395382395</v>
      </c>
      <c r="X865" s="175"/>
      <c r="Y865" s="175"/>
      <c r="Z865" s="102"/>
      <c r="AA865" s="103">
        <v>45885</v>
      </c>
      <c r="AB865" s="118">
        <v>45908</v>
      </c>
      <c r="AC865" s="103"/>
      <c r="AD865" s="102">
        <f>IF(ISNA(VLOOKUP(D865,亚马逊入库配置费!B:F,5,0)),0,VLOOKUP(D865,亚马逊入库配置费!B:F,5,0))</f>
        <v>0.38529411764705901</v>
      </c>
      <c r="AE865" s="102">
        <f t="shared" si="206"/>
        <v>92.470588235294159</v>
      </c>
      <c r="AF865" s="103">
        <v>45919</v>
      </c>
      <c r="AG865" s="91">
        <f t="shared" si="207"/>
        <v>34</v>
      </c>
      <c r="AH865" s="103">
        <v>45919</v>
      </c>
      <c r="AI865" s="103">
        <v>45953</v>
      </c>
      <c r="AJ865" s="96">
        <v>240</v>
      </c>
      <c r="AK865" s="91">
        <f t="shared" si="208"/>
        <v>34</v>
      </c>
      <c r="AL865" s="96">
        <f t="shared" si="211"/>
        <v>68</v>
      </c>
      <c r="AM865" s="92"/>
      <c r="AN865" s="91"/>
      <c r="AO865" s="91"/>
    </row>
    <row r="866" spans="1:41" ht="14.5" x14ac:dyDescent="0.25">
      <c r="A866" s="92" t="s">
        <v>1547</v>
      </c>
      <c r="B866" s="91"/>
      <c r="C866" s="180" t="s">
        <v>1524</v>
      </c>
      <c r="D866" s="177" t="s">
        <v>1546</v>
      </c>
      <c r="E866" s="178" t="s">
        <v>1037</v>
      </c>
      <c r="F866" s="178" t="s">
        <v>1369</v>
      </c>
      <c r="G866" s="179" t="s">
        <v>1038</v>
      </c>
      <c r="H866" s="160">
        <v>440</v>
      </c>
      <c r="I866" s="160" t="s">
        <v>502</v>
      </c>
      <c r="J866" s="160" t="s">
        <v>1365</v>
      </c>
      <c r="K866" s="177" t="s">
        <v>46</v>
      </c>
      <c r="L866" s="93" t="s">
        <v>3088</v>
      </c>
      <c r="M866" s="94" t="s">
        <v>3422</v>
      </c>
      <c r="N866" s="95" t="s">
        <v>2874</v>
      </c>
      <c r="O866" s="180">
        <v>22</v>
      </c>
      <c r="P866" s="97">
        <f>364/28*O866</f>
        <v>286</v>
      </c>
      <c r="Q866" s="119" t="s">
        <v>16</v>
      </c>
      <c r="R866" s="160">
        <v>3.8</v>
      </c>
      <c r="S866" s="175"/>
      <c r="T866" s="131"/>
      <c r="U866" s="157">
        <f t="shared" si="215"/>
        <v>1102.3555555555556</v>
      </c>
      <c r="V866" s="100">
        <f t="shared" si="212"/>
        <v>2.5053535353535357</v>
      </c>
      <c r="W866" s="101">
        <f t="shared" si="213"/>
        <v>0.35790764790764795</v>
      </c>
      <c r="X866" s="175"/>
      <c r="Y866" s="175"/>
      <c r="Z866" s="102"/>
      <c r="AA866" s="103">
        <v>45885</v>
      </c>
      <c r="AB866" s="118">
        <v>45908</v>
      </c>
      <c r="AC866" s="103"/>
      <c r="AD866" s="102">
        <f>IF(ISNA(VLOOKUP(D866,亚马逊入库配置费!B:F,5,0)),0,VLOOKUP(D866,亚马逊入库配置费!B:F,5,0))</f>
        <v>0.38529411764705901</v>
      </c>
      <c r="AE866" s="102">
        <f t="shared" si="206"/>
        <v>169.52941176470597</v>
      </c>
      <c r="AF866" s="103">
        <v>45919</v>
      </c>
      <c r="AG866" s="91">
        <f t="shared" si="207"/>
        <v>34</v>
      </c>
      <c r="AH866" s="103">
        <v>45919</v>
      </c>
      <c r="AI866" s="103">
        <v>45953</v>
      </c>
      <c r="AJ866" s="96">
        <v>399</v>
      </c>
      <c r="AK866" s="91">
        <f t="shared" si="208"/>
        <v>34</v>
      </c>
      <c r="AL866" s="96">
        <f t="shared" si="211"/>
        <v>68</v>
      </c>
      <c r="AM866" s="92"/>
      <c r="AN866" s="91"/>
      <c r="AO866" s="91"/>
    </row>
    <row r="867" spans="1:41" ht="14.5" x14ac:dyDescent="0.25">
      <c r="A867" s="92" t="s">
        <v>1548</v>
      </c>
      <c r="B867" s="91"/>
      <c r="C867" s="180" t="s">
        <v>1524</v>
      </c>
      <c r="D867" s="177" t="s">
        <v>1549</v>
      </c>
      <c r="E867" s="178" t="s">
        <v>115</v>
      </c>
      <c r="F867" s="178" t="s">
        <v>1369</v>
      </c>
      <c r="G867" s="179" t="s">
        <v>209</v>
      </c>
      <c r="H867" s="160">
        <v>176</v>
      </c>
      <c r="I867" s="160" t="s">
        <v>502</v>
      </c>
      <c r="J867" s="160" t="s">
        <v>1365</v>
      </c>
      <c r="K867" s="177" t="s">
        <v>13</v>
      </c>
      <c r="L867" s="93" t="s">
        <v>3033</v>
      </c>
      <c r="M867" s="94" t="s">
        <v>3311</v>
      </c>
      <c r="N867" s="95" t="s">
        <v>2869</v>
      </c>
      <c r="O867" s="180">
        <v>11</v>
      </c>
      <c r="P867" s="97">
        <f>2375/181*O867</f>
        <v>144.33701657458565</v>
      </c>
      <c r="Q867" s="119" t="s">
        <v>16</v>
      </c>
      <c r="R867" s="160">
        <v>3.8</v>
      </c>
      <c r="S867" s="175"/>
      <c r="T867" s="131"/>
      <c r="U867" s="157">
        <f t="shared" si="215"/>
        <v>556.25844076120325</v>
      </c>
      <c r="V867" s="100">
        <f t="shared" si="212"/>
        <v>3.1605593225068365</v>
      </c>
      <c r="W867" s="101">
        <f t="shared" si="213"/>
        <v>0.45150847464383376</v>
      </c>
      <c r="X867" s="175"/>
      <c r="Y867" s="175"/>
      <c r="Z867" s="102"/>
      <c r="AA867" s="103">
        <v>45885</v>
      </c>
      <c r="AB867" s="118">
        <v>45908</v>
      </c>
      <c r="AC867" s="103"/>
      <c r="AD867" s="102">
        <f>IF(ISNA(VLOOKUP(D867,亚马逊入库配置费!B:F,5,0)),0,VLOOKUP(D867,亚马逊入库配置费!B:F,5,0))</f>
        <v>0.41003948667324802</v>
      </c>
      <c r="AE867" s="102">
        <f t="shared" si="206"/>
        <v>72.166949654491646</v>
      </c>
      <c r="AF867" s="103">
        <v>45920</v>
      </c>
      <c r="AG867" s="91">
        <f t="shared" si="207"/>
        <v>35</v>
      </c>
      <c r="AH867" s="103">
        <v>45920</v>
      </c>
      <c r="AI867" s="103">
        <v>45955</v>
      </c>
      <c r="AJ867" s="96">
        <v>176</v>
      </c>
      <c r="AK867" s="91">
        <f t="shared" si="208"/>
        <v>35</v>
      </c>
      <c r="AL867" s="96">
        <f t="shared" si="211"/>
        <v>70</v>
      </c>
      <c r="AM867" s="92"/>
      <c r="AN867" s="91"/>
      <c r="AO867" s="91"/>
    </row>
    <row r="868" spans="1:41" ht="14.5" x14ac:dyDescent="0.25">
      <c r="A868" s="92" t="s">
        <v>1550</v>
      </c>
      <c r="B868" s="91"/>
      <c r="C868" s="180" t="s">
        <v>1524</v>
      </c>
      <c r="D868" s="177" t="s">
        <v>1549</v>
      </c>
      <c r="E868" s="178" t="s">
        <v>115</v>
      </c>
      <c r="F868" s="178" t="s">
        <v>1369</v>
      </c>
      <c r="G868" s="179" t="s">
        <v>211</v>
      </c>
      <c r="H868" s="160">
        <v>900</v>
      </c>
      <c r="I868" s="160" t="s">
        <v>502</v>
      </c>
      <c r="J868" s="160" t="s">
        <v>1365</v>
      </c>
      <c r="K868" s="177" t="s">
        <v>13</v>
      </c>
      <c r="L868" s="93" t="s">
        <v>3034</v>
      </c>
      <c r="M868" s="94" t="s">
        <v>3312</v>
      </c>
      <c r="N868" s="95" t="s">
        <v>2869</v>
      </c>
      <c r="O868" s="180">
        <v>30</v>
      </c>
      <c r="P868" s="97">
        <f>2375/181*O868</f>
        <v>393.64640883977899</v>
      </c>
      <c r="Q868" s="119" t="s">
        <v>16</v>
      </c>
      <c r="R868" s="160">
        <v>3.8</v>
      </c>
      <c r="S868" s="175"/>
      <c r="T868" s="131"/>
      <c r="U868" s="157">
        <f t="shared" si="215"/>
        <v>1517.0684748032813</v>
      </c>
      <c r="V868" s="100">
        <f t="shared" si="212"/>
        <v>1.6856316386703125</v>
      </c>
      <c r="W868" s="101">
        <f t="shared" si="213"/>
        <v>0.24080451981004464</v>
      </c>
      <c r="X868" s="175"/>
      <c r="Y868" s="175"/>
      <c r="Z868" s="102"/>
      <c r="AA868" s="103">
        <v>45885</v>
      </c>
      <c r="AB868" s="118">
        <v>45908</v>
      </c>
      <c r="AC868" s="103"/>
      <c r="AD868" s="102">
        <f>IF(ISNA(VLOOKUP(D868,亚马逊入库配置费!B:F,5,0)),0,VLOOKUP(D868,亚马逊入库配置费!B:F,5,0))</f>
        <v>0.41003948667324802</v>
      </c>
      <c r="AE868" s="102">
        <f t="shared" si="206"/>
        <v>369.03553800592323</v>
      </c>
      <c r="AF868" s="103">
        <v>45920</v>
      </c>
      <c r="AG868" s="91">
        <f t="shared" si="207"/>
        <v>35</v>
      </c>
      <c r="AH868" s="103">
        <v>45920</v>
      </c>
      <c r="AI868" s="103">
        <v>45955</v>
      </c>
      <c r="AJ868" s="96">
        <v>896</v>
      </c>
      <c r="AK868" s="91">
        <f t="shared" si="208"/>
        <v>35</v>
      </c>
      <c r="AL868" s="96">
        <f t="shared" si="211"/>
        <v>70</v>
      </c>
      <c r="AM868" s="92"/>
      <c r="AN868" s="91"/>
      <c r="AO868" s="91"/>
    </row>
    <row r="869" spans="1:41" ht="14.5" x14ac:dyDescent="0.25">
      <c r="A869" s="92" t="s">
        <v>1551</v>
      </c>
      <c r="B869" s="91"/>
      <c r="C869" s="180" t="s">
        <v>1524</v>
      </c>
      <c r="D869" s="177" t="s">
        <v>1549</v>
      </c>
      <c r="E869" s="178" t="s">
        <v>115</v>
      </c>
      <c r="F869" s="178" t="s">
        <v>1369</v>
      </c>
      <c r="G869" s="179" t="s">
        <v>606</v>
      </c>
      <c r="H869" s="160">
        <v>300</v>
      </c>
      <c r="I869" s="160" t="s">
        <v>502</v>
      </c>
      <c r="J869" s="160" t="s">
        <v>1365</v>
      </c>
      <c r="K869" s="177" t="s">
        <v>13</v>
      </c>
      <c r="L869" s="93" t="s">
        <v>3075</v>
      </c>
      <c r="M869" s="94" t="s">
        <v>3376</v>
      </c>
      <c r="N869" s="95" t="s">
        <v>2869</v>
      </c>
      <c r="O869" s="180">
        <v>10</v>
      </c>
      <c r="P869" s="97">
        <f>2375/181*O869</f>
        <v>131.21546961325967</v>
      </c>
      <c r="Q869" s="119" t="s">
        <v>16</v>
      </c>
      <c r="R869" s="160">
        <v>3.8</v>
      </c>
      <c r="S869" s="175"/>
      <c r="T869" s="131"/>
      <c r="U869" s="157">
        <f t="shared" si="215"/>
        <v>505.68949160109378</v>
      </c>
      <c r="V869" s="100">
        <f t="shared" si="212"/>
        <v>1.6856316386703125</v>
      </c>
      <c r="W869" s="101">
        <f t="shared" si="213"/>
        <v>0.24080451981004464</v>
      </c>
      <c r="X869" s="175"/>
      <c r="Y869" s="175"/>
      <c r="Z869" s="102"/>
      <c r="AA869" s="103">
        <v>45885</v>
      </c>
      <c r="AB869" s="118">
        <v>45908</v>
      </c>
      <c r="AC869" s="103"/>
      <c r="AD869" s="102">
        <f>IF(ISNA(VLOOKUP(D869,亚马逊入库配置费!B:F,5,0)),0,VLOOKUP(D869,亚马逊入库配置费!B:F,5,0))</f>
        <v>0.41003948667324802</v>
      </c>
      <c r="AE869" s="102">
        <f t="shared" si="206"/>
        <v>123.0118460019744</v>
      </c>
      <c r="AF869" s="103">
        <v>45920</v>
      </c>
      <c r="AG869" s="91">
        <f t="shared" si="207"/>
        <v>35</v>
      </c>
      <c r="AH869" s="103">
        <v>45920</v>
      </c>
      <c r="AI869" s="103">
        <v>45955</v>
      </c>
      <c r="AJ869" s="96">
        <v>299</v>
      </c>
      <c r="AK869" s="91">
        <f t="shared" si="208"/>
        <v>35</v>
      </c>
      <c r="AL869" s="96">
        <f t="shared" si="211"/>
        <v>70</v>
      </c>
      <c r="AM869" s="92"/>
      <c r="AN869" s="91"/>
      <c r="AO869" s="91"/>
    </row>
    <row r="870" spans="1:41" ht="14.5" x14ac:dyDescent="0.25">
      <c r="A870" s="92" t="s">
        <v>1552</v>
      </c>
      <c r="B870" s="91"/>
      <c r="C870" s="180" t="s">
        <v>1524</v>
      </c>
      <c r="D870" s="177" t="s">
        <v>1549</v>
      </c>
      <c r="E870" s="178" t="s">
        <v>115</v>
      </c>
      <c r="F870" s="178" t="s">
        <v>1369</v>
      </c>
      <c r="G870" s="179" t="s">
        <v>213</v>
      </c>
      <c r="H870" s="160">
        <v>450</v>
      </c>
      <c r="I870" s="160" t="s">
        <v>502</v>
      </c>
      <c r="J870" s="160" t="s">
        <v>1365</v>
      </c>
      <c r="K870" s="177" t="s">
        <v>13</v>
      </c>
      <c r="L870" s="93" t="s">
        <v>3035</v>
      </c>
      <c r="M870" s="94" t="s">
        <v>3313</v>
      </c>
      <c r="N870" s="95" t="s">
        <v>2869</v>
      </c>
      <c r="O870" s="180">
        <v>15</v>
      </c>
      <c r="P870" s="97">
        <f>2375/181*O870</f>
        <v>196.82320441988949</v>
      </c>
      <c r="Q870" s="119" t="s">
        <v>16</v>
      </c>
      <c r="R870" s="160">
        <v>3.8</v>
      </c>
      <c r="S870" s="175"/>
      <c r="T870" s="131"/>
      <c r="U870" s="157">
        <f t="shared" si="215"/>
        <v>758.53423740164067</v>
      </c>
      <c r="V870" s="100">
        <f t="shared" si="212"/>
        <v>1.6856316386703125</v>
      </c>
      <c r="W870" s="101">
        <f t="shared" si="213"/>
        <v>0.24080451981004464</v>
      </c>
      <c r="X870" s="175"/>
      <c r="Y870" s="175"/>
      <c r="Z870" s="102"/>
      <c r="AA870" s="103">
        <v>45885</v>
      </c>
      <c r="AB870" s="118">
        <v>45908</v>
      </c>
      <c r="AC870" s="103"/>
      <c r="AD870" s="102">
        <f>IF(ISNA(VLOOKUP(D870,亚马逊入库配置费!B:F,5,0)),0,VLOOKUP(D870,亚马逊入库配置费!B:F,5,0))</f>
        <v>0.41003948667324802</v>
      </c>
      <c r="AE870" s="102">
        <f t="shared" si="206"/>
        <v>184.51776900296161</v>
      </c>
      <c r="AF870" s="103">
        <v>45920</v>
      </c>
      <c r="AG870" s="91">
        <f t="shared" si="207"/>
        <v>35</v>
      </c>
      <c r="AH870" s="103">
        <v>45920</v>
      </c>
      <c r="AI870" s="103">
        <v>45955</v>
      </c>
      <c r="AJ870" s="96">
        <v>450</v>
      </c>
      <c r="AK870" s="91">
        <f t="shared" si="208"/>
        <v>35</v>
      </c>
      <c r="AL870" s="96">
        <f t="shared" si="211"/>
        <v>70</v>
      </c>
      <c r="AM870" s="92"/>
      <c r="AN870" s="91"/>
      <c r="AO870" s="91"/>
    </row>
    <row r="871" spans="1:41" ht="14.5" x14ac:dyDescent="0.25">
      <c r="A871" s="92" t="s">
        <v>1553</v>
      </c>
      <c r="B871" s="91"/>
      <c r="C871" s="180" t="s">
        <v>1524</v>
      </c>
      <c r="D871" s="177" t="s">
        <v>1549</v>
      </c>
      <c r="E871" s="178" t="s">
        <v>115</v>
      </c>
      <c r="F871" s="178" t="s">
        <v>1369</v>
      </c>
      <c r="G871" s="179" t="s">
        <v>355</v>
      </c>
      <c r="H871" s="160">
        <v>200</v>
      </c>
      <c r="I871" s="160" t="s">
        <v>502</v>
      </c>
      <c r="J871" s="160" t="s">
        <v>1365</v>
      </c>
      <c r="K871" s="177" t="s">
        <v>13</v>
      </c>
      <c r="L871" s="93" t="s">
        <v>2712</v>
      </c>
      <c r="M871" s="94" t="s">
        <v>3216</v>
      </c>
      <c r="N871" s="95" t="s">
        <v>3050</v>
      </c>
      <c r="O871" s="180">
        <v>1</v>
      </c>
      <c r="P871" s="97">
        <f>2375/181*O871</f>
        <v>13.121546961325967</v>
      </c>
      <c r="Q871" s="119" t="s">
        <v>16</v>
      </c>
      <c r="R871" s="160">
        <v>3.8</v>
      </c>
      <c r="S871" s="175"/>
      <c r="T871" s="131"/>
      <c r="U871" s="157">
        <f t="shared" si="215"/>
        <v>50.568949160109376</v>
      </c>
      <c r="V871" s="100">
        <f t="shared" si="212"/>
        <v>0.25284474580054689</v>
      </c>
      <c r="W871" s="101">
        <f t="shared" si="213"/>
        <v>3.6120677971506698E-2</v>
      </c>
      <c r="X871" s="175"/>
      <c r="Y871" s="175"/>
      <c r="Z871" s="102"/>
      <c r="AA871" s="103">
        <v>45885</v>
      </c>
      <c r="AB871" s="118">
        <v>45908</v>
      </c>
      <c r="AC871" s="103"/>
      <c r="AD871" s="102">
        <f>IF(ISNA(VLOOKUP(D871,亚马逊入库配置费!B:F,5,0)),0,VLOOKUP(D871,亚马逊入库配置费!B:F,5,0))</f>
        <v>0.41003948667324802</v>
      </c>
      <c r="AE871" s="102">
        <f t="shared" si="206"/>
        <v>82.007897334649599</v>
      </c>
      <c r="AF871" s="103">
        <v>45920</v>
      </c>
      <c r="AG871" s="91">
        <f t="shared" si="207"/>
        <v>35</v>
      </c>
      <c r="AH871" s="103">
        <v>45920</v>
      </c>
      <c r="AI871" s="103">
        <v>45955</v>
      </c>
      <c r="AJ871" s="96">
        <v>200</v>
      </c>
      <c r="AK871" s="91">
        <f t="shared" si="208"/>
        <v>35</v>
      </c>
      <c r="AL871" s="96">
        <f t="shared" si="211"/>
        <v>70</v>
      </c>
      <c r="AM871" s="92"/>
      <c r="AN871" s="91"/>
      <c r="AO871" s="91"/>
    </row>
    <row r="872" spans="1:41" ht="14.5" x14ac:dyDescent="0.25">
      <c r="A872" s="92" t="s">
        <v>1554</v>
      </c>
      <c r="B872" s="91"/>
      <c r="C872" s="180" t="s">
        <v>1524</v>
      </c>
      <c r="D872" s="177" t="s">
        <v>1555</v>
      </c>
      <c r="E872" s="178" t="s">
        <v>97</v>
      </c>
      <c r="F872" s="178" t="s">
        <v>1369</v>
      </c>
      <c r="G872" s="179" t="s">
        <v>88</v>
      </c>
      <c r="H872" s="160">
        <v>1224</v>
      </c>
      <c r="I872" s="160" t="s">
        <v>502</v>
      </c>
      <c r="J872" s="160" t="s">
        <v>1365</v>
      </c>
      <c r="K872" s="177" t="s">
        <v>15</v>
      </c>
      <c r="L872" s="93" t="s">
        <v>3014</v>
      </c>
      <c r="M872" s="94" t="s">
        <v>3286</v>
      </c>
      <c r="N872" s="95" t="s">
        <v>2821</v>
      </c>
      <c r="O872" s="180">
        <v>102</v>
      </c>
      <c r="P872" s="97">
        <f>1475/103*O872</f>
        <v>1460.6796116504854</v>
      </c>
      <c r="Q872" s="119" t="s">
        <v>16</v>
      </c>
      <c r="R872" s="160">
        <v>4</v>
      </c>
      <c r="S872" s="175"/>
      <c r="T872" s="131"/>
      <c r="U872" s="157">
        <f t="shared" si="215"/>
        <v>5914.8396587231537</v>
      </c>
      <c r="V872" s="100">
        <f t="shared" si="212"/>
        <v>4.8323853420940797</v>
      </c>
      <c r="W872" s="101">
        <f t="shared" si="213"/>
        <v>0.69034076315629711</v>
      </c>
      <c r="X872" s="175"/>
      <c r="Y872" s="175"/>
      <c r="Z872" s="102"/>
      <c r="AA872" s="103">
        <v>45885</v>
      </c>
      <c r="AB872" s="118">
        <v>45908</v>
      </c>
      <c r="AC872" s="103"/>
      <c r="AD872" s="102">
        <f>IF(ISNA(VLOOKUP(D872,亚马逊入库配置费!B:F,5,0)),0,VLOOKUP(D872,亚马逊入库配置费!B:F,5,0))</f>
        <v>0.47972602739726</v>
      </c>
      <c r="AE872" s="102">
        <f t="shared" si="206"/>
        <v>587.1846575342463</v>
      </c>
      <c r="AF872" s="103">
        <v>45928</v>
      </c>
      <c r="AG872" s="91">
        <f t="shared" si="207"/>
        <v>43</v>
      </c>
      <c r="AH872" s="103">
        <v>45928</v>
      </c>
      <c r="AI872" s="103">
        <v>45992</v>
      </c>
      <c r="AJ872" s="96">
        <v>90</v>
      </c>
      <c r="AK872" s="91">
        <f t="shared" si="208"/>
        <v>64</v>
      </c>
      <c r="AL872" s="96">
        <f t="shared" si="211"/>
        <v>107</v>
      </c>
      <c r="AM872" s="92"/>
      <c r="AN872" s="91"/>
      <c r="AO872" s="91"/>
    </row>
    <row r="873" spans="1:41" ht="14.5" x14ac:dyDescent="0.25">
      <c r="A873" s="92" t="s">
        <v>1556</v>
      </c>
      <c r="B873" s="91"/>
      <c r="C873" s="180" t="s">
        <v>1524</v>
      </c>
      <c r="D873" s="177" t="s">
        <v>1555</v>
      </c>
      <c r="E873" s="178" t="s">
        <v>97</v>
      </c>
      <c r="F873" s="178" t="s">
        <v>1369</v>
      </c>
      <c r="G873" s="179" t="s">
        <v>100</v>
      </c>
      <c r="H873" s="160">
        <v>90</v>
      </c>
      <c r="I873" s="160" t="s">
        <v>502</v>
      </c>
      <c r="J873" s="160" t="s">
        <v>1365</v>
      </c>
      <c r="K873" s="177" t="s">
        <v>15</v>
      </c>
      <c r="L873" s="93" t="s">
        <v>2819</v>
      </c>
      <c r="M873" s="94" t="s">
        <v>3290</v>
      </c>
      <c r="N873" s="95" t="s">
        <v>3016</v>
      </c>
      <c r="O873" s="180">
        <v>1</v>
      </c>
      <c r="P873" s="97">
        <f>1475/103*O873</f>
        <v>14.320388349514563</v>
      </c>
      <c r="Q873" s="119" t="s">
        <v>16</v>
      </c>
      <c r="R873" s="160">
        <v>4</v>
      </c>
      <c r="S873" s="175"/>
      <c r="T873" s="131"/>
      <c r="U873" s="157">
        <f t="shared" si="215"/>
        <v>57.988624105128956</v>
      </c>
      <c r="V873" s="100">
        <f t="shared" si="212"/>
        <v>0.64431804561254391</v>
      </c>
      <c r="W873" s="101">
        <f t="shared" si="213"/>
        <v>9.2045435087506275E-2</v>
      </c>
      <c r="X873" s="175"/>
      <c r="Y873" s="175"/>
      <c r="Z873" s="102"/>
      <c r="AA873" s="103">
        <v>45885</v>
      </c>
      <c r="AB873" s="118">
        <v>45908</v>
      </c>
      <c r="AC873" s="103"/>
      <c r="AD873" s="102">
        <f>IF(ISNA(VLOOKUP(D873,亚马逊入库配置费!B:F,5,0)),0,VLOOKUP(D873,亚马逊入库配置费!B:F,5,0))</f>
        <v>0.47972602739726</v>
      </c>
      <c r="AE873" s="102">
        <f t="shared" si="206"/>
        <v>43.175342465753403</v>
      </c>
      <c r="AF873" s="103">
        <v>45928</v>
      </c>
      <c r="AG873" s="91">
        <f t="shared" si="207"/>
        <v>43</v>
      </c>
      <c r="AH873" s="103">
        <v>45928</v>
      </c>
      <c r="AI873" s="103">
        <v>45992</v>
      </c>
      <c r="AJ873" s="96">
        <v>1274</v>
      </c>
      <c r="AK873" s="91">
        <f t="shared" si="208"/>
        <v>64</v>
      </c>
      <c r="AL873" s="96">
        <f t="shared" si="211"/>
        <v>107</v>
      </c>
      <c r="AM873" s="92"/>
      <c r="AN873" s="91"/>
      <c r="AO873" s="91"/>
    </row>
    <row r="874" spans="1:41" ht="14.5" x14ac:dyDescent="0.25">
      <c r="A874" s="92" t="s">
        <v>1557</v>
      </c>
      <c r="B874" s="91"/>
      <c r="C874" s="180" t="s">
        <v>1558</v>
      </c>
      <c r="D874" s="177" t="s">
        <v>1559</v>
      </c>
      <c r="E874" s="178" t="s">
        <v>97</v>
      </c>
      <c r="F874" s="178" t="s">
        <v>1369</v>
      </c>
      <c r="G874" s="179" t="s">
        <v>88</v>
      </c>
      <c r="H874" s="160">
        <v>600</v>
      </c>
      <c r="I874" s="160" t="s">
        <v>1234</v>
      </c>
      <c r="J874" s="160" t="s">
        <v>1387</v>
      </c>
      <c r="K874" s="177" t="s">
        <v>9</v>
      </c>
      <c r="L874" s="93" t="s">
        <v>3014</v>
      </c>
      <c r="M874" s="94" t="s">
        <v>3286</v>
      </c>
      <c r="N874" s="95" t="s">
        <v>2821</v>
      </c>
      <c r="O874" s="171">
        <v>50</v>
      </c>
      <c r="P874" s="97">
        <f>3.77/50*O874</f>
        <v>3.7699999999999996</v>
      </c>
      <c r="Q874" s="170" t="s">
        <v>3264</v>
      </c>
      <c r="R874" s="174">
        <v>2140</v>
      </c>
      <c r="S874" s="175"/>
      <c r="T874" s="131"/>
      <c r="U874" s="157">
        <f>R874*P874+220/50*O874</f>
        <v>8287.7999999999993</v>
      </c>
      <c r="V874" s="100">
        <f t="shared" si="212"/>
        <v>13.812999999999999</v>
      </c>
      <c r="W874" s="101">
        <f t="shared" si="213"/>
        <v>1.9732857142857141</v>
      </c>
      <c r="X874" s="175"/>
      <c r="Y874" s="175"/>
      <c r="Z874" s="102"/>
      <c r="AA874" s="103">
        <v>45885</v>
      </c>
      <c r="AB874" s="118">
        <v>45900</v>
      </c>
      <c r="AC874" s="103"/>
      <c r="AD874" s="102">
        <f>IF(ISNA(VLOOKUP(D874,亚马逊入库配置费!B:F,5,0)),0,VLOOKUP(D874,亚马逊入库配置费!B:F,5,0))</f>
        <v>0.49</v>
      </c>
      <c r="AE874" s="102">
        <f t="shared" si="206"/>
        <v>294</v>
      </c>
      <c r="AF874" s="103">
        <v>45906</v>
      </c>
      <c r="AG874" s="91">
        <f t="shared" si="207"/>
        <v>21</v>
      </c>
      <c r="AH874" s="103">
        <v>45906</v>
      </c>
      <c r="AI874" s="103">
        <v>45943</v>
      </c>
      <c r="AJ874" s="96">
        <v>598</v>
      </c>
      <c r="AK874" s="91">
        <f t="shared" si="208"/>
        <v>37</v>
      </c>
      <c r="AL874" s="96">
        <f t="shared" si="211"/>
        <v>58</v>
      </c>
      <c r="AM874" s="92"/>
      <c r="AN874" s="91"/>
      <c r="AO874" s="91"/>
    </row>
    <row r="875" spans="1:41" ht="14.5" x14ac:dyDescent="0.25">
      <c r="A875" s="92" t="s">
        <v>1560</v>
      </c>
      <c r="B875" s="91"/>
      <c r="C875" s="180" t="s">
        <v>1524</v>
      </c>
      <c r="D875" s="177" t="s">
        <v>1561</v>
      </c>
      <c r="E875" s="178" t="s">
        <v>97</v>
      </c>
      <c r="F875" s="178" t="s">
        <v>1369</v>
      </c>
      <c r="G875" s="179" t="s">
        <v>88</v>
      </c>
      <c r="H875" s="160">
        <v>636</v>
      </c>
      <c r="I875" s="160" t="s">
        <v>502</v>
      </c>
      <c r="J875" s="160" t="s">
        <v>1365</v>
      </c>
      <c r="K875" s="177" t="s">
        <v>9</v>
      </c>
      <c r="L875" s="93" t="s">
        <v>3014</v>
      </c>
      <c r="M875" s="94" t="s">
        <v>3286</v>
      </c>
      <c r="N875" s="95" t="s">
        <v>2821</v>
      </c>
      <c r="O875" s="180">
        <v>53</v>
      </c>
      <c r="P875" s="97">
        <f>760/53*O875</f>
        <v>760</v>
      </c>
      <c r="Q875" s="119" t="s">
        <v>16</v>
      </c>
      <c r="R875" s="160">
        <v>3.8</v>
      </c>
      <c r="S875" s="175"/>
      <c r="T875" s="131"/>
      <c r="U875" s="157">
        <f>R875*P875+350/495*O875</f>
        <v>2925.4747474747473</v>
      </c>
      <c r="V875" s="100">
        <f t="shared" si="212"/>
        <v>4.5998030620672132</v>
      </c>
      <c r="W875" s="101">
        <f t="shared" si="213"/>
        <v>0.657114723152459</v>
      </c>
      <c r="X875" s="175"/>
      <c r="Y875" s="175"/>
      <c r="Z875" s="102"/>
      <c r="AA875" s="103">
        <v>45885</v>
      </c>
      <c r="AB875" s="118">
        <v>45908</v>
      </c>
      <c r="AC875" s="103"/>
      <c r="AD875" s="102">
        <f>IF(ISNA(VLOOKUP(D875,亚马逊入库配置费!B:F,5,0)),0,VLOOKUP(D875,亚马逊入库配置费!B:F,5,0))</f>
        <v>0.49</v>
      </c>
      <c r="AE875" s="102">
        <f t="shared" si="206"/>
        <v>311.64</v>
      </c>
      <c r="AF875" s="103">
        <v>45921</v>
      </c>
      <c r="AG875" s="91">
        <f t="shared" si="207"/>
        <v>36</v>
      </c>
      <c r="AH875" s="103">
        <v>45921</v>
      </c>
      <c r="AI875" s="103">
        <v>45955</v>
      </c>
      <c r="AJ875" s="96">
        <v>630</v>
      </c>
      <c r="AK875" s="91">
        <f t="shared" si="208"/>
        <v>34</v>
      </c>
      <c r="AL875" s="96">
        <f t="shared" si="211"/>
        <v>70</v>
      </c>
      <c r="AM875" s="92"/>
      <c r="AN875" s="91"/>
      <c r="AO875" s="91"/>
    </row>
    <row r="876" spans="1:41" ht="14.5" x14ac:dyDescent="0.25">
      <c r="A876" s="110" t="s">
        <v>1562</v>
      </c>
      <c r="B876" s="90"/>
      <c r="C876" s="160" t="s">
        <v>1563</v>
      </c>
      <c r="D876" s="181" t="s">
        <v>1564</v>
      </c>
      <c r="E876" s="178" t="s">
        <v>97</v>
      </c>
      <c r="F876" s="178" t="s">
        <v>1369</v>
      </c>
      <c r="G876" s="179" t="s">
        <v>1052</v>
      </c>
      <c r="H876" s="160">
        <v>234</v>
      </c>
      <c r="I876" s="160" t="s">
        <v>1234</v>
      </c>
      <c r="J876" s="160" t="s">
        <v>1365</v>
      </c>
      <c r="K876" s="181" t="s">
        <v>9</v>
      </c>
      <c r="L876" s="93" t="s">
        <v>3089</v>
      </c>
      <c r="M876" s="94" t="s">
        <v>3423</v>
      </c>
      <c r="N876" s="95" t="s">
        <v>3042</v>
      </c>
      <c r="O876" s="174">
        <v>3</v>
      </c>
      <c r="P876" s="97">
        <f t="shared" ref="P876:P881" si="217">1.03/18*O876</f>
        <v>0.17166666666666666</v>
      </c>
      <c r="Q876" s="174" t="s">
        <v>3430</v>
      </c>
      <c r="R876" s="174">
        <v>1260</v>
      </c>
      <c r="S876" s="175"/>
      <c r="T876" s="131"/>
      <c r="U876" s="157">
        <f>P876*R876</f>
        <v>216.29999999999998</v>
      </c>
      <c r="V876" s="100">
        <f t="shared" si="212"/>
        <v>0.92435897435897429</v>
      </c>
      <c r="W876" s="101">
        <f t="shared" si="213"/>
        <v>0.13205128205128205</v>
      </c>
      <c r="X876" s="175"/>
      <c r="Y876" s="175"/>
      <c r="Z876" s="104"/>
      <c r="AA876" s="118">
        <v>45885</v>
      </c>
      <c r="AB876" s="118">
        <v>45900</v>
      </c>
      <c r="AC876" s="118"/>
      <c r="AD876" s="104">
        <f>IF(ISNA(VLOOKUP(D876,亚马逊入库配置费!B:F,5,0)),0,VLOOKUP(D876,亚马逊入库配置费!B:F,5,0))</f>
        <v>0.34</v>
      </c>
      <c r="AE876" s="104">
        <f t="shared" si="206"/>
        <v>79.56</v>
      </c>
      <c r="AF876" s="118">
        <v>45916</v>
      </c>
      <c r="AG876" s="90">
        <f t="shared" si="207"/>
        <v>31</v>
      </c>
      <c r="AH876" s="118">
        <v>45916</v>
      </c>
      <c r="AI876" s="118">
        <v>45945</v>
      </c>
      <c r="AJ876" s="158">
        <v>233</v>
      </c>
      <c r="AK876" s="91">
        <f t="shared" si="208"/>
        <v>29</v>
      </c>
      <c r="AL876" s="96">
        <f t="shared" si="211"/>
        <v>60</v>
      </c>
      <c r="AM876" s="110"/>
      <c r="AN876" s="90"/>
      <c r="AO876" s="90"/>
    </row>
    <row r="877" spans="1:41" ht="14.5" x14ac:dyDescent="0.25">
      <c r="A877" s="110" t="s">
        <v>1565</v>
      </c>
      <c r="B877" s="90"/>
      <c r="C877" s="160" t="s">
        <v>1563</v>
      </c>
      <c r="D877" s="181" t="s">
        <v>1564</v>
      </c>
      <c r="E877" s="178" t="s">
        <v>97</v>
      </c>
      <c r="F877" s="178" t="s">
        <v>1369</v>
      </c>
      <c r="G877" s="179" t="s">
        <v>316</v>
      </c>
      <c r="H877" s="160">
        <v>450</v>
      </c>
      <c r="I877" s="160" t="s">
        <v>1234</v>
      </c>
      <c r="J877" s="160" t="s">
        <v>1365</v>
      </c>
      <c r="K877" s="181" t="s">
        <v>9</v>
      </c>
      <c r="L877" s="93" t="s">
        <v>3046</v>
      </c>
      <c r="M877" s="94" t="s">
        <v>3333</v>
      </c>
      <c r="N877" s="95" t="s">
        <v>3042</v>
      </c>
      <c r="O877" s="174">
        <v>5</v>
      </c>
      <c r="P877" s="97">
        <f t="shared" si="217"/>
        <v>0.28611111111111109</v>
      </c>
      <c r="Q877" s="174" t="s">
        <v>3430</v>
      </c>
      <c r="R877" s="174">
        <v>1260</v>
      </c>
      <c r="S877" s="175"/>
      <c r="T877" s="131"/>
      <c r="U877" s="157">
        <f t="shared" ref="U877:U881" si="218">P877*R877</f>
        <v>360.5</v>
      </c>
      <c r="V877" s="100">
        <f t="shared" si="212"/>
        <v>0.80111111111111111</v>
      </c>
      <c r="W877" s="101">
        <f t="shared" si="213"/>
        <v>0.11444444444444445</v>
      </c>
      <c r="X877" s="175"/>
      <c r="Y877" s="175"/>
      <c r="Z877" s="104"/>
      <c r="AA877" s="118">
        <v>45885</v>
      </c>
      <c r="AB877" s="118">
        <v>45900</v>
      </c>
      <c r="AC877" s="118"/>
      <c r="AD877" s="104">
        <f>IF(ISNA(VLOOKUP(D877,亚马逊入库配置费!B:F,5,0)),0,VLOOKUP(D877,亚马逊入库配置费!B:F,5,0))</f>
        <v>0.34</v>
      </c>
      <c r="AE877" s="104">
        <f t="shared" si="206"/>
        <v>153</v>
      </c>
      <c r="AF877" s="118">
        <v>45916</v>
      </c>
      <c r="AG877" s="90">
        <f t="shared" si="207"/>
        <v>31</v>
      </c>
      <c r="AH877" s="118">
        <v>45916</v>
      </c>
      <c r="AI877" s="118">
        <v>45945</v>
      </c>
      <c r="AJ877" s="158">
        <v>460</v>
      </c>
      <c r="AK877" s="91">
        <f t="shared" si="208"/>
        <v>29</v>
      </c>
      <c r="AL877" s="96">
        <f t="shared" si="211"/>
        <v>60</v>
      </c>
      <c r="AM877" s="110"/>
      <c r="AN877" s="90"/>
      <c r="AO877" s="90"/>
    </row>
    <row r="878" spans="1:41" ht="14.5" x14ac:dyDescent="0.25">
      <c r="A878" s="110" t="s">
        <v>1566</v>
      </c>
      <c r="B878" s="90"/>
      <c r="C878" s="160" t="s">
        <v>1563</v>
      </c>
      <c r="D878" s="181" t="s">
        <v>1567</v>
      </c>
      <c r="E878" s="178" t="s">
        <v>97</v>
      </c>
      <c r="F878" s="178" t="s">
        <v>1369</v>
      </c>
      <c r="G878" s="179" t="s">
        <v>1052</v>
      </c>
      <c r="H878" s="160">
        <v>234</v>
      </c>
      <c r="I878" s="160" t="s">
        <v>1234</v>
      </c>
      <c r="J878" s="160" t="s">
        <v>1365</v>
      </c>
      <c r="K878" s="181" t="s">
        <v>9</v>
      </c>
      <c r="L878" s="93" t="s">
        <v>3089</v>
      </c>
      <c r="M878" s="94" t="s">
        <v>3423</v>
      </c>
      <c r="N878" s="95" t="s">
        <v>3042</v>
      </c>
      <c r="O878" s="174">
        <v>3</v>
      </c>
      <c r="P878" s="97">
        <f t="shared" si="217"/>
        <v>0.17166666666666666</v>
      </c>
      <c r="Q878" s="174" t="s">
        <v>3430</v>
      </c>
      <c r="R878" s="174">
        <v>1260</v>
      </c>
      <c r="S878" s="175"/>
      <c r="T878" s="131"/>
      <c r="U878" s="157">
        <f t="shared" si="218"/>
        <v>216.29999999999998</v>
      </c>
      <c r="V878" s="100">
        <f t="shared" si="212"/>
        <v>0.92435897435897429</v>
      </c>
      <c r="W878" s="101">
        <f t="shared" si="213"/>
        <v>0.13205128205128205</v>
      </c>
      <c r="X878" s="175"/>
      <c r="Y878" s="175"/>
      <c r="Z878" s="104"/>
      <c r="AA878" s="118">
        <v>45885</v>
      </c>
      <c r="AB878" s="118">
        <v>45903</v>
      </c>
      <c r="AC878" s="118"/>
      <c r="AD878" s="104">
        <f>IF(ISNA(VLOOKUP(D878,亚马逊入库配置费!B:F,5,0)),0,VLOOKUP(D878,亚马逊入库配置费!B:F,5,0))</f>
        <v>0.34</v>
      </c>
      <c r="AE878" s="104">
        <f t="shared" si="206"/>
        <v>79.56</v>
      </c>
      <c r="AF878" s="118">
        <v>45916</v>
      </c>
      <c r="AG878" s="90">
        <f t="shared" si="207"/>
        <v>31</v>
      </c>
      <c r="AH878" s="118">
        <v>45916</v>
      </c>
      <c r="AI878" s="118">
        <v>45947</v>
      </c>
      <c r="AJ878" s="158">
        <v>234</v>
      </c>
      <c r="AK878" s="91">
        <f t="shared" si="208"/>
        <v>31</v>
      </c>
      <c r="AL878" s="96">
        <f t="shared" si="211"/>
        <v>62</v>
      </c>
      <c r="AM878" s="110"/>
      <c r="AN878" s="90"/>
      <c r="AO878" s="90"/>
    </row>
    <row r="879" spans="1:41" ht="14.5" x14ac:dyDescent="0.25">
      <c r="A879" s="110" t="s">
        <v>1568</v>
      </c>
      <c r="B879" s="90"/>
      <c r="C879" s="160" t="s">
        <v>1563</v>
      </c>
      <c r="D879" s="181" t="s">
        <v>1567</v>
      </c>
      <c r="E879" s="178" t="s">
        <v>97</v>
      </c>
      <c r="F879" s="178" t="s">
        <v>1369</v>
      </c>
      <c r="G879" s="179" t="s">
        <v>316</v>
      </c>
      <c r="H879" s="160">
        <v>450</v>
      </c>
      <c r="I879" s="160" t="s">
        <v>1234</v>
      </c>
      <c r="J879" s="160" t="s">
        <v>1365</v>
      </c>
      <c r="K879" s="181" t="s">
        <v>9</v>
      </c>
      <c r="L879" s="93" t="s">
        <v>3046</v>
      </c>
      <c r="M879" s="94" t="s">
        <v>3333</v>
      </c>
      <c r="N879" s="95" t="s">
        <v>3042</v>
      </c>
      <c r="O879" s="174">
        <v>5</v>
      </c>
      <c r="P879" s="97">
        <f t="shared" si="217"/>
        <v>0.28611111111111109</v>
      </c>
      <c r="Q879" s="174" t="s">
        <v>3430</v>
      </c>
      <c r="R879" s="174">
        <v>1260</v>
      </c>
      <c r="S879" s="175"/>
      <c r="T879" s="131"/>
      <c r="U879" s="157">
        <f t="shared" si="218"/>
        <v>360.5</v>
      </c>
      <c r="V879" s="100">
        <f t="shared" si="212"/>
        <v>0.80111111111111111</v>
      </c>
      <c r="W879" s="101">
        <f t="shared" si="213"/>
        <v>0.11444444444444445</v>
      </c>
      <c r="X879" s="175"/>
      <c r="Y879" s="175"/>
      <c r="Z879" s="104"/>
      <c r="AA879" s="118">
        <v>45885</v>
      </c>
      <c r="AB879" s="118">
        <v>45903</v>
      </c>
      <c r="AC879" s="118"/>
      <c r="AD879" s="104">
        <f>IF(ISNA(VLOOKUP(D879,亚马逊入库配置费!B:F,5,0)),0,VLOOKUP(D879,亚马逊入库配置费!B:F,5,0))</f>
        <v>0.34</v>
      </c>
      <c r="AE879" s="104">
        <f t="shared" si="206"/>
        <v>153</v>
      </c>
      <c r="AF879" s="118">
        <v>45916</v>
      </c>
      <c r="AG879" s="90">
        <f t="shared" si="207"/>
        <v>31</v>
      </c>
      <c r="AH879" s="118">
        <v>45916</v>
      </c>
      <c r="AI879" s="118">
        <v>45947</v>
      </c>
      <c r="AJ879" s="158">
        <v>450</v>
      </c>
      <c r="AK879" s="91">
        <f t="shared" si="208"/>
        <v>31</v>
      </c>
      <c r="AL879" s="96">
        <f t="shared" si="211"/>
        <v>62</v>
      </c>
      <c r="AM879" s="110"/>
      <c r="AN879" s="90"/>
      <c r="AO879" s="90"/>
    </row>
    <row r="880" spans="1:41" ht="14.5" x14ac:dyDescent="0.25">
      <c r="A880" s="110" t="s">
        <v>1569</v>
      </c>
      <c r="B880" s="90"/>
      <c r="C880" s="160" t="s">
        <v>1563</v>
      </c>
      <c r="D880" s="181" t="s">
        <v>1570</v>
      </c>
      <c r="E880" s="178" t="s">
        <v>115</v>
      </c>
      <c r="F880" s="178" t="s">
        <v>1369</v>
      </c>
      <c r="G880" s="179" t="s">
        <v>1052</v>
      </c>
      <c r="H880" s="160">
        <v>78</v>
      </c>
      <c r="I880" s="160" t="s">
        <v>1234</v>
      </c>
      <c r="J880" s="160" t="s">
        <v>1365</v>
      </c>
      <c r="K880" s="181" t="s">
        <v>9</v>
      </c>
      <c r="L880" s="93" t="s">
        <v>3089</v>
      </c>
      <c r="M880" s="94" t="s">
        <v>3423</v>
      </c>
      <c r="N880" s="95" t="s">
        <v>3042</v>
      </c>
      <c r="O880" s="174">
        <v>1</v>
      </c>
      <c r="P880" s="97">
        <f t="shared" si="217"/>
        <v>5.7222222222222223E-2</v>
      </c>
      <c r="Q880" s="174" t="s">
        <v>3430</v>
      </c>
      <c r="R880" s="174">
        <v>1260</v>
      </c>
      <c r="S880" s="175"/>
      <c r="T880" s="131"/>
      <c r="U880" s="157">
        <f t="shared" si="218"/>
        <v>72.099999999999994</v>
      </c>
      <c r="V880" s="100">
        <f t="shared" si="212"/>
        <v>0.92435897435897429</v>
      </c>
      <c r="W880" s="101">
        <f t="shared" si="213"/>
        <v>0.13205128205128205</v>
      </c>
      <c r="X880" s="175"/>
      <c r="Y880" s="175"/>
      <c r="Z880" s="104"/>
      <c r="AA880" s="118">
        <v>45885</v>
      </c>
      <c r="AB880" s="118">
        <v>45903</v>
      </c>
      <c r="AC880" s="118"/>
      <c r="AD880" s="104">
        <f>IF(ISNA(VLOOKUP(D880,亚马逊入库配置费!B:F,5,0)),0,VLOOKUP(D880,亚马逊入库配置费!B:F,5,0))</f>
        <v>0.34</v>
      </c>
      <c r="AE880" s="104">
        <f t="shared" si="206"/>
        <v>26.520000000000003</v>
      </c>
      <c r="AF880" s="118">
        <v>45916</v>
      </c>
      <c r="AG880" s="90">
        <f t="shared" si="207"/>
        <v>31</v>
      </c>
      <c r="AH880" s="118">
        <v>45916</v>
      </c>
      <c r="AI880" s="118">
        <v>45943</v>
      </c>
      <c r="AJ880" s="158">
        <v>78</v>
      </c>
      <c r="AK880" s="91">
        <f t="shared" si="208"/>
        <v>27</v>
      </c>
      <c r="AL880" s="96">
        <f t="shared" si="211"/>
        <v>58</v>
      </c>
      <c r="AM880" s="110"/>
      <c r="AN880" s="90"/>
      <c r="AO880" s="90"/>
    </row>
    <row r="881" spans="1:41" ht="14.5" x14ac:dyDescent="0.25">
      <c r="A881" s="110" t="s">
        <v>1571</v>
      </c>
      <c r="B881" s="90"/>
      <c r="C881" s="160" t="s">
        <v>1563</v>
      </c>
      <c r="D881" s="181" t="s">
        <v>1570</v>
      </c>
      <c r="E881" s="178" t="s">
        <v>115</v>
      </c>
      <c r="F881" s="178" t="s">
        <v>1369</v>
      </c>
      <c r="G881" s="179" t="s">
        <v>650</v>
      </c>
      <c r="H881" s="160">
        <v>90</v>
      </c>
      <c r="I881" s="160" t="s">
        <v>1234</v>
      </c>
      <c r="J881" s="160" t="s">
        <v>1365</v>
      </c>
      <c r="K881" s="181" t="s">
        <v>9</v>
      </c>
      <c r="L881" s="93" t="s">
        <v>3078</v>
      </c>
      <c r="M881" s="94" t="s">
        <v>3381</v>
      </c>
      <c r="N881" s="95" t="s">
        <v>3042</v>
      </c>
      <c r="O881" s="174">
        <v>1</v>
      </c>
      <c r="P881" s="97">
        <f t="shared" si="217"/>
        <v>5.7222222222222223E-2</v>
      </c>
      <c r="Q881" s="174" t="s">
        <v>3430</v>
      </c>
      <c r="R881" s="174">
        <v>1260</v>
      </c>
      <c r="S881" s="175"/>
      <c r="T881" s="131"/>
      <c r="U881" s="157">
        <f t="shared" si="218"/>
        <v>72.099999999999994</v>
      </c>
      <c r="V881" s="100">
        <f t="shared" si="212"/>
        <v>0.801111111111111</v>
      </c>
      <c r="W881" s="101">
        <f t="shared" si="213"/>
        <v>0.11444444444444443</v>
      </c>
      <c r="X881" s="175"/>
      <c r="Y881" s="175"/>
      <c r="Z881" s="104"/>
      <c r="AA881" s="118">
        <v>45885</v>
      </c>
      <c r="AB881" s="118">
        <v>45903</v>
      </c>
      <c r="AC881" s="118"/>
      <c r="AD881" s="104">
        <f>IF(ISNA(VLOOKUP(D881,亚马逊入库配置费!B:F,5,0)),0,VLOOKUP(D881,亚马逊入库配置费!B:F,5,0))</f>
        <v>0.34</v>
      </c>
      <c r="AE881" s="104">
        <f t="shared" si="206"/>
        <v>30.6</v>
      </c>
      <c r="AF881" s="118">
        <v>45916</v>
      </c>
      <c r="AG881" s="90">
        <f t="shared" si="207"/>
        <v>31</v>
      </c>
      <c r="AH881" s="118">
        <v>45916</v>
      </c>
      <c r="AI881" s="118">
        <v>45943</v>
      </c>
      <c r="AJ881" s="158">
        <v>90</v>
      </c>
      <c r="AK881" s="91">
        <f t="shared" si="208"/>
        <v>27</v>
      </c>
      <c r="AL881" s="96">
        <f t="shared" si="211"/>
        <v>58</v>
      </c>
      <c r="AM881" s="110"/>
      <c r="AN881" s="90"/>
      <c r="AO881" s="90"/>
    </row>
    <row r="882" spans="1:41" ht="14.5" x14ac:dyDescent="0.25">
      <c r="A882" s="92" t="s">
        <v>1572</v>
      </c>
      <c r="B882" s="91"/>
      <c r="C882" s="180" t="s">
        <v>1573</v>
      </c>
      <c r="D882" s="177" t="s">
        <v>1574</v>
      </c>
      <c r="E882" s="178" t="s">
        <v>287</v>
      </c>
      <c r="F882" s="178" t="s">
        <v>1369</v>
      </c>
      <c r="G882" s="179" t="s">
        <v>282</v>
      </c>
      <c r="H882" s="160">
        <v>192</v>
      </c>
      <c r="I882" s="160" t="s">
        <v>1227</v>
      </c>
      <c r="J882" s="160" t="s">
        <v>503</v>
      </c>
      <c r="K882" s="177" t="s">
        <v>32</v>
      </c>
      <c r="L882" s="93" t="s">
        <v>2783</v>
      </c>
      <c r="M882" s="94" t="s">
        <v>3322</v>
      </c>
      <c r="N882" s="95" t="s">
        <v>2785</v>
      </c>
      <c r="O882" s="171">
        <v>12</v>
      </c>
      <c r="P882" s="97">
        <v>179.47368421052599</v>
      </c>
      <c r="Q882" s="165" t="s">
        <v>16</v>
      </c>
      <c r="R882" s="174">
        <v>4</v>
      </c>
      <c r="S882" s="175"/>
      <c r="T882" s="131"/>
      <c r="U882" s="157">
        <f t="shared" ref="U882:U889" si="219">R882*P882+350/114*O882</f>
        <v>754.73684210526187</v>
      </c>
      <c r="V882" s="100">
        <f t="shared" si="212"/>
        <v>3.9309210526315721</v>
      </c>
      <c r="W882" s="101">
        <f t="shared" si="213"/>
        <v>0.56156015037593887</v>
      </c>
      <c r="X882" s="175"/>
      <c r="Y882" s="175"/>
      <c r="Z882" s="102"/>
      <c r="AA882" s="103">
        <v>45885</v>
      </c>
      <c r="AB882" s="118">
        <v>45909</v>
      </c>
      <c r="AC882" s="103"/>
      <c r="AD882" s="102">
        <f>IF(ISNA(VLOOKUP(D882,亚马逊入库配置费!B:F,5,0)),0,VLOOKUP(D882,亚马逊入库配置费!B:F,5,0))</f>
        <v>0.49</v>
      </c>
      <c r="AE882" s="102">
        <f t="shared" si="206"/>
        <v>94.08</v>
      </c>
      <c r="AF882" s="103">
        <v>45914</v>
      </c>
      <c r="AG882" s="91">
        <f t="shared" si="207"/>
        <v>29</v>
      </c>
      <c r="AH882" s="103">
        <v>45914</v>
      </c>
      <c r="AI882" s="103">
        <v>45944</v>
      </c>
      <c r="AJ882" s="96">
        <v>192</v>
      </c>
      <c r="AK882" s="91">
        <f t="shared" si="208"/>
        <v>30</v>
      </c>
      <c r="AL882" s="96">
        <f t="shared" si="211"/>
        <v>59</v>
      </c>
      <c r="AM882" s="92"/>
      <c r="AN882" s="91"/>
      <c r="AO882" s="91"/>
    </row>
    <row r="883" spans="1:41" ht="14.5" x14ac:dyDescent="0.25">
      <c r="A883" s="92" t="s">
        <v>1575</v>
      </c>
      <c r="B883" s="91"/>
      <c r="C883" s="180" t="s">
        <v>1573</v>
      </c>
      <c r="D883" s="177" t="s">
        <v>1574</v>
      </c>
      <c r="E883" s="178" t="s">
        <v>287</v>
      </c>
      <c r="F883" s="178" t="s">
        <v>1369</v>
      </c>
      <c r="G883" s="179" t="s">
        <v>288</v>
      </c>
      <c r="H883" s="160">
        <v>80</v>
      </c>
      <c r="I883" s="160" t="s">
        <v>1227</v>
      </c>
      <c r="J883" s="160" t="s">
        <v>503</v>
      </c>
      <c r="K883" s="177" t="s">
        <v>32</v>
      </c>
      <c r="L883" s="93" t="s">
        <v>3040</v>
      </c>
      <c r="M883" s="94" t="s">
        <v>3324</v>
      </c>
      <c r="N883" s="95" t="s">
        <v>2785</v>
      </c>
      <c r="O883" s="171">
        <v>5</v>
      </c>
      <c r="P883" s="97">
        <v>74.780701754386001</v>
      </c>
      <c r="Q883" s="165" t="s">
        <v>16</v>
      </c>
      <c r="R883" s="174">
        <v>4</v>
      </c>
      <c r="S883" s="175"/>
      <c r="T883" s="131"/>
      <c r="U883" s="157">
        <f t="shared" si="219"/>
        <v>314.47368421052647</v>
      </c>
      <c r="V883" s="100">
        <f t="shared" si="212"/>
        <v>3.930921052631581</v>
      </c>
      <c r="W883" s="101">
        <f t="shared" si="213"/>
        <v>0.56156015037594009</v>
      </c>
      <c r="X883" s="175"/>
      <c r="Y883" s="175"/>
      <c r="Z883" s="102"/>
      <c r="AA883" s="103">
        <v>45885</v>
      </c>
      <c r="AB883" s="118">
        <v>45909</v>
      </c>
      <c r="AC883" s="103"/>
      <c r="AD883" s="102">
        <f>IF(ISNA(VLOOKUP(D883,亚马逊入库配置费!B:F,5,0)),0,VLOOKUP(D883,亚马逊入库配置费!B:F,5,0))</f>
        <v>0.49</v>
      </c>
      <c r="AE883" s="102">
        <f t="shared" si="206"/>
        <v>39.200000000000003</v>
      </c>
      <c r="AF883" s="103">
        <v>45914</v>
      </c>
      <c r="AG883" s="91">
        <f t="shared" si="207"/>
        <v>29</v>
      </c>
      <c r="AH883" s="103">
        <v>45914</v>
      </c>
      <c r="AI883" s="103">
        <v>45944</v>
      </c>
      <c r="AJ883" s="96">
        <v>80</v>
      </c>
      <c r="AK883" s="91">
        <f t="shared" si="208"/>
        <v>30</v>
      </c>
      <c r="AL883" s="96">
        <f t="shared" si="211"/>
        <v>59</v>
      </c>
      <c r="AM883" s="92"/>
      <c r="AN883" s="91"/>
      <c r="AO883" s="91"/>
    </row>
    <row r="884" spans="1:41" ht="14.5" x14ac:dyDescent="0.25">
      <c r="A884" s="92" t="s">
        <v>1576</v>
      </c>
      <c r="B884" s="91"/>
      <c r="C884" s="180" t="s">
        <v>1573</v>
      </c>
      <c r="D884" s="177" t="s">
        <v>1574</v>
      </c>
      <c r="E884" s="178" t="s">
        <v>287</v>
      </c>
      <c r="F884" s="178" t="s">
        <v>1369</v>
      </c>
      <c r="G884" s="179" t="s">
        <v>279</v>
      </c>
      <c r="H884" s="160">
        <v>176</v>
      </c>
      <c r="I884" s="160" t="s">
        <v>1227</v>
      </c>
      <c r="J884" s="160" t="s">
        <v>503</v>
      </c>
      <c r="K884" s="177" t="s">
        <v>32</v>
      </c>
      <c r="L884" s="93" t="s">
        <v>3038</v>
      </c>
      <c r="M884" s="94" t="s">
        <v>3321</v>
      </c>
      <c r="N884" s="95" t="s">
        <v>2785</v>
      </c>
      <c r="O884" s="171">
        <v>11</v>
      </c>
      <c r="P884" s="97">
        <v>164.51754385964901</v>
      </c>
      <c r="Q884" s="165" t="s">
        <v>16</v>
      </c>
      <c r="R884" s="174">
        <v>4</v>
      </c>
      <c r="S884" s="175"/>
      <c r="T884" s="131"/>
      <c r="U884" s="157">
        <f t="shared" si="219"/>
        <v>691.84210526315746</v>
      </c>
      <c r="V884" s="100">
        <f t="shared" si="212"/>
        <v>3.9309210526315765</v>
      </c>
      <c r="W884" s="101">
        <f t="shared" si="213"/>
        <v>0.56156015037593954</v>
      </c>
      <c r="X884" s="175"/>
      <c r="Y884" s="175"/>
      <c r="Z884" s="102"/>
      <c r="AA884" s="103">
        <v>45885</v>
      </c>
      <c r="AB884" s="118">
        <v>45909</v>
      </c>
      <c r="AC884" s="103"/>
      <c r="AD884" s="102">
        <f>IF(ISNA(VLOOKUP(D884,亚马逊入库配置费!B:F,5,0)),0,VLOOKUP(D884,亚马逊入库配置费!B:F,5,0))</f>
        <v>0.49</v>
      </c>
      <c r="AE884" s="102">
        <f t="shared" si="206"/>
        <v>86.24</v>
      </c>
      <c r="AF884" s="103">
        <v>45914</v>
      </c>
      <c r="AG884" s="91">
        <f t="shared" si="207"/>
        <v>29</v>
      </c>
      <c r="AH884" s="103">
        <v>45914</v>
      </c>
      <c r="AI884" s="103">
        <v>45944</v>
      </c>
      <c r="AJ884" s="96">
        <v>175</v>
      </c>
      <c r="AK884" s="91">
        <f t="shared" si="208"/>
        <v>30</v>
      </c>
      <c r="AL884" s="96">
        <f t="shared" si="211"/>
        <v>59</v>
      </c>
      <c r="AM884" s="92"/>
      <c r="AN884" s="91"/>
      <c r="AO884" s="91"/>
    </row>
    <row r="885" spans="1:41" ht="14.5" x14ac:dyDescent="0.25">
      <c r="A885" s="92" t="s">
        <v>1577</v>
      </c>
      <c r="B885" s="91"/>
      <c r="C885" s="180" t="s">
        <v>1573</v>
      </c>
      <c r="D885" s="177" t="s">
        <v>1574</v>
      </c>
      <c r="E885" s="178" t="s">
        <v>287</v>
      </c>
      <c r="F885" s="178" t="s">
        <v>1369</v>
      </c>
      <c r="G885" s="179" t="s">
        <v>284</v>
      </c>
      <c r="H885" s="160">
        <v>688</v>
      </c>
      <c r="I885" s="160" t="s">
        <v>1227</v>
      </c>
      <c r="J885" s="160" t="s">
        <v>503</v>
      </c>
      <c r="K885" s="177" t="s">
        <v>32</v>
      </c>
      <c r="L885" s="93" t="s">
        <v>3039</v>
      </c>
      <c r="M885" s="94" t="s">
        <v>3323</v>
      </c>
      <c r="N885" s="95" t="s">
        <v>2915</v>
      </c>
      <c r="O885" s="171">
        <v>43</v>
      </c>
      <c r="P885" s="97">
        <v>643.114035087719</v>
      </c>
      <c r="Q885" s="165" t="s">
        <v>16</v>
      </c>
      <c r="R885" s="174">
        <v>4</v>
      </c>
      <c r="S885" s="175"/>
      <c r="T885" s="131"/>
      <c r="U885" s="157">
        <f t="shared" si="219"/>
        <v>2704.4736842105253</v>
      </c>
      <c r="V885" s="100">
        <f t="shared" si="212"/>
        <v>3.9309210526315774</v>
      </c>
      <c r="W885" s="101">
        <f t="shared" si="213"/>
        <v>0.56156015037593965</v>
      </c>
      <c r="X885" s="175"/>
      <c r="Y885" s="175"/>
      <c r="Z885" s="102"/>
      <c r="AA885" s="103">
        <v>45885</v>
      </c>
      <c r="AB885" s="118">
        <v>45909</v>
      </c>
      <c r="AC885" s="103"/>
      <c r="AD885" s="102">
        <f>IF(ISNA(VLOOKUP(D885,亚马逊入库配置费!B:F,5,0)),0,VLOOKUP(D885,亚马逊入库配置费!B:F,5,0))</f>
        <v>0.49</v>
      </c>
      <c r="AE885" s="102">
        <f t="shared" si="206"/>
        <v>337.12</v>
      </c>
      <c r="AF885" s="103">
        <v>45914</v>
      </c>
      <c r="AG885" s="91">
        <f t="shared" si="207"/>
        <v>29</v>
      </c>
      <c r="AH885" s="103">
        <v>45914</v>
      </c>
      <c r="AI885" s="103">
        <v>45944</v>
      </c>
      <c r="AJ885" s="96">
        <v>687</v>
      </c>
      <c r="AK885" s="91">
        <f t="shared" si="208"/>
        <v>30</v>
      </c>
      <c r="AL885" s="96">
        <f t="shared" si="211"/>
        <v>59</v>
      </c>
      <c r="AM885" s="92"/>
      <c r="AN885" s="91"/>
      <c r="AO885" s="91"/>
    </row>
    <row r="886" spans="1:41" ht="14.5" x14ac:dyDescent="0.25">
      <c r="A886" s="92" t="s">
        <v>1578</v>
      </c>
      <c r="B886" s="91"/>
      <c r="C886" s="180" t="s">
        <v>1573</v>
      </c>
      <c r="D886" s="177" t="s">
        <v>1574</v>
      </c>
      <c r="E886" s="178" t="s">
        <v>287</v>
      </c>
      <c r="F886" s="178" t="s">
        <v>1369</v>
      </c>
      <c r="G886" s="179" t="s">
        <v>556</v>
      </c>
      <c r="H886" s="160">
        <v>304</v>
      </c>
      <c r="I886" s="160" t="s">
        <v>1227</v>
      </c>
      <c r="J886" s="160" t="s">
        <v>503</v>
      </c>
      <c r="K886" s="177" t="s">
        <v>32</v>
      </c>
      <c r="L886" s="93" t="s">
        <v>3073</v>
      </c>
      <c r="M886" s="94" t="s">
        <v>3373</v>
      </c>
      <c r="N886" s="95" t="s">
        <v>2915</v>
      </c>
      <c r="O886" s="171">
        <v>19</v>
      </c>
      <c r="P886" s="97">
        <v>284.16666666666703</v>
      </c>
      <c r="Q886" s="165" t="s">
        <v>16</v>
      </c>
      <c r="R886" s="174">
        <v>4</v>
      </c>
      <c r="S886" s="175"/>
      <c r="T886" s="131"/>
      <c r="U886" s="157">
        <f t="shared" si="219"/>
        <v>1195.0000000000014</v>
      </c>
      <c r="V886" s="100">
        <f t="shared" si="212"/>
        <v>3.9309210526315836</v>
      </c>
      <c r="W886" s="101">
        <f t="shared" si="213"/>
        <v>0.56156015037594054</v>
      </c>
      <c r="X886" s="175"/>
      <c r="Y886" s="175"/>
      <c r="Z886" s="102"/>
      <c r="AA886" s="103">
        <v>45885</v>
      </c>
      <c r="AB886" s="118">
        <v>45909</v>
      </c>
      <c r="AC886" s="103"/>
      <c r="AD886" s="102">
        <f>IF(ISNA(VLOOKUP(D886,亚马逊入库配置费!B:F,5,0)),0,VLOOKUP(D886,亚马逊入库配置费!B:F,5,0))</f>
        <v>0.49</v>
      </c>
      <c r="AE886" s="102">
        <f t="shared" si="206"/>
        <v>148.96</v>
      </c>
      <c r="AF886" s="103">
        <v>45914</v>
      </c>
      <c r="AG886" s="91">
        <f t="shared" si="207"/>
        <v>29</v>
      </c>
      <c r="AH886" s="103">
        <v>45914</v>
      </c>
      <c r="AI886" s="103">
        <v>45944</v>
      </c>
      <c r="AJ886" s="96">
        <v>304</v>
      </c>
      <c r="AK886" s="91">
        <f t="shared" si="208"/>
        <v>30</v>
      </c>
      <c r="AL886" s="96">
        <f t="shared" si="211"/>
        <v>59</v>
      </c>
      <c r="AM886" s="92"/>
      <c r="AN886" s="91"/>
      <c r="AO886" s="91"/>
    </row>
    <row r="887" spans="1:41" ht="14.5" x14ac:dyDescent="0.25">
      <c r="A887" s="92" t="s">
        <v>1579</v>
      </c>
      <c r="B887" s="91"/>
      <c r="C887" s="180" t="s">
        <v>1573</v>
      </c>
      <c r="D887" s="177" t="s">
        <v>1574</v>
      </c>
      <c r="E887" s="178" t="s">
        <v>287</v>
      </c>
      <c r="F887" s="178" t="s">
        <v>1369</v>
      </c>
      <c r="G887" s="179" t="s">
        <v>779</v>
      </c>
      <c r="H887" s="160">
        <v>240</v>
      </c>
      <c r="I887" s="160" t="s">
        <v>1227</v>
      </c>
      <c r="J887" s="160" t="s">
        <v>503</v>
      </c>
      <c r="K887" s="177" t="s">
        <v>32</v>
      </c>
      <c r="L887" s="93" t="s">
        <v>3083</v>
      </c>
      <c r="M887" s="94" t="s">
        <v>3394</v>
      </c>
      <c r="N887" s="95" t="s">
        <v>2793</v>
      </c>
      <c r="O887" s="171">
        <v>15</v>
      </c>
      <c r="P887" s="97">
        <v>224.342105263158</v>
      </c>
      <c r="Q887" s="165" t="s">
        <v>16</v>
      </c>
      <c r="R887" s="174">
        <v>4</v>
      </c>
      <c r="S887" s="175"/>
      <c r="T887" s="131"/>
      <c r="U887" s="157">
        <f t="shared" si="219"/>
        <v>943.42105263157941</v>
      </c>
      <c r="V887" s="100">
        <f t="shared" si="212"/>
        <v>3.930921052631581</v>
      </c>
      <c r="W887" s="101">
        <f t="shared" si="213"/>
        <v>0.56156015037594009</v>
      </c>
      <c r="X887" s="175"/>
      <c r="Y887" s="175"/>
      <c r="Z887" s="102"/>
      <c r="AA887" s="103">
        <v>45885</v>
      </c>
      <c r="AB887" s="118">
        <v>45909</v>
      </c>
      <c r="AC887" s="103"/>
      <c r="AD887" s="102">
        <f>IF(ISNA(VLOOKUP(D887,亚马逊入库配置费!B:F,5,0)),0,VLOOKUP(D887,亚马逊入库配置费!B:F,5,0))</f>
        <v>0.49</v>
      </c>
      <c r="AE887" s="102">
        <f t="shared" si="206"/>
        <v>117.6</v>
      </c>
      <c r="AF887" s="103">
        <v>45914</v>
      </c>
      <c r="AG887" s="91">
        <f t="shared" si="207"/>
        <v>29</v>
      </c>
      <c r="AH887" s="103">
        <v>45914</v>
      </c>
      <c r="AI887" s="103">
        <v>45944</v>
      </c>
      <c r="AJ887" s="96">
        <v>241</v>
      </c>
      <c r="AK887" s="91">
        <f t="shared" si="208"/>
        <v>30</v>
      </c>
      <c r="AL887" s="96">
        <f t="shared" si="211"/>
        <v>59</v>
      </c>
      <c r="AM887" s="92"/>
      <c r="AN887" s="91"/>
      <c r="AO887" s="91"/>
    </row>
    <row r="888" spans="1:41" ht="14.5" x14ac:dyDescent="0.25">
      <c r="A888" s="92" t="s">
        <v>1580</v>
      </c>
      <c r="B888" s="91"/>
      <c r="C888" s="180" t="s">
        <v>1573</v>
      </c>
      <c r="D888" s="177" t="s">
        <v>1574</v>
      </c>
      <c r="E888" s="178" t="s">
        <v>287</v>
      </c>
      <c r="F888" s="178" t="s">
        <v>1369</v>
      </c>
      <c r="G888" s="179" t="s">
        <v>549</v>
      </c>
      <c r="H888" s="160">
        <v>96</v>
      </c>
      <c r="I888" s="160" t="s">
        <v>1227</v>
      </c>
      <c r="J888" s="160" t="s">
        <v>503</v>
      </c>
      <c r="K888" s="177" t="s">
        <v>32</v>
      </c>
      <c r="L888" s="93" t="s">
        <v>3071</v>
      </c>
      <c r="M888" s="94" t="s">
        <v>3371</v>
      </c>
      <c r="N888" s="95" t="s">
        <v>2793</v>
      </c>
      <c r="O888" s="171">
        <v>6</v>
      </c>
      <c r="P888" s="97">
        <v>89.736842105263193</v>
      </c>
      <c r="Q888" s="165" t="s">
        <v>16</v>
      </c>
      <c r="R888" s="174">
        <v>4</v>
      </c>
      <c r="S888" s="175"/>
      <c r="T888" s="131"/>
      <c r="U888" s="157">
        <f t="shared" si="219"/>
        <v>377.36842105263173</v>
      </c>
      <c r="V888" s="100">
        <f t="shared" si="212"/>
        <v>3.9309210526315805</v>
      </c>
      <c r="W888" s="101">
        <f t="shared" si="213"/>
        <v>0.56156015037594009</v>
      </c>
      <c r="X888" s="175"/>
      <c r="Y888" s="175"/>
      <c r="Z888" s="102"/>
      <c r="AA888" s="103">
        <v>45885</v>
      </c>
      <c r="AB888" s="118">
        <v>45909</v>
      </c>
      <c r="AC888" s="103"/>
      <c r="AD888" s="102">
        <f>IF(ISNA(VLOOKUP(D888,亚马逊入库配置费!B:F,5,0)),0,VLOOKUP(D888,亚马逊入库配置费!B:F,5,0))</f>
        <v>0.49</v>
      </c>
      <c r="AE888" s="102">
        <f t="shared" si="206"/>
        <v>47.04</v>
      </c>
      <c r="AF888" s="103">
        <v>45914</v>
      </c>
      <c r="AG888" s="91">
        <f t="shared" si="207"/>
        <v>29</v>
      </c>
      <c r="AH888" s="103">
        <v>45914</v>
      </c>
      <c r="AI888" s="103">
        <v>45944</v>
      </c>
      <c r="AJ888" s="96">
        <v>96</v>
      </c>
      <c r="AK888" s="91">
        <f t="shared" si="208"/>
        <v>30</v>
      </c>
      <c r="AL888" s="96">
        <f t="shared" si="211"/>
        <v>59</v>
      </c>
      <c r="AM888" s="92"/>
      <c r="AN888" s="91"/>
      <c r="AO888" s="91"/>
    </row>
    <row r="889" spans="1:41" ht="14.5" x14ac:dyDescent="0.25">
      <c r="A889" s="92" t="s">
        <v>1581</v>
      </c>
      <c r="B889" s="91"/>
      <c r="C889" s="180" t="s">
        <v>1573</v>
      </c>
      <c r="D889" s="177" t="s">
        <v>1574</v>
      </c>
      <c r="E889" s="178" t="s">
        <v>287</v>
      </c>
      <c r="F889" s="178" t="s">
        <v>1369</v>
      </c>
      <c r="G889" s="179" t="s">
        <v>551</v>
      </c>
      <c r="H889" s="160">
        <v>48</v>
      </c>
      <c r="I889" s="160" t="s">
        <v>1227</v>
      </c>
      <c r="J889" s="160" t="s">
        <v>503</v>
      </c>
      <c r="K889" s="177" t="s">
        <v>32</v>
      </c>
      <c r="L889" s="93" t="s">
        <v>3072</v>
      </c>
      <c r="M889" s="94" t="s">
        <v>3372</v>
      </c>
      <c r="N889" s="95" t="s">
        <v>2793</v>
      </c>
      <c r="O889" s="171">
        <v>3</v>
      </c>
      <c r="P889" s="97">
        <v>44.868421052631597</v>
      </c>
      <c r="Q889" s="165" t="s">
        <v>16</v>
      </c>
      <c r="R889" s="174">
        <v>4</v>
      </c>
      <c r="S889" s="175"/>
      <c r="T889" s="131"/>
      <c r="U889" s="157">
        <f t="shared" si="219"/>
        <v>188.68421052631587</v>
      </c>
      <c r="V889" s="100">
        <f t="shared" si="212"/>
        <v>3.9309210526315805</v>
      </c>
      <c r="W889" s="101">
        <f t="shared" si="213"/>
        <v>0.56156015037594009</v>
      </c>
      <c r="X889" s="175"/>
      <c r="Y889" s="175"/>
      <c r="Z889" s="102"/>
      <c r="AA889" s="103">
        <v>45885</v>
      </c>
      <c r="AB889" s="118">
        <v>45909</v>
      </c>
      <c r="AC889" s="103"/>
      <c r="AD889" s="102">
        <f>IF(ISNA(VLOOKUP(D889,亚马逊入库配置费!B:F,5,0)),0,VLOOKUP(D889,亚马逊入库配置费!B:F,5,0))</f>
        <v>0.49</v>
      </c>
      <c r="AE889" s="102">
        <f t="shared" si="206"/>
        <v>23.52</v>
      </c>
      <c r="AF889" s="103">
        <v>45914</v>
      </c>
      <c r="AG889" s="91">
        <f t="shared" si="207"/>
        <v>29</v>
      </c>
      <c r="AH889" s="103">
        <v>45914</v>
      </c>
      <c r="AI889" s="103">
        <v>45944</v>
      </c>
      <c r="AJ889" s="96">
        <v>48</v>
      </c>
      <c r="AK889" s="91">
        <f t="shared" si="208"/>
        <v>30</v>
      </c>
      <c r="AL889" s="96">
        <f t="shared" si="211"/>
        <v>59</v>
      </c>
      <c r="AM889" s="92"/>
      <c r="AN889" s="91"/>
      <c r="AO889" s="91"/>
    </row>
    <row r="890" spans="1:41" ht="14.5" x14ac:dyDescent="0.25">
      <c r="A890" s="92" t="s">
        <v>1582</v>
      </c>
      <c r="B890" s="91"/>
      <c r="C890" s="180" t="s">
        <v>1583</v>
      </c>
      <c r="D890" s="177" t="s">
        <v>1584</v>
      </c>
      <c r="E890" s="178" t="s">
        <v>86</v>
      </c>
      <c r="F890" s="178" t="s">
        <v>1514</v>
      </c>
      <c r="G890" s="179" t="s">
        <v>325</v>
      </c>
      <c r="H890" s="160">
        <v>48</v>
      </c>
      <c r="I890" s="160" t="s">
        <v>502</v>
      </c>
      <c r="J890" s="160" t="s">
        <v>1515</v>
      </c>
      <c r="K890" s="177" t="s">
        <v>1585</v>
      </c>
      <c r="L890" s="93" t="s">
        <v>3047</v>
      </c>
      <c r="M890" s="94" t="s">
        <v>3335</v>
      </c>
      <c r="N890" s="95" t="s">
        <v>2823</v>
      </c>
      <c r="O890" s="180">
        <v>12</v>
      </c>
      <c r="P890" s="97">
        <f>286/12*O890</f>
        <v>286</v>
      </c>
      <c r="Q890" s="119" t="s">
        <v>16</v>
      </c>
      <c r="R890" s="160">
        <v>6</v>
      </c>
      <c r="S890" s="175"/>
      <c r="T890" s="131"/>
      <c r="U890" s="157">
        <f>R890*P890+350/12*O890</f>
        <v>2066</v>
      </c>
      <c r="V890" s="100">
        <f t="shared" si="212"/>
        <v>43.041666666666664</v>
      </c>
      <c r="W890" s="101">
        <f t="shared" si="213"/>
        <v>6.1488095238095237</v>
      </c>
      <c r="X890" s="175"/>
      <c r="Y890" s="175"/>
      <c r="Z890" s="102"/>
      <c r="AA890" s="103">
        <v>45885</v>
      </c>
      <c r="AB890" s="118">
        <v>45920</v>
      </c>
      <c r="AC890" s="103"/>
      <c r="AD890" s="102">
        <f>IF(ISNA(VLOOKUP(D890,亚马逊入库配置费!B:F,5,0)),0,VLOOKUP(D890,亚马逊入库配置费!B:F,5,0))</f>
        <v>0</v>
      </c>
      <c r="AE890" s="102">
        <f t="shared" si="206"/>
        <v>0</v>
      </c>
      <c r="AF890" s="103">
        <v>45937</v>
      </c>
      <c r="AG890" s="91">
        <f t="shared" si="207"/>
        <v>52</v>
      </c>
      <c r="AH890" s="103">
        <v>45937</v>
      </c>
      <c r="AI890" s="103">
        <v>45939</v>
      </c>
      <c r="AJ890" s="96">
        <v>48</v>
      </c>
      <c r="AK890" s="91">
        <f t="shared" si="208"/>
        <v>2</v>
      </c>
      <c r="AL890" s="96">
        <f t="shared" si="211"/>
        <v>54</v>
      </c>
      <c r="AM890" s="92"/>
      <c r="AN890" s="91"/>
      <c r="AO890" s="91"/>
    </row>
    <row r="891" spans="1:41" ht="14.5" x14ac:dyDescent="0.25">
      <c r="A891" s="92" t="s">
        <v>1586</v>
      </c>
      <c r="B891" s="91"/>
      <c r="C891" s="180" t="s">
        <v>1524</v>
      </c>
      <c r="D891" s="177" t="s">
        <v>1587</v>
      </c>
      <c r="E891" s="178" t="s">
        <v>115</v>
      </c>
      <c r="F891" s="178" t="s">
        <v>1369</v>
      </c>
      <c r="G891" s="179" t="s">
        <v>594</v>
      </c>
      <c r="H891" s="160">
        <v>468</v>
      </c>
      <c r="I891" s="160" t="s">
        <v>502</v>
      </c>
      <c r="J891" s="160" t="s">
        <v>1365</v>
      </c>
      <c r="K891" s="177" t="s">
        <v>15</v>
      </c>
      <c r="L891" s="93" t="s">
        <v>2694</v>
      </c>
      <c r="M891" s="94" t="s">
        <v>3214</v>
      </c>
      <c r="N891" s="95" t="s">
        <v>2822</v>
      </c>
      <c r="O891" s="180">
        <v>13</v>
      </c>
      <c r="P891" s="97">
        <f>281/13*O891</f>
        <v>281</v>
      </c>
      <c r="Q891" s="119" t="s">
        <v>16</v>
      </c>
      <c r="R891" s="160">
        <v>4</v>
      </c>
      <c r="S891" s="175"/>
      <c r="T891" s="131"/>
      <c r="U891" s="157">
        <f>R891*P891+350/495*O891</f>
        <v>1133.1919191919192</v>
      </c>
      <c r="V891" s="100">
        <f t="shared" si="212"/>
        <v>2.4213502546835879</v>
      </c>
      <c r="W891" s="101">
        <f t="shared" si="213"/>
        <v>0.34590717924051256</v>
      </c>
      <c r="X891" s="175"/>
      <c r="Y891" s="175"/>
      <c r="Z891" s="102"/>
      <c r="AA891" s="103">
        <v>45885</v>
      </c>
      <c r="AB891" s="118">
        <v>45908</v>
      </c>
      <c r="AC891" s="103"/>
      <c r="AD891" s="102">
        <f>IF(ISNA(VLOOKUP(D891,亚马逊入库配置费!B:F,5,0)),0,VLOOKUP(D891,亚马逊入库配置费!B:F,5,0))</f>
        <v>0.41</v>
      </c>
      <c r="AE891" s="102">
        <f t="shared" si="206"/>
        <v>191.88</v>
      </c>
      <c r="AF891" s="103">
        <v>45928</v>
      </c>
      <c r="AG891" s="91">
        <f t="shared" si="207"/>
        <v>43</v>
      </c>
      <c r="AH891" s="103">
        <v>45928</v>
      </c>
      <c r="AI891" s="103">
        <v>45959</v>
      </c>
      <c r="AJ891" s="96">
        <v>467</v>
      </c>
      <c r="AK891" s="91">
        <f t="shared" si="208"/>
        <v>31</v>
      </c>
      <c r="AL891" s="96">
        <f t="shared" si="211"/>
        <v>74</v>
      </c>
      <c r="AM891" s="92"/>
      <c r="AN891" s="91"/>
      <c r="AO891" s="91"/>
    </row>
    <row r="892" spans="1:41" ht="14.5" x14ac:dyDescent="0.25">
      <c r="A892" s="110" t="s">
        <v>1588</v>
      </c>
      <c r="B892" s="90"/>
      <c r="C892" s="160" t="s">
        <v>1589</v>
      </c>
      <c r="D892" s="181" t="s">
        <v>1590</v>
      </c>
      <c r="E892" s="182" t="s">
        <v>254</v>
      </c>
      <c r="F892" s="182" t="s">
        <v>1139</v>
      </c>
      <c r="G892" s="179" t="s">
        <v>163</v>
      </c>
      <c r="H892" s="160">
        <v>200</v>
      </c>
      <c r="I892" s="160" t="s">
        <v>502</v>
      </c>
      <c r="J892" s="160" t="s">
        <v>1140</v>
      </c>
      <c r="K892" s="181" t="s">
        <v>257</v>
      </c>
      <c r="L892" s="93" t="s">
        <v>2881</v>
      </c>
      <c r="M892" s="94" t="s">
        <v>3302</v>
      </c>
      <c r="N892" s="95" t="s">
        <v>2870</v>
      </c>
      <c r="O892" s="160">
        <v>5</v>
      </c>
      <c r="P892" s="97">
        <f t="shared" ref="P892:P898" si="220">1.18/23*O892</f>
        <v>0.2565217391304348</v>
      </c>
      <c r="Q892" s="160" t="s">
        <v>3430</v>
      </c>
      <c r="R892" s="160">
        <v>800</v>
      </c>
      <c r="S892" s="175"/>
      <c r="T892" s="131"/>
      <c r="U892" s="157">
        <f>R892*P892+700/23*O892</f>
        <v>357.39130434782612</v>
      </c>
      <c r="V892" s="100">
        <f t="shared" si="212"/>
        <v>1.7869565217391306</v>
      </c>
      <c r="W892" s="101">
        <f t="shared" si="213"/>
        <v>0.25527950310559006</v>
      </c>
      <c r="X892" s="175"/>
      <c r="Y892" s="175">
        <f>1016.41/23*O892</f>
        <v>220.9586956521739</v>
      </c>
      <c r="Z892" s="104" t="s">
        <v>476</v>
      </c>
      <c r="AA892" s="118">
        <v>45891</v>
      </c>
      <c r="AB892" s="118">
        <v>45928</v>
      </c>
      <c r="AC892" s="103"/>
      <c r="AD892" s="102">
        <f>IF(ISNA(VLOOKUP(D892,亚马逊入库配置费!B:F,5,0)),0,VLOOKUP(D892,亚马逊入库配置费!B:F,5,0))</f>
        <v>0</v>
      </c>
      <c r="AE892" s="102">
        <f t="shared" si="206"/>
        <v>0</v>
      </c>
      <c r="AF892" s="103">
        <v>45942</v>
      </c>
      <c r="AG892" s="91">
        <f t="shared" si="207"/>
        <v>51</v>
      </c>
      <c r="AH892" s="103">
        <v>45942</v>
      </c>
      <c r="AI892" s="103">
        <v>45961</v>
      </c>
      <c r="AJ892" s="96">
        <v>200</v>
      </c>
      <c r="AK892" s="91">
        <f t="shared" si="208"/>
        <v>19</v>
      </c>
      <c r="AL892" s="96">
        <f t="shared" si="211"/>
        <v>70</v>
      </c>
      <c r="AM892" s="92"/>
      <c r="AN892" s="91"/>
      <c r="AO892" s="91"/>
    </row>
    <row r="893" spans="1:41" ht="14.5" x14ac:dyDescent="0.25">
      <c r="A893" s="110" t="s">
        <v>1591</v>
      </c>
      <c r="B893" s="90"/>
      <c r="C893" s="160" t="s">
        <v>1589</v>
      </c>
      <c r="D893" s="181" t="s">
        <v>1590</v>
      </c>
      <c r="E893" s="182" t="s">
        <v>254</v>
      </c>
      <c r="F893" s="182" t="s">
        <v>1139</v>
      </c>
      <c r="G893" s="179" t="s">
        <v>350</v>
      </c>
      <c r="H893" s="160">
        <v>120</v>
      </c>
      <c r="I893" s="160" t="s">
        <v>502</v>
      </c>
      <c r="J893" s="160" t="s">
        <v>1140</v>
      </c>
      <c r="K893" s="181" t="s">
        <v>257</v>
      </c>
      <c r="L893" s="93" t="s">
        <v>3048</v>
      </c>
      <c r="M893" s="94" t="s">
        <v>3208</v>
      </c>
      <c r="N893" s="95" t="s">
        <v>2870</v>
      </c>
      <c r="O893" s="160">
        <v>3</v>
      </c>
      <c r="P893" s="97">
        <f t="shared" si="220"/>
        <v>0.15391304347826087</v>
      </c>
      <c r="Q893" s="160" t="s">
        <v>3430</v>
      </c>
      <c r="R893" s="160">
        <v>800</v>
      </c>
      <c r="S893" s="175"/>
      <c r="T893" s="131"/>
      <c r="U893" s="157">
        <f t="shared" ref="U893:U898" si="221">R893*P893+700/23*O893</f>
        <v>214.43478260869566</v>
      </c>
      <c r="V893" s="100">
        <f t="shared" si="212"/>
        <v>1.7869565217391306</v>
      </c>
      <c r="W893" s="101">
        <f t="shared" si="213"/>
        <v>0.25527950310559006</v>
      </c>
      <c r="X893" s="175"/>
      <c r="Y893" s="175">
        <f t="shared" ref="Y893:Y898" si="222">1016.41/23*O893</f>
        <v>132.57521739130436</v>
      </c>
      <c r="Z893" s="104" t="s">
        <v>476</v>
      </c>
      <c r="AA893" s="118">
        <v>45891</v>
      </c>
      <c r="AB893" s="103">
        <v>45928</v>
      </c>
      <c r="AC893" s="103"/>
      <c r="AD893" s="102">
        <f>IF(ISNA(VLOOKUP(D893,亚马逊入库配置费!B:F,5,0)),0,VLOOKUP(D893,亚马逊入库配置费!B:F,5,0))</f>
        <v>0</v>
      </c>
      <c r="AE893" s="102">
        <f t="shared" si="206"/>
        <v>0</v>
      </c>
      <c r="AF893" s="103">
        <v>45942</v>
      </c>
      <c r="AG893" s="91">
        <f t="shared" si="207"/>
        <v>51</v>
      </c>
      <c r="AH893" s="103">
        <v>45942</v>
      </c>
      <c r="AI893" s="103">
        <v>45961</v>
      </c>
      <c r="AJ893" s="96">
        <v>120</v>
      </c>
      <c r="AK893" s="91">
        <f t="shared" si="208"/>
        <v>19</v>
      </c>
      <c r="AL893" s="96">
        <f t="shared" si="211"/>
        <v>70</v>
      </c>
      <c r="AM893" s="92"/>
      <c r="AN893" s="91"/>
      <c r="AO893" s="91"/>
    </row>
    <row r="894" spans="1:41" ht="14.5" x14ac:dyDescent="0.25">
      <c r="A894" s="110" t="s">
        <v>1592</v>
      </c>
      <c r="B894" s="90"/>
      <c r="C894" s="160" t="s">
        <v>1589</v>
      </c>
      <c r="D894" s="181" t="s">
        <v>1590</v>
      </c>
      <c r="E894" s="182" t="s">
        <v>254</v>
      </c>
      <c r="F894" s="182" t="s">
        <v>1139</v>
      </c>
      <c r="G894" s="179" t="s">
        <v>352</v>
      </c>
      <c r="H894" s="160">
        <v>80</v>
      </c>
      <c r="I894" s="160" t="s">
        <v>502</v>
      </c>
      <c r="J894" s="160" t="s">
        <v>1140</v>
      </c>
      <c r="K894" s="181" t="s">
        <v>257</v>
      </c>
      <c r="L894" s="93" t="s">
        <v>3049</v>
      </c>
      <c r="M894" s="94" t="s">
        <v>3336</v>
      </c>
      <c r="N894" s="95" t="s">
        <v>2870</v>
      </c>
      <c r="O894" s="160">
        <v>2</v>
      </c>
      <c r="P894" s="97">
        <f t="shared" si="220"/>
        <v>0.10260869565217391</v>
      </c>
      <c r="Q894" s="160" t="s">
        <v>3430</v>
      </c>
      <c r="R894" s="160">
        <v>800</v>
      </c>
      <c r="S894" s="175"/>
      <c r="T894" s="131"/>
      <c r="U894" s="157">
        <f t="shared" si="221"/>
        <v>142.95652173913044</v>
      </c>
      <c r="V894" s="100">
        <f t="shared" si="212"/>
        <v>1.7869565217391306</v>
      </c>
      <c r="W894" s="101">
        <f t="shared" si="213"/>
        <v>0.25527950310559006</v>
      </c>
      <c r="X894" s="175"/>
      <c r="Y894" s="175">
        <f t="shared" si="222"/>
        <v>88.383478260869566</v>
      </c>
      <c r="Z894" s="104" t="s">
        <v>476</v>
      </c>
      <c r="AA894" s="118">
        <v>45891</v>
      </c>
      <c r="AB894" s="103">
        <v>45928</v>
      </c>
      <c r="AC894" s="103"/>
      <c r="AD894" s="102">
        <f>IF(ISNA(VLOOKUP(D894,亚马逊入库配置费!B:F,5,0)),0,VLOOKUP(D894,亚马逊入库配置费!B:F,5,0))</f>
        <v>0</v>
      </c>
      <c r="AE894" s="102">
        <f t="shared" si="206"/>
        <v>0</v>
      </c>
      <c r="AF894" s="103">
        <v>45942</v>
      </c>
      <c r="AG894" s="91">
        <f t="shared" si="207"/>
        <v>51</v>
      </c>
      <c r="AH894" s="103">
        <v>45942</v>
      </c>
      <c r="AI894" s="103">
        <v>45961</v>
      </c>
      <c r="AJ894" s="96">
        <v>80</v>
      </c>
      <c r="AK894" s="91">
        <f t="shared" si="208"/>
        <v>19</v>
      </c>
      <c r="AL894" s="96">
        <f t="shared" si="211"/>
        <v>70</v>
      </c>
      <c r="AM894" s="92"/>
      <c r="AN894" s="91"/>
      <c r="AO894" s="91"/>
    </row>
    <row r="895" spans="1:41" ht="14.5" x14ac:dyDescent="0.25">
      <c r="A895" s="110" t="s">
        <v>1593</v>
      </c>
      <c r="B895" s="90"/>
      <c r="C895" s="160" t="s">
        <v>1589</v>
      </c>
      <c r="D895" s="181" t="s">
        <v>1590</v>
      </c>
      <c r="E895" s="182" t="s">
        <v>254</v>
      </c>
      <c r="F895" s="182" t="s">
        <v>1139</v>
      </c>
      <c r="G895" s="179" t="s">
        <v>165</v>
      </c>
      <c r="H895" s="160">
        <v>200</v>
      </c>
      <c r="I895" s="160" t="s">
        <v>502</v>
      </c>
      <c r="J895" s="160" t="s">
        <v>1140</v>
      </c>
      <c r="K895" s="181" t="s">
        <v>257</v>
      </c>
      <c r="L895" s="93" t="s">
        <v>2880</v>
      </c>
      <c r="M895" s="94" t="s">
        <v>3209</v>
      </c>
      <c r="N895" s="95" t="s">
        <v>2870</v>
      </c>
      <c r="O895" s="160">
        <v>5</v>
      </c>
      <c r="P895" s="97">
        <f t="shared" si="220"/>
        <v>0.2565217391304348</v>
      </c>
      <c r="Q895" s="160" t="s">
        <v>3430</v>
      </c>
      <c r="R895" s="160">
        <v>800</v>
      </c>
      <c r="S895" s="175"/>
      <c r="T895" s="131"/>
      <c r="U895" s="157">
        <f t="shared" si="221"/>
        <v>357.39130434782612</v>
      </c>
      <c r="V895" s="100">
        <f t="shared" si="212"/>
        <v>1.7869565217391306</v>
      </c>
      <c r="W895" s="101">
        <f t="shared" si="213"/>
        <v>0.25527950310559006</v>
      </c>
      <c r="X895" s="175"/>
      <c r="Y895" s="175">
        <f t="shared" si="222"/>
        <v>220.9586956521739</v>
      </c>
      <c r="Z895" s="104" t="s">
        <v>476</v>
      </c>
      <c r="AA895" s="118">
        <v>45891</v>
      </c>
      <c r="AB895" s="103">
        <v>45928</v>
      </c>
      <c r="AC895" s="103"/>
      <c r="AD895" s="102">
        <f>IF(ISNA(VLOOKUP(D895,亚马逊入库配置费!B:F,5,0)),0,VLOOKUP(D895,亚马逊入库配置费!B:F,5,0))</f>
        <v>0</v>
      </c>
      <c r="AE895" s="102">
        <f t="shared" si="206"/>
        <v>0</v>
      </c>
      <c r="AF895" s="103">
        <v>45942</v>
      </c>
      <c r="AG895" s="91">
        <f t="shared" si="207"/>
        <v>51</v>
      </c>
      <c r="AH895" s="103">
        <v>45942</v>
      </c>
      <c r="AI895" s="103">
        <v>45961</v>
      </c>
      <c r="AJ895" s="96">
        <v>200</v>
      </c>
      <c r="AK895" s="91">
        <f t="shared" si="208"/>
        <v>19</v>
      </c>
      <c r="AL895" s="96">
        <f t="shared" si="211"/>
        <v>70</v>
      </c>
      <c r="AM895" s="92"/>
      <c r="AN895" s="91"/>
      <c r="AO895" s="91"/>
    </row>
    <row r="896" spans="1:41" ht="14.5" x14ac:dyDescent="0.25">
      <c r="A896" s="110" t="s">
        <v>1594</v>
      </c>
      <c r="B896" s="90"/>
      <c r="C896" s="160" t="s">
        <v>1589</v>
      </c>
      <c r="D896" s="181" t="s">
        <v>1590</v>
      </c>
      <c r="E896" s="182" t="s">
        <v>254</v>
      </c>
      <c r="F896" s="182" t="s">
        <v>1139</v>
      </c>
      <c r="G896" s="179" t="s">
        <v>211</v>
      </c>
      <c r="H896" s="160">
        <v>150</v>
      </c>
      <c r="I896" s="160" t="s">
        <v>502</v>
      </c>
      <c r="J896" s="160" t="s">
        <v>1140</v>
      </c>
      <c r="K896" s="181" t="s">
        <v>257</v>
      </c>
      <c r="L896" s="93" t="s">
        <v>3034</v>
      </c>
      <c r="M896" s="94" t="s">
        <v>3312</v>
      </c>
      <c r="N896" s="95" t="s">
        <v>2869</v>
      </c>
      <c r="O896" s="160">
        <v>5</v>
      </c>
      <c r="P896" s="97">
        <f t="shared" si="220"/>
        <v>0.2565217391304348</v>
      </c>
      <c r="Q896" s="160" t="s">
        <v>3430</v>
      </c>
      <c r="R896" s="160">
        <v>800</v>
      </c>
      <c r="S896" s="175"/>
      <c r="T896" s="131"/>
      <c r="U896" s="157">
        <f t="shared" si="221"/>
        <v>357.39130434782612</v>
      </c>
      <c r="V896" s="100">
        <f t="shared" si="212"/>
        <v>2.3826086956521739</v>
      </c>
      <c r="W896" s="101">
        <f t="shared" si="213"/>
        <v>0.34037267080745343</v>
      </c>
      <c r="X896" s="175"/>
      <c r="Y896" s="175">
        <f t="shared" si="222"/>
        <v>220.9586956521739</v>
      </c>
      <c r="Z896" s="104" t="s">
        <v>476</v>
      </c>
      <c r="AA896" s="118">
        <v>45891</v>
      </c>
      <c r="AB896" s="103">
        <v>45928</v>
      </c>
      <c r="AC896" s="103"/>
      <c r="AD896" s="102">
        <f>IF(ISNA(VLOOKUP(D896,亚马逊入库配置费!B:F,5,0)),0,VLOOKUP(D896,亚马逊入库配置费!B:F,5,0))</f>
        <v>0</v>
      </c>
      <c r="AE896" s="102">
        <f t="shared" si="206"/>
        <v>0</v>
      </c>
      <c r="AF896" s="103">
        <v>45942</v>
      </c>
      <c r="AG896" s="91">
        <f t="shared" si="207"/>
        <v>51</v>
      </c>
      <c r="AH896" s="103">
        <v>45942</v>
      </c>
      <c r="AI896" s="103">
        <v>45961</v>
      </c>
      <c r="AJ896" s="96">
        <v>150</v>
      </c>
      <c r="AK896" s="91">
        <f t="shared" si="208"/>
        <v>19</v>
      </c>
      <c r="AL896" s="96">
        <f t="shared" si="211"/>
        <v>70</v>
      </c>
      <c r="AM896" s="92"/>
      <c r="AN896" s="91"/>
      <c r="AO896" s="91"/>
    </row>
    <row r="897" spans="1:41" ht="14.5" x14ac:dyDescent="0.25">
      <c r="A897" s="110" t="s">
        <v>1595</v>
      </c>
      <c r="B897" s="90"/>
      <c r="C897" s="160" t="s">
        <v>1589</v>
      </c>
      <c r="D897" s="181" t="s">
        <v>1590</v>
      </c>
      <c r="E897" s="182" t="s">
        <v>254</v>
      </c>
      <c r="F897" s="182" t="s">
        <v>1139</v>
      </c>
      <c r="G897" s="179" t="s">
        <v>213</v>
      </c>
      <c r="H897" s="160">
        <v>60</v>
      </c>
      <c r="I897" s="160" t="s">
        <v>502</v>
      </c>
      <c r="J897" s="160" t="s">
        <v>1140</v>
      </c>
      <c r="K897" s="181" t="s">
        <v>257</v>
      </c>
      <c r="L897" s="93" t="s">
        <v>3035</v>
      </c>
      <c r="M897" s="94" t="s">
        <v>3313</v>
      </c>
      <c r="N897" s="95" t="s">
        <v>2869</v>
      </c>
      <c r="O897" s="160">
        <v>2</v>
      </c>
      <c r="P897" s="97">
        <f t="shared" si="220"/>
        <v>0.10260869565217391</v>
      </c>
      <c r="Q897" s="160" t="s">
        <v>3430</v>
      </c>
      <c r="R897" s="160">
        <v>800</v>
      </c>
      <c r="S897" s="175"/>
      <c r="T897" s="131"/>
      <c r="U897" s="157">
        <f t="shared" si="221"/>
        <v>142.95652173913044</v>
      </c>
      <c r="V897" s="100">
        <f t="shared" si="212"/>
        <v>2.3826086956521739</v>
      </c>
      <c r="W897" s="101">
        <f t="shared" si="213"/>
        <v>0.34037267080745343</v>
      </c>
      <c r="X897" s="175"/>
      <c r="Y897" s="175">
        <f t="shared" si="222"/>
        <v>88.383478260869566</v>
      </c>
      <c r="Z897" s="104" t="s">
        <v>476</v>
      </c>
      <c r="AA897" s="118">
        <v>45891</v>
      </c>
      <c r="AB897" s="103">
        <v>45928</v>
      </c>
      <c r="AC897" s="103"/>
      <c r="AD897" s="102">
        <f>IF(ISNA(VLOOKUP(D897,亚马逊入库配置费!B:F,5,0)),0,VLOOKUP(D897,亚马逊入库配置费!B:F,5,0))</f>
        <v>0</v>
      </c>
      <c r="AE897" s="102">
        <f t="shared" si="206"/>
        <v>0</v>
      </c>
      <c r="AF897" s="103">
        <v>45942</v>
      </c>
      <c r="AG897" s="91">
        <f t="shared" si="207"/>
        <v>51</v>
      </c>
      <c r="AH897" s="103">
        <v>45942</v>
      </c>
      <c r="AI897" s="103">
        <v>45961</v>
      </c>
      <c r="AJ897" s="96">
        <v>60</v>
      </c>
      <c r="AK897" s="91">
        <f t="shared" si="208"/>
        <v>19</v>
      </c>
      <c r="AL897" s="96">
        <f t="shared" si="211"/>
        <v>70</v>
      </c>
      <c r="AM897" s="92"/>
      <c r="AN897" s="91"/>
      <c r="AO897" s="91"/>
    </row>
    <row r="898" spans="1:41" ht="14.5" x14ac:dyDescent="0.25">
      <c r="A898" s="110" t="s">
        <v>1596</v>
      </c>
      <c r="B898" s="90"/>
      <c r="C898" s="160" t="s">
        <v>1589</v>
      </c>
      <c r="D898" s="181" t="s">
        <v>1590</v>
      </c>
      <c r="E898" s="182" t="s">
        <v>254</v>
      </c>
      <c r="F898" s="182" t="s">
        <v>1139</v>
      </c>
      <c r="G898" s="179" t="s">
        <v>594</v>
      </c>
      <c r="H898" s="160">
        <v>36</v>
      </c>
      <c r="I898" s="160" t="s">
        <v>502</v>
      </c>
      <c r="J898" s="160" t="s">
        <v>1140</v>
      </c>
      <c r="K898" s="181" t="s">
        <v>257</v>
      </c>
      <c r="L898" s="93" t="s">
        <v>2694</v>
      </c>
      <c r="M898" s="94" t="s">
        <v>3214</v>
      </c>
      <c r="N898" s="95" t="s">
        <v>2822</v>
      </c>
      <c r="O898" s="160">
        <v>1</v>
      </c>
      <c r="P898" s="97">
        <f t="shared" si="220"/>
        <v>5.1304347826086956E-2</v>
      </c>
      <c r="Q898" s="160" t="s">
        <v>3430</v>
      </c>
      <c r="R898" s="160">
        <v>800</v>
      </c>
      <c r="S898" s="175"/>
      <c r="T898" s="131"/>
      <c r="U898" s="157">
        <f t="shared" si="221"/>
        <v>71.478260869565219</v>
      </c>
      <c r="V898" s="100">
        <f t="shared" si="212"/>
        <v>1.9855072463768115</v>
      </c>
      <c r="W898" s="101">
        <f t="shared" si="213"/>
        <v>0.28364389233954451</v>
      </c>
      <c r="X898" s="175"/>
      <c r="Y898" s="175">
        <f t="shared" si="222"/>
        <v>44.191739130434783</v>
      </c>
      <c r="Z898" s="104" t="s">
        <v>476</v>
      </c>
      <c r="AA898" s="118">
        <v>45891</v>
      </c>
      <c r="AB898" s="103">
        <v>45928</v>
      </c>
      <c r="AC898" s="103"/>
      <c r="AD898" s="102">
        <f>IF(ISNA(VLOOKUP(D898,亚马逊入库配置费!B:F,5,0)),0,VLOOKUP(D898,亚马逊入库配置费!B:F,5,0))</f>
        <v>0</v>
      </c>
      <c r="AE898" s="102">
        <f t="shared" ref="AE898:AE961" si="223">H898*AD898</f>
        <v>0</v>
      </c>
      <c r="AF898" s="103">
        <v>45942</v>
      </c>
      <c r="AG898" s="91">
        <f t="shared" ref="AG898:AG961" si="224">AF898-AA898</f>
        <v>51</v>
      </c>
      <c r="AH898" s="103">
        <v>45942</v>
      </c>
      <c r="AI898" s="103">
        <v>45961</v>
      </c>
      <c r="AJ898" s="96">
        <v>36</v>
      </c>
      <c r="AK898" s="91">
        <f t="shared" ref="AK898:AK961" si="225">AI898-AH898</f>
        <v>19</v>
      </c>
      <c r="AL898" s="96">
        <f t="shared" si="211"/>
        <v>70</v>
      </c>
      <c r="AM898" s="92"/>
      <c r="AN898" s="91"/>
      <c r="AO898" s="91"/>
    </row>
    <row r="899" spans="1:41" ht="14.5" x14ac:dyDescent="0.25">
      <c r="A899" s="92" t="s">
        <v>1597</v>
      </c>
      <c r="B899" s="91"/>
      <c r="C899" s="180" t="s">
        <v>1598</v>
      </c>
      <c r="D899" s="177" t="s">
        <v>1599</v>
      </c>
      <c r="E899" s="178" t="s">
        <v>97</v>
      </c>
      <c r="F899" s="178" t="s">
        <v>1369</v>
      </c>
      <c r="G899" s="179" t="s">
        <v>228</v>
      </c>
      <c r="H899" s="160">
        <v>360</v>
      </c>
      <c r="I899" s="160" t="s">
        <v>1234</v>
      </c>
      <c r="J899" s="160" t="s">
        <v>1387</v>
      </c>
      <c r="K899" s="177" t="s">
        <v>9</v>
      </c>
      <c r="L899" s="93" t="s">
        <v>3036</v>
      </c>
      <c r="M899" s="94" t="s">
        <v>3315</v>
      </c>
      <c r="N899" s="95" t="s">
        <v>2870</v>
      </c>
      <c r="O899" s="171">
        <v>18</v>
      </c>
      <c r="P899" s="97">
        <f t="shared" ref="P899:P904" si="226">6.02/94*O899</f>
        <v>1.1527659574468083</v>
      </c>
      <c r="Q899" s="170" t="s">
        <v>3264</v>
      </c>
      <c r="R899" s="171">
        <v>2340</v>
      </c>
      <c r="S899" s="167"/>
      <c r="T899" s="168"/>
      <c r="U899" s="157">
        <f t="shared" ref="U899:U904" si="227">R899*P899+220/94*O899</f>
        <v>2739.5999999999995</v>
      </c>
      <c r="V899" s="100">
        <f t="shared" si="212"/>
        <v>7.6099999999999985</v>
      </c>
      <c r="W899" s="101">
        <f t="shared" si="213"/>
        <v>1.087142857142857</v>
      </c>
      <c r="X899" s="167"/>
      <c r="Y899" s="167"/>
      <c r="Z899" s="102"/>
      <c r="AA899" s="103">
        <v>45891</v>
      </c>
      <c r="AB899" s="103">
        <v>45907</v>
      </c>
      <c r="AC899" s="103"/>
      <c r="AD899" s="102">
        <f>IF(ISNA(VLOOKUP(D899,亚马逊入库配置费!B:F,5,0)),0,VLOOKUP(D899,亚马逊入库配置费!B:F,5,0))</f>
        <v>0.39467153284671502</v>
      </c>
      <c r="AE899" s="102">
        <f t="shared" si="223"/>
        <v>142.08175182481742</v>
      </c>
      <c r="AF899" s="103">
        <v>45911</v>
      </c>
      <c r="AG899" s="91">
        <f t="shared" si="224"/>
        <v>20</v>
      </c>
      <c r="AH899" s="103">
        <v>45911</v>
      </c>
      <c r="AI899" s="103">
        <v>45947</v>
      </c>
      <c r="AJ899" s="96">
        <v>360</v>
      </c>
      <c r="AK899" s="91">
        <f t="shared" si="225"/>
        <v>36</v>
      </c>
      <c r="AL899" s="96">
        <f t="shared" si="211"/>
        <v>56</v>
      </c>
      <c r="AM899" s="92"/>
      <c r="AN899" s="91"/>
      <c r="AO899" s="91"/>
    </row>
    <row r="900" spans="1:41" ht="14.5" x14ac:dyDescent="0.25">
      <c r="A900" s="92" t="s">
        <v>1600</v>
      </c>
      <c r="B900" s="91"/>
      <c r="C900" s="180" t="s">
        <v>1598</v>
      </c>
      <c r="D900" s="177" t="s">
        <v>1599</v>
      </c>
      <c r="E900" s="178" t="s">
        <v>97</v>
      </c>
      <c r="F900" s="178" t="s">
        <v>1369</v>
      </c>
      <c r="G900" s="179" t="s">
        <v>1195</v>
      </c>
      <c r="H900" s="160">
        <v>300</v>
      </c>
      <c r="I900" s="160" t="s">
        <v>1234</v>
      </c>
      <c r="J900" s="160" t="s">
        <v>1387</v>
      </c>
      <c r="K900" s="177" t="s">
        <v>9</v>
      </c>
      <c r="L900" s="93" t="s">
        <v>1195</v>
      </c>
      <c r="M900" s="94" t="s">
        <v>3433</v>
      </c>
      <c r="N900" s="95" t="s">
        <v>2870</v>
      </c>
      <c r="O900" s="171">
        <v>10</v>
      </c>
      <c r="P900" s="97">
        <f t="shared" si="226"/>
        <v>0.64042553191489349</v>
      </c>
      <c r="Q900" s="170" t="s">
        <v>3264</v>
      </c>
      <c r="R900" s="171">
        <v>2340</v>
      </c>
      <c r="S900" s="167"/>
      <c r="T900" s="168"/>
      <c r="U900" s="157">
        <f t="shared" si="227"/>
        <v>1521.9999999999995</v>
      </c>
      <c r="V900" s="100">
        <f t="shared" si="212"/>
        <v>5.0733333333333315</v>
      </c>
      <c r="W900" s="101">
        <f t="shared" si="213"/>
        <v>0.7247619047619045</v>
      </c>
      <c r="X900" s="167"/>
      <c r="Y900" s="167"/>
      <c r="Z900" s="102"/>
      <c r="AA900" s="103">
        <v>45891</v>
      </c>
      <c r="AB900" s="103">
        <v>45907</v>
      </c>
      <c r="AC900" s="103"/>
      <c r="AD900" s="102">
        <f>IF(ISNA(VLOOKUP(D900,亚马逊入库配置费!B:F,5,0)),0,VLOOKUP(D900,亚马逊入库配置费!B:F,5,0))</f>
        <v>0.39467153284671502</v>
      </c>
      <c r="AE900" s="102">
        <f t="shared" si="223"/>
        <v>118.4014598540145</v>
      </c>
      <c r="AF900" s="103">
        <v>45911</v>
      </c>
      <c r="AG900" s="91">
        <f t="shared" si="224"/>
        <v>20</v>
      </c>
      <c r="AH900" s="103">
        <v>45911</v>
      </c>
      <c r="AI900" s="103">
        <v>45947</v>
      </c>
      <c r="AJ900" s="96">
        <v>300</v>
      </c>
      <c r="AK900" s="91">
        <f t="shared" si="225"/>
        <v>36</v>
      </c>
      <c r="AL900" s="96">
        <f t="shared" ref="AL900:AL963" si="228">AG900+AK900</f>
        <v>56</v>
      </c>
      <c r="AM900" s="92"/>
      <c r="AN900" s="91"/>
      <c r="AO900" s="91"/>
    </row>
    <row r="901" spans="1:41" ht="14.5" x14ac:dyDescent="0.25">
      <c r="A901" s="92" t="s">
        <v>1601</v>
      </c>
      <c r="B901" s="91"/>
      <c r="C901" s="180" t="s">
        <v>1598</v>
      </c>
      <c r="D901" s="177" t="s">
        <v>1599</v>
      </c>
      <c r="E901" s="178" t="s">
        <v>97</v>
      </c>
      <c r="F901" s="178" t="s">
        <v>1369</v>
      </c>
      <c r="G901" s="179" t="s">
        <v>872</v>
      </c>
      <c r="H901" s="160">
        <v>900</v>
      </c>
      <c r="I901" s="160" t="s">
        <v>1234</v>
      </c>
      <c r="J901" s="160" t="s">
        <v>1387</v>
      </c>
      <c r="K901" s="177" t="s">
        <v>9</v>
      </c>
      <c r="L901" s="93" t="s">
        <v>872</v>
      </c>
      <c r="M901" s="94" t="s">
        <v>3399</v>
      </c>
      <c r="N901" s="95" t="s">
        <v>2870</v>
      </c>
      <c r="O901" s="171">
        <v>30</v>
      </c>
      <c r="P901" s="97">
        <f t="shared" si="226"/>
        <v>1.9212765957446807</v>
      </c>
      <c r="Q901" s="170" t="s">
        <v>3264</v>
      </c>
      <c r="R901" s="171">
        <v>2340</v>
      </c>
      <c r="S901" s="167"/>
      <c r="T901" s="168"/>
      <c r="U901" s="157">
        <f t="shared" si="227"/>
        <v>4566</v>
      </c>
      <c r="V901" s="100">
        <f t="shared" si="212"/>
        <v>5.0733333333333333</v>
      </c>
      <c r="W901" s="101">
        <f t="shared" si="213"/>
        <v>0.72476190476190472</v>
      </c>
      <c r="X901" s="167"/>
      <c r="Y901" s="167"/>
      <c r="Z901" s="102"/>
      <c r="AA901" s="103">
        <v>45891</v>
      </c>
      <c r="AB901" s="103">
        <v>45907</v>
      </c>
      <c r="AC901" s="103"/>
      <c r="AD901" s="102">
        <f>IF(ISNA(VLOOKUP(D901,亚马逊入库配置费!B:F,5,0)),0,VLOOKUP(D901,亚马逊入库配置费!B:F,5,0))</f>
        <v>0.39467153284671502</v>
      </c>
      <c r="AE901" s="102">
        <f t="shared" si="223"/>
        <v>355.20437956204353</v>
      </c>
      <c r="AF901" s="103">
        <v>45911</v>
      </c>
      <c r="AG901" s="91">
        <f t="shared" si="224"/>
        <v>20</v>
      </c>
      <c r="AH901" s="103">
        <v>45911</v>
      </c>
      <c r="AI901" s="103">
        <v>45947</v>
      </c>
      <c r="AJ901" s="96">
        <v>900</v>
      </c>
      <c r="AK901" s="91">
        <f t="shared" si="225"/>
        <v>36</v>
      </c>
      <c r="AL901" s="96">
        <f t="shared" si="228"/>
        <v>56</v>
      </c>
      <c r="AM901" s="92"/>
      <c r="AN901" s="91"/>
      <c r="AO901" s="91"/>
    </row>
    <row r="902" spans="1:41" ht="14.5" x14ac:dyDescent="0.25">
      <c r="A902" s="92" t="s">
        <v>1602</v>
      </c>
      <c r="B902" s="91"/>
      <c r="C902" s="180" t="s">
        <v>1598</v>
      </c>
      <c r="D902" s="177" t="s">
        <v>1599</v>
      </c>
      <c r="E902" s="178" t="s">
        <v>97</v>
      </c>
      <c r="F902" s="178" t="s">
        <v>1369</v>
      </c>
      <c r="G902" s="179" t="s">
        <v>231</v>
      </c>
      <c r="H902" s="160">
        <v>100</v>
      </c>
      <c r="I902" s="160" t="s">
        <v>1234</v>
      </c>
      <c r="J902" s="160" t="s">
        <v>1387</v>
      </c>
      <c r="K902" s="177" t="s">
        <v>9</v>
      </c>
      <c r="L902" s="93" t="s">
        <v>3037</v>
      </c>
      <c r="M902" s="94" t="s">
        <v>3207</v>
      </c>
      <c r="N902" s="95" t="s">
        <v>2870</v>
      </c>
      <c r="O902" s="171">
        <v>5</v>
      </c>
      <c r="P902" s="97">
        <f t="shared" si="226"/>
        <v>0.32021276595744674</v>
      </c>
      <c r="Q902" s="170" t="s">
        <v>3264</v>
      </c>
      <c r="R902" s="171">
        <v>2340</v>
      </c>
      <c r="S902" s="167"/>
      <c r="T902" s="168"/>
      <c r="U902" s="157">
        <f t="shared" si="227"/>
        <v>760.99999999999977</v>
      </c>
      <c r="V902" s="100">
        <f t="shared" si="212"/>
        <v>7.6099999999999977</v>
      </c>
      <c r="W902" s="101">
        <f t="shared" si="213"/>
        <v>1.0871428571428567</v>
      </c>
      <c r="X902" s="167"/>
      <c r="Y902" s="167"/>
      <c r="Z902" s="102"/>
      <c r="AA902" s="103">
        <v>45891</v>
      </c>
      <c r="AB902" s="103">
        <v>45907</v>
      </c>
      <c r="AC902" s="103"/>
      <c r="AD902" s="102">
        <f>IF(ISNA(VLOOKUP(D902,亚马逊入库配置费!B:F,5,0)),0,VLOOKUP(D902,亚马逊入库配置费!B:F,5,0))</f>
        <v>0.39467153284671502</v>
      </c>
      <c r="AE902" s="102">
        <f t="shared" si="223"/>
        <v>39.467153284671504</v>
      </c>
      <c r="AF902" s="103">
        <v>45911</v>
      </c>
      <c r="AG902" s="91">
        <f t="shared" si="224"/>
        <v>20</v>
      </c>
      <c r="AH902" s="103">
        <v>45911</v>
      </c>
      <c r="AI902" s="103">
        <v>45947</v>
      </c>
      <c r="AJ902" s="96">
        <v>100</v>
      </c>
      <c r="AK902" s="91">
        <f t="shared" si="225"/>
        <v>36</v>
      </c>
      <c r="AL902" s="96">
        <f t="shared" si="228"/>
        <v>56</v>
      </c>
      <c r="AM902" s="92"/>
      <c r="AN902" s="91"/>
      <c r="AO902" s="91"/>
    </row>
    <row r="903" spans="1:41" ht="14.5" x14ac:dyDescent="0.25">
      <c r="A903" s="92" t="s">
        <v>1603</v>
      </c>
      <c r="B903" s="91"/>
      <c r="C903" s="180" t="s">
        <v>1598</v>
      </c>
      <c r="D903" s="177" t="s">
        <v>1599</v>
      </c>
      <c r="E903" s="178" t="s">
        <v>97</v>
      </c>
      <c r="F903" s="178" t="s">
        <v>1369</v>
      </c>
      <c r="G903" s="179" t="s">
        <v>165</v>
      </c>
      <c r="H903" s="160">
        <v>600</v>
      </c>
      <c r="I903" s="160" t="s">
        <v>1234</v>
      </c>
      <c r="J903" s="160" t="s">
        <v>1387</v>
      </c>
      <c r="K903" s="177" t="s">
        <v>9</v>
      </c>
      <c r="L903" s="93" t="s">
        <v>2880</v>
      </c>
      <c r="M903" s="94" t="s">
        <v>3209</v>
      </c>
      <c r="N903" s="95" t="s">
        <v>2870</v>
      </c>
      <c r="O903" s="171">
        <v>15</v>
      </c>
      <c r="P903" s="97">
        <f t="shared" si="226"/>
        <v>0.96063829787234034</v>
      </c>
      <c r="Q903" s="170" t="s">
        <v>3264</v>
      </c>
      <c r="R903" s="171">
        <v>2340</v>
      </c>
      <c r="S903" s="167"/>
      <c r="T903" s="168"/>
      <c r="U903" s="157">
        <f t="shared" si="227"/>
        <v>2283</v>
      </c>
      <c r="V903" s="100">
        <f t="shared" si="212"/>
        <v>3.8050000000000002</v>
      </c>
      <c r="W903" s="101">
        <f t="shared" si="213"/>
        <v>0.54357142857142859</v>
      </c>
      <c r="X903" s="167"/>
      <c r="Y903" s="167"/>
      <c r="Z903" s="102"/>
      <c r="AA903" s="103">
        <v>45891</v>
      </c>
      <c r="AB903" s="103">
        <v>45907</v>
      </c>
      <c r="AC903" s="103"/>
      <c r="AD903" s="102">
        <f>IF(ISNA(VLOOKUP(D903,亚马逊入库配置费!B:F,5,0)),0,VLOOKUP(D903,亚马逊入库配置费!B:F,5,0))</f>
        <v>0.39467153284671502</v>
      </c>
      <c r="AE903" s="102">
        <f t="shared" si="223"/>
        <v>236.80291970802901</v>
      </c>
      <c r="AF903" s="103">
        <v>45911</v>
      </c>
      <c r="AG903" s="91">
        <f t="shared" si="224"/>
        <v>20</v>
      </c>
      <c r="AH903" s="103">
        <v>45911</v>
      </c>
      <c r="AI903" s="103">
        <v>45947</v>
      </c>
      <c r="AJ903" s="96">
        <v>599</v>
      </c>
      <c r="AK903" s="91">
        <f t="shared" si="225"/>
        <v>36</v>
      </c>
      <c r="AL903" s="96">
        <f t="shared" si="228"/>
        <v>56</v>
      </c>
      <c r="AM903" s="92"/>
      <c r="AN903" s="91"/>
      <c r="AO903" s="91"/>
    </row>
    <row r="904" spans="1:41" ht="14.5" x14ac:dyDescent="0.25">
      <c r="A904" s="92" t="s">
        <v>1604</v>
      </c>
      <c r="B904" s="91"/>
      <c r="C904" s="180" t="s">
        <v>1598</v>
      </c>
      <c r="D904" s="177" t="s">
        <v>1599</v>
      </c>
      <c r="E904" s="178" t="s">
        <v>97</v>
      </c>
      <c r="F904" s="178" t="s">
        <v>1369</v>
      </c>
      <c r="G904" s="179" t="s">
        <v>1215</v>
      </c>
      <c r="H904" s="160">
        <v>480</v>
      </c>
      <c r="I904" s="160" t="s">
        <v>1234</v>
      </c>
      <c r="J904" s="160" t="s">
        <v>1387</v>
      </c>
      <c r="K904" s="177" t="s">
        <v>9</v>
      </c>
      <c r="L904" s="93" t="s">
        <v>3095</v>
      </c>
      <c r="M904" s="94" t="s">
        <v>3436</v>
      </c>
      <c r="N904" s="95" t="s">
        <v>2867</v>
      </c>
      <c r="O904" s="171">
        <v>16</v>
      </c>
      <c r="P904" s="97">
        <f t="shared" si="226"/>
        <v>1.0246808510638297</v>
      </c>
      <c r="Q904" s="170" t="s">
        <v>3264</v>
      </c>
      <c r="R904" s="171">
        <v>2340</v>
      </c>
      <c r="S904" s="167"/>
      <c r="T904" s="168"/>
      <c r="U904" s="157">
        <f t="shared" si="227"/>
        <v>2435.1999999999998</v>
      </c>
      <c r="V904" s="100">
        <f t="shared" si="212"/>
        <v>5.0733333333333333</v>
      </c>
      <c r="W904" s="101">
        <f t="shared" si="213"/>
        <v>0.72476190476190472</v>
      </c>
      <c r="X904" s="167"/>
      <c r="Y904" s="167"/>
      <c r="Z904" s="102"/>
      <c r="AA904" s="103">
        <v>45891</v>
      </c>
      <c r="AB904" s="103">
        <v>45907</v>
      </c>
      <c r="AC904" s="103"/>
      <c r="AD904" s="102">
        <f>IF(ISNA(VLOOKUP(D904,亚马逊入库配置费!B:F,5,0)),0,VLOOKUP(D904,亚马逊入库配置费!B:F,5,0))</f>
        <v>0.39467153284671502</v>
      </c>
      <c r="AE904" s="102">
        <f t="shared" si="223"/>
        <v>189.44233576642321</v>
      </c>
      <c r="AF904" s="103">
        <v>45911</v>
      </c>
      <c r="AG904" s="91">
        <f t="shared" si="224"/>
        <v>20</v>
      </c>
      <c r="AH904" s="103">
        <v>45911</v>
      </c>
      <c r="AI904" s="103">
        <v>45947</v>
      </c>
      <c r="AJ904" s="96">
        <v>480</v>
      </c>
      <c r="AK904" s="91">
        <f t="shared" si="225"/>
        <v>36</v>
      </c>
      <c r="AL904" s="96">
        <f t="shared" si="228"/>
        <v>56</v>
      </c>
      <c r="AM904" s="92"/>
      <c r="AN904" s="91"/>
      <c r="AO904" s="91"/>
    </row>
    <row r="905" spans="1:41" ht="14.5" x14ac:dyDescent="0.25">
      <c r="A905" s="92" t="s">
        <v>1605</v>
      </c>
      <c r="B905" s="91"/>
      <c r="C905" s="180" t="s">
        <v>1606</v>
      </c>
      <c r="D905" s="177" t="s">
        <v>1607</v>
      </c>
      <c r="E905" s="178" t="s">
        <v>97</v>
      </c>
      <c r="F905" s="178" t="s">
        <v>1369</v>
      </c>
      <c r="G905" s="179" t="s">
        <v>228</v>
      </c>
      <c r="H905" s="160">
        <v>320</v>
      </c>
      <c r="I905" s="160" t="s">
        <v>1227</v>
      </c>
      <c r="J905" s="160" t="s">
        <v>503</v>
      </c>
      <c r="K905" s="177" t="s">
        <v>46</v>
      </c>
      <c r="L905" s="93" t="s">
        <v>3036</v>
      </c>
      <c r="M905" s="94" t="s">
        <v>3315</v>
      </c>
      <c r="N905" s="95" t="s">
        <v>2870</v>
      </c>
      <c r="O905" s="171">
        <v>16</v>
      </c>
      <c r="P905" s="97">
        <v>222.091743119266</v>
      </c>
      <c r="Q905" s="165" t="s">
        <v>16</v>
      </c>
      <c r="R905" s="171">
        <v>3.8</v>
      </c>
      <c r="S905" s="167"/>
      <c r="T905" s="168"/>
      <c r="U905" s="157">
        <f t="shared" ref="U905:U914" si="229">R905*P905+350/109*O905</f>
        <v>895.32477064220154</v>
      </c>
      <c r="V905" s="100">
        <f t="shared" si="212"/>
        <v>2.79788990825688</v>
      </c>
      <c r="W905" s="101">
        <f t="shared" si="213"/>
        <v>0.39969855832241141</v>
      </c>
      <c r="X905" s="167"/>
      <c r="Y905" s="167"/>
      <c r="Z905" s="102"/>
      <c r="AA905" s="103">
        <v>45891</v>
      </c>
      <c r="AB905" s="103">
        <v>45912</v>
      </c>
      <c r="AC905" s="103"/>
      <c r="AD905" s="102">
        <f>IF(ISNA(VLOOKUP(D905,亚马逊入库配置费!B:F,5,0)),0,VLOOKUP(D905,亚马逊入库配置费!B:F,5,0))</f>
        <v>0.36943181818181797</v>
      </c>
      <c r="AE905" s="102">
        <f t="shared" si="223"/>
        <v>118.21818181818175</v>
      </c>
      <c r="AF905" s="103">
        <v>45932</v>
      </c>
      <c r="AG905" s="91">
        <f t="shared" si="224"/>
        <v>41</v>
      </c>
      <c r="AH905" s="103">
        <v>45932</v>
      </c>
      <c r="AI905" s="103">
        <v>45974</v>
      </c>
      <c r="AJ905" s="96">
        <v>320</v>
      </c>
      <c r="AK905" s="91">
        <f t="shared" si="225"/>
        <v>42</v>
      </c>
      <c r="AL905" s="96">
        <f t="shared" si="228"/>
        <v>83</v>
      </c>
      <c r="AM905" s="92"/>
      <c r="AN905" s="91"/>
      <c r="AO905" s="91"/>
    </row>
    <row r="906" spans="1:41" ht="14.5" x14ac:dyDescent="0.25">
      <c r="A906" s="92" t="s">
        <v>1608</v>
      </c>
      <c r="B906" s="91"/>
      <c r="C906" s="180" t="s">
        <v>1606</v>
      </c>
      <c r="D906" s="177" t="s">
        <v>1607</v>
      </c>
      <c r="E906" s="178" t="s">
        <v>97</v>
      </c>
      <c r="F906" s="178" t="s">
        <v>1369</v>
      </c>
      <c r="G906" s="179" t="s">
        <v>163</v>
      </c>
      <c r="H906" s="160">
        <v>1600</v>
      </c>
      <c r="I906" s="160" t="s">
        <v>1227</v>
      </c>
      <c r="J906" s="160" t="s">
        <v>503</v>
      </c>
      <c r="K906" s="177" t="s">
        <v>46</v>
      </c>
      <c r="L906" s="93" t="s">
        <v>2881</v>
      </c>
      <c r="M906" s="94" t="s">
        <v>3302</v>
      </c>
      <c r="N906" s="95" t="s">
        <v>2870</v>
      </c>
      <c r="O906" s="171">
        <v>40</v>
      </c>
      <c r="P906" s="97">
        <v>555.22935779816498</v>
      </c>
      <c r="Q906" s="165" t="s">
        <v>16</v>
      </c>
      <c r="R906" s="171">
        <v>3.8</v>
      </c>
      <c r="S906" s="167"/>
      <c r="T906" s="168"/>
      <c r="U906" s="157">
        <f t="shared" si="229"/>
        <v>2238.3119266055037</v>
      </c>
      <c r="V906" s="100">
        <f t="shared" si="212"/>
        <v>1.3989449541284398</v>
      </c>
      <c r="W906" s="101">
        <f t="shared" si="213"/>
        <v>0.19984927916120568</v>
      </c>
      <c r="X906" s="167"/>
      <c r="Y906" s="167"/>
      <c r="Z906" s="102"/>
      <c r="AA906" s="103">
        <v>45891</v>
      </c>
      <c r="AB906" s="103">
        <v>45912</v>
      </c>
      <c r="AC906" s="103"/>
      <c r="AD906" s="102">
        <f>IF(ISNA(VLOOKUP(D906,亚马逊入库配置费!B:F,5,0)),0,VLOOKUP(D906,亚马逊入库配置费!B:F,5,0))</f>
        <v>0.36943181818181797</v>
      </c>
      <c r="AE906" s="102">
        <f t="shared" si="223"/>
        <v>591.09090909090878</v>
      </c>
      <c r="AF906" s="103">
        <v>45932</v>
      </c>
      <c r="AG906" s="91">
        <f t="shared" si="224"/>
        <v>41</v>
      </c>
      <c r="AH906" s="103">
        <v>45932</v>
      </c>
      <c r="AI906" s="103">
        <v>45974</v>
      </c>
      <c r="AJ906" s="96">
        <v>1640</v>
      </c>
      <c r="AK906" s="91">
        <f t="shared" si="225"/>
        <v>42</v>
      </c>
      <c r="AL906" s="96">
        <f t="shared" si="228"/>
        <v>83</v>
      </c>
      <c r="AM906" s="92"/>
      <c r="AN906" s="91"/>
      <c r="AO906" s="91"/>
    </row>
    <row r="907" spans="1:41" ht="14.5" x14ac:dyDescent="0.25">
      <c r="A907" s="92" t="s">
        <v>1609</v>
      </c>
      <c r="B907" s="91"/>
      <c r="C907" s="180" t="s">
        <v>1606</v>
      </c>
      <c r="D907" s="177" t="s">
        <v>1607</v>
      </c>
      <c r="E907" s="178" t="s">
        <v>97</v>
      </c>
      <c r="F907" s="178" t="s">
        <v>1369</v>
      </c>
      <c r="G907" s="179" t="s">
        <v>1195</v>
      </c>
      <c r="H907" s="160">
        <v>150</v>
      </c>
      <c r="I907" s="160" t="s">
        <v>1227</v>
      </c>
      <c r="J907" s="160" t="s">
        <v>503</v>
      </c>
      <c r="K907" s="177" t="s">
        <v>46</v>
      </c>
      <c r="L907" s="93" t="s">
        <v>1195</v>
      </c>
      <c r="M907" s="94" t="s">
        <v>3433</v>
      </c>
      <c r="N907" s="95" t="s">
        <v>2870</v>
      </c>
      <c r="O907" s="171">
        <v>5</v>
      </c>
      <c r="P907" s="97">
        <v>69.403669724770594</v>
      </c>
      <c r="Q907" s="165" t="s">
        <v>16</v>
      </c>
      <c r="R907" s="171">
        <v>3.8</v>
      </c>
      <c r="S907" s="167"/>
      <c r="T907" s="168"/>
      <c r="U907" s="157">
        <f t="shared" si="229"/>
        <v>279.78899082568785</v>
      </c>
      <c r="V907" s="100">
        <f t="shared" si="212"/>
        <v>1.865259938837919</v>
      </c>
      <c r="W907" s="101">
        <f t="shared" si="213"/>
        <v>0.26646570554827415</v>
      </c>
      <c r="X907" s="167"/>
      <c r="Y907" s="167"/>
      <c r="Z907" s="102"/>
      <c r="AA907" s="103">
        <v>45891</v>
      </c>
      <c r="AB907" s="103">
        <v>45912</v>
      </c>
      <c r="AC907" s="103"/>
      <c r="AD907" s="102">
        <f>IF(ISNA(VLOOKUP(D907,亚马逊入库配置费!B:F,5,0)),0,VLOOKUP(D907,亚马逊入库配置费!B:F,5,0))</f>
        <v>0.36943181818181797</v>
      </c>
      <c r="AE907" s="102">
        <f t="shared" si="223"/>
        <v>55.414772727272698</v>
      </c>
      <c r="AF907" s="103">
        <v>45932</v>
      </c>
      <c r="AG907" s="91">
        <f t="shared" si="224"/>
        <v>41</v>
      </c>
      <c r="AH907" s="103">
        <v>45932</v>
      </c>
      <c r="AI907" s="103">
        <v>45974</v>
      </c>
      <c r="AJ907" s="96">
        <v>149</v>
      </c>
      <c r="AK907" s="91">
        <f t="shared" si="225"/>
        <v>42</v>
      </c>
      <c r="AL907" s="96">
        <f t="shared" si="228"/>
        <v>83</v>
      </c>
      <c r="AM907" s="92"/>
      <c r="AN907" s="91"/>
      <c r="AO907" s="91"/>
    </row>
    <row r="908" spans="1:41" ht="14.5" x14ac:dyDescent="0.25">
      <c r="A908" s="92" t="s">
        <v>1610</v>
      </c>
      <c r="B908" s="91"/>
      <c r="C908" s="180" t="s">
        <v>1606</v>
      </c>
      <c r="D908" s="177" t="s">
        <v>1607</v>
      </c>
      <c r="E908" s="178" t="s">
        <v>97</v>
      </c>
      <c r="F908" s="178" t="s">
        <v>1369</v>
      </c>
      <c r="G908" s="179" t="s">
        <v>872</v>
      </c>
      <c r="H908" s="160">
        <v>600</v>
      </c>
      <c r="I908" s="160" t="s">
        <v>1227</v>
      </c>
      <c r="J908" s="160" t="s">
        <v>503</v>
      </c>
      <c r="K908" s="177" t="s">
        <v>46</v>
      </c>
      <c r="L908" s="93" t="s">
        <v>872</v>
      </c>
      <c r="M908" s="94" t="s">
        <v>3399</v>
      </c>
      <c r="N908" s="95" t="s">
        <v>2870</v>
      </c>
      <c r="O908" s="171">
        <v>20</v>
      </c>
      <c r="P908" s="97">
        <v>277.614678899083</v>
      </c>
      <c r="Q908" s="165" t="s">
        <v>16</v>
      </c>
      <c r="R908" s="171">
        <v>3.8</v>
      </c>
      <c r="S908" s="167"/>
      <c r="T908" s="168"/>
      <c r="U908" s="157">
        <f t="shared" si="229"/>
        <v>1119.1559633027539</v>
      </c>
      <c r="V908" s="100">
        <f t="shared" si="212"/>
        <v>1.8652599388379232</v>
      </c>
      <c r="W908" s="101">
        <f t="shared" si="213"/>
        <v>0.26646570554827476</v>
      </c>
      <c r="X908" s="167"/>
      <c r="Y908" s="167"/>
      <c r="Z908" s="102"/>
      <c r="AA908" s="103">
        <v>45891</v>
      </c>
      <c r="AB908" s="103">
        <v>45912</v>
      </c>
      <c r="AC908" s="103"/>
      <c r="AD908" s="102">
        <f>IF(ISNA(VLOOKUP(D908,亚马逊入库配置费!B:F,5,0)),0,VLOOKUP(D908,亚马逊入库配置费!B:F,5,0))</f>
        <v>0.36943181818181797</v>
      </c>
      <c r="AE908" s="102">
        <f t="shared" si="223"/>
        <v>221.65909090909079</v>
      </c>
      <c r="AF908" s="103">
        <v>45932</v>
      </c>
      <c r="AG908" s="91">
        <f t="shared" si="224"/>
        <v>41</v>
      </c>
      <c r="AH908" s="103">
        <v>45932</v>
      </c>
      <c r="AI908" s="103">
        <v>45974</v>
      </c>
      <c r="AJ908" s="96">
        <v>600</v>
      </c>
      <c r="AK908" s="91">
        <f t="shared" si="225"/>
        <v>42</v>
      </c>
      <c r="AL908" s="96">
        <f t="shared" si="228"/>
        <v>83</v>
      </c>
      <c r="AM908" s="92"/>
      <c r="AN908" s="91"/>
      <c r="AO908" s="91"/>
    </row>
    <row r="909" spans="1:41" ht="14.5" x14ac:dyDescent="0.25">
      <c r="A909" s="92" t="s">
        <v>1611</v>
      </c>
      <c r="B909" s="91"/>
      <c r="C909" s="180" t="s">
        <v>1606</v>
      </c>
      <c r="D909" s="177" t="s">
        <v>1607</v>
      </c>
      <c r="E909" s="178" t="s">
        <v>97</v>
      </c>
      <c r="F909" s="178" t="s">
        <v>1369</v>
      </c>
      <c r="G909" s="179" t="s">
        <v>231</v>
      </c>
      <c r="H909" s="160">
        <v>200</v>
      </c>
      <c r="I909" s="160" t="s">
        <v>1227</v>
      </c>
      <c r="J909" s="160" t="s">
        <v>503</v>
      </c>
      <c r="K909" s="177" t="s">
        <v>46</v>
      </c>
      <c r="L909" s="93" t="s">
        <v>3037</v>
      </c>
      <c r="M909" s="94" t="s">
        <v>3207</v>
      </c>
      <c r="N909" s="95" t="s">
        <v>2870</v>
      </c>
      <c r="O909" s="171">
        <v>10</v>
      </c>
      <c r="P909" s="97">
        <v>138.80733944954099</v>
      </c>
      <c r="Q909" s="165" t="s">
        <v>16</v>
      </c>
      <c r="R909" s="171">
        <v>3.8</v>
      </c>
      <c r="S909" s="167"/>
      <c r="T909" s="168"/>
      <c r="U909" s="157">
        <f t="shared" si="229"/>
        <v>559.57798165137501</v>
      </c>
      <c r="V909" s="100">
        <f t="shared" ref="V909:V972" si="230">U909/H909</f>
        <v>2.7978899082568751</v>
      </c>
      <c r="W909" s="101">
        <f t="shared" ref="W909:W972" si="231">V909/7</f>
        <v>0.39969855832241075</v>
      </c>
      <c r="X909" s="167"/>
      <c r="Y909" s="167"/>
      <c r="Z909" s="102"/>
      <c r="AA909" s="103">
        <v>45891</v>
      </c>
      <c r="AB909" s="103">
        <v>45912</v>
      </c>
      <c r="AC909" s="103"/>
      <c r="AD909" s="102">
        <f>IF(ISNA(VLOOKUP(D909,亚马逊入库配置费!B:F,5,0)),0,VLOOKUP(D909,亚马逊入库配置费!B:F,5,0))</f>
        <v>0.36943181818181797</v>
      </c>
      <c r="AE909" s="102">
        <f t="shared" si="223"/>
        <v>73.886363636363598</v>
      </c>
      <c r="AF909" s="103">
        <v>45932</v>
      </c>
      <c r="AG909" s="91">
        <f t="shared" si="224"/>
        <v>41</v>
      </c>
      <c r="AH909" s="103">
        <v>45932</v>
      </c>
      <c r="AI909" s="103">
        <v>45974</v>
      </c>
      <c r="AJ909" s="96">
        <v>200</v>
      </c>
      <c r="AK909" s="91">
        <f t="shared" si="225"/>
        <v>42</v>
      </c>
      <c r="AL909" s="96">
        <f t="shared" si="228"/>
        <v>83</v>
      </c>
      <c r="AM909" s="92"/>
      <c r="AN909" s="91"/>
      <c r="AO909" s="91"/>
    </row>
    <row r="910" spans="1:41" ht="14.5" x14ac:dyDescent="0.25">
      <c r="A910" s="92" t="s">
        <v>1612</v>
      </c>
      <c r="B910" s="91"/>
      <c r="C910" s="180" t="s">
        <v>1606</v>
      </c>
      <c r="D910" s="177" t="s">
        <v>1607</v>
      </c>
      <c r="E910" s="178" t="s">
        <v>97</v>
      </c>
      <c r="F910" s="178" t="s">
        <v>1369</v>
      </c>
      <c r="G910" s="179" t="s">
        <v>352</v>
      </c>
      <c r="H910" s="160">
        <v>160</v>
      </c>
      <c r="I910" s="160" t="s">
        <v>1227</v>
      </c>
      <c r="J910" s="160" t="s">
        <v>503</v>
      </c>
      <c r="K910" s="177" t="s">
        <v>46</v>
      </c>
      <c r="L910" s="93" t="s">
        <v>3049</v>
      </c>
      <c r="M910" s="94" t="s">
        <v>3336</v>
      </c>
      <c r="N910" s="95" t="s">
        <v>2870</v>
      </c>
      <c r="O910" s="171">
        <v>4</v>
      </c>
      <c r="P910" s="97">
        <v>55.5229357798165</v>
      </c>
      <c r="Q910" s="165" t="s">
        <v>16</v>
      </c>
      <c r="R910" s="171">
        <v>3.8</v>
      </c>
      <c r="S910" s="167"/>
      <c r="T910" s="168"/>
      <c r="U910" s="157">
        <f t="shared" si="229"/>
        <v>223.83119266055039</v>
      </c>
      <c r="V910" s="100">
        <f t="shared" si="230"/>
        <v>1.39894495412844</v>
      </c>
      <c r="W910" s="101">
        <f t="shared" si="231"/>
        <v>0.19984927916120571</v>
      </c>
      <c r="X910" s="167"/>
      <c r="Y910" s="167"/>
      <c r="Z910" s="102"/>
      <c r="AA910" s="103">
        <v>45891</v>
      </c>
      <c r="AB910" s="103">
        <v>45912</v>
      </c>
      <c r="AC910" s="103"/>
      <c r="AD910" s="102">
        <f>IF(ISNA(VLOOKUP(D910,亚马逊入库配置费!B:F,5,0)),0,VLOOKUP(D910,亚马逊入库配置费!B:F,5,0))</f>
        <v>0.36943181818181797</v>
      </c>
      <c r="AE910" s="102">
        <f t="shared" si="223"/>
        <v>59.109090909090874</v>
      </c>
      <c r="AF910" s="103">
        <v>45932</v>
      </c>
      <c r="AG910" s="91">
        <f t="shared" si="224"/>
        <v>41</v>
      </c>
      <c r="AH910" s="103">
        <v>45932</v>
      </c>
      <c r="AI910" s="103">
        <v>45974</v>
      </c>
      <c r="AJ910" s="96">
        <v>160</v>
      </c>
      <c r="AK910" s="91">
        <f t="shared" si="225"/>
        <v>42</v>
      </c>
      <c r="AL910" s="96">
        <f t="shared" si="228"/>
        <v>83</v>
      </c>
      <c r="AM910" s="92"/>
      <c r="AN910" s="91"/>
      <c r="AO910" s="91"/>
    </row>
    <row r="911" spans="1:41" ht="14.5" x14ac:dyDescent="0.25">
      <c r="A911" s="92" t="s">
        <v>1613</v>
      </c>
      <c r="B911" s="91"/>
      <c r="C911" s="180" t="s">
        <v>1606</v>
      </c>
      <c r="D911" s="177" t="s">
        <v>1607</v>
      </c>
      <c r="E911" s="178" t="s">
        <v>97</v>
      </c>
      <c r="F911" s="178" t="s">
        <v>1369</v>
      </c>
      <c r="G911" s="179" t="s">
        <v>165</v>
      </c>
      <c r="H911" s="160">
        <v>200</v>
      </c>
      <c r="I911" s="160" t="s">
        <v>1227</v>
      </c>
      <c r="J911" s="160" t="s">
        <v>503</v>
      </c>
      <c r="K911" s="177" t="s">
        <v>46</v>
      </c>
      <c r="L911" s="93" t="s">
        <v>2880</v>
      </c>
      <c r="M911" s="94" t="s">
        <v>3209</v>
      </c>
      <c r="N911" s="95" t="s">
        <v>2870</v>
      </c>
      <c r="O911" s="171">
        <v>5</v>
      </c>
      <c r="P911" s="97">
        <v>69.403669724770594</v>
      </c>
      <c r="Q911" s="165" t="s">
        <v>16</v>
      </c>
      <c r="R911" s="171">
        <v>3.8</v>
      </c>
      <c r="S911" s="167"/>
      <c r="T911" s="168"/>
      <c r="U911" s="157">
        <f t="shared" si="229"/>
        <v>279.78899082568785</v>
      </c>
      <c r="V911" s="100">
        <f t="shared" si="230"/>
        <v>1.3989449541284393</v>
      </c>
      <c r="W911" s="101">
        <f t="shared" si="231"/>
        <v>0.19984927916120562</v>
      </c>
      <c r="X911" s="167"/>
      <c r="Y911" s="167"/>
      <c r="Z911" s="102"/>
      <c r="AA911" s="103">
        <v>45891</v>
      </c>
      <c r="AB911" s="103">
        <v>45912</v>
      </c>
      <c r="AC911" s="103"/>
      <c r="AD911" s="102">
        <f>IF(ISNA(VLOOKUP(D911,亚马逊入库配置费!B:F,5,0)),0,VLOOKUP(D911,亚马逊入库配置费!B:F,5,0))</f>
        <v>0.36943181818181797</v>
      </c>
      <c r="AE911" s="102">
        <f t="shared" si="223"/>
        <v>73.886363636363598</v>
      </c>
      <c r="AF911" s="103">
        <v>45932</v>
      </c>
      <c r="AG911" s="91">
        <f t="shared" si="224"/>
        <v>41</v>
      </c>
      <c r="AH911" s="103">
        <v>45932</v>
      </c>
      <c r="AI911" s="103">
        <v>45974</v>
      </c>
      <c r="AJ911" s="96">
        <v>200</v>
      </c>
      <c r="AK911" s="91">
        <f t="shared" si="225"/>
        <v>42</v>
      </c>
      <c r="AL911" s="96">
        <f t="shared" si="228"/>
        <v>83</v>
      </c>
      <c r="AM911" s="92"/>
      <c r="AN911" s="91"/>
      <c r="AO911" s="91"/>
    </row>
    <row r="912" spans="1:41" ht="14.5" x14ac:dyDescent="0.25">
      <c r="A912" s="92" t="s">
        <v>1614</v>
      </c>
      <c r="B912" s="91"/>
      <c r="C912" s="180" t="s">
        <v>1606</v>
      </c>
      <c r="D912" s="177" t="s">
        <v>1607</v>
      </c>
      <c r="E912" s="178" t="s">
        <v>97</v>
      </c>
      <c r="F912" s="178" t="s">
        <v>1369</v>
      </c>
      <c r="G912" s="179" t="s">
        <v>1198</v>
      </c>
      <c r="H912" s="160">
        <v>90</v>
      </c>
      <c r="I912" s="160" t="s">
        <v>1227</v>
      </c>
      <c r="J912" s="160" t="s">
        <v>503</v>
      </c>
      <c r="K912" s="177" t="s">
        <v>46</v>
      </c>
      <c r="L912" s="93" t="s">
        <v>1198</v>
      </c>
      <c r="M912" s="94" t="s">
        <v>3434</v>
      </c>
      <c r="N912" s="95" t="s">
        <v>2870</v>
      </c>
      <c r="O912" s="171">
        <v>3</v>
      </c>
      <c r="P912" s="97">
        <v>41.642201834862398</v>
      </c>
      <c r="Q912" s="165" t="s">
        <v>16</v>
      </c>
      <c r="R912" s="171">
        <v>3.8</v>
      </c>
      <c r="S912" s="167"/>
      <c r="T912" s="168"/>
      <c r="U912" s="157">
        <f t="shared" si="229"/>
        <v>167.87339449541287</v>
      </c>
      <c r="V912" s="100">
        <f t="shared" si="230"/>
        <v>1.8652599388379207</v>
      </c>
      <c r="W912" s="101">
        <f t="shared" si="231"/>
        <v>0.26646570554827437</v>
      </c>
      <c r="X912" s="167"/>
      <c r="Y912" s="167"/>
      <c r="Z912" s="102"/>
      <c r="AA912" s="103">
        <v>45891</v>
      </c>
      <c r="AB912" s="103">
        <v>45912</v>
      </c>
      <c r="AC912" s="103"/>
      <c r="AD912" s="102">
        <f>IF(ISNA(VLOOKUP(D912,亚马逊入库配置费!B:F,5,0)),0,VLOOKUP(D912,亚马逊入库配置费!B:F,5,0))</f>
        <v>0.36943181818181797</v>
      </c>
      <c r="AE912" s="102">
        <f t="shared" si="223"/>
        <v>33.248863636363616</v>
      </c>
      <c r="AF912" s="103">
        <v>45932</v>
      </c>
      <c r="AG912" s="91">
        <f t="shared" si="224"/>
        <v>41</v>
      </c>
      <c r="AH912" s="103">
        <v>45932</v>
      </c>
      <c r="AI912" s="103">
        <v>45974</v>
      </c>
      <c r="AJ912" s="96">
        <v>89</v>
      </c>
      <c r="AK912" s="91">
        <f t="shared" si="225"/>
        <v>42</v>
      </c>
      <c r="AL912" s="96">
        <f t="shared" si="228"/>
        <v>83</v>
      </c>
      <c r="AM912" s="92"/>
      <c r="AN912" s="91"/>
      <c r="AO912" s="91"/>
    </row>
    <row r="913" spans="1:41" ht="14.5" x14ac:dyDescent="0.25">
      <c r="A913" s="92" t="s">
        <v>1615</v>
      </c>
      <c r="B913" s="91"/>
      <c r="C913" s="180" t="s">
        <v>1606</v>
      </c>
      <c r="D913" s="177" t="s">
        <v>1607</v>
      </c>
      <c r="E913" s="178" t="s">
        <v>97</v>
      </c>
      <c r="F913" s="178" t="s">
        <v>1369</v>
      </c>
      <c r="G913" s="179" t="s">
        <v>786</v>
      </c>
      <c r="H913" s="160">
        <v>80</v>
      </c>
      <c r="I913" s="160" t="s">
        <v>1227</v>
      </c>
      <c r="J913" s="160" t="s">
        <v>503</v>
      </c>
      <c r="K913" s="177" t="s">
        <v>46</v>
      </c>
      <c r="L913" s="93" t="s">
        <v>786</v>
      </c>
      <c r="M913" s="94" t="s">
        <v>3395</v>
      </c>
      <c r="N913" s="95" t="s">
        <v>2870</v>
      </c>
      <c r="O913" s="171">
        <v>2</v>
      </c>
      <c r="P913" s="97">
        <v>27.7614678899083</v>
      </c>
      <c r="Q913" s="165" t="s">
        <v>16</v>
      </c>
      <c r="R913" s="171">
        <v>3.8</v>
      </c>
      <c r="S913" s="167"/>
      <c r="T913" s="168"/>
      <c r="U913" s="157">
        <f t="shared" si="229"/>
        <v>111.91559633027539</v>
      </c>
      <c r="V913" s="100">
        <f t="shared" si="230"/>
        <v>1.3989449541284424</v>
      </c>
      <c r="W913" s="101">
        <f t="shared" si="231"/>
        <v>0.19984927916120607</v>
      </c>
      <c r="X913" s="167"/>
      <c r="Y913" s="167"/>
      <c r="Z913" s="102"/>
      <c r="AA913" s="103">
        <v>45891</v>
      </c>
      <c r="AB913" s="103">
        <v>45912</v>
      </c>
      <c r="AC913" s="103"/>
      <c r="AD913" s="102">
        <f>IF(ISNA(VLOOKUP(D913,亚马逊入库配置费!B:F,5,0)),0,VLOOKUP(D913,亚马逊入库配置费!B:F,5,0))</f>
        <v>0.36943181818181797</v>
      </c>
      <c r="AE913" s="102">
        <f t="shared" si="223"/>
        <v>29.554545454545437</v>
      </c>
      <c r="AF913" s="103">
        <v>45932</v>
      </c>
      <c r="AG913" s="91">
        <f t="shared" si="224"/>
        <v>41</v>
      </c>
      <c r="AH913" s="103">
        <v>45932</v>
      </c>
      <c r="AI913" s="103">
        <v>45974</v>
      </c>
      <c r="AJ913" s="96">
        <v>80</v>
      </c>
      <c r="AK913" s="91">
        <f t="shared" si="225"/>
        <v>42</v>
      </c>
      <c r="AL913" s="96">
        <f t="shared" si="228"/>
        <v>83</v>
      </c>
      <c r="AM913" s="92"/>
      <c r="AN913" s="91"/>
      <c r="AO913" s="91"/>
    </row>
    <row r="914" spans="1:41" ht="14.5" x14ac:dyDescent="0.25">
      <c r="A914" s="92" t="s">
        <v>1616</v>
      </c>
      <c r="B914" s="91"/>
      <c r="C914" s="180" t="s">
        <v>1606</v>
      </c>
      <c r="D914" s="177" t="s">
        <v>1607</v>
      </c>
      <c r="E914" s="178" t="s">
        <v>97</v>
      </c>
      <c r="F914" s="178" t="s">
        <v>1369</v>
      </c>
      <c r="G914" s="179" t="s">
        <v>1215</v>
      </c>
      <c r="H914" s="160">
        <v>120</v>
      </c>
      <c r="I914" s="160" t="s">
        <v>1227</v>
      </c>
      <c r="J914" s="160" t="s">
        <v>503</v>
      </c>
      <c r="K914" s="177" t="s">
        <v>46</v>
      </c>
      <c r="L914" s="93" t="s">
        <v>3095</v>
      </c>
      <c r="M914" s="94" t="s">
        <v>3436</v>
      </c>
      <c r="N914" s="95" t="s">
        <v>2867</v>
      </c>
      <c r="O914" s="171">
        <v>4</v>
      </c>
      <c r="P914" s="97">
        <v>55.5229357798165</v>
      </c>
      <c r="Q914" s="165" t="s">
        <v>16</v>
      </c>
      <c r="R914" s="171">
        <v>3.8</v>
      </c>
      <c r="S914" s="167"/>
      <c r="T914" s="168"/>
      <c r="U914" s="157">
        <f t="shared" si="229"/>
        <v>223.83119266055039</v>
      </c>
      <c r="V914" s="100">
        <f t="shared" si="230"/>
        <v>1.8652599388379199</v>
      </c>
      <c r="W914" s="101">
        <f t="shared" si="231"/>
        <v>0.26646570554827426</v>
      </c>
      <c r="X914" s="167"/>
      <c r="Y914" s="167"/>
      <c r="Z914" s="102"/>
      <c r="AA914" s="103">
        <v>45891</v>
      </c>
      <c r="AB914" s="103">
        <v>45912</v>
      </c>
      <c r="AC914" s="103"/>
      <c r="AD914" s="102">
        <f>IF(ISNA(VLOOKUP(D914,亚马逊入库配置费!B:F,5,0)),0,VLOOKUP(D914,亚马逊入库配置费!B:F,5,0))</f>
        <v>0.36943181818181797</v>
      </c>
      <c r="AE914" s="102">
        <f t="shared" si="223"/>
        <v>44.331818181818157</v>
      </c>
      <c r="AF914" s="103">
        <v>45932</v>
      </c>
      <c r="AG914" s="91">
        <f t="shared" si="224"/>
        <v>41</v>
      </c>
      <c r="AH914" s="103">
        <v>45932</v>
      </c>
      <c r="AI914" s="103">
        <v>45974</v>
      </c>
      <c r="AJ914" s="96">
        <v>122</v>
      </c>
      <c r="AK914" s="91">
        <f t="shared" si="225"/>
        <v>42</v>
      </c>
      <c r="AL914" s="96">
        <f t="shared" si="228"/>
        <v>83</v>
      </c>
      <c r="AM914" s="92"/>
      <c r="AN914" s="91"/>
      <c r="AO914" s="91"/>
    </row>
    <row r="915" spans="1:41" ht="14.5" x14ac:dyDescent="0.25">
      <c r="A915" s="92" t="s">
        <v>1617</v>
      </c>
      <c r="B915" s="91"/>
      <c r="C915" s="180" t="s">
        <v>1618</v>
      </c>
      <c r="D915" s="177" t="s">
        <v>1619</v>
      </c>
      <c r="E915" s="178" t="s">
        <v>97</v>
      </c>
      <c r="F915" s="178" t="s">
        <v>1369</v>
      </c>
      <c r="G915" s="179" t="s">
        <v>228</v>
      </c>
      <c r="H915" s="160">
        <v>320</v>
      </c>
      <c r="I915" s="160" t="s">
        <v>502</v>
      </c>
      <c r="J915" s="160" t="s">
        <v>1365</v>
      </c>
      <c r="K915" s="177" t="s">
        <v>9</v>
      </c>
      <c r="L915" s="93" t="s">
        <v>3036</v>
      </c>
      <c r="M915" s="94" t="s">
        <v>3315</v>
      </c>
      <c r="N915" s="95" t="s">
        <v>2870</v>
      </c>
      <c r="O915" s="180">
        <v>16</v>
      </c>
      <c r="P915" s="97">
        <f t="shared" ref="P915:P924" si="232">1496/109*O915</f>
        <v>219.59633027522935</v>
      </c>
      <c r="Q915" s="119" t="s">
        <v>16</v>
      </c>
      <c r="R915" s="180">
        <v>3.8</v>
      </c>
      <c r="S915" s="167"/>
      <c r="T915" s="168"/>
      <c r="U915" s="99">
        <f t="shared" ref="U915:U930" si="233">R915*P915+350/271*O915</f>
        <v>855.13026168793795</v>
      </c>
      <c r="V915" s="100">
        <f t="shared" si="230"/>
        <v>2.6722820677748063</v>
      </c>
      <c r="W915" s="101">
        <f t="shared" si="231"/>
        <v>0.38175458111068661</v>
      </c>
      <c r="X915" s="167"/>
      <c r="Y915" s="167"/>
      <c r="Z915" s="102"/>
      <c r="AA915" s="103">
        <v>45891</v>
      </c>
      <c r="AB915" s="103">
        <v>45914</v>
      </c>
      <c r="AC915" s="103"/>
      <c r="AD915" s="102">
        <f>IF(ISNA(VLOOKUP(D915,亚马逊入库配置费!B:F,5,0)),0,VLOOKUP(D915,亚马逊入库配置费!B:F,5,0))</f>
        <v>0.36943181818181797</v>
      </c>
      <c r="AE915" s="102">
        <f t="shared" si="223"/>
        <v>118.21818181818175</v>
      </c>
      <c r="AF915" s="103">
        <v>45924</v>
      </c>
      <c r="AG915" s="91">
        <f t="shared" si="224"/>
        <v>33</v>
      </c>
      <c r="AH915" s="103">
        <v>45924</v>
      </c>
      <c r="AI915" s="103">
        <v>45955</v>
      </c>
      <c r="AJ915" s="96">
        <v>320</v>
      </c>
      <c r="AK915" s="91">
        <f t="shared" si="225"/>
        <v>31</v>
      </c>
      <c r="AL915" s="96">
        <f t="shared" si="228"/>
        <v>64</v>
      </c>
      <c r="AM915" s="92"/>
      <c r="AN915" s="91"/>
      <c r="AO915" s="91"/>
    </row>
    <row r="916" spans="1:41" ht="14.5" x14ac:dyDescent="0.25">
      <c r="A916" s="92" t="s">
        <v>1620</v>
      </c>
      <c r="B916" s="91"/>
      <c r="C916" s="180" t="s">
        <v>1618</v>
      </c>
      <c r="D916" s="177" t="s">
        <v>1619</v>
      </c>
      <c r="E916" s="178" t="s">
        <v>97</v>
      </c>
      <c r="F916" s="178" t="s">
        <v>1369</v>
      </c>
      <c r="G916" s="179" t="s">
        <v>163</v>
      </c>
      <c r="H916" s="160">
        <v>1600</v>
      </c>
      <c r="I916" s="160" t="s">
        <v>502</v>
      </c>
      <c r="J916" s="160" t="s">
        <v>1365</v>
      </c>
      <c r="K916" s="177" t="s">
        <v>9</v>
      </c>
      <c r="L916" s="93" t="s">
        <v>2881</v>
      </c>
      <c r="M916" s="94" t="s">
        <v>3302</v>
      </c>
      <c r="N916" s="95" t="s">
        <v>2870</v>
      </c>
      <c r="O916" s="180">
        <v>40</v>
      </c>
      <c r="P916" s="97">
        <f t="shared" si="232"/>
        <v>548.99082568807341</v>
      </c>
      <c r="Q916" s="119" t="s">
        <v>16</v>
      </c>
      <c r="R916" s="180">
        <v>3.8</v>
      </c>
      <c r="S916" s="167"/>
      <c r="T916" s="168"/>
      <c r="U916" s="99">
        <f t="shared" si="233"/>
        <v>2137.8256542198446</v>
      </c>
      <c r="V916" s="100">
        <f t="shared" si="230"/>
        <v>1.3361410338874029</v>
      </c>
      <c r="W916" s="101">
        <f t="shared" si="231"/>
        <v>0.19087729055534328</v>
      </c>
      <c r="X916" s="167"/>
      <c r="Y916" s="167"/>
      <c r="Z916" s="102"/>
      <c r="AA916" s="103">
        <v>45891</v>
      </c>
      <c r="AB916" s="103">
        <v>45914</v>
      </c>
      <c r="AC916" s="103"/>
      <c r="AD916" s="102">
        <f>IF(ISNA(VLOOKUP(D916,亚马逊入库配置费!B:F,5,0)),0,VLOOKUP(D916,亚马逊入库配置费!B:F,5,0))</f>
        <v>0.36943181818181797</v>
      </c>
      <c r="AE916" s="102">
        <f t="shared" si="223"/>
        <v>591.09090909090878</v>
      </c>
      <c r="AF916" s="103">
        <v>45924</v>
      </c>
      <c r="AG916" s="91">
        <f t="shared" si="224"/>
        <v>33</v>
      </c>
      <c r="AH916" s="103">
        <v>45924</v>
      </c>
      <c r="AI916" s="103">
        <v>45955</v>
      </c>
      <c r="AJ916" s="96">
        <v>1596</v>
      </c>
      <c r="AK916" s="91">
        <f t="shared" si="225"/>
        <v>31</v>
      </c>
      <c r="AL916" s="96">
        <f t="shared" si="228"/>
        <v>64</v>
      </c>
      <c r="AM916" s="92"/>
      <c r="AN916" s="91"/>
      <c r="AO916" s="91"/>
    </row>
    <row r="917" spans="1:41" ht="14.5" x14ac:dyDescent="0.25">
      <c r="A917" s="92" t="s">
        <v>1621</v>
      </c>
      <c r="B917" s="91"/>
      <c r="C917" s="180" t="s">
        <v>1618</v>
      </c>
      <c r="D917" s="177" t="s">
        <v>1619</v>
      </c>
      <c r="E917" s="178" t="s">
        <v>97</v>
      </c>
      <c r="F917" s="178" t="s">
        <v>1369</v>
      </c>
      <c r="G917" s="179" t="s">
        <v>1195</v>
      </c>
      <c r="H917" s="160">
        <v>150</v>
      </c>
      <c r="I917" s="160" t="s">
        <v>502</v>
      </c>
      <c r="J917" s="160" t="s">
        <v>1365</v>
      </c>
      <c r="K917" s="177" t="s">
        <v>9</v>
      </c>
      <c r="L917" s="93" t="s">
        <v>1195</v>
      </c>
      <c r="M917" s="94" t="s">
        <v>3433</v>
      </c>
      <c r="N917" s="95" t="s">
        <v>2870</v>
      </c>
      <c r="O917" s="180">
        <v>5</v>
      </c>
      <c r="P917" s="97">
        <f t="shared" si="232"/>
        <v>68.623853211009177</v>
      </c>
      <c r="Q917" s="119" t="s">
        <v>16</v>
      </c>
      <c r="R917" s="180">
        <v>3.8</v>
      </c>
      <c r="S917" s="167"/>
      <c r="T917" s="168"/>
      <c r="U917" s="99">
        <f t="shared" si="233"/>
        <v>267.22820677748058</v>
      </c>
      <c r="V917" s="100">
        <f t="shared" si="230"/>
        <v>1.7815213785165371</v>
      </c>
      <c r="W917" s="101">
        <f t="shared" si="231"/>
        <v>0.25450305407379104</v>
      </c>
      <c r="X917" s="167"/>
      <c r="Y917" s="167"/>
      <c r="Z917" s="102"/>
      <c r="AA917" s="103">
        <v>45891</v>
      </c>
      <c r="AB917" s="103">
        <v>45914</v>
      </c>
      <c r="AC917" s="103"/>
      <c r="AD917" s="102">
        <f>IF(ISNA(VLOOKUP(D917,亚马逊入库配置费!B:F,5,0)),0,VLOOKUP(D917,亚马逊入库配置费!B:F,5,0))</f>
        <v>0.36943181818181797</v>
      </c>
      <c r="AE917" s="102">
        <f t="shared" si="223"/>
        <v>55.414772727272698</v>
      </c>
      <c r="AF917" s="103">
        <v>45924</v>
      </c>
      <c r="AG917" s="91">
        <f t="shared" si="224"/>
        <v>33</v>
      </c>
      <c r="AH917" s="103">
        <v>45924</v>
      </c>
      <c r="AI917" s="103">
        <v>45955</v>
      </c>
      <c r="AJ917" s="96">
        <v>150</v>
      </c>
      <c r="AK917" s="91">
        <f t="shared" si="225"/>
        <v>31</v>
      </c>
      <c r="AL917" s="96">
        <f t="shared" si="228"/>
        <v>64</v>
      </c>
      <c r="AM917" s="92"/>
      <c r="AN917" s="91"/>
      <c r="AO917" s="91"/>
    </row>
    <row r="918" spans="1:41" ht="14.5" x14ac:dyDescent="0.25">
      <c r="A918" s="92" t="s">
        <v>1622</v>
      </c>
      <c r="B918" s="91"/>
      <c r="C918" s="180" t="s">
        <v>1618</v>
      </c>
      <c r="D918" s="177" t="s">
        <v>1619</v>
      </c>
      <c r="E918" s="178" t="s">
        <v>97</v>
      </c>
      <c r="F918" s="178" t="s">
        <v>1369</v>
      </c>
      <c r="G918" s="179" t="s">
        <v>872</v>
      </c>
      <c r="H918" s="160">
        <v>600</v>
      </c>
      <c r="I918" s="160" t="s">
        <v>502</v>
      </c>
      <c r="J918" s="160" t="s">
        <v>1365</v>
      </c>
      <c r="K918" s="177" t="s">
        <v>9</v>
      </c>
      <c r="L918" s="93" t="s">
        <v>872</v>
      </c>
      <c r="M918" s="94" t="s">
        <v>3399</v>
      </c>
      <c r="N918" s="95" t="s">
        <v>2870</v>
      </c>
      <c r="O918" s="180">
        <v>20</v>
      </c>
      <c r="P918" s="97">
        <f t="shared" si="232"/>
        <v>274.49541284403671</v>
      </c>
      <c r="Q918" s="119" t="s">
        <v>16</v>
      </c>
      <c r="R918" s="180">
        <v>3.8</v>
      </c>
      <c r="S918" s="167"/>
      <c r="T918" s="168"/>
      <c r="U918" s="99">
        <f t="shared" si="233"/>
        <v>1068.9128271099223</v>
      </c>
      <c r="V918" s="100">
        <f t="shared" si="230"/>
        <v>1.7815213785165371</v>
      </c>
      <c r="W918" s="101">
        <f t="shared" si="231"/>
        <v>0.25450305407379104</v>
      </c>
      <c r="X918" s="167"/>
      <c r="Y918" s="167"/>
      <c r="Z918" s="102"/>
      <c r="AA918" s="103">
        <v>45891</v>
      </c>
      <c r="AB918" s="103">
        <v>45914</v>
      </c>
      <c r="AC918" s="103"/>
      <c r="AD918" s="102">
        <f>IF(ISNA(VLOOKUP(D918,亚马逊入库配置费!B:F,5,0)),0,VLOOKUP(D918,亚马逊入库配置费!B:F,5,0))</f>
        <v>0.36943181818181797</v>
      </c>
      <c r="AE918" s="102">
        <f t="shared" si="223"/>
        <v>221.65909090909079</v>
      </c>
      <c r="AF918" s="103">
        <v>45924</v>
      </c>
      <c r="AG918" s="91">
        <f t="shared" si="224"/>
        <v>33</v>
      </c>
      <c r="AH918" s="103">
        <v>45924</v>
      </c>
      <c r="AI918" s="103">
        <v>45955</v>
      </c>
      <c r="AJ918" s="96">
        <v>602</v>
      </c>
      <c r="AK918" s="91">
        <f t="shared" si="225"/>
        <v>31</v>
      </c>
      <c r="AL918" s="96">
        <f t="shared" si="228"/>
        <v>64</v>
      </c>
      <c r="AM918" s="92"/>
      <c r="AN918" s="91"/>
      <c r="AO918" s="91"/>
    </row>
    <row r="919" spans="1:41" ht="14.5" x14ac:dyDescent="0.25">
      <c r="A919" s="92" t="s">
        <v>1623</v>
      </c>
      <c r="B919" s="91"/>
      <c r="C919" s="180" t="s">
        <v>1618</v>
      </c>
      <c r="D919" s="177" t="s">
        <v>1619</v>
      </c>
      <c r="E919" s="178" t="s">
        <v>97</v>
      </c>
      <c r="F919" s="178" t="s">
        <v>1369</v>
      </c>
      <c r="G919" s="179" t="s">
        <v>231</v>
      </c>
      <c r="H919" s="160">
        <v>200</v>
      </c>
      <c r="I919" s="160" t="s">
        <v>502</v>
      </c>
      <c r="J919" s="160" t="s">
        <v>1365</v>
      </c>
      <c r="K919" s="177" t="s">
        <v>9</v>
      </c>
      <c r="L919" s="93" t="s">
        <v>3037</v>
      </c>
      <c r="M919" s="94" t="s">
        <v>3207</v>
      </c>
      <c r="N919" s="95" t="s">
        <v>2870</v>
      </c>
      <c r="O919" s="180">
        <v>10</v>
      </c>
      <c r="P919" s="97">
        <f t="shared" si="232"/>
        <v>137.24770642201835</v>
      </c>
      <c r="Q919" s="119" t="s">
        <v>16</v>
      </c>
      <c r="R919" s="180">
        <v>3.8</v>
      </c>
      <c r="S919" s="167"/>
      <c r="T919" s="168"/>
      <c r="U919" s="99">
        <f t="shared" si="233"/>
        <v>534.45641355496116</v>
      </c>
      <c r="V919" s="100">
        <f t="shared" si="230"/>
        <v>2.6722820677748058</v>
      </c>
      <c r="W919" s="101">
        <f t="shared" si="231"/>
        <v>0.38175458111068655</v>
      </c>
      <c r="X919" s="167"/>
      <c r="Y919" s="167"/>
      <c r="Z919" s="102"/>
      <c r="AA919" s="103">
        <v>45891</v>
      </c>
      <c r="AB919" s="103">
        <v>45914</v>
      </c>
      <c r="AC919" s="103"/>
      <c r="AD919" s="102">
        <f>IF(ISNA(VLOOKUP(D919,亚马逊入库配置费!B:F,5,0)),0,VLOOKUP(D919,亚马逊入库配置费!B:F,5,0))</f>
        <v>0.36943181818181797</v>
      </c>
      <c r="AE919" s="102">
        <f t="shared" si="223"/>
        <v>73.886363636363598</v>
      </c>
      <c r="AF919" s="103">
        <v>45924</v>
      </c>
      <c r="AG919" s="91">
        <f t="shared" si="224"/>
        <v>33</v>
      </c>
      <c r="AH919" s="103">
        <v>45924</v>
      </c>
      <c r="AI919" s="103">
        <v>45955</v>
      </c>
      <c r="AJ919" s="96">
        <v>220</v>
      </c>
      <c r="AK919" s="91">
        <f t="shared" si="225"/>
        <v>31</v>
      </c>
      <c r="AL919" s="96">
        <f t="shared" si="228"/>
        <v>64</v>
      </c>
      <c r="AM919" s="92"/>
      <c r="AN919" s="91"/>
      <c r="AO919" s="91"/>
    </row>
    <row r="920" spans="1:41" ht="14.5" x14ac:dyDescent="0.25">
      <c r="A920" s="92" t="s">
        <v>1624</v>
      </c>
      <c r="B920" s="91"/>
      <c r="C920" s="180" t="s">
        <v>1618</v>
      </c>
      <c r="D920" s="177" t="s">
        <v>1619</v>
      </c>
      <c r="E920" s="178" t="s">
        <v>97</v>
      </c>
      <c r="F920" s="178" t="s">
        <v>1369</v>
      </c>
      <c r="G920" s="179" t="s">
        <v>352</v>
      </c>
      <c r="H920" s="160">
        <v>160</v>
      </c>
      <c r="I920" s="160" t="s">
        <v>502</v>
      </c>
      <c r="J920" s="160" t="s">
        <v>1365</v>
      </c>
      <c r="K920" s="177" t="s">
        <v>9</v>
      </c>
      <c r="L920" s="93" t="s">
        <v>3049</v>
      </c>
      <c r="M920" s="94" t="s">
        <v>3336</v>
      </c>
      <c r="N920" s="95" t="s">
        <v>2870</v>
      </c>
      <c r="O920" s="180">
        <v>4</v>
      </c>
      <c r="P920" s="97">
        <f t="shared" si="232"/>
        <v>54.899082568807337</v>
      </c>
      <c r="Q920" s="119" t="s">
        <v>16</v>
      </c>
      <c r="R920" s="180">
        <v>3.8</v>
      </c>
      <c r="S920" s="167"/>
      <c r="T920" s="168"/>
      <c r="U920" s="99">
        <f t="shared" si="233"/>
        <v>213.78256542198449</v>
      </c>
      <c r="V920" s="100">
        <f t="shared" si="230"/>
        <v>1.3361410338874031</v>
      </c>
      <c r="W920" s="101">
        <f t="shared" si="231"/>
        <v>0.1908772905553433</v>
      </c>
      <c r="X920" s="167"/>
      <c r="Y920" s="167"/>
      <c r="Z920" s="102"/>
      <c r="AA920" s="103">
        <v>45891</v>
      </c>
      <c r="AB920" s="103">
        <v>45914</v>
      </c>
      <c r="AC920" s="103"/>
      <c r="AD920" s="102">
        <f>IF(ISNA(VLOOKUP(D920,亚马逊入库配置费!B:F,5,0)),0,VLOOKUP(D920,亚马逊入库配置费!B:F,5,0))</f>
        <v>0.36943181818181797</v>
      </c>
      <c r="AE920" s="102">
        <f t="shared" si="223"/>
        <v>59.109090909090874</v>
      </c>
      <c r="AF920" s="103">
        <v>45924</v>
      </c>
      <c r="AG920" s="91">
        <f t="shared" si="224"/>
        <v>33</v>
      </c>
      <c r="AH920" s="103">
        <v>45924</v>
      </c>
      <c r="AI920" s="103">
        <v>45955</v>
      </c>
      <c r="AJ920" s="96">
        <v>160</v>
      </c>
      <c r="AK920" s="91">
        <f t="shared" si="225"/>
        <v>31</v>
      </c>
      <c r="AL920" s="96">
        <f t="shared" si="228"/>
        <v>64</v>
      </c>
      <c r="AM920" s="92"/>
      <c r="AN920" s="91"/>
      <c r="AO920" s="91"/>
    </row>
    <row r="921" spans="1:41" ht="14.5" x14ac:dyDescent="0.25">
      <c r="A921" s="92" t="s">
        <v>1625</v>
      </c>
      <c r="B921" s="91"/>
      <c r="C921" s="180" t="s">
        <v>1618</v>
      </c>
      <c r="D921" s="177" t="s">
        <v>1619</v>
      </c>
      <c r="E921" s="178" t="s">
        <v>97</v>
      </c>
      <c r="F921" s="178" t="s">
        <v>1369</v>
      </c>
      <c r="G921" s="179" t="s">
        <v>165</v>
      </c>
      <c r="H921" s="160">
        <v>200</v>
      </c>
      <c r="I921" s="160" t="s">
        <v>502</v>
      </c>
      <c r="J921" s="160" t="s">
        <v>1365</v>
      </c>
      <c r="K921" s="177" t="s">
        <v>9</v>
      </c>
      <c r="L921" s="93" t="s">
        <v>2880</v>
      </c>
      <c r="M921" s="94" t="s">
        <v>3209</v>
      </c>
      <c r="N921" s="95" t="s">
        <v>2870</v>
      </c>
      <c r="O921" s="180">
        <v>5</v>
      </c>
      <c r="P921" s="97">
        <f t="shared" si="232"/>
        <v>68.623853211009177</v>
      </c>
      <c r="Q921" s="119" t="s">
        <v>16</v>
      </c>
      <c r="R921" s="180">
        <v>3.8</v>
      </c>
      <c r="S921" s="167"/>
      <c r="T921" s="168"/>
      <c r="U921" s="99">
        <f t="shared" si="233"/>
        <v>267.22820677748058</v>
      </c>
      <c r="V921" s="100">
        <f t="shared" si="230"/>
        <v>1.3361410338874029</v>
      </c>
      <c r="W921" s="101">
        <f t="shared" si="231"/>
        <v>0.19087729055534328</v>
      </c>
      <c r="X921" s="167"/>
      <c r="Y921" s="167"/>
      <c r="Z921" s="102"/>
      <c r="AA921" s="103">
        <v>45891</v>
      </c>
      <c r="AB921" s="103">
        <v>45914</v>
      </c>
      <c r="AC921" s="103"/>
      <c r="AD921" s="102">
        <f>IF(ISNA(VLOOKUP(D921,亚马逊入库配置费!B:F,5,0)),0,VLOOKUP(D921,亚马逊入库配置费!B:F,5,0))</f>
        <v>0.36943181818181797</v>
      </c>
      <c r="AE921" s="102">
        <f t="shared" si="223"/>
        <v>73.886363636363598</v>
      </c>
      <c r="AF921" s="103">
        <v>45924</v>
      </c>
      <c r="AG921" s="91">
        <f t="shared" si="224"/>
        <v>33</v>
      </c>
      <c r="AH921" s="103">
        <v>45924</v>
      </c>
      <c r="AI921" s="103">
        <v>45955</v>
      </c>
      <c r="AJ921" s="96">
        <v>200</v>
      </c>
      <c r="AK921" s="91">
        <f t="shared" si="225"/>
        <v>31</v>
      </c>
      <c r="AL921" s="96">
        <f t="shared" si="228"/>
        <v>64</v>
      </c>
      <c r="AM921" s="92"/>
      <c r="AN921" s="91"/>
      <c r="AO921" s="91"/>
    </row>
    <row r="922" spans="1:41" ht="14.5" x14ac:dyDescent="0.25">
      <c r="A922" s="92" t="s">
        <v>1626</v>
      </c>
      <c r="B922" s="91"/>
      <c r="C922" s="180" t="s">
        <v>1618</v>
      </c>
      <c r="D922" s="177" t="s">
        <v>1619</v>
      </c>
      <c r="E922" s="178" t="s">
        <v>97</v>
      </c>
      <c r="F922" s="178" t="s">
        <v>1369</v>
      </c>
      <c r="G922" s="179" t="s">
        <v>1198</v>
      </c>
      <c r="H922" s="160">
        <v>90</v>
      </c>
      <c r="I922" s="160" t="s">
        <v>502</v>
      </c>
      <c r="J922" s="160" t="s">
        <v>1365</v>
      </c>
      <c r="K922" s="177" t="s">
        <v>9</v>
      </c>
      <c r="L922" s="93" t="s">
        <v>1198</v>
      </c>
      <c r="M922" s="94" t="s">
        <v>3434</v>
      </c>
      <c r="N922" s="95" t="s">
        <v>2870</v>
      </c>
      <c r="O922" s="180">
        <v>3</v>
      </c>
      <c r="P922" s="97">
        <f t="shared" si="232"/>
        <v>41.174311926605505</v>
      </c>
      <c r="Q922" s="119" t="s">
        <v>16</v>
      </c>
      <c r="R922" s="180">
        <v>3.8</v>
      </c>
      <c r="S922" s="167"/>
      <c r="T922" s="168"/>
      <c r="U922" s="99">
        <f t="shared" si="233"/>
        <v>160.33692406648834</v>
      </c>
      <c r="V922" s="100">
        <f t="shared" si="230"/>
        <v>1.7815213785165371</v>
      </c>
      <c r="W922" s="101">
        <f t="shared" si="231"/>
        <v>0.25450305407379104</v>
      </c>
      <c r="X922" s="167"/>
      <c r="Y922" s="167"/>
      <c r="Z922" s="102"/>
      <c r="AA922" s="103">
        <v>45891</v>
      </c>
      <c r="AB922" s="103">
        <v>45914</v>
      </c>
      <c r="AC922" s="103"/>
      <c r="AD922" s="102">
        <f>IF(ISNA(VLOOKUP(D922,亚马逊入库配置费!B:F,5,0)),0,VLOOKUP(D922,亚马逊入库配置费!B:F,5,0))</f>
        <v>0.36943181818181797</v>
      </c>
      <c r="AE922" s="102">
        <f t="shared" si="223"/>
        <v>33.248863636363616</v>
      </c>
      <c r="AF922" s="103">
        <v>45924</v>
      </c>
      <c r="AG922" s="91">
        <f t="shared" si="224"/>
        <v>33</v>
      </c>
      <c r="AH922" s="103">
        <v>45924</v>
      </c>
      <c r="AI922" s="103">
        <v>45955</v>
      </c>
      <c r="AJ922" s="96">
        <v>90</v>
      </c>
      <c r="AK922" s="91">
        <f t="shared" si="225"/>
        <v>31</v>
      </c>
      <c r="AL922" s="96">
        <f t="shared" si="228"/>
        <v>64</v>
      </c>
      <c r="AM922" s="92"/>
      <c r="AN922" s="91"/>
      <c r="AO922" s="91"/>
    </row>
    <row r="923" spans="1:41" ht="14.5" x14ac:dyDescent="0.25">
      <c r="A923" s="92" t="s">
        <v>1627</v>
      </c>
      <c r="B923" s="91"/>
      <c r="C923" s="180" t="s">
        <v>1618</v>
      </c>
      <c r="D923" s="177" t="s">
        <v>1619</v>
      </c>
      <c r="E923" s="178" t="s">
        <v>97</v>
      </c>
      <c r="F923" s="178" t="s">
        <v>1369</v>
      </c>
      <c r="G923" s="179" t="s">
        <v>786</v>
      </c>
      <c r="H923" s="160">
        <v>80</v>
      </c>
      <c r="I923" s="160" t="s">
        <v>502</v>
      </c>
      <c r="J923" s="160" t="s">
        <v>1365</v>
      </c>
      <c r="K923" s="177" t="s">
        <v>9</v>
      </c>
      <c r="L923" s="93" t="s">
        <v>786</v>
      </c>
      <c r="M923" s="94" t="s">
        <v>3395</v>
      </c>
      <c r="N923" s="95" t="s">
        <v>2870</v>
      </c>
      <c r="O923" s="180">
        <v>2</v>
      </c>
      <c r="P923" s="97">
        <f t="shared" si="232"/>
        <v>27.449541284403669</v>
      </c>
      <c r="Q923" s="119" t="s">
        <v>16</v>
      </c>
      <c r="R923" s="180">
        <v>3.8</v>
      </c>
      <c r="S923" s="167"/>
      <c r="T923" s="168"/>
      <c r="U923" s="99">
        <f t="shared" si="233"/>
        <v>106.89128271099224</v>
      </c>
      <c r="V923" s="100">
        <f t="shared" si="230"/>
        <v>1.3361410338874031</v>
      </c>
      <c r="W923" s="101">
        <f t="shared" si="231"/>
        <v>0.1908772905553433</v>
      </c>
      <c r="X923" s="167"/>
      <c r="Y923" s="167"/>
      <c r="Z923" s="102"/>
      <c r="AA923" s="103">
        <v>45891</v>
      </c>
      <c r="AB923" s="103">
        <v>45914</v>
      </c>
      <c r="AC923" s="103"/>
      <c r="AD923" s="102">
        <f>IF(ISNA(VLOOKUP(D923,亚马逊入库配置费!B:F,5,0)),0,VLOOKUP(D923,亚马逊入库配置费!B:F,5,0))</f>
        <v>0.36943181818181797</v>
      </c>
      <c r="AE923" s="102">
        <f t="shared" si="223"/>
        <v>29.554545454545437</v>
      </c>
      <c r="AF923" s="103">
        <v>45924</v>
      </c>
      <c r="AG923" s="91">
        <f t="shared" si="224"/>
        <v>33</v>
      </c>
      <c r="AH923" s="103">
        <v>45924</v>
      </c>
      <c r="AI923" s="103">
        <v>45955</v>
      </c>
      <c r="AJ923" s="96">
        <v>81</v>
      </c>
      <c r="AK923" s="91">
        <f t="shared" si="225"/>
        <v>31</v>
      </c>
      <c r="AL923" s="96">
        <f t="shared" si="228"/>
        <v>64</v>
      </c>
      <c r="AM923" s="92"/>
      <c r="AN923" s="91"/>
      <c r="AO923" s="91"/>
    </row>
    <row r="924" spans="1:41" ht="14.5" x14ac:dyDescent="0.25">
      <c r="A924" s="92" t="s">
        <v>1628</v>
      </c>
      <c r="B924" s="91"/>
      <c r="C924" s="180" t="s">
        <v>1618</v>
      </c>
      <c r="D924" s="177" t="s">
        <v>1619</v>
      </c>
      <c r="E924" s="178" t="s">
        <v>97</v>
      </c>
      <c r="F924" s="178" t="s">
        <v>1369</v>
      </c>
      <c r="G924" s="179" t="s">
        <v>1215</v>
      </c>
      <c r="H924" s="160">
        <v>120</v>
      </c>
      <c r="I924" s="160" t="s">
        <v>502</v>
      </c>
      <c r="J924" s="160" t="s">
        <v>1365</v>
      </c>
      <c r="K924" s="177" t="s">
        <v>9</v>
      </c>
      <c r="L924" s="93" t="s">
        <v>3095</v>
      </c>
      <c r="M924" s="94" t="s">
        <v>3436</v>
      </c>
      <c r="N924" s="95" t="s">
        <v>2867</v>
      </c>
      <c r="O924" s="180">
        <v>4</v>
      </c>
      <c r="P924" s="97">
        <f t="shared" si="232"/>
        <v>54.899082568807337</v>
      </c>
      <c r="Q924" s="119" t="s">
        <v>16</v>
      </c>
      <c r="R924" s="180">
        <v>3.8</v>
      </c>
      <c r="S924" s="167"/>
      <c r="T924" s="168"/>
      <c r="U924" s="99">
        <f t="shared" si="233"/>
        <v>213.78256542198449</v>
      </c>
      <c r="V924" s="100">
        <f t="shared" si="230"/>
        <v>1.7815213785165374</v>
      </c>
      <c r="W924" s="101">
        <f t="shared" si="231"/>
        <v>0.25450305407379104</v>
      </c>
      <c r="X924" s="167"/>
      <c r="Y924" s="167"/>
      <c r="Z924" s="102"/>
      <c r="AA924" s="103">
        <v>45891</v>
      </c>
      <c r="AB924" s="103">
        <v>45914</v>
      </c>
      <c r="AC924" s="103"/>
      <c r="AD924" s="102">
        <f>IF(ISNA(VLOOKUP(D924,亚马逊入库配置费!B:F,5,0)),0,VLOOKUP(D924,亚马逊入库配置费!B:F,5,0))</f>
        <v>0.36943181818181797</v>
      </c>
      <c r="AE924" s="102">
        <f t="shared" si="223"/>
        <v>44.331818181818157</v>
      </c>
      <c r="AF924" s="103">
        <v>45924</v>
      </c>
      <c r="AG924" s="91">
        <f t="shared" si="224"/>
        <v>33</v>
      </c>
      <c r="AH924" s="103">
        <v>45924</v>
      </c>
      <c r="AI924" s="103">
        <v>45955</v>
      </c>
      <c r="AJ924" s="96">
        <v>120</v>
      </c>
      <c r="AK924" s="91">
        <f t="shared" si="225"/>
        <v>31</v>
      </c>
      <c r="AL924" s="96">
        <f t="shared" si="228"/>
        <v>64</v>
      </c>
      <c r="AM924" s="92"/>
      <c r="AN924" s="91"/>
      <c r="AO924" s="91"/>
    </row>
    <row r="925" spans="1:41" ht="14.5" x14ac:dyDescent="0.25">
      <c r="A925" s="92" t="s">
        <v>1629</v>
      </c>
      <c r="B925" s="91"/>
      <c r="C925" s="180" t="s">
        <v>1618</v>
      </c>
      <c r="D925" s="177" t="s">
        <v>1630</v>
      </c>
      <c r="E925" s="178" t="s">
        <v>115</v>
      </c>
      <c r="F925" s="178" t="s">
        <v>1369</v>
      </c>
      <c r="G925" s="179" t="s">
        <v>211</v>
      </c>
      <c r="H925" s="160">
        <v>600</v>
      </c>
      <c r="I925" s="160" t="s">
        <v>502</v>
      </c>
      <c r="J925" s="160" t="s">
        <v>1365</v>
      </c>
      <c r="K925" s="177" t="s">
        <v>13</v>
      </c>
      <c r="L925" s="93" t="s">
        <v>3034</v>
      </c>
      <c r="M925" s="94" t="s">
        <v>3312</v>
      </c>
      <c r="N925" s="95" t="s">
        <v>2869</v>
      </c>
      <c r="O925" s="180">
        <v>20</v>
      </c>
      <c r="P925" s="97">
        <f>519/36*O925</f>
        <v>288.33333333333331</v>
      </c>
      <c r="Q925" s="119" t="s">
        <v>16</v>
      </c>
      <c r="R925" s="180">
        <v>4</v>
      </c>
      <c r="S925" s="167"/>
      <c r="T925" s="168"/>
      <c r="U925" s="99">
        <f t="shared" si="233"/>
        <v>1179.1635916359162</v>
      </c>
      <c r="V925" s="100">
        <f t="shared" si="230"/>
        <v>1.965272652726527</v>
      </c>
      <c r="W925" s="101">
        <f t="shared" si="231"/>
        <v>0.28075323610378955</v>
      </c>
      <c r="X925" s="167"/>
      <c r="Y925" s="167"/>
      <c r="Z925" s="102"/>
      <c r="AA925" s="103">
        <v>45891</v>
      </c>
      <c r="AB925" s="103">
        <v>45914</v>
      </c>
      <c r="AC925" s="103"/>
      <c r="AD925" s="102">
        <f>IF(ISNA(VLOOKUP(D925,亚马逊入库配置费!B:F,5,0)),0,VLOOKUP(D925,亚马逊入库配置费!B:F,5,0))</f>
        <v>0.41</v>
      </c>
      <c r="AE925" s="102">
        <f t="shared" si="223"/>
        <v>245.99999999999997</v>
      </c>
      <c r="AF925" s="103">
        <v>45923</v>
      </c>
      <c r="AG925" s="91">
        <f t="shared" si="224"/>
        <v>32</v>
      </c>
      <c r="AH925" s="103">
        <v>45923</v>
      </c>
      <c r="AI925" s="103">
        <v>45956</v>
      </c>
      <c r="AJ925" s="96">
        <v>575</v>
      </c>
      <c r="AK925" s="91">
        <f t="shared" si="225"/>
        <v>33</v>
      </c>
      <c r="AL925" s="96">
        <f t="shared" si="228"/>
        <v>65</v>
      </c>
      <c r="AM925" s="92"/>
      <c r="AN925" s="91"/>
      <c r="AO925" s="91"/>
    </row>
    <row r="926" spans="1:41" ht="14.5" x14ac:dyDescent="0.25">
      <c r="A926" s="92" t="s">
        <v>1631</v>
      </c>
      <c r="B926" s="91"/>
      <c r="C926" s="180" t="s">
        <v>1618</v>
      </c>
      <c r="D926" s="177" t="s">
        <v>1630</v>
      </c>
      <c r="E926" s="178" t="s">
        <v>115</v>
      </c>
      <c r="F926" s="178" t="s">
        <v>1369</v>
      </c>
      <c r="G926" s="179" t="s">
        <v>1186</v>
      </c>
      <c r="H926" s="160">
        <v>180</v>
      </c>
      <c r="I926" s="160" t="s">
        <v>502</v>
      </c>
      <c r="J926" s="160" t="s">
        <v>1365</v>
      </c>
      <c r="K926" s="177" t="s">
        <v>13</v>
      </c>
      <c r="L926" s="93" t="s">
        <v>1186</v>
      </c>
      <c r="M926" s="94" t="s">
        <v>3431</v>
      </c>
      <c r="N926" s="95" t="s">
        <v>2869</v>
      </c>
      <c r="O926" s="180">
        <v>6</v>
      </c>
      <c r="P926" s="97">
        <f>519/36*O926</f>
        <v>86.5</v>
      </c>
      <c r="Q926" s="119" t="s">
        <v>16</v>
      </c>
      <c r="R926" s="180">
        <v>4</v>
      </c>
      <c r="S926" s="167"/>
      <c r="T926" s="168"/>
      <c r="U926" s="99">
        <f t="shared" si="233"/>
        <v>353.74907749077488</v>
      </c>
      <c r="V926" s="100">
        <f t="shared" si="230"/>
        <v>1.9652726527265272</v>
      </c>
      <c r="W926" s="101">
        <f t="shared" si="231"/>
        <v>0.28075323610378961</v>
      </c>
      <c r="X926" s="167"/>
      <c r="Y926" s="167"/>
      <c r="Z926" s="102"/>
      <c r="AA926" s="103">
        <v>45891</v>
      </c>
      <c r="AB926" s="103">
        <v>45914</v>
      </c>
      <c r="AC926" s="103"/>
      <c r="AD926" s="102">
        <f>IF(ISNA(VLOOKUP(D926,亚马逊入库配置费!B:F,5,0)),0,VLOOKUP(D926,亚马逊入库配置费!B:F,5,0))</f>
        <v>0.41</v>
      </c>
      <c r="AE926" s="102">
        <f t="shared" si="223"/>
        <v>73.8</v>
      </c>
      <c r="AF926" s="103">
        <v>45923</v>
      </c>
      <c r="AG926" s="91">
        <f t="shared" si="224"/>
        <v>32</v>
      </c>
      <c r="AH926" s="103">
        <v>45923</v>
      </c>
      <c r="AI926" s="103">
        <v>45956</v>
      </c>
      <c r="AJ926" s="96">
        <v>148</v>
      </c>
      <c r="AK926" s="91">
        <f t="shared" si="225"/>
        <v>33</v>
      </c>
      <c r="AL926" s="96">
        <f t="shared" si="228"/>
        <v>65</v>
      </c>
      <c r="AM926" s="92"/>
      <c r="AN926" s="91"/>
      <c r="AO926" s="91"/>
    </row>
    <row r="927" spans="1:41" ht="14.5" x14ac:dyDescent="0.25">
      <c r="A927" s="92" t="s">
        <v>1632</v>
      </c>
      <c r="B927" s="91"/>
      <c r="C927" s="180" t="s">
        <v>1618</v>
      </c>
      <c r="D927" s="177" t="s">
        <v>1630</v>
      </c>
      <c r="E927" s="178" t="s">
        <v>115</v>
      </c>
      <c r="F927" s="178" t="s">
        <v>1369</v>
      </c>
      <c r="G927" s="179" t="s">
        <v>864</v>
      </c>
      <c r="H927" s="160">
        <v>120</v>
      </c>
      <c r="I927" s="160" t="s">
        <v>502</v>
      </c>
      <c r="J927" s="160" t="s">
        <v>1365</v>
      </c>
      <c r="K927" s="177" t="s">
        <v>13</v>
      </c>
      <c r="L927" s="93" t="s">
        <v>864</v>
      </c>
      <c r="M927" s="94" t="s">
        <v>3397</v>
      </c>
      <c r="N927" s="95" t="s">
        <v>2869</v>
      </c>
      <c r="O927" s="180">
        <v>4</v>
      </c>
      <c r="P927" s="97">
        <f>519/36*O927</f>
        <v>57.666666666666664</v>
      </c>
      <c r="Q927" s="119" t="s">
        <v>16</v>
      </c>
      <c r="R927" s="180">
        <v>4</v>
      </c>
      <c r="S927" s="167"/>
      <c r="T927" s="168"/>
      <c r="U927" s="99">
        <f t="shared" si="233"/>
        <v>235.83271832718327</v>
      </c>
      <c r="V927" s="100">
        <f t="shared" si="230"/>
        <v>1.9652726527265272</v>
      </c>
      <c r="W927" s="101">
        <f t="shared" si="231"/>
        <v>0.28075323610378961</v>
      </c>
      <c r="X927" s="167"/>
      <c r="Y927" s="167"/>
      <c r="Z927" s="102"/>
      <c r="AA927" s="103">
        <v>45891</v>
      </c>
      <c r="AB927" s="103">
        <v>45914</v>
      </c>
      <c r="AC927" s="103"/>
      <c r="AD927" s="102">
        <f>IF(ISNA(VLOOKUP(D927,亚马逊入库配置费!B:F,5,0)),0,VLOOKUP(D927,亚马逊入库配置费!B:F,5,0))</f>
        <v>0.41</v>
      </c>
      <c r="AE927" s="102">
        <f t="shared" si="223"/>
        <v>49.199999999999996</v>
      </c>
      <c r="AF927" s="103">
        <v>45923</v>
      </c>
      <c r="AG927" s="91">
        <f t="shared" si="224"/>
        <v>32</v>
      </c>
      <c r="AH927" s="103">
        <v>45923</v>
      </c>
      <c r="AI927" s="103">
        <v>45956</v>
      </c>
      <c r="AJ927" s="96">
        <v>120</v>
      </c>
      <c r="AK927" s="91">
        <f t="shared" si="225"/>
        <v>33</v>
      </c>
      <c r="AL927" s="96">
        <f t="shared" si="228"/>
        <v>65</v>
      </c>
      <c r="AM927" s="92"/>
      <c r="AN927" s="91"/>
      <c r="AO927" s="91"/>
    </row>
    <row r="928" spans="1:41" ht="14.5" x14ac:dyDescent="0.25">
      <c r="A928" s="92" t="s">
        <v>1633</v>
      </c>
      <c r="B928" s="91"/>
      <c r="C928" s="180" t="s">
        <v>1618</v>
      </c>
      <c r="D928" s="177" t="s">
        <v>1630</v>
      </c>
      <c r="E928" s="178" t="s">
        <v>115</v>
      </c>
      <c r="F928" s="178" t="s">
        <v>1369</v>
      </c>
      <c r="G928" s="179" t="s">
        <v>1190</v>
      </c>
      <c r="H928" s="160">
        <v>180</v>
      </c>
      <c r="I928" s="160" t="s">
        <v>502</v>
      </c>
      <c r="J928" s="160" t="s">
        <v>1365</v>
      </c>
      <c r="K928" s="177" t="s">
        <v>13</v>
      </c>
      <c r="L928" s="93" t="s">
        <v>1190</v>
      </c>
      <c r="M928" s="94" t="s">
        <v>3432</v>
      </c>
      <c r="N928" s="95" t="s">
        <v>2869</v>
      </c>
      <c r="O928" s="180">
        <v>6</v>
      </c>
      <c r="P928" s="97">
        <f>519/36*O928</f>
        <v>86.5</v>
      </c>
      <c r="Q928" s="119" t="s">
        <v>16</v>
      </c>
      <c r="R928" s="180">
        <v>4</v>
      </c>
      <c r="S928" s="167"/>
      <c r="T928" s="168"/>
      <c r="U928" s="99">
        <f t="shared" si="233"/>
        <v>353.74907749077488</v>
      </c>
      <c r="V928" s="100">
        <f t="shared" si="230"/>
        <v>1.9652726527265272</v>
      </c>
      <c r="W928" s="101">
        <f t="shared" si="231"/>
        <v>0.28075323610378961</v>
      </c>
      <c r="X928" s="167"/>
      <c r="Y928" s="167"/>
      <c r="Z928" s="102"/>
      <c r="AA928" s="103">
        <v>45891</v>
      </c>
      <c r="AB928" s="103">
        <v>45914</v>
      </c>
      <c r="AC928" s="103"/>
      <c r="AD928" s="102">
        <f>IF(ISNA(VLOOKUP(D928,亚马逊入库配置费!B:F,5,0)),0,VLOOKUP(D928,亚马逊入库配置费!B:F,5,0))</f>
        <v>0.41</v>
      </c>
      <c r="AE928" s="102">
        <f t="shared" si="223"/>
        <v>73.8</v>
      </c>
      <c r="AF928" s="103">
        <v>45923</v>
      </c>
      <c r="AG928" s="91">
        <f t="shared" si="224"/>
        <v>32</v>
      </c>
      <c r="AH928" s="103">
        <v>45923</v>
      </c>
      <c r="AI928" s="103">
        <v>45956</v>
      </c>
      <c r="AJ928" s="96">
        <v>180</v>
      </c>
      <c r="AK928" s="91">
        <f t="shared" si="225"/>
        <v>33</v>
      </c>
      <c r="AL928" s="96">
        <f t="shared" si="228"/>
        <v>65</v>
      </c>
      <c r="AM928" s="92"/>
      <c r="AN928" s="91"/>
      <c r="AO928" s="91"/>
    </row>
    <row r="929" spans="1:41" ht="14.5" x14ac:dyDescent="0.25">
      <c r="A929" s="92" t="s">
        <v>1634</v>
      </c>
      <c r="B929" s="91"/>
      <c r="C929" s="180" t="s">
        <v>1618</v>
      </c>
      <c r="D929" s="177" t="s">
        <v>1635</v>
      </c>
      <c r="E929" s="178" t="s">
        <v>97</v>
      </c>
      <c r="F929" s="178" t="s">
        <v>1369</v>
      </c>
      <c r="G929" s="179" t="s">
        <v>88</v>
      </c>
      <c r="H929" s="160">
        <v>240</v>
      </c>
      <c r="I929" s="160" t="s">
        <v>502</v>
      </c>
      <c r="J929" s="160" t="s">
        <v>1365</v>
      </c>
      <c r="K929" s="177" t="s">
        <v>10</v>
      </c>
      <c r="L929" s="93" t="s">
        <v>3014</v>
      </c>
      <c r="M929" s="94" t="s">
        <v>3286</v>
      </c>
      <c r="N929" s="95" t="s">
        <v>2821</v>
      </c>
      <c r="O929" s="180">
        <v>20</v>
      </c>
      <c r="P929" s="97">
        <f>903/63*O929</f>
        <v>286.66666666666669</v>
      </c>
      <c r="Q929" s="119" t="s">
        <v>16</v>
      </c>
      <c r="R929" s="180">
        <v>3.8</v>
      </c>
      <c r="S929" s="167"/>
      <c r="T929" s="168"/>
      <c r="U929" s="99">
        <f t="shared" si="233"/>
        <v>1115.1635916359162</v>
      </c>
      <c r="V929" s="100">
        <f t="shared" si="230"/>
        <v>4.6465149651496507</v>
      </c>
      <c r="W929" s="101">
        <f t="shared" si="231"/>
        <v>0.66378785216423586</v>
      </c>
      <c r="X929" s="167"/>
      <c r="Y929" s="167"/>
      <c r="Z929" s="102"/>
      <c r="AA929" s="103">
        <v>45891</v>
      </c>
      <c r="AB929" s="103">
        <v>45914</v>
      </c>
      <c r="AC929" s="103"/>
      <c r="AD929" s="102">
        <f>IF(ISNA(VLOOKUP(D929,亚马逊入库配置费!B:F,5,0)),0,VLOOKUP(D929,亚马逊入库配置费!B:F,5,0))</f>
        <v>0.49</v>
      </c>
      <c r="AE929" s="102">
        <f t="shared" si="223"/>
        <v>117.6</v>
      </c>
      <c r="AF929" s="103">
        <v>45921</v>
      </c>
      <c r="AG929" s="91">
        <f t="shared" si="224"/>
        <v>30</v>
      </c>
      <c r="AH929" s="103">
        <v>45921</v>
      </c>
      <c r="AI929" s="103">
        <v>45985</v>
      </c>
      <c r="AJ929" s="96">
        <v>243</v>
      </c>
      <c r="AK929" s="91">
        <f t="shared" si="225"/>
        <v>64</v>
      </c>
      <c r="AL929" s="96">
        <f t="shared" si="228"/>
        <v>94</v>
      </c>
      <c r="AM929" s="92"/>
      <c r="AN929" s="91"/>
      <c r="AO929" s="91"/>
    </row>
    <row r="930" spans="1:41" ht="14.5" x14ac:dyDescent="0.25">
      <c r="A930" s="92" t="s">
        <v>1636</v>
      </c>
      <c r="B930" s="91"/>
      <c r="C930" s="180" t="s">
        <v>1618</v>
      </c>
      <c r="D930" s="177" t="s">
        <v>1635</v>
      </c>
      <c r="E930" s="178" t="s">
        <v>97</v>
      </c>
      <c r="F930" s="178" t="s">
        <v>1369</v>
      </c>
      <c r="G930" s="179" t="s">
        <v>93</v>
      </c>
      <c r="H930" s="160">
        <v>516</v>
      </c>
      <c r="I930" s="160" t="s">
        <v>502</v>
      </c>
      <c r="J930" s="160" t="s">
        <v>1365</v>
      </c>
      <c r="K930" s="177" t="s">
        <v>10</v>
      </c>
      <c r="L930" s="93" t="s">
        <v>3015</v>
      </c>
      <c r="M930" s="94" t="s">
        <v>3288</v>
      </c>
      <c r="N930" s="95" t="s">
        <v>2821</v>
      </c>
      <c r="O930" s="180">
        <v>43</v>
      </c>
      <c r="P930" s="97">
        <f>903/63*O930</f>
        <v>616.33333333333337</v>
      </c>
      <c r="Q930" s="119" t="s">
        <v>16</v>
      </c>
      <c r="R930" s="180">
        <v>3.8</v>
      </c>
      <c r="S930" s="167"/>
      <c r="T930" s="168"/>
      <c r="U930" s="99">
        <f t="shared" si="233"/>
        <v>2397.6017220172203</v>
      </c>
      <c r="V930" s="100">
        <f t="shared" si="230"/>
        <v>4.6465149651496516</v>
      </c>
      <c r="W930" s="101">
        <f t="shared" si="231"/>
        <v>0.66378785216423597</v>
      </c>
      <c r="X930" s="167"/>
      <c r="Y930" s="167"/>
      <c r="Z930" s="102"/>
      <c r="AA930" s="103">
        <v>45891</v>
      </c>
      <c r="AB930" s="103">
        <v>45914</v>
      </c>
      <c r="AC930" s="103"/>
      <c r="AD930" s="102">
        <f>IF(ISNA(VLOOKUP(D930,亚马逊入库配置费!B:F,5,0)),0,VLOOKUP(D930,亚马逊入库配置费!B:F,5,0))</f>
        <v>0.49</v>
      </c>
      <c r="AE930" s="102">
        <f t="shared" si="223"/>
        <v>252.84</v>
      </c>
      <c r="AF930" s="103">
        <v>45921</v>
      </c>
      <c r="AG930" s="91">
        <f t="shared" si="224"/>
        <v>30</v>
      </c>
      <c r="AH930" s="103">
        <v>45921</v>
      </c>
      <c r="AI930" s="103">
        <v>45985</v>
      </c>
      <c r="AJ930" s="96">
        <v>516</v>
      </c>
      <c r="AK930" s="91">
        <f t="shared" si="225"/>
        <v>64</v>
      </c>
      <c r="AL930" s="96">
        <f t="shared" si="228"/>
        <v>94</v>
      </c>
      <c r="AM930" s="92"/>
      <c r="AN930" s="91"/>
      <c r="AO930" s="91"/>
    </row>
    <row r="931" spans="1:41" ht="14.5" x14ac:dyDescent="0.25">
      <c r="A931" s="110" t="s">
        <v>1637</v>
      </c>
      <c r="B931" s="90"/>
      <c r="C931" s="160" t="s">
        <v>1638</v>
      </c>
      <c r="D931" s="181" t="s">
        <v>1639</v>
      </c>
      <c r="E931" s="182" t="s">
        <v>97</v>
      </c>
      <c r="F931" s="182" t="s">
        <v>175</v>
      </c>
      <c r="G931" s="179" t="s">
        <v>93</v>
      </c>
      <c r="H931" s="160">
        <v>600</v>
      </c>
      <c r="I931" s="160" t="s">
        <v>1227</v>
      </c>
      <c r="J931" s="119" t="s">
        <v>8</v>
      </c>
      <c r="K931" s="181" t="s">
        <v>10</v>
      </c>
      <c r="L931" s="93" t="s">
        <v>3015</v>
      </c>
      <c r="M931" s="94" t="s">
        <v>3288</v>
      </c>
      <c r="N931" s="95" t="s">
        <v>2821</v>
      </c>
      <c r="O931" s="174">
        <v>50</v>
      </c>
      <c r="P931" s="97">
        <v>719</v>
      </c>
      <c r="Q931" s="173" t="s">
        <v>1443</v>
      </c>
      <c r="R931" s="174">
        <v>5.5</v>
      </c>
      <c r="S931" s="175"/>
      <c r="T931" s="131"/>
      <c r="U931" s="157">
        <f>R931*P931+350/50*O931</f>
        <v>4304.5</v>
      </c>
      <c r="V931" s="100">
        <f t="shared" si="230"/>
        <v>7.1741666666666664</v>
      </c>
      <c r="W931" s="101">
        <f t="shared" si="231"/>
        <v>1.0248809523809523</v>
      </c>
      <c r="X931" s="175"/>
      <c r="Y931" s="175"/>
      <c r="Z931" s="104"/>
      <c r="AA931" s="118">
        <v>45891</v>
      </c>
      <c r="AB931" s="118">
        <v>45910</v>
      </c>
      <c r="AC931" s="118"/>
      <c r="AD931" s="104">
        <f>IF(ISNA(VLOOKUP(D931,亚马逊入库配置费!B:F,5,0)),0,VLOOKUP(D931,亚马逊入库配置费!B:F,5,0))</f>
        <v>0.49</v>
      </c>
      <c r="AE931" s="104">
        <f t="shared" si="223"/>
        <v>294</v>
      </c>
      <c r="AF931" s="118">
        <v>45918</v>
      </c>
      <c r="AG931" s="90">
        <f t="shared" si="224"/>
        <v>27</v>
      </c>
      <c r="AH931" s="118">
        <v>45918</v>
      </c>
      <c r="AI931" s="118">
        <v>45953</v>
      </c>
      <c r="AJ931" s="158">
        <v>610</v>
      </c>
      <c r="AK931" s="91">
        <f t="shared" si="225"/>
        <v>35</v>
      </c>
      <c r="AL931" s="96">
        <f t="shared" si="228"/>
        <v>62</v>
      </c>
      <c r="AM931" s="110"/>
      <c r="AN931" s="90"/>
      <c r="AO931" s="90"/>
    </row>
    <row r="932" spans="1:41" ht="14.5" x14ac:dyDescent="0.25">
      <c r="A932" s="92" t="s">
        <v>1640</v>
      </c>
      <c r="B932" s="91"/>
      <c r="C932" s="180" t="s">
        <v>1618</v>
      </c>
      <c r="D932" s="177" t="s">
        <v>1641</v>
      </c>
      <c r="E932" s="178" t="s">
        <v>97</v>
      </c>
      <c r="F932" s="178" t="s">
        <v>1369</v>
      </c>
      <c r="G932" s="179" t="s">
        <v>88</v>
      </c>
      <c r="H932" s="160">
        <v>228</v>
      </c>
      <c r="I932" s="160" t="s">
        <v>502</v>
      </c>
      <c r="J932" s="160" t="s">
        <v>1365</v>
      </c>
      <c r="K932" s="177" t="s">
        <v>46</v>
      </c>
      <c r="L932" s="93" t="s">
        <v>3014</v>
      </c>
      <c r="M932" s="94" t="s">
        <v>3286</v>
      </c>
      <c r="N932" s="95" t="s">
        <v>2821</v>
      </c>
      <c r="O932" s="180">
        <v>19</v>
      </c>
      <c r="P932" s="97">
        <f>907/63*O932</f>
        <v>273.53968253968253</v>
      </c>
      <c r="Q932" s="119" t="s">
        <v>16</v>
      </c>
      <c r="R932" s="160">
        <v>3.8</v>
      </c>
      <c r="S932" s="175"/>
      <c r="T932" s="168"/>
      <c r="U932" s="99">
        <f>R932*P932+350/271*O932</f>
        <v>1063.9895390382474</v>
      </c>
      <c r="V932" s="100">
        <f t="shared" si="230"/>
        <v>4.6666207852554713</v>
      </c>
      <c r="W932" s="101">
        <f t="shared" si="231"/>
        <v>0.66666011217935306</v>
      </c>
      <c r="X932" s="175"/>
      <c r="Y932" s="175"/>
      <c r="Z932" s="102"/>
      <c r="AA932" s="103">
        <v>45891</v>
      </c>
      <c r="AB932" s="103">
        <v>45914</v>
      </c>
      <c r="AC932" s="103"/>
      <c r="AD932" s="102">
        <f>IF(ISNA(VLOOKUP(D932,亚马逊入库配置费!B:F,5,0)),0,VLOOKUP(D932,亚马逊入库配置费!B:F,5,0))</f>
        <v>0.49</v>
      </c>
      <c r="AE932" s="102">
        <f t="shared" si="223"/>
        <v>111.72</v>
      </c>
      <c r="AF932" s="103">
        <v>45926</v>
      </c>
      <c r="AG932" s="91">
        <f t="shared" si="224"/>
        <v>35</v>
      </c>
      <c r="AH932" s="103">
        <v>45926</v>
      </c>
      <c r="AI932" s="103">
        <v>45962</v>
      </c>
      <c r="AJ932" s="96">
        <v>233</v>
      </c>
      <c r="AK932" s="91">
        <f t="shared" si="225"/>
        <v>36</v>
      </c>
      <c r="AL932" s="96">
        <f t="shared" si="228"/>
        <v>71</v>
      </c>
      <c r="AM932" s="92"/>
      <c r="AN932" s="91"/>
      <c r="AO932" s="91"/>
    </row>
    <row r="933" spans="1:41" ht="14.5" x14ac:dyDescent="0.25">
      <c r="A933" s="92" t="s">
        <v>1642</v>
      </c>
      <c r="B933" s="91"/>
      <c r="C933" s="180" t="s">
        <v>1618</v>
      </c>
      <c r="D933" s="177" t="s">
        <v>1641</v>
      </c>
      <c r="E933" s="178" t="s">
        <v>97</v>
      </c>
      <c r="F933" s="178" t="s">
        <v>1369</v>
      </c>
      <c r="G933" s="179" t="s">
        <v>93</v>
      </c>
      <c r="H933" s="160">
        <v>528</v>
      </c>
      <c r="I933" s="160" t="s">
        <v>502</v>
      </c>
      <c r="J933" s="160" t="s">
        <v>1365</v>
      </c>
      <c r="K933" s="177" t="s">
        <v>46</v>
      </c>
      <c r="L933" s="93" t="s">
        <v>3015</v>
      </c>
      <c r="M933" s="94" t="s">
        <v>3288</v>
      </c>
      <c r="N933" s="95" t="s">
        <v>2821</v>
      </c>
      <c r="O933" s="180">
        <v>44</v>
      </c>
      <c r="P933" s="97">
        <f>907/63*O933</f>
        <v>633.46031746031747</v>
      </c>
      <c r="Q933" s="119" t="s">
        <v>16</v>
      </c>
      <c r="R933" s="160">
        <v>3.8</v>
      </c>
      <c r="S933" s="175"/>
      <c r="T933" s="168"/>
      <c r="U933" s="99">
        <f>R933*P933+350/271*O933</f>
        <v>2463.9757746148889</v>
      </c>
      <c r="V933" s="100">
        <f t="shared" si="230"/>
        <v>4.6666207852554713</v>
      </c>
      <c r="W933" s="101">
        <f t="shared" si="231"/>
        <v>0.66666011217935306</v>
      </c>
      <c r="X933" s="175"/>
      <c r="Y933" s="175"/>
      <c r="Z933" s="102"/>
      <c r="AA933" s="103">
        <v>45891</v>
      </c>
      <c r="AB933" s="103">
        <v>45914</v>
      </c>
      <c r="AC933" s="103"/>
      <c r="AD933" s="102">
        <f>IF(ISNA(VLOOKUP(D933,亚马逊入库配置费!B:F,5,0)),0,VLOOKUP(D933,亚马逊入库配置费!B:F,5,0))</f>
        <v>0.49</v>
      </c>
      <c r="AE933" s="102">
        <f t="shared" si="223"/>
        <v>258.71999999999997</v>
      </c>
      <c r="AF933" s="103">
        <v>45926</v>
      </c>
      <c r="AG933" s="91">
        <f t="shared" si="224"/>
        <v>35</v>
      </c>
      <c r="AH933" s="103">
        <v>45926</v>
      </c>
      <c r="AI933" s="103">
        <v>45962</v>
      </c>
      <c r="AJ933" s="96">
        <v>530</v>
      </c>
      <c r="AK933" s="91">
        <f t="shared" si="225"/>
        <v>36</v>
      </c>
      <c r="AL933" s="96">
        <f t="shared" si="228"/>
        <v>71</v>
      </c>
      <c r="AM933" s="92"/>
      <c r="AN933" s="91"/>
      <c r="AO933" s="91"/>
    </row>
    <row r="934" spans="1:41" ht="14.5" x14ac:dyDescent="0.25">
      <c r="A934" s="110" t="s">
        <v>1643</v>
      </c>
      <c r="B934" s="90"/>
      <c r="C934" s="160" t="s">
        <v>1563</v>
      </c>
      <c r="D934" s="181" t="s">
        <v>1644</v>
      </c>
      <c r="E934" s="182" t="s">
        <v>97</v>
      </c>
      <c r="F934" s="182" t="s">
        <v>175</v>
      </c>
      <c r="G934" s="179" t="s">
        <v>1052</v>
      </c>
      <c r="H934" s="160">
        <v>702</v>
      </c>
      <c r="I934" s="160" t="s">
        <v>1234</v>
      </c>
      <c r="J934" s="160" t="s">
        <v>1365</v>
      </c>
      <c r="K934" s="181" t="s">
        <v>14</v>
      </c>
      <c r="L934" s="93" t="s">
        <v>3089</v>
      </c>
      <c r="M934" s="94" t="s">
        <v>3423</v>
      </c>
      <c r="N934" s="95" t="s">
        <v>3042</v>
      </c>
      <c r="O934" s="174">
        <v>9</v>
      </c>
      <c r="P934" s="97">
        <f t="shared" ref="P934:P942" si="234">1.67/29*O934</f>
        <v>0.51827586206896548</v>
      </c>
      <c r="Q934" s="174" t="s">
        <v>3430</v>
      </c>
      <c r="R934" s="174">
        <v>1680</v>
      </c>
      <c r="S934" s="175"/>
      <c r="T934" s="131"/>
      <c r="U934" s="157">
        <f>R934*P934</f>
        <v>870.703448275862</v>
      </c>
      <c r="V934" s="100">
        <f t="shared" si="230"/>
        <v>1.2403183023872677</v>
      </c>
      <c r="W934" s="101">
        <f t="shared" si="231"/>
        <v>0.1771883289124668</v>
      </c>
      <c r="X934" s="175"/>
      <c r="Y934" s="175"/>
      <c r="Z934" s="104"/>
      <c r="AA934" s="118">
        <v>45891</v>
      </c>
      <c r="AB934" s="118">
        <v>45910</v>
      </c>
      <c r="AC934" s="118"/>
      <c r="AD934" s="104">
        <f>IF(ISNA(VLOOKUP(D934,亚马逊入库配置费!B:F,5,0)),0,VLOOKUP(D934,亚马逊入库配置费!B:F,5,0))</f>
        <v>0.34</v>
      </c>
      <c r="AE934" s="104">
        <f t="shared" si="223"/>
        <v>238.68</v>
      </c>
      <c r="AF934" s="118">
        <v>45922</v>
      </c>
      <c r="AG934" s="90">
        <f t="shared" si="224"/>
        <v>31</v>
      </c>
      <c r="AH934" s="118">
        <v>45922</v>
      </c>
      <c r="AI934" s="118">
        <v>45952</v>
      </c>
      <c r="AJ934" s="158">
        <v>702</v>
      </c>
      <c r="AK934" s="91">
        <f t="shared" si="225"/>
        <v>30</v>
      </c>
      <c r="AL934" s="96">
        <f t="shared" si="228"/>
        <v>61</v>
      </c>
      <c r="AM934" s="110"/>
      <c r="AN934" s="90"/>
      <c r="AO934" s="90"/>
    </row>
    <row r="935" spans="1:41" ht="14.5" x14ac:dyDescent="0.25">
      <c r="A935" s="110" t="s">
        <v>1645</v>
      </c>
      <c r="B935" s="90"/>
      <c r="C935" s="160" t="s">
        <v>1563</v>
      </c>
      <c r="D935" s="181" t="s">
        <v>1644</v>
      </c>
      <c r="E935" s="182" t="s">
        <v>97</v>
      </c>
      <c r="F935" s="182" t="s">
        <v>175</v>
      </c>
      <c r="G935" s="179" t="s">
        <v>1054</v>
      </c>
      <c r="H935" s="160">
        <v>180</v>
      </c>
      <c r="I935" s="160" t="s">
        <v>1234</v>
      </c>
      <c r="J935" s="160" t="s">
        <v>1365</v>
      </c>
      <c r="K935" s="181" t="s">
        <v>14</v>
      </c>
      <c r="L935" s="93" t="s">
        <v>3090</v>
      </c>
      <c r="M935" s="94" t="s">
        <v>3424</v>
      </c>
      <c r="N935" s="95" t="s">
        <v>3042</v>
      </c>
      <c r="O935" s="174">
        <v>2</v>
      </c>
      <c r="P935" s="97">
        <f t="shared" si="234"/>
        <v>0.11517241379310345</v>
      </c>
      <c r="Q935" s="174" t="s">
        <v>3430</v>
      </c>
      <c r="R935" s="174">
        <v>1680</v>
      </c>
      <c r="S935" s="175"/>
      <c r="T935" s="131"/>
      <c r="U935" s="157">
        <f t="shared" ref="U935:U942" si="235">R935*P935</f>
        <v>193.48965517241379</v>
      </c>
      <c r="V935" s="100">
        <f t="shared" si="230"/>
        <v>1.0749425287356322</v>
      </c>
      <c r="W935" s="101">
        <f t="shared" si="231"/>
        <v>0.15356321839080461</v>
      </c>
      <c r="X935" s="175"/>
      <c r="Y935" s="175"/>
      <c r="Z935" s="104"/>
      <c r="AA935" s="118">
        <v>45891</v>
      </c>
      <c r="AB935" s="118">
        <v>45910</v>
      </c>
      <c r="AC935" s="118"/>
      <c r="AD935" s="104">
        <f>IF(ISNA(VLOOKUP(D935,亚马逊入库配置费!B:F,5,0)),0,VLOOKUP(D935,亚马逊入库配置费!B:F,5,0))</f>
        <v>0.34</v>
      </c>
      <c r="AE935" s="104">
        <f t="shared" si="223"/>
        <v>61.2</v>
      </c>
      <c r="AF935" s="118">
        <v>45922</v>
      </c>
      <c r="AG935" s="90">
        <f t="shared" si="224"/>
        <v>31</v>
      </c>
      <c r="AH935" s="118">
        <v>45922</v>
      </c>
      <c r="AI935" s="118">
        <v>45952</v>
      </c>
      <c r="AJ935" s="158">
        <v>180</v>
      </c>
      <c r="AK935" s="91">
        <f t="shared" si="225"/>
        <v>30</v>
      </c>
      <c r="AL935" s="96">
        <f t="shared" si="228"/>
        <v>61</v>
      </c>
      <c r="AM935" s="110"/>
      <c r="AN935" s="90"/>
      <c r="AO935" s="90"/>
    </row>
    <row r="936" spans="1:41" ht="14.5" x14ac:dyDescent="0.25">
      <c r="A936" s="110" t="s">
        <v>1646</v>
      </c>
      <c r="B936" s="90"/>
      <c r="C936" s="160" t="s">
        <v>1563</v>
      </c>
      <c r="D936" s="181" t="s">
        <v>1644</v>
      </c>
      <c r="E936" s="182" t="s">
        <v>97</v>
      </c>
      <c r="F936" s="182" t="s">
        <v>175</v>
      </c>
      <c r="G936" s="179" t="s">
        <v>1057</v>
      </c>
      <c r="H936" s="160">
        <v>270</v>
      </c>
      <c r="I936" s="160" t="s">
        <v>1234</v>
      </c>
      <c r="J936" s="160" t="s">
        <v>1365</v>
      </c>
      <c r="K936" s="181" t="s">
        <v>14</v>
      </c>
      <c r="L936" s="93" t="s">
        <v>3091</v>
      </c>
      <c r="M936" s="94" t="s">
        <v>3425</v>
      </c>
      <c r="N936" s="95" t="s">
        <v>3042</v>
      </c>
      <c r="O936" s="174">
        <v>3</v>
      </c>
      <c r="P936" s="97">
        <f t="shared" si="234"/>
        <v>0.17275862068965517</v>
      </c>
      <c r="Q936" s="174" t="s">
        <v>3430</v>
      </c>
      <c r="R936" s="174">
        <v>1680</v>
      </c>
      <c r="S936" s="175"/>
      <c r="T936" s="131"/>
      <c r="U936" s="157">
        <f t="shared" si="235"/>
        <v>290.23448275862069</v>
      </c>
      <c r="V936" s="100">
        <f t="shared" si="230"/>
        <v>1.0749425287356322</v>
      </c>
      <c r="W936" s="101">
        <f t="shared" si="231"/>
        <v>0.15356321839080461</v>
      </c>
      <c r="X936" s="175"/>
      <c r="Y936" s="175"/>
      <c r="Z936" s="104"/>
      <c r="AA936" s="118">
        <v>45891</v>
      </c>
      <c r="AB936" s="118">
        <v>45910</v>
      </c>
      <c r="AC936" s="118"/>
      <c r="AD936" s="104">
        <f>IF(ISNA(VLOOKUP(D936,亚马逊入库配置费!B:F,5,0)),0,VLOOKUP(D936,亚马逊入库配置费!B:F,5,0))</f>
        <v>0.34</v>
      </c>
      <c r="AE936" s="104">
        <f t="shared" si="223"/>
        <v>91.800000000000011</v>
      </c>
      <c r="AF936" s="118">
        <v>45922</v>
      </c>
      <c r="AG936" s="90">
        <f t="shared" si="224"/>
        <v>31</v>
      </c>
      <c r="AH936" s="118">
        <v>45922</v>
      </c>
      <c r="AI936" s="118">
        <v>45952</v>
      </c>
      <c r="AJ936" s="158">
        <v>269</v>
      </c>
      <c r="AK936" s="91">
        <f t="shared" si="225"/>
        <v>30</v>
      </c>
      <c r="AL936" s="96">
        <f t="shared" si="228"/>
        <v>61</v>
      </c>
      <c r="AM936" s="110"/>
      <c r="AN936" s="90"/>
      <c r="AO936" s="90"/>
    </row>
    <row r="937" spans="1:41" ht="14.5" x14ac:dyDescent="0.25">
      <c r="A937" s="110" t="s">
        <v>1647</v>
      </c>
      <c r="B937" s="90"/>
      <c r="C937" s="160" t="s">
        <v>1563</v>
      </c>
      <c r="D937" s="181" t="s">
        <v>1644</v>
      </c>
      <c r="E937" s="182" t="s">
        <v>97</v>
      </c>
      <c r="F937" s="182" t="s">
        <v>175</v>
      </c>
      <c r="G937" s="179" t="s">
        <v>1061</v>
      </c>
      <c r="H937" s="160">
        <v>270</v>
      </c>
      <c r="I937" s="160" t="s">
        <v>1234</v>
      </c>
      <c r="J937" s="160" t="s">
        <v>1365</v>
      </c>
      <c r="K937" s="181" t="s">
        <v>14</v>
      </c>
      <c r="L937" s="93" t="s">
        <v>3093</v>
      </c>
      <c r="M937" s="94" t="s">
        <v>3427</v>
      </c>
      <c r="N937" s="95" t="s">
        <v>3042</v>
      </c>
      <c r="O937" s="174">
        <v>3</v>
      </c>
      <c r="P937" s="97">
        <f t="shared" si="234"/>
        <v>0.17275862068965517</v>
      </c>
      <c r="Q937" s="174" t="s">
        <v>3430</v>
      </c>
      <c r="R937" s="174">
        <v>1680</v>
      </c>
      <c r="S937" s="175"/>
      <c r="T937" s="131"/>
      <c r="U937" s="157">
        <f t="shared" si="235"/>
        <v>290.23448275862069</v>
      </c>
      <c r="V937" s="100">
        <f t="shared" si="230"/>
        <v>1.0749425287356322</v>
      </c>
      <c r="W937" s="101">
        <f t="shared" si="231"/>
        <v>0.15356321839080461</v>
      </c>
      <c r="X937" s="175"/>
      <c r="Y937" s="175"/>
      <c r="Z937" s="104"/>
      <c r="AA937" s="118">
        <v>45891</v>
      </c>
      <c r="AB937" s="118">
        <v>45910</v>
      </c>
      <c r="AC937" s="118"/>
      <c r="AD937" s="104">
        <f>IF(ISNA(VLOOKUP(D937,亚马逊入库配置费!B:F,5,0)),0,VLOOKUP(D937,亚马逊入库配置费!B:F,5,0))</f>
        <v>0.34</v>
      </c>
      <c r="AE937" s="104">
        <f t="shared" si="223"/>
        <v>91.800000000000011</v>
      </c>
      <c r="AF937" s="118">
        <v>45922</v>
      </c>
      <c r="AG937" s="90">
        <f t="shared" si="224"/>
        <v>31</v>
      </c>
      <c r="AH937" s="118">
        <v>45922</v>
      </c>
      <c r="AI937" s="118">
        <v>45952</v>
      </c>
      <c r="AJ937" s="158">
        <v>270</v>
      </c>
      <c r="AK937" s="91">
        <f t="shared" si="225"/>
        <v>30</v>
      </c>
      <c r="AL937" s="96">
        <f t="shared" si="228"/>
        <v>61</v>
      </c>
      <c r="AM937" s="110"/>
      <c r="AN937" s="90"/>
      <c r="AO937" s="90"/>
    </row>
    <row r="938" spans="1:41" ht="14.5" x14ac:dyDescent="0.25">
      <c r="A938" s="110" t="s">
        <v>1648</v>
      </c>
      <c r="B938" s="90"/>
      <c r="C938" s="160" t="s">
        <v>1563</v>
      </c>
      <c r="D938" s="181" t="s">
        <v>1644</v>
      </c>
      <c r="E938" s="182" t="s">
        <v>97</v>
      </c>
      <c r="F938" s="182" t="s">
        <v>175</v>
      </c>
      <c r="G938" s="179" t="s">
        <v>650</v>
      </c>
      <c r="H938" s="160">
        <v>90</v>
      </c>
      <c r="I938" s="160" t="s">
        <v>1234</v>
      </c>
      <c r="J938" s="160" t="s">
        <v>1365</v>
      </c>
      <c r="K938" s="181" t="s">
        <v>14</v>
      </c>
      <c r="L938" s="93" t="s">
        <v>3078</v>
      </c>
      <c r="M938" s="94" t="s">
        <v>3381</v>
      </c>
      <c r="N938" s="95" t="s">
        <v>3042</v>
      </c>
      <c r="O938" s="174">
        <v>1</v>
      </c>
      <c r="P938" s="97">
        <f t="shared" si="234"/>
        <v>5.7586206896551723E-2</v>
      </c>
      <c r="Q938" s="174" t="s">
        <v>3430</v>
      </c>
      <c r="R938" s="174">
        <v>1680</v>
      </c>
      <c r="S938" s="175"/>
      <c r="T938" s="131"/>
      <c r="U938" s="157">
        <f t="shared" si="235"/>
        <v>96.744827586206895</v>
      </c>
      <c r="V938" s="100">
        <f t="shared" si="230"/>
        <v>1.0749425287356322</v>
      </c>
      <c r="W938" s="101">
        <f t="shared" si="231"/>
        <v>0.15356321839080461</v>
      </c>
      <c r="X938" s="175"/>
      <c r="Y938" s="175"/>
      <c r="Z938" s="104"/>
      <c r="AA938" s="118">
        <v>45891</v>
      </c>
      <c r="AB938" s="118">
        <v>45910</v>
      </c>
      <c r="AC938" s="118"/>
      <c r="AD938" s="104">
        <f>IF(ISNA(VLOOKUP(D938,亚马逊入库配置费!B:F,5,0)),0,VLOOKUP(D938,亚马逊入库配置费!B:F,5,0))</f>
        <v>0.34</v>
      </c>
      <c r="AE938" s="104">
        <f t="shared" si="223"/>
        <v>30.6</v>
      </c>
      <c r="AF938" s="118">
        <v>45922</v>
      </c>
      <c r="AG938" s="90">
        <f t="shared" si="224"/>
        <v>31</v>
      </c>
      <c r="AH938" s="118">
        <v>45922</v>
      </c>
      <c r="AI938" s="118">
        <v>45952</v>
      </c>
      <c r="AJ938" s="158">
        <v>92</v>
      </c>
      <c r="AK938" s="91">
        <f t="shared" si="225"/>
        <v>30</v>
      </c>
      <c r="AL938" s="96">
        <f t="shared" si="228"/>
        <v>61</v>
      </c>
      <c r="AM938" s="110"/>
      <c r="AN938" s="90"/>
      <c r="AO938" s="90"/>
    </row>
    <row r="939" spans="1:41" ht="14.5" x14ac:dyDescent="0.25">
      <c r="A939" s="110" t="s">
        <v>1649</v>
      </c>
      <c r="B939" s="90"/>
      <c r="C939" s="160" t="s">
        <v>1563</v>
      </c>
      <c r="D939" s="181" t="s">
        <v>1644</v>
      </c>
      <c r="E939" s="182" t="s">
        <v>97</v>
      </c>
      <c r="F939" s="182" t="s">
        <v>175</v>
      </c>
      <c r="G939" s="179" t="s">
        <v>526</v>
      </c>
      <c r="H939" s="160">
        <v>270</v>
      </c>
      <c r="I939" s="160" t="s">
        <v>1234</v>
      </c>
      <c r="J939" s="160" t="s">
        <v>1365</v>
      </c>
      <c r="K939" s="181" t="s">
        <v>14</v>
      </c>
      <c r="L939" s="93" t="s">
        <v>3069</v>
      </c>
      <c r="M939" s="94" t="s">
        <v>3367</v>
      </c>
      <c r="N939" s="95" t="s">
        <v>3042</v>
      </c>
      <c r="O939" s="174">
        <v>3</v>
      </c>
      <c r="P939" s="97">
        <f t="shared" si="234"/>
        <v>0.17275862068965517</v>
      </c>
      <c r="Q939" s="174" t="s">
        <v>3430</v>
      </c>
      <c r="R939" s="174">
        <v>1680</v>
      </c>
      <c r="S939" s="175"/>
      <c r="T939" s="131"/>
      <c r="U939" s="157">
        <f t="shared" si="235"/>
        <v>290.23448275862069</v>
      </c>
      <c r="V939" s="100">
        <f t="shared" si="230"/>
        <v>1.0749425287356322</v>
      </c>
      <c r="W939" s="101">
        <f t="shared" si="231"/>
        <v>0.15356321839080461</v>
      </c>
      <c r="X939" s="175"/>
      <c r="Y939" s="175"/>
      <c r="Z939" s="104"/>
      <c r="AA939" s="118">
        <v>45891</v>
      </c>
      <c r="AB939" s="118">
        <v>45910</v>
      </c>
      <c r="AC939" s="118"/>
      <c r="AD939" s="104">
        <f>IF(ISNA(VLOOKUP(D939,亚马逊入库配置费!B:F,5,0)),0,VLOOKUP(D939,亚马逊入库配置费!B:F,5,0))</f>
        <v>0.34</v>
      </c>
      <c r="AE939" s="104">
        <f t="shared" si="223"/>
        <v>91.800000000000011</v>
      </c>
      <c r="AF939" s="118">
        <v>45922</v>
      </c>
      <c r="AG939" s="90">
        <f t="shared" si="224"/>
        <v>31</v>
      </c>
      <c r="AH939" s="118">
        <v>45922</v>
      </c>
      <c r="AI939" s="118">
        <v>45952</v>
      </c>
      <c r="AJ939" s="158">
        <v>273</v>
      </c>
      <c r="AK939" s="91">
        <f t="shared" si="225"/>
        <v>30</v>
      </c>
      <c r="AL939" s="96">
        <f t="shared" si="228"/>
        <v>61</v>
      </c>
      <c r="AM939" s="110"/>
      <c r="AN939" s="90"/>
      <c r="AO939" s="90"/>
    </row>
    <row r="940" spans="1:41" ht="14.5" x14ac:dyDescent="0.25">
      <c r="A940" s="110" t="s">
        <v>1650</v>
      </c>
      <c r="B940" s="90"/>
      <c r="C940" s="160" t="s">
        <v>1563</v>
      </c>
      <c r="D940" s="181" t="s">
        <v>1651</v>
      </c>
      <c r="E940" s="182" t="s">
        <v>115</v>
      </c>
      <c r="F940" s="182" t="s">
        <v>175</v>
      </c>
      <c r="G940" s="179" t="s">
        <v>1052</v>
      </c>
      <c r="H940" s="160">
        <v>312</v>
      </c>
      <c r="I940" s="160" t="s">
        <v>1234</v>
      </c>
      <c r="J940" s="160" t="s">
        <v>1365</v>
      </c>
      <c r="K940" s="181" t="s">
        <v>14</v>
      </c>
      <c r="L940" s="93" t="s">
        <v>3089</v>
      </c>
      <c r="M940" s="94" t="s">
        <v>3423</v>
      </c>
      <c r="N940" s="95" t="s">
        <v>3042</v>
      </c>
      <c r="O940" s="174">
        <v>4</v>
      </c>
      <c r="P940" s="97">
        <f t="shared" si="234"/>
        <v>0.23034482758620689</v>
      </c>
      <c r="Q940" s="174" t="s">
        <v>3430</v>
      </c>
      <c r="R940" s="174">
        <v>1680</v>
      </c>
      <c r="S940" s="175"/>
      <c r="T940" s="131"/>
      <c r="U940" s="157">
        <f t="shared" si="235"/>
        <v>386.97931034482758</v>
      </c>
      <c r="V940" s="100">
        <f t="shared" si="230"/>
        <v>1.2403183023872679</v>
      </c>
      <c r="W940" s="101">
        <f t="shared" si="231"/>
        <v>0.17718832891246686</v>
      </c>
      <c r="X940" s="175"/>
      <c r="Y940" s="175"/>
      <c r="Z940" s="104"/>
      <c r="AA940" s="118">
        <v>45891</v>
      </c>
      <c r="AB940" s="118">
        <v>45910</v>
      </c>
      <c r="AC940" s="118"/>
      <c r="AD940" s="104">
        <f>IF(ISNA(VLOOKUP(D940,亚马逊入库配置费!B:F,5,0)),0,VLOOKUP(D940,亚马逊入库配置费!B:F,5,0))</f>
        <v>0.34</v>
      </c>
      <c r="AE940" s="104">
        <f t="shared" si="223"/>
        <v>106.08000000000001</v>
      </c>
      <c r="AF940" s="118">
        <v>45922</v>
      </c>
      <c r="AG940" s="90">
        <f t="shared" si="224"/>
        <v>31</v>
      </c>
      <c r="AH940" s="118">
        <v>45922</v>
      </c>
      <c r="AI940" s="118">
        <v>45952</v>
      </c>
      <c r="AJ940" s="158">
        <v>312</v>
      </c>
      <c r="AK940" s="91">
        <f t="shared" si="225"/>
        <v>30</v>
      </c>
      <c r="AL940" s="96">
        <f t="shared" si="228"/>
        <v>61</v>
      </c>
      <c r="AM940" s="110"/>
      <c r="AN940" s="90"/>
      <c r="AO940" s="90"/>
    </row>
    <row r="941" spans="1:41" ht="14.5" x14ac:dyDescent="0.25">
      <c r="A941" s="110" t="s">
        <v>1652</v>
      </c>
      <c r="B941" s="90"/>
      <c r="C941" s="160" t="s">
        <v>1563</v>
      </c>
      <c r="D941" s="181" t="s">
        <v>1651</v>
      </c>
      <c r="E941" s="182" t="s">
        <v>115</v>
      </c>
      <c r="F941" s="182" t="s">
        <v>175</v>
      </c>
      <c r="G941" s="179" t="s">
        <v>1061</v>
      </c>
      <c r="H941" s="160">
        <v>90</v>
      </c>
      <c r="I941" s="160" t="s">
        <v>1234</v>
      </c>
      <c r="J941" s="160" t="s">
        <v>1365</v>
      </c>
      <c r="K941" s="181" t="s">
        <v>14</v>
      </c>
      <c r="L941" s="93" t="s">
        <v>3093</v>
      </c>
      <c r="M941" s="94" t="s">
        <v>3427</v>
      </c>
      <c r="N941" s="95" t="s">
        <v>3042</v>
      </c>
      <c r="O941" s="174">
        <v>1</v>
      </c>
      <c r="P941" s="97">
        <f t="shared" si="234"/>
        <v>5.7586206896551723E-2</v>
      </c>
      <c r="Q941" s="174" t="s">
        <v>3430</v>
      </c>
      <c r="R941" s="174">
        <v>1680</v>
      </c>
      <c r="S941" s="175"/>
      <c r="T941" s="131"/>
      <c r="U941" s="157">
        <f t="shared" si="235"/>
        <v>96.744827586206895</v>
      </c>
      <c r="V941" s="100">
        <f t="shared" si="230"/>
        <v>1.0749425287356322</v>
      </c>
      <c r="W941" s="101">
        <f t="shared" si="231"/>
        <v>0.15356321839080461</v>
      </c>
      <c r="X941" s="175"/>
      <c r="Y941" s="175"/>
      <c r="Z941" s="104"/>
      <c r="AA941" s="118">
        <v>45891</v>
      </c>
      <c r="AB941" s="118">
        <v>45910</v>
      </c>
      <c r="AC941" s="118"/>
      <c r="AD941" s="104">
        <f>IF(ISNA(VLOOKUP(D941,亚马逊入库配置费!B:F,5,0)),0,VLOOKUP(D941,亚马逊入库配置费!B:F,5,0))</f>
        <v>0.34</v>
      </c>
      <c r="AE941" s="104">
        <f t="shared" si="223"/>
        <v>30.6</v>
      </c>
      <c r="AF941" s="118">
        <v>45922</v>
      </c>
      <c r="AG941" s="90">
        <f t="shared" si="224"/>
        <v>31</v>
      </c>
      <c r="AH941" s="118">
        <v>45922</v>
      </c>
      <c r="AI941" s="118">
        <v>45952</v>
      </c>
      <c r="AJ941" s="158">
        <v>88</v>
      </c>
      <c r="AK941" s="91">
        <f t="shared" si="225"/>
        <v>30</v>
      </c>
      <c r="AL941" s="96">
        <f t="shared" si="228"/>
        <v>61</v>
      </c>
      <c r="AM941" s="110"/>
      <c r="AN941" s="90"/>
      <c r="AO941" s="90"/>
    </row>
    <row r="942" spans="1:41" ht="14.5" x14ac:dyDescent="0.25">
      <c r="A942" s="110" t="s">
        <v>1653</v>
      </c>
      <c r="B942" s="90"/>
      <c r="C942" s="160" t="s">
        <v>1563</v>
      </c>
      <c r="D942" s="181" t="s">
        <v>1651</v>
      </c>
      <c r="E942" s="182" t="s">
        <v>115</v>
      </c>
      <c r="F942" s="182" t="s">
        <v>175</v>
      </c>
      <c r="G942" s="179" t="s">
        <v>526</v>
      </c>
      <c r="H942" s="160">
        <v>270</v>
      </c>
      <c r="I942" s="160" t="s">
        <v>1234</v>
      </c>
      <c r="J942" s="160" t="s">
        <v>1365</v>
      </c>
      <c r="K942" s="181" t="s">
        <v>14</v>
      </c>
      <c r="L942" s="93" t="s">
        <v>3069</v>
      </c>
      <c r="M942" s="94" t="s">
        <v>3367</v>
      </c>
      <c r="N942" s="95" t="s">
        <v>3042</v>
      </c>
      <c r="O942" s="174">
        <v>3</v>
      </c>
      <c r="P942" s="97">
        <f t="shared" si="234"/>
        <v>0.17275862068965517</v>
      </c>
      <c r="Q942" s="174" t="s">
        <v>3430</v>
      </c>
      <c r="R942" s="174">
        <v>1680</v>
      </c>
      <c r="S942" s="175"/>
      <c r="T942" s="131"/>
      <c r="U942" s="157">
        <f t="shared" si="235"/>
        <v>290.23448275862069</v>
      </c>
      <c r="V942" s="100">
        <f t="shared" si="230"/>
        <v>1.0749425287356322</v>
      </c>
      <c r="W942" s="101">
        <f t="shared" si="231"/>
        <v>0.15356321839080461</v>
      </c>
      <c r="X942" s="175"/>
      <c r="Y942" s="175"/>
      <c r="Z942" s="104"/>
      <c r="AA942" s="118">
        <v>45891</v>
      </c>
      <c r="AB942" s="118">
        <v>45910</v>
      </c>
      <c r="AC942" s="118"/>
      <c r="AD942" s="104">
        <f>IF(ISNA(VLOOKUP(D942,亚马逊入库配置费!B:F,5,0)),0,VLOOKUP(D942,亚马逊入库配置费!B:F,5,0))</f>
        <v>0.34</v>
      </c>
      <c r="AE942" s="104">
        <f t="shared" si="223"/>
        <v>91.800000000000011</v>
      </c>
      <c r="AF942" s="118">
        <v>45922</v>
      </c>
      <c r="AG942" s="90">
        <f t="shared" si="224"/>
        <v>31</v>
      </c>
      <c r="AH942" s="118">
        <v>45922</v>
      </c>
      <c r="AI942" s="118">
        <v>45952</v>
      </c>
      <c r="AJ942" s="158">
        <v>252</v>
      </c>
      <c r="AK942" s="91">
        <f t="shared" si="225"/>
        <v>30</v>
      </c>
      <c r="AL942" s="96">
        <f t="shared" si="228"/>
        <v>61</v>
      </c>
      <c r="AM942" s="110"/>
      <c r="AN942" s="90"/>
      <c r="AO942" s="90"/>
    </row>
    <row r="943" spans="1:41" ht="14.5" x14ac:dyDescent="0.25">
      <c r="A943" s="110" t="s">
        <v>1654</v>
      </c>
      <c r="B943" s="90"/>
      <c r="C943" s="160" t="s">
        <v>1655</v>
      </c>
      <c r="D943" s="181" t="s">
        <v>1656</v>
      </c>
      <c r="E943" s="182" t="s">
        <v>1164</v>
      </c>
      <c r="F943" s="182" t="s">
        <v>1657</v>
      </c>
      <c r="G943" s="179" t="s">
        <v>350</v>
      </c>
      <c r="H943" s="160">
        <v>400</v>
      </c>
      <c r="I943" s="160" t="s">
        <v>502</v>
      </c>
      <c r="J943" s="160" t="s">
        <v>1658</v>
      </c>
      <c r="K943" s="181" t="s">
        <v>1167</v>
      </c>
      <c r="L943" s="93" t="s">
        <v>3048</v>
      </c>
      <c r="M943" s="94" t="s">
        <v>3208</v>
      </c>
      <c r="N943" s="95" t="s">
        <v>2870</v>
      </c>
      <c r="O943" s="160">
        <v>10</v>
      </c>
      <c r="P943" s="97">
        <f>204/15*O943</f>
        <v>136</v>
      </c>
      <c r="Q943" s="126" t="s">
        <v>1443</v>
      </c>
      <c r="R943" s="160">
        <v>5.5</v>
      </c>
      <c r="S943" s="175"/>
      <c r="T943" s="131"/>
      <c r="U943" s="157">
        <f>R943*P943+700/15*O943</f>
        <v>1214.6666666666665</v>
      </c>
      <c r="V943" s="100">
        <f t="shared" si="230"/>
        <v>3.0366666666666662</v>
      </c>
      <c r="W943" s="101">
        <f t="shared" si="231"/>
        <v>0.43380952380952376</v>
      </c>
      <c r="X943" s="108"/>
      <c r="Y943" s="175">
        <f>1251.8/15*O943</f>
        <v>834.5333333333333</v>
      </c>
      <c r="Z943" s="104" t="s">
        <v>476</v>
      </c>
      <c r="AA943" s="118">
        <v>45898</v>
      </c>
      <c r="AB943" s="118">
        <v>45937</v>
      </c>
      <c r="AC943" s="118"/>
      <c r="AD943" s="104">
        <f>IF(ISNA(VLOOKUP(D943,亚马逊入库配置费!B:F,5,0)),0,VLOOKUP(D943,亚马逊入库配置费!B:F,5,0))</f>
        <v>0</v>
      </c>
      <c r="AE943" s="104">
        <f t="shared" si="223"/>
        <v>0</v>
      </c>
      <c r="AF943" s="118">
        <v>45940</v>
      </c>
      <c r="AG943" s="90">
        <f t="shared" si="224"/>
        <v>42</v>
      </c>
      <c r="AH943" s="118">
        <v>45940</v>
      </c>
      <c r="AI943" s="118">
        <v>45961</v>
      </c>
      <c r="AJ943" s="158">
        <v>400</v>
      </c>
      <c r="AK943" s="91">
        <f t="shared" si="225"/>
        <v>21</v>
      </c>
      <c r="AL943" s="96">
        <f t="shared" si="228"/>
        <v>63</v>
      </c>
      <c r="AM943" s="110"/>
      <c r="AN943" s="90"/>
      <c r="AO943" s="90"/>
    </row>
    <row r="944" spans="1:41" ht="14.5" x14ac:dyDescent="0.25">
      <c r="A944" s="110" t="s">
        <v>1659</v>
      </c>
      <c r="B944" s="90"/>
      <c r="C944" s="160" t="s">
        <v>1655</v>
      </c>
      <c r="D944" s="181" t="s">
        <v>1656</v>
      </c>
      <c r="E944" s="182" t="s">
        <v>1164</v>
      </c>
      <c r="F944" s="182" t="s">
        <v>1657</v>
      </c>
      <c r="G944" s="179" t="s">
        <v>165</v>
      </c>
      <c r="H944" s="160">
        <v>200</v>
      </c>
      <c r="I944" s="160" t="s">
        <v>502</v>
      </c>
      <c r="J944" s="160" t="s">
        <v>1658</v>
      </c>
      <c r="K944" s="181" t="s">
        <v>1167</v>
      </c>
      <c r="L944" s="93" t="s">
        <v>2880</v>
      </c>
      <c r="M944" s="94" t="s">
        <v>3209</v>
      </c>
      <c r="N944" s="95" t="s">
        <v>2870</v>
      </c>
      <c r="O944" s="160">
        <v>5</v>
      </c>
      <c r="P944" s="97">
        <f>204/15*O944</f>
        <v>68</v>
      </c>
      <c r="Q944" s="126" t="s">
        <v>1443</v>
      </c>
      <c r="R944" s="160">
        <v>5.5</v>
      </c>
      <c r="S944" s="175"/>
      <c r="T944" s="131"/>
      <c r="U944" s="157">
        <f>R944*P944+700/15*O944</f>
        <v>607.33333333333326</v>
      </c>
      <c r="V944" s="100">
        <f t="shared" si="230"/>
        <v>3.0366666666666662</v>
      </c>
      <c r="W944" s="101">
        <f t="shared" si="231"/>
        <v>0.43380952380952376</v>
      </c>
      <c r="X944" s="95"/>
      <c r="Y944" s="175">
        <f>1251.8/15*O944</f>
        <v>417.26666666666665</v>
      </c>
      <c r="Z944" s="104" t="s">
        <v>476</v>
      </c>
      <c r="AA944" s="118">
        <v>45898</v>
      </c>
      <c r="AB944" s="103">
        <v>45937</v>
      </c>
      <c r="AC944" s="103"/>
      <c r="AD944" s="104">
        <f>IF(ISNA(VLOOKUP(D944,亚马逊入库配置费!B:F,5,0)),0,VLOOKUP(D944,亚马逊入库配置费!B:F,5,0))</f>
        <v>0</v>
      </c>
      <c r="AE944" s="104">
        <f t="shared" si="223"/>
        <v>0</v>
      </c>
      <c r="AF944" s="103">
        <v>45940</v>
      </c>
      <c r="AG944" s="90">
        <f t="shared" si="224"/>
        <v>42</v>
      </c>
      <c r="AH944" s="103">
        <v>45940</v>
      </c>
      <c r="AI944" s="103">
        <v>45961</v>
      </c>
      <c r="AJ944" s="96">
        <v>200</v>
      </c>
      <c r="AK944" s="91">
        <f t="shared" si="225"/>
        <v>21</v>
      </c>
      <c r="AL944" s="96">
        <f t="shared" si="228"/>
        <v>63</v>
      </c>
      <c r="AM944" s="92"/>
      <c r="AN944" s="91"/>
      <c r="AO944" s="91"/>
    </row>
    <row r="945" spans="1:41" ht="14.5" x14ac:dyDescent="0.25">
      <c r="A945" s="110" t="s">
        <v>1660</v>
      </c>
      <c r="B945" s="90"/>
      <c r="C945" s="160" t="s">
        <v>1661</v>
      </c>
      <c r="D945" s="181" t="s">
        <v>1662</v>
      </c>
      <c r="E945" s="182" t="s">
        <v>97</v>
      </c>
      <c r="F945" s="182" t="s">
        <v>175</v>
      </c>
      <c r="G945" s="179" t="s">
        <v>228</v>
      </c>
      <c r="H945" s="160">
        <v>160</v>
      </c>
      <c r="I945" s="160" t="s">
        <v>502</v>
      </c>
      <c r="J945" s="160" t="s">
        <v>1365</v>
      </c>
      <c r="K945" s="181" t="s">
        <v>9</v>
      </c>
      <c r="L945" s="93" t="s">
        <v>3036</v>
      </c>
      <c r="M945" s="94" t="s">
        <v>3315</v>
      </c>
      <c r="N945" s="95" t="s">
        <v>2870</v>
      </c>
      <c r="O945" s="160">
        <v>8</v>
      </c>
      <c r="P945" s="97">
        <f t="shared" ref="P945:P964" si="236">1609/116*O945</f>
        <v>110.96551724137932</v>
      </c>
      <c r="Q945" s="126" t="s">
        <v>1443</v>
      </c>
      <c r="R945" s="160">
        <v>3.8</v>
      </c>
      <c r="S945" s="175"/>
      <c r="T945" s="131"/>
      <c r="U945" s="157">
        <f t="shared" ref="U945:U964" si="237">R945*P945+350/488*O945</f>
        <v>427.40667043527412</v>
      </c>
      <c r="V945" s="100">
        <f t="shared" si="230"/>
        <v>2.6712916902204631</v>
      </c>
      <c r="W945" s="101">
        <f t="shared" si="231"/>
        <v>0.38161309860292331</v>
      </c>
      <c r="X945" s="95"/>
      <c r="Y945" s="175"/>
      <c r="Z945" s="104"/>
      <c r="AA945" s="118">
        <v>45898</v>
      </c>
      <c r="AB945" s="118">
        <v>45922</v>
      </c>
      <c r="AC945" s="103"/>
      <c r="AD945" s="104">
        <f>IF(ISNA(VLOOKUP(D945,亚马逊入库配置费!B:F,5,0)),0,VLOOKUP(D945,亚马逊入库配置费!B:F,5,0))</f>
        <v>0.36686868686868701</v>
      </c>
      <c r="AE945" s="104">
        <f t="shared" si="223"/>
        <v>58.698989898989922</v>
      </c>
      <c r="AF945" s="103">
        <v>45934</v>
      </c>
      <c r="AG945" s="90">
        <f t="shared" si="224"/>
        <v>36</v>
      </c>
      <c r="AH945" s="103">
        <v>45934</v>
      </c>
      <c r="AI945" s="103">
        <v>45974</v>
      </c>
      <c r="AJ945" s="96">
        <v>160</v>
      </c>
      <c r="AK945" s="91">
        <f t="shared" si="225"/>
        <v>40</v>
      </c>
      <c r="AL945" s="96">
        <f t="shared" si="228"/>
        <v>76</v>
      </c>
      <c r="AM945" s="92"/>
      <c r="AN945" s="91"/>
      <c r="AO945" s="91"/>
    </row>
    <row r="946" spans="1:41" ht="14.5" x14ac:dyDescent="0.25">
      <c r="A946" s="110" t="s">
        <v>1663</v>
      </c>
      <c r="B946" s="90"/>
      <c r="C946" s="160" t="s">
        <v>1661</v>
      </c>
      <c r="D946" s="181" t="s">
        <v>1662</v>
      </c>
      <c r="E946" s="182" t="s">
        <v>97</v>
      </c>
      <c r="F946" s="182" t="s">
        <v>175</v>
      </c>
      <c r="G946" s="179" t="s">
        <v>163</v>
      </c>
      <c r="H946" s="160">
        <v>1400</v>
      </c>
      <c r="I946" s="160" t="s">
        <v>502</v>
      </c>
      <c r="J946" s="160" t="s">
        <v>1365</v>
      </c>
      <c r="K946" s="181" t="s">
        <v>9</v>
      </c>
      <c r="L946" s="93" t="s">
        <v>2881</v>
      </c>
      <c r="M946" s="94" t="s">
        <v>3302</v>
      </c>
      <c r="N946" s="95" t="s">
        <v>2870</v>
      </c>
      <c r="O946" s="160">
        <v>35</v>
      </c>
      <c r="P946" s="97">
        <f t="shared" si="236"/>
        <v>485.47413793103453</v>
      </c>
      <c r="Q946" s="126" t="s">
        <v>1443</v>
      </c>
      <c r="R946" s="160">
        <v>3.8</v>
      </c>
      <c r="S946" s="175"/>
      <c r="T946" s="131"/>
      <c r="U946" s="157">
        <f t="shared" si="237"/>
        <v>1869.9041831543245</v>
      </c>
      <c r="V946" s="100">
        <f t="shared" si="230"/>
        <v>1.3356458451102318</v>
      </c>
      <c r="W946" s="101">
        <f t="shared" si="231"/>
        <v>0.19080654930146168</v>
      </c>
      <c r="X946" s="95"/>
      <c r="Y946" s="175"/>
      <c r="Z946" s="104"/>
      <c r="AA946" s="118">
        <v>45898</v>
      </c>
      <c r="AB946" s="118">
        <v>45922</v>
      </c>
      <c r="AC946" s="103"/>
      <c r="AD946" s="104">
        <f>IF(ISNA(VLOOKUP(D946,亚马逊入库配置费!B:F,5,0)),0,VLOOKUP(D946,亚马逊入库配置费!B:F,5,0))</f>
        <v>0.36686868686868701</v>
      </c>
      <c r="AE946" s="104">
        <f t="shared" si="223"/>
        <v>513.61616161616178</v>
      </c>
      <c r="AF946" s="103">
        <v>45934</v>
      </c>
      <c r="AG946" s="90">
        <f t="shared" si="224"/>
        <v>36</v>
      </c>
      <c r="AH946" s="103">
        <v>45934</v>
      </c>
      <c r="AI946" s="103">
        <v>45974</v>
      </c>
      <c r="AJ946" s="96">
        <v>1399</v>
      </c>
      <c r="AK946" s="91">
        <f t="shared" si="225"/>
        <v>40</v>
      </c>
      <c r="AL946" s="96">
        <f t="shared" si="228"/>
        <v>76</v>
      </c>
      <c r="AM946" s="92"/>
      <c r="AN946" s="91"/>
      <c r="AO946" s="91"/>
    </row>
    <row r="947" spans="1:41" ht="14.5" x14ac:dyDescent="0.25">
      <c r="A947" s="110" t="s">
        <v>1664</v>
      </c>
      <c r="B947" s="90"/>
      <c r="C947" s="160" t="s">
        <v>1661</v>
      </c>
      <c r="D947" s="181" t="s">
        <v>1662</v>
      </c>
      <c r="E947" s="182" t="s">
        <v>97</v>
      </c>
      <c r="F947" s="182" t="s">
        <v>175</v>
      </c>
      <c r="G947" s="179" t="s">
        <v>1195</v>
      </c>
      <c r="H947" s="160">
        <v>270</v>
      </c>
      <c r="I947" s="160" t="s">
        <v>502</v>
      </c>
      <c r="J947" s="160" t="s">
        <v>1365</v>
      </c>
      <c r="K947" s="181" t="s">
        <v>9</v>
      </c>
      <c r="L947" s="93" t="s">
        <v>1195</v>
      </c>
      <c r="M947" s="94" t="s">
        <v>3433</v>
      </c>
      <c r="N947" s="95" t="s">
        <v>2870</v>
      </c>
      <c r="O947" s="160">
        <v>9</v>
      </c>
      <c r="P947" s="97">
        <f t="shared" si="236"/>
        <v>124.83620689655173</v>
      </c>
      <c r="Q947" s="126" t="s">
        <v>1443</v>
      </c>
      <c r="R947" s="160">
        <v>3.8</v>
      </c>
      <c r="S947" s="175"/>
      <c r="T947" s="131"/>
      <c r="U947" s="157">
        <f t="shared" si="237"/>
        <v>480.83250423968343</v>
      </c>
      <c r="V947" s="100">
        <f t="shared" si="230"/>
        <v>1.7808611268136423</v>
      </c>
      <c r="W947" s="101">
        <f t="shared" si="231"/>
        <v>0.25440873240194889</v>
      </c>
      <c r="X947" s="95"/>
      <c r="Y947" s="175"/>
      <c r="Z947" s="104"/>
      <c r="AA947" s="118">
        <v>45898</v>
      </c>
      <c r="AB947" s="118">
        <v>45922</v>
      </c>
      <c r="AC947" s="103"/>
      <c r="AD947" s="104">
        <f>IF(ISNA(VLOOKUP(D947,亚马逊入库配置费!B:F,5,0)),0,VLOOKUP(D947,亚马逊入库配置费!B:F,5,0))</f>
        <v>0.36686868686868701</v>
      </c>
      <c r="AE947" s="104">
        <f t="shared" si="223"/>
        <v>99.05454545454549</v>
      </c>
      <c r="AF947" s="103">
        <v>45934</v>
      </c>
      <c r="AG947" s="90">
        <f t="shared" si="224"/>
        <v>36</v>
      </c>
      <c r="AH947" s="103">
        <v>45934</v>
      </c>
      <c r="AI947" s="103">
        <v>45974</v>
      </c>
      <c r="AJ947" s="96">
        <v>296</v>
      </c>
      <c r="AK947" s="91">
        <f t="shared" si="225"/>
        <v>40</v>
      </c>
      <c r="AL947" s="96">
        <f t="shared" si="228"/>
        <v>76</v>
      </c>
      <c r="AM947" s="92"/>
      <c r="AN947" s="91"/>
      <c r="AO947" s="91"/>
    </row>
    <row r="948" spans="1:41" ht="14.5" x14ac:dyDescent="0.25">
      <c r="A948" s="110" t="s">
        <v>1665</v>
      </c>
      <c r="B948" s="90"/>
      <c r="C948" s="160" t="s">
        <v>1661</v>
      </c>
      <c r="D948" s="181" t="s">
        <v>1662</v>
      </c>
      <c r="E948" s="182" t="s">
        <v>97</v>
      </c>
      <c r="F948" s="182" t="s">
        <v>175</v>
      </c>
      <c r="G948" s="179" t="s">
        <v>872</v>
      </c>
      <c r="H948" s="160">
        <v>900</v>
      </c>
      <c r="I948" s="160" t="s">
        <v>502</v>
      </c>
      <c r="J948" s="160" t="s">
        <v>1365</v>
      </c>
      <c r="K948" s="181" t="s">
        <v>9</v>
      </c>
      <c r="L948" s="93" t="s">
        <v>872</v>
      </c>
      <c r="M948" s="94" t="s">
        <v>3399</v>
      </c>
      <c r="N948" s="95" t="s">
        <v>2870</v>
      </c>
      <c r="O948" s="160">
        <v>30</v>
      </c>
      <c r="P948" s="97">
        <f t="shared" si="236"/>
        <v>416.12068965517244</v>
      </c>
      <c r="Q948" s="126" t="s">
        <v>1443</v>
      </c>
      <c r="R948" s="160">
        <v>3.8</v>
      </c>
      <c r="S948" s="175"/>
      <c r="T948" s="131"/>
      <c r="U948" s="157">
        <f t="shared" si="237"/>
        <v>1602.7750141322781</v>
      </c>
      <c r="V948" s="100">
        <f t="shared" si="230"/>
        <v>1.7808611268136423</v>
      </c>
      <c r="W948" s="101">
        <f t="shared" si="231"/>
        <v>0.25440873240194889</v>
      </c>
      <c r="X948" s="95"/>
      <c r="Y948" s="175"/>
      <c r="Z948" s="104"/>
      <c r="AA948" s="118">
        <v>45898</v>
      </c>
      <c r="AB948" s="118">
        <v>45922</v>
      </c>
      <c r="AC948" s="103"/>
      <c r="AD948" s="104">
        <f>IF(ISNA(VLOOKUP(D948,亚马逊入库配置费!B:F,5,0)),0,VLOOKUP(D948,亚马逊入库配置费!B:F,5,0))</f>
        <v>0.36686868686868701</v>
      </c>
      <c r="AE948" s="104">
        <f t="shared" si="223"/>
        <v>330.1818181818183</v>
      </c>
      <c r="AF948" s="103">
        <v>45934</v>
      </c>
      <c r="AG948" s="90">
        <f t="shared" si="224"/>
        <v>36</v>
      </c>
      <c r="AH948" s="103">
        <v>45934</v>
      </c>
      <c r="AI948" s="103">
        <v>45974</v>
      </c>
      <c r="AJ948" s="96">
        <v>896</v>
      </c>
      <c r="AK948" s="91">
        <f t="shared" si="225"/>
        <v>40</v>
      </c>
      <c r="AL948" s="96">
        <f t="shared" si="228"/>
        <v>76</v>
      </c>
      <c r="AM948" s="92"/>
      <c r="AN948" s="91"/>
      <c r="AO948" s="91"/>
    </row>
    <row r="949" spans="1:41" ht="14.5" x14ac:dyDescent="0.25">
      <c r="A949" s="110" t="s">
        <v>1666</v>
      </c>
      <c r="B949" s="90"/>
      <c r="C949" s="160" t="s">
        <v>1661</v>
      </c>
      <c r="D949" s="181" t="s">
        <v>1662</v>
      </c>
      <c r="E949" s="182" t="s">
        <v>97</v>
      </c>
      <c r="F949" s="182" t="s">
        <v>175</v>
      </c>
      <c r="G949" s="179" t="s">
        <v>853</v>
      </c>
      <c r="H949" s="160">
        <v>120</v>
      </c>
      <c r="I949" s="160" t="s">
        <v>502</v>
      </c>
      <c r="J949" s="160" t="s">
        <v>1365</v>
      </c>
      <c r="K949" s="181" t="s">
        <v>9</v>
      </c>
      <c r="L949" s="93" t="s">
        <v>853</v>
      </c>
      <c r="M949" s="94" t="s">
        <v>3396</v>
      </c>
      <c r="N949" s="95" t="s">
        <v>2870</v>
      </c>
      <c r="O949" s="160">
        <v>3</v>
      </c>
      <c r="P949" s="97">
        <f t="shared" si="236"/>
        <v>41.612068965517246</v>
      </c>
      <c r="Q949" s="126" t="s">
        <v>1443</v>
      </c>
      <c r="R949" s="160">
        <v>3.8</v>
      </c>
      <c r="S949" s="175"/>
      <c r="T949" s="131"/>
      <c r="U949" s="157">
        <f t="shared" si="237"/>
        <v>160.27750141322781</v>
      </c>
      <c r="V949" s="100">
        <f t="shared" si="230"/>
        <v>1.3356458451102318</v>
      </c>
      <c r="W949" s="101">
        <f t="shared" si="231"/>
        <v>0.19080654930146168</v>
      </c>
      <c r="X949" s="95"/>
      <c r="Y949" s="175"/>
      <c r="Z949" s="104"/>
      <c r="AA949" s="118">
        <v>45898</v>
      </c>
      <c r="AB949" s="118">
        <v>45922</v>
      </c>
      <c r="AC949" s="103"/>
      <c r="AD949" s="104">
        <f>IF(ISNA(VLOOKUP(D949,亚马逊入库配置费!B:F,5,0)),0,VLOOKUP(D949,亚马逊入库配置费!B:F,5,0))</f>
        <v>0.36686868686868701</v>
      </c>
      <c r="AE949" s="104">
        <f t="shared" si="223"/>
        <v>44.024242424242445</v>
      </c>
      <c r="AF949" s="103">
        <v>45934</v>
      </c>
      <c r="AG949" s="90">
        <f t="shared" si="224"/>
        <v>36</v>
      </c>
      <c r="AH949" s="103">
        <v>45934</v>
      </c>
      <c r="AI949" s="103">
        <v>45974</v>
      </c>
      <c r="AJ949" s="96">
        <v>120</v>
      </c>
      <c r="AK949" s="91">
        <f t="shared" si="225"/>
        <v>40</v>
      </c>
      <c r="AL949" s="96">
        <f t="shared" si="228"/>
        <v>76</v>
      </c>
      <c r="AM949" s="92"/>
      <c r="AN949" s="91"/>
      <c r="AO949" s="91"/>
    </row>
    <row r="950" spans="1:41" ht="14.5" x14ac:dyDescent="0.25">
      <c r="A950" s="110" t="s">
        <v>1667</v>
      </c>
      <c r="B950" s="90"/>
      <c r="C950" s="160" t="s">
        <v>1661</v>
      </c>
      <c r="D950" s="181" t="s">
        <v>1662</v>
      </c>
      <c r="E950" s="182" t="s">
        <v>97</v>
      </c>
      <c r="F950" s="182" t="s">
        <v>175</v>
      </c>
      <c r="G950" s="179" t="s">
        <v>350</v>
      </c>
      <c r="H950" s="160">
        <v>200</v>
      </c>
      <c r="I950" s="160" t="s">
        <v>502</v>
      </c>
      <c r="J950" s="160" t="s">
        <v>1365</v>
      </c>
      <c r="K950" s="181" t="s">
        <v>9</v>
      </c>
      <c r="L950" s="93" t="s">
        <v>3048</v>
      </c>
      <c r="M950" s="94" t="s">
        <v>3208</v>
      </c>
      <c r="N950" s="95" t="s">
        <v>2870</v>
      </c>
      <c r="O950" s="160">
        <v>5</v>
      </c>
      <c r="P950" s="97">
        <f t="shared" si="236"/>
        <v>69.353448275862078</v>
      </c>
      <c r="Q950" s="126" t="s">
        <v>1443</v>
      </c>
      <c r="R950" s="160">
        <v>3.8</v>
      </c>
      <c r="S950" s="175"/>
      <c r="T950" s="131"/>
      <c r="U950" s="157">
        <f t="shared" si="237"/>
        <v>267.12916902204637</v>
      </c>
      <c r="V950" s="100">
        <f t="shared" si="230"/>
        <v>1.3356458451102318</v>
      </c>
      <c r="W950" s="101">
        <f t="shared" si="231"/>
        <v>0.19080654930146168</v>
      </c>
      <c r="X950" s="95"/>
      <c r="Y950" s="175"/>
      <c r="Z950" s="104"/>
      <c r="AA950" s="118">
        <v>45898</v>
      </c>
      <c r="AB950" s="118">
        <v>45922</v>
      </c>
      <c r="AC950" s="103"/>
      <c r="AD950" s="104">
        <f>IF(ISNA(VLOOKUP(D950,亚马逊入库配置费!B:F,5,0)),0,VLOOKUP(D950,亚马逊入库配置费!B:F,5,0))</f>
        <v>0.36686868686868701</v>
      </c>
      <c r="AE950" s="104">
        <f t="shared" si="223"/>
        <v>73.373737373737399</v>
      </c>
      <c r="AF950" s="103">
        <v>45934</v>
      </c>
      <c r="AG950" s="90">
        <f t="shared" si="224"/>
        <v>36</v>
      </c>
      <c r="AH950" s="103">
        <v>45934</v>
      </c>
      <c r="AI950" s="103">
        <v>45974</v>
      </c>
      <c r="AJ950" s="96">
        <v>202</v>
      </c>
      <c r="AK950" s="91">
        <f t="shared" si="225"/>
        <v>40</v>
      </c>
      <c r="AL950" s="96">
        <f t="shared" si="228"/>
        <v>76</v>
      </c>
      <c r="AM950" s="92"/>
      <c r="AN950" s="91"/>
      <c r="AO950" s="91"/>
    </row>
    <row r="951" spans="1:41" ht="14.5" x14ac:dyDescent="0.25">
      <c r="A951" s="110" t="s">
        <v>1668</v>
      </c>
      <c r="B951" s="90"/>
      <c r="C951" s="160" t="s">
        <v>1661</v>
      </c>
      <c r="D951" s="181" t="s">
        <v>1662</v>
      </c>
      <c r="E951" s="182" t="s">
        <v>97</v>
      </c>
      <c r="F951" s="182" t="s">
        <v>175</v>
      </c>
      <c r="G951" s="179" t="s">
        <v>876</v>
      </c>
      <c r="H951" s="160">
        <v>40</v>
      </c>
      <c r="I951" s="160" t="s">
        <v>502</v>
      </c>
      <c r="J951" s="160" t="s">
        <v>1365</v>
      </c>
      <c r="K951" s="181" t="s">
        <v>9</v>
      </c>
      <c r="L951" s="93" t="s">
        <v>876</v>
      </c>
      <c r="M951" s="94" t="s">
        <v>3400</v>
      </c>
      <c r="N951" s="95" t="s">
        <v>2870</v>
      </c>
      <c r="O951" s="160">
        <v>1</v>
      </c>
      <c r="P951" s="97">
        <f t="shared" si="236"/>
        <v>13.870689655172415</v>
      </c>
      <c r="Q951" s="126" t="s">
        <v>1443</v>
      </c>
      <c r="R951" s="160">
        <v>3.8</v>
      </c>
      <c r="S951" s="175"/>
      <c r="T951" s="131"/>
      <c r="U951" s="157">
        <f t="shared" si="237"/>
        <v>53.425833804409265</v>
      </c>
      <c r="V951" s="100">
        <f t="shared" si="230"/>
        <v>1.3356458451102315</v>
      </c>
      <c r="W951" s="101">
        <f t="shared" si="231"/>
        <v>0.19080654930146165</v>
      </c>
      <c r="X951" s="95"/>
      <c r="Y951" s="175"/>
      <c r="Z951" s="104"/>
      <c r="AA951" s="118">
        <v>45898</v>
      </c>
      <c r="AB951" s="118">
        <v>45922</v>
      </c>
      <c r="AC951" s="103"/>
      <c r="AD951" s="104">
        <f>IF(ISNA(VLOOKUP(D951,亚马逊入库配置费!B:F,5,0)),0,VLOOKUP(D951,亚马逊入库配置费!B:F,5,0))</f>
        <v>0.36686868686868701</v>
      </c>
      <c r="AE951" s="104">
        <f t="shared" si="223"/>
        <v>14.67474747474748</v>
      </c>
      <c r="AF951" s="103">
        <v>45934</v>
      </c>
      <c r="AG951" s="90">
        <f t="shared" si="224"/>
        <v>36</v>
      </c>
      <c r="AH951" s="103">
        <v>45934</v>
      </c>
      <c r="AI951" s="103">
        <v>45974</v>
      </c>
      <c r="AJ951" s="96">
        <v>40</v>
      </c>
      <c r="AK951" s="91">
        <f t="shared" si="225"/>
        <v>40</v>
      </c>
      <c r="AL951" s="96">
        <f t="shared" si="228"/>
        <v>76</v>
      </c>
      <c r="AM951" s="92"/>
      <c r="AN951" s="91"/>
      <c r="AO951" s="91"/>
    </row>
    <row r="952" spans="1:41" ht="14.5" x14ac:dyDescent="0.25">
      <c r="A952" s="110" t="s">
        <v>1669</v>
      </c>
      <c r="B952" s="90"/>
      <c r="C952" s="160" t="s">
        <v>1661</v>
      </c>
      <c r="D952" s="181" t="s">
        <v>1662</v>
      </c>
      <c r="E952" s="182" t="s">
        <v>97</v>
      </c>
      <c r="F952" s="182" t="s">
        <v>175</v>
      </c>
      <c r="G952" s="179" t="s">
        <v>165</v>
      </c>
      <c r="H952" s="160">
        <v>680</v>
      </c>
      <c r="I952" s="160" t="s">
        <v>502</v>
      </c>
      <c r="J952" s="160" t="s">
        <v>1365</v>
      </c>
      <c r="K952" s="181" t="s">
        <v>9</v>
      </c>
      <c r="L952" s="93" t="s">
        <v>2880</v>
      </c>
      <c r="M952" s="94" t="s">
        <v>3209</v>
      </c>
      <c r="N952" s="95" t="s">
        <v>2870</v>
      </c>
      <c r="O952" s="160">
        <v>17</v>
      </c>
      <c r="P952" s="97">
        <f t="shared" si="236"/>
        <v>235.80172413793105</v>
      </c>
      <c r="Q952" s="126" t="s">
        <v>1443</v>
      </c>
      <c r="R952" s="160">
        <v>3.8</v>
      </c>
      <c r="S952" s="175"/>
      <c r="T952" s="131"/>
      <c r="U952" s="157">
        <f t="shared" si="237"/>
        <v>908.23917467495755</v>
      </c>
      <c r="V952" s="100">
        <f t="shared" si="230"/>
        <v>1.3356458451102318</v>
      </c>
      <c r="W952" s="101">
        <f t="shared" si="231"/>
        <v>0.19080654930146168</v>
      </c>
      <c r="X952" s="95"/>
      <c r="Y952" s="175"/>
      <c r="Z952" s="104"/>
      <c r="AA952" s="118">
        <v>45898</v>
      </c>
      <c r="AB952" s="118">
        <v>45922</v>
      </c>
      <c r="AC952" s="103"/>
      <c r="AD952" s="104">
        <f>IF(ISNA(VLOOKUP(D952,亚马逊入库配置费!B:F,5,0)),0,VLOOKUP(D952,亚马逊入库配置费!B:F,5,0))</f>
        <v>0.36686868686868701</v>
      </c>
      <c r="AE952" s="104">
        <f t="shared" si="223"/>
        <v>249.47070707070716</v>
      </c>
      <c r="AF952" s="103">
        <v>45934</v>
      </c>
      <c r="AG952" s="90">
        <f t="shared" si="224"/>
        <v>36</v>
      </c>
      <c r="AH952" s="103">
        <v>45934</v>
      </c>
      <c r="AI952" s="103">
        <v>45974</v>
      </c>
      <c r="AJ952" s="96">
        <v>686</v>
      </c>
      <c r="AK952" s="91">
        <f t="shared" si="225"/>
        <v>40</v>
      </c>
      <c r="AL952" s="96">
        <f t="shared" si="228"/>
        <v>76</v>
      </c>
      <c r="AM952" s="92"/>
      <c r="AN952" s="91"/>
      <c r="AO952" s="91"/>
    </row>
    <row r="953" spans="1:41" ht="14.5" x14ac:dyDescent="0.25">
      <c r="A953" s="110" t="s">
        <v>1670</v>
      </c>
      <c r="B953" s="90"/>
      <c r="C953" s="160" t="s">
        <v>1661</v>
      </c>
      <c r="D953" s="181" t="s">
        <v>1662</v>
      </c>
      <c r="E953" s="182" t="s">
        <v>97</v>
      </c>
      <c r="F953" s="182" t="s">
        <v>175</v>
      </c>
      <c r="G953" s="179" t="s">
        <v>1198</v>
      </c>
      <c r="H953" s="160">
        <v>90</v>
      </c>
      <c r="I953" s="160" t="s">
        <v>502</v>
      </c>
      <c r="J953" s="160" t="s">
        <v>1365</v>
      </c>
      <c r="K953" s="181" t="s">
        <v>9</v>
      </c>
      <c r="L953" s="93" t="s">
        <v>1198</v>
      </c>
      <c r="M953" s="94" t="s">
        <v>3434</v>
      </c>
      <c r="N953" s="95" t="s">
        <v>2870</v>
      </c>
      <c r="O953" s="160">
        <v>3</v>
      </c>
      <c r="P953" s="97">
        <f t="shared" si="236"/>
        <v>41.612068965517246</v>
      </c>
      <c r="Q953" s="126" t="s">
        <v>1443</v>
      </c>
      <c r="R953" s="160">
        <v>3.8</v>
      </c>
      <c r="S953" s="175"/>
      <c r="T953" s="131"/>
      <c r="U953" s="157">
        <f t="shared" si="237"/>
        <v>160.27750141322781</v>
      </c>
      <c r="V953" s="100">
        <f t="shared" si="230"/>
        <v>1.7808611268136423</v>
      </c>
      <c r="W953" s="101">
        <f t="shared" si="231"/>
        <v>0.25440873240194889</v>
      </c>
      <c r="X953" s="95"/>
      <c r="Y953" s="175"/>
      <c r="Z953" s="104"/>
      <c r="AA953" s="118">
        <v>45898</v>
      </c>
      <c r="AB953" s="118">
        <v>45922</v>
      </c>
      <c r="AC953" s="103"/>
      <c r="AD953" s="104">
        <f>IF(ISNA(VLOOKUP(D953,亚马逊入库配置费!B:F,5,0)),0,VLOOKUP(D953,亚马逊入库配置费!B:F,5,0))</f>
        <v>0.36686868686868701</v>
      </c>
      <c r="AE953" s="104">
        <f t="shared" si="223"/>
        <v>33.01818181818183</v>
      </c>
      <c r="AF953" s="103">
        <v>45934</v>
      </c>
      <c r="AG953" s="90">
        <f t="shared" si="224"/>
        <v>36</v>
      </c>
      <c r="AH953" s="103">
        <v>45934</v>
      </c>
      <c r="AI953" s="103">
        <v>45974</v>
      </c>
      <c r="AJ953" s="96">
        <v>90</v>
      </c>
      <c r="AK953" s="91">
        <f t="shared" si="225"/>
        <v>40</v>
      </c>
      <c r="AL953" s="96">
        <f t="shared" si="228"/>
        <v>76</v>
      </c>
      <c r="AM953" s="92"/>
      <c r="AN953" s="91"/>
      <c r="AO953" s="91"/>
    </row>
    <row r="954" spans="1:41" ht="14.5" x14ac:dyDescent="0.25">
      <c r="A954" s="110" t="s">
        <v>1671</v>
      </c>
      <c r="B954" s="90"/>
      <c r="C954" s="160" t="s">
        <v>1661</v>
      </c>
      <c r="D954" s="181" t="s">
        <v>1662</v>
      </c>
      <c r="E954" s="182" t="s">
        <v>97</v>
      </c>
      <c r="F954" s="182" t="s">
        <v>175</v>
      </c>
      <c r="G954" s="179" t="s">
        <v>1217</v>
      </c>
      <c r="H954" s="160">
        <v>100</v>
      </c>
      <c r="I954" s="160" t="s">
        <v>502</v>
      </c>
      <c r="J954" s="160" t="s">
        <v>1365</v>
      </c>
      <c r="K954" s="181" t="s">
        <v>9</v>
      </c>
      <c r="L954" s="93" t="s">
        <v>1217</v>
      </c>
      <c r="M954" s="94" t="s">
        <v>3437</v>
      </c>
      <c r="N954" s="95" t="s">
        <v>2867</v>
      </c>
      <c r="O954" s="160">
        <v>5</v>
      </c>
      <c r="P954" s="97">
        <f t="shared" si="236"/>
        <v>69.353448275862078</v>
      </c>
      <c r="Q954" s="126" t="s">
        <v>1443</v>
      </c>
      <c r="R954" s="160">
        <v>3.8</v>
      </c>
      <c r="S954" s="175"/>
      <c r="T954" s="131"/>
      <c r="U954" s="157">
        <f t="shared" si="237"/>
        <v>267.12916902204637</v>
      </c>
      <c r="V954" s="100">
        <f t="shared" si="230"/>
        <v>2.6712916902204635</v>
      </c>
      <c r="W954" s="101">
        <f t="shared" si="231"/>
        <v>0.38161309860292336</v>
      </c>
      <c r="X954" s="95"/>
      <c r="Y954" s="175"/>
      <c r="Z954" s="104"/>
      <c r="AA954" s="118">
        <v>45898</v>
      </c>
      <c r="AB954" s="118">
        <v>45922</v>
      </c>
      <c r="AC954" s="103"/>
      <c r="AD954" s="104">
        <f>IF(ISNA(VLOOKUP(D954,亚马逊入库配置费!B:F,5,0)),0,VLOOKUP(D954,亚马逊入库配置费!B:F,5,0))</f>
        <v>0.36686868686868701</v>
      </c>
      <c r="AE954" s="104">
        <f t="shared" si="223"/>
        <v>36.686868686868699</v>
      </c>
      <c r="AF954" s="103">
        <v>45934</v>
      </c>
      <c r="AG954" s="90">
        <f t="shared" si="224"/>
        <v>36</v>
      </c>
      <c r="AH954" s="103">
        <v>45934</v>
      </c>
      <c r="AI954" s="103">
        <v>45974</v>
      </c>
      <c r="AJ954" s="96">
        <v>100</v>
      </c>
      <c r="AK954" s="91">
        <f t="shared" si="225"/>
        <v>40</v>
      </c>
      <c r="AL954" s="96">
        <f t="shared" si="228"/>
        <v>76</v>
      </c>
      <c r="AM954" s="92"/>
      <c r="AN954" s="91"/>
      <c r="AO954" s="91"/>
    </row>
    <row r="955" spans="1:41" ht="14.5" x14ac:dyDescent="0.25">
      <c r="A955" s="110" t="s">
        <v>1672</v>
      </c>
      <c r="B955" s="90"/>
      <c r="C955" s="160" t="s">
        <v>1661</v>
      </c>
      <c r="D955" s="181" t="s">
        <v>1673</v>
      </c>
      <c r="E955" s="182" t="s">
        <v>97</v>
      </c>
      <c r="F955" s="182" t="s">
        <v>175</v>
      </c>
      <c r="G955" s="179" t="s">
        <v>228</v>
      </c>
      <c r="H955" s="160">
        <v>140</v>
      </c>
      <c r="I955" s="160" t="s">
        <v>502</v>
      </c>
      <c r="J955" s="160" t="s">
        <v>1365</v>
      </c>
      <c r="K955" s="181" t="s">
        <v>13</v>
      </c>
      <c r="L955" s="93" t="s">
        <v>3036</v>
      </c>
      <c r="M955" s="94" t="s">
        <v>3315</v>
      </c>
      <c r="N955" s="95" t="s">
        <v>2870</v>
      </c>
      <c r="O955" s="160">
        <v>7</v>
      </c>
      <c r="P955" s="97">
        <f t="shared" si="236"/>
        <v>97.094827586206904</v>
      </c>
      <c r="Q955" s="126" t="s">
        <v>1443</v>
      </c>
      <c r="R955" s="160">
        <v>3.8</v>
      </c>
      <c r="S955" s="175"/>
      <c r="T955" s="131"/>
      <c r="U955" s="157">
        <f t="shared" si="237"/>
        <v>373.98083663086487</v>
      </c>
      <c r="V955" s="100">
        <f t="shared" si="230"/>
        <v>2.6712916902204635</v>
      </c>
      <c r="W955" s="101">
        <f t="shared" si="231"/>
        <v>0.38161309860292336</v>
      </c>
      <c r="X955" s="95"/>
      <c r="Y955" s="175"/>
      <c r="Z955" s="104"/>
      <c r="AA955" s="118">
        <v>45898</v>
      </c>
      <c r="AB955" s="118">
        <v>45922</v>
      </c>
      <c r="AC955" s="103"/>
      <c r="AD955" s="104">
        <f>IF(ISNA(VLOOKUP(D955,亚马逊入库配置费!B:F,5,0)),0,VLOOKUP(D955,亚马逊入库配置费!B:F,5,0))</f>
        <v>0.36697732997481097</v>
      </c>
      <c r="AE955" s="104">
        <f t="shared" si="223"/>
        <v>51.376826196473537</v>
      </c>
      <c r="AF955" s="103">
        <v>45933</v>
      </c>
      <c r="AG955" s="90">
        <f t="shared" si="224"/>
        <v>35</v>
      </c>
      <c r="AH955" s="103">
        <v>45933</v>
      </c>
      <c r="AI955" s="103">
        <v>45998</v>
      </c>
      <c r="AJ955" s="96">
        <v>148</v>
      </c>
      <c r="AK955" s="91">
        <f t="shared" si="225"/>
        <v>65</v>
      </c>
      <c r="AL955" s="96">
        <f t="shared" si="228"/>
        <v>100</v>
      </c>
      <c r="AM955" s="92"/>
      <c r="AN955" s="91"/>
      <c r="AO955" s="91"/>
    </row>
    <row r="956" spans="1:41" ht="14.5" x14ac:dyDescent="0.25">
      <c r="A956" s="110" t="s">
        <v>1674</v>
      </c>
      <c r="B956" s="90"/>
      <c r="C956" s="160" t="s">
        <v>1661</v>
      </c>
      <c r="D956" s="181" t="s">
        <v>1673</v>
      </c>
      <c r="E956" s="182" t="s">
        <v>97</v>
      </c>
      <c r="F956" s="182" t="s">
        <v>175</v>
      </c>
      <c r="G956" s="179" t="s">
        <v>163</v>
      </c>
      <c r="H956" s="160">
        <v>1400</v>
      </c>
      <c r="I956" s="160" t="s">
        <v>502</v>
      </c>
      <c r="J956" s="160" t="s">
        <v>1365</v>
      </c>
      <c r="K956" s="181" t="s">
        <v>13</v>
      </c>
      <c r="L956" s="93" t="s">
        <v>2881</v>
      </c>
      <c r="M956" s="94" t="s">
        <v>3302</v>
      </c>
      <c r="N956" s="95" t="s">
        <v>2870</v>
      </c>
      <c r="O956" s="160">
        <v>35</v>
      </c>
      <c r="P956" s="97">
        <f t="shared" si="236"/>
        <v>485.47413793103453</v>
      </c>
      <c r="Q956" s="126" t="s">
        <v>1443</v>
      </c>
      <c r="R956" s="160">
        <v>3.8</v>
      </c>
      <c r="S956" s="175"/>
      <c r="T956" s="131"/>
      <c r="U956" s="157">
        <f t="shared" si="237"/>
        <v>1869.9041831543245</v>
      </c>
      <c r="V956" s="100">
        <f t="shared" si="230"/>
        <v>1.3356458451102318</v>
      </c>
      <c r="W956" s="101">
        <f t="shared" si="231"/>
        <v>0.19080654930146168</v>
      </c>
      <c r="X956" s="95"/>
      <c r="Y956" s="175"/>
      <c r="Z956" s="104"/>
      <c r="AA956" s="118">
        <v>45898</v>
      </c>
      <c r="AB956" s="118">
        <v>45922</v>
      </c>
      <c r="AC956" s="103"/>
      <c r="AD956" s="104">
        <f>IF(ISNA(VLOOKUP(D956,亚马逊入库配置费!B:F,5,0)),0,VLOOKUP(D956,亚马逊入库配置费!B:F,5,0))</f>
        <v>0.36697732997481097</v>
      </c>
      <c r="AE956" s="104">
        <f t="shared" si="223"/>
        <v>513.76826196473542</v>
      </c>
      <c r="AF956" s="103">
        <v>45933</v>
      </c>
      <c r="AG956" s="90">
        <f t="shared" si="224"/>
        <v>35</v>
      </c>
      <c r="AH956" s="103">
        <v>45933</v>
      </c>
      <c r="AI956" s="103">
        <v>45998</v>
      </c>
      <c r="AJ956" s="96">
        <v>1372</v>
      </c>
      <c r="AK956" s="91">
        <f t="shared" si="225"/>
        <v>65</v>
      </c>
      <c r="AL956" s="96">
        <f t="shared" si="228"/>
        <v>100</v>
      </c>
      <c r="AM956" s="92"/>
      <c r="AN956" s="91"/>
      <c r="AO956" s="91"/>
    </row>
    <row r="957" spans="1:41" ht="14.5" x14ac:dyDescent="0.25">
      <c r="A957" s="110" t="s">
        <v>1675</v>
      </c>
      <c r="B957" s="90"/>
      <c r="C957" s="160" t="s">
        <v>1661</v>
      </c>
      <c r="D957" s="181" t="s">
        <v>1673</v>
      </c>
      <c r="E957" s="182" t="s">
        <v>97</v>
      </c>
      <c r="F957" s="182" t="s">
        <v>175</v>
      </c>
      <c r="G957" s="179" t="s">
        <v>1195</v>
      </c>
      <c r="H957" s="160">
        <v>270</v>
      </c>
      <c r="I957" s="160" t="s">
        <v>502</v>
      </c>
      <c r="J957" s="160" t="s">
        <v>1365</v>
      </c>
      <c r="K957" s="181" t="s">
        <v>13</v>
      </c>
      <c r="L957" s="93" t="s">
        <v>1195</v>
      </c>
      <c r="M957" s="94" t="s">
        <v>3433</v>
      </c>
      <c r="N957" s="95" t="s">
        <v>2870</v>
      </c>
      <c r="O957" s="160">
        <v>9</v>
      </c>
      <c r="P957" s="97">
        <f t="shared" si="236"/>
        <v>124.83620689655173</v>
      </c>
      <c r="Q957" s="126" t="s">
        <v>1443</v>
      </c>
      <c r="R957" s="160">
        <v>3.8</v>
      </c>
      <c r="S957" s="175"/>
      <c r="T957" s="131"/>
      <c r="U957" s="157">
        <f t="shared" si="237"/>
        <v>480.83250423968343</v>
      </c>
      <c r="V957" s="100">
        <f t="shared" si="230"/>
        <v>1.7808611268136423</v>
      </c>
      <c r="W957" s="101">
        <f t="shared" si="231"/>
        <v>0.25440873240194889</v>
      </c>
      <c r="X957" s="95"/>
      <c r="Y957" s="175"/>
      <c r="Z957" s="104"/>
      <c r="AA957" s="118">
        <v>45898</v>
      </c>
      <c r="AB957" s="118">
        <v>45922</v>
      </c>
      <c r="AC957" s="103"/>
      <c r="AD957" s="104">
        <f>IF(ISNA(VLOOKUP(D957,亚马逊入库配置费!B:F,5,0)),0,VLOOKUP(D957,亚马逊入库配置费!B:F,5,0))</f>
        <v>0.36697732997481097</v>
      </c>
      <c r="AE957" s="104">
        <f t="shared" si="223"/>
        <v>99.083879093198959</v>
      </c>
      <c r="AF957" s="103">
        <v>45933</v>
      </c>
      <c r="AG957" s="90">
        <f t="shared" si="224"/>
        <v>35</v>
      </c>
      <c r="AH957" s="103">
        <v>45933</v>
      </c>
      <c r="AI957" s="103">
        <v>45998</v>
      </c>
      <c r="AJ957" s="96">
        <v>273</v>
      </c>
      <c r="AK957" s="91">
        <f t="shared" si="225"/>
        <v>65</v>
      </c>
      <c r="AL957" s="96">
        <f t="shared" si="228"/>
        <v>100</v>
      </c>
      <c r="AM957" s="92"/>
      <c r="AN957" s="91"/>
      <c r="AO957" s="91"/>
    </row>
    <row r="958" spans="1:41" ht="14.5" x14ac:dyDescent="0.25">
      <c r="A958" s="110" t="s">
        <v>1676</v>
      </c>
      <c r="B958" s="90"/>
      <c r="C958" s="160" t="s">
        <v>1661</v>
      </c>
      <c r="D958" s="181" t="s">
        <v>1673</v>
      </c>
      <c r="E958" s="182" t="s">
        <v>97</v>
      </c>
      <c r="F958" s="182" t="s">
        <v>175</v>
      </c>
      <c r="G958" s="179" t="s">
        <v>872</v>
      </c>
      <c r="H958" s="160">
        <v>900</v>
      </c>
      <c r="I958" s="160" t="s">
        <v>502</v>
      </c>
      <c r="J958" s="160" t="s">
        <v>1365</v>
      </c>
      <c r="K958" s="181" t="s">
        <v>13</v>
      </c>
      <c r="L958" s="93" t="s">
        <v>872</v>
      </c>
      <c r="M958" s="94" t="s">
        <v>3399</v>
      </c>
      <c r="N958" s="95" t="s">
        <v>2870</v>
      </c>
      <c r="O958" s="160">
        <v>30</v>
      </c>
      <c r="P958" s="97">
        <f t="shared" si="236"/>
        <v>416.12068965517244</v>
      </c>
      <c r="Q958" s="126" t="s">
        <v>1443</v>
      </c>
      <c r="R958" s="160">
        <v>3.8</v>
      </c>
      <c r="S958" s="175"/>
      <c r="T958" s="131"/>
      <c r="U958" s="157">
        <f t="shared" si="237"/>
        <v>1602.7750141322781</v>
      </c>
      <c r="V958" s="100">
        <f t="shared" si="230"/>
        <v>1.7808611268136423</v>
      </c>
      <c r="W958" s="101">
        <f t="shared" si="231"/>
        <v>0.25440873240194889</v>
      </c>
      <c r="X958" s="95"/>
      <c r="Y958" s="175"/>
      <c r="Z958" s="104"/>
      <c r="AA958" s="118">
        <v>45898</v>
      </c>
      <c r="AB958" s="118">
        <v>45922</v>
      </c>
      <c r="AC958" s="103"/>
      <c r="AD958" s="104">
        <f>IF(ISNA(VLOOKUP(D958,亚马逊入库配置费!B:F,5,0)),0,VLOOKUP(D958,亚马逊入库配置费!B:F,5,0))</f>
        <v>0.36697732997481097</v>
      </c>
      <c r="AE958" s="104">
        <f t="shared" si="223"/>
        <v>330.2795969773299</v>
      </c>
      <c r="AF958" s="103">
        <v>45933</v>
      </c>
      <c r="AG958" s="90">
        <f t="shared" si="224"/>
        <v>35</v>
      </c>
      <c r="AH958" s="103">
        <v>45933</v>
      </c>
      <c r="AI958" s="103">
        <v>45998</v>
      </c>
      <c r="AJ958" s="96">
        <v>895</v>
      </c>
      <c r="AK958" s="91">
        <f t="shared" si="225"/>
        <v>65</v>
      </c>
      <c r="AL958" s="96">
        <f t="shared" si="228"/>
        <v>100</v>
      </c>
      <c r="AM958" s="92"/>
      <c r="AN958" s="91"/>
      <c r="AO958" s="91"/>
    </row>
    <row r="959" spans="1:41" ht="14.5" x14ac:dyDescent="0.25">
      <c r="A959" s="110" t="s">
        <v>1677</v>
      </c>
      <c r="B959" s="90"/>
      <c r="C959" s="160" t="s">
        <v>1661</v>
      </c>
      <c r="D959" s="181" t="s">
        <v>1673</v>
      </c>
      <c r="E959" s="182" t="s">
        <v>97</v>
      </c>
      <c r="F959" s="182" t="s">
        <v>175</v>
      </c>
      <c r="G959" s="179" t="s">
        <v>853</v>
      </c>
      <c r="H959" s="160">
        <v>80</v>
      </c>
      <c r="I959" s="160" t="s">
        <v>502</v>
      </c>
      <c r="J959" s="160" t="s">
        <v>1365</v>
      </c>
      <c r="K959" s="181" t="s">
        <v>13</v>
      </c>
      <c r="L959" s="93" t="s">
        <v>853</v>
      </c>
      <c r="M959" s="94" t="s">
        <v>3396</v>
      </c>
      <c r="N959" s="95" t="s">
        <v>2870</v>
      </c>
      <c r="O959" s="160">
        <v>2</v>
      </c>
      <c r="P959" s="97">
        <f t="shared" si="236"/>
        <v>27.741379310344829</v>
      </c>
      <c r="Q959" s="126" t="s">
        <v>1443</v>
      </c>
      <c r="R959" s="160">
        <v>3.8</v>
      </c>
      <c r="S959" s="175"/>
      <c r="T959" s="131"/>
      <c r="U959" s="157">
        <f t="shared" si="237"/>
        <v>106.85166760881853</v>
      </c>
      <c r="V959" s="100">
        <f t="shared" si="230"/>
        <v>1.3356458451102315</v>
      </c>
      <c r="W959" s="101">
        <f t="shared" si="231"/>
        <v>0.19080654930146165</v>
      </c>
      <c r="X959" s="95"/>
      <c r="Y959" s="175"/>
      <c r="Z959" s="104"/>
      <c r="AA959" s="118">
        <v>45898</v>
      </c>
      <c r="AB959" s="118">
        <v>45922</v>
      </c>
      <c r="AC959" s="103"/>
      <c r="AD959" s="104">
        <f>IF(ISNA(VLOOKUP(D959,亚马逊入库配置费!B:F,5,0)),0,VLOOKUP(D959,亚马逊入库配置费!B:F,5,0))</f>
        <v>0.36697732997481097</v>
      </c>
      <c r="AE959" s="104">
        <f t="shared" si="223"/>
        <v>29.358186397984877</v>
      </c>
      <c r="AF959" s="103">
        <v>45933</v>
      </c>
      <c r="AG959" s="90">
        <f t="shared" si="224"/>
        <v>35</v>
      </c>
      <c r="AH959" s="103">
        <v>45933</v>
      </c>
      <c r="AI959" s="103">
        <v>45998</v>
      </c>
      <c r="AJ959" s="96">
        <v>80</v>
      </c>
      <c r="AK959" s="91">
        <f t="shared" si="225"/>
        <v>65</v>
      </c>
      <c r="AL959" s="96">
        <f t="shared" si="228"/>
        <v>100</v>
      </c>
      <c r="AM959" s="92"/>
      <c r="AN959" s="91"/>
      <c r="AO959" s="91"/>
    </row>
    <row r="960" spans="1:41" ht="14.5" x14ac:dyDescent="0.25">
      <c r="A960" s="110" t="s">
        <v>1678</v>
      </c>
      <c r="B960" s="90"/>
      <c r="C960" s="160" t="s">
        <v>1661</v>
      </c>
      <c r="D960" s="181" t="s">
        <v>1673</v>
      </c>
      <c r="E960" s="182" t="s">
        <v>97</v>
      </c>
      <c r="F960" s="182" t="s">
        <v>175</v>
      </c>
      <c r="G960" s="179" t="s">
        <v>350</v>
      </c>
      <c r="H960" s="160">
        <v>200</v>
      </c>
      <c r="I960" s="160" t="s">
        <v>502</v>
      </c>
      <c r="J960" s="160" t="s">
        <v>1365</v>
      </c>
      <c r="K960" s="181" t="s">
        <v>13</v>
      </c>
      <c r="L960" s="93" t="s">
        <v>3048</v>
      </c>
      <c r="M960" s="94" t="s">
        <v>3208</v>
      </c>
      <c r="N960" s="95" t="s">
        <v>2870</v>
      </c>
      <c r="O960" s="160">
        <v>5</v>
      </c>
      <c r="P960" s="97">
        <f t="shared" si="236"/>
        <v>69.353448275862078</v>
      </c>
      <c r="Q960" s="126" t="s">
        <v>1443</v>
      </c>
      <c r="R960" s="160">
        <v>3.8</v>
      </c>
      <c r="S960" s="175"/>
      <c r="T960" s="131"/>
      <c r="U960" s="157">
        <f t="shared" si="237"/>
        <v>267.12916902204637</v>
      </c>
      <c r="V960" s="100">
        <f t="shared" si="230"/>
        <v>1.3356458451102318</v>
      </c>
      <c r="W960" s="101">
        <f t="shared" si="231"/>
        <v>0.19080654930146168</v>
      </c>
      <c r="X960" s="95"/>
      <c r="Y960" s="175"/>
      <c r="Z960" s="104"/>
      <c r="AA960" s="118">
        <v>45898</v>
      </c>
      <c r="AB960" s="118">
        <v>45922</v>
      </c>
      <c r="AC960" s="103"/>
      <c r="AD960" s="104">
        <f>IF(ISNA(VLOOKUP(D960,亚马逊入库配置费!B:F,5,0)),0,VLOOKUP(D960,亚马逊入库配置费!B:F,5,0))</f>
        <v>0.36697732997481097</v>
      </c>
      <c r="AE960" s="104">
        <f t="shared" si="223"/>
        <v>73.395465994962194</v>
      </c>
      <c r="AF960" s="103">
        <v>45933</v>
      </c>
      <c r="AG960" s="90">
        <f t="shared" si="224"/>
        <v>35</v>
      </c>
      <c r="AH960" s="103">
        <v>45933</v>
      </c>
      <c r="AI960" s="103">
        <v>45998</v>
      </c>
      <c r="AJ960" s="96">
        <v>146</v>
      </c>
      <c r="AK960" s="91">
        <f t="shared" si="225"/>
        <v>65</v>
      </c>
      <c r="AL960" s="96">
        <f t="shared" si="228"/>
        <v>100</v>
      </c>
      <c r="AM960" s="92"/>
      <c r="AN960" s="91"/>
      <c r="AO960" s="91"/>
    </row>
    <row r="961" spans="1:41" ht="14.5" x14ac:dyDescent="0.25">
      <c r="A961" s="110" t="s">
        <v>1679</v>
      </c>
      <c r="B961" s="90"/>
      <c r="C961" s="160" t="s">
        <v>1661</v>
      </c>
      <c r="D961" s="181" t="s">
        <v>1673</v>
      </c>
      <c r="E961" s="182" t="s">
        <v>97</v>
      </c>
      <c r="F961" s="182" t="s">
        <v>175</v>
      </c>
      <c r="G961" s="179" t="s">
        <v>876</v>
      </c>
      <c r="H961" s="160">
        <v>40</v>
      </c>
      <c r="I961" s="160" t="s">
        <v>502</v>
      </c>
      <c r="J961" s="160" t="s">
        <v>1365</v>
      </c>
      <c r="K961" s="181" t="s">
        <v>13</v>
      </c>
      <c r="L961" s="93" t="s">
        <v>876</v>
      </c>
      <c r="M961" s="94" t="s">
        <v>3400</v>
      </c>
      <c r="N961" s="95" t="s">
        <v>2870</v>
      </c>
      <c r="O961" s="160">
        <v>1</v>
      </c>
      <c r="P961" s="97">
        <f t="shared" si="236"/>
        <v>13.870689655172415</v>
      </c>
      <c r="Q961" s="126" t="s">
        <v>1443</v>
      </c>
      <c r="R961" s="160">
        <v>3.8</v>
      </c>
      <c r="S961" s="175"/>
      <c r="T961" s="131"/>
      <c r="U961" s="157">
        <f t="shared" si="237"/>
        <v>53.425833804409265</v>
      </c>
      <c r="V961" s="100">
        <f t="shared" si="230"/>
        <v>1.3356458451102315</v>
      </c>
      <c r="W961" s="101">
        <f t="shared" si="231"/>
        <v>0.19080654930146165</v>
      </c>
      <c r="X961" s="95"/>
      <c r="Y961" s="175"/>
      <c r="Z961" s="104"/>
      <c r="AA961" s="118">
        <v>45898</v>
      </c>
      <c r="AB961" s="118">
        <v>45922</v>
      </c>
      <c r="AC961" s="103"/>
      <c r="AD961" s="104">
        <f>IF(ISNA(VLOOKUP(D961,亚马逊入库配置费!B:F,5,0)),0,VLOOKUP(D961,亚马逊入库配置费!B:F,5,0))</f>
        <v>0.36697732997481097</v>
      </c>
      <c r="AE961" s="104">
        <f t="shared" si="223"/>
        <v>14.679093198992438</v>
      </c>
      <c r="AF961" s="103">
        <v>45933</v>
      </c>
      <c r="AG961" s="90">
        <f t="shared" si="224"/>
        <v>35</v>
      </c>
      <c r="AH961" s="103">
        <v>45933</v>
      </c>
      <c r="AI961" s="103">
        <v>45998</v>
      </c>
      <c r="AJ961" s="96">
        <v>40</v>
      </c>
      <c r="AK961" s="91">
        <f t="shared" si="225"/>
        <v>65</v>
      </c>
      <c r="AL961" s="96">
        <f t="shared" si="228"/>
        <v>100</v>
      </c>
      <c r="AM961" s="92"/>
      <c r="AN961" s="91"/>
      <c r="AO961" s="91"/>
    </row>
    <row r="962" spans="1:41" ht="14.5" x14ac:dyDescent="0.25">
      <c r="A962" s="110" t="s">
        <v>1680</v>
      </c>
      <c r="B962" s="90"/>
      <c r="C962" s="160" t="s">
        <v>1661</v>
      </c>
      <c r="D962" s="181" t="s">
        <v>1673</v>
      </c>
      <c r="E962" s="182" t="s">
        <v>97</v>
      </c>
      <c r="F962" s="182" t="s">
        <v>175</v>
      </c>
      <c r="G962" s="179" t="s">
        <v>165</v>
      </c>
      <c r="H962" s="160">
        <v>720</v>
      </c>
      <c r="I962" s="160" t="s">
        <v>502</v>
      </c>
      <c r="J962" s="160" t="s">
        <v>1365</v>
      </c>
      <c r="K962" s="181" t="s">
        <v>13</v>
      </c>
      <c r="L962" s="93" t="s">
        <v>2880</v>
      </c>
      <c r="M962" s="94" t="s">
        <v>3209</v>
      </c>
      <c r="N962" s="95" t="s">
        <v>2870</v>
      </c>
      <c r="O962" s="160">
        <v>18</v>
      </c>
      <c r="P962" s="97">
        <f t="shared" si="236"/>
        <v>249.67241379310346</v>
      </c>
      <c r="Q962" s="126" t="s">
        <v>1443</v>
      </c>
      <c r="R962" s="160">
        <v>3.8</v>
      </c>
      <c r="S962" s="175"/>
      <c r="T962" s="131"/>
      <c r="U962" s="157">
        <f t="shared" si="237"/>
        <v>961.66500847936686</v>
      </c>
      <c r="V962" s="100">
        <f t="shared" si="230"/>
        <v>1.3356458451102318</v>
      </c>
      <c r="W962" s="101">
        <f t="shared" si="231"/>
        <v>0.19080654930146168</v>
      </c>
      <c r="X962" s="95"/>
      <c r="Y962" s="175"/>
      <c r="Z962" s="104"/>
      <c r="AA962" s="118">
        <v>45898</v>
      </c>
      <c r="AB962" s="118">
        <v>45922</v>
      </c>
      <c r="AC962" s="103"/>
      <c r="AD962" s="104">
        <f>IF(ISNA(VLOOKUP(D962,亚马逊入库配置费!B:F,5,0)),0,VLOOKUP(D962,亚马逊入库配置费!B:F,5,0))</f>
        <v>0.36697732997481097</v>
      </c>
      <c r="AE962" s="104">
        <f t="shared" ref="AE962:AE1025" si="238">H962*AD962</f>
        <v>264.22367758186391</v>
      </c>
      <c r="AF962" s="103">
        <v>45933</v>
      </c>
      <c r="AG962" s="90">
        <f t="shared" ref="AG962:AG1025" si="239">AF962-AA962</f>
        <v>35</v>
      </c>
      <c r="AH962" s="103">
        <v>45933</v>
      </c>
      <c r="AI962" s="103">
        <v>45998</v>
      </c>
      <c r="AJ962" s="96">
        <v>719</v>
      </c>
      <c r="AK962" s="91">
        <f t="shared" ref="AK962:AK1025" si="240">AI962-AH962</f>
        <v>65</v>
      </c>
      <c r="AL962" s="96">
        <f t="shared" si="228"/>
        <v>100</v>
      </c>
      <c r="AM962" s="92"/>
      <c r="AN962" s="91"/>
      <c r="AO962" s="91"/>
    </row>
    <row r="963" spans="1:41" ht="14.5" x14ac:dyDescent="0.25">
      <c r="A963" s="110" t="s">
        <v>1681</v>
      </c>
      <c r="B963" s="90"/>
      <c r="C963" s="160" t="s">
        <v>1661</v>
      </c>
      <c r="D963" s="181" t="s">
        <v>1673</v>
      </c>
      <c r="E963" s="182" t="s">
        <v>97</v>
      </c>
      <c r="F963" s="182" t="s">
        <v>175</v>
      </c>
      <c r="G963" s="179" t="s">
        <v>1198</v>
      </c>
      <c r="H963" s="160">
        <v>120</v>
      </c>
      <c r="I963" s="160" t="s">
        <v>502</v>
      </c>
      <c r="J963" s="160" t="s">
        <v>1365</v>
      </c>
      <c r="K963" s="181" t="s">
        <v>13</v>
      </c>
      <c r="L963" s="93" t="s">
        <v>1198</v>
      </c>
      <c r="M963" s="94" t="s">
        <v>3434</v>
      </c>
      <c r="N963" s="95" t="s">
        <v>2870</v>
      </c>
      <c r="O963" s="160">
        <v>4</v>
      </c>
      <c r="P963" s="97">
        <f t="shared" si="236"/>
        <v>55.482758620689658</v>
      </c>
      <c r="Q963" s="126" t="s">
        <v>1443</v>
      </c>
      <c r="R963" s="160">
        <v>3.8</v>
      </c>
      <c r="S963" s="175"/>
      <c r="T963" s="131"/>
      <c r="U963" s="157">
        <f t="shared" si="237"/>
        <v>213.70333521763706</v>
      </c>
      <c r="V963" s="100">
        <f t="shared" si="230"/>
        <v>1.7808611268136423</v>
      </c>
      <c r="W963" s="101">
        <f t="shared" si="231"/>
        <v>0.25440873240194889</v>
      </c>
      <c r="X963" s="95"/>
      <c r="Y963" s="175"/>
      <c r="Z963" s="104"/>
      <c r="AA963" s="118">
        <v>45898</v>
      </c>
      <c r="AB963" s="118">
        <v>45922</v>
      </c>
      <c r="AC963" s="103"/>
      <c r="AD963" s="104">
        <f>IF(ISNA(VLOOKUP(D963,亚马逊入库配置费!B:F,5,0)),0,VLOOKUP(D963,亚马逊入库配置费!B:F,5,0))</f>
        <v>0.36697732997481097</v>
      </c>
      <c r="AE963" s="104">
        <f t="shared" si="238"/>
        <v>44.037279596977314</v>
      </c>
      <c r="AF963" s="103">
        <v>45933</v>
      </c>
      <c r="AG963" s="90">
        <f t="shared" si="239"/>
        <v>35</v>
      </c>
      <c r="AH963" s="103">
        <v>45933</v>
      </c>
      <c r="AI963" s="103">
        <v>45998</v>
      </c>
      <c r="AJ963" s="96">
        <v>119</v>
      </c>
      <c r="AK963" s="91">
        <f t="shared" si="240"/>
        <v>65</v>
      </c>
      <c r="AL963" s="96">
        <f t="shared" si="228"/>
        <v>100</v>
      </c>
      <c r="AM963" s="92"/>
      <c r="AN963" s="91"/>
      <c r="AO963" s="91"/>
    </row>
    <row r="964" spans="1:41" ht="14.5" x14ac:dyDescent="0.25">
      <c r="A964" s="110" t="s">
        <v>1682</v>
      </c>
      <c r="B964" s="90"/>
      <c r="C964" s="160" t="s">
        <v>1661</v>
      </c>
      <c r="D964" s="181" t="s">
        <v>1673</v>
      </c>
      <c r="E964" s="182" t="s">
        <v>97</v>
      </c>
      <c r="F964" s="182" t="s">
        <v>175</v>
      </c>
      <c r="G964" s="179" t="s">
        <v>1217</v>
      </c>
      <c r="H964" s="160">
        <v>100</v>
      </c>
      <c r="I964" s="160" t="s">
        <v>502</v>
      </c>
      <c r="J964" s="160" t="s">
        <v>1365</v>
      </c>
      <c r="K964" s="181" t="s">
        <v>13</v>
      </c>
      <c r="L964" s="93" t="s">
        <v>1217</v>
      </c>
      <c r="M964" s="94" t="s">
        <v>3437</v>
      </c>
      <c r="N964" s="95" t="s">
        <v>2867</v>
      </c>
      <c r="O964" s="160">
        <v>5</v>
      </c>
      <c r="P964" s="97">
        <f t="shared" si="236"/>
        <v>69.353448275862078</v>
      </c>
      <c r="Q964" s="126" t="s">
        <v>1443</v>
      </c>
      <c r="R964" s="160">
        <v>3.8</v>
      </c>
      <c r="S964" s="175"/>
      <c r="T964" s="131"/>
      <c r="U964" s="157">
        <f t="shared" si="237"/>
        <v>267.12916902204637</v>
      </c>
      <c r="V964" s="100">
        <f t="shared" si="230"/>
        <v>2.6712916902204635</v>
      </c>
      <c r="W964" s="101">
        <f t="shared" si="231"/>
        <v>0.38161309860292336</v>
      </c>
      <c r="X964" s="95"/>
      <c r="Y964" s="175"/>
      <c r="Z964" s="104"/>
      <c r="AA964" s="118">
        <v>45898</v>
      </c>
      <c r="AB964" s="118">
        <v>45922</v>
      </c>
      <c r="AC964" s="103"/>
      <c r="AD964" s="104">
        <f>IF(ISNA(VLOOKUP(D964,亚马逊入库配置费!B:F,5,0)),0,VLOOKUP(D964,亚马逊入库配置费!B:F,5,0))</f>
        <v>0.36697732997481097</v>
      </c>
      <c r="AE964" s="104">
        <f t="shared" si="238"/>
        <v>36.697732997481097</v>
      </c>
      <c r="AF964" s="103">
        <v>45933</v>
      </c>
      <c r="AG964" s="90">
        <f t="shared" si="239"/>
        <v>35</v>
      </c>
      <c r="AH964" s="103">
        <v>45933</v>
      </c>
      <c r="AI964" s="103">
        <v>45998</v>
      </c>
      <c r="AJ964" s="96">
        <v>100</v>
      </c>
      <c r="AK964" s="91">
        <f t="shared" si="240"/>
        <v>65</v>
      </c>
      <c r="AL964" s="96">
        <f t="shared" ref="AL964:AL1027" si="241">AG964+AK964</f>
        <v>100</v>
      </c>
      <c r="AM964" s="92"/>
      <c r="AN964" s="91"/>
      <c r="AO964" s="91"/>
    </row>
    <row r="965" spans="1:41" ht="14.5" x14ac:dyDescent="0.25">
      <c r="A965" s="110" t="s">
        <v>1683</v>
      </c>
      <c r="B965" s="90"/>
      <c r="C965" s="160" t="s">
        <v>1684</v>
      </c>
      <c r="D965" s="181" t="s">
        <v>1685</v>
      </c>
      <c r="E965" s="182" t="s">
        <v>97</v>
      </c>
      <c r="F965" s="182" t="s">
        <v>175</v>
      </c>
      <c r="G965" s="179" t="s">
        <v>228</v>
      </c>
      <c r="H965" s="160">
        <v>300</v>
      </c>
      <c r="I965" s="160" t="s">
        <v>502</v>
      </c>
      <c r="J965" s="160" t="s">
        <v>1686</v>
      </c>
      <c r="K965" s="181" t="s">
        <v>10</v>
      </c>
      <c r="L965" s="93" t="s">
        <v>3036</v>
      </c>
      <c r="M965" s="94" t="s">
        <v>3315</v>
      </c>
      <c r="N965" s="95" t="s">
        <v>2870</v>
      </c>
      <c r="O965" s="160">
        <v>15</v>
      </c>
      <c r="P965" s="97">
        <f t="shared" ref="P965:P970" si="242">1124/79*O965</f>
        <v>213.41772151898732</v>
      </c>
      <c r="Q965" s="126" t="s">
        <v>1443</v>
      </c>
      <c r="R965" s="160">
        <v>9.5</v>
      </c>
      <c r="S965" s="175"/>
      <c r="T965" s="131"/>
      <c r="U965" s="157">
        <f t="shared" ref="U965:U970" si="243">R965*P965+350/79*O965</f>
        <v>2093.9240506329111</v>
      </c>
      <c r="V965" s="100">
        <f t="shared" si="230"/>
        <v>6.979746835443037</v>
      </c>
      <c r="W965" s="101">
        <f t="shared" si="231"/>
        <v>0.99710669077757674</v>
      </c>
      <c r="X965" s="108"/>
      <c r="Y965" s="175"/>
      <c r="Z965" s="104"/>
      <c r="AA965" s="118">
        <v>45898</v>
      </c>
      <c r="AB965" s="103">
        <v>45914</v>
      </c>
      <c r="AC965" s="118"/>
      <c r="AD965" s="104">
        <f>IF(ISNA(VLOOKUP(D965,亚马逊入库配置费!B:F,5,0)),0,VLOOKUP(D965,亚马逊入库配置费!B:F,5,0))</f>
        <v>0.38268292682926802</v>
      </c>
      <c r="AE965" s="104">
        <f t="shared" si="238"/>
        <v>114.80487804878041</v>
      </c>
      <c r="AF965" s="118">
        <v>45923</v>
      </c>
      <c r="AG965" s="90">
        <f t="shared" si="239"/>
        <v>25</v>
      </c>
      <c r="AH965" s="118">
        <v>45923</v>
      </c>
      <c r="AI965" s="118">
        <v>45953</v>
      </c>
      <c r="AJ965" s="158">
        <v>300</v>
      </c>
      <c r="AK965" s="91">
        <f t="shared" si="240"/>
        <v>30</v>
      </c>
      <c r="AL965" s="96">
        <f t="shared" si="241"/>
        <v>55</v>
      </c>
      <c r="AM965" s="110"/>
      <c r="AN965" s="90"/>
      <c r="AO965" s="90"/>
    </row>
    <row r="966" spans="1:41" ht="14.5" x14ac:dyDescent="0.25">
      <c r="A966" s="110" t="s">
        <v>1687</v>
      </c>
      <c r="B966" s="90"/>
      <c r="C966" s="160" t="s">
        <v>1684</v>
      </c>
      <c r="D966" s="181" t="s">
        <v>1685</v>
      </c>
      <c r="E966" s="182" t="s">
        <v>97</v>
      </c>
      <c r="F966" s="182" t="s">
        <v>175</v>
      </c>
      <c r="G966" s="179" t="s">
        <v>1195</v>
      </c>
      <c r="H966" s="160">
        <v>600</v>
      </c>
      <c r="I966" s="160" t="s">
        <v>502</v>
      </c>
      <c r="J966" s="160" t="s">
        <v>1686</v>
      </c>
      <c r="K966" s="181" t="s">
        <v>10</v>
      </c>
      <c r="L966" s="93" t="s">
        <v>1195</v>
      </c>
      <c r="M966" s="94" t="s">
        <v>3433</v>
      </c>
      <c r="N966" s="95" t="s">
        <v>2870</v>
      </c>
      <c r="O966" s="160">
        <v>20</v>
      </c>
      <c r="P966" s="97">
        <f t="shared" si="242"/>
        <v>284.55696202531647</v>
      </c>
      <c r="Q966" s="126" t="s">
        <v>1443</v>
      </c>
      <c r="R966" s="160">
        <v>9.5</v>
      </c>
      <c r="S966" s="175"/>
      <c r="T966" s="131"/>
      <c r="U966" s="157">
        <f t="shared" si="243"/>
        <v>2791.8987341772149</v>
      </c>
      <c r="V966" s="100">
        <f t="shared" si="230"/>
        <v>4.6531645569620252</v>
      </c>
      <c r="W966" s="101">
        <f t="shared" si="231"/>
        <v>0.66473779385171794</v>
      </c>
      <c r="X966" s="108"/>
      <c r="Y966" s="175"/>
      <c r="Z966" s="104"/>
      <c r="AA966" s="118">
        <v>45898</v>
      </c>
      <c r="AB966" s="103">
        <v>45914</v>
      </c>
      <c r="AC966" s="118"/>
      <c r="AD966" s="104">
        <f>IF(ISNA(VLOOKUP(D966,亚马逊入库配置费!B:F,5,0)),0,VLOOKUP(D966,亚马逊入库配置费!B:F,5,0))</f>
        <v>0.38268292682926802</v>
      </c>
      <c r="AE966" s="104">
        <f t="shared" si="238"/>
        <v>229.60975609756082</v>
      </c>
      <c r="AF966" s="118">
        <v>45923</v>
      </c>
      <c r="AG966" s="90">
        <f t="shared" si="239"/>
        <v>25</v>
      </c>
      <c r="AH966" s="118">
        <v>45923</v>
      </c>
      <c r="AI966" s="118">
        <v>45953</v>
      </c>
      <c r="AJ966" s="158">
        <v>600</v>
      </c>
      <c r="AK966" s="91">
        <f t="shared" si="240"/>
        <v>30</v>
      </c>
      <c r="AL966" s="96">
        <f t="shared" si="241"/>
        <v>55</v>
      </c>
      <c r="AM966" s="110"/>
      <c r="AN966" s="90"/>
      <c r="AO966" s="90"/>
    </row>
    <row r="967" spans="1:41" ht="14.5" x14ac:dyDescent="0.25">
      <c r="A967" s="110" t="s">
        <v>1688</v>
      </c>
      <c r="B967" s="90"/>
      <c r="C967" s="160" t="s">
        <v>1684</v>
      </c>
      <c r="D967" s="181" t="s">
        <v>1685</v>
      </c>
      <c r="E967" s="182" t="s">
        <v>97</v>
      </c>
      <c r="F967" s="182" t="s">
        <v>175</v>
      </c>
      <c r="G967" s="179" t="s">
        <v>872</v>
      </c>
      <c r="H967" s="160">
        <v>600</v>
      </c>
      <c r="I967" s="160" t="s">
        <v>502</v>
      </c>
      <c r="J967" s="160" t="s">
        <v>1686</v>
      </c>
      <c r="K967" s="181" t="s">
        <v>10</v>
      </c>
      <c r="L967" s="93" t="s">
        <v>872</v>
      </c>
      <c r="M967" s="94" t="s">
        <v>3399</v>
      </c>
      <c r="N967" s="95" t="s">
        <v>2870</v>
      </c>
      <c r="O967" s="160">
        <v>20</v>
      </c>
      <c r="P967" s="97">
        <f t="shared" si="242"/>
        <v>284.55696202531647</v>
      </c>
      <c r="Q967" s="126" t="s">
        <v>1443</v>
      </c>
      <c r="R967" s="160">
        <v>9.5</v>
      </c>
      <c r="S967" s="175"/>
      <c r="T967" s="131"/>
      <c r="U967" s="157">
        <f t="shared" si="243"/>
        <v>2791.8987341772149</v>
      </c>
      <c r="V967" s="100">
        <f t="shared" si="230"/>
        <v>4.6531645569620252</v>
      </c>
      <c r="W967" s="101">
        <f t="shared" si="231"/>
        <v>0.66473779385171794</v>
      </c>
      <c r="X967" s="108"/>
      <c r="Y967" s="175"/>
      <c r="Z967" s="104"/>
      <c r="AA967" s="118">
        <v>45898</v>
      </c>
      <c r="AB967" s="103">
        <v>45914</v>
      </c>
      <c r="AC967" s="118"/>
      <c r="AD967" s="104">
        <f>IF(ISNA(VLOOKUP(D967,亚马逊入库配置费!B:F,5,0)),0,VLOOKUP(D967,亚马逊入库配置费!B:F,5,0))</f>
        <v>0.38268292682926802</v>
      </c>
      <c r="AE967" s="104">
        <f t="shared" si="238"/>
        <v>229.60975609756082</v>
      </c>
      <c r="AF967" s="118">
        <v>45923</v>
      </c>
      <c r="AG967" s="90">
        <f t="shared" si="239"/>
        <v>25</v>
      </c>
      <c r="AH967" s="118">
        <v>45923</v>
      </c>
      <c r="AI967" s="118">
        <v>45953</v>
      </c>
      <c r="AJ967" s="158">
        <v>570</v>
      </c>
      <c r="AK967" s="91">
        <f t="shared" si="240"/>
        <v>30</v>
      </c>
      <c r="AL967" s="96">
        <f t="shared" si="241"/>
        <v>55</v>
      </c>
      <c r="AM967" s="110"/>
      <c r="AN967" s="90"/>
      <c r="AO967" s="90"/>
    </row>
    <row r="968" spans="1:41" ht="14.5" x14ac:dyDescent="0.25">
      <c r="A968" s="110" t="s">
        <v>1689</v>
      </c>
      <c r="B968" s="90"/>
      <c r="C968" s="160" t="s">
        <v>1684</v>
      </c>
      <c r="D968" s="181" t="s">
        <v>1685</v>
      </c>
      <c r="E968" s="182" t="s">
        <v>97</v>
      </c>
      <c r="F968" s="182" t="s">
        <v>175</v>
      </c>
      <c r="G968" s="179" t="s">
        <v>853</v>
      </c>
      <c r="H968" s="160">
        <v>200</v>
      </c>
      <c r="I968" s="160" t="s">
        <v>502</v>
      </c>
      <c r="J968" s="160" t="s">
        <v>1686</v>
      </c>
      <c r="K968" s="181" t="s">
        <v>10</v>
      </c>
      <c r="L968" s="93" t="s">
        <v>853</v>
      </c>
      <c r="M968" s="94" t="s">
        <v>3396</v>
      </c>
      <c r="N968" s="95" t="s">
        <v>2870</v>
      </c>
      <c r="O968" s="160">
        <v>5</v>
      </c>
      <c r="P968" s="97">
        <f t="shared" si="242"/>
        <v>71.139240506329116</v>
      </c>
      <c r="Q968" s="126" t="s">
        <v>1443</v>
      </c>
      <c r="R968" s="160">
        <v>9.5</v>
      </c>
      <c r="S968" s="175"/>
      <c r="T968" s="131"/>
      <c r="U968" s="157">
        <f t="shared" si="243"/>
        <v>697.97468354430373</v>
      </c>
      <c r="V968" s="100">
        <f t="shared" si="230"/>
        <v>3.4898734177215185</v>
      </c>
      <c r="W968" s="101">
        <f t="shared" si="231"/>
        <v>0.49855334538878837</v>
      </c>
      <c r="X968" s="108"/>
      <c r="Y968" s="175"/>
      <c r="Z968" s="104"/>
      <c r="AA968" s="118">
        <v>45898</v>
      </c>
      <c r="AB968" s="103">
        <v>45914</v>
      </c>
      <c r="AC968" s="118"/>
      <c r="AD968" s="104">
        <f>IF(ISNA(VLOOKUP(D968,亚马逊入库配置费!B:F,5,0)),0,VLOOKUP(D968,亚马逊入库配置费!B:F,5,0))</f>
        <v>0.38268292682926802</v>
      </c>
      <c r="AE968" s="104">
        <f t="shared" si="238"/>
        <v>76.536585365853611</v>
      </c>
      <c r="AF968" s="118">
        <v>45923</v>
      </c>
      <c r="AG968" s="90">
        <f t="shared" si="239"/>
        <v>25</v>
      </c>
      <c r="AH968" s="118">
        <v>45923</v>
      </c>
      <c r="AI968" s="118">
        <v>45953</v>
      </c>
      <c r="AJ968" s="158">
        <v>198</v>
      </c>
      <c r="AK968" s="91">
        <f t="shared" si="240"/>
        <v>30</v>
      </c>
      <c r="AL968" s="96">
        <f t="shared" si="241"/>
        <v>55</v>
      </c>
      <c r="AM968" s="110"/>
      <c r="AN968" s="90"/>
      <c r="AO968" s="90"/>
    </row>
    <row r="969" spans="1:41" ht="14.5" x14ac:dyDescent="0.25">
      <c r="A969" s="110" t="s">
        <v>1690</v>
      </c>
      <c r="B969" s="90"/>
      <c r="C969" s="160" t="s">
        <v>1684</v>
      </c>
      <c r="D969" s="181" t="s">
        <v>1685</v>
      </c>
      <c r="E969" s="182" t="s">
        <v>97</v>
      </c>
      <c r="F969" s="182" t="s">
        <v>175</v>
      </c>
      <c r="G969" s="179" t="s">
        <v>876</v>
      </c>
      <c r="H969" s="160">
        <v>160</v>
      </c>
      <c r="I969" s="160" t="s">
        <v>502</v>
      </c>
      <c r="J969" s="160" t="s">
        <v>1686</v>
      </c>
      <c r="K969" s="181" t="s">
        <v>10</v>
      </c>
      <c r="L969" s="93" t="s">
        <v>876</v>
      </c>
      <c r="M969" s="94" t="s">
        <v>3400</v>
      </c>
      <c r="N969" s="95" t="s">
        <v>2870</v>
      </c>
      <c r="O969" s="160">
        <v>4</v>
      </c>
      <c r="P969" s="97">
        <f t="shared" si="242"/>
        <v>56.911392405063289</v>
      </c>
      <c r="Q969" s="126" t="s">
        <v>1443</v>
      </c>
      <c r="R969" s="160">
        <v>9.5</v>
      </c>
      <c r="S969" s="175"/>
      <c r="T969" s="131"/>
      <c r="U969" s="157">
        <f t="shared" si="243"/>
        <v>558.37974683544303</v>
      </c>
      <c r="V969" s="100">
        <f t="shared" si="230"/>
        <v>3.4898734177215189</v>
      </c>
      <c r="W969" s="101">
        <f t="shared" si="231"/>
        <v>0.49855334538878843</v>
      </c>
      <c r="X969" s="108"/>
      <c r="Y969" s="175"/>
      <c r="Z969" s="104"/>
      <c r="AA969" s="118">
        <v>45898</v>
      </c>
      <c r="AB969" s="103">
        <v>45914</v>
      </c>
      <c r="AC969" s="118"/>
      <c r="AD969" s="104">
        <f>IF(ISNA(VLOOKUP(D969,亚马逊入库配置费!B:F,5,0)),0,VLOOKUP(D969,亚马逊入库配置费!B:F,5,0))</f>
        <v>0.38268292682926802</v>
      </c>
      <c r="AE969" s="104">
        <f t="shared" si="238"/>
        <v>61.229268292682882</v>
      </c>
      <c r="AF969" s="118">
        <v>45923</v>
      </c>
      <c r="AG969" s="90">
        <f t="shared" si="239"/>
        <v>25</v>
      </c>
      <c r="AH969" s="118">
        <v>45923</v>
      </c>
      <c r="AI969" s="118">
        <v>45953</v>
      </c>
      <c r="AJ969" s="158">
        <v>160</v>
      </c>
      <c r="AK969" s="91">
        <f t="shared" si="240"/>
        <v>30</v>
      </c>
      <c r="AL969" s="96">
        <f t="shared" si="241"/>
        <v>55</v>
      </c>
      <c r="AM969" s="110"/>
      <c r="AN969" s="90"/>
      <c r="AO969" s="90"/>
    </row>
    <row r="970" spans="1:41" ht="14.5" x14ac:dyDescent="0.25">
      <c r="A970" s="110" t="s">
        <v>1691</v>
      </c>
      <c r="B970" s="90"/>
      <c r="C970" s="160" t="s">
        <v>1684</v>
      </c>
      <c r="D970" s="181" t="s">
        <v>1685</v>
      </c>
      <c r="E970" s="182" t="s">
        <v>97</v>
      </c>
      <c r="F970" s="182" t="s">
        <v>175</v>
      </c>
      <c r="G970" s="179" t="s">
        <v>165</v>
      </c>
      <c r="H970" s="160">
        <v>600</v>
      </c>
      <c r="I970" s="160" t="s">
        <v>502</v>
      </c>
      <c r="J970" s="160" t="s">
        <v>1686</v>
      </c>
      <c r="K970" s="181" t="s">
        <v>10</v>
      </c>
      <c r="L970" s="93" t="s">
        <v>2880</v>
      </c>
      <c r="M970" s="94" t="s">
        <v>3209</v>
      </c>
      <c r="N970" s="95" t="s">
        <v>2870</v>
      </c>
      <c r="O970" s="160">
        <v>15</v>
      </c>
      <c r="P970" s="97">
        <f t="shared" si="242"/>
        <v>213.41772151898732</v>
      </c>
      <c r="Q970" s="126" t="s">
        <v>1443</v>
      </c>
      <c r="R970" s="160">
        <v>9.5</v>
      </c>
      <c r="S970" s="175"/>
      <c r="T970" s="131"/>
      <c r="U970" s="157">
        <f t="shared" si="243"/>
        <v>2093.9240506329111</v>
      </c>
      <c r="V970" s="100">
        <f t="shared" si="230"/>
        <v>3.4898734177215185</v>
      </c>
      <c r="W970" s="101">
        <f t="shared" si="231"/>
        <v>0.49855334538878837</v>
      </c>
      <c r="X970" s="108"/>
      <c r="Y970" s="175"/>
      <c r="Z970" s="104"/>
      <c r="AA970" s="118">
        <v>45898</v>
      </c>
      <c r="AB970" s="103">
        <v>45914</v>
      </c>
      <c r="AC970" s="118"/>
      <c r="AD970" s="104">
        <f>IF(ISNA(VLOOKUP(D970,亚马逊入库配置费!B:F,5,0)),0,VLOOKUP(D970,亚马逊入库配置费!B:F,5,0))</f>
        <v>0.38268292682926802</v>
      </c>
      <c r="AE970" s="104">
        <f t="shared" si="238"/>
        <v>229.60975609756082</v>
      </c>
      <c r="AF970" s="118">
        <v>45923</v>
      </c>
      <c r="AG970" s="90">
        <f t="shared" si="239"/>
        <v>25</v>
      </c>
      <c r="AH970" s="118">
        <v>45923</v>
      </c>
      <c r="AI970" s="118">
        <v>45953</v>
      </c>
      <c r="AJ970" s="158">
        <v>597</v>
      </c>
      <c r="AK970" s="91">
        <f t="shared" si="240"/>
        <v>30</v>
      </c>
      <c r="AL970" s="96">
        <f t="shared" si="241"/>
        <v>55</v>
      </c>
      <c r="AM970" s="110"/>
      <c r="AN970" s="90"/>
      <c r="AO970" s="90"/>
    </row>
    <row r="971" spans="1:41" ht="14.5" x14ac:dyDescent="0.25">
      <c r="A971" s="110" t="s">
        <v>1692</v>
      </c>
      <c r="B971" s="90"/>
      <c r="C971" s="160" t="s">
        <v>1661</v>
      </c>
      <c r="D971" s="181" t="s">
        <v>1693</v>
      </c>
      <c r="E971" s="182" t="s">
        <v>115</v>
      </c>
      <c r="F971" s="182" t="s">
        <v>175</v>
      </c>
      <c r="G971" s="179" t="s">
        <v>209</v>
      </c>
      <c r="H971" s="160">
        <v>176</v>
      </c>
      <c r="I971" s="160" t="s">
        <v>502</v>
      </c>
      <c r="J971" s="160" t="s">
        <v>1365</v>
      </c>
      <c r="K971" s="181" t="s">
        <v>15</v>
      </c>
      <c r="L971" s="93" t="s">
        <v>3033</v>
      </c>
      <c r="M971" s="94" t="s">
        <v>3311</v>
      </c>
      <c r="N971" s="95" t="s">
        <v>2869</v>
      </c>
      <c r="O971" s="160">
        <v>11</v>
      </c>
      <c r="P971" s="97">
        <f>600/48*O971</f>
        <v>137.5</v>
      </c>
      <c r="Q971" s="126" t="s">
        <v>1443</v>
      </c>
      <c r="R971" s="160">
        <v>3.8</v>
      </c>
      <c r="S971" s="175"/>
      <c r="T971" s="131"/>
      <c r="U971" s="157">
        <f>R971*P971+350/488*O971</f>
        <v>530.38934426229503</v>
      </c>
      <c r="V971" s="100">
        <f t="shared" si="230"/>
        <v>3.013575819672131</v>
      </c>
      <c r="W971" s="101">
        <f t="shared" si="231"/>
        <v>0.43051083138173302</v>
      </c>
      <c r="X971" s="108"/>
      <c r="Y971" s="175"/>
      <c r="Z971" s="104"/>
      <c r="AA971" s="118">
        <v>45898</v>
      </c>
      <c r="AB971" s="118">
        <v>45922</v>
      </c>
      <c r="AC971" s="118"/>
      <c r="AD971" s="104">
        <f>IF(ISNA(VLOOKUP(D971,亚马逊入库配置费!B:F,5,0)),0,VLOOKUP(D971,亚马逊入库配置费!B:F,5,0))</f>
        <v>0.425075987841945</v>
      </c>
      <c r="AE971" s="104">
        <f t="shared" si="238"/>
        <v>74.813373860182324</v>
      </c>
      <c r="AF971" s="118">
        <v>45935</v>
      </c>
      <c r="AG971" s="90">
        <f t="shared" si="239"/>
        <v>37</v>
      </c>
      <c r="AH971" s="118">
        <v>45935</v>
      </c>
      <c r="AI971" s="118">
        <v>45965</v>
      </c>
      <c r="AJ971" s="158">
        <v>176</v>
      </c>
      <c r="AK971" s="91">
        <f t="shared" si="240"/>
        <v>30</v>
      </c>
      <c r="AL971" s="96">
        <f t="shared" si="241"/>
        <v>67</v>
      </c>
      <c r="AM971" s="110"/>
      <c r="AN971" s="90"/>
      <c r="AO971" s="90"/>
    </row>
    <row r="972" spans="1:41" ht="14.5" x14ac:dyDescent="0.25">
      <c r="A972" s="110" t="s">
        <v>1694</v>
      </c>
      <c r="B972" s="90"/>
      <c r="C972" s="160" t="s">
        <v>1661</v>
      </c>
      <c r="D972" s="181" t="s">
        <v>1693</v>
      </c>
      <c r="E972" s="182" t="s">
        <v>115</v>
      </c>
      <c r="F972" s="182" t="s">
        <v>175</v>
      </c>
      <c r="G972" s="179" t="s">
        <v>608</v>
      </c>
      <c r="H972" s="160">
        <v>390</v>
      </c>
      <c r="I972" s="160" t="s">
        <v>502</v>
      </c>
      <c r="J972" s="160" t="s">
        <v>1365</v>
      </c>
      <c r="K972" s="181" t="s">
        <v>15</v>
      </c>
      <c r="L972" s="93" t="s">
        <v>3076</v>
      </c>
      <c r="M972" s="94" t="s">
        <v>3377</v>
      </c>
      <c r="N972" s="95" t="s">
        <v>2869</v>
      </c>
      <c r="O972" s="160">
        <v>13</v>
      </c>
      <c r="P972" s="97">
        <f>600/48*O972</f>
        <v>162.5</v>
      </c>
      <c r="Q972" s="126" t="s">
        <v>1443</v>
      </c>
      <c r="R972" s="160">
        <v>3.8</v>
      </c>
      <c r="S972" s="175"/>
      <c r="T972" s="131"/>
      <c r="U972" s="157">
        <f>R972*P972+350/488*O972</f>
        <v>626.82377049180332</v>
      </c>
      <c r="V972" s="100">
        <f t="shared" si="230"/>
        <v>1.6072404371584701</v>
      </c>
      <c r="W972" s="101">
        <f t="shared" si="231"/>
        <v>0.22960577673692431</v>
      </c>
      <c r="X972" s="108"/>
      <c r="Y972" s="175"/>
      <c r="Z972" s="104"/>
      <c r="AA972" s="118">
        <v>45898</v>
      </c>
      <c r="AB972" s="118">
        <v>45922</v>
      </c>
      <c r="AC972" s="118"/>
      <c r="AD972" s="104">
        <f>IF(ISNA(VLOOKUP(D972,亚马逊入库配置费!B:F,5,0)),0,VLOOKUP(D972,亚马逊入库配置费!B:F,5,0))</f>
        <v>0.425075987841945</v>
      </c>
      <c r="AE972" s="104">
        <f t="shared" si="238"/>
        <v>165.77963525835855</v>
      </c>
      <c r="AF972" s="118">
        <v>45935</v>
      </c>
      <c r="AG972" s="90">
        <f t="shared" si="239"/>
        <v>37</v>
      </c>
      <c r="AH972" s="118">
        <v>45935</v>
      </c>
      <c r="AI972" s="118">
        <v>45965</v>
      </c>
      <c r="AJ972" s="158">
        <v>390</v>
      </c>
      <c r="AK972" s="91">
        <f t="shared" si="240"/>
        <v>30</v>
      </c>
      <c r="AL972" s="96">
        <f t="shared" si="241"/>
        <v>67</v>
      </c>
      <c r="AM972" s="110"/>
      <c r="AN972" s="90"/>
      <c r="AO972" s="90"/>
    </row>
    <row r="973" spans="1:41" ht="14.5" x14ac:dyDescent="0.25">
      <c r="A973" s="110" t="s">
        <v>1695</v>
      </c>
      <c r="B973" s="90"/>
      <c r="C973" s="160" t="s">
        <v>1661</v>
      </c>
      <c r="D973" s="181" t="s">
        <v>1693</v>
      </c>
      <c r="E973" s="182" t="s">
        <v>115</v>
      </c>
      <c r="F973" s="182" t="s">
        <v>175</v>
      </c>
      <c r="G973" s="179" t="s">
        <v>213</v>
      </c>
      <c r="H973" s="160">
        <v>570</v>
      </c>
      <c r="I973" s="160" t="s">
        <v>502</v>
      </c>
      <c r="J973" s="160" t="s">
        <v>1365</v>
      </c>
      <c r="K973" s="181" t="s">
        <v>15</v>
      </c>
      <c r="L973" s="93" t="s">
        <v>3035</v>
      </c>
      <c r="M973" s="94" t="s">
        <v>3313</v>
      </c>
      <c r="N973" s="95" t="s">
        <v>2869</v>
      </c>
      <c r="O973" s="160">
        <v>19</v>
      </c>
      <c r="P973" s="97">
        <f>600/48*O973</f>
        <v>237.5</v>
      </c>
      <c r="Q973" s="126" t="s">
        <v>1443</v>
      </c>
      <c r="R973" s="160">
        <v>3.8</v>
      </c>
      <c r="S973" s="175"/>
      <c r="T973" s="131"/>
      <c r="U973" s="157">
        <f>R973*P973+350/488*O973</f>
        <v>916.12704918032784</v>
      </c>
      <c r="V973" s="100">
        <f t="shared" ref="V973:V1036" si="244">U973/H973</f>
        <v>1.6072404371584699</v>
      </c>
      <c r="W973" s="101">
        <f t="shared" ref="W973:W1036" si="245">V973/7</f>
        <v>0.22960577673692426</v>
      </c>
      <c r="X973" s="108"/>
      <c r="Y973" s="175"/>
      <c r="Z973" s="104"/>
      <c r="AA973" s="118">
        <v>45898</v>
      </c>
      <c r="AB973" s="118">
        <v>45922</v>
      </c>
      <c r="AC973" s="118"/>
      <c r="AD973" s="104">
        <f>IF(ISNA(VLOOKUP(D973,亚马逊入库配置费!B:F,5,0)),0,VLOOKUP(D973,亚马逊入库配置费!B:F,5,0))</f>
        <v>0.425075987841945</v>
      </c>
      <c r="AE973" s="104">
        <f t="shared" si="238"/>
        <v>242.29331306990866</v>
      </c>
      <c r="AF973" s="118">
        <v>45935</v>
      </c>
      <c r="AG973" s="90">
        <f t="shared" si="239"/>
        <v>37</v>
      </c>
      <c r="AH973" s="118">
        <v>45935</v>
      </c>
      <c r="AI973" s="118">
        <v>45965</v>
      </c>
      <c r="AJ973" s="158">
        <v>570</v>
      </c>
      <c r="AK973" s="91">
        <f t="shared" si="240"/>
        <v>30</v>
      </c>
      <c r="AL973" s="96">
        <f t="shared" si="241"/>
        <v>67</v>
      </c>
      <c r="AM973" s="110"/>
      <c r="AN973" s="90"/>
      <c r="AO973" s="90"/>
    </row>
    <row r="974" spans="1:41" ht="14.5" x14ac:dyDescent="0.25">
      <c r="A974" s="110" t="s">
        <v>1696</v>
      </c>
      <c r="B974" s="90"/>
      <c r="C974" s="160" t="s">
        <v>1661</v>
      </c>
      <c r="D974" s="181" t="s">
        <v>1693</v>
      </c>
      <c r="E974" s="182" t="s">
        <v>115</v>
      </c>
      <c r="F974" s="182" t="s">
        <v>175</v>
      </c>
      <c r="G974" s="179" t="s">
        <v>614</v>
      </c>
      <c r="H974" s="160">
        <v>72</v>
      </c>
      <c r="I974" s="160" t="s">
        <v>502</v>
      </c>
      <c r="J974" s="160" t="s">
        <v>1365</v>
      </c>
      <c r="K974" s="181" t="s">
        <v>15</v>
      </c>
      <c r="L974" s="93" t="s">
        <v>2695</v>
      </c>
      <c r="M974" s="94" t="s">
        <v>3215</v>
      </c>
      <c r="N974" s="95" t="s">
        <v>2822</v>
      </c>
      <c r="O974" s="160">
        <v>2</v>
      </c>
      <c r="P974" s="97">
        <f>600/48*O974</f>
        <v>25</v>
      </c>
      <c r="Q974" s="126" t="s">
        <v>1443</v>
      </c>
      <c r="R974" s="160">
        <v>3.8</v>
      </c>
      <c r="S974" s="175"/>
      <c r="T974" s="131"/>
      <c r="U974" s="157">
        <f>R974*P974+350/488*O974</f>
        <v>96.43442622950819</v>
      </c>
      <c r="V974" s="100">
        <f t="shared" si="244"/>
        <v>1.3393670309653916</v>
      </c>
      <c r="W974" s="101">
        <f t="shared" si="245"/>
        <v>0.19133814728077023</v>
      </c>
      <c r="X974" s="108"/>
      <c r="Y974" s="175"/>
      <c r="Z974" s="104"/>
      <c r="AA974" s="118">
        <v>45898</v>
      </c>
      <c r="AB974" s="118">
        <v>45922</v>
      </c>
      <c r="AC974" s="118"/>
      <c r="AD974" s="104">
        <f>IF(ISNA(VLOOKUP(D974,亚马逊入库配置费!B:F,5,0)),0,VLOOKUP(D974,亚马逊入库配置费!B:F,5,0))</f>
        <v>0.425075987841945</v>
      </c>
      <c r="AE974" s="104">
        <f t="shared" si="238"/>
        <v>30.605471124620038</v>
      </c>
      <c r="AF974" s="118">
        <v>45935</v>
      </c>
      <c r="AG974" s="90">
        <f t="shared" si="239"/>
        <v>37</v>
      </c>
      <c r="AH974" s="118">
        <v>45935</v>
      </c>
      <c r="AI974" s="118">
        <v>45965</v>
      </c>
      <c r="AJ974" s="158">
        <v>71</v>
      </c>
      <c r="AK974" s="91">
        <f t="shared" si="240"/>
        <v>30</v>
      </c>
      <c r="AL974" s="96">
        <f t="shared" si="241"/>
        <v>67</v>
      </c>
      <c r="AM974" s="110"/>
      <c r="AN974" s="90"/>
      <c r="AO974" s="90"/>
    </row>
    <row r="975" spans="1:41" ht="14.5" x14ac:dyDescent="0.25">
      <c r="A975" s="110" t="s">
        <v>1697</v>
      </c>
      <c r="B975" s="90"/>
      <c r="C975" s="160" t="s">
        <v>1661</v>
      </c>
      <c r="D975" s="181" t="s">
        <v>1693</v>
      </c>
      <c r="E975" s="182" t="s">
        <v>115</v>
      </c>
      <c r="F975" s="182" t="s">
        <v>175</v>
      </c>
      <c r="G975" s="179" t="s">
        <v>594</v>
      </c>
      <c r="H975" s="160">
        <v>108</v>
      </c>
      <c r="I975" s="160" t="s">
        <v>502</v>
      </c>
      <c r="J975" s="160" t="s">
        <v>1365</v>
      </c>
      <c r="K975" s="181" t="s">
        <v>15</v>
      </c>
      <c r="L975" s="93" t="s">
        <v>2694</v>
      </c>
      <c r="M975" s="94" t="s">
        <v>3214</v>
      </c>
      <c r="N975" s="95" t="s">
        <v>2822</v>
      </c>
      <c r="O975" s="160">
        <v>3</v>
      </c>
      <c r="P975" s="97">
        <f>600/48*O975</f>
        <v>37.5</v>
      </c>
      <c r="Q975" s="126" t="s">
        <v>1443</v>
      </c>
      <c r="R975" s="160">
        <v>3.8</v>
      </c>
      <c r="S975" s="175"/>
      <c r="T975" s="131"/>
      <c r="U975" s="157">
        <f>R975*P975+350/488*O975</f>
        <v>144.65163934426229</v>
      </c>
      <c r="V975" s="100">
        <f t="shared" si="244"/>
        <v>1.3393670309653916</v>
      </c>
      <c r="W975" s="101">
        <f t="shared" si="245"/>
        <v>0.19133814728077023</v>
      </c>
      <c r="X975" s="108"/>
      <c r="Y975" s="175"/>
      <c r="Z975" s="104"/>
      <c r="AA975" s="118">
        <v>45898</v>
      </c>
      <c r="AB975" s="118">
        <v>45922</v>
      </c>
      <c r="AC975" s="118"/>
      <c r="AD975" s="104">
        <f>IF(ISNA(VLOOKUP(D975,亚马逊入库配置费!B:F,5,0)),0,VLOOKUP(D975,亚马逊入库配置费!B:F,5,0))</f>
        <v>0.425075987841945</v>
      </c>
      <c r="AE975" s="104">
        <f t="shared" si="238"/>
        <v>45.908206686930058</v>
      </c>
      <c r="AF975" s="118">
        <v>45935</v>
      </c>
      <c r="AG975" s="90">
        <f t="shared" si="239"/>
        <v>37</v>
      </c>
      <c r="AH975" s="118">
        <v>45935</v>
      </c>
      <c r="AI975" s="118">
        <v>45965</v>
      </c>
      <c r="AJ975" s="158">
        <v>108</v>
      </c>
      <c r="AK975" s="91">
        <f t="shared" si="240"/>
        <v>30</v>
      </c>
      <c r="AL975" s="96">
        <f t="shared" si="241"/>
        <v>67</v>
      </c>
      <c r="AM975" s="110"/>
      <c r="AN975" s="90"/>
      <c r="AO975" s="90"/>
    </row>
    <row r="976" spans="1:41" ht="14.5" x14ac:dyDescent="0.25">
      <c r="A976" s="110" t="s">
        <v>1698</v>
      </c>
      <c r="B976" s="90"/>
      <c r="C976" s="160" t="s">
        <v>1563</v>
      </c>
      <c r="D976" s="181" t="s">
        <v>1699</v>
      </c>
      <c r="E976" s="182" t="s">
        <v>115</v>
      </c>
      <c r="F976" s="182" t="s">
        <v>175</v>
      </c>
      <c r="G976" s="179" t="s">
        <v>316</v>
      </c>
      <c r="H976" s="160">
        <v>360</v>
      </c>
      <c r="I976" s="160" t="s">
        <v>1234</v>
      </c>
      <c r="J976" s="160" t="s">
        <v>1365</v>
      </c>
      <c r="K976" s="181" t="s">
        <v>14</v>
      </c>
      <c r="L976" s="93" t="s">
        <v>3046</v>
      </c>
      <c r="M976" s="94" t="s">
        <v>3333</v>
      </c>
      <c r="N976" s="95" t="s">
        <v>3042</v>
      </c>
      <c r="O976" s="174">
        <v>4</v>
      </c>
      <c r="P976" s="97">
        <f t="shared" ref="P976:P981" si="246">1.51/28*O976</f>
        <v>0.21571428571428572</v>
      </c>
      <c r="Q976" s="174" t="s">
        <v>3430</v>
      </c>
      <c r="R976" s="174">
        <v>1600</v>
      </c>
      <c r="S976" s="175"/>
      <c r="T976" s="131"/>
      <c r="U976" s="157">
        <f>R976*P976</f>
        <v>345.14285714285717</v>
      </c>
      <c r="V976" s="100">
        <f t="shared" si="244"/>
        <v>0.95873015873015877</v>
      </c>
      <c r="W976" s="101">
        <f t="shared" si="245"/>
        <v>0.13696145124716555</v>
      </c>
      <c r="X976" s="108"/>
      <c r="Y976" s="175"/>
      <c r="Z976" s="104"/>
      <c r="AA976" s="118">
        <v>45898</v>
      </c>
      <c r="AB976" s="103">
        <v>45917</v>
      </c>
      <c r="AC976" s="118"/>
      <c r="AD976" s="104">
        <f>IF(ISNA(VLOOKUP(D976,亚马逊入库配置费!B:F,5,0)),0,VLOOKUP(D976,亚马逊入库配置费!B:F,5,0))</f>
        <v>0.34</v>
      </c>
      <c r="AE976" s="104">
        <f t="shared" si="238"/>
        <v>122.4</v>
      </c>
      <c r="AF976" s="118">
        <v>45927</v>
      </c>
      <c r="AG976" s="90">
        <f t="shared" si="239"/>
        <v>29</v>
      </c>
      <c r="AH976" s="118">
        <v>45927</v>
      </c>
      <c r="AI976" s="118">
        <v>45957</v>
      </c>
      <c r="AJ976" s="158">
        <v>363</v>
      </c>
      <c r="AK976" s="91">
        <f t="shared" si="240"/>
        <v>30</v>
      </c>
      <c r="AL976" s="96">
        <f t="shared" si="241"/>
        <v>59</v>
      </c>
      <c r="AM976" s="110"/>
      <c r="AN976" s="90"/>
      <c r="AO976" s="90"/>
    </row>
    <row r="977" spans="1:41" ht="14.5" x14ac:dyDescent="0.25">
      <c r="A977" s="110" t="s">
        <v>1700</v>
      </c>
      <c r="B977" s="90"/>
      <c r="C977" s="160" t="s">
        <v>1563</v>
      </c>
      <c r="D977" s="181" t="s">
        <v>1699</v>
      </c>
      <c r="E977" s="182" t="s">
        <v>115</v>
      </c>
      <c r="F977" s="182" t="s">
        <v>175</v>
      </c>
      <c r="G977" s="179" t="s">
        <v>650</v>
      </c>
      <c r="H977" s="160">
        <v>90</v>
      </c>
      <c r="I977" s="160" t="s">
        <v>1234</v>
      </c>
      <c r="J977" s="160" t="s">
        <v>1365</v>
      </c>
      <c r="K977" s="181" t="s">
        <v>14</v>
      </c>
      <c r="L977" s="93" t="s">
        <v>3078</v>
      </c>
      <c r="M977" s="94" t="s">
        <v>3381</v>
      </c>
      <c r="N977" s="95" t="s">
        <v>3042</v>
      </c>
      <c r="O977" s="174">
        <v>1</v>
      </c>
      <c r="P977" s="97">
        <f t="shared" si="246"/>
        <v>5.392857142857143E-2</v>
      </c>
      <c r="Q977" s="174" t="s">
        <v>3430</v>
      </c>
      <c r="R977" s="174">
        <v>1600</v>
      </c>
      <c r="S977" s="175"/>
      <c r="T977" s="131"/>
      <c r="U977" s="157">
        <f t="shared" ref="U977:U981" si="247">R977*P977</f>
        <v>86.285714285714292</v>
      </c>
      <c r="V977" s="100">
        <f t="shared" si="244"/>
        <v>0.95873015873015877</v>
      </c>
      <c r="W977" s="101">
        <f t="shared" si="245"/>
        <v>0.13696145124716555</v>
      </c>
      <c r="X977" s="108"/>
      <c r="Y977" s="175"/>
      <c r="Z977" s="104"/>
      <c r="AA977" s="118">
        <v>45898</v>
      </c>
      <c r="AB977" s="103">
        <v>45917</v>
      </c>
      <c r="AC977" s="118"/>
      <c r="AD977" s="104">
        <f>IF(ISNA(VLOOKUP(D977,亚马逊入库配置费!B:F,5,0)),0,VLOOKUP(D977,亚马逊入库配置费!B:F,5,0))</f>
        <v>0.34</v>
      </c>
      <c r="AE977" s="104">
        <f t="shared" si="238"/>
        <v>30.6</v>
      </c>
      <c r="AF977" s="118">
        <v>45927</v>
      </c>
      <c r="AG977" s="90">
        <f t="shared" si="239"/>
        <v>29</v>
      </c>
      <c r="AH977" s="118">
        <v>45927</v>
      </c>
      <c r="AI977" s="118">
        <v>45957</v>
      </c>
      <c r="AJ977" s="158">
        <v>90</v>
      </c>
      <c r="AK977" s="91">
        <f t="shared" si="240"/>
        <v>30</v>
      </c>
      <c r="AL977" s="96">
        <f t="shared" si="241"/>
        <v>59</v>
      </c>
      <c r="AM977" s="110"/>
      <c r="AN977" s="90"/>
      <c r="AO977" s="90"/>
    </row>
    <row r="978" spans="1:41" ht="14.5" x14ac:dyDescent="0.25">
      <c r="A978" s="110" t="s">
        <v>1701</v>
      </c>
      <c r="B978" s="90"/>
      <c r="C978" s="160" t="s">
        <v>1563</v>
      </c>
      <c r="D978" s="181" t="s">
        <v>1702</v>
      </c>
      <c r="E978" s="182" t="s">
        <v>97</v>
      </c>
      <c r="F978" s="182" t="s">
        <v>175</v>
      </c>
      <c r="G978" s="179" t="s">
        <v>316</v>
      </c>
      <c r="H978" s="160">
        <v>1530</v>
      </c>
      <c r="I978" s="160" t="s">
        <v>1234</v>
      </c>
      <c r="J978" s="160" t="s">
        <v>1365</v>
      </c>
      <c r="K978" s="181" t="s">
        <v>14</v>
      </c>
      <c r="L978" s="93" t="s">
        <v>3046</v>
      </c>
      <c r="M978" s="94" t="s">
        <v>3333</v>
      </c>
      <c r="N978" s="95" t="s">
        <v>3042</v>
      </c>
      <c r="O978" s="174">
        <v>17</v>
      </c>
      <c r="P978" s="97">
        <f t="shared" si="246"/>
        <v>0.91678571428571431</v>
      </c>
      <c r="Q978" s="174" t="s">
        <v>3430</v>
      </c>
      <c r="R978" s="174">
        <v>1600</v>
      </c>
      <c r="S978" s="175"/>
      <c r="T978" s="131"/>
      <c r="U978" s="157">
        <f t="shared" si="247"/>
        <v>1466.8571428571429</v>
      </c>
      <c r="V978" s="100">
        <f t="shared" si="244"/>
        <v>0.95873015873015877</v>
      </c>
      <c r="W978" s="101">
        <f t="shared" si="245"/>
        <v>0.13696145124716555</v>
      </c>
      <c r="X978" s="108"/>
      <c r="Y978" s="175"/>
      <c r="Z978" s="104"/>
      <c r="AA978" s="118">
        <v>45898</v>
      </c>
      <c r="AB978" s="103">
        <v>45917</v>
      </c>
      <c r="AC978" s="118"/>
      <c r="AD978" s="104">
        <f>IF(ISNA(VLOOKUP(D978,亚马逊入库配置费!B:F,5,0)),0,VLOOKUP(D978,亚马逊入库配置费!B:F,5,0))</f>
        <v>0.34</v>
      </c>
      <c r="AE978" s="104">
        <f t="shared" si="238"/>
        <v>520.20000000000005</v>
      </c>
      <c r="AF978" s="118">
        <v>45927</v>
      </c>
      <c r="AG978" s="90">
        <f t="shared" si="239"/>
        <v>29</v>
      </c>
      <c r="AH978" s="118">
        <v>45927</v>
      </c>
      <c r="AI978" s="118">
        <v>45958</v>
      </c>
      <c r="AJ978" s="158">
        <v>1521</v>
      </c>
      <c r="AK978" s="91">
        <f t="shared" si="240"/>
        <v>31</v>
      </c>
      <c r="AL978" s="96">
        <f t="shared" si="241"/>
        <v>60</v>
      </c>
      <c r="AM978" s="110"/>
      <c r="AN978" s="90"/>
      <c r="AO978" s="90"/>
    </row>
    <row r="979" spans="1:41" ht="14.5" x14ac:dyDescent="0.25">
      <c r="A979" s="110" t="s">
        <v>1703</v>
      </c>
      <c r="B979" s="90"/>
      <c r="C979" s="160" t="s">
        <v>1563</v>
      </c>
      <c r="D979" s="181" t="s">
        <v>1702</v>
      </c>
      <c r="E979" s="182" t="s">
        <v>97</v>
      </c>
      <c r="F979" s="182" t="s">
        <v>175</v>
      </c>
      <c r="G979" s="179" t="s">
        <v>1057</v>
      </c>
      <c r="H979" s="160">
        <v>90</v>
      </c>
      <c r="I979" s="160" t="s">
        <v>1234</v>
      </c>
      <c r="J979" s="160" t="s">
        <v>1365</v>
      </c>
      <c r="K979" s="181" t="s">
        <v>14</v>
      </c>
      <c r="L979" s="93" t="s">
        <v>3091</v>
      </c>
      <c r="M979" s="94" t="s">
        <v>3425</v>
      </c>
      <c r="N979" s="95" t="s">
        <v>3042</v>
      </c>
      <c r="O979" s="174">
        <v>1</v>
      </c>
      <c r="P979" s="97">
        <f t="shared" si="246"/>
        <v>5.392857142857143E-2</v>
      </c>
      <c r="Q979" s="174" t="s">
        <v>3430</v>
      </c>
      <c r="R979" s="174">
        <v>1600</v>
      </c>
      <c r="S979" s="175"/>
      <c r="T979" s="131"/>
      <c r="U979" s="157">
        <f t="shared" si="247"/>
        <v>86.285714285714292</v>
      </c>
      <c r="V979" s="100">
        <f t="shared" si="244"/>
        <v>0.95873015873015877</v>
      </c>
      <c r="W979" s="101">
        <f t="shared" si="245"/>
        <v>0.13696145124716555</v>
      </c>
      <c r="X979" s="108"/>
      <c r="Y979" s="175"/>
      <c r="Z979" s="104"/>
      <c r="AA979" s="118">
        <v>45898</v>
      </c>
      <c r="AB979" s="103">
        <v>45917</v>
      </c>
      <c r="AC979" s="118"/>
      <c r="AD979" s="104">
        <f>IF(ISNA(VLOOKUP(D979,亚马逊入库配置费!B:F,5,0)),0,VLOOKUP(D979,亚马逊入库配置费!B:F,5,0))</f>
        <v>0.34</v>
      </c>
      <c r="AE979" s="104">
        <f t="shared" si="238"/>
        <v>30.6</v>
      </c>
      <c r="AF979" s="118">
        <v>45927</v>
      </c>
      <c r="AG979" s="90">
        <f t="shared" si="239"/>
        <v>29</v>
      </c>
      <c r="AH979" s="118">
        <v>45927</v>
      </c>
      <c r="AI979" s="118">
        <v>45958</v>
      </c>
      <c r="AJ979" s="158">
        <v>87</v>
      </c>
      <c r="AK979" s="91">
        <f t="shared" si="240"/>
        <v>31</v>
      </c>
      <c r="AL979" s="96">
        <f t="shared" si="241"/>
        <v>60</v>
      </c>
      <c r="AM979" s="110"/>
      <c r="AN979" s="90"/>
      <c r="AO979" s="90"/>
    </row>
    <row r="980" spans="1:41" ht="14.5" x14ac:dyDescent="0.25">
      <c r="A980" s="110" t="s">
        <v>1704</v>
      </c>
      <c r="B980" s="90"/>
      <c r="C980" s="160" t="s">
        <v>1563</v>
      </c>
      <c r="D980" s="181" t="s">
        <v>1702</v>
      </c>
      <c r="E980" s="182" t="s">
        <v>97</v>
      </c>
      <c r="F980" s="182" t="s">
        <v>175</v>
      </c>
      <c r="G980" s="179" t="s">
        <v>650</v>
      </c>
      <c r="H980" s="160">
        <v>180</v>
      </c>
      <c r="I980" s="160" t="s">
        <v>1234</v>
      </c>
      <c r="J980" s="160" t="s">
        <v>1365</v>
      </c>
      <c r="K980" s="181" t="s">
        <v>14</v>
      </c>
      <c r="L980" s="93" t="s">
        <v>3078</v>
      </c>
      <c r="M980" s="94" t="s">
        <v>3381</v>
      </c>
      <c r="N980" s="95" t="s">
        <v>3042</v>
      </c>
      <c r="O980" s="174">
        <v>2</v>
      </c>
      <c r="P980" s="97">
        <f t="shared" si="246"/>
        <v>0.10785714285714286</v>
      </c>
      <c r="Q980" s="174" t="s">
        <v>3430</v>
      </c>
      <c r="R980" s="174">
        <v>1600</v>
      </c>
      <c r="S980" s="175"/>
      <c r="T980" s="131"/>
      <c r="U980" s="157">
        <f t="shared" si="247"/>
        <v>172.57142857142858</v>
      </c>
      <c r="V980" s="100">
        <f t="shared" si="244"/>
        <v>0.95873015873015877</v>
      </c>
      <c r="W980" s="101">
        <f t="shared" si="245"/>
        <v>0.13696145124716555</v>
      </c>
      <c r="X980" s="108"/>
      <c r="Y980" s="175"/>
      <c r="Z980" s="104"/>
      <c r="AA980" s="118">
        <v>45898</v>
      </c>
      <c r="AB980" s="103">
        <v>45917</v>
      </c>
      <c r="AC980" s="118"/>
      <c r="AD980" s="104">
        <f>IF(ISNA(VLOOKUP(D980,亚马逊入库配置费!B:F,5,0)),0,VLOOKUP(D980,亚马逊入库配置费!B:F,5,0))</f>
        <v>0.34</v>
      </c>
      <c r="AE980" s="104">
        <f t="shared" si="238"/>
        <v>61.2</v>
      </c>
      <c r="AF980" s="118">
        <v>45927</v>
      </c>
      <c r="AG980" s="90">
        <f t="shared" si="239"/>
        <v>29</v>
      </c>
      <c r="AH980" s="118">
        <v>45927</v>
      </c>
      <c r="AI980" s="118">
        <v>45958</v>
      </c>
      <c r="AJ980" s="158">
        <v>178</v>
      </c>
      <c r="AK980" s="91">
        <f t="shared" si="240"/>
        <v>31</v>
      </c>
      <c r="AL980" s="96">
        <f t="shared" si="241"/>
        <v>60</v>
      </c>
      <c r="AM980" s="110"/>
      <c r="AN980" s="90"/>
      <c r="AO980" s="90"/>
    </row>
    <row r="981" spans="1:41" ht="14.5" x14ac:dyDescent="0.25">
      <c r="A981" s="110" t="s">
        <v>1705</v>
      </c>
      <c r="B981" s="90"/>
      <c r="C981" s="160" t="s">
        <v>1563</v>
      </c>
      <c r="D981" s="181" t="s">
        <v>1702</v>
      </c>
      <c r="E981" s="182" t="s">
        <v>97</v>
      </c>
      <c r="F981" s="182" t="s">
        <v>175</v>
      </c>
      <c r="G981" s="179" t="s">
        <v>526</v>
      </c>
      <c r="H981" s="160">
        <v>270</v>
      </c>
      <c r="I981" s="160" t="s">
        <v>1234</v>
      </c>
      <c r="J981" s="160" t="s">
        <v>1365</v>
      </c>
      <c r="K981" s="181" t="s">
        <v>14</v>
      </c>
      <c r="L981" s="93" t="s">
        <v>3069</v>
      </c>
      <c r="M981" s="94" t="s">
        <v>3367</v>
      </c>
      <c r="N981" s="95" t="s">
        <v>3042</v>
      </c>
      <c r="O981" s="174">
        <v>3</v>
      </c>
      <c r="P981" s="97">
        <f t="shared" si="246"/>
        <v>0.16178571428571428</v>
      </c>
      <c r="Q981" s="174" t="s">
        <v>3430</v>
      </c>
      <c r="R981" s="174">
        <v>1600</v>
      </c>
      <c r="S981" s="175"/>
      <c r="T981" s="131"/>
      <c r="U981" s="157">
        <f t="shared" si="247"/>
        <v>258.85714285714283</v>
      </c>
      <c r="V981" s="100">
        <f t="shared" si="244"/>
        <v>0.95873015873015865</v>
      </c>
      <c r="W981" s="101">
        <f t="shared" si="245"/>
        <v>0.13696145124716552</v>
      </c>
      <c r="X981" s="108"/>
      <c r="Y981" s="175"/>
      <c r="Z981" s="104"/>
      <c r="AA981" s="118">
        <v>45898</v>
      </c>
      <c r="AB981" s="103">
        <v>45917</v>
      </c>
      <c r="AC981" s="118"/>
      <c r="AD981" s="104">
        <f>IF(ISNA(VLOOKUP(D981,亚马逊入库配置费!B:F,5,0)),0,VLOOKUP(D981,亚马逊入库配置费!B:F,5,0))</f>
        <v>0.34</v>
      </c>
      <c r="AE981" s="104">
        <f t="shared" si="238"/>
        <v>91.800000000000011</v>
      </c>
      <c r="AF981" s="118">
        <v>45927</v>
      </c>
      <c r="AG981" s="90">
        <f t="shared" si="239"/>
        <v>29</v>
      </c>
      <c r="AH981" s="118">
        <v>45927</v>
      </c>
      <c r="AI981" s="118">
        <v>45958</v>
      </c>
      <c r="AJ981" s="158">
        <v>272</v>
      </c>
      <c r="AK981" s="91">
        <f t="shared" si="240"/>
        <v>31</v>
      </c>
      <c r="AL981" s="96">
        <f t="shared" si="241"/>
        <v>60</v>
      </c>
      <c r="AM981" s="110"/>
      <c r="AN981" s="90"/>
      <c r="AO981" s="90"/>
    </row>
    <row r="982" spans="1:41" ht="14.5" x14ac:dyDescent="0.25">
      <c r="A982" s="110" t="s">
        <v>1706</v>
      </c>
      <c r="B982" s="90"/>
      <c r="C982" s="160" t="s">
        <v>1661</v>
      </c>
      <c r="D982" s="181" t="s">
        <v>1707</v>
      </c>
      <c r="E982" s="182" t="s">
        <v>287</v>
      </c>
      <c r="F982" s="182" t="s">
        <v>175</v>
      </c>
      <c r="G982" s="179" t="s">
        <v>282</v>
      </c>
      <c r="H982" s="160">
        <v>240</v>
      </c>
      <c r="I982" s="160" t="s">
        <v>502</v>
      </c>
      <c r="J982" s="160" t="s">
        <v>1365</v>
      </c>
      <c r="K982" s="181" t="s">
        <v>15</v>
      </c>
      <c r="L982" s="93" t="s">
        <v>2783</v>
      </c>
      <c r="M982" s="94" t="s">
        <v>3322</v>
      </c>
      <c r="N982" s="95" t="s">
        <v>2785</v>
      </c>
      <c r="O982" s="160">
        <v>15</v>
      </c>
      <c r="P982" s="97">
        <f>867/59*O982</f>
        <v>220.42372881355934</v>
      </c>
      <c r="Q982" s="126" t="s">
        <v>1443</v>
      </c>
      <c r="R982" s="160">
        <v>3.8</v>
      </c>
      <c r="S982" s="175"/>
      <c r="T982" s="131"/>
      <c r="U982" s="157">
        <f t="shared" ref="U982:U989" si="248">R982*P982+350/488*O982</f>
        <v>848.36836621283692</v>
      </c>
      <c r="V982" s="100">
        <f t="shared" si="244"/>
        <v>3.5348681925534873</v>
      </c>
      <c r="W982" s="101">
        <f t="shared" si="245"/>
        <v>0.50498117036478385</v>
      </c>
      <c r="X982" s="108"/>
      <c r="Y982" s="175"/>
      <c r="Z982" s="104"/>
      <c r="AA982" s="118">
        <v>45898</v>
      </c>
      <c r="AB982" s="118">
        <v>45922</v>
      </c>
      <c r="AC982" s="118"/>
      <c r="AD982" s="104">
        <f>IF(ISNA(VLOOKUP(D982,亚马逊入库配置费!B:F,5,0)),0,VLOOKUP(D982,亚马逊入库配置费!B:F,5,0))</f>
        <v>0.49</v>
      </c>
      <c r="AE982" s="104">
        <f t="shared" si="238"/>
        <v>117.6</v>
      </c>
      <c r="AF982" s="118">
        <v>45935</v>
      </c>
      <c r="AG982" s="90">
        <f t="shared" si="239"/>
        <v>37</v>
      </c>
      <c r="AH982" s="118">
        <v>45935</v>
      </c>
      <c r="AI982" s="118">
        <v>45966</v>
      </c>
      <c r="AJ982" s="158">
        <v>240</v>
      </c>
      <c r="AK982" s="91">
        <f t="shared" si="240"/>
        <v>31</v>
      </c>
      <c r="AL982" s="96">
        <f t="shared" si="241"/>
        <v>68</v>
      </c>
      <c r="AM982" s="110"/>
      <c r="AN982" s="90"/>
      <c r="AO982" s="90"/>
    </row>
    <row r="983" spans="1:41" ht="14.5" x14ac:dyDescent="0.25">
      <c r="A983" s="110" t="s">
        <v>1708</v>
      </c>
      <c r="B983" s="90"/>
      <c r="C983" s="160" t="s">
        <v>1661</v>
      </c>
      <c r="D983" s="181" t="s">
        <v>1707</v>
      </c>
      <c r="E983" s="182" t="s">
        <v>287</v>
      </c>
      <c r="F983" s="182" t="s">
        <v>175</v>
      </c>
      <c r="G983" s="179" t="s">
        <v>279</v>
      </c>
      <c r="H983" s="160">
        <v>96</v>
      </c>
      <c r="I983" s="160" t="s">
        <v>502</v>
      </c>
      <c r="J983" s="160" t="s">
        <v>1365</v>
      </c>
      <c r="K983" s="181" t="s">
        <v>15</v>
      </c>
      <c r="L983" s="93" t="s">
        <v>3038</v>
      </c>
      <c r="M983" s="94" t="s">
        <v>3321</v>
      </c>
      <c r="N983" s="95" t="s">
        <v>2785</v>
      </c>
      <c r="O983" s="160">
        <v>6</v>
      </c>
      <c r="P983" s="97">
        <f>867/59*O983</f>
        <v>88.169491525423737</v>
      </c>
      <c r="Q983" s="126" t="s">
        <v>1443</v>
      </c>
      <c r="R983" s="160">
        <v>3.8</v>
      </c>
      <c r="S983" s="175"/>
      <c r="T983" s="131"/>
      <c r="U983" s="157">
        <f t="shared" si="248"/>
        <v>339.34734648513478</v>
      </c>
      <c r="V983" s="100">
        <f t="shared" si="244"/>
        <v>3.5348681925534873</v>
      </c>
      <c r="W983" s="101">
        <f t="shared" si="245"/>
        <v>0.50498117036478385</v>
      </c>
      <c r="X983" s="108"/>
      <c r="Y983" s="175"/>
      <c r="Z983" s="104"/>
      <c r="AA983" s="118">
        <v>45898</v>
      </c>
      <c r="AB983" s="118">
        <v>45922</v>
      </c>
      <c r="AC983" s="118"/>
      <c r="AD983" s="104">
        <f>IF(ISNA(VLOOKUP(D983,亚马逊入库配置费!B:F,5,0)),0,VLOOKUP(D983,亚马逊入库配置费!B:F,5,0))</f>
        <v>0.49</v>
      </c>
      <c r="AE983" s="104">
        <f t="shared" si="238"/>
        <v>47.04</v>
      </c>
      <c r="AF983" s="118">
        <v>45935</v>
      </c>
      <c r="AG983" s="90">
        <f t="shared" si="239"/>
        <v>37</v>
      </c>
      <c r="AH983" s="118">
        <v>45935</v>
      </c>
      <c r="AI983" s="118">
        <v>45966</v>
      </c>
      <c r="AJ983" s="158">
        <v>96</v>
      </c>
      <c r="AK983" s="91">
        <f t="shared" si="240"/>
        <v>31</v>
      </c>
      <c r="AL983" s="96">
        <f t="shared" si="241"/>
        <v>68</v>
      </c>
      <c r="AM983" s="110"/>
      <c r="AN983" s="90"/>
      <c r="AO983" s="90"/>
    </row>
    <row r="984" spans="1:41" ht="14.5" x14ac:dyDescent="0.25">
      <c r="A984" s="110" t="s">
        <v>1709</v>
      </c>
      <c r="B984" s="90"/>
      <c r="C984" s="160" t="s">
        <v>1661</v>
      </c>
      <c r="D984" s="181" t="s">
        <v>1707</v>
      </c>
      <c r="E984" s="182" t="s">
        <v>287</v>
      </c>
      <c r="F984" s="182" t="s">
        <v>175</v>
      </c>
      <c r="G984" s="179" t="s">
        <v>284</v>
      </c>
      <c r="H984" s="160">
        <v>400</v>
      </c>
      <c r="I984" s="160" t="s">
        <v>502</v>
      </c>
      <c r="J984" s="160" t="s">
        <v>1365</v>
      </c>
      <c r="K984" s="181" t="s">
        <v>15</v>
      </c>
      <c r="L984" s="93" t="s">
        <v>3039</v>
      </c>
      <c r="M984" s="94" t="s">
        <v>3323</v>
      </c>
      <c r="N984" s="95" t="s">
        <v>2915</v>
      </c>
      <c r="O984" s="160">
        <v>25</v>
      </c>
      <c r="P984" s="97">
        <f>867/59*O984</f>
        <v>367.37288135593224</v>
      </c>
      <c r="Q984" s="126" t="s">
        <v>1443</v>
      </c>
      <c r="R984" s="160">
        <v>3.8</v>
      </c>
      <c r="S984" s="175"/>
      <c r="T984" s="131"/>
      <c r="U984" s="157">
        <f t="shared" si="248"/>
        <v>1413.9472770213947</v>
      </c>
      <c r="V984" s="100">
        <f t="shared" si="244"/>
        <v>3.5348681925534868</v>
      </c>
      <c r="W984" s="101">
        <f t="shared" si="245"/>
        <v>0.50498117036478385</v>
      </c>
      <c r="X984" s="108"/>
      <c r="Y984" s="175"/>
      <c r="Z984" s="104"/>
      <c r="AA984" s="118">
        <v>45898</v>
      </c>
      <c r="AB984" s="118">
        <v>45922</v>
      </c>
      <c r="AC984" s="118"/>
      <c r="AD984" s="104">
        <f>IF(ISNA(VLOOKUP(D984,亚马逊入库配置费!B:F,5,0)),0,VLOOKUP(D984,亚马逊入库配置费!B:F,5,0))</f>
        <v>0.49</v>
      </c>
      <c r="AE984" s="104">
        <f t="shared" si="238"/>
        <v>196</v>
      </c>
      <c r="AF984" s="118">
        <v>45935</v>
      </c>
      <c r="AG984" s="90">
        <f t="shared" si="239"/>
        <v>37</v>
      </c>
      <c r="AH984" s="118">
        <v>45935</v>
      </c>
      <c r="AI984" s="118">
        <v>45966</v>
      </c>
      <c r="AJ984" s="158">
        <v>400</v>
      </c>
      <c r="AK984" s="91">
        <f t="shared" si="240"/>
        <v>31</v>
      </c>
      <c r="AL984" s="96">
        <f t="shared" si="241"/>
        <v>68</v>
      </c>
      <c r="AM984" s="110"/>
      <c r="AN984" s="90"/>
      <c r="AO984" s="90"/>
    </row>
    <row r="985" spans="1:41" ht="14.5" x14ac:dyDescent="0.25">
      <c r="A985" s="110" t="s">
        <v>1710</v>
      </c>
      <c r="B985" s="90"/>
      <c r="C985" s="160" t="s">
        <v>1661</v>
      </c>
      <c r="D985" s="181" t="s">
        <v>1707</v>
      </c>
      <c r="E985" s="182" t="s">
        <v>287</v>
      </c>
      <c r="F985" s="182" t="s">
        <v>175</v>
      </c>
      <c r="G985" s="179" t="s">
        <v>663</v>
      </c>
      <c r="H985" s="160">
        <v>128</v>
      </c>
      <c r="I985" s="160" t="s">
        <v>502</v>
      </c>
      <c r="J985" s="160" t="s">
        <v>1365</v>
      </c>
      <c r="K985" s="181" t="s">
        <v>15</v>
      </c>
      <c r="L985" s="93" t="s">
        <v>3080</v>
      </c>
      <c r="M985" s="94" t="s">
        <v>3383</v>
      </c>
      <c r="N985" s="95" t="s">
        <v>2915</v>
      </c>
      <c r="O985" s="160">
        <v>8</v>
      </c>
      <c r="P985" s="97">
        <f>867/59*O985</f>
        <v>117.55932203389831</v>
      </c>
      <c r="Q985" s="126" t="s">
        <v>1443</v>
      </c>
      <c r="R985" s="160">
        <v>3.8</v>
      </c>
      <c r="S985" s="175"/>
      <c r="T985" s="131"/>
      <c r="U985" s="157">
        <f t="shared" si="248"/>
        <v>452.46312864684631</v>
      </c>
      <c r="V985" s="100">
        <f t="shared" si="244"/>
        <v>3.5348681925534868</v>
      </c>
      <c r="W985" s="101">
        <f t="shared" si="245"/>
        <v>0.50498117036478385</v>
      </c>
      <c r="X985" s="108"/>
      <c r="Y985" s="175"/>
      <c r="Z985" s="104"/>
      <c r="AA985" s="118">
        <v>45898</v>
      </c>
      <c r="AB985" s="118">
        <v>45922</v>
      </c>
      <c r="AC985" s="118"/>
      <c r="AD985" s="104">
        <f>IF(ISNA(VLOOKUP(D985,亚马逊入库配置费!B:F,5,0)),0,VLOOKUP(D985,亚马逊入库配置费!B:F,5,0))</f>
        <v>0.49</v>
      </c>
      <c r="AE985" s="104">
        <f t="shared" si="238"/>
        <v>62.72</v>
      </c>
      <c r="AF985" s="118">
        <v>45935</v>
      </c>
      <c r="AG985" s="90">
        <f t="shared" si="239"/>
        <v>37</v>
      </c>
      <c r="AH985" s="118">
        <v>45935</v>
      </c>
      <c r="AI985" s="118">
        <v>45966</v>
      </c>
      <c r="AJ985" s="158">
        <v>128</v>
      </c>
      <c r="AK985" s="91">
        <f t="shared" si="240"/>
        <v>31</v>
      </c>
      <c r="AL985" s="96">
        <f t="shared" si="241"/>
        <v>68</v>
      </c>
      <c r="AM985" s="110"/>
      <c r="AN985" s="90"/>
      <c r="AO985" s="90"/>
    </row>
    <row r="986" spans="1:41" ht="14.5" x14ac:dyDescent="0.25">
      <c r="A986" s="110" t="s">
        <v>1711</v>
      </c>
      <c r="B986" s="90"/>
      <c r="C986" s="160" t="s">
        <v>1661</v>
      </c>
      <c r="D986" s="181" t="s">
        <v>1707</v>
      </c>
      <c r="E986" s="182" t="s">
        <v>287</v>
      </c>
      <c r="F986" s="182" t="s">
        <v>175</v>
      </c>
      <c r="G986" s="179" t="s">
        <v>556</v>
      </c>
      <c r="H986" s="160">
        <v>80</v>
      </c>
      <c r="I986" s="160" t="s">
        <v>502</v>
      </c>
      <c r="J986" s="160" t="s">
        <v>1365</v>
      </c>
      <c r="K986" s="181" t="s">
        <v>15</v>
      </c>
      <c r="L986" s="93" t="s">
        <v>3073</v>
      </c>
      <c r="M986" s="94" t="s">
        <v>3373</v>
      </c>
      <c r="N986" s="95" t="s">
        <v>2915</v>
      </c>
      <c r="O986" s="160">
        <v>5</v>
      </c>
      <c r="P986" s="97">
        <f>867/59*O986</f>
        <v>73.47457627118645</v>
      </c>
      <c r="Q986" s="126" t="s">
        <v>1443</v>
      </c>
      <c r="R986" s="160">
        <v>3.8</v>
      </c>
      <c r="S986" s="175"/>
      <c r="T986" s="131"/>
      <c r="U986" s="157">
        <f t="shared" si="248"/>
        <v>282.78945540427901</v>
      </c>
      <c r="V986" s="100">
        <f t="shared" si="244"/>
        <v>3.5348681925534877</v>
      </c>
      <c r="W986" s="101">
        <f t="shared" si="245"/>
        <v>0.50498117036478396</v>
      </c>
      <c r="X986" s="108"/>
      <c r="Y986" s="175"/>
      <c r="Z986" s="104"/>
      <c r="AA986" s="118">
        <v>45898</v>
      </c>
      <c r="AB986" s="118">
        <v>45922</v>
      </c>
      <c r="AC986" s="118"/>
      <c r="AD986" s="104">
        <f>IF(ISNA(VLOOKUP(D986,亚马逊入库配置费!B:F,5,0)),0,VLOOKUP(D986,亚马逊入库配置费!B:F,5,0))</f>
        <v>0.49</v>
      </c>
      <c r="AE986" s="104">
        <f t="shared" si="238"/>
        <v>39.200000000000003</v>
      </c>
      <c r="AF986" s="118">
        <v>45935</v>
      </c>
      <c r="AG986" s="90">
        <f t="shared" si="239"/>
        <v>37</v>
      </c>
      <c r="AH986" s="118">
        <v>45935</v>
      </c>
      <c r="AI986" s="118">
        <v>45966</v>
      </c>
      <c r="AJ986" s="158">
        <v>80</v>
      </c>
      <c r="AK986" s="91">
        <f t="shared" si="240"/>
        <v>31</v>
      </c>
      <c r="AL986" s="96">
        <f t="shared" si="241"/>
        <v>68</v>
      </c>
      <c r="AM986" s="110"/>
      <c r="AN986" s="90"/>
      <c r="AO986" s="90"/>
    </row>
    <row r="987" spans="1:41" ht="14.5" x14ac:dyDescent="0.25">
      <c r="A987" s="110" t="s">
        <v>1712</v>
      </c>
      <c r="B987" s="90"/>
      <c r="C987" s="160" t="s">
        <v>1661</v>
      </c>
      <c r="D987" s="181" t="s">
        <v>1713</v>
      </c>
      <c r="E987" s="182" t="s">
        <v>97</v>
      </c>
      <c r="F987" s="182" t="s">
        <v>175</v>
      </c>
      <c r="G987" s="179" t="s">
        <v>1330</v>
      </c>
      <c r="H987" s="160">
        <v>300</v>
      </c>
      <c r="I987" s="160" t="s">
        <v>502</v>
      </c>
      <c r="J987" s="160" t="s">
        <v>1365</v>
      </c>
      <c r="K987" s="181" t="s">
        <v>11</v>
      </c>
      <c r="L987" s="93" t="s">
        <v>1330</v>
      </c>
      <c r="M987" s="94" t="s">
        <v>3442</v>
      </c>
      <c r="N987" s="95" t="s">
        <v>3099</v>
      </c>
      <c r="O987" s="160">
        <v>25</v>
      </c>
      <c r="P987" s="97">
        <f>2141/149*O987</f>
        <v>359.2281879194631</v>
      </c>
      <c r="Q987" s="126" t="s">
        <v>1443</v>
      </c>
      <c r="R987" s="160">
        <v>4.5</v>
      </c>
      <c r="S987" s="175"/>
      <c r="T987" s="131"/>
      <c r="U987" s="157">
        <f t="shared" si="248"/>
        <v>1634.4571735064362</v>
      </c>
      <c r="V987" s="100">
        <f t="shared" si="244"/>
        <v>5.4481905783547875</v>
      </c>
      <c r="W987" s="101">
        <f t="shared" si="245"/>
        <v>0.77831293976496962</v>
      </c>
      <c r="X987" s="108"/>
      <c r="Y987" s="175"/>
      <c r="Z987" s="104"/>
      <c r="AA987" s="118">
        <v>45898</v>
      </c>
      <c r="AB987" s="118">
        <v>45922</v>
      </c>
      <c r="AC987" s="118"/>
      <c r="AD987" s="104">
        <f>IF(ISNA(VLOOKUP(D987,亚马逊入库配置费!B:F,5,0)),0,VLOOKUP(D987,亚马逊入库配置费!B:F,5,0))</f>
        <v>0.49</v>
      </c>
      <c r="AE987" s="104">
        <f t="shared" si="238"/>
        <v>147</v>
      </c>
      <c r="AF987" s="118">
        <v>45934</v>
      </c>
      <c r="AG987" s="90">
        <f t="shared" si="239"/>
        <v>36</v>
      </c>
      <c r="AH987" s="118">
        <v>45934</v>
      </c>
      <c r="AI987" s="118">
        <v>45969</v>
      </c>
      <c r="AJ987" s="158">
        <v>310</v>
      </c>
      <c r="AK987" s="91">
        <f t="shared" si="240"/>
        <v>35</v>
      </c>
      <c r="AL987" s="96">
        <f t="shared" si="241"/>
        <v>71</v>
      </c>
      <c r="AM987" s="110"/>
      <c r="AN987" s="90"/>
      <c r="AO987" s="90"/>
    </row>
    <row r="988" spans="1:41" ht="14.5" x14ac:dyDescent="0.25">
      <c r="A988" s="110" t="s">
        <v>1714</v>
      </c>
      <c r="B988" s="90"/>
      <c r="C988" s="160" t="s">
        <v>1661</v>
      </c>
      <c r="D988" s="181" t="s">
        <v>1713</v>
      </c>
      <c r="E988" s="182" t="s">
        <v>97</v>
      </c>
      <c r="F988" s="182" t="s">
        <v>175</v>
      </c>
      <c r="G988" s="179" t="s">
        <v>88</v>
      </c>
      <c r="H988" s="160">
        <v>420</v>
      </c>
      <c r="I988" s="160" t="s">
        <v>502</v>
      </c>
      <c r="J988" s="160" t="s">
        <v>1365</v>
      </c>
      <c r="K988" s="181" t="s">
        <v>11</v>
      </c>
      <c r="L988" s="93" t="s">
        <v>3014</v>
      </c>
      <c r="M988" s="94" t="s">
        <v>3286</v>
      </c>
      <c r="N988" s="95" t="s">
        <v>2821</v>
      </c>
      <c r="O988" s="160">
        <v>35</v>
      </c>
      <c r="P988" s="97">
        <f>2141/149*O988</f>
        <v>502.91946308724829</v>
      </c>
      <c r="Q988" s="126" t="s">
        <v>1443</v>
      </c>
      <c r="R988" s="160">
        <v>4.5</v>
      </c>
      <c r="S988" s="175"/>
      <c r="T988" s="131"/>
      <c r="U988" s="157">
        <f t="shared" si="248"/>
        <v>2288.2400429090108</v>
      </c>
      <c r="V988" s="100">
        <f t="shared" si="244"/>
        <v>5.4481905783547875</v>
      </c>
      <c r="W988" s="101">
        <f t="shared" si="245"/>
        <v>0.77831293976496962</v>
      </c>
      <c r="X988" s="108"/>
      <c r="Y988" s="175"/>
      <c r="Z988" s="104"/>
      <c r="AA988" s="118">
        <v>45898</v>
      </c>
      <c r="AB988" s="118">
        <v>45922</v>
      </c>
      <c r="AC988" s="118"/>
      <c r="AD988" s="104">
        <f>IF(ISNA(VLOOKUP(D988,亚马逊入库配置费!B:F,5,0)),0,VLOOKUP(D988,亚马逊入库配置费!B:F,5,0))</f>
        <v>0.49</v>
      </c>
      <c r="AE988" s="104">
        <f t="shared" si="238"/>
        <v>205.79999999999998</v>
      </c>
      <c r="AF988" s="118">
        <v>45934</v>
      </c>
      <c r="AG988" s="90">
        <f t="shared" si="239"/>
        <v>36</v>
      </c>
      <c r="AH988" s="118">
        <v>45934</v>
      </c>
      <c r="AI988" s="118">
        <v>45969</v>
      </c>
      <c r="AJ988" s="158">
        <v>420</v>
      </c>
      <c r="AK988" s="91">
        <f t="shared" si="240"/>
        <v>35</v>
      </c>
      <c r="AL988" s="96">
        <f t="shared" si="241"/>
        <v>71</v>
      </c>
      <c r="AM988" s="110"/>
      <c r="AN988" s="90"/>
      <c r="AO988" s="90"/>
    </row>
    <row r="989" spans="1:41" ht="14.5" x14ac:dyDescent="0.25">
      <c r="A989" s="110" t="s">
        <v>1715</v>
      </c>
      <c r="B989" s="90"/>
      <c r="C989" s="160" t="s">
        <v>1661</v>
      </c>
      <c r="D989" s="181" t="s">
        <v>1713</v>
      </c>
      <c r="E989" s="182" t="s">
        <v>97</v>
      </c>
      <c r="F989" s="182" t="s">
        <v>175</v>
      </c>
      <c r="G989" s="179" t="s">
        <v>93</v>
      </c>
      <c r="H989" s="160">
        <v>1068</v>
      </c>
      <c r="I989" s="160" t="s">
        <v>502</v>
      </c>
      <c r="J989" s="160" t="s">
        <v>1365</v>
      </c>
      <c r="K989" s="181" t="s">
        <v>11</v>
      </c>
      <c r="L989" s="93" t="s">
        <v>3015</v>
      </c>
      <c r="M989" s="94" t="s">
        <v>3288</v>
      </c>
      <c r="N989" s="95" t="s">
        <v>2821</v>
      </c>
      <c r="O989" s="160">
        <v>89</v>
      </c>
      <c r="P989" s="97">
        <f>2141/149*O989</f>
        <v>1278.8523489932886</v>
      </c>
      <c r="Q989" s="126" t="s">
        <v>1443</v>
      </c>
      <c r="R989" s="160">
        <v>4.5</v>
      </c>
      <c r="S989" s="175"/>
      <c r="T989" s="131"/>
      <c r="U989" s="157">
        <f t="shared" si="248"/>
        <v>5818.6675376829135</v>
      </c>
      <c r="V989" s="100">
        <f t="shared" si="244"/>
        <v>5.4481905783547875</v>
      </c>
      <c r="W989" s="101">
        <f t="shared" si="245"/>
        <v>0.77831293976496962</v>
      </c>
      <c r="X989" s="108"/>
      <c r="Y989" s="175"/>
      <c r="Z989" s="104"/>
      <c r="AA989" s="118">
        <v>45898</v>
      </c>
      <c r="AB989" s="118">
        <v>45922</v>
      </c>
      <c r="AC989" s="118"/>
      <c r="AD989" s="104">
        <f>IF(ISNA(VLOOKUP(D989,亚马逊入库配置费!B:F,5,0)),0,VLOOKUP(D989,亚马逊入库配置费!B:F,5,0))</f>
        <v>0.49</v>
      </c>
      <c r="AE989" s="104">
        <f t="shared" si="238"/>
        <v>523.31999999999994</v>
      </c>
      <c r="AF989" s="118">
        <v>45934</v>
      </c>
      <c r="AG989" s="90">
        <f t="shared" si="239"/>
        <v>36</v>
      </c>
      <c r="AH989" s="118">
        <v>45934</v>
      </c>
      <c r="AI989" s="118">
        <v>45969</v>
      </c>
      <c r="AJ989" s="158">
        <v>1077</v>
      </c>
      <c r="AK989" s="91">
        <f t="shared" si="240"/>
        <v>35</v>
      </c>
      <c r="AL989" s="96">
        <f t="shared" si="241"/>
        <v>71</v>
      </c>
      <c r="AM989" s="110"/>
      <c r="AN989" s="90"/>
      <c r="AO989" s="90"/>
    </row>
    <row r="990" spans="1:41" ht="14.5" x14ac:dyDescent="0.25">
      <c r="A990" s="110" t="s">
        <v>1716</v>
      </c>
      <c r="B990" s="90"/>
      <c r="C990" s="126" t="s">
        <v>1717</v>
      </c>
      <c r="D990" s="127" t="s">
        <v>1718</v>
      </c>
      <c r="E990" s="155" t="s">
        <v>287</v>
      </c>
      <c r="F990" s="155" t="s">
        <v>175</v>
      </c>
      <c r="G990" s="159" t="s">
        <v>884</v>
      </c>
      <c r="H990" s="126">
        <v>400</v>
      </c>
      <c r="I990" s="126" t="s">
        <v>1234</v>
      </c>
      <c r="J990" s="160" t="s">
        <v>1387</v>
      </c>
      <c r="K990" s="127" t="s">
        <v>10</v>
      </c>
      <c r="L990" s="93" t="s">
        <v>3084</v>
      </c>
      <c r="M990" s="94" t="s">
        <v>3402</v>
      </c>
      <c r="N990" s="95" t="s">
        <v>51</v>
      </c>
      <c r="O990" s="176">
        <v>25</v>
      </c>
      <c r="P990" s="97">
        <v>1.65</v>
      </c>
      <c r="Q990" s="174" t="s">
        <v>3430</v>
      </c>
      <c r="R990" s="173">
        <v>2120</v>
      </c>
      <c r="S990" s="108"/>
      <c r="T990" s="131"/>
      <c r="U990" s="157">
        <f>R990*P990+220/25*O990</f>
        <v>3718</v>
      </c>
      <c r="V990" s="100">
        <f t="shared" si="244"/>
        <v>9.2949999999999999</v>
      </c>
      <c r="W990" s="101">
        <f t="shared" si="245"/>
        <v>1.3278571428571428</v>
      </c>
      <c r="X990" s="95"/>
      <c r="Y990" s="108"/>
      <c r="Z990" s="104"/>
      <c r="AA990" s="118">
        <v>45898</v>
      </c>
      <c r="AB990" s="103">
        <v>45914</v>
      </c>
      <c r="AC990" s="103"/>
      <c r="AD990" s="104">
        <f>IF(ISNA(VLOOKUP(D990,亚马逊入库配置费!B:F,5,0)),0,VLOOKUP(D990,亚马逊入库配置费!B:F,5,0))</f>
        <v>0.49</v>
      </c>
      <c r="AE990" s="104">
        <f t="shared" si="238"/>
        <v>196</v>
      </c>
      <c r="AF990" s="103">
        <v>45943</v>
      </c>
      <c r="AG990" s="90">
        <f t="shared" si="239"/>
        <v>45</v>
      </c>
      <c r="AH990" s="103">
        <v>45943</v>
      </c>
      <c r="AI990" s="103">
        <v>45972</v>
      </c>
      <c r="AJ990" s="96">
        <v>396</v>
      </c>
      <c r="AK990" s="91">
        <f t="shared" si="240"/>
        <v>29</v>
      </c>
      <c r="AL990" s="96">
        <f t="shared" si="241"/>
        <v>74</v>
      </c>
      <c r="AM990" s="92"/>
      <c r="AN990" s="91"/>
      <c r="AO990" s="91"/>
    </row>
    <row r="991" spans="1:41" ht="14.5" x14ac:dyDescent="0.25">
      <c r="A991" s="110" t="s">
        <v>1719</v>
      </c>
      <c r="B991" s="90"/>
      <c r="C991" s="126" t="s">
        <v>1720</v>
      </c>
      <c r="D991" s="127" t="s">
        <v>1721</v>
      </c>
      <c r="E991" s="155" t="s">
        <v>287</v>
      </c>
      <c r="F991" s="155" t="s">
        <v>175</v>
      </c>
      <c r="G991" s="159" t="s">
        <v>884</v>
      </c>
      <c r="H991" s="126">
        <v>208</v>
      </c>
      <c r="I991" s="126" t="s">
        <v>1234</v>
      </c>
      <c r="J991" s="160" t="s">
        <v>1365</v>
      </c>
      <c r="K991" s="127" t="s">
        <v>14</v>
      </c>
      <c r="L991" s="93" t="s">
        <v>3084</v>
      </c>
      <c r="M991" s="94" t="s">
        <v>3402</v>
      </c>
      <c r="N991" s="95" t="s">
        <v>51</v>
      </c>
      <c r="O991" s="176">
        <v>13</v>
      </c>
      <c r="P991" s="97">
        <v>1</v>
      </c>
      <c r="Q991" s="174" t="s">
        <v>3430</v>
      </c>
      <c r="R991" s="173">
        <v>1400</v>
      </c>
      <c r="S991" s="108"/>
      <c r="T991" s="131"/>
      <c r="U991" s="157">
        <f>R991*P991+220/13*O991</f>
        <v>1620</v>
      </c>
      <c r="V991" s="100">
        <f t="shared" si="244"/>
        <v>7.7884615384615383</v>
      </c>
      <c r="W991" s="101">
        <f t="shared" si="245"/>
        <v>1.1126373626373627</v>
      </c>
      <c r="X991" s="95"/>
      <c r="Y991" s="108"/>
      <c r="Z991" s="104"/>
      <c r="AA991" s="118">
        <v>45898</v>
      </c>
      <c r="AB991" s="118">
        <v>45922</v>
      </c>
      <c r="AC991" s="103"/>
      <c r="AD991" s="104">
        <f>IF(ISNA(VLOOKUP(D991,亚马逊入库配置费!B:F,5,0)),0,VLOOKUP(D991,亚马逊入库配置费!B:F,5,0))</f>
        <v>0.49</v>
      </c>
      <c r="AE991" s="104">
        <f t="shared" si="238"/>
        <v>101.92</v>
      </c>
      <c r="AF991" s="103">
        <v>45946</v>
      </c>
      <c r="AG991" s="90">
        <f t="shared" si="239"/>
        <v>48</v>
      </c>
      <c r="AH991" s="103">
        <v>45946</v>
      </c>
      <c r="AI991" s="103">
        <v>45972</v>
      </c>
      <c r="AJ991" s="96">
        <v>208</v>
      </c>
      <c r="AK991" s="91">
        <f t="shared" si="240"/>
        <v>26</v>
      </c>
      <c r="AL991" s="96">
        <f t="shared" si="241"/>
        <v>74</v>
      </c>
      <c r="AM991" s="92"/>
      <c r="AN991" s="91"/>
      <c r="AO991" s="91"/>
    </row>
    <row r="992" spans="1:41" ht="14.5" x14ac:dyDescent="0.25">
      <c r="A992" s="110" t="s">
        <v>1722</v>
      </c>
      <c r="B992" s="90"/>
      <c r="C992" s="155" t="s">
        <v>1723</v>
      </c>
      <c r="D992" s="184" t="s">
        <v>1724</v>
      </c>
      <c r="E992" s="155" t="s">
        <v>115</v>
      </c>
      <c r="F992" s="155" t="s">
        <v>175</v>
      </c>
      <c r="G992" s="159" t="s">
        <v>209</v>
      </c>
      <c r="H992" s="155">
        <v>144</v>
      </c>
      <c r="I992" s="155" t="s">
        <v>502</v>
      </c>
      <c r="J992" s="182" t="s">
        <v>1365</v>
      </c>
      <c r="K992" s="184" t="s">
        <v>11</v>
      </c>
      <c r="L992" s="93" t="s">
        <v>3033</v>
      </c>
      <c r="M992" s="94" t="s">
        <v>3311</v>
      </c>
      <c r="N992" s="95" t="s">
        <v>2869</v>
      </c>
      <c r="O992" s="185">
        <v>9</v>
      </c>
      <c r="P992" s="97">
        <f>632/44*O992</f>
        <v>129.27272727272728</v>
      </c>
      <c r="Q992" s="155" t="s">
        <v>1443</v>
      </c>
      <c r="R992" s="155">
        <v>3.8</v>
      </c>
      <c r="S992" s="108"/>
      <c r="T992" s="131"/>
      <c r="U992" s="186">
        <f t="shared" ref="U992:U1007" si="249">R992*P992+350/427*O992</f>
        <v>498.61341281669149</v>
      </c>
      <c r="V992" s="100">
        <f t="shared" si="244"/>
        <v>3.4625931445603575</v>
      </c>
      <c r="W992" s="101">
        <f t="shared" si="245"/>
        <v>0.49465616350862252</v>
      </c>
      <c r="X992" s="108"/>
      <c r="Y992" s="108"/>
      <c r="Z992" s="104"/>
      <c r="AA992" s="118">
        <v>45905</v>
      </c>
      <c r="AB992" s="118">
        <v>45929</v>
      </c>
      <c r="AC992" s="118"/>
      <c r="AD992" s="104">
        <f>IF(ISNA(VLOOKUP(D992,亚马逊入库配置费!B:F,5,0)),0,VLOOKUP(D992,亚马逊入库配置费!B:F,5,0))</f>
        <v>0.42548387096774198</v>
      </c>
      <c r="AE992" s="104">
        <f t="shared" si="238"/>
        <v>61.269677419354849</v>
      </c>
      <c r="AF992" s="118">
        <v>45950</v>
      </c>
      <c r="AG992" s="90">
        <f t="shared" si="239"/>
        <v>45</v>
      </c>
      <c r="AH992" s="118">
        <v>45950</v>
      </c>
      <c r="AI992" s="118">
        <v>45979</v>
      </c>
      <c r="AJ992" s="158">
        <v>144</v>
      </c>
      <c r="AK992" s="91">
        <f t="shared" si="240"/>
        <v>29</v>
      </c>
      <c r="AL992" s="96">
        <f t="shared" si="241"/>
        <v>74</v>
      </c>
      <c r="AM992" s="110"/>
      <c r="AN992" s="90"/>
      <c r="AO992" s="90"/>
    </row>
    <row r="993" spans="1:41" ht="14.5" x14ac:dyDescent="0.25">
      <c r="A993" s="110" t="s">
        <v>1725</v>
      </c>
      <c r="B993" s="90"/>
      <c r="C993" s="155" t="s">
        <v>1723</v>
      </c>
      <c r="D993" s="184" t="s">
        <v>1724</v>
      </c>
      <c r="E993" s="155" t="s">
        <v>115</v>
      </c>
      <c r="F993" s="155" t="s">
        <v>175</v>
      </c>
      <c r="G993" s="159" t="s">
        <v>1186</v>
      </c>
      <c r="H993" s="155">
        <v>150</v>
      </c>
      <c r="I993" s="155" t="s">
        <v>502</v>
      </c>
      <c r="J993" s="182" t="s">
        <v>1365</v>
      </c>
      <c r="K993" s="184" t="s">
        <v>11</v>
      </c>
      <c r="L993" s="93" t="s">
        <v>1186</v>
      </c>
      <c r="M993" s="94" t="s">
        <v>3431</v>
      </c>
      <c r="N993" s="95" t="s">
        <v>2869</v>
      </c>
      <c r="O993" s="185">
        <v>5</v>
      </c>
      <c r="P993" s="97">
        <f>632/44*O993</f>
        <v>71.818181818181813</v>
      </c>
      <c r="Q993" s="155" t="s">
        <v>1443</v>
      </c>
      <c r="R993" s="155">
        <v>3.8</v>
      </c>
      <c r="S993" s="108"/>
      <c r="T993" s="131"/>
      <c r="U993" s="186">
        <f t="shared" si="249"/>
        <v>277.00745156482856</v>
      </c>
      <c r="V993" s="100">
        <f t="shared" si="244"/>
        <v>1.8467163437655236</v>
      </c>
      <c r="W993" s="101">
        <f t="shared" si="245"/>
        <v>0.26381662053793192</v>
      </c>
      <c r="X993" s="108"/>
      <c r="Y993" s="108"/>
      <c r="Z993" s="104"/>
      <c r="AA993" s="118">
        <v>45905</v>
      </c>
      <c r="AB993" s="118">
        <v>45929</v>
      </c>
      <c r="AC993" s="118"/>
      <c r="AD993" s="104">
        <f>IF(ISNA(VLOOKUP(D993,亚马逊入库配置费!B:F,5,0)),0,VLOOKUP(D993,亚马逊入库配置费!B:F,5,0))</f>
        <v>0.42548387096774198</v>
      </c>
      <c r="AE993" s="104">
        <f t="shared" si="238"/>
        <v>63.822580645161295</v>
      </c>
      <c r="AF993" s="118">
        <v>45950</v>
      </c>
      <c r="AG993" s="90">
        <f t="shared" si="239"/>
        <v>45</v>
      </c>
      <c r="AH993" s="118">
        <v>45950</v>
      </c>
      <c r="AI993" s="118">
        <v>45979</v>
      </c>
      <c r="AJ993" s="158">
        <v>150</v>
      </c>
      <c r="AK993" s="91">
        <f t="shared" si="240"/>
        <v>29</v>
      </c>
      <c r="AL993" s="96">
        <f t="shared" si="241"/>
        <v>74</v>
      </c>
      <c r="AM993" s="110"/>
      <c r="AN993" s="90"/>
      <c r="AO993" s="90"/>
    </row>
    <row r="994" spans="1:41" ht="14.5" x14ac:dyDescent="0.25">
      <c r="A994" s="110" t="s">
        <v>1726</v>
      </c>
      <c r="B994" s="90"/>
      <c r="C994" s="155" t="s">
        <v>1723</v>
      </c>
      <c r="D994" s="184" t="s">
        <v>1724</v>
      </c>
      <c r="E994" s="155" t="s">
        <v>115</v>
      </c>
      <c r="F994" s="155" t="s">
        <v>175</v>
      </c>
      <c r="G994" s="159" t="s">
        <v>864</v>
      </c>
      <c r="H994" s="155">
        <v>360</v>
      </c>
      <c r="I994" s="155" t="s">
        <v>502</v>
      </c>
      <c r="J994" s="182" t="s">
        <v>1365</v>
      </c>
      <c r="K994" s="184" t="s">
        <v>11</v>
      </c>
      <c r="L994" s="93" t="s">
        <v>864</v>
      </c>
      <c r="M994" s="94" t="s">
        <v>3397</v>
      </c>
      <c r="N994" s="95" t="s">
        <v>2869</v>
      </c>
      <c r="O994" s="185">
        <v>12</v>
      </c>
      <c r="P994" s="97">
        <f>632/44*O994</f>
        <v>172.36363636363637</v>
      </c>
      <c r="Q994" s="155" t="s">
        <v>1443</v>
      </c>
      <c r="R994" s="155">
        <v>3.8</v>
      </c>
      <c r="S994" s="108"/>
      <c r="T994" s="131"/>
      <c r="U994" s="186">
        <f t="shared" si="249"/>
        <v>664.8178837555887</v>
      </c>
      <c r="V994" s="100">
        <f t="shared" si="244"/>
        <v>1.8467163437655241</v>
      </c>
      <c r="W994" s="101">
        <f t="shared" si="245"/>
        <v>0.26381662053793203</v>
      </c>
      <c r="X994" s="108"/>
      <c r="Y994" s="108"/>
      <c r="Z994" s="104"/>
      <c r="AA994" s="118">
        <v>45905</v>
      </c>
      <c r="AB994" s="118">
        <v>45929</v>
      </c>
      <c r="AC994" s="118"/>
      <c r="AD994" s="104">
        <f>IF(ISNA(VLOOKUP(D994,亚马逊入库配置费!B:F,5,0)),0,VLOOKUP(D994,亚马逊入库配置费!B:F,5,0))</f>
        <v>0.42548387096774198</v>
      </c>
      <c r="AE994" s="104">
        <f t="shared" si="238"/>
        <v>153.17419354838711</v>
      </c>
      <c r="AF994" s="118">
        <v>45950</v>
      </c>
      <c r="AG994" s="90">
        <f t="shared" si="239"/>
        <v>45</v>
      </c>
      <c r="AH994" s="118">
        <v>45950</v>
      </c>
      <c r="AI994" s="118">
        <v>45979</v>
      </c>
      <c r="AJ994" s="158">
        <v>360</v>
      </c>
      <c r="AK994" s="91">
        <f t="shared" si="240"/>
        <v>29</v>
      </c>
      <c r="AL994" s="96">
        <f t="shared" si="241"/>
        <v>74</v>
      </c>
      <c r="AM994" s="110"/>
      <c r="AN994" s="90"/>
      <c r="AO994" s="90"/>
    </row>
    <row r="995" spans="1:41" ht="14.5" x14ac:dyDescent="0.25">
      <c r="A995" s="110" t="s">
        <v>1727</v>
      </c>
      <c r="B995" s="90"/>
      <c r="C995" s="155" t="s">
        <v>1723</v>
      </c>
      <c r="D995" s="184" t="s">
        <v>1724</v>
      </c>
      <c r="E995" s="155" t="s">
        <v>115</v>
      </c>
      <c r="F995" s="155" t="s">
        <v>175</v>
      </c>
      <c r="G995" s="159" t="s">
        <v>866</v>
      </c>
      <c r="H995" s="155">
        <v>90</v>
      </c>
      <c r="I995" s="155" t="s">
        <v>502</v>
      </c>
      <c r="J995" s="182" t="s">
        <v>1365</v>
      </c>
      <c r="K995" s="184" t="s">
        <v>11</v>
      </c>
      <c r="L995" s="93" t="s">
        <v>866</v>
      </c>
      <c r="M995" s="94" t="s">
        <v>3398</v>
      </c>
      <c r="N995" s="95" t="s">
        <v>2869</v>
      </c>
      <c r="O995" s="185">
        <v>3</v>
      </c>
      <c r="P995" s="97">
        <f>632/44*O995</f>
        <v>43.090909090909093</v>
      </c>
      <c r="Q995" s="155" t="s">
        <v>1443</v>
      </c>
      <c r="R995" s="155">
        <v>3.8</v>
      </c>
      <c r="S995" s="108"/>
      <c r="T995" s="131"/>
      <c r="U995" s="186">
        <f t="shared" si="249"/>
        <v>166.20447093889717</v>
      </c>
      <c r="V995" s="100">
        <f t="shared" si="244"/>
        <v>1.8467163437655241</v>
      </c>
      <c r="W995" s="101">
        <f t="shared" si="245"/>
        <v>0.26381662053793203</v>
      </c>
      <c r="X995" s="108"/>
      <c r="Y995" s="108"/>
      <c r="Z995" s="104"/>
      <c r="AA995" s="118">
        <v>45905</v>
      </c>
      <c r="AB995" s="118">
        <v>45929</v>
      </c>
      <c r="AC995" s="118"/>
      <c r="AD995" s="104">
        <f>IF(ISNA(VLOOKUP(D995,亚马逊入库配置费!B:F,5,0)),0,VLOOKUP(D995,亚马逊入库配置费!B:F,5,0))</f>
        <v>0.42548387096774198</v>
      </c>
      <c r="AE995" s="104">
        <f t="shared" si="238"/>
        <v>38.293548387096777</v>
      </c>
      <c r="AF995" s="118">
        <v>45950</v>
      </c>
      <c r="AG995" s="90">
        <f t="shared" si="239"/>
        <v>45</v>
      </c>
      <c r="AH995" s="118">
        <v>45950</v>
      </c>
      <c r="AI995" s="118">
        <v>45979</v>
      </c>
      <c r="AJ995" s="158">
        <v>90</v>
      </c>
      <c r="AK995" s="91">
        <f t="shared" si="240"/>
        <v>29</v>
      </c>
      <c r="AL995" s="96">
        <f t="shared" si="241"/>
        <v>74</v>
      </c>
      <c r="AM995" s="110"/>
      <c r="AN995" s="90"/>
      <c r="AO995" s="90"/>
    </row>
    <row r="996" spans="1:41" ht="14.5" x14ac:dyDescent="0.25">
      <c r="A996" s="110" t="s">
        <v>1728</v>
      </c>
      <c r="B996" s="91"/>
      <c r="C996" s="135" t="s">
        <v>1723</v>
      </c>
      <c r="D996" s="187" t="s">
        <v>1729</v>
      </c>
      <c r="E996" s="135" t="s">
        <v>97</v>
      </c>
      <c r="F996" s="135" t="s">
        <v>0</v>
      </c>
      <c r="G996" s="159" t="s">
        <v>228</v>
      </c>
      <c r="H996" s="155">
        <v>500</v>
      </c>
      <c r="I996" s="155" t="s">
        <v>502</v>
      </c>
      <c r="J996" s="182" t="s">
        <v>1365</v>
      </c>
      <c r="K996" s="187" t="s">
        <v>9</v>
      </c>
      <c r="L996" s="93" t="s">
        <v>3036</v>
      </c>
      <c r="M996" s="94" t="s">
        <v>3315</v>
      </c>
      <c r="N996" s="95" t="s">
        <v>2870</v>
      </c>
      <c r="O996" s="185">
        <v>25</v>
      </c>
      <c r="P996" s="97">
        <f t="shared" ref="P996:P1007" si="250">3801/276*O996</f>
        <v>344.29347826086956</v>
      </c>
      <c r="Q996" s="155" t="s">
        <v>1443</v>
      </c>
      <c r="R996" s="155">
        <v>3.8</v>
      </c>
      <c r="S996" s="108"/>
      <c r="T996" s="141"/>
      <c r="U996" s="186">
        <f t="shared" si="249"/>
        <v>1328.8070206699929</v>
      </c>
      <c r="V996" s="100">
        <f t="shared" si="244"/>
        <v>2.6576140413399858</v>
      </c>
      <c r="W996" s="101">
        <f t="shared" si="245"/>
        <v>0.37965914876285511</v>
      </c>
      <c r="X996" s="95"/>
      <c r="Y996" s="108"/>
      <c r="Z996" s="102"/>
      <c r="AA996" s="118">
        <v>45905</v>
      </c>
      <c r="AB996" s="118">
        <v>45929</v>
      </c>
      <c r="AC996" s="103"/>
      <c r="AD996" s="104">
        <f>IF(ISNA(VLOOKUP(D996,亚马逊入库配置费!B:F,5,0)),0,VLOOKUP(D996,亚马逊入库配置费!B:F,5,0))</f>
        <v>0.361486631016043</v>
      </c>
      <c r="AE996" s="104">
        <f t="shared" si="238"/>
        <v>180.74331550802151</v>
      </c>
      <c r="AF996" s="103">
        <v>45938</v>
      </c>
      <c r="AG996" s="90">
        <f t="shared" si="239"/>
        <v>33</v>
      </c>
      <c r="AH996" s="103">
        <v>45938</v>
      </c>
      <c r="AI996" s="103">
        <v>46011</v>
      </c>
      <c r="AJ996" s="96">
        <v>504</v>
      </c>
      <c r="AK996" s="91">
        <f t="shared" si="240"/>
        <v>73</v>
      </c>
      <c r="AL996" s="96">
        <f t="shared" si="241"/>
        <v>106</v>
      </c>
      <c r="AM996" s="92"/>
      <c r="AN996" s="91"/>
      <c r="AO996" s="91"/>
    </row>
    <row r="997" spans="1:41" ht="14.5" x14ac:dyDescent="0.25">
      <c r="A997" s="110" t="s">
        <v>1730</v>
      </c>
      <c r="B997" s="91"/>
      <c r="C997" s="135" t="s">
        <v>1723</v>
      </c>
      <c r="D997" s="187" t="s">
        <v>1729</v>
      </c>
      <c r="E997" s="135" t="s">
        <v>97</v>
      </c>
      <c r="F997" s="135" t="s">
        <v>0</v>
      </c>
      <c r="G997" s="159" t="s">
        <v>163</v>
      </c>
      <c r="H997" s="155">
        <v>2000</v>
      </c>
      <c r="I997" s="155" t="s">
        <v>502</v>
      </c>
      <c r="J997" s="182" t="s">
        <v>1365</v>
      </c>
      <c r="K997" s="187" t="s">
        <v>9</v>
      </c>
      <c r="L997" s="93" t="s">
        <v>2881</v>
      </c>
      <c r="M997" s="94" t="s">
        <v>3302</v>
      </c>
      <c r="N997" s="95" t="s">
        <v>2870</v>
      </c>
      <c r="O997" s="185">
        <v>50</v>
      </c>
      <c r="P997" s="97">
        <f t="shared" si="250"/>
        <v>688.58695652173913</v>
      </c>
      <c r="Q997" s="155" t="s">
        <v>1443</v>
      </c>
      <c r="R997" s="155">
        <v>3.8</v>
      </c>
      <c r="S997" s="108"/>
      <c r="T997" s="141"/>
      <c r="U997" s="186">
        <f t="shared" si="249"/>
        <v>2657.6140413399858</v>
      </c>
      <c r="V997" s="100">
        <f t="shared" si="244"/>
        <v>1.3288070206699929</v>
      </c>
      <c r="W997" s="101">
        <f t="shared" si="245"/>
        <v>0.18982957438142756</v>
      </c>
      <c r="X997" s="95"/>
      <c r="Y997" s="108"/>
      <c r="Z997" s="102"/>
      <c r="AA997" s="118">
        <v>45905</v>
      </c>
      <c r="AB997" s="118">
        <v>45929</v>
      </c>
      <c r="AC997" s="103"/>
      <c r="AD997" s="104">
        <f>IF(ISNA(VLOOKUP(D997,亚马逊入库配置费!B:F,5,0)),0,VLOOKUP(D997,亚马逊入库配置费!B:F,5,0))</f>
        <v>0.361486631016043</v>
      </c>
      <c r="AE997" s="104">
        <f t="shared" si="238"/>
        <v>722.97326203208604</v>
      </c>
      <c r="AF997" s="103">
        <v>45938</v>
      </c>
      <c r="AG997" s="90">
        <f t="shared" si="239"/>
        <v>33</v>
      </c>
      <c r="AH997" s="103">
        <v>45938</v>
      </c>
      <c r="AI997" s="103">
        <v>46011</v>
      </c>
      <c r="AJ997" s="96">
        <v>2001</v>
      </c>
      <c r="AK997" s="91">
        <f t="shared" si="240"/>
        <v>73</v>
      </c>
      <c r="AL997" s="96">
        <f t="shared" si="241"/>
        <v>106</v>
      </c>
      <c r="AM997" s="92"/>
      <c r="AN997" s="91"/>
      <c r="AO997" s="91"/>
    </row>
    <row r="998" spans="1:41" ht="14.5" x14ac:dyDescent="0.25">
      <c r="A998" s="110" t="s">
        <v>1731</v>
      </c>
      <c r="B998" s="91"/>
      <c r="C998" s="135" t="s">
        <v>1723</v>
      </c>
      <c r="D998" s="184" t="s">
        <v>1729</v>
      </c>
      <c r="E998" s="135" t="s">
        <v>97</v>
      </c>
      <c r="F998" s="135" t="s">
        <v>0</v>
      </c>
      <c r="G998" s="58" t="s">
        <v>1195</v>
      </c>
      <c r="H998" s="135">
        <v>600</v>
      </c>
      <c r="I998" s="135" t="s">
        <v>89</v>
      </c>
      <c r="J998" s="182" t="s">
        <v>1365</v>
      </c>
      <c r="K998" s="187" t="s">
        <v>9</v>
      </c>
      <c r="L998" s="93" t="s">
        <v>1195</v>
      </c>
      <c r="M998" s="94" t="s">
        <v>3433</v>
      </c>
      <c r="N998" s="95" t="s">
        <v>2870</v>
      </c>
      <c r="O998" s="185">
        <v>20</v>
      </c>
      <c r="P998" s="97">
        <f t="shared" si="250"/>
        <v>275.43478260869568</v>
      </c>
      <c r="Q998" s="155" t="s">
        <v>1443</v>
      </c>
      <c r="R998" s="155">
        <v>3.8</v>
      </c>
      <c r="S998" s="108"/>
      <c r="T998" s="141"/>
      <c r="U998" s="186">
        <f t="shared" si="249"/>
        <v>1063.0456165359942</v>
      </c>
      <c r="V998" s="100">
        <f t="shared" si="244"/>
        <v>1.771742694226657</v>
      </c>
      <c r="W998" s="101">
        <f t="shared" si="245"/>
        <v>0.25310609917523669</v>
      </c>
      <c r="X998" s="95"/>
      <c r="Y998" s="108"/>
      <c r="Z998" s="102"/>
      <c r="AA998" s="118">
        <v>45905</v>
      </c>
      <c r="AB998" s="118">
        <v>45929</v>
      </c>
      <c r="AC998" s="103"/>
      <c r="AD998" s="104">
        <f>IF(ISNA(VLOOKUP(D998,亚马逊入库配置费!B:F,5,0)),0,VLOOKUP(D998,亚马逊入库配置费!B:F,5,0))</f>
        <v>0.361486631016043</v>
      </c>
      <c r="AE998" s="104">
        <f t="shared" si="238"/>
        <v>216.8919786096258</v>
      </c>
      <c r="AF998" s="103">
        <v>45938</v>
      </c>
      <c r="AG998" s="90">
        <f t="shared" si="239"/>
        <v>33</v>
      </c>
      <c r="AH998" s="103">
        <v>45938</v>
      </c>
      <c r="AI998" s="103">
        <v>46011</v>
      </c>
      <c r="AJ998" s="96">
        <v>597</v>
      </c>
      <c r="AK998" s="91">
        <f t="shared" si="240"/>
        <v>73</v>
      </c>
      <c r="AL998" s="96">
        <f t="shared" si="241"/>
        <v>106</v>
      </c>
      <c r="AM998" s="92"/>
      <c r="AN998" s="91"/>
      <c r="AO998" s="91"/>
    </row>
    <row r="999" spans="1:41" ht="14.5" x14ac:dyDescent="0.25">
      <c r="A999" s="110" t="s">
        <v>1732</v>
      </c>
      <c r="B999" s="91"/>
      <c r="C999" s="135" t="s">
        <v>1723</v>
      </c>
      <c r="D999" s="187" t="s">
        <v>1729</v>
      </c>
      <c r="E999" s="135" t="s">
        <v>97</v>
      </c>
      <c r="F999" s="135" t="s">
        <v>0</v>
      </c>
      <c r="G999" s="58" t="s">
        <v>872</v>
      </c>
      <c r="H999" s="135">
        <v>1020</v>
      </c>
      <c r="I999" s="135" t="s">
        <v>89</v>
      </c>
      <c r="J999" s="182" t="s">
        <v>1365</v>
      </c>
      <c r="K999" s="187" t="s">
        <v>9</v>
      </c>
      <c r="L999" s="93" t="s">
        <v>872</v>
      </c>
      <c r="M999" s="94" t="s">
        <v>3399</v>
      </c>
      <c r="N999" s="95" t="s">
        <v>2870</v>
      </c>
      <c r="O999" s="185">
        <v>34</v>
      </c>
      <c r="P999" s="97">
        <f t="shared" si="250"/>
        <v>468.23913043478262</v>
      </c>
      <c r="Q999" s="155" t="s">
        <v>1443</v>
      </c>
      <c r="R999" s="155">
        <v>3.8</v>
      </c>
      <c r="S999" s="108"/>
      <c r="T999" s="141"/>
      <c r="U999" s="186">
        <f t="shared" si="249"/>
        <v>1807.1775481111902</v>
      </c>
      <c r="V999" s="100">
        <f t="shared" si="244"/>
        <v>1.771742694226657</v>
      </c>
      <c r="W999" s="101">
        <f t="shared" si="245"/>
        <v>0.25310609917523669</v>
      </c>
      <c r="X999" s="95"/>
      <c r="Y999" s="108"/>
      <c r="Z999" s="102"/>
      <c r="AA999" s="118">
        <v>45905</v>
      </c>
      <c r="AB999" s="118">
        <v>45929</v>
      </c>
      <c r="AC999" s="103"/>
      <c r="AD999" s="104">
        <f>IF(ISNA(VLOOKUP(D999,亚马逊入库配置费!B:F,5,0)),0,VLOOKUP(D999,亚马逊入库配置费!B:F,5,0))</f>
        <v>0.361486631016043</v>
      </c>
      <c r="AE999" s="104">
        <f t="shared" si="238"/>
        <v>368.71636363636384</v>
      </c>
      <c r="AF999" s="103">
        <v>45938</v>
      </c>
      <c r="AG999" s="90">
        <f t="shared" si="239"/>
        <v>33</v>
      </c>
      <c r="AH999" s="103">
        <v>45938</v>
      </c>
      <c r="AI999" s="103">
        <v>46011</v>
      </c>
      <c r="AJ999" s="96">
        <v>997</v>
      </c>
      <c r="AK999" s="91">
        <f t="shared" si="240"/>
        <v>73</v>
      </c>
      <c r="AL999" s="96">
        <f t="shared" si="241"/>
        <v>106</v>
      </c>
      <c r="AM999" s="92"/>
      <c r="AN999" s="91"/>
      <c r="AO999" s="91"/>
    </row>
    <row r="1000" spans="1:41" ht="14.5" x14ac:dyDescent="0.25">
      <c r="A1000" s="110" t="s">
        <v>1733</v>
      </c>
      <c r="B1000" s="91"/>
      <c r="C1000" s="135" t="s">
        <v>1723</v>
      </c>
      <c r="D1000" s="187" t="s">
        <v>1729</v>
      </c>
      <c r="E1000" s="135" t="s">
        <v>97</v>
      </c>
      <c r="F1000" s="135" t="s">
        <v>0</v>
      </c>
      <c r="G1000" s="58" t="s">
        <v>231</v>
      </c>
      <c r="H1000" s="135">
        <v>600</v>
      </c>
      <c r="I1000" s="135" t="s">
        <v>89</v>
      </c>
      <c r="J1000" s="182" t="s">
        <v>1365</v>
      </c>
      <c r="K1000" s="187" t="s">
        <v>9</v>
      </c>
      <c r="L1000" s="93" t="s">
        <v>3037</v>
      </c>
      <c r="M1000" s="94" t="s">
        <v>3207</v>
      </c>
      <c r="N1000" s="95" t="s">
        <v>2870</v>
      </c>
      <c r="O1000" s="185">
        <v>30</v>
      </c>
      <c r="P1000" s="97">
        <f t="shared" si="250"/>
        <v>413.1521739130435</v>
      </c>
      <c r="Q1000" s="155" t="s">
        <v>1443</v>
      </c>
      <c r="R1000" s="155">
        <v>3.8</v>
      </c>
      <c r="S1000" s="108"/>
      <c r="T1000" s="141"/>
      <c r="U1000" s="186">
        <f t="shared" si="249"/>
        <v>1594.5684248039915</v>
      </c>
      <c r="V1000" s="100">
        <f t="shared" si="244"/>
        <v>2.6576140413399858</v>
      </c>
      <c r="W1000" s="101">
        <f t="shared" si="245"/>
        <v>0.37965914876285511</v>
      </c>
      <c r="X1000" s="95"/>
      <c r="Y1000" s="108"/>
      <c r="Z1000" s="102"/>
      <c r="AA1000" s="118">
        <v>45905</v>
      </c>
      <c r="AB1000" s="118">
        <v>45929</v>
      </c>
      <c r="AC1000" s="103"/>
      <c r="AD1000" s="104">
        <f>IF(ISNA(VLOOKUP(D1000,亚马逊入库配置费!B:F,5,0)),0,VLOOKUP(D1000,亚马逊入库配置费!B:F,5,0))</f>
        <v>0.361486631016043</v>
      </c>
      <c r="AE1000" s="104">
        <f t="shared" si="238"/>
        <v>216.8919786096258</v>
      </c>
      <c r="AF1000" s="103">
        <v>45938</v>
      </c>
      <c r="AG1000" s="90">
        <f t="shared" si="239"/>
        <v>33</v>
      </c>
      <c r="AH1000" s="103">
        <v>45938</v>
      </c>
      <c r="AI1000" s="103">
        <v>46011</v>
      </c>
      <c r="AJ1000" s="96">
        <v>596</v>
      </c>
      <c r="AK1000" s="91">
        <f t="shared" si="240"/>
        <v>73</v>
      </c>
      <c r="AL1000" s="96">
        <f t="shared" si="241"/>
        <v>106</v>
      </c>
      <c r="AM1000" s="92"/>
      <c r="AN1000" s="91"/>
      <c r="AO1000" s="91"/>
    </row>
    <row r="1001" spans="1:41" ht="14.5" x14ac:dyDescent="0.25">
      <c r="A1001" s="110" t="s">
        <v>1734</v>
      </c>
      <c r="B1001" s="91"/>
      <c r="C1001" s="135" t="s">
        <v>1723</v>
      </c>
      <c r="D1001" s="187" t="s">
        <v>1729</v>
      </c>
      <c r="E1001" s="135" t="s">
        <v>97</v>
      </c>
      <c r="F1001" s="135" t="s">
        <v>0</v>
      </c>
      <c r="G1001" s="58" t="s">
        <v>853</v>
      </c>
      <c r="H1001" s="135">
        <v>600</v>
      </c>
      <c r="I1001" s="135" t="s">
        <v>89</v>
      </c>
      <c r="J1001" s="182" t="s">
        <v>1365</v>
      </c>
      <c r="K1001" s="187" t="s">
        <v>9</v>
      </c>
      <c r="L1001" s="93" t="s">
        <v>853</v>
      </c>
      <c r="M1001" s="94" t="s">
        <v>3396</v>
      </c>
      <c r="N1001" s="95" t="s">
        <v>2870</v>
      </c>
      <c r="O1001" s="185">
        <v>15</v>
      </c>
      <c r="P1001" s="97">
        <f t="shared" si="250"/>
        <v>206.57608695652175</v>
      </c>
      <c r="Q1001" s="155" t="s">
        <v>1443</v>
      </c>
      <c r="R1001" s="155">
        <v>3.8</v>
      </c>
      <c r="S1001" s="108"/>
      <c r="T1001" s="141"/>
      <c r="U1001" s="186">
        <f t="shared" si="249"/>
        <v>797.28421240199577</v>
      </c>
      <c r="V1001" s="100">
        <f t="shared" si="244"/>
        <v>1.3288070206699929</v>
      </c>
      <c r="W1001" s="101">
        <f t="shared" si="245"/>
        <v>0.18982957438142756</v>
      </c>
      <c r="X1001" s="95"/>
      <c r="Y1001" s="108"/>
      <c r="Z1001" s="102"/>
      <c r="AA1001" s="118">
        <v>45905</v>
      </c>
      <c r="AB1001" s="118">
        <v>45929</v>
      </c>
      <c r="AC1001" s="103"/>
      <c r="AD1001" s="104">
        <f>IF(ISNA(VLOOKUP(D1001,亚马逊入库配置费!B:F,5,0)),0,VLOOKUP(D1001,亚马逊入库配置费!B:F,5,0))</f>
        <v>0.361486631016043</v>
      </c>
      <c r="AE1001" s="104">
        <f t="shared" si="238"/>
        <v>216.8919786096258</v>
      </c>
      <c r="AF1001" s="103">
        <v>45938</v>
      </c>
      <c r="AG1001" s="90">
        <f t="shared" si="239"/>
        <v>33</v>
      </c>
      <c r="AH1001" s="103">
        <v>45938</v>
      </c>
      <c r="AI1001" s="103">
        <v>46011</v>
      </c>
      <c r="AJ1001" s="96">
        <v>601</v>
      </c>
      <c r="AK1001" s="91">
        <f t="shared" si="240"/>
        <v>73</v>
      </c>
      <c r="AL1001" s="96">
        <f t="shared" si="241"/>
        <v>106</v>
      </c>
      <c r="AM1001" s="92"/>
      <c r="AN1001" s="91"/>
      <c r="AO1001" s="91"/>
    </row>
    <row r="1002" spans="1:41" ht="14.5" x14ac:dyDescent="0.25">
      <c r="A1002" s="110" t="s">
        <v>1735</v>
      </c>
      <c r="B1002" s="91"/>
      <c r="C1002" s="135" t="s">
        <v>1723</v>
      </c>
      <c r="D1002" s="187" t="s">
        <v>1729</v>
      </c>
      <c r="E1002" s="135" t="s">
        <v>97</v>
      </c>
      <c r="F1002" s="135" t="s">
        <v>0</v>
      </c>
      <c r="G1002" s="58" t="s">
        <v>350</v>
      </c>
      <c r="H1002" s="135">
        <v>600</v>
      </c>
      <c r="I1002" s="135" t="s">
        <v>89</v>
      </c>
      <c r="J1002" s="182" t="s">
        <v>1365</v>
      </c>
      <c r="K1002" s="187" t="s">
        <v>9</v>
      </c>
      <c r="L1002" s="93" t="s">
        <v>3048</v>
      </c>
      <c r="M1002" s="94" t="s">
        <v>3208</v>
      </c>
      <c r="N1002" s="95" t="s">
        <v>2870</v>
      </c>
      <c r="O1002" s="185">
        <v>15</v>
      </c>
      <c r="P1002" s="97">
        <f t="shared" si="250"/>
        <v>206.57608695652175</v>
      </c>
      <c r="Q1002" s="155" t="s">
        <v>1443</v>
      </c>
      <c r="R1002" s="155">
        <v>3.8</v>
      </c>
      <c r="S1002" s="108"/>
      <c r="T1002" s="141"/>
      <c r="U1002" s="186">
        <f t="shared" si="249"/>
        <v>797.28421240199577</v>
      </c>
      <c r="V1002" s="100">
        <f t="shared" si="244"/>
        <v>1.3288070206699929</v>
      </c>
      <c r="W1002" s="101">
        <f t="shared" si="245"/>
        <v>0.18982957438142756</v>
      </c>
      <c r="X1002" s="95"/>
      <c r="Y1002" s="108"/>
      <c r="Z1002" s="102"/>
      <c r="AA1002" s="118">
        <v>45905</v>
      </c>
      <c r="AB1002" s="118">
        <v>45929</v>
      </c>
      <c r="AC1002" s="103"/>
      <c r="AD1002" s="104">
        <f>IF(ISNA(VLOOKUP(D1002,亚马逊入库配置费!B:F,5,0)),0,VLOOKUP(D1002,亚马逊入库配置费!B:F,5,0))</f>
        <v>0.361486631016043</v>
      </c>
      <c r="AE1002" s="104">
        <f t="shared" si="238"/>
        <v>216.8919786096258</v>
      </c>
      <c r="AF1002" s="103">
        <v>45938</v>
      </c>
      <c r="AG1002" s="90">
        <f t="shared" si="239"/>
        <v>33</v>
      </c>
      <c r="AH1002" s="103">
        <v>45938</v>
      </c>
      <c r="AI1002" s="103">
        <v>46011</v>
      </c>
      <c r="AJ1002" s="96">
        <v>642</v>
      </c>
      <c r="AK1002" s="91">
        <f t="shared" si="240"/>
        <v>73</v>
      </c>
      <c r="AL1002" s="96">
        <f t="shared" si="241"/>
        <v>106</v>
      </c>
      <c r="AM1002" s="92"/>
      <c r="AN1002" s="91"/>
      <c r="AO1002" s="91"/>
    </row>
    <row r="1003" spans="1:41" ht="14.5" x14ac:dyDescent="0.25">
      <c r="A1003" s="110" t="s">
        <v>1736</v>
      </c>
      <c r="B1003" s="91"/>
      <c r="C1003" s="135" t="s">
        <v>1723</v>
      </c>
      <c r="D1003" s="187" t="s">
        <v>1729</v>
      </c>
      <c r="E1003" s="135" t="s">
        <v>97</v>
      </c>
      <c r="F1003" s="135" t="s">
        <v>0</v>
      </c>
      <c r="G1003" s="58" t="s">
        <v>352</v>
      </c>
      <c r="H1003" s="135">
        <v>200</v>
      </c>
      <c r="I1003" s="135" t="s">
        <v>89</v>
      </c>
      <c r="J1003" s="182" t="s">
        <v>1365</v>
      </c>
      <c r="K1003" s="187" t="s">
        <v>9</v>
      </c>
      <c r="L1003" s="93" t="s">
        <v>3049</v>
      </c>
      <c r="M1003" s="94" t="s">
        <v>3336</v>
      </c>
      <c r="N1003" s="95" t="s">
        <v>2870</v>
      </c>
      <c r="O1003" s="185">
        <v>5</v>
      </c>
      <c r="P1003" s="97">
        <f t="shared" si="250"/>
        <v>68.858695652173921</v>
      </c>
      <c r="Q1003" s="155" t="s">
        <v>1443</v>
      </c>
      <c r="R1003" s="155">
        <v>3.8</v>
      </c>
      <c r="S1003" s="108"/>
      <c r="T1003" s="141"/>
      <c r="U1003" s="186">
        <f t="shared" si="249"/>
        <v>265.76140413399855</v>
      </c>
      <c r="V1003" s="100">
        <f t="shared" si="244"/>
        <v>1.3288070206699927</v>
      </c>
      <c r="W1003" s="101">
        <f t="shared" si="245"/>
        <v>0.18982957438142753</v>
      </c>
      <c r="X1003" s="95"/>
      <c r="Y1003" s="108"/>
      <c r="Z1003" s="102"/>
      <c r="AA1003" s="118">
        <v>45905</v>
      </c>
      <c r="AB1003" s="118">
        <v>45929</v>
      </c>
      <c r="AC1003" s="103"/>
      <c r="AD1003" s="104">
        <f>IF(ISNA(VLOOKUP(D1003,亚马逊入库配置费!B:F,5,0)),0,VLOOKUP(D1003,亚马逊入库配置费!B:F,5,0))</f>
        <v>0.361486631016043</v>
      </c>
      <c r="AE1003" s="104">
        <f t="shared" si="238"/>
        <v>72.297326203208598</v>
      </c>
      <c r="AF1003" s="103">
        <v>45938</v>
      </c>
      <c r="AG1003" s="90">
        <f t="shared" si="239"/>
        <v>33</v>
      </c>
      <c r="AH1003" s="103">
        <v>45938</v>
      </c>
      <c r="AI1003" s="103">
        <v>46011</v>
      </c>
      <c r="AJ1003" s="96">
        <v>200</v>
      </c>
      <c r="AK1003" s="91">
        <f t="shared" si="240"/>
        <v>73</v>
      </c>
      <c r="AL1003" s="96">
        <f t="shared" si="241"/>
        <v>106</v>
      </c>
      <c r="AM1003" s="92"/>
      <c r="AN1003" s="91"/>
      <c r="AO1003" s="91"/>
    </row>
    <row r="1004" spans="1:41" ht="14.5" x14ac:dyDescent="0.25">
      <c r="A1004" s="110" t="s">
        <v>1737</v>
      </c>
      <c r="B1004" s="91"/>
      <c r="C1004" s="135" t="s">
        <v>1723</v>
      </c>
      <c r="D1004" s="187" t="s">
        <v>1729</v>
      </c>
      <c r="E1004" s="135" t="s">
        <v>97</v>
      </c>
      <c r="F1004" s="135" t="s">
        <v>0</v>
      </c>
      <c r="G1004" s="58" t="s">
        <v>876</v>
      </c>
      <c r="H1004" s="135">
        <v>400</v>
      </c>
      <c r="I1004" s="135" t="s">
        <v>89</v>
      </c>
      <c r="J1004" s="182" t="s">
        <v>1365</v>
      </c>
      <c r="K1004" s="187" t="s">
        <v>9</v>
      </c>
      <c r="L1004" s="93" t="s">
        <v>876</v>
      </c>
      <c r="M1004" s="94" t="s">
        <v>3400</v>
      </c>
      <c r="N1004" s="95" t="s">
        <v>2870</v>
      </c>
      <c r="O1004" s="185">
        <v>10</v>
      </c>
      <c r="P1004" s="97">
        <f t="shared" si="250"/>
        <v>137.71739130434784</v>
      </c>
      <c r="Q1004" s="155" t="s">
        <v>1443</v>
      </c>
      <c r="R1004" s="155">
        <v>3.8</v>
      </c>
      <c r="S1004" s="108"/>
      <c r="T1004" s="141"/>
      <c r="U1004" s="186">
        <f t="shared" si="249"/>
        <v>531.52280826799711</v>
      </c>
      <c r="V1004" s="100">
        <f t="shared" si="244"/>
        <v>1.3288070206699927</v>
      </c>
      <c r="W1004" s="101">
        <f t="shared" si="245"/>
        <v>0.18982957438142753</v>
      </c>
      <c r="X1004" s="95"/>
      <c r="Y1004" s="108"/>
      <c r="Z1004" s="102"/>
      <c r="AA1004" s="118">
        <v>45905</v>
      </c>
      <c r="AB1004" s="118">
        <v>45929</v>
      </c>
      <c r="AC1004" s="103"/>
      <c r="AD1004" s="104">
        <f>IF(ISNA(VLOOKUP(D1004,亚马逊入库配置费!B:F,5,0)),0,VLOOKUP(D1004,亚马逊入库配置费!B:F,5,0))</f>
        <v>0.361486631016043</v>
      </c>
      <c r="AE1004" s="104">
        <f t="shared" si="238"/>
        <v>144.5946524064172</v>
      </c>
      <c r="AF1004" s="103">
        <v>45938</v>
      </c>
      <c r="AG1004" s="90">
        <f t="shared" si="239"/>
        <v>33</v>
      </c>
      <c r="AH1004" s="103">
        <v>45938</v>
      </c>
      <c r="AI1004" s="103">
        <v>46011</v>
      </c>
      <c r="AJ1004" s="96">
        <v>402</v>
      </c>
      <c r="AK1004" s="91">
        <f t="shared" si="240"/>
        <v>73</v>
      </c>
      <c r="AL1004" s="96">
        <f t="shared" si="241"/>
        <v>106</v>
      </c>
      <c r="AM1004" s="92"/>
      <c r="AN1004" s="91"/>
      <c r="AO1004" s="91"/>
    </row>
    <row r="1005" spans="1:41" ht="14.5" x14ac:dyDescent="0.25">
      <c r="A1005" s="110" t="s">
        <v>1738</v>
      </c>
      <c r="B1005" s="91"/>
      <c r="C1005" s="135" t="s">
        <v>1723</v>
      </c>
      <c r="D1005" s="187" t="s">
        <v>1729</v>
      </c>
      <c r="E1005" s="135" t="s">
        <v>97</v>
      </c>
      <c r="F1005" s="135" t="s">
        <v>0</v>
      </c>
      <c r="G1005" s="58" t="s">
        <v>165</v>
      </c>
      <c r="H1005" s="135">
        <v>2200</v>
      </c>
      <c r="I1005" s="135" t="s">
        <v>89</v>
      </c>
      <c r="J1005" s="182" t="s">
        <v>1365</v>
      </c>
      <c r="K1005" s="187" t="s">
        <v>9</v>
      </c>
      <c r="L1005" s="93" t="s">
        <v>2880</v>
      </c>
      <c r="M1005" s="94" t="s">
        <v>3209</v>
      </c>
      <c r="N1005" s="95" t="s">
        <v>2870</v>
      </c>
      <c r="O1005" s="185">
        <v>55</v>
      </c>
      <c r="P1005" s="97">
        <f t="shared" si="250"/>
        <v>757.44565217391312</v>
      </c>
      <c r="Q1005" s="155" t="s">
        <v>1443</v>
      </c>
      <c r="R1005" s="155">
        <v>3.8</v>
      </c>
      <c r="S1005" s="108"/>
      <c r="T1005" s="141"/>
      <c r="U1005" s="186">
        <f t="shared" si="249"/>
        <v>2923.3754454739842</v>
      </c>
      <c r="V1005" s="100">
        <f t="shared" si="244"/>
        <v>1.3288070206699929</v>
      </c>
      <c r="W1005" s="101">
        <f t="shared" si="245"/>
        <v>0.18982957438142756</v>
      </c>
      <c r="X1005" s="95"/>
      <c r="Y1005" s="108"/>
      <c r="Z1005" s="102"/>
      <c r="AA1005" s="118">
        <v>45905</v>
      </c>
      <c r="AB1005" s="118">
        <v>45929</v>
      </c>
      <c r="AC1005" s="103"/>
      <c r="AD1005" s="104">
        <f>IF(ISNA(VLOOKUP(D1005,亚马逊入库配置费!B:F,5,0)),0,VLOOKUP(D1005,亚马逊入库配置费!B:F,5,0))</f>
        <v>0.361486631016043</v>
      </c>
      <c r="AE1005" s="104">
        <f t="shared" si="238"/>
        <v>795.27058823529455</v>
      </c>
      <c r="AF1005" s="103">
        <v>45938</v>
      </c>
      <c r="AG1005" s="90">
        <f t="shared" si="239"/>
        <v>33</v>
      </c>
      <c r="AH1005" s="103">
        <v>45938</v>
      </c>
      <c r="AI1005" s="103">
        <v>46011</v>
      </c>
      <c r="AJ1005" s="96">
        <v>2203</v>
      </c>
      <c r="AK1005" s="91">
        <f t="shared" si="240"/>
        <v>73</v>
      </c>
      <c r="AL1005" s="96">
        <f t="shared" si="241"/>
        <v>106</v>
      </c>
      <c r="AM1005" s="92"/>
      <c r="AN1005" s="91"/>
      <c r="AO1005" s="91"/>
    </row>
    <row r="1006" spans="1:41" ht="14.5" x14ac:dyDescent="0.25">
      <c r="A1006" s="110" t="s">
        <v>1739</v>
      </c>
      <c r="B1006" s="91"/>
      <c r="C1006" s="135" t="s">
        <v>1723</v>
      </c>
      <c r="D1006" s="184" t="s">
        <v>1729</v>
      </c>
      <c r="E1006" s="135" t="s">
        <v>97</v>
      </c>
      <c r="F1006" s="135" t="s">
        <v>0</v>
      </c>
      <c r="G1006" s="58" t="s">
        <v>1198</v>
      </c>
      <c r="H1006" s="135">
        <v>150</v>
      </c>
      <c r="I1006" s="135" t="s">
        <v>89</v>
      </c>
      <c r="J1006" s="182" t="s">
        <v>1365</v>
      </c>
      <c r="K1006" s="187" t="s">
        <v>9</v>
      </c>
      <c r="L1006" s="93" t="s">
        <v>1198</v>
      </c>
      <c r="M1006" s="94" t="s">
        <v>3434</v>
      </c>
      <c r="N1006" s="95" t="s">
        <v>2870</v>
      </c>
      <c r="O1006" s="185">
        <v>5</v>
      </c>
      <c r="P1006" s="97">
        <f t="shared" si="250"/>
        <v>68.858695652173921</v>
      </c>
      <c r="Q1006" s="155" t="s">
        <v>1443</v>
      </c>
      <c r="R1006" s="155">
        <v>3.8</v>
      </c>
      <c r="S1006" s="108"/>
      <c r="T1006" s="141"/>
      <c r="U1006" s="186">
        <f t="shared" si="249"/>
        <v>265.76140413399855</v>
      </c>
      <c r="V1006" s="100">
        <f t="shared" si="244"/>
        <v>1.771742694226657</v>
      </c>
      <c r="W1006" s="101">
        <f t="shared" si="245"/>
        <v>0.25310609917523669</v>
      </c>
      <c r="X1006" s="95"/>
      <c r="Y1006" s="108"/>
      <c r="Z1006" s="102"/>
      <c r="AA1006" s="118">
        <v>45905</v>
      </c>
      <c r="AB1006" s="118">
        <v>45929</v>
      </c>
      <c r="AC1006" s="103"/>
      <c r="AD1006" s="104">
        <f>IF(ISNA(VLOOKUP(D1006,亚马逊入库配置费!B:F,5,0)),0,VLOOKUP(D1006,亚马逊入库配置费!B:F,5,0))</f>
        <v>0.361486631016043</v>
      </c>
      <c r="AE1006" s="104">
        <f t="shared" si="238"/>
        <v>54.222994652406449</v>
      </c>
      <c r="AF1006" s="103">
        <v>45938</v>
      </c>
      <c r="AG1006" s="90">
        <f t="shared" si="239"/>
        <v>33</v>
      </c>
      <c r="AH1006" s="103">
        <v>45938</v>
      </c>
      <c r="AI1006" s="103">
        <v>46011</v>
      </c>
      <c r="AJ1006" s="96">
        <v>150</v>
      </c>
      <c r="AK1006" s="91">
        <f t="shared" si="240"/>
        <v>73</v>
      </c>
      <c r="AL1006" s="96">
        <f t="shared" si="241"/>
        <v>106</v>
      </c>
      <c r="AM1006" s="92"/>
      <c r="AN1006" s="91"/>
      <c r="AO1006" s="91"/>
    </row>
    <row r="1007" spans="1:41" ht="14.5" x14ac:dyDescent="0.25">
      <c r="A1007" s="110" t="s">
        <v>1740</v>
      </c>
      <c r="B1007" s="91"/>
      <c r="C1007" s="135" t="s">
        <v>1723</v>
      </c>
      <c r="D1007" s="187" t="s">
        <v>1729</v>
      </c>
      <c r="E1007" s="135" t="s">
        <v>97</v>
      </c>
      <c r="F1007" s="135" t="s">
        <v>0</v>
      </c>
      <c r="G1007" s="58" t="s">
        <v>786</v>
      </c>
      <c r="H1007" s="135">
        <v>480</v>
      </c>
      <c r="I1007" s="135" t="s">
        <v>89</v>
      </c>
      <c r="J1007" s="182" t="s">
        <v>1365</v>
      </c>
      <c r="K1007" s="187" t="s">
        <v>9</v>
      </c>
      <c r="L1007" s="93" t="s">
        <v>786</v>
      </c>
      <c r="M1007" s="94" t="s">
        <v>3395</v>
      </c>
      <c r="N1007" s="95" t="s">
        <v>2870</v>
      </c>
      <c r="O1007" s="185">
        <v>12</v>
      </c>
      <c r="P1007" s="97">
        <f t="shared" si="250"/>
        <v>165.2608695652174</v>
      </c>
      <c r="Q1007" s="155" t="s">
        <v>1443</v>
      </c>
      <c r="R1007" s="155">
        <v>3.8</v>
      </c>
      <c r="S1007" s="108"/>
      <c r="T1007" s="141"/>
      <c r="U1007" s="186">
        <f t="shared" si="249"/>
        <v>637.82736992159664</v>
      </c>
      <c r="V1007" s="100">
        <f t="shared" si="244"/>
        <v>1.3288070206699929</v>
      </c>
      <c r="W1007" s="101">
        <f t="shared" si="245"/>
        <v>0.18982957438142756</v>
      </c>
      <c r="X1007" s="95"/>
      <c r="Y1007" s="108"/>
      <c r="Z1007" s="102"/>
      <c r="AA1007" s="118">
        <v>45905</v>
      </c>
      <c r="AB1007" s="118">
        <v>45929</v>
      </c>
      <c r="AC1007" s="103"/>
      <c r="AD1007" s="104">
        <f>IF(ISNA(VLOOKUP(D1007,亚马逊入库配置费!B:F,5,0)),0,VLOOKUP(D1007,亚马逊入库配置费!B:F,5,0))</f>
        <v>0.361486631016043</v>
      </c>
      <c r="AE1007" s="104">
        <f t="shared" si="238"/>
        <v>173.51358288770064</v>
      </c>
      <c r="AF1007" s="103">
        <v>45938</v>
      </c>
      <c r="AG1007" s="90">
        <f t="shared" si="239"/>
        <v>33</v>
      </c>
      <c r="AH1007" s="103">
        <v>45938</v>
      </c>
      <c r="AI1007" s="103">
        <v>46011</v>
      </c>
      <c r="AJ1007" s="96">
        <v>482</v>
      </c>
      <c r="AK1007" s="91">
        <f t="shared" si="240"/>
        <v>73</v>
      </c>
      <c r="AL1007" s="96">
        <f t="shared" si="241"/>
        <v>106</v>
      </c>
      <c r="AM1007" s="92"/>
      <c r="AN1007" s="91"/>
      <c r="AO1007" s="91"/>
    </row>
    <row r="1008" spans="1:41" ht="14.5" x14ac:dyDescent="0.25">
      <c r="A1008" s="110" t="s">
        <v>1741</v>
      </c>
      <c r="B1008" s="91"/>
      <c r="C1008" s="135" t="s">
        <v>1742</v>
      </c>
      <c r="D1008" s="187" t="s">
        <v>1743</v>
      </c>
      <c r="E1008" s="135" t="s">
        <v>86</v>
      </c>
      <c r="F1008" s="135" t="s">
        <v>87</v>
      </c>
      <c r="G1008" s="58" t="s">
        <v>163</v>
      </c>
      <c r="H1008" s="135">
        <v>80</v>
      </c>
      <c r="I1008" s="135" t="s">
        <v>89</v>
      </c>
      <c r="J1008" s="135" t="s">
        <v>90</v>
      </c>
      <c r="K1008" s="187" t="s">
        <v>431</v>
      </c>
      <c r="L1008" s="93" t="s">
        <v>2881</v>
      </c>
      <c r="M1008" s="94" t="s">
        <v>3302</v>
      </c>
      <c r="N1008" s="95" t="s">
        <v>2870</v>
      </c>
      <c r="O1008" s="185">
        <v>2</v>
      </c>
      <c r="P1008" s="97">
        <f>321/23*O1008</f>
        <v>27.913043478260871</v>
      </c>
      <c r="Q1008" s="155" t="s">
        <v>1443</v>
      </c>
      <c r="R1008" s="155">
        <v>6</v>
      </c>
      <c r="S1008" s="108"/>
      <c r="T1008" s="131"/>
      <c r="U1008" s="186">
        <f>R1008*P1008+350/23*O1008</f>
        <v>197.91304347826087</v>
      </c>
      <c r="V1008" s="100">
        <f t="shared" si="244"/>
        <v>2.473913043478261</v>
      </c>
      <c r="W1008" s="101">
        <f t="shared" si="245"/>
        <v>0.35341614906832303</v>
      </c>
      <c r="X1008" s="95"/>
      <c r="Y1008" s="108"/>
      <c r="Z1008" s="102"/>
      <c r="AA1008" s="118">
        <v>45905</v>
      </c>
      <c r="AB1008" s="118">
        <v>45929</v>
      </c>
      <c r="AC1008" s="103"/>
      <c r="AD1008" s="104">
        <f>IF(ISNA(VLOOKUP(D1008,亚马逊入库配置费!B:F,5,0)),0,VLOOKUP(D1008,亚马逊入库配置费!B:F,5,0))</f>
        <v>0</v>
      </c>
      <c r="AE1008" s="104">
        <f t="shared" si="238"/>
        <v>0</v>
      </c>
      <c r="AF1008" s="103">
        <v>45946</v>
      </c>
      <c r="AG1008" s="90">
        <f t="shared" si="239"/>
        <v>41</v>
      </c>
      <c r="AH1008" s="103">
        <v>45946</v>
      </c>
      <c r="AI1008" s="103">
        <v>45958</v>
      </c>
      <c r="AJ1008" s="96">
        <v>80</v>
      </c>
      <c r="AK1008" s="91">
        <f t="shared" si="240"/>
        <v>12</v>
      </c>
      <c r="AL1008" s="96">
        <f t="shared" si="241"/>
        <v>53</v>
      </c>
      <c r="AM1008" s="92"/>
      <c r="AN1008" s="91"/>
      <c r="AO1008" s="91"/>
    </row>
    <row r="1009" spans="1:41" ht="14.5" x14ac:dyDescent="0.25">
      <c r="A1009" s="110" t="s">
        <v>1744</v>
      </c>
      <c r="B1009" s="90"/>
      <c r="C1009" s="155" t="s">
        <v>1742</v>
      </c>
      <c r="D1009" s="184" t="s">
        <v>1743</v>
      </c>
      <c r="E1009" s="135" t="s">
        <v>86</v>
      </c>
      <c r="F1009" s="135" t="s">
        <v>87</v>
      </c>
      <c r="G1009" s="58" t="s">
        <v>1198</v>
      </c>
      <c r="H1009" s="155">
        <v>150</v>
      </c>
      <c r="I1009" s="135" t="s">
        <v>89</v>
      </c>
      <c r="J1009" s="155" t="s">
        <v>1265</v>
      </c>
      <c r="K1009" s="184" t="s">
        <v>431</v>
      </c>
      <c r="L1009" s="93" t="s">
        <v>1198</v>
      </c>
      <c r="M1009" s="94" t="s">
        <v>3434</v>
      </c>
      <c r="N1009" s="95" t="s">
        <v>2870</v>
      </c>
      <c r="O1009" s="185">
        <v>5</v>
      </c>
      <c r="P1009" s="97">
        <f>321/23*O1009</f>
        <v>69.782608695652172</v>
      </c>
      <c r="Q1009" s="155" t="s">
        <v>1443</v>
      </c>
      <c r="R1009" s="155">
        <v>6</v>
      </c>
      <c r="S1009" s="108"/>
      <c r="T1009" s="131"/>
      <c r="U1009" s="186">
        <f>R1009*P1009+350/23*O1009</f>
        <v>494.78260869565213</v>
      </c>
      <c r="V1009" s="100">
        <f t="shared" si="244"/>
        <v>3.2985507246376811</v>
      </c>
      <c r="W1009" s="101">
        <f t="shared" si="245"/>
        <v>0.47122153209109729</v>
      </c>
      <c r="X1009" s="108"/>
      <c r="Y1009" s="108"/>
      <c r="Z1009" s="102"/>
      <c r="AA1009" s="118">
        <v>45905</v>
      </c>
      <c r="AB1009" s="118">
        <v>45936</v>
      </c>
      <c r="AC1009" s="118"/>
      <c r="AD1009" s="104">
        <f>IF(ISNA(VLOOKUP(D1009,亚马逊入库配置费!B:F,5,0)),0,VLOOKUP(D1009,亚马逊入库配置费!B:F,5,0))</f>
        <v>0</v>
      </c>
      <c r="AE1009" s="104">
        <f t="shared" si="238"/>
        <v>0</v>
      </c>
      <c r="AF1009" s="118">
        <v>45946</v>
      </c>
      <c r="AG1009" s="90">
        <f t="shared" si="239"/>
        <v>41</v>
      </c>
      <c r="AH1009" s="118">
        <v>45946</v>
      </c>
      <c r="AI1009" s="118">
        <v>45958</v>
      </c>
      <c r="AJ1009" s="158">
        <v>150</v>
      </c>
      <c r="AK1009" s="91">
        <f t="shared" si="240"/>
        <v>12</v>
      </c>
      <c r="AL1009" s="96">
        <f t="shared" si="241"/>
        <v>53</v>
      </c>
      <c r="AM1009" s="110"/>
      <c r="AN1009" s="90"/>
      <c r="AO1009" s="90"/>
    </row>
    <row r="1010" spans="1:41" ht="14.5" x14ac:dyDescent="0.25">
      <c r="A1010" s="110" t="s">
        <v>1745</v>
      </c>
      <c r="B1010" s="91"/>
      <c r="C1010" s="135" t="s">
        <v>1742</v>
      </c>
      <c r="D1010" s="187" t="s">
        <v>1743</v>
      </c>
      <c r="E1010" s="135" t="s">
        <v>86</v>
      </c>
      <c r="F1010" s="135" t="s">
        <v>87</v>
      </c>
      <c r="G1010" s="58" t="s">
        <v>872</v>
      </c>
      <c r="H1010" s="135">
        <v>300</v>
      </c>
      <c r="I1010" s="135" t="s">
        <v>89</v>
      </c>
      <c r="J1010" s="135" t="s">
        <v>90</v>
      </c>
      <c r="K1010" s="187" t="s">
        <v>431</v>
      </c>
      <c r="L1010" s="93" t="s">
        <v>872</v>
      </c>
      <c r="M1010" s="94" t="s">
        <v>3399</v>
      </c>
      <c r="N1010" s="95" t="s">
        <v>2870</v>
      </c>
      <c r="O1010" s="185">
        <v>10</v>
      </c>
      <c r="P1010" s="97">
        <f>321/23*O1010</f>
        <v>139.56521739130434</v>
      </c>
      <c r="Q1010" s="155" t="s">
        <v>1443</v>
      </c>
      <c r="R1010" s="155">
        <v>6</v>
      </c>
      <c r="S1010" s="108"/>
      <c r="T1010" s="131"/>
      <c r="U1010" s="186">
        <f>R1010*P1010+350/23*O1010</f>
        <v>989.56521739130426</v>
      </c>
      <c r="V1010" s="100">
        <f t="shared" si="244"/>
        <v>3.2985507246376811</v>
      </c>
      <c r="W1010" s="101">
        <f t="shared" si="245"/>
        <v>0.47122153209109729</v>
      </c>
      <c r="X1010" s="95"/>
      <c r="Y1010" s="108"/>
      <c r="Z1010" s="102"/>
      <c r="AA1010" s="118">
        <v>45905</v>
      </c>
      <c r="AB1010" s="118">
        <v>45929</v>
      </c>
      <c r="AC1010" s="103"/>
      <c r="AD1010" s="104">
        <f>IF(ISNA(VLOOKUP(D1010,亚马逊入库配置费!B:F,5,0)),0,VLOOKUP(D1010,亚马逊入库配置费!B:F,5,0))</f>
        <v>0</v>
      </c>
      <c r="AE1010" s="104">
        <f t="shared" si="238"/>
        <v>0</v>
      </c>
      <c r="AF1010" s="103">
        <v>45946</v>
      </c>
      <c r="AG1010" s="90">
        <f t="shared" si="239"/>
        <v>41</v>
      </c>
      <c r="AH1010" s="103">
        <v>45946</v>
      </c>
      <c r="AI1010" s="103">
        <v>45958</v>
      </c>
      <c r="AJ1010" s="96">
        <v>300</v>
      </c>
      <c r="AK1010" s="91">
        <f t="shared" si="240"/>
        <v>12</v>
      </c>
      <c r="AL1010" s="96">
        <f t="shared" si="241"/>
        <v>53</v>
      </c>
      <c r="AM1010" s="92"/>
      <c r="AN1010" s="91"/>
      <c r="AO1010" s="91"/>
    </row>
    <row r="1011" spans="1:41" ht="14.5" x14ac:dyDescent="0.25">
      <c r="A1011" s="110" t="s">
        <v>1746</v>
      </c>
      <c r="B1011" s="91"/>
      <c r="C1011" s="135" t="s">
        <v>1742</v>
      </c>
      <c r="D1011" s="187" t="s">
        <v>1743</v>
      </c>
      <c r="E1011" s="135" t="s">
        <v>86</v>
      </c>
      <c r="F1011" s="135" t="s">
        <v>87</v>
      </c>
      <c r="G1011" s="58" t="s">
        <v>211</v>
      </c>
      <c r="H1011" s="135">
        <v>120</v>
      </c>
      <c r="I1011" s="135" t="s">
        <v>89</v>
      </c>
      <c r="J1011" s="135" t="s">
        <v>90</v>
      </c>
      <c r="K1011" s="187" t="s">
        <v>431</v>
      </c>
      <c r="L1011" s="93" t="s">
        <v>3034</v>
      </c>
      <c r="M1011" s="94" t="s">
        <v>3312</v>
      </c>
      <c r="N1011" s="95" t="s">
        <v>2869</v>
      </c>
      <c r="O1011" s="185">
        <v>4</v>
      </c>
      <c r="P1011" s="97">
        <f>321/23*O1011</f>
        <v>55.826086956521742</v>
      </c>
      <c r="Q1011" s="155" t="s">
        <v>1443</v>
      </c>
      <c r="R1011" s="155">
        <v>6</v>
      </c>
      <c r="S1011" s="108"/>
      <c r="T1011" s="131"/>
      <c r="U1011" s="186">
        <f>R1011*P1011+350/23*O1011</f>
        <v>395.82608695652175</v>
      </c>
      <c r="V1011" s="100">
        <f t="shared" si="244"/>
        <v>3.2985507246376811</v>
      </c>
      <c r="W1011" s="101">
        <f t="shared" si="245"/>
        <v>0.47122153209109729</v>
      </c>
      <c r="X1011" s="95"/>
      <c r="Y1011" s="108"/>
      <c r="Z1011" s="102"/>
      <c r="AA1011" s="118">
        <v>45905</v>
      </c>
      <c r="AB1011" s="118">
        <v>45929</v>
      </c>
      <c r="AC1011" s="103"/>
      <c r="AD1011" s="104">
        <f>IF(ISNA(VLOOKUP(D1011,亚马逊入库配置费!B:F,5,0)),0,VLOOKUP(D1011,亚马逊入库配置费!B:F,5,0))</f>
        <v>0</v>
      </c>
      <c r="AE1011" s="104">
        <f t="shared" si="238"/>
        <v>0</v>
      </c>
      <c r="AF1011" s="103">
        <v>45946</v>
      </c>
      <c r="AG1011" s="90">
        <f t="shared" si="239"/>
        <v>41</v>
      </c>
      <c r="AH1011" s="103">
        <v>45946</v>
      </c>
      <c r="AI1011" s="103">
        <v>45958</v>
      </c>
      <c r="AJ1011" s="96">
        <v>120</v>
      </c>
      <c r="AK1011" s="91">
        <f t="shared" si="240"/>
        <v>12</v>
      </c>
      <c r="AL1011" s="96">
        <f t="shared" si="241"/>
        <v>53</v>
      </c>
      <c r="AM1011" s="92"/>
      <c r="AN1011" s="91"/>
      <c r="AO1011" s="91"/>
    </row>
    <row r="1012" spans="1:41" ht="14.5" x14ac:dyDescent="0.25">
      <c r="A1012" s="110" t="s">
        <v>1747</v>
      </c>
      <c r="B1012" s="91"/>
      <c r="C1012" s="135" t="s">
        <v>1742</v>
      </c>
      <c r="D1012" s="187" t="s">
        <v>1743</v>
      </c>
      <c r="E1012" s="135" t="s">
        <v>86</v>
      </c>
      <c r="F1012" s="135" t="s">
        <v>87</v>
      </c>
      <c r="G1012" s="58" t="s">
        <v>213</v>
      </c>
      <c r="H1012" s="135">
        <v>60</v>
      </c>
      <c r="I1012" s="135" t="s">
        <v>89</v>
      </c>
      <c r="J1012" s="135" t="s">
        <v>90</v>
      </c>
      <c r="K1012" s="187" t="s">
        <v>431</v>
      </c>
      <c r="L1012" s="93" t="s">
        <v>3035</v>
      </c>
      <c r="M1012" s="94" t="s">
        <v>3313</v>
      </c>
      <c r="N1012" s="95" t="s">
        <v>2869</v>
      </c>
      <c r="O1012" s="185">
        <v>2</v>
      </c>
      <c r="P1012" s="97">
        <f>321/23*O1012</f>
        <v>27.913043478260871</v>
      </c>
      <c r="Q1012" s="155" t="s">
        <v>1443</v>
      </c>
      <c r="R1012" s="155">
        <v>6</v>
      </c>
      <c r="S1012" s="108"/>
      <c r="T1012" s="131"/>
      <c r="U1012" s="186">
        <f>R1012*P1012+350/23*O1012</f>
        <v>197.91304347826087</v>
      </c>
      <c r="V1012" s="100">
        <f t="shared" si="244"/>
        <v>3.2985507246376811</v>
      </c>
      <c r="W1012" s="101">
        <f t="shared" si="245"/>
        <v>0.47122153209109729</v>
      </c>
      <c r="X1012" s="95"/>
      <c r="Y1012" s="108"/>
      <c r="Z1012" s="102"/>
      <c r="AA1012" s="118">
        <v>45905</v>
      </c>
      <c r="AB1012" s="118">
        <v>45929</v>
      </c>
      <c r="AC1012" s="103"/>
      <c r="AD1012" s="104">
        <f>IF(ISNA(VLOOKUP(D1012,亚马逊入库配置费!B:F,5,0)),0,VLOOKUP(D1012,亚马逊入库配置费!B:F,5,0))</f>
        <v>0</v>
      </c>
      <c r="AE1012" s="104">
        <f t="shared" si="238"/>
        <v>0</v>
      </c>
      <c r="AF1012" s="103">
        <v>45946</v>
      </c>
      <c r="AG1012" s="90">
        <f t="shared" si="239"/>
        <v>41</v>
      </c>
      <c r="AH1012" s="103">
        <v>45946</v>
      </c>
      <c r="AI1012" s="103">
        <v>45958</v>
      </c>
      <c r="AJ1012" s="96">
        <v>60</v>
      </c>
      <c r="AK1012" s="91">
        <f t="shared" si="240"/>
        <v>12</v>
      </c>
      <c r="AL1012" s="96">
        <f t="shared" si="241"/>
        <v>53</v>
      </c>
      <c r="AM1012" s="92"/>
      <c r="AN1012" s="91"/>
      <c r="AO1012" s="91"/>
    </row>
    <row r="1013" spans="1:41" ht="14.5" x14ac:dyDescent="0.25">
      <c r="A1013" s="110" t="s">
        <v>1748</v>
      </c>
      <c r="B1013" s="91"/>
      <c r="C1013" s="119" t="s">
        <v>1749</v>
      </c>
      <c r="D1013" s="120" t="s">
        <v>1750</v>
      </c>
      <c r="E1013" s="135" t="s">
        <v>97</v>
      </c>
      <c r="F1013" s="135" t="s">
        <v>0</v>
      </c>
      <c r="G1013" s="58" t="s">
        <v>228</v>
      </c>
      <c r="H1013" s="119">
        <v>300</v>
      </c>
      <c r="I1013" s="119" t="s">
        <v>89</v>
      </c>
      <c r="J1013" s="160" t="s">
        <v>1686</v>
      </c>
      <c r="K1013" s="120" t="s">
        <v>10</v>
      </c>
      <c r="L1013" s="93" t="s">
        <v>3036</v>
      </c>
      <c r="M1013" s="94" t="s">
        <v>3315</v>
      </c>
      <c r="N1013" s="95" t="s">
        <v>2870</v>
      </c>
      <c r="O1013" s="188">
        <v>15</v>
      </c>
      <c r="P1013" s="97">
        <f>705/50*O1013</f>
        <v>211.5</v>
      </c>
      <c r="Q1013" s="126" t="s">
        <v>1443</v>
      </c>
      <c r="R1013" s="126">
        <v>9.5</v>
      </c>
      <c r="S1013" s="108"/>
      <c r="T1013" s="131"/>
      <c r="U1013" s="157">
        <f>R1013*P1013+350/92*O1013</f>
        <v>2066.3152173913045</v>
      </c>
      <c r="V1013" s="100">
        <f t="shared" si="244"/>
        <v>6.8877173913043483</v>
      </c>
      <c r="W1013" s="101">
        <f t="shared" si="245"/>
        <v>0.98395962732919262</v>
      </c>
      <c r="X1013" s="95"/>
      <c r="Y1013" s="108"/>
      <c r="Z1013" s="102"/>
      <c r="AA1013" s="118">
        <v>45905</v>
      </c>
      <c r="AB1013" s="118">
        <v>45921</v>
      </c>
      <c r="AC1013" s="103"/>
      <c r="AD1013" s="104">
        <f>IF(ISNA(VLOOKUP(D1013,亚马逊入库配置费!B:F,5,0)),0,VLOOKUP(D1013,亚马逊入库配置费!B:F,5,0))</f>
        <v>0.4</v>
      </c>
      <c r="AE1013" s="104">
        <f t="shared" si="238"/>
        <v>120</v>
      </c>
      <c r="AF1013" s="103">
        <v>45928</v>
      </c>
      <c r="AG1013" s="90">
        <f t="shared" si="239"/>
        <v>23</v>
      </c>
      <c r="AH1013" s="103">
        <v>45928</v>
      </c>
      <c r="AI1013" s="103">
        <v>45960</v>
      </c>
      <c r="AJ1013" s="96">
        <v>299</v>
      </c>
      <c r="AK1013" s="91">
        <f t="shared" si="240"/>
        <v>32</v>
      </c>
      <c r="AL1013" s="96">
        <f t="shared" si="241"/>
        <v>55</v>
      </c>
      <c r="AM1013" s="92"/>
      <c r="AN1013" s="91"/>
      <c r="AO1013" s="91"/>
    </row>
    <row r="1014" spans="1:41" ht="14.5" x14ac:dyDescent="0.25">
      <c r="A1014" s="110" t="s">
        <v>1751</v>
      </c>
      <c r="B1014" s="91"/>
      <c r="C1014" s="119" t="s">
        <v>1749</v>
      </c>
      <c r="D1014" s="120" t="s">
        <v>1750</v>
      </c>
      <c r="E1014" s="135" t="s">
        <v>97</v>
      </c>
      <c r="F1014" s="135" t="s">
        <v>0</v>
      </c>
      <c r="G1014" s="58" t="s">
        <v>872</v>
      </c>
      <c r="H1014" s="119">
        <v>480</v>
      </c>
      <c r="I1014" s="119" t="s">
        <v>89</v>
      </c>
      <c r="J1014" s="160" t="s">
        <v>1686</v>
      </c>
      <c r="K1014" s="120" t="s">
        <v>10</v>
      </c>
      <c r="L1014" s="93" t="s">
        <v>872</v>
      </c>
      <c r="M1014" s="94" t="s">
        <v>3399</v>
      </c>
      <c r="N1014" s="95" t="s">
        <v>2870</v>
      </c>
      <c r="O1014" s="188">
        <v>16</v>
      </c>
      <c r="P1014" s="97">
        <f>705/50*O1014</f>
        <v>225.6</v>
      </c>
      <c r="Q1014" s="126" t="s">
        <v>1443</v>
      </c>
      <c r="R1014" s="126">
        <v>9.5</v>
      </c>
      <c r="S1014" s="108"/>
      <c r="T1014" s="131"/>
      <c r="U1014" s="157">
        <f>R1014*P1014+350/92*O1014</f>
        <v>2204.0695652173913</v>
      </c>
      <c r="V1014" s="100">
        <f t="shared" si="244"/>
        <v>4.5918115942028983</v>
      </c>
      <c r="W1014" s="101">
        <f t="shared" si="245"/>
        <v>0.65597308488612838</v>
      </c>
      <c r="X1014" s="95"/>
      <c r="Y1014" s="108"/>
      <c r="Z1014" s="102"/>
      <c r="AA1014" s="118">
        <v>45905</v>
      </c>
      <c r="AB1014" s="118">
        <v>45921</v>
      </c>
      <c r="AC1014" s="103"/>
      <c r="AD1014" s="104">
        <f>IF(ISNA(VLOOKUP(D1014,亚马逊入库配置费!B:F,5,0)),0,VLOOKUP(D1014,亚马逊入库配置费!B:F,5,0))</f>
        <v>0.4</v>
      </c>
      <c r="AE1014" s="104">
        <f t="shared" si="238"/>
        <v>192</v>
      </c>
      <c r="AF1014" s="103">
        <v>45928</v>
      </c>
      <c r="AG1014" s="90">
        <f t="shared" si="239"/>
        <v>23</v>
      </c>
      <c r="AH1014" s="103">
        <v>45928</v>
      </c>
      <c r="AI1014" s="103">
        <v>45960</v>
      </c>
      <c r="AJ1014" s="96">
        <v>477</v>
      </c>
      <c r="AK1014" s="91">
        <f t="shared" si="240"/>
        <v>32</v>
      </c>
      <c r="AL1014" s="96">
        <f t="shared" si="241"/>
        <v>55</v>
      </c>
      <c r="AM1014" s="92"/>
      <c r="AN1014" s="91"/>
      <c r="AO1014" s="91"/>
    </row>
    <row r="1015" spans="1:41" ht="14.5" x14ac:dyDescent="0.25">
      <c r="A1015" s="110" t="s">
        <v>1752</v>
      </c>
      <c r="B1015" s="91"/>
      <c r="C1015" s="119" t="s">
        <v>1749</v>
      </c>
      <c r="D1015" s="120" t="s">
        <v>1750</v>
      </c>
      <c r="E1015" s="135" t="s">
        <v>97</v>
      </c>
      <c r="F1015" s="135" t="s">
        <v>0</v>
      </c>
      <c r="G1015" s="58" t="s">
        <v>352</v>
      </c>
      <c r="H1015" s="119">
        <v>200</v>
      </c>
      <c r="I1015" s="119" t="s">
        <v>89</v>
      </c>
      <c r="J1015" s="160" t="s">
        <v>1686</v>
      </c>
      <c r="K1015" s="120" t="s">
        <v>10</v>
      </c>
      <c r="L1015" s="93" t="s">
        <v>3049</v>
      </c>
      <c r="M1015" s="94" t="s">
        <v>3336</v>
      </c>
      <c r="N1015" s="95" t="s">
        <v>2870</v>
      </c>
      <c r="O1015" s="188">
        <v>5</v>
      </c>
      <c r="P1015" s="97">
        <f>705/50*O1015</f>
        <v>70.5</v>
      </c>
      <c r="Q1015" s="126" t="s">
        <v>1443</v>
      </c>
      <c r="R1015" s="126">
        <v>9.5</v>
      </c>
      <c r="S1015" s="108"/>
      <c r="T1015" s="131"/>
      <c r="U1015" s="157">
        <f>R1015*P1015+350/92*O1015</f>
        <v>688.77173913043475</v>
      </c>
      <c r="V1015" s="100">
        <f t="shared" si="244"/>
        <v>3.4438586956521737</v>
      </c>
      <c r="W1015" s="101">
        <f t="shared" si="245"/>
        <v>0.49197981366459625</v>
      </c>
      <c r="X1015" s="95"/>
      <c r="Y1015" s="108"/>
      <c r="Z1015" s="102"/>
      <c r="AA1015" s="118">
        <v>45905</v>
      </c>
      <c r="AB1015" s="118">
        <v>45921</v>
      </c>
      <c r="AC1015" s="103"/>
      <c r="AD1015" s="104">
        <f>IF(ISNA(VLOOKUP(D1015,亚马逊入库配置费!B:F,5,0)),0,VLOOKUP(D1015,亚马逊入库配置费!B:F,5,0))</f>
        <v>0.4</v>
      </c>
      <c r="AE1015" s="104">
        <f t="shared" si="238"/>
        <v>80</v>
      </c>
      <c r="AF1015" s="103">
        <v>45928</v>
      </c>
      <c r="AG1015" s="90">
        <f t="shared" si="239"/>
        <v>23</v>
      </c>
      <c r="AH1015" s="103">
        <v>45928</v>
      </c>
      <c r="AI1015" s="103">
        <v>45960</v>
      </c>
      <c r="AJ1015" s="96">
        <v>199</v>
      </c>
      <c r="AK1015" s="91">
        <f t="shared" si="240"/>
        <v>32</v>
      </c>
      <c r="AL1015" s="96">
        <f t="shared" si="241"/>
        <v>55</v>
      </c>
      <c r="AM1015" s="92"/>
      <c r="AN1015" s="91"/>
      <c r="AO1015" s="91"/>
    </row>
    <row r="1016" spans="1:41" ht="14.5" x14ac:dyDescent="0.25">
      <c r="A1016" s="110" t="s">
        <v>1753</v>
      </c>
      <c r="B1016" s="90"/>
      <c r="C1016" s="126" t="s">
        <v>1749</v>
      </c>
      <c r="D1016" s="127" t="s">
        <v>1750</v>
      </c>
      <c r="E1016" s="135" t="s">
        <v>97</v>
      </c>
      <c r="F1016" s="135" t="s">
        <v>0</v>
      </c>
      <c r="G1016" s="58" t="s">
        <v>1215</v>
      </c>
      <c r="H1016" s="126">
        <v>420</v>
      </c>
      <c r="I1016" s="119" t="s">
        <v>89</v>
      </c>
      <c r="J1016" s="160" t="s">
        <v>1686</v>
      </c>
      <c r="K1016" s="127" t="s">
        <v>10</v>
      </c>
      <c r="L1016" s="93" t="s">
        <v>3095</v>
      </c>
      <c r="M1016" s="94" t="s">
        <v>3436</v>
      </c>
      <c r="N1016" s="95" t="s">
        <v>2867</v>
      </c>
      <c r="O1016" s="188">
        <v>14</v>
      </c>
      <c r="P1016" s="97">
        <f>705/50*O1016</f>
        <v>197.4</v>
      </c>
      <c r="Q1016" s="126" t="s">
        <v>1443</v>
      </c>
      <c r="R1016" s="126">
        <v>9.5</v>
      </c>
      <c r="S1016" s="108"/>
      <c r="T1016" s="131"/>
      <c r="U1016" s="157">
        <f>R1016*P1016+350/92*O1016</f>
        <v>1928.5608695652174</v>
      </c>
      <c r="V1016" s="100">
        <f t="shared" si="244"/>
        <v>4.5918115942028983</v>
      </c>
      <c r="W1016" s="101">
        <f t="shared" si="245"/>
        <v>0.65597308488612838</v>
      </c>
      <c r="X1016" s="108"/>
      <c r="Y1016" s="108"/>
      <c r="Z1016" s="102"/>
      <c r="AA1016" s="118">
        <v>45905</v>
      </c>
      <c r="AB1016" s="118">
        <v>45921</v>
      </c>
      <c r="AC1016" s="118"/>
      <c r="AD1016" s="104">
        <f>IF(ISNA(VLOOKUP(D1016,亚马逊入库配置费!B:F,5,0)),0,VLOOKUP(D1016,亚马逊入库配置费!B:F,5,0))</f>
        <v>0.4</v>
      </c>
      <c r="AE1016" s="104">
        <f t="shared" si="238"/>
        <v>168</v>
      </c>
      <c r="AF1016" s="103">
        <v>45928</v>
      </c>
      <c r="AG1016" s="90">
        <f t="shared" si="239"/>
        <v>23</v>
      </c>
      <c r="AH1016" s="103">
        <v>45928</v>
      </c>
      <c r="AI1016" s="118">
        <v>45960</v>
      </c>
      <c r="AJ1016" s="158">
        <v>430</v>
      </c>
      <c r="AK1016" s="91">
        <f t="shared" si="240"/>
        <v>32</v>
      </c>
      <c r="AL1016" s="96">
        <f t="shared" si="241"/>
        <v>55</v>
      </c>
      <c r="AM1016" s="110"/>
      <c r="AN1016" s="90"/>
      <c r="AO1016" s="90"/>
    </row>
    <row r="1017" spans="1:41" ht="14.5" x14ac:dyDescent="0.25">
      <c r="A1017" s="110" t="s">
        <v>1754</v>
      </c>
      <c r="B1017" s="90"/>
      <c r="C1017" s="126" t="s">
        <v>1755</v>
      </c>
      <c r="D1017" s="127" t="s">
        <v>1756</v>
      </c>
      <c r="E1017" s="135" t="s">
        <v>97</v>
      </c>
      <c r="F1017" s="135" t="s">
        <v>0</v>
      </c>
      <c r="G1017" s="58" t="s">
        <v>1215</v>
      </c>
      <c r="H1017" s="126">
        <v>480</v>
      </c>
      <c r="I1017" s="119" t="s">
        <v>207</v>
      </c>
      <c r="J1017" s="126" t="s">
        <v>1387</v>
      </c>
      <c r="K1017" s="127" t="s">
        <v>9</v>
      </c>
      <c r="L1017" s="93" t="s">
        <v>3095</v>
      </c>
      <c r="M1017" s="94" t="s">
        <v>3436</v>
      </c>
      <c r="N1017" s="95" t="s">
        <v>2867</v>
      </c>
      <c r="O1017" s="188">
        <v>16</v>
      </c>
      <c r="P1017" s="97">
        <f>263/16*O1017</f>
        <v>263</v>
      </c>
      <c r="Q1017" s="126" t="s">
        <v>1443</v>
      </c>
      <c r="R1017" s="126">
        <v>6.2</v>
      </c>
      <c r="S1017" s="108"/>
      <c r="T1017" s="131"/>
      <c r="U1017" s="157">
        <f>R1017*P1017+350/16*O1017</f>
        <v>1980.6000000000001</v>
      </c>
      <c r="V1017" s="100">
        <f t="shared" si="244"/>
        <v>4.1262500000000006</v>
      </c>
      <c r="W1017" s="101">
        <f t="shared" si="245"/>
        <v>0.58946428571428577</v>
      </c>
      <c r="X1017" s="108"/>
      <c r="Y1017" s="108"/>
      <c r="Z1017" s="102"/>
      <c r="AA1017" s="118">
        <v>45905</v>
      </c>
      <c r="AB1017" s="118">
        <v>45923</v>
      </c>
      <c r="AC1017" s="118"/>
      <c r="AD1017" s="104">
        <f>IF(ISNA(VLOOKUP(D1017,亚马逊入库配置费!B:F,5,0)),0,VLOOKUP(D1017,亚马逊入库配置费!B:F,5,0))</f>
        <v>0.41</v>
      </c>
      <c r="AE1017" s="104">
        <f t="shared" si="238"/>
        <v>196.79999999999998</v>
      </c>
      <c r="AF1017" s="118">
        <v>45932</v>
      </c>
      <c r="AG1017" s="90">
        <f t="shared" si="239"/>
        <v>27</v>
      </c>
      <c r="AH1017" s="118">
        <v>45932</v>
      </c>
      <c r="AI1017" s="118">
        <v>45965</v>
      </c>
      <c r="AJ1017" s="158">
        <v>480</v>
      </c>
      <c r="AK1017" s="91">
        <f t="shared" si="240"/>
        <v>33</v>
      </c>
      <c r="AL1017" s="96">
        <f t="shared" si="241"/>
        <v>60</v>
      </c>
      <c r="AM1017" s="110"/>
      <c r="AN1017" s="90"/>
      <c r="AO1017" s="90"/>
    </row>
    <row r="1018" spans="1:41" ht="14.5" x14ac:dyDescent="0.25">
      <c r="A1018" s="110" t="s">
        <v>1757</v>
      </c>
      <c r="B1018" s="90"/>
      <c r="C1018" s="155" t="s">
        <v>1723</v>
      </c>
      <c r="D1018" s="184" t="s">
        <v>1758</v>
      </c>
      <c r="E1018" s="155" t="s">
        <v>1037</v>
      </c>
      <c r="F1018" s="155" t="s">
        <v>175</v>
      </c>
      <c r="G1018" s="58" t="s">
        <v>1038</v>
      </c>
      <c r="H1018" s="155">
        <v>300</v>
      </c>
      <c r="I1018" s="135" t="s">
        <v>89</v>
      </c>
      <c r="J1018" s="182" t="s">
        <v>1365</v>
      </c>
      <c r="K1018" s="184" t="s">
        <v>11</v>
      </c>
      <c r="L1018" s="93" t="s">
        <v>3088</v>
      </c>
      <c r="M1018" s="94" t="s">
        <v>3422</v>
      </c>
      <c r="N1018" s="95" t="s">
        <v>2874</v>
      </c>
      <c r="O1018" s="185">
        <v>15</v>
      </c>
      <c r="P1018" s="97">
        <f>632/44*O1018</f>
        <v>215.45454545454544</v>
      </c>
      <c r="Q1018" s="155" t="s">
        <v>1443</v>
      </c>
      <c r="R1018" s="155">
        <v>3.8</v>
      </c>
      <c r="S1018" s="108"/>
      <c r="T1018" s="131"/>
      <c r="U1018" s="186">
        <f>R1018*P1018+350/427*O1018</f>
        <v>831.02235469448578</v>
      </c>
      <c r="V1018" s="100">
        <f t="shared" si="244"/>
        <v>2.770074515648286</v>
      </c>
      <c r="W1018" s="101">
        <f t="shared" si="245"/>
        <v>0.39572493080689802</v>
      </c>
      <c r="X1018" s="108"/>
      <c r="Y1018" s="108"/>
      <c r="Z1018" s="104"/>
      <c r="AA1018" s="118">
        <v>45905</v>
      </c>
      <c r="AB1018" s="118">
        <v>45929</v>
      </c>
      <c r="AC1018" s="118"/>
      <c r="AD1018" s="104">
        <f>IF(ISNA(VLOOKUP(D1018,亚马逊入库配置费!B:F,5,0)),0,VLOOKUP(D1018,亚马逊入库配置费!B:F,5,0))</f>
        <v>0.41</v>
      </c>
      <c r="AE1018" s="104">
        <f t="shared" si="238"/>
        <v>122.99999999999999</v>
      </c>
      <c r="AF1018" s="118">
        <v>45950</v>
      </c>
      <c r="AG1018" s="90">
        <f t="shared" si="239"/>
        <v>45</v>
      </c>
      <c r="AH1018" s="118">
        <v>45950</v>
      </c>
      <c r="AI1018" s="118">
        <v>45980</v>
      </c>
      <c r="AJ1018" s="158">
        <v>301</v>
      </c>
      <c r="AK1018" s="91">
        <f t="shared" si="240"/>
        <v>30</v>
      </c>
      <c r="AL1018" s="96">
        <f t="shared" si="241"/>
        <v>75</v>
      </c>
      <c r="AM1018" s="110"/>
      <c r="AN1018" s="90"/>
      <c r="AO1018" s="90"/>
    </row>
    <row r="1019" spans="1:41" ht="14.5" x14ac:dyDescent="0.25">
      <c r="A1019" s="110" t="s">
        <v>1759</v>
      </c>
      <c r="B1019" s="91"/>
      <c r="C1019" s="135" t="s">
        <v>1723</v>
      </c>
      <c r="D1019" s="187" t="s">
        <v>1760</v>
      </c>
      <c r="E1019" s="135" t="s">
        <v>97</v>
      </c>
      <c r="F1019" s="135" t="s">
        <v>0</v>
      </c>
      <c r="G1019" s="58" t="s">
        <v>1330</v>
      </c>
      <c r="H1019" s="135">
        <v>600</v>
      </c>
      <c r="I1019" s="135" t="s">
        <v>89</v>
      </c>
      <c r="J1019" s="182" t="s">
        <v>1365</v>
      </c>
      <c r="K1019" s="187" t="s">
        <v>10</v>
      </c>
      <c r="L1019" s="93" t="s">
        <v>1330</v>
      </c>
      <c r="M1019" s="94" t="s">
        <v>3442</v>
      </c>
      <c r="N1019" s="95" t="s">
        <v>3099</v>
      </c>
      <c r="O1019" s="185">
        <v>50</v>
      </c>
      <c r="P1019" s="97">
        <f>1553/107*O1019</f>
        <v>725.70093457943926</v>
      </c>
      <c r="Q1019" s="155" t="s">
        <v>1443</v>
      </c>
      <c r="R1019" s="155">
        <v>3.8</v>
      </c>
      <c r="S1019" s="108"/>
      <c r="T1019" s="131"/>
      <c r="U1019" s="186">
        <f>R1019*P1019+350/427*O1019</f>
        <v>2798.6471579592462</v>
      </c>
      <c r="V1019" s="100">
        <f t="shared" si="244"/>
        <v>4.6644119299320774</v>
      </c>
      <c r="W1019" s="101">
        <f t="shared" si="245"/>
        <v>0.66634456141886822</v>
      </c>
      <c r="X1019" s="95"/>
      <c r="Y1019" s="108"/>
      <c r="Z1019" s="102"/>
      <c r="AA1019" s="118">
        <v>45905</v>
      </c>
      <c r="AB1019" s="118">
        <v>45929</v>
      </c>
      <c r="AC1019" s="103"/>
      <c r="AD1019" s="104">
        <f>IF(ISNA(VLOOKUP(D1019,亚马逊入库配置费!B:F,5,0)),0,VLOOKUP(D1019,亚马逊入库配置费!B:F,5,0))</f>
        <v>0.49</v>
      </c>
      <c r="AE1019" s="104">
        <f t="shared" si="238"/>
        <v>294</v>
      </c>
      <c r="AF1019" s="103">
        <v>45948</v>
      </c>
      <c r="AG1019" s="90">
        <f t="shared" si="239"/>
        <v>43</v>
      </c>
      <c r="AH1019" s="103">
        <v>45948</v>
      </c>
      <c r="AI1019" s="103">
        <v>45982</v>
      </c>
      <c r="AJ1019" s="96">
        <v>588</v>
      </c>
      <c r="AK1019" s="91">
        <f t="shared" si="240"/>
        <v>34</v>
      </c>
      <c r="AL1019" s="96">
        <f t="shared" si="241"/>
        <v>77</v>
      </c>
      <c r="AM1019" s="92"/>
      <c r="AN1019" s="91"/>
      <c r="AO1019" s="91"/>
    </row>
    <row r="1020" spans="1:41" ht="14.5" x14ac:dyDescent="0.25">
      <c r="A1020" s="110" t="s">
        <v>1761</v>
      </c>
      <c r="B1020" s="91"/>
      <c r="C1020" s="135" t="s">
        <v>1723</v>
      </c>
      <c r="D1020" s="187" t="s">
        <v>1760</v>
      </c>
      <c r="E1020" s="135" t="s">
        <v>97</v>
      </c>
      <c r="F1020" s="135" t="s">
        <v>0</v>
      </c>
      <c r="G1020" s="58" t="s">
        <v>1332</v>
      </c>
      <c r="H1020" s="135">
        <v>300</v>
      </c>
      <c r="I1020" s="135" t="s">
        <v>89</v>
      </c>
      <c r="J1020" s="182" t="s">
        <v>1365</v>
      </c>
      <c r="K1020" s="187" t="s">
        <v>10</v>
      </c>
      <c r="L1020" s="93" t="s">
        <v>1332</v>
      </c>
      <c r="M1020" s="94" t="s">
        <v>3443</v>
      </c>
      <c r="N1020" s="95" t="s">
        <v>3099</v>
      </c>
      <c r="O1020" s="185">
        <v>25</v>
      </c>
      <c r="P1020" s="97">
        <f>1553/107*O1020</f>
        <v>362.85046728971963</v>
      </c>
      <c r="Q1020" s="155" t="s">
        <v>1443</v>
      </c>
      <c r="R1020" s="155">
        <v>3.8</v>
      </c>
      <c r="S1020" s="108"/>
      <c r="T1020" s="131"/>
      <c r="U1020" s="186">
        <f>R1020*P1020+350/427*O1020</f>
        <v>1399.3235789796231</v>
      </c>
      <c r="V1020" s="100">
        <f t="shared" si="244"/>
        <v>4.6644119299320774</v>
      </c>
      <c r="W1020" s="101">
        <f t="shared" si="245"/>
        <v>0.66634456141886822</v>
      </c>
      <c r="X1020" s="95"/>
      <c r="Y1020" s="108"/>
      <c r="Z1020" s="102"/>
      <c r="AA1020" s="118">
        <v>45905</v>
      </c>
      <c r="AB1020" s="118">
        <v>45929</v>
      </c>
      <c r="AC1020" s="103"/>
      <c r="AD1020" s="104">
        <f>IF(ISNA(VLOOKUP(D1020,亚马逊入库配置费!B:F,5,0)),0,VLOOKUP(D1020,亚马逊入库配置费!B:F,5,0))</f>
        <v>0.49</v>
      </c>
      <c r="AE1020" s="104">
        <f t="shared" si="238"/>
        <v>147</v>
      </c>
      <c r="AF1020" s="103">
        <v>45948</v>
      </c>
      <c r="AG1020" s="90">
        <f t="shared" si="239"/>
        <v>43</v>
      </c>
      <c r="AH1020" s="103">
        <v>45948</v>
      </c>
      <c r="AI1020" s="103">
        <v>45982</v>
      </c>
      <c r="AJ1020" s="96">
        <v>300</v>
      </c>
      <c r="AK1020" s="91">
        <f t="shared" si="240"/>
        <v>34</v>
      </c>
      <c r="AL1020" s="96">
        <f t="shared" si="241"/>
        <v>77</v>
      </c>
      <c r="AM1020" s="92"/>
      <c r="AN1020" s="91"/>
      <c r="AO1020" s="91"/>
    </row>
    <row r="1021" spans="1:41" ht="14.5" x14ac:dyDescent="0.25">
      <c r="A1021" s="110" t="s">
        <v>1762</v>
      </c>
      <c r="B1021" s="91"/>
      <c r="C1021" s="135" t="s">
        <v>1723</v>
      </c>
      <c r="D1021" s="187" t="s">
        <v>1760</v>
      </c>
      <c r="E1021" s="135" t="s">
        <v>97</v>
      </c>
      <c r="F1021" s="135" t="s">
        <v>0</v>
      </c>
      <c r="G1021" s="58" t="s">
        <v>88</v>
      </c>
      <c r="H1021" s="135">
        <v>384</v>
      </c>
      <c r="I1021" s="135" t="s">
        <v>89</v>
      </c>
      <c r="J1021" s="182" t="s">
        <v>1365</v>
      </c>
      <c r="K1021" s="187" t="s">
        <v>10</v>
      </c>
      <c r="L1021" s="93" t="s">
        <v>3014</v>
      </c>
      <c r="M1021" s="94" t="s">
        <v>3286</v>
      </c>
      <c r="N1021" s="95" t="s">
        <v>2821</v>
      </c>
      <c r="O1021" s="185">
        <v>32</v>
      </c>
      <c r="P1021" s="97">
        <f>1553/107*O1021</f>
        <v>464.44859813084111</v>
      </c>
      <c r="Q1021" s="155" t="s">
        <v>1443</v>
      </c>
      <c r="R1021" s="155">
        <v>3.8</v>
      </c>
      <c r="S1021" s="108"/>
      <c r="T1021" s="131"/>
      <c r="U1021" s="186">
        <f>R1021*P1021+350/427*O1021</f>
        <v>1791.1341810939175</v>
      </c>
      <c r="V1021" s="100">
        <f t="shared" si="244"/>
        <v>4.6644119299320765</v>
      </c>
      <c r="W1021" s="101">
        <f t="shared" si="245"/>
        <v>0.66634456141886811</v>
      </c>
      <c r="X1021" s="95"/>
      <c r="Y1021" s="108"/>
      <c r="Z1021" s="102"/>
      <c r="AA1021" s="118">
        <v>45905</v>
      </c>
      <c r="AB1021" s="118">
        <v>45929</v>
      </c>
      <c r="AC1021" s="103"/>
      <c r="AD1021" s="104">
        <f>IF(ISNA(VLOOKUP(D1021,亚马逊入库配置费!B:F,5,0)),0,VLOOKUP(D1021,亚马逊入库配置费!B:F,5,0))</f>
        <v>0.49</v>
      </c>
      <c r="AE1021" s="104">
        <f t="shared" si="238"/>
        <v>188.16</v>
      </c>
      <c r="AF1021" s="103">
        <v>45948</v>
      </c>
      <c r="AG1021" s="90">
        <f t="shared" si="239"/>
        <v>43</v>
      </c>
      <c r="AH1021" s="103">
        <v>45948</v>
      </c>
      <c r="AI1021" s="103">
        <v>45982</v>
      </c>
      <c r="AJ1021" s="96">
        <v>367</v>
      </c>
      <c r="AK1021" s="91">
        <f t="shared" si="240"/>
        <v>34</v>
      </c>
      <c r="AL1021" s="96">
        <f t="shared" si="241"/>
        <v>77</v>
      </c>
      <c r="AM1021" s="92"/>
      <c r="AN1021" s="91"/>
      <c r="AO1021" s="91"/>
    </row>
    <row r="1022" spans="1:41" ht="14.5" x14ac:dyDescent="0.25">
      <c r="A1022" s="110" t="s">
        <v>1763</v>
      </c>
      <c r="B1022" s="91"/>
      <c r="C1022" s="119" t="s">
        <v>1749</v>
      </c>
      <c r="D1022" s="120" t="s">
        <v>1764</v>
      </c>
      <c r="E1022" s="135" t="s">
        <v>97</v>
      </c>
      <c r="F1022" s="135" t="s">
        <v>0</v>
      </c>
      <c r="G1022" s="58" t="s">
        <v>93</v>
      </c>
      <c r="H1022" s="119">
        <v>504</v>
      </c>
      <c r="I1022" s="119" t="s">
        <v>89</v>
      </c>
      <c r="J1022" s="160" t="s">
        <v>1686</v>
      </c>
      <c r="K1022" s="120" t="s">
        <v>10</v>
      </c>
      <c r="L1022" s="93" t="s">
        <v>3015</v>
      </c>
      <c r="M1022" s="94" t="s">
        <v>3288</v>
      </c>
      <c r="N1022" s="95" t="s">
        <v>2821</v>
      </c>
      <c r="O1022" s="188">
        <v>42</v>
      </c>
      <c r="P1022" s="97">
        <f>603/42*O1022</f>
        <v>603</v>
      </c>
      <c r="Q1022" s="126" t="s">
        <v>1443</v>
      </c>
      <c r="R1022" s="126">
        <v>9.5</v>
      </c>
      <c r="S1022" s="108"/>
      <c r="T1022" s="131"/>
      <c r="U1022" s="157">
        <f>R1022*P1022+350/92*O1022</f>
        <v>5888.282608695652</v>
      </c>
      <c r="V1022" s="100">
        <f t="shared" si="244"/>
        <v>11.683100414078675</v>
      </c>
      <c r="W1022" s="101">
        <f t="shared" si="245"/>
        <v>1.6690143448683821</v>
      </c>
      <c r="X1022" s="95"/>
      <c r="Y1022" s="108"/>
      <c r="Z1022" s="102"/>
      <c r="AA1022" s="118">
        <v>45905</v>
      </c>
      <c r="AB1022" s="118">
        <v>45921</v>
      </c>
      <c r="AC1022" s="103"/>
      <c r="AD1022" s="104">
        <f>IF(ISNA(VLOOKUP(D1022,亚马逊入库配置费!B:F,5,0)),0,VLOOKUP(D1022,亚马逊入库配置费!B:F,5,0))</f>
        <v>0.49</v>
      </c>
      <c r="AE1022" s="104">
        <f t="shared" si="238"/>
        <v>246.96</v>
      </c>
      <c r="AF1022" s="103">
        <v>45928</v>
      </c>
      <c r="AG1022" s="90">
        <f t="shared" si="239"/>
        <v>23</v>
      </c>
      <c r="AH1022" s="103">
        <v>45928</v>
      </c>
      <c r="AI1022" s="103">
        <v>45962</v>
      </c>
      <c r="AJ1022" s="96">
        <v>502</v>
      </c>
      <c r="AK1022" s="91">
        <f t="shared" si="240"/>
        <v>34</v>
      </c>
      <c r="AL1022" s="96">
        <f t="shared" si="241"/>
        <v>57</v>
      </c>
      <c r="AM1022" s="92"/>
      <c r="AN1022" s="91"/>
      <c r="AO1022" s="91"/>
    </row>
    <row r="1023" spans="1:41" ht="14.5" x14ac:dyDescent="0.25">
      <c r="A1023" s="110" t="s">
        <v>1765</v>
      </c>
      <c r="B1023" s="90"/>
      <c r="C1023" s="126" t="s">
        <v>1563</v>
      </c>
      <c r="D1023" s="127" t="s">
        <v>1766</v>
      </c>
      <c r="E1023" s="135" t="s">
        <v>115</v>
      </c>
      <c r="F1023" s="135" t="s">
        <v>0</v>
      </c>
      <c r="G1023" s="58" t="s">
        <v>1052</v>
      </c>
      <c r="H1023" s="126">
        <v>390</v>
      </c>
      <c r="I1023" s="119" t="s">
        <v>1767</v>
      </c>
      <c r="J1023" s="160" t="s">
        <v>1365</v>
      </c>
      <c r="K1023" s="127" t="s">
        <v>13</v>
      </c>
      <c r="L1023" s="93" t="s">
        <v>3089</v>
      </c>
      <c r="M1023" s="94" t="s">
        <v>3423</v>
      </c>
      <c r="N1023" s="95" t="s">
        <v>3042</v>
      </c>
      <c r="O1023" s="188">
        <v>5</v>
      </c>
      <c r="P1023" s="97">
        <f t="shared" ref="P1023:P1030" si="251">2.21/39*O1023</f>
        <v>0.28333333333333333</v>
      </c>
      <c r="Q1023" s="160" t="s">
        <v>3430</v>
      </c>
      <c r="R1023" s="126">
        <v>1100</v>
      </c>
      <c r="S1023" s="108"/>
      <c r="T1023" s="131">
        <v>0</v>
      </c>
      <c r="U1023" s="157">
        <f>R1023*P1023</f>
        <v>311.66666666666669</v>
      </c>
      <c r="V1023" s="100">
        <f t="shared" si="244"/>
        <v>0.79914529914529919</v>
      </c>
      <c r="W1023" s="101">
        <f t="shared" si="245"/>
        <v>0.11416361416361417</v>
      </c>
      <c r="X1023" s="108"/>
      <c r="Y1023" s="108"/>
      <c r="Z1023" s="102"/>
      <c r="AA1023" s="118">
        <v>45905</v>
      </c>
      <c r="AB1023" s="118">
        <v>45924</v>
      </c>
      <c r="AC1023" s="118"/>
      <c r="AD1023" s="104">
        <f>IF(ISNA(VLOOKUP(D1023,亚马逊入库配置费!B:F,5,0)),0,VLOOKUP(D1023,亚马逊入库配置费!B:F,5,0))</f>
        <v>0.34</v>
      </c>
      <c r="AE1023" s="104">
        <f t="shared" si="238"/>
        <v>132.60000000000002</v>
      </c>
      <c r="AF1023" s="118">
        <v>45933</v>
      </c>
      <c r="AG1023" s="90">
        <f t="shared" si="239"/>
        <v>28</v>
      </c>
      <c r="AH1023" s="118">
        <v>45933</v>
      </c>
      <c r="AI1023" s="118">
        <v>45966</v>
      </c>
      <c r="AJ1023" s="158">
        <v>390</v>
      </c>
      <c r="AK1023" s="91">
        <f t="shared" si="240"/>
        <v>33</v>
      </c>
      <c r="AL1023" s="96">
        <f t="shared" si="241"/>
        <v>61</v>
      </c>
      <c r="AM1023" s="110"/>
      <c r="AN1023" s="90"/>
      <c r="AO1023" s="90"/>
    </row>
    <row r="1024" spans="1:41" ht="14.5" x14ac:dyDescent="0.25">
      <c r="A1024" s="110" t="s">
        <v>1768</v>
      </c>
      <c r="B1024" s="91"/>
      <c r="C1024" s="119" t="s">
        <v>303</v>
      </c>
      <c r="D1024" s="120" t="s">
        <v>1766</v>
      </c>
      <c r="E1024" s="135" t="s">
        <v>115</v>
      </c>
      <c r="F1024" s="135" t="s">
        <v>0</v>
      </c>
      <c r="G1024" s="58" t="s">
        <v>1054</v>
      </c>
      <c r="H1024" s="119">
        <v>90</v>
      </c>
      <c r="I1024" s="119" t="s">
        <v>1767</v>
      </c>
      <c r="J1024" s="160" t="s">
        <v>1365</v>
      </c>
      <c r="K1024" s="120" t="s">
        <v>13</v>
      </c>
      <c r="L1024" s="93" t="s">
        <v>3090</v>
      </c>
      <c r="M1024" s="94" t="s">
        <v>3424</v>
      </c>
      <c r="N1024" s="95" t="s">
        <v>3042</v>
      </c>
      <c r="O1024" s="188">
        <v>1</v>
      </c>
      <c r="P1024" s="97">
        <f t="shared" si="251"/>
        <v>5.6666666666666664E-2</v>
      </c>
      <c r="Q1024" s="160" t="s">
        <v>3430</v>
      </c>
      <c r="R1024" s="126">
        <v>1100</v>
      </c>
      <c r="S1024" s="108"/>
      <c r="T1024" s="131">
        <v>0</v>
      </c>
      <c r="U1024" s="157">
        <f t="shared" ref="U1024:U1030" si="252">R1024*P1024</f>
        <v>62.333333333333329</v>
      </c>
      <c r="V1024" s="100">
        <f t="shared" si="244"/>
        <v>0.69259259259259254</v>
      </c>
      <c r="W1024" s="101">
        <f t="shared" si="245"/>
        <v>9.8941798941798928E-2</v>
      </c>
      <c r="X1024" s="95"/>
      <c r="Y1024" s="108"/>
      <c r="Z1024" s="102"/>
      <c r="AA1024" s="118">
        <v>45905</v>
      </c>
      <c r="AB1024" s="103">
        <v>45924</v>
      </c>
      <c r="AC1024" s="103"/>
      <c r="AD1024" s="104">
        <f>IF(ISNA(VLOOKUP(D1024,亚马逊入库配置费!B:F,5,0)),0,VLOOKUP(D1024,亚马逊入库配置费!B:F,5,0))</f>
        <v>0.34</v>
      </c>
      <c r="AE1024" s="104">
        <f t="shared" si="238"/>
        <v>30.6</v>
      </c>
      <c r="AF1024" s="103">
        <v>45933</v>
      </c>
      <c r="AG1024" s="90">
        <f t="shared" si="239"/>
        <v>28</v>
      </c>
      <c r="AH1024" s="103">
        <v>45933</v>
      </c>
      <c r="AI1024" s="103">
        <v>45966</v>
      </c>
      <c r="AJ1024" s="96">
        <v>89</v>
      </c>
      <c r="AK1024" s="91">
        <f t="shared" si="240"/>
        <v>33</v>
      </c>
      <c r="AL1024" s="96">
        <f t="shared" si="241"/>
        <v>61</v>
      </c>
      <c r="AM1024" s="92"/>
      <c r="AN1024" s="91"/>
      <c r="AO1024" s="91"/>
    </row>
    <row r="1025" spans="1:41" ht="14.5" x14ac:dyDescent="0.25">
      <c r="A1025" s="110" t="s">
        <v>1769</v>
      </c>
      <c r="B1025" s="91"/>
      <c r="C1025" s="119" t="s">
        <v>303</v>
      </c>
      <c r="D1025" s="120" t="s">
        <v>1766</v>
      </c>
      <c r="E1025" s="135" t="s">
        <v>115</v>
      </c>
      <c r="F1025" s="135" t="s">
        <v>0</v>
      </c>
      <c r="G1025" s="58" t="s">
        <v>1059</v>
      </c>
      <c r="H1025" s="119">
        <v>90</v>
      </c>
      <c r="I1025" s="119" t="s">
        <v>1767</v>
      </c>
      <c r="J1025" s="160" t="s">
        <v>1365</v>
      </c>
      <c r="K1025" s="120" t="s">
        <v>13</v>
      </c>
      <c r="L1025" s="93" t="s">
        <v>3092</v>
      </c>
      <c r="M1025" s="94" t="s">
        <v>3426</v>
      </c>
      <c r="N1025" s="95" t="s">
        <v>3042</v>
      </c>
      <c r="O1025" s="188">
        <v>1</v>
      </c>
      <c r="P1025" s="97">
        <f t="shared" si="251"/>
        <v>5.6666666666666664E-2</v>
      </c>
      <c r="Q1025" s="160" t="s">
        <v>3430</v>
      </c>
      <c r="R1025" s="126">
        <v>1100</v>
      </c>
      <c r="S1025" s="108"/>
      <c r="T1025" s="131">
        <v>0</v>
      </c>
      <c r="U1025" s="157">
        <f t="shared" si="252"/>
        <v>62.333333333333329</v>
      </c>
      <c r="V1025" s="100">
        <f t="shared" si="244"/>
        <v>0.69259259259259254</v>
      </c>
      <c r="W1025" s="101">
        <f t="shared" si="245"/>
        <v>9.8941798941798928E-2</v>
      </c>
      <c r="X1025" s="95"/>
      <c r="Y1025" s="108"/>
      <c r="Z1025" s="102"/>
      <c r="AA1025" s="118">
        <v>45905</v>
      </c>
      <c r="AB1025" s="103">
        <v>45924</v>
      </c>
      <c r="AC1025" s="103"/>
      <c r="AD1025" s="104">
        <f>IF(ISNA(VLOOKUP(D1025,亚马逊入库配置费!B:F,5,0)),0,VLOOKUP(D1025,亚马逊入库配置费!B:F,5,0))</f>
        <v>0.34</v>
      </c>
      <c r="AE1025" s="104">
        <f t="shared" si="238"/>
        <v>30.6</v>
      </c>
      <c r="AF1025" s="103">
        <v>45933</v>
      </c>
      <c r="AG1025" s="90">
        <f t="shared" si="239"/>
        <v>28</v>
      </c>
      <c r="AH1025" s="103">
        <v>45933</v>
      </c>
      <c r="AI1025" s="103">
        <v>45966</v>
      </c>
      <c r="AJ1025" s="96">
        <v>91</v>
      </c>
      <c r="AK1025" s="91">
        <f t="shared" si="240"/>
        <v>33</v>
      </c>
      <c r="AL1025" s="96">
        <f t="shared" si="241"/>
        <v>61</v>
      </c>
      <c r="AM1025" s="92"/>
      <c r="AN1025" s="91"/>
      <c r="AO1025" s="91"/>
    </row>
    <row r="1026" spans="1:41" ht="14.5" x14ac:dyDescent="0.25">
      <c r="A1026" s="110" t="s">
        <v>1770</v>
      </c>
      <c r="B1026" s="90"/>
      <c r="C1026" s="126" t="s">
        <v>1563</v>
      </c>
      <c r="D1026" s="127" t="s">
        <v>1771</v>
      </c>
      <c r="E1026" s="135" t="s">
        <v>97</v>
      </c>
      <c r="F1026" s="135" t="s">
        <v>0</v>
      </c>
      <c r="G1026" s="58" t="s">
        <v>1052</v>
      </c>
      <c r="H1026" s="126">
        <v>780</v>
      </c>
      <c r="I1026" s="126" t="s">
        <v>1234</v>
      </c>
      <c r="J1026" s="160" t="s">
        <v>1365</v>
      </c>
      <c r="K1026" s="127" t="s">
        <v>13</v>
      </c>
      <c r="L1026" s="93" t="s">
        <v>3089</v>
      </c>
      <c r="M1026" s="94" t="s">
        <v>3423</v>
      </c>
      <c r="N1026" s="95" t="s">
        <v>3042</v>
      </c>
      <c r="O1026" s="188">
        <v>10</v>
      </c>
      <c r="P1026" s="97">
        <f t="shared" si="251"/>
        <v>0.56666666666666665</v>
      </c>
      <c r="Q1026" s="160" t="s">
        <v>3430</v>
      </c>
      <c r="R1026" s="126">
        <v>1100</v>
      </c>
      <c r="S1026" s="108"/>
      <c r="T1026" s="131">
        <v>0</v>
      </c>
      <c r="U1026" s="157">
        <f t="shared" si="252"/>
        <v>623.33333333333337</v>
      </c>
      <c r="V1026" s="100">
        <f t="shared" si="244"/>
        <v>0.79914529914529919</v>
      </c>
      <c r="W1026" s="101">
        <f t="shared" si="245"/>
        <v>0.11416361416361417</v>
      </c>
      <c r="X1026" s="108"/>
      <c r="Y1026" s="108"/>
      <c r="Z1026" s="102"/>
      <c r="AA1026" s="118">
        <v>45905</v>
      </c>
      <c r="AB1026" s="118">
        <v>45924</v>
      </c>
      <c r="AC1026" s="118"/>
      <c r="AD1026" s="104">
        <f>IF(ISNA(VLOOKUP(D1026,亚马逊入库配置费!B:F,5,0)),0,VLOOKUP(D1026,亚马逊入库配置费!B:F,5,0))</f>
        <v>0.34</v>
      </c>
      <c r="AE1026" s="104">
        <f t="shared" ref="AE1026:AE1089" si="253">H1026*AD1026</f>
        <v>265.20000000000005</v>
      </c>
      <c r="AF1026" s="118">
        <v>45933</v>
      </c>
      <c r="AG1026" s="90">
        <f t="shared" ref="AG1026:AG1089" si="254">AF1026-AA1026</f>
        <v>28</v>
      </c>
      <c r="AH1026" s="118">
        <v>45933</v>
      </c>
      <c r="AI1026" s="118">
        <v>45966</v>
      </c>
      <c r="AJ1026" s="158">
        <v>776</v>
      </c>
      <c r="AK1026" s="91">
        <f t="shared" ref="AK1026:AK1089" si="255">AI1026-AH1026</f>
        <v>33</v>
      </c>
      <c r="AL1026" s="96">
        <f t="shared" si="241"/>
        <v>61</v>
      </c>
      <c r="AM1026" s="110"/>
      <c r="AN1026" s="90"/>
      <c r="AO1026" s="90"/>
    </row>
    <row r="1027" spans="1:41" ht="14.5" x14ac:dyDescent="0.25">
      <c r="A1027" s="110" t="s">
        <v>1772</v>
      </c>
      <c r="B1027" s="91"/>
      <c r="C1027" s="119" t="s">
        <v>303</v>
      </c>
      <c r="D1027" s="120" t="s">
        <v>1771</v>
      </c>
      <c r="E1027" s="135" t="s">
        <v>97</v>
      </c>
      <c r="F1027" s="135" t="s">
        <v>0</v>
      </c>
      <c r="G1027" s="58" t="s">
        <v>1054</v>
      </c>
      <c r="H1027" s="119">
        <v>90</v>
      </c>
      <c r="I1027" s="119" t="s">
        <v>1767</v>
      </c>
      <c r="J1027" s="160" t="s">
        <v>1365</v>
      </c>
      <c r="K1027" s="120" t="s">
        <v>13</v>
      </c>
      <c r="L1027" s="93" t="s">
        <v>3090</v>
      </c>
      <c r="M1027" s="94" t="s">
        <v>3424</v>
      </c>
      <c r="N1027" s="95" t="s">
        <v>3042</v>
      </c>
      <c r="O1027" s="188">
        <v>1</v>
      </c>
      <c r="P1027" s="97">
        <f t="shared" si="251"/>
        <v>5.6666666666666664E-2</v>
      </c>
      <c r="Q1027" s="160" t="s">
        <v>3430</v>
      </c>
      <c r="R1027" s="126">
        <v>1100</v>
      </c>
      <c r="S1027" s="108"/>
      <c r="T1027" s="131">
        <v>0</v>
      </c>
      <c r="U1027" s="157">
        <f t="shared" si="252"/>
        <v>62.333333333333329</v>
      </c>
      <c r="V1027" s="100">
        <f t="shared" si="244"/>
        <v>0.69259259259259254</v>
      </c>
      <c r="W1027" s="101">
        <f t="shared" si="245"/>
        <v>9.8941798941798928E-2</v>
      </c>
      <c r="X1027" s="95"/>
      <c r="Y1027" s="108"/>
      <c r="Z1027" s="102"/>
      <c r="AA1027" s="118">
        <v>45905</v>
      </c>
      <c r="AB1027" s="103">
        <v>45924</v>
      </c>
      <c r="AC1027" s="103"/>
      <c r="AD1027" s="104">
        <f>IF(ISNA(VLOOKUP(D1027,亚马逊入库配置费!B:F,5,0)),0,VLOOKUP(D1027,亚马逊入库配置费!B:F,5,0))</f>
        <v>0.34</v>
      </c>
      <c r="AE1027" s="104">
        <f t="shared" si="253"/>
        <v>30.6</v>
      </c>
      <c r="AF1027" s="103">
        <v>45933</v>
      </c>
      <c r="AG1027" s="90">
        <f t="shared" si="254"/>
        <v>28</v>
      </c>
      <c r="AH1027" s="103">
        <v>45933</v>
      </c>
      <c r="AI1027" s="103">
        <v>45966</v>
      </c>
      <c r="AJ1027" s="96">
        <v>88</v>
      </c>
      <c r="AK1027" s="91">
        <f t="shared" si="255"/>
        <v>33</v>
      </c>
      <c r="AL1027" s="96">
        <f t="shared" si="241"/>
        <v>61</v>
      </c>
      <c r="AM1027" s="92"/>
      <c r="AN1027" s="91"/>
      <c r="AO1027" s="91"/>
    </row>
    <row r="1028" spans="1:41" ht="14.5" x14ac:dyDescent="0.25">
      <c r="A1028" s="110" t="s">
        <v>1773</v>
      </c>
      <c r="B1028" s="91"/>
      <c r="C1028" s="119" t="s">
        <v>303</v>
      </c>
      <c r="D1028" s="120" t="s">
        <v>1771</v>
      </c>
      <c r="E1028" s="135" t="s">
        <v>97</v>
      </c>
      <c r="F1028" s="135" t="s">
        <v>0</v>
      </c>
      <c r="G1028" s="58" t="s">
        <v>316</v>
      </c>
      <c r="H1028" s="119">
        <v>1530</v>
      </c>
      <c r="I1028" s="119" t="s">
        <v>1767</v>
      </c>
      <c r="J1028" s="160" t="s">
        <v>1365</v>
      </c>
      <c r="K1028" s="120" t="s">
        <v>13</v>
      </c>
      <c r="L1028" s="93" t="s">
        <v>3046</v>
      </c>
      <c r="M1028" s="94" t="s">
        <v>3333</v>
      </c>
      <c r="N1028" s="95" t="s">
        <v>3042</v>
      </c>
      <c r="O1028" s="188">
        <v>17</v>
      </c>
      <c r="P1028" s="97">
        <f t="shared" si="251"/>
        <v>0.96333333333333326</v>
      </c>
      <c r="Q1028" s="160" t="s">
        <v>3430</v>
      </c>
      <c r="R1028" s="126">
        <v>1100</v>
      </c>
      <c r="S1028" s="108"/>
      <c r="T1028" s="131">
        <v>0</v>
      </c>
      <c r="U1028" s="157">
        <f t="shared" si="252"/>
        <v>1059.6666666666665</v>
      </c>
      <c r="V1028" s="100">
        <f t="shared" si="244"/>
        <v>0.69259259259259254</v>
      </c>
      <c r="W1028" s="101">
        <f t="shared" si="245"/>
        <v>9.8941798941798928E-2</v>
      </c>
      <c r="X1028" s="95"/>
      <c r="Y1028" s="108"/>
      <c r="Z1028" s="102"/>
      <c r="AA1028" s="118">
        <v>45905</v>
      </c>
      <c r="AB1028" s="103">
        <v>45924</v>
      </c>
      <c r="AC1028" s="103"/>
      <c r="AD1028" s="104">
        <f>IF(ISNA(VLOOKUP(D1028,亚马逊入库配置费!B:F,5,0)),0,VLOOKUP(D1028,亚马逊入库配置费!B:F,5,0))</f>
        <v>0.34</v>
      </c>
      <c r="AE1028" s="104">
        <f t="shared" si="253"/>
        <v>520.20000000000005</v>
      </c>
      <c r="AF1028" s="103">
        <v>45933</v>
      </c>
      <c r="AG1028" s="90">
        <f t="shared" si="254"/>
        <v>28</v>
      </c>
      <c r="AH1028" s="103">
        <v>45933</v>
      </c>
      <c r="AI1028" s="103">
        <v>45966</v>
      </c>
      <c r="AJ1028" s="96">
        <v>1524</v>
      </c>
      <c r="AK1028" s="91">
        <f t="shared" si="255"/>
        <v>33</v>
      </c>
      <c r="AL1028" s="96">
        <f t="shared" ref="AL1028:AL1091" si="256">AG1028+AK1028</f>
        <v>61</v>
      </c>
      <c r="AM1028" s="92"/>
      <c r="AN1028" s="91"/>
      <c r="AO1028" s="91"/>
    </row>
    <row r="1029" spans="1:41" ht="14.5" x14ac:dyDescent="0.25">
      <c r="A1029" s="110" t="s">
        <v>1774</v>
      </c>
      <c r="B1029" s="91"/>
      <c r="C1029" s="119" t="s">
        <v>303</v>
      </c>
      <c r="D1029" s="120" t="s">
        <v>1771</v>
      </c>
      <c r="E1029" s="135" t="s">
        <v>97</v>
      </c>
      <c r="F1029" s="135" t="s">
        <v>0</v>
      </c>
      <c r="G1029" s="58" t="s">
        <v>1059</v>
      </c>
      <c r="H1029" s="119">
        <v>180</v>
      </c>
      <c r="I1029" s="119" t="s">
        <v>1767</v>
      </c>
      <c r="J1029" s="160" t="s">
        <v>1365</v>
      </c>
      <c r="K1029" s="120" t="s">
        <v>13</v>
      </c>
      <c r="L1029" s="93" t="s">
        <v>3092</v>
      </c>
      <c r="M1029" s="94" t="s">
        <v>3426</v>
      </c>
      <c r="N1029" s="95" t="s">
        <v>3042</v>
      </c>
      <c r="O1029" s="188">
        <v>2</v>
      </c>
      <c r="P1029" s="97">
        <f t="shared" si="251"/>
        <v>0.11333333333333333</v>
      </c>
      <c r="Q1029" s="160" t="s">
        <v>3430</v>
      </c>
      <c r="R1029" s="126">
        <v>1100</v>
      </c>
      <c r="S1029" s="108"/>
      <c r="T1029" s="131">
        <v>0</v>
      </c>
      <c r="U1029" s="157">
        <f t="shared" si="252"/>
        <v>124.66666666666666</v>
      </c>
      <c r="V1029" s="100">
        <f t="shared" si="244"/>
        <v>0.69259259259259254</v>
      </c>
      <c r="W1029" s="101">
        <f t="shared" si="245"/>
        <v>9.8941798941798928E-2</v>
      </c>
      <c r="X1029" s="95"/>
      <c r="Y1029" s="108"/>
      <c r="Z1029" s="102"/>
      <c r="AA1029" s="118">
        <v>45905</v>
      </c>
      <c r="AB1029" s="103">
        <v>45924</v>
      </c>
      <c r="AC1029" s="103"/>
      <c r="AD1029" s="104">
        <f>IF(ISNA(VLOOKUP(D1029,亚马逊入库配置费!B:F,5,0)),0,VLOOKUP(D1029,亚马逊入库配置费!B:F,5,0))</f>
        <v>0.34</v>
      </c>
      <c r="AE1029" s="104">
        <f t="shared" si="253"/>
        <v>61.2</v>
      </c>
      <c r="AF1029" s="103">
        <v>45933</v>
      </c>
      <c r="AG1029" s="90">
        <f t="shared" si="254"/>
        <v>28</v>
      </c>
      <c r="AH1029" s="103">
        <v>45933</v>
      </c>
      <c r="AI1029" s="103">
        <v>45966</v>
      </c>
      <c r="AJ1029" s="96">
        <v>182</v>
      </c>
      <c r="AK1029" s="91">
        <f t="shared" si="255"/>
        <v>33</v>
      </c>
      <c r="AL1029" s="96">
        <f t="shared" si="256"/>
        <v>61</v>
      </c>
      <c r="AM1029" s="92"/>
      <c r="AN1029" s="91"/>
      <c r="AO1029" s="91"/>
    </row>
    <row r="1030" spans="1:41" ht="14.5" x14ac:dyDescent="0.25">
      <c r="A1030" s="110" t="s">
        <v>1775</v>
      </c>
      <c r="B1030" s="91"/>
      <c r="C1030" s="119" t="s">
        <v>303</v>
      </c>
      <c r="D1030" s="120" t="s">
        <v>1771</v>
      </c>
      <c r="E1030" s="135" t="s">
        <v>97</v>
      </c>
      <c r="F1030" s="135" t="s">
        <v>0</v>
      </c>
      <c r="G1030" s="58" t="s">
        <v>526</v>
      </c>
      <c r="H1030" s="119">
        <v>180</v>
      </c>
      <c r="I1030" s="119" t="s">
        <v>1767</v>
      </c>
      <c r="J1030" s="160" t="s">
        <v>1365</v>
      </c>
      <c r="K1030" s="120" t="s">
        <v>13</v>
      </c>
      <c r="L1030" s="93" t="s">
        <v>3069</v>
      </c>
      <c r="M1030" s="94" t="s">
        <v>3367</v>
      </c>
      <c r="N1030" s="95" t="s">
        <v>3042</v>
      </c>
      <c r="O1030" s="188">
        <v>2</v>
      </c>
      <c r="P1030" s="97">
        <f t="shared" si="251"/>
        <v>0.11333333333333333</v>
      </c>
      <c r="Q1030" s="160" t="s">
        <v>3430</v>
      </c>
      <c r="R1030" s="126">
        <v>1100</v>
      </c>
      <c r="S1030" s="108"/>
      <c r="T1030" s="131">
        <v>0</v>
      </c>
      <c r="U1030" s="157">
        <f t="shared" si="252"/>
        <v>124.66666666666666</v>
      </c>
      <c r="V1030" s="100">
        <f t="shared" si="244"/>
        <v>0.69259259259259254</v>
      </c>
      <c r="W1030" s="101">
        <f t="shared" si="245"/>
        <v>9.8941798941798928E-2</v>
      </c>
      <c r="X1030" s="95"/>
      <c r="Y1030" s="108"/>
      <c r="Z1030" s="102"/>
      <c r="AA1030" s="118">
        <v>45905</v>
      </c>
      <c r="AB1030" s="103">
        <v>45924</v>
      </c>
      <c r="AC1030" s="103"/>
      <c r="AD1030" s="104">
        <f>IF(ISNA(VLOOKUP(D1030,亚马逊入库配置费!B:F,5,0)),0,VLOOKUP(D1030,亚马逊入库配置费!B:F,5,0))</f>
        <v>0.34</v>
      </c>
      <c r="AE1030" s="104">
        <f t="shared" si="253"/>
        <v>61.2</v>
      </c>
      <c r="AF1030" s="103">
        <v>45933</v>
      </c>
      <c r="AG1030" s="90">
        <f t="shared" si="254"/>
        <v>28</v>
      </c>
      <c r="AH1030" s="103">
        <v>45933</v>
      </c>
      <c r="AI1030" s="103">
        <v>45966</v>
      </c>
      <c r="AJ1030" s="96">
        <v>180</v>
      </c>
      <c r="AK1030" s="91">
        <f t="shared" si="255"/>
        <v>33</v>
      </c>
      <c r="AL1030" s="96">
        <f t="shared" si="256"/>
        <v>61</v>
      </c>
      <c r="AM1030" s="92"/>
      <c r="AN1030" s="91"/>
      <c r="AO1030" s="91"/>
    </row>
    <row r="1031" spans="1:41" ht="14.5" x14ac:dyDescent="0.25">
      <c r="A1031" s="110" t="s">
        <v>1776</v>
      </c>
      <c r="B1031" s="90"/>
      <c r="C1031" s="126" t="s">
        <v>1777</v>
      </c>
      <c r="D1031" s="127" t="s">
        <v>1778</v>
      </c>
      <c r="E1031" s="135" t="s">
        <v>287</v>
      </c>
      <c r="F1031" s="135" t="s">
        <v>0</v>
      </c>
      <c r="G1031" s="58" t="s">
        <v>884</v>
      </c>
      <c r="H1031" s="126">
        <v>496</v>
      </c>
      <c r="I1031" s="126" t="s">
        <v>1234</v>
      </c>
      <c r="J1031" s="160" t="s">
        <v>1365</v>
      </c>
      <c r="K1031" s="127" t="s">
        <v>13</v>
      </c>
      <c r="L1031" s="93" t="s">
        <v>3084</v>
      </c>
      <c r="M1031" s="94" t="s">
        <v>3402</v>
      </c>
      <c r="N1031" s="95" t="s">
        <v>51</v>
      </c>
      <c r="O1031" s="188">
        <v>31</v>
      </c>
      <c r="P1031" s="97">
        <f>2.42/37*O1031</f>
        <v>2.0275675675675675</v>
      </c>
      <c r="Q1031" s="160" t="s">
        <v>3430</v>
      </c>
      <c r="R1031" s="126">
        <v>1100</v>
      </c>
      <c r="S1031" s="108"/>
      <c r="T1031" s="131"/>
      <c r="U1031" s="157">
        <f>R1031*P1031+220/37*O1031</f>
        <v>2414.6486486486483</v>
      </c>
      <c r="V1031" s="100">
        <f t="shared" si="244"/>
        <v>4.868243243243243</v>
      </c>
      <c r="W1031" s="101">
        <f t="shared" si="245"/>
        <v>0.69546332046332038</v>
      </c>
      <c r="X1031" s="108"/>
      <c r="Y1031" s="108"/>
      <c r="Z1031" s="102"/>
      <c r="AA1031" s="118">
        <v>45905</v>
      </c>
      <c r="AB1031" s="118">
        <v>45929</v>
      </c>
      <c r="AC1031" s="118"/>
      <c r="AD1031" s="104">
        <f>IF(ISNA(VLOOKUP(D1031,亚马逊入库配置费!B:F,5,0)),0,VLOOKUP(D1031,亚马逊入库配置费!B:F,5,0))</f>
        <v>0.49</v>
      </c>
      <c r="AE1031" s="104">
        <f t="shared" si="253"/>
        <v>243.04</v>
      </c>
      <c r="AF1031" s="118">
        <v>45937</v>
      </c>
      <c r="AG1031" s="90">
        <f t="shared" si="254"/>
        <v>32</v>
      </c>
      <c r="AH1031" s="118">
        <v>45937</v>
      </c>
      <c r="AI1031" s="118">
        <v>45971</v>
      </c>
      <c r="AJ1031" s="158">
        <v>496</v>
      </c>
      <c r="AK1031" s="91">
        <f t="shared" si="255"/>
        <v>34</v>
      </c>
      <c r="AL1031" s="96">
        <f t="shared" si="256"/>
        <v>66</v>
      </c>
      <c r="AM1031" s="110"/>
      <c r="AN1031" s="90"/>
      <c r="AO1031" s="90"/>
    </row>
    <row r="1032" spans="1:41" ht="14.5" x14ac:dyDescent="0.25">
      <c r="A1032" s="110" t="s">
        <v>1779</v>
      </c>
      <c r="B1032" s="90"/>
      <c r="C1032" s="126" t="s">
        <v>1777</v>
      </c>
      <c r="D1032" s="127" t="s">
        <v>1778</v>
      </c>
      <c r="E1032" s="135" t="s">
        <v>287</v>
      </c>
      <c r="F1032" s="135" t="s">
        <v>0</v>
      </c>
      <c r="G1032" s="58" t="s">
        <v>1006</v>
      </c>
      <c r="H1032" s="126">
        <v>48</v>
      </c>
      <c r="I1032" s="126" t="s">
        <v>1234</v>
      </c>
      <c r="J1032" s="160" t="s">
        <v>1365</v>
      </c>
      <c r="K1032" s="127" t="s">
        <v>13</v>
      </c>
      <c r="L1032" s="93" t="s">
        <v>3087</v>
      </c>
      <c r="M1032" s="94" t="s">
        <v>3419</v>
      </c>
      <c r="N1032" s="95" t="s">
        <v>51</v>
      </c>
      <c r="O1032" s="188">
        <v>3</v>
      </c>
      <c r="P1032" s="97">
        <f>2.42/37*O1032</f>
        <v>0.19621621621621621</v>
      </c>
      <c r="Q1032" s="160" t="s">
        <v>3430</v>
      </c>
      <c r="R1032" s="126">
        <v>1100</v>
      </c>
      <c r="S1032" s="108"/>
      <c r="T1032" s="131"/>
      <c r="U1032" s="157">
        <f>R1032*P1032+220/37*O1032</f>
        <v>233.67567567567568</v>
      </c>
      <c r="V1032" s="100">
        <f t="shared" si="244"/>
        <v>4.868243243243243</v>
      </c>
      <c r="W1032" s="101">
        <f t="shared" si="245"/>
        <v>0.69546332046332038</v>
      </c>
      <c r="X1032" s="108"/>
      <c r="Y1032" s="108"/>
      <c r="Z1032" s="102"/>
      <c r="AA1032" s="118">
        <v>45905</v>
      </c>
      <c r="AB1032" s="118">
        <v>45929</v>
      </c>
      <c r="AC1032" s="118"/>
      <c r="AD1032" s="104">
        <f>IF(ISNA(VLOOKUP(D1032,亚马逊入库配置费!B:F,5,0)),0,VLOOKUP(D1032,亚马逊入库配置费!B:F,5,0))</f>
        <v>0.49</v>
      </c>
      <c r="AE1032" s="104">
        <f t="shared" si="253"/>
        <v>23.52</v>
      </c>
      <c r="AF1032" s="118">
        <v>45937</v>
      </c>
      <c r="AG1032" s="90">
        <f t="shared" si="254"/>
        <v>32</v>
      </c>
      <c r="AH1032" s="118">
        <v>45937</v>
      </c>
      <c r="AI1032" s="118">
        <v>45971</v>
      </c>
      <c r="AJ1032" s="158">
        <v>48</v>
      </c>
      <c r="AK1032" s="91">
        <f t="shared" si="255"/>
        <v>34</v>
      </c>
      <c r="AL1032" s="96">
        <f t="shared" si="256"/>
        <v>66</v>
      </c>
      <c r="AM1032" s="110"/>
      <c r="AN1032" s="90"/>
      <c r="AO1032" s="90"/>
    </row>
    <row r="1033" spans="1:41" ht="14.5" x14ac:dyDescent="0.25">
      <c r="A1033" s="110" t="s">
        <v>1780</v>
      </c>
      <c r="B1033" s="90"/>
      <c r="C1033" s="126" t="s">
        <v>1777</v>
      </c>
      <c r="D1033" s="127" t="s">
        <v>1778</v>
      </c>
      <c r="E1033" s="135" t="s">
        <v>287</v>
      </c>
      <c r="F1033" s="135" t="s">
        <v>0</v>
      </c>
      <c r="G1033" s="58" t="s">
        <v>886</v>
      </c>
      <c r="H1033" s="126">
        <v>48</v>
      </c>
      <c r="I1033" s="126" t="s">
        <v>1234</v>
      </c>
      <c r="J1033" s="160" t="s">
        <v>1365</v>
      </c>
      <c r="K1033" s="127" t="s">
        <v>13</v>
      </c>
      <c r="L1033" s="93" t="s">
        <v>3085</v>
      </c>
      <c r="M1033" s="94" t="s">
        <v>3403</v>
      </c>
      <c r="N1033" s="95" t="s">
        <v>51</v>
      </c>
      <c r="O1033" s="188">
        <v>3</v>
      </c>
      <c r="P1033" s="97">
        <f>2.42/37*O1033</f>
        <v>0.19621621621621621</v>
      </c>
      <c r="Q1033" s="160" t="s">
        <v>3430</v>
      </c>
      <c r="R1033" s="126">
        <v>1100</v>
      </c>
      <c r="S1033" s="108"/>
      <c r="T1033" s="131"/>
      <c r="U1033" s="157">
        <f>R1033*P1033+220/37*O1033</f>
        <v>233.67567567567568</v>
      </c>
      <c r="V1033" s="100">
        <f t="shared" si="244"/>
        <v>4.868243243243243</v>
      </c>
      <c r="W1033" s="101">
        <f t="shared" si="245"/>
        <v>0.69546332046332038</v>
      </c>
      <c r="X1033" s="108"/>
      <c r="Y1033" s="108"/>
      <c r="Z1033" s="102"/>
      <c r="AA1033" s="118">
        <v>45905</v>
      </c>
      <c r="AB1033" s="118">
        <v>45929</v>
      </c>
      <c r="AC1033" s="118"/>
      <c r="AD1033" s="104">
        <f>IF(ISNA(VLOOKUP(D1033,亚马逊入库配置费!B:F,5,0)),0,VLOOKUP(D1033,亚马逊入库配置费!B:F,5,0))</f>
        <v>0.49</v>
      </c>
      <c r="AE1033" s="104">
        <f t="shared" si="253"/>
        <v>23.52</v>
      </c>
      <c r="AF1033" s="118">
        <v>45937</v>
      </c>
      <c r="AG1033" s="90">
        <f t="shared" si="254"/>
        <v>32</v>
      </c>
      <c r="AH1033" s="118">
        <v>45937</v>
      </c>
      <c r="AI1033" s="118">
        <v>45971</v>
      </c>
      <c r="AJ1033" s="158">
        <v>49</v>
      </c>
      <c r="AK1033" s="91">
        <f t="shared" si="255"/>
        <v>34</v>
      </c>
      <c r="AL1033" s="96">
        <f t="shared" si="256"/>
        <v>66</v>
      </c>
      <c r="AM1033" s="110"/>
      <c r="AN1033" s="90"/>
      <c r="AO1033" s="90"/>
    </row>
    <row r="1034" spans="1:41" ht="14.5" x14ac:dyDescent="0.25">
      <c r="A1034" s="110" t="s">
        <v>1781</v>
      </c>
      <c r="B1034" s="91"/>
      <c r="C1034" s="119" t="s">
        <v>1782</v>
      </c>
      <c r="D1034" s="127" t="s">
        <v>1783</v>
      </c>
      <c r="E1034" s="135" t="s">
        <v>97</v>
      </c>
      <c r="F1034" s="135" t="s">
        <v>0</v>
      </c>
      <c r="G1034" s="58" t="s">
        <v>316</v>
      </c>
      <c r="H1034" s="126">
        <v>630</v>
      </c>
      <c r="I1034" s="126" t="s">
        <v>1234</v>
      </c>
      <c r="J1034" s="160" t="s">
        <v>1365</v>
      </c>
      <c r="K1034" s="127" t="s">
        <v>14</v>
      </c>
      <c r="L1034" s="93" t="s">
        <v>3046</v>
      </c>
      <c r="M1034" s="94" t="s">
        <v>3333</v>
      </c>
      <c r="N1034" s="95" t="s">
        <v>3042</v>
      </c>
      <c r="O1034" s="188">
        <v>7</v>
      </c>
      <c r="P1034" s="97">
        <f>1.4/29*O1034</f>
        <v>0.33793103448275863</v>
      </c>
      <c r="Q1034" s="160" t="s">
        <v>3430</v>
      </c>
      <c r="R1034" s="126">
        <v>1700</v>
      </c>
      <c r="S1034" s="108"/>
      <c r="T1034" s="131">
        <v>0</v>
      </c>
      <c r="U1034" s="157">
        <f t="shared" ref="U1034:U1039" si="257">R1034*P1034</f>
        <v>574.48275862068965</v>
      </c>
      <c r="V1034" s="100">
        <f t="shared" si="244"/>
        <v>0.91187739463601536</v>
      </c>
      <c r="W1034" s="101">
        <f t="shared" si="245"/>
        <v>0.13026819923371649</v>
      </c>
      <c r="X1034" s="95"/>
      <c r="Y1034" s="108"/>
      <c r="Z1034" s="102"/>
      <c r="AA1034" s="118">
        <v>45912</v>
      </c>
      <c r="AB1034" s="103">
        <v>45931</v>
      </c>
      <c r="AC1034" s="103"/>
      <c r="AD1034" s="104">
        <f>IF(ISNA(VLOOKUP(D1034,亚马逊入库配置费!B:F,5,0)),0,VLOOKUP(D1034,亚马逊入库配置费!B:F,5,0))</f>
        <v>0.35</v>
      </c>
      <c r="AE1034" s="104">
        <f t="shared" si="253"/>
        <v>220.5</v>
      </c>
      <c r="AF1034" s="103">
        <v>45944</v>
      </c>
      <c r="AG1034" s="90">
        <f t="shared" si="254"/>
        <v>32</v>
      </c>
      <c r="AH1034" s="103">
        <v>45944</v>
      </c>
      <c r="AI1034" s="103">
        <v>45976</v>
      </c>
      <c r="AJ1034" s="96">
        <v>631</v>
      </c>
      <c r="AK1034" s="91">
        <f t="shared" si="255"/>
        <v>32</v>
      </c>
      <c r="AL1034" s="96">
        <f t="shared" si="256"/>
        <v>64</v>
      </c>
      <c r="AM1034" s="92"/>
      <c r="AN1034" s="91"/>
      <c r="AO1034" s="91"/>
    </row>
    <row r="1035" spans="1:41" ht="14.5" x14ac:dyDescent="0.25">
      <c r="A1035" s="110" t="s">
        <v>1784</v>
      </c>
      <c r="B1035" s="91"/>
      <c r="C1035" s="119" t="s">
        <v>1782</v>
      </c>
      <c r="D1035" s="127" t="s">
        <v>1783</v>
      </c>
      <c r="E1035" s="135" t="s">
        <v>97</v>
      </c>
      <c r="F1035" s="135" t="s">
        <v>0</v>
      </c>
      <c r="G1035" s="58" t="s">
        <v>1312</v>
      </c>
      <c r="H1035" s="126">
        <v>180</v>
      </c>
      <c r="I1035" s="126" t="s">
        <v>1234</v>
      </c>
      <c r="J1035" s="160" t="s">
        <v>1365</v>
      </c>
      <c r="K1035" s="127" t="s">
        <v>14</v>
      </c>
      <c r="L1035" s="93" t="s">
        <v>1312</v>
      </c>
      <c r="M1035" s="94" t="s">
        <v>3441</v>
      </c>
      <c r="N1035" s="95" t="s">
        <v>3042</v>
      </c>
      <c r="O1035" s="188">
        <v>9</v>
      </c>
      <c r="P1035" s="97">
        <f>1.4/29*O1035</f>
        <v>0.43448275862068964</v>
      </c>
      <c r="Q1035" s="160" t="s">
        <v>3430</v>
      </c>
      <c r="R1035" s="126">
        <v>1700</v>
      </c>
      <c r="S1035" s="108"/>
      <c r="T1035" s="131">
        <v>0</v>
      </c>
      <c r="U1035" s="157">
        <f t="shared" si="257"/>
        <v>738.62068965517233</v>
      </c>
      <c r="V1035" s="100">
        <f t="shared" si="244"/>
        <v>4.1034482758620685</v>
      </c>
      <c r="W1035" s="101">
        <f t="shared" si="245"/>
        <v>0.58620689655172409</v>
      </c>
      <c r="X1035" s="95"/>
      <c r="Y1035" s="108"/>
      <c r="Z1035" s="102"/>
      <c r="AA1035" s="118">
        <v>45912</v>
      </c>
      <c r="AB1035" s="103">
        <v>45931</v>
      </c>
      <c r="AC1035" s="103"/>
      <c r="AD1035" s="104">
        <f>IF(ISNA(VLOOKUP(D1035,亚马逊入库配置费!B:F,5,0)),0,VLOOKUP(D1035,亚马逊入库配置费!B:F,5,0))</f>
        <v>0.35</v>
      </c>
      <c r="AE1035" s="104">
        <f t="shared" si="253"/>
        <v>62.999999999999993</v>
      </c>
      <c r="AF1035" s="103">
        <v>45944</v>
      </c>
      <c r="AG1035" s="90">
        <f t="shared" si="254"/>
        <v>32</v>
      </c>
      <c r="AH1035" s="103">
        <v>45944</v>
      </c>
      <c r="AI1035" s="103">
        <v>45976</v>
      </c>
      <c r="AJ1035" s="96">
        <v>169</v>
      </c>
      <c r="AK1035" s="91">
        <f t="shared" si="255"/>
        <v>32</v>
      </c>
      <c r="AL1035" s="96">
        <f t="shared" si="256"/>
        <v>64</v>
      </c>
      <c r="AM1035" s="92"/>
      <c r="AN1035" s="91"/>
      <c r="AO1035" s="91"/>
    </row>
    <row r="1036" spans="1:41" ht="14.5" x14ac:dyDescent="0.25">
      <c r="A1036" s="110" t="s">
        <v>1785</v>
      </c>
      <c r="B1036" s="91"/>
      <c r="C1036" s="119" t="s">
        <v>1782</v>
      </c>
      <c r="D1036" s="127" t="s">
        <v>1783</v>
      </c>
      <c r="E1036" s="135" t="s">
        <v>97</v>
      </c>
      <c r="F1036" s="135" t="s">
        <v>0</v>
      </c>
      <c r="G1036" s="58" t="s">
        <v>1061</v>
      </c>
      <c r="H1036" s="126">
        <v>180</v>
      </c>
      <c r="I1036" s="126" t="s">
        <v>1234</v>
      </c>
      <c r="J1036" s="160" t="s">
        <v>1365</v>
      </c>
      <c r="K1036" s="127" t="s">
        <v>14</v>
      </c>
      <c r="L1036" s="93" t="s">
        <v>3093</v>
      </c>
      <c r="M1036" s="94" t="s">
        <v>3427</v>
      </c>
      <c r="N1036" s="95" t="s">
        <v>3042</v>
      </c>
      <c r="O1036" s="188">
        <v>2</v>
      </c>
      <c r="P1036" s="97">
        <f>1.4/29*O1036</f>
        <v>9.6551724137931033E-2</v>
      </c>
      <c r="Q1036" s="160" t="s">
        <v>3430</v>
      </c>
      <c r="R1036" s="126">
        <v>1700</v>
      </c>
      <c r="S1036" s="108"/>
      <c r="T1036" s="131">
        <v>0</v>
      </c>
      <c r="U1036" s="157">
        <f t="shared" si="257"/>
        <v>164.13793103448276</v>
      </c>
      <c r="V1036" s="100">
        <f t="shared" si="244"/>
        <v>0.91187739463601536</v>
      </c>
      <c r="W1036" s="101">
        <f t="shared" si="245"/>
        <v>0.13026819923371649</v>
      </c>
      <c r="X1036" s="95"/>
      <c r="Y1036" s="108"/>
      <c r="Z1036" s="102"/>
      <c r="AA1036" s="118">
        <v>45912</v>
      </c>
      <c r="AB1036" s="103">
        <v>45931</v>
      </c>
      <c r="AC1036" s="103"/>
      <c r="AD1036" s="104">
        <f>IF(ISNA(VLOOKUP(D1036,亚马逊入库配置费!B:F,5,0)),0,VLOOKUP(D1036,亚马逊入库配置费!B:F,5,0))</f>
        <v>0.35</v>
      </c>
      <c r="AE1036" s="104">
        <f t="shared" si="253"/>
        <v>62.999999999999993</v>
      </c>
      <c r="AF1036" s="103">
        <v>45944</v>
      </c>
      <c r="AG1036" s="90">
        <f t="shared" si="254"/>
        <v>32</v>
      </c>
      <c r="AH1036" s="103">
        <v>45944</v>
      </c>
      <c r="AI1036" s="103">
        <v>45976</v>
      </c>
      <c r="AJ1036" s="96">
        <v>180</v>
      </c>
      <c r="AK1036" s="91">
        <f t="shared" si="255"/>
        <v>32</v>
      </c>
      <c r="AL1036" s="96">
        <f t="shared" si="256"/>
        <v>64</v>
      </c>
      <c r="AM1036" s="92"/>
      <c r="AN1036" s="91"/>
      <c r="AO1036" s="91"/>
    </row>
    <row r="1037" spans="1:41" ht="14.5" x14ac:dyDescent="0.25">
      <c r="A1037" s="110" t="s">
        <v>1786</v>
      </c>
      <c r="B1037" s="91"/>
      <c r="C1037" s="135" t="s">
        <v>1782</v>
      </c>
      <c r="D1037" s="184" t="s">
        <v>1783</v>
      </c>
      <c r="E1037" s="135" t="s">
        <v>97</v>
      </c>
      <c r="F1037" s="135" t="s">
        <v>0</v>
      </c>
      <c r="G1037" s="58" t="s">
        <v>526</v>
      </c>
      <c r="H1037" s="155">
        <v>270</v>
      </c>
      <c r="I1037" s="155" t="s">
        <v>1234</v>
      </c>
      <c r="J1037" s="182" t="s">
        <v>1365</v>
      </c>
      <c r="K1037" s="184" t="s">
        <v>14</v>
      </c>
      <c r="L1037" s="93" t="s">
        <v>3069</v>
      </c>
      <c r="M1037" s="94" t="s">
        <v>3367</v>
      </c>
      <c r="N1037" s="95" t="s">
        <v>3042</v>
      </c>
      <c r="O1037" s="185">
        <v>3</v>
      </c>
      <c r="P1037" s="97">
        <f>1.4/29*O1037</f>
        <v>0.14482758620689656</v>
      </c>
      <c r="Q1037" s="182" t="s">
        <v>3430</v>
      </c>
      <c r="R1037" s="155">
        <v>1700</v>
      </c>
      <c r="S1037" s="108"/>
      <c r="T1037" s="131">
        <v>0</v>
      </c>
      <c r="U1037" s="186">
        <f t="shared" si="257"/>
        <v>246.20689655172416</v>
      </c>
      <c r="V1037" s="100">
        <f t="shared" ref="V1037:V1100" si="258">U1037/H1037</f>
        <v>0.91187739463601536</v>
      </c>
      <c r="W1037" s="101">
        <f t="shared" ref="W1037:W1100" si="259">V1037/7</f>
        <v>0.13026819923371649</v>
      </c>
      <c r="X1037" s="95"/>
      <c r="Y1037" s="108"/>
      <c r="Z1037" s="102"/>
      <c r="AA1037" s="118">
        <v>45912</v>
      </c>
      <c r="AB1037" s="103">
        <v>45931</v>
      </c>
      <c r="AC1037" s="103"/>
      <c r="AD1037" s="104">
        <f>IF(ISNA(VLOOKUP(D1037,亚马逊入库配置费!B:F,5,0)),0,VLOOKUP(D1037,亚马逊入库配置费!B:F,5,0))</f>
        <v>0.35</v>
      </c>
      <c r="AE1037" s="104">
        <f t="shared" si="253"/>
        <v>94.5</v>
      </c>
      <c r="AF1037" s="103">
        <v>45944</v>
      </c>
      <c r="AG1037" s="90">
        <f t="shared" si="254"/>
        <v>32</v>
      </c>
      <c r="AH1037" s="103">
        <v>45944</v>
      </c>
      <c r="AI1037" s="103">
        <v>45976</v>
      </c>
      <c r="AJ1037" s="96">
        <v>270</v>
      </c>
      <c r="AK1037" s="91">
        <f t="shared" si="255"/>
        <v>32</v>
      </c>
      <c r="AL1037" s="96">
        <f t="shared" si="256"/>
        <v>64</v>
      </c>
      <c r="AM1037" s="92"/>
      <c r="AN1037" s="91"/>
      <c r="AO1037" s="91"/>
    </row>
    <row r="1038" spans="1:41" ht="14.5" x14ac:dyDescent="0.25">
      <c r="A1038" s="110" t="s">
        <v>1787</v>
      </c>
      <c r="B1038" s="91"/>
      <c r="C1038" s="135" t="s">
        <v>1782</v>
      </c>
      <c r="D1038" s="184" t="s">
        <v>1788</v>
      </c>
      <c r="E1038" s="135" t="s">
        <v>97</v>
      </c>
      <c r="F1038" s="135" t="s">
        <v>0</v>
      </c>
      <c r="G1038" s="58" t="s">
        <v>316</v>
      </c>
      <c r="H1038" s="155">
        <v>720</v>
      </c>
      <c r="I1038" s="155" t="s">
        <v>1234</v>
      </c>
      <c r="J1038" s="182" t="s">
        <v>1365</v>
      </c>
      <c r="K1038" s="184" t="s">
        <v>14</v>
      </c>
      <c r="L1038" s="93" t="s">
        <v>3046</v>
      </c>
      <c r="M1038" s="94" t="s">
        <v>3333</v>
      </c>
      <c r="N1038" s="95" t="s">
        <v>3042</v>
      </c>
      <c r="O1038" s="185">
        <v>8</v>
      </c>
      <c r="P1038" s="97">
        <f>1.4/29*O1038</f>
        <v>0.38620689655172413</v>
      </c>
      <c r="Q1038" s="182" t="s">
        <v>3430</v>
      </c>
      <c r="R1038" s="155">
        <v>1700</v>
      </c>
      <c r="S1038" s="108"/>
      <c r="T1038" s="131">
        <v>0</v>
      </c>
      <c r="U1038" s="186">
        <f t="shared" si="257"/>
        <v>656.55172413793105</v>
      </c>
      <c r="V1038" s="100">
        <f t="shared" si="258"/>
        <v>0.91187739463601536</v>
      </c>
      <c r="W1038" s="101">
        <f t="shared" si="259"/>
        <v>0.13026819923371649</v>
      </c>
      <c r="X1038" s="95"/>
      <c r="Y1038" s="108"/>
      <c r="Z1038" s="102"/>
      <c r="AA1038" s="118">
        <v>45912</v>
      </c>
      <c r="AB1038" s="103">
        <v>45931</v>
      </c>
      <c r="AC1038" s="103"/>
      <c r="AD1038" s="104">
        <f>IF(ISNA(VLOOKUP(D1038,亚马逊入库配置费!B:F,5,0)),0,VLOOKUP(D1038,亚马逊入库配置费!B:F,5,0))</f>
        <v>0.34</v>
      </c>
      <c r="AE1038" s="104">
        <f t="shared" si="253"/>
        <v>244.8</v>
      </c>
      <c r="AF1038" s="103">
        <v>45944</v>
      </c>
      <c r="AG1038" s="90">
        <f t="shared" si="254"/>
        <v>32</v>
      </c>
      <c r="AH1038" s="103">
        <v>45944</v>
      </c>
      <c r="AI1038" s="103">
        <v>45973</v>
      </c>
      <c r="AJ1038" s="96">
        <v>701</v>
      </c>
      <c r="AK1038" s="91">
        <f t="shared" si="255"/>
        <v>29</v>
      </c>
      <c r="AL1038" s="96">
        <f t="shared" si="256"/>
        <v>61</v>
      </c>
      <c r="AM1038" s="92"/>
      <c r="AN1038" s="91"/>
      <c r="AO1038" s="91"/>
    </row>
    <row r="1039" spans="1:41" ht="14.5" x14ac:dyDescent="0.25">
      <c r="A1039" s="110" t="s">
        <v>1789</v>
      </c>
      <c r="B1039" s="90"/>
      <c r="C1039" s="126" t="s">
        <v>1790</v>
      </c>
      <c r="D1039" s="127" t="s">
        <v>1791</v>
      </c>
      <c r="E1039" s="155" t="s">
        <v>97</v>
      </c>
      <c r="F1039" s="155" t="s">
        <v>175</v>
      </c>
      <c r="G1039" s="159" t="s">
        <v>316</v>
      </c>
      <c r="H1039" s="126">
        <v>990</v>
      </c>
      <c r="I1039" s="126" t="s">
        <v>1234</v>
      </c>
      <c r="J1039" s="160" t="s">
        <v>1387</v>
      </c>
      <c r="K1039" s="127" t="s">
        <v>10</v>
      </c>
      <c r="L1039" s="93" t="s">
        <v>3046</v>
      </c>
      <c r="M1039" s="94" t="s">
        <v>3333</v>
      </c>
      <c r="N1039" s="95" t="s">
        <v>3042</v>
      </c>
      <c r="O1039" s="188">
        <v>11</v>
      </c>
      <c r="P1039" s="97">
        <v>1</v>
      </c>
      <c r="Q1039" s="160" t="s">
        <v>3430</v>
      </c>
      <c r="R1039" s="126">
        <v>2320</v>
      </c>
      <c r="S1039" s="108"/>
      <c r="T1039" s="131">
        <v>0</v>
      </c>
      <c r="U1039" s="157">
        <f t="shared" si="257"/>
        <v>2320</v>
      </c>
      <c r="V1039" s="100">
        <f t="shared" si="258"/>
        <v>2.3434343434343434</v>
      </c>
      <c r="W1039" s="101">
        <f t="shared" si="259"/>
        <v>0.33477633477633478</v>
      </c>
      <c r="X1039" s="108"/>
      <c r="Y1039" s="108"/>
      <c r="Z1039" s="104"/>
      <c r="AA1039" s="118">
        <v>45912</v>
      </c>
      <c r="AB1039" s="118">
        <v>45928</v>
      </c>
      <c r="AC1039" s="118"/>
      <c r="AD1039" s="104">
        <f>IF(ISNA(VLOOKUP(D1039,亚马逊入库配置费!B:F,5,0)),0,VLOOKUP(D1039,亚马逊入库配置费!B:F,5,0))</f>
        <v>0.34</v>
      </c>
      <c r="AE1039" s="104">
        <f t="shared" si="253"/>
        <v>336.6</v>
      </c>
      <c r="AF1039" s="118">
        <v>45943</v>
      </c>
      <c r="AG1039" s="90">
        <f t="shared" si="254"/>
        <v>31</v>
      </c>
      <c r="AH1039" s="118">
        <v>45943</v>
      </c>
      <c r="AI1039" s="118">
        <v>45970</v>
      </c>
      <c r="AJ1039" s="158">
        <v>99</v>
      </c>
      <c r="AK1039" s="91">
        <f t="shared" si="255"/>
        <v>27</v>
      </c>
      <c r="AL1039" s="96">
        <f t="shared" si="256"/>
        <v>58</v>
      </c>
      <c r="AM1039" s="110"/>
      <c r="AN1039" s="90"/>
      <c r="AO1039" s="90"/>
    </row>
    <row r="1040" spans="1:41" ht="14.5" x14ac:dyDescent="0.25">
      <c r="A1040" s="110" t="s">
        <v>1792</v>
      </c>
      <c r="B1040" s="90"/>
      <c r="C1040" s="126" t="s">
        <v>1790</v>
      </c>
      <c r="D1040" s="127" t="s">
        <v>1793</v>
      </c>
      <c r="E1040" s="155" t="s">
        <v>97</v>
      </c>
      <c r="F1040" s="155" t="s">
        <v>175</v>
      </c>
      <c r="G1040" s="159" t="s">
        <v>316</v>
      </c>
      <c r="H1040" s="126">
        <v>720</v>
      </c>
      <c r="I1040" s="126" t="s">
        <v>1234</v>
      </c>
      <c r="J1040" s="160" t="s">
        <v>1794</v>
      </c>
      <c r="K1040" s="127" t="s">
        <v>10</v>
      </c>
      <c r="L1040" s="93" t="s">
        <v>3046</v>
      </c>
      <c r="M1040" s="94" t="s">
        <v>3333</v>
      </c>
      <c r="N1040" s="95" t="s">
        <v>3042</v>
      </c>
      <c r="O1040" s="188">
        <v>8</v>
      </c>
      <c r="P1040" s="97">
        <f>157/8*O1040</f>
        <v>157</v>
      </c>
      <c r="Q1040" s="126" t="s">
        <v>1443</v>
      </c>
      <c r="R1040" s="126">
        <v>42</v>
      </c>
      <c r="S1040" s="108"/>
      <c r="T1040" s="131">
        <v>0</v>
      </c>
      <c r="U1040" s="157">
        <f>R1040*P1040+25*O1040</f>
        <v>6794</v>
      </c>
      <c r="V1040" s="100">
        <f t="shared" si="258"/>
        <v>9.4361111111111118</v>
      </c>
      <c r="W1040" s="101">
        <f t="shared" si="259"/>
        <v>1.3480158730158731</v>
      </c>
      <c r="X1040" s="108"/>
      <c r="Y1040" s="108"/>
      <c r="Z1040" s="104"/>
      <c r="AA1040" s="118">
        <v>45912</v>
      </c>
      <c r="AB1040" s="118"/>
      <c r="AC1040" s="118"/>
      <c r="AD1040" s="104">
        <f>IF(ISNA(VLOOKUP(D1040,亚马逊入库配置费!B:F,5,0)),0,VLOOKUP(D1040,亚马逊入库配置费!B:F,5,0))</f>
        <v>0.34</v>
      </c>
      <c r="AE1040" s="104">
        <f t="shared" si="253"/>
        <v>244.8</v>
      </c>
      <c r="AF1040" s="118">
        <v>45924</v>
      </c>
      <c r="AG1040" s="90">
        <f t="shared" si="254"/>
        <v>12</v>
      </c>
      <c r="AH1040" s="118">
        <v>45924</v>
      </c>
      <c r="AI1040" s="118">
        <v>45951</v>
      </c>
      <c r="AJ1040" s="158">
        <v>739</v>
      </c>
      <c r="AK1040" s="91">
        <f t="shared" si="255"/>
        <v>27</v>
      </c>
      <c r="AL1040" s="96">
        <f t="shared" si="256"/>
        <v>39</v>
      </c>
      <c r="AM1040" s="110"/>
      <c r="AN1040" s="90"/>
      <c r="AO1040" s="90"/>
    </row>
    <row r="1041" spans="1:41" ht="14.5" x14ac:dyDescent="0.25">
      <c r="A1041" s="110" t="s">
        <v>1795</v>
      </c>
      <c r="B1041" s="90"/>
      <c r="C1041" s="155" t="s">
        <v>1790</v>
      </c>
      <c r="D1041" s="184" t="s">
        <v>1796</v>
      </c>
      <c r="E1041" s="155" t="s">
        <v>97</v>
      </c>
      <c r="F1041" s="155" t="s">
        <v>175</v>
      </c>
      <c r="G1041" s="159" t="s">
        <v>316</v>
      </c>
      <c r="H1041" s="155">
        <v>630</v>
      </c>
      <c r="I1041" s="155" t="s">
        <v>1797</v>
      </c>
      <c r="J1041" s="182" t="s">
        <v>1798</v>
      </c>
      <c r="K1041" s="184" t="s">
        <v>10</v>
      </c>
      <c r="L1041" s="93" t="s">
        <v>3046</v>
      </c>
      <c r="M1041" s="94" t="s">
        <v>3333</v>
      </c>
      <c r="N1041" s="95" t="s">
        <v>3042</v>
      </c>
      <c r="O1041" s="185">
        <v>7</v>
      </c>
      <c r="P1041" s="97">
        <f>137/7*O1041</f>
        <v>137</v>
      </c>
      <c r="Q1041" s="155" t="s">
        <v>1443</v>
      </c>
      <c r="R1041" s="155">
        <v>61.2</v>
      </c>
      <c r="S1041" s="108"/>
      <c r="T1041" s="131">
        <v>0</v>
      </c>
      <c r="U1041" s="186">
        <f>R1041*P1041+Y1041</f>
        <v>10109.189999999999</v>
      </c>
      <c r="V1041" s="100">
        <f t="shared" si="258"/>
        <v>16.04633333333333</v>
      </c>
      <c r="W1041" s="101">
        <f t="shared" si="259"/>
        <v>2.2923333333333327</v>
      </c>
      <c r="X1041" s="95"/>
      <c r="Y1041" s="108">
        <v>1724.79</v>
      </c>
      <c r="Z1041" s="104" t="s">
        <v>476</v>
      </c>
      <c r="AA1041" s="118">
        <v>45912</v>
      </c>
      <c r="AB1041" s="118"/>
      <c r="AC1041" s="118"/>
      <c r="AD1041" s="104">
        <f>IF(ISNA(VLOOKUP(D1041,亚马逊入库配置费!B:F,5,0)),0,VLOOKUP(D1041,亚马逊入库配置费!B:F,5,0))</f>
        <v>0.34</v>
      </c>
      <c r="AE1041" s="104">
        <f t="shared" si="253"/>
        <v>214.20000000000002</v>
      </c>
      <c r="AF1041" s="118">
        <v>45923</v>
      </c>
      <c r="AG1041" s="90">
        <f t="shared" si="254"/>
        <v>11</v>
      </c>
      <c r="AH1041" s="118">
        <v>45923</v>
      </c>
      <c r="AI1041" s="118">
        <v>45954</v>
      </c>
      <c r="AJ1041" s="158">
        <v>618</v>
      </c>
      <c r="AK1041" s="91">
        <f t="shared" si="255"/>
        <v>31</v>
      </c>
      <c r="AL1041" s="96">
        <f t="shared" si="256"/>
        <v>42</v>
      </c>
      <c r="AM1041" s="110" t="s">
        <v>1799</v>
      </c>
      <c r="AN1041" s="90"/>
      <c r="AO1041" s="90"/>
    </row>
    <row r="1042" spans="1:41" ht="14.5" x14ac:dyDescent="0.25">
      <c r="A1042" s="110" t="s">
        <v>1800</v>
      </c>
      <c r="B1042" s="90"/>
      <c r="C1042" s="126" t="s">
        <v>1801</v>
      </c>
      <c r="D1042" s="127" t="s">
        <v>1802</v>
      </c>
      <c r="E1042" s="155" t="s">
        <v>115</v>
      </c>
      <c r="F1042" s="155" t="s">
        <v>175</v>
      </c>
      <c r="G1042" s="159" t="s">
        <v>608</v>
      </c>
      <c r="H1042" s="126">
        <v>120</v>
      </c>
      <c r="I1042" s="126" t="s">
        <v>1227</v>
      </c>
      <c r="J1042" s="160" t="s">
        <v>503</v>
      </c>
      <c r="K1042" s="127" t="s">
        <v>11</v>
      </c>
      <c r="L1042" s="93" t="s">
        <v>3076</v>
      </c>
      <c r="M1042" s="94" t="s">
        <v>3377</v>
      </c>
      <c r="N1042" s="95" t="s">
        <v>2869</v>
      </c>
      <c r="O1042" s="188">
        <v>4</v>
      </c>
      <c r="P1042" s="97">
        <f>274/22*O1042</f>
        <v>49.81818181818182</v>
      </c>
      <c r="Q1042" s="126" t="s">
        <v>1443</v>
      </c>
      <c r="R1042" s="126">
        <v>5</v>
      </c>
      <c r="S1042" s="108"/>
      <c r="T1042" s="131"/>
      <c r="U1042" s="157">
        <f>R1042*P1042+350/171*O1042</f>
        <v>257.27804359383305</v>
      </c>
      <c r="V1042" s="100">
        <f t="shared" si="258"/>
        <v>2.1439836966152752</v>
      </c>
      <c r="W1042" s="101">
        <f t="shared" si="259"/>
        <v>0.3062833852307536</v>
      </c>
      <c r="X1042" s="108"/>
      <c r="Y1042" s="108"/>
      <c r="Z1042" s="104"/>
      <c r="AA1042" s="118">
        <v>45912</v>
      </c>
      <c r="AB1042" s="118">
        <v>45928</v>
      </c>
      <c r="AC1042" s="118"/>
      <c r="AD1042" s="104">
        <f>IF(ISNA(VLOOKUP(D1042,亚马逊入库配置费!B:F,5,0)),0,VLOOKUP(D1042,亚马逊入库配置费!B:F,5,0))</f>
        <v>0.41</v>
      </c>
      <c r="AE1042" s="104">
        <f t="shared" si="253"/>
        <v>49.199999999999996</v>
      </c>
      <c r="AF1042" s="118">
        <v>45955</v>
      </c>
      <c r="AG1042" s="90">
        <f t="shared" si="254"/>
        <v>43</v>
      </c>
      <c r="AH1042" s="118">
        <v>45955</v>
      </c>
      <c r="AI1042" s="118">
        <v>45986</v>
      </c>
      <c r="AJ1042" s="158">
        <v>120</v>
      </c>
      <c r="AK1042" s="91">
        <f t="shared" si="255"/>
        <v>31</v>
      </c>
      <c r="AL1042" s="96">
        <f t="shared" si="256"/>
        <v>74</v>
      </c>
      <c r="AM1042" s="110"/>
      <c r="AN1042" s="90"/>
      <c r="AO1042" s="90"/>
    </row>
    <row r="1043" spans="1:41" ht="14.5" x14ac:dyDescent="0.25">
      <c r="A1043" s="110" t="s">
        <v>1803</v>
      </c>
      <c r="B1043" s="90"/>
      <c r="C1043" s="126" t="s">
        <v>1801</v>
      </c>
      <c r="D1043" s="127" t="s">
        <v>1802</v>
      </c>
      <c r="E1043" s="155" t="s">
        <v>115</v>
      </c>
      <c r="F1043" s="155" t="s">
        <v>175</v>
      </c>
      <c r="G1043" s="159" t="s">
        <v>487</v>
      </c>
      <c r="H1043" s="126">
        <v>180</v>
      </c>
      <c r="I1043" s="126" t="s">
        <v>1227</v>
      </c>
      <c r="J1043" s="160" t="s">
        <v>503</v>
      </c>
      <c r="K1043" s="127" t="s">
        <v>11</v>
      </c>
      <c r="L1043" s="93" t="s">
        <v>3066</v>
      </c>
      <c r="M1043" s="94" t="s">
        <v>3359</v>
      </c>
      <c r="N1043" s="95" t="s">
        <v>2869</v>
      </c>
      <c r="O1043" s="188">
        <v>6</v>
      </c>
      <c r="P1043" s="97">
        <f>274/22*O1043</f>
        <v>74.727272727272734</v>
      </c>
      <c r="Q1043" s="126" t="s">
        <v>1443</v>
      </c>
      <c r="R1043" s="126">
        <v>5</v>
      </c>
      <c r="S1043" s="108"/>
      <c r="T1043" s="131"/>
      <c r="U1043" s="157">
        <f>R1043*P1043+350/171*O1043</f>
        <v>385.91706539074966</v>
      </c>
      <c r="V1043" s="100">
        <f t="shared" si="258"/>
        <v>2.1439836966152757</v>
      </c>
      <c r="W1043" s="101">
        <f t="shared" si="259"/>
        <v>0.30628338523075366</v>
      </c>
      <c r="X1043" s="108"/>
      <c r="Y1043" s="108"/>
      <c r="Z1043" s="104"/>
      <c r="AA1043" s="118">
        <v>45912</v>
      </c>
      <c r="AB1043" s="118">
        <v>45928</v>
      </c>
      <c r="AC1043" s="118"/>
      <c r="AD1043" s="104">
        <f>IF(ISNA(VLOOKUP(D1043,亚马逊入库配置费!B:F,5,0)),0,VLOOKUP(D1043,亚马逊入库配置费!B:F,5,0))</f>
        <v>0.41</v>
      </c>
      <c r="AE1043" s="104">
        <f t="shared" si="253"/>
        <v>73.8</v>
      </c>
      <c r="AF1043" s="118">
        <v>45955</v>
      </c>
      <c r="AG1043" s="90">
        <f t="shared" si="254"/>
        <v>43</v>
      </c>
      <c r="AH1043" s="118">
        <v>45955</v>
      </c>
      <c r="AI1043" s="118">
        <v>45986</v>
      </c>
      <c r="AJ1043" s="158">
        <v>180</v>
      </c>
      <c r="AK1043" s="91">
        <f t="shared" si="255"/>
        <v>31</v>
      </c>
      <c r="AL1043" s="96">
        <f t="shared" si="256"/>
        <v>74</v>
      </c>
      <c r="AM1043" s="110"/>
      <c r="AN1043" s="90"/>
      <c r="AO1043" s="90"/>
    </row>
    <row r="1044" spans="1:41" ht="14.5" x14ac:dyDescent="0.25">
      <c r="A1044" s="110" t="s">
        <v>1804</v>
      </c>
      <c r="B1044" s="90"/>
      <c r="C1044" s="126" t="s">
        <v>1801</v>
      </c>
      <c r="D1044" s="127" t="s">
        <v>1802</v>
      </c>
      <c r="E1044" s="155" t="s">
        <v>115</v>
      </c>
      <c r="F1044" s="155" t="s">
        <v>175</v>
      </c>
      <c r="G1044" s="159" t="s">
        <v>213</v>
      </c>
      <c r="H1044" s="126">
        <v>360</v>
      </c>
      <c r="I1044" s="126" t="s">
        <v>1227</v>
      </c>
      <c r="J1044" s="160" t="s">
        <v>503</v>
      </c>
      <c r="K1044" s="127" t="s">
        <v>11</v>
      </c>
      <c r="L1044" s="93" t="s">
        <v>3035</v>
      </c>
      <c r="M1044" s="94" t="s">
        <v>3313</v>
      </c>
      <c r="N1044" s="95" t="s">
        <v>2869</v>
      </c>
      <c r="O1044" s="188">
        <v>12</v>
      </c>
      <c r="P1044" s="97">
        <f>274/22*O1044</f>
        <v>149.45454545454547</v>
      </c>
      <c r="Q1044" s="126" t="s">
        <v>1443</v>
      </c>
      <c r="R1044" s="126">
        <v>5</v>
      </c>
      <c r="S1044" s="108"/>
      <c r="T1044" s="131"/>
      <c r="U1044" s="157">
        <f>R1044*P1044+350/171*O1044</f>
        <v>771.83413078149931</v>
      </c>
      <c r="V1044" s="100">
        <f t="shared" si="258"/>
        <v>2.1439836966152757</v>
      </c>
      <c r="W1044" s="101">
        <f t="shared" si="259"/>
        <v>0.30628338523075366</v>
      </c>
      <c r="X1044" s="108"/>
      <c r="Y1044" s="108"/>
      <c r="Z1044" s="104"/>
      <c r="AA1044" s="118">
        <v>45912</v>
      </c>
      <c r="AB1044" s="118">
        <v>45928</v>
      </c>
      <c r="AC1044" s="118"/>
      <c r="AD1044" s="104">
        <f>IF(ISNA(VLOOKUP(D1044,亚马逊入库配置费!B:F,5,0)),0,VLOOKUP(D1044,亚马逊入库配置费!B:F,5,0))</f>
        <v>0.41</v>
      </c>
      <c r="AE1044" s="104">
        <f t="shared" si="253"/>
        <v>147.6</v>
      </c>
      <c r="AF1044" s="118">
        <v>45955</v>
      </c>
      <c r="AG1044" s="90">
        <f t="shared" si="254"/>
        <v>43</v>
      </c>
      <c r="AH1044" s="118">
        <v>45955</v>
      </c>
      <c r="AI1044" s="118">
        <v>45986</v>
      </c>
      <c r="AJ1044" s="158">
        <v>360</v>
      </c>
      <c r="AK1044" s="91">
        <f t="shared" si="255"/>
        <v>31</v>
      </c>
      <c r="AL1044" s="96">
        <f t="shared" si="256"/>
        <v>74</v>
      </c>
      <c r="AM1044" s="110"/>
      <c r="AN1044" s="90"/>
      <c r="AO1044" s="90"/>
    </row>
    <row r="1045" spans="1:41" ht="14.5" x14ac:dyDescent="0.25">
      <c r="A1045" s="110" t="s">
        <v>1805</v>
      </c>
      <c r="B1045" s="91"/>
      <c r="C1045" s="126" t="s">
        <v>1806</v>
      </c>
      <c r="D1045" s="127" t="s">
        <v>1807</v>
      </c>
      <c r="E1045" s="155" t="s">
        <v>254</v>
      </c>
      <c r="F1045" s="155" t="s">
        <v>1139</v>
      </c>
      <c r="G1045" s="159" t="s">
        <v>350</v>
      </c>
      <c r="H1045" s="126">
        <v>80</v>
      </c>
      <c r="I1045" s="126" t="s">
        <v>1227</v>
      </c>
      <c r="J1045" s="160" t="s">
        <v>1808</v>
      </c>
      <c r="K1045" s="127" t="s">
        <v>1809</v>
      </c>
      <c r="L1045" s="93" t="s">
        <v>3048</v>
      </c>
      <c r="M1045" s="94" t="s">
        <v>3208</v>
      </c>
      <c r="N1045" s="95" t="s">
        <v>2870</v>
      </c>
      <c r="O1045" s="188">
        <v>2</v>
      </c>
      <c r="P1045" s="97">
        <v>0.125</v>
      </c>
      <c r="Q1045" s="160" t="s">
        <v>3430</v>
      </c>
      <c r="R1045" s="126">
        <v>730</v>
      </c>
      <c r="S1045" s="108"/>
      <c r="T1045" s="131"/>
      <c r="U1045" s="99">
        <f>R1045*P1045+650/16*O1045+Y1045</f>
        <v>316.29624999999999</v>
      </c>
      <c r="V1045" s="100">
        <f t="shared" si="258"/>
        <v>3.9537031249999997</v>
      </c>
      <c r="W1045" s="101">
        <f t="shared" si="259"/>
        <v>0.56481473214285705</v>
      </c>
      <c r="X1045" s="95">
        <v>1150.3699999999999</v>
      </c>
      <c r="Y1045" s="108">
        <f>X1045/16*O1045</f>
        <v>143.79624999999999</v>
      </c>
      <c r="Z1045" s="104" t="s">
        <v>476</v>
      </c>
      <c r="AA1045" s="118">
        <v>45912</v>
      </c>
      <c r="AB1045" s="118">
        <v>45960</v>
      </c>
      <c r="AC1045" s="103"/>
      <c r="AD1045" s="104">
        <f>IF(ISNA(VLOOKUP(D1045,亚马逊入库配置费!B:F,5,0)),0,VLOOKUP(D1045,亚马逊入库配置费!B:F,5,0))</f>
        <v>0</v>
      </c>
      <c r="AE1045" s="104">
        <f t="shared" si="253"/>
        <v>0</v>
      </c>
      <c r="AF1045" s="103">
        <v>45966</v>
      </c>
      <c r="AG1045" s="90">
        <f t="shared" si="254"/>
        <v>54</v>
      </c>
      <c r="AH1045" s="103">
        <v>45966</v>
      </c>
      <c r="AI1045" s="103">
        <v>45984</v>
      </c>
      <c r="AJ1045" s="96">
        <v>80</v>
      </c>
      <c r="AK1045" s="91">
        <f t="shared" si="255"/>
        <v>18</v>
      </c>
      <c r="AL1045" s="96">
        <f t="shared" si="256"/>
        <v>72</v>
      </c>
      <c r="AM1045" s="92"/>
      <c r="AN1045" s="91"/>
      <c r="AO1045" s="91"/>
    </row>
    <row r="1046" spans="1:41" ht="14.5" x14ac:dyDescent="0.25">
      <c r="A1046" s="110" t="s">
        <v>1810</v>
      </c>
      <c r="B1046" s="91"/>
      <c r="C1046" s="126" t="s">
        <v>1806</v>
      </c>
      <c r="D1046" s="127" t="s">
        <v>1807</v>
      </c>
      <c r="E1046" s="155" t="s">
        <v>254</v>
      </c>
      <c r="F1046" s="155" t="s">
        <v>1139</v>
      </c>
      <c r="G1046" s="159" t="s">
        <v>165</v>
      </c>
      <c r="H1046" s="126">
        <v>160</v>
      </c>
      <c r="I1046" s="126" t="s">
        <v>1227</v>
      </c>
      <c r="J1046" s="160" t="s">
        <v>1808</v>
      </c>
      <c r="K1046" s="127" t="s">
        <v>1809</v>
      </c>
      <c r="L1046" s="93" t="s">
        <v>2880</v>
      </c>
      <c r="M1046" s="94" t="s">
        <v>3209</v>
      </c>
      <c r="N1046" s="95" t="s">
        <v>2870</v>
      </c>
      <c r="O1046" s="188">
        <v>4</v>
      </c>
      <c r="P1046" s="97">
        <v>0.25</v>
      </c>
      <c r="Q1046" s="160" t="s">
        <v>3430</v>
      </c>
      <c r="R1046" s="126">
        <v>730</v>
      </c>
      <c r="S1046" s="108"/>
      <c r="T1046" s="131"/>
      <c r="U1046" s="99">
        <f>R1046*P1046+650/16*O1046+Y1046</f>
        <v>632.59249999999997</v>
      </c>
      <c r="V1046" s="100">
        <f t="shared" si="258"/>
        <v>3.9537031249999997</v>
      </c>
      <c r="W1046" s="101">
        <f t="shared" si="259"/>
        <v>0.56481473214285705</v>
      </c>
      <c r="X1046" s="95"/>
      <c r="Y1046" s="108">
        <f>$X$1045/16*O1046</f>
        <v>287.59249999999997</v>
      </c>
      <c r="Z1046" s="104" t="s">
        <v>476</v>
      </c>
      <c r="AA1046" s="118">
        <v>45912</v>
      </c>
      <c r="AB1046" s="118">
        <v>45960</v>
      </c>
      <c r="AC1046" s="103"/>
      <c r="AD1046" s="104">
        <f>IF(ISNA(VLOOKUP(D1046,亚马逊入库配置费!B:F,5,0)),0,VLOOKUP(D1046,亚马逊入库配置费!B:F,5,0))</f>
        <v>0</v>
      </c>
      <c r="AE1046" s="104">
        <f t="shared" si="253"/>
        <v>0</v>
      </c>
      <c r="AF1046" s="103">
        <v>45966</v>
      </c>
      <c r="AG1046" s="90">
        <f t="shared" si="254"/>
        <v>54</v>
      </c>
      <c r="AH1046" s="103">
        <v>45966</v>
      </c>
      <c r="AI1046" s="103">
        <v>45984</v>
      </c>
      <c r="AJ1046" s="96">
        <v>160</v>
      </c>
      <c r="AK1046" s="91">
        <f t="shared" si="255"/>
        <v>18</v>
      </c>
      <c r="AL1046" s="96">
        <f t="shared" si="256"/>
        <v>72</v>
      </c>
      <c r="AM1046" s="92"/>
      <c r="AN1046" s="91"/>
      <c r="AO1046" s="91"/>
    </row>
    <row r="1047" spans="1:41" ht="14.5" x14ac:dyDescent="0.25">
      <c r="A1047" s="110" t="s">
        <v>1811</v>
      </c>
      <c r="B1047" s="91"/>
      <c r="C1047" s="126" t="s">
        <v>1806</v>
      </c>
      <c r="D1047" s="127" t="s">
        <v>1807</v>
      </c>
      <c r="E1047" s="155" t="s">
        <v>254</v>
      </c>
      <c r="F1047" s="155" t="s">
        <v>1139</v>
      </c>
      <c r="G1047" s="159" t="s">
        <v>211</v>
      </c>
      <c r="H1047" s="126">
        <v>240</v>
      </c>
      <c r="I1047" s="126" t="s">
        <v>1227</v>
      </c>
      <c r="J1047" s="160" t="s">
        <v>1808</v>
      </c>
      <c r="K1047" s="127" t="s">
        <v>1809</v>
      </c>
      <c r="L1047" s="93" t="s">
        <v>3034</v>
      </c>
      <c r="M1047" s="94" t="s">
        <v>3312</v>
      </c>
      <c r="N1047" s="95" t="s">
        <v>2869</v>
      </c>
      <c r="O1047" s="188">
        <v>8</v>
      </c>
      <c r="P1047" s="97">
        <v>0.5</v>
      </c>
      <c r="Q1047" s="160" t="s">
        <v>3430</v>
      </c>
      <c r="R1047" s="126">
        <v>730</v>
      </c>
      <c r="S1047" s="108"/>
      <c r="T1047" s="131"/>
      <c r="U1047" s="99">
        <f>R1047*P1047+650/16*O1047+Y1047</f>
        <v>1265.1849999999999</v>
      </c>
      <c r="V1047" s="100">
        <f t="shared" si="258"/>
        <v>5.2716041666666662</v>
      </c>
      <c r="W1047" s="101">
        <f t="shared" si="259"/>
        <v>0.75308630952380951</v>
      </c>
      <c r="X1047" s="95"/>
      <c r="Y1047" s="108">
        <f>$X$1045/16*O1047</f>
        <v>575.18499999999995</v>
      </c>
      <c r="Z1047" s="104" t="s">
        <v>476</v>
      </c>
      <c r="AA1047" s="118">
        <v>45912</v>
      </c>
      <c r="AB1047" s="118">
        <v>45960</v>
      </c>
      <c r="AC1047" s="103"/>
      <c r="AD1047" s="104">
        <f>IF(ISNA(VLOOKUP(D1047,亚马逊入库配置费!B:F,5,0)),0,VLOOKUP(D1047,亚马逊入库配置费!B:F,5,0))</f>
        <v>0</v>
      </c>
      <c r="AE1047" s="104">
        <f t="shared" si="253"/>
        <v>0</v>
      </c>
      <c r="AF1047" s="103">
        <v>45966</v>
      </c>
      <c r="AG1047" s="90">
        <f t="shared" si="254"/>
        <v>54</v>
      </c>
      <c r="AH1047" s="103">
        <v>45966</v>
      </c>
      <c r="AI1047" s="103">
        <v>45984</v>
      </c>
      <c r="AJ1047" s="96">
        <v>240</v>
      </c>
      <c r="AK1047" s="91">
        <f t="shared" si="255"/>
        <v>18</v>
      </c>
      <c r="AL1047" s="96">
        <f t="shared" si="256"/>
        <v>72</v>
      </c>
      <c r="AM1047" s="92"/>
      <c r="AN1047" s="91"/>
      <c r="AO1047" s="91"/>
    </row>
    <row r="1048" spans="1:41" ht="14.5" x14ac:dyDescent="0.25">
      <c r="A1048" s="110" t="s">
        <v>1812</v>
      </c>
      <c r="B1048" s="91"/>
      <c r="C1048" s="126" t="s">
        <v>1806</v>
      </c>
      <c r="D1048" s="127" t="s">
        <v>1807</v>
      </c>
      <c r="E1048" s="155" t="s">
        <v>254</v>
      </c>
      <c r="F1048" s="155" t="s">
        <v>1139</v>
      </c>
      <c r="G1048" s="159" t="s">
        <v>485</v>
      </c>
      <c r="H1048" s="126">
        <v>30</v>
      </c>
      <c r="I1048" s="126" t="s">
        <v>1227</v>
      </c>
      <c r="J1048" s="160" t="s">
        <v>1808</v>
      </c>
      <c r="K1048" s="127" t="s">
        <v>1809</v>
      </c>
      <c r="L1048" s="93" t="s">
        <v>3065</v>
      </c>
      <c r="M1048" s="94" t="s">
        <v>3358</v>
      </c>
      <c r="N1048" s="95" t="s">
        <v>2869</v>
      </c>
      <c r="O1048" s="188">
        <v>1</v>
      </c>
      <c r="P1048" s="97">
        <v>6.25E-2</v>
      </c>
      <c r="Q1048" s="160" t="s">
        <v>3430</v>
      </c>
      <c r="R1048" s="126">
        <v>730</v>
      </c>
      <c r="S1048" s="108"/>
      <c r="T1048" s="131"/>
      <c r="U1048" s="99">
        <f>R1048*P1048+650/16*O1048+Y1048</f>
        <v>158.14812499999999</v>
      </c>
      <c r="V1048" s="100">
        <f t="shared" si="258"/>
        <v>5.2716041666666662</v>
      </c>
      <c r="W1048" s="101">
        <f t="shared" si="259"/>
        <v>0.75308630952380951</v>
      </c>
      <c r="X1048" s="95"/>
      <c r="Y1048" s="108">
        <f>$X$1045/16*O1048</f>
        <v>71.898124999999993</v>
      </c>
      <c r="Z1048" s="104" t="s">
        <v>476</v>
      </c>
      <c r="AA1048" s="118">
        <v>45912</v>
      </c>
      <c r="AB1048" s="118">
        <v>45960</v>
      </c>
      <c r="AC1048" s="103"/>
      <c r="AD1048" s="104">
        <f>IF(ISNA(VLOOKUP(D1048,亚马逊入库配置费!B:F,5,0)),0,VLOOKUP(D1048,亚马逊入库配置费!B:F,5,0))</f>
        <v>0</v>
      </c>
      <c r="AE1048" s="104">
        <f t="shared" si="253"/>
        <v>0</v>
      </c>
      <c r="AF1048" s="103">
        <v>45966</v>
      </c>
      <c r="AG1048" s="90">
        <f t="shared" si="254"/>
        <v>54</v>
      </c>
      <c r="AH1048" s="103">
        <v>45966</v>
      </c>
      <c r="AI1048" s="103">
        <v>45984</v>
      </c>
      <c r="AJ1048" s="96">
        <v>30</v>
      </c>
      <c r="AK1048" s="91">
        <f t="shared" si="255"/>
        <v>18</v>
      </c>
      <c r="AL1048" s="96">
        <f t="shared" si="256"/>
        <v>72</v>
      </c>
      <c r="AM1048" s="92"/>
      <c r="AN1048" s="91"/>
      <c r="AO1048" s="91"/>
    </row>
    <row r="1049" spans="1:41" ht="14.5" x14ac:dyDescent="0.25">
      <c r="A1049" s="110" t="s">
        <v>1813</v>
      </c>
      <c r="B1049" s="90"/>
      <c r="C1049" s="126" t="s">
        <v>1806</v>
      </c>
      <c r="D1049" s="127" t="s">
        <v>1807</v>
      </c>
      <c r="E1049" s="155" t="s">
        <v>254</v>
      </c>
      <c r="F1049" s="155" t="s">
        <v>1139</v>
      </c>
      <c r="G1049" s="159" t="s">
        <v>608</v>
      </c>
      <c r="H1049" s="126">
        <v>30</v>
      </c>
      <c r="I1049" s="126" t="s">
        <v>1227</v>
      </c>
      <c r="J1049" s="160" t="s">
        <v>1808</v>
      </c>
      <c r="K1049" s="127" t="s">
        <v>1809</v>
      </c>
      <c r="L1049" s="93" t="s">
        <v>3076</v>
      </c>
      <c r="M1049" s="94" t="s">
        <v>3377</v>
      </c>
      <c r="N1049" s="95" t="s">
        <v>2869</v>
      </c>
      <c r="O1049" s="188">
        <v>1</v>
      </c>
      <c r="P1049" s="97">
        <v>6.25E-2</v>
      </c>
      <c r="Q1049" s="160" t="s">
        <v>3430</v>
      </c>
      <c r="R1049" s="126">
        <v>730</v>
      </c>
      <c r="S1049" s="108"/>
      <c r="T1049" s="131"/>
      <c r="U1049" s="99">
        <f>R1049*P1049+650/16*O1049+Y1049</f>
        <v>158.14812499999999</v>
      </c>
      <c r="V1049" s="100">
        <f t="shared" si="258"/>
        <v>5.2716041666666662</v>
      </c>
      <c r="W1049" s="101">
        <f t="shared" si="259"/>
        <v>0.75308630952380951</v>
      </c>
      <c r="X1049" s="108"/>
      <c r="Y1049" s="108">
        <f>$X$1045/16*O1049</f>
        <v>71.898124999999993</v>
      </c>
      <c r="Z1049" s="104" t="s">
        <v>476</v>
      </c>
      <c r="AA1049" s="118">
        <v>45912</v>
      </c>
      <c r="AB1049" s="118">
        <v>45960</v>
      </c>
      <c r="AC1049" s="118"/>
      <c r="AD1049" s="104">
        <f>IF(ISNA(VLOOKUP(D1049,亚马逊入库配置费!B:F,5,0)),0,VLOOKUP(D1049,亚马逊入库配置费!B:F,5,0))</f>
        <v>0</v>
      </c>
      <c r="AE1049" s="104">
        <f t="shared" si="253"/>
        <v>0</v>
      </c>
      <c r="AF1049" s="118">
        <v>45966</v>
      </c>
      <c r="AG1049" s="90">
        <f t="shared" si="254"/>
        <v>54</v>
      </c>
      <c r="AH1049" s="118">
        <v>45966</v>
      </c>
      <c r="AI1049" s="118">
        <v>45984</v>
      </c>
      <c r="AJ1049" s="158">
        <v>30</v>
      </c>
      <c r="AK1049" s="91">
        <f t="shared" si="255"/>
        <v>18</v>
      </c>
      <c r="AL1049" s="96">
        <f t="shared" si="256"/>
        <v>72</v>
      </c>
      <c r="AM1049" s="110"/>
      <c r="AN1049" s="90"/>
      <c r="AO1049" s="90"/>
    </row>
    <row r="1050" spans="1:41" ht="14.5" x14ac:dyDescent="0.25">
      <c r="A1050" s="110" t="s">
        <v>1814</v>
      </c>
      <c r="B1050" s="90"/>
      <c r="C1050" s="126" t="s">
        <v>1815</v>
      </c>
      <c r="D1050" s="127" t="s">
        <v>1816</v>
      </c>
      <c r="E1050" s="155" t="s">
        <v>1072</v>
      </c>
      <c r="F1050" s="155" t="s">
        <v>1817</v>
      </c>
      <c r="G1050" s="159" t="s">
        <v>211</v>
      </c>
      <c r="H1050" s="126">
        <v>180</v>
      </c>
      <c r="I1050" s="126" t="s">
        <v>1818</v>
      </c>
      <c r="J1050" s="160" t="s">
        <v>3450</v>
      </c>
      <c r="K1050" s="127" t="s">
        <v>1075</v>
      </c>
      <c r="L1050" s="93" t="s">
        <v>3034</v>
      </c>
      <c r="M1050" s="94" t="s">
        <v>3312</v>
      </c>
      <c r="N1050" s="95" t="s">
        <v>2869</v>
      </c>
      <c r="O1050" s="188">
        <v>6</v>
      </c>
      <c r="P1050" s="97">
        <v>74.307692307692307</v>
      </c>
      <c r="Q1050" s="126" t="s">
        <v>1443</v>
      </c>
      <c r="R1050" s="126">
        <v>7</v>
      </c>
      <c r="S1050" s="108"/>
      <c r="T1050" s="131"/>
      <c r="U1050" s="157">
        <f>R1050*P1050+350/13*O1050</f>
        <v>681.69230769230774</v>
      </c>
      <c r="V1050" s="100">
        <f t="shared" si="258"/>
        <v>3.7871794871794875</v>
      </c>
      <c r="W1050" s="101">
        <f t="shared" si="259"/>
        <v>0.5410256410256411</v>
      </c>
      <c r="X1050" s="108"/>
      <c r="Y1050" s="108"/>
      <c r="Z1050" s="104"/>
      <c r="AA1050" s="118">
        <v>45912</v>
      </c>
      <c r="AB1050" s="118">
        <v>45948</v>
      </c>
      <c r="AC1050" s="118"/>
      <c r="AD1050" s="104">
        <f>IF(ISNA(VLOOKUP(D1050,亚马逊入库配置费!B:F,5,0)),0,VLOOKUP(D1050,亚马逊入库配置费!B:F,5,0))</f>
        <v>0</v>
      </c>
      <c r="AE1050" s="104">
        <f t="shared" si="253"/>
        <v>0</v>
      </c>
      <c r="AF1050" s="118">
        <v>45984</v>
      </c>
      <c r="AG1050" s="90">
        <f t="shared" si="254"/>
        <v>72</v>
      </c>
      <c r="AH1050" s="118">
        <v>45984</v>
      </c>
      <c r="AI1050" s="118">
        <v>45999</v>
      </c>
      <c r="AJ1050" s="158">
        <v>180</v>
      </c>
      <c r="AK1050" s="91">
        <f t="shared" si="255"/>
        <v>15</v>
      </c>
      <c r="AL1050" s="96">
        <f t="shared" si="256"/>
        <v>87</v>
      </c>
      <c r="AM1050" s="110"/>
      <c r="AN1050" s="90"/>
      <c r="AO1050" s="90"/>
    </row>
    <row r="1051" spans="1:41" ht="14.5" x14ac:dyDescent="0.25">
      <c r="A1051" s="110" t="s">
        <v>1819</v>
      </c>
      <c r="B1051" s="90"/>
      <c r="C1051" s="126" t="s">
        <v>1815</v>
      </c>
      <c r="D1051" s="127" t="s">
        <v>1816</v>
      </c>
      <c r="E1051" s="155" t="s">
        <v>1072</v>
      </c>
      <c r="F1051" s="155" t="s">
        <v>1817</v>
      </c>
      <c r="G1051" s="159" t="s">
        <v>213</v>
      </c>
      <c r="H1051" s="126">
        <v>90</v>
      </c>
      <c r="I1051" s="126" t="s">
        <v>1818</v>
      </c>
      <c r="J1051" s="160" t="s">
        <v>3450</v>
      </c>
      <c r="K1051" s="127" t="s">
        <v>1075</v>
      </c>
      <c r="L1051" s="93" t="s">
        <v>3035</v>
      </c>
      <c r="M1051" s="94" t="s">
        <v>3313</v>
      </c>
      <c r="N1051" s="95" t="s">
        <v>2869</v>
      </c>
      <c r="O1051" s="188">
        <v>3</v>
      </c>
      <c r="P1051" s="97">
        <v>37.153846153846203</v>
      </c>
      <c r="Q1051" s="126" t="s">
        <v>1443</v>
      </c>
      <c r="R1051" s="126">
        <v>7</v>
      </c>
      <c r="S1051" s="108"/>
      <c r="T1051" s="131"/>
      <c r="U1051" s="157">
        <f>R1051*P1051+350/13*O1051</f>
        <v>340.84615384615421</v>
      </c>
      <c r="V1051" s="100">
        <f t="shared" si="258"/>
        <v>3.787179487179491</v>
      </c>
      <c r="W1051" s="101">
        <f t="shared" si="259"/>
        <v>0.54102564102564155</v>
      </c>
      <c r="X1051" s="108"/>
      <c r="Y1051" s="108"/>
      <c r="Z1051" s="104"/>
      <c r="AA1051" s="118">
        <v>45912</v>
      </c>
      <c r="AB1051" s="118">
        <v>45948</v>
      </c>
      <c r="AC1051" s="118"/>
      <c r="AD1051" s="104">
        <f>IF(ISNA(VLOOKUP(D1051,亚马逊入库配置费!B:F,5,0)),0,VLOOKUP(D1051,亚马逊入库配置费!B:F,5,0))</f>
        <v>0</v>
      </c>
      <c r="AE1051" s="104">
        <f t="shared" si="253"/>
        <v>0</v>
      </c>
      <c r="AF1051" s="118">
        <v>45984</v>
      </c>
      <c r="AG1051" s="90">
        <f t="shared" si="254"/>
        <v>72</v>
      </c>
      <c r="AH1051" s="118">
        <v>45984</v>
      </c>
      <c r="AI1051" s="118">
        <v>45999</v>
      </c>
      <c r="AJ1051" s="158">
        <v>90</v>
      </c>
      <c r="AK1051" s="91">
        <f t="shared" si="255"/>
        <v>15</v>
      </c>
      <c r="AL1051" s="96">
        <f t="shared" si="256"/>
        <v>87</v>
      </c>
      <c r="AM1051" s="110"/>
      <c r="AN1051" s="90"/>
      <c r="AO1051" s="90"/>
    </row>
    <row r="1052" spans="1:41" ht="14.5" x14ac:dyDescent="0.25">
      <c r="A1052" s="110" t="s">
        <v>1820</v>
      </c>
      <c r="B1052" s="90"/>
      <c r="C1052" s="126" t="s">
        <v>1815</v>
      </c>
      <c r="D1052" s="127" t="s">
        <v>1816</v>
      </c>
      <c r="E1052" s="155" t="s">
        <v>1072</v>
      </c>
      <c r="F1052" s="155" t="s">
        <v>1817</v>
      </c>
      <c r="G1052" s="159" t="s">
        <v>608</v>
      </c>
      <c r="H1052" s="126">
        <v>60</v>
      </c>
      <c r="I1052" s="126" t="s">
        <v>1818</v>
      </c>
      <c r="J1052" s="160" t="s">
        <v>3450</v>
      </c>
      <c r="K1052" s="127" t="s">
        <v>1075</v>
      </c>
      <c r="L1052" s="93" t="s">
        <v>3076</v>
      </c>
      <c r="M1052" s="94" t="s">
        <v>3377</v>
      </c>
      <c r="N1052" s="95" t="s">
        <v>2869</v>
      </c>
      <c r="O1052" s="188">
        <v>2</v>
      </c>
      <c r="P1052" s="97">
        <v>24.769230769230798</v>
      </c>
      <c r="Q1052" s="126" t="s">
        <v>1443</v>
      </c>
      <c r="R1052" s="126">
        <v>7</v>
      </c>
      <c r="S1052" s="108"/>
      <c r="T1052" s="131"/>
      <c r="U1052" s="157">
        <f>R1052*P1052+350/13*O1052</f>
        <v>227.23076923076943</v>
      </c>
      <c r="V1052" s="100">
        <f t="shared" si="258"/>
        <v>3.7871794871794906</v>
      </c>
      <c r="W1052" s="101">
        <f t="shared" si="259"/>
        <v>0.54102564102564155</v>
      </c>
      <c r="X1052" s="108"/>
      <c r="Y1052" s="108"/>
      <c r="Z1052" s="104"/>
      <c r="AA1052" s="118">
        <v>45912</v>
      </c>
      <c r="AB1052" s="118">
        <v>45948</v>
      </c>
      <c r="AC1052" s="118"/>
      <c r="AD1052" s="104">
        <f>IF(ISNA(VLOOKUP(D1052,亚马逊入库配置费!B:F,5,0)),0,VLOOKUP(D1052,亚马逊入库配置费!B:F,5,0))</f>
        <v>0</v>
      </c>
      <c r="AE1052" s="104">
        <f t="shared" si="253"/>
        <v>0</v>
      </c>
      <c r="AF1052" s="118">
        <v>45984</v>
      </c>
      <c r="AG1052" s="90">
        <f t="shared" si="254"/>
        <v>72</v>
      </c>
      <c r="AH1052" s="118">
        <v>45984</v>
      </c>
      <c r="AI1052" s="118">
        <v>45999</v>
      </c>
      <c r="AJ1052" s="158">
        <v>60</v>
      </c>
      <c r="AK1052" s="91">
        <f t="shared" si="255"/>
        <v>15</v>
      </c>
      <c r="AL1052" s="96">
        <f t="shared" si="256"/>
        <v>87</v>
      </c>
      <c r="AM1052" s="110"/>
      <c r="AN1052" s="90"/>
      <c r="AO1052" s="90"/>
    </row>
    <row r="1053" spans="1:41" ht="14.5" x14ac:dyDescent="0.25">
      <c r="A1053" s="110" t="s">
        <v>1821</v>
      </c>
      <c r="B1053" s="90"/>
      <c r="C1053" s="126" t="s">
        <v>1815</v>
      </c>
      <c r="D1053" s="127" t="s">
        <v>1816</v>
      </c>
      <c r="E1053" s="155" t="s">
        <v>1072</v>
      </c>
      <c r="F1053" s="155" t="s">
        <v>1817</v>
      </c>
      <c r="G1053" s="159" t="s">
        <v>606</v>
      </c>
      <c r="H1053" s="126">
        <v>60</v>
      </c>
      <c r="I1053" s="126" t="s">
        <v>1818</v>
      </c>
      <c r="J1053" s="160" t="s">
        <v>3450</v>
      </c>
      <c r="K1053" s="127" t="s">
        <v>1075</v>
      </c>
      <c r="L1053" s="93" t="s">
        <v>3075</v>
      </c>
      <c r="M1053" s="94" t="s">
        <v>3376</v>
      </c>
      <c r="N1053" s="95" t="s">
        <v>2869</v>
      </c>
      <c r="O1053" s="188">
        <v>2</v>
      </c>
      <c r="P1053" s="97">
        <v>24.769230769230798</v>
      </c>
      <c r="Q1053" s="126" t="s">
        <v>1443</v>
      </c>
      <c r="R1053" s="126">
        <v>7</v>
      </c>
      <c r="S1053" s="108"/>
      <c r="T1053" s="131"/>
      <c r="U1053" s="157">
        <f>R1053*P1053+350/13*O1053</f>
        <v>227.23076923076943</v>
      </c>
      <c r="V1053" s="100">
        <f t="shared" si="258"/>
        <v>3.7871794871794906</v>
      </c>
      <c r="W1053" s="101">
        <f t="shared" si="259"/>
        <v>0.54102564102564155</v>
      </c>
      <c r="X1053" s="108"/>
      <c r="Y1053" s="108"/>
      <c r="Z1053" s="104"/>
      <c r="AA1053" s="118">
        <v>45912</v>
      </c>
      <c r="AB1053" s="118">
        <v>45948</v>
      </c>
      <c r="AC1053" s="118"/>
      <c r="AD1053" s="104">
        <f>IF(ISNA(VLOOKUP(D1053,亚马逊入库配置费!B:F,5,0)),0,VLOOKUP(D1053,亚马逊入库配置费!B:F,5,0))</f>
        <v>0</v>
      </c>
      <c r="AE1053" s="104">
        <f t="shared" si="253"/>
        <v>0</v>
      </c>
      <c r="AF1053" s="118">
        <v>45984</v>
      </c>
      <c r="AG1053" s="90">
        <f t="shared" si="254"/>
        <v>72</v>
      </c>
      <c r="AH1053" s="118">
        <v>45984</v>
      </c>
      <c r="AI1053" s="118">
        <v>45999</v>
      </c>
      <c r="AJ1053" s="158">
        <v>60</v>
      </c>
      <c r="AK1053" s="91">
        <f t="shared" si="255"/>
        <v>15</v>
      </c>
      <c r="AL1053" s="96">
        <f t="shared" si="256"/>
        <v>87</v>
      </c>
      <c r="AM1053" s="110"/>
      <c r="AN1053" s="90"/>
      <c r="AO1053" s="90"/>
    </row>
    <row r="1054" spans="1:41" ht="14.5" x14ac:dyDescent="0.25">
      <c r="A1054" s="110" t="s">
        <v>1822</v>
      </c>
      <c r="B1054" s="91"/>
      <c r="C1054" s="135" t="s">
        <v>1823</v>
      </c>
      <c r="D1054" s="184" t="s">
        <v>1824</v>
      </c>
      <c r="E1054" s="135" t="s">
        <v>97</v>
      </c>
      <c r="F1054" s="135" t="s">
        <v>0</v>
      </c>
      <c r="G1054" s="58" t="s">
        <v>1825</v>
      </c>
      <c r="H1054" s="135">
        <v>288</v>
      </c>
      <c r="I1054" s="135" t="s">
        <v>89</v>
      </c>
      <c r="J1054" s="182" t="s">
        <v>1365</v>
      </c>
      <c r="K1054" s="187" t="s">
        <v>9</v>
      </c>
      <c r="L1054" s="93" t="s">
        <v>1825</v>
      </c>
      <c r="M1054" s="94" t="s">
        <v>3451</v>
      </c>
      <c r="N1054" s="95" t="s">
        <v>2868</v>
      </c>
      <c r="O1054" s="189">
        <v>18</v>
      </c>
      <c r="P1054" s="153">
        <f t="shared" ref="P1054:P1066" si="260">2531/189*O1054</f>
        <v>241.04761904761904</v>
      </c>
      <c r="Q1054" s="135" t="s">
        <v>16</v>
      </c>
      <c r="R1054" s="135">
        <v>4.3</v>
      </c>
      <c r="S1054" s="95"/>
      <c r="T1054" s="98"/>
      <c r="U1054" s="190">
        <f t="shared" ref="U1054:U1066" si="261">R1054*P1054+350/389*O1054</f>
        <v>1052.7001346554046</v>
      </c>
      <c r="V1054" s="113">
        <f t="shared" si="258"/>
        <v>3.6552088008868213</v>
      </c>
      <c r="W1054" s="114">
        <f t="shared" si="259"/>
        <v>0.52217268584097443</v>
      </c>
      <c r="X1054" s="95"/>
      <c r="Y1054" s="95"/>
      <c r="Z1054" s="102"/>
      <c r="AA1054" s="103">
        <v>45912</v>
      </c>
      <c r="AB1054" s="103">
        <v>45935</v>
      </c>
      <c r="AC1054" s="103"/>
      <c r="AD1054" s="104">
        <f>IF(ISNA(VLOOKUP(D1054,亚马逊入库配置费!B:F,5,0)),0,VLOOKUP(D1054,亚马逊入库配置费!B:F,5,0))</f>
        <v>0.35337926902336703</v>
      </c>
      <c r="AE1054" s="104">
        <f t="shared" si="253"/>
        <v>101.7732294787297</v>
      </c>
      <c r="AF1054" s="103">
        <v>45955</v>
      </c>
      <c r="AG1054" s="90">
        <f t="shared" si="254"/>
        <v>43</v>
      </c>
      <c r="AH1054" s="103">
        <v>45955</v>
      </c>
      <c r="AI1054" s="103">
        <v>45986</v>
      </c>
      <c r="AJ1054" s="96">
        <v>289</v>
      </c>
      <c r="AK1054" s="91">
        <f t="shared" si="255"/>
        <v>31</v>
      </c>
      <c r="AL1054" s="96">
        <f t="shared" si="256"/>
        <v>74</v>
      </c>
      <c r="AM1054" s="92"/>
      <c r="AN1054" s="91"/>
      <c r="AO1054" s="91"/>
    </row>
    <row r="1055" spans="1:41" ht="14.5" x14ac:dyDescent="0.25">
      <c r="A1055" s="110" t="s">
        <v>1826</v>
      </c>
      <c r="B1055" s="91"/>
      <c r="C1055" s="135" t="s">
        <v>1823</v>
      </c>
      <c r="D1055" s="184" t="s">
        <v>1824</v>
      </c>
      <c r="E1055" s="135" t="s">
        <v>97</v>
      </c>
      <c r="F1055" s="135" t="s">
        <v>0</v>
      </c>
      <c r="G1055" s="58" t="s">
        <v>161</v>
      </c>
      <c r="H1055" s="135">
        <v>288</v>
      </c>
      <c r="I1055" s="135" t="s">
        <v>89</v>
      </c>
      <c r="J1055" s="182" t="s">
        <v>1365</v>
      </c>
      <c r="K1055" s="187" t="s">
        <v>9</v>
      </c>
      <c r="L1055" s="93" t="s">
        <v>3024</v>
      </c>
      <c r="M1055" s="94" t="s">
        <v>3301</v>
      </c>
      <c r="N1055" s="95" t="s">
        <v>2870</v>
      </c>
      <c r="O1055" s="189">
        <v>9</v>
      </c>
      <c r="P1055" s="153">
        <f t="shared" si="260"/>
        <v>120.52380952380952</v>
      </c>
      <c r="Q1055" s="135" t="s">
        <v>16</v>
      </c>
      <c r="R1055" s="135">
        <v>4.3</v>
      </c>
      <c r="S1055" s="95"/>
      <c r="T1055" s="98"/>
      <c r="U1055" s="190">
        <f t="shared" si="261"/>
        <v>526.35006732770228</v>
      </c>
      <c r="V1055" s="113">
        <f t="shared" si="258"/>
        <v>1.8276044004434107</v>
      </c>
      <c r="W1055" s="114">
        <f t="shared" si="259"/>
        <v>0.26108634292048721</v>
      </c>
      <c r="X1055" s="95"/>
      <c r="Y1055" s="95"/>
      <c r="Z1055" s="102"/>
      <c r="AA1055" s="103">
        <v>45912</v>
      </c>
      <c r="AB1055" s="103">
        <v>45935</v>
      </c>
      <c r="AC1055" s="103"/>
      <c r="AD1055" s="104">
        <f>IF(ISNA(VLOOKUP(D1055,亚马逊入库配置费!B:F,5,0)),0,VLOOKUP(D1055,亚马逊入库配置费!B:F,5,0))</f>
        <v>0.35337926902336703</v>
      </c>
      <c r="AE1055" s="104">
        <f t="shared" si="253"/>
        <v>101.7732294787297</v>
      </c>
      <c r="AF1055" s="103">
        <v>45955</v>
      </c>
      <c r="AG1055" s="90">
        <f t="shared" si="254"/>
        <v>43</v>
      </c>
      <c r="AH1055" s="103">
        <v>45955</v>
      </c>
      <c r="AI1055" s="103">
        <v>45986</v>
      </c>
      <c r="AJ1055" s="96">
        <v>288</v>
      </c>
      <c r="AK1055" s="91">
        <f t="shared" si="255"/>
        <v>31</v>
      </c>
      <c r="AL1055" s="96">
        <f t="shared" si="256"/>
        <v>74</v>
      </c>
      <c r="AM1055" s="92"/>
      <c r="AN1055" s="91"/>
      <c r="AO1055" s="91"/>
    </row>
    <row r="1056" spans="1:41" ht="14.5" x14ac:dyDescent="0.25">
      <c r="A1056" s="110" t="s">
        <v>1827</v>
      </c>
      <c r="B1056" s="91"/>
      <c r="C1056" s="135" t="s">
        <v>1823</v>
      </c>
      <c r="D1056" s="184" t="s">
        <v>1824</v>
      </c>
      <c r="E1056" s="135" t="s">
        <v>97</v>
      </c>
      <c r="F1056" s="135" t="s">
        <v>0</v>
      </c>
      <c r="G1056" s="58" t="s">
        <v>228</v>
      </c>
      <c r="H1056" s="135">
        <v>400</v>
      </c>
      <c r="I1056" s="135" t="s">
        <v>89</v>
      </c>
      <c r="J1056" s="182" t="s">
        <v>1365</v>
      </c>
      <c r="K1056" s="187" t="s">
        <v>9</v>
      </c>
      <c r="L1056" s="93" t="s">
        <v>3036</v>
      </c>
      <c r="M1056" s="94" t="s">
        <v>3315</v>
      </c>
      <c r="N1056" s="95" t="s">
        <v>2870</v>
      </c>
      <c r="O1056" s="189">
        <v>20</v>
      </c>
      <c r="P1056" s="153">
        <f t="shared" si="260"/>
        <v>267.83068783068779</v>
      </c>
      <c r="Q1056" s="135" t="s">
        <v>16</v>
      </c>
      <c r="R1056" s="135">
        <v>4.3</v>
      </c>
      <c r="S1056" s="95"/>
      <c r="T1056" s="98"/>
      <c r="U1056" s="190">
        <f t="shared" si="261"/>
        <v>1169.6668162837827</v>
      </c>
      <c r="V1056" s="113">
        <f t="shared" si="258"/>
        <v>2.9241670407094569</v>
      </c>
      <c r="W1056" s="114">
        <f t="shared" si="259"/>
        <v>0.41773814867277953</v>
      </c>
      <c r="X1056" s="95"/>
      <c r="Y1056" s="95"/>
      <c r="Z1056" s="102"/>
      <c r="AA1056" s="103">
        <v>45912</v>
      </c>
      <c r="AB1056" s="103">
        <v>45935</v>
      </c>
      <c r="AC1056" s="103"/>
      <c r="AD1056" s="104">
        <f>IF(ISNA(VLOOKUP(D1056,亚马逊入库配置费!B:F,5,0)),0,VLOOKUP(D1056,亚马逊入库配置费!B:F,5,0))</f>
        <v>0.35337926902336703</v>
      </c>
      <c r="AE1056" s="104">
        <f t="shared" si="253"/>
        <v>141.35170760934682</v>
      </c>
      <c r="AF1056" s="103">
        <v>45955</v>
      </c>
      <c r="AG1056" s="90">
        <f t="shared" si="254"/>
        <v>43</v>
      </c>
      <c r="AH1056" s="103">
        <v>45955</v>
      </c>
      <c r="AI1056" s="103">
        <v>45986</v>
      </c>
      <c r="AJ1056" s="96">
        <v>400</v>
      </c>
      <c r="AK1056" s="91">
        <f t="shared" si="255"/>
        <v>31</v>
      </c>
      <c r="AL1056" s="96">
        <f t="shared" si="256"/>
        <v>74</v>
      </c>
      <c r="AM1056" s="92"/>
      <c r="AN1056" s="91"/>
      <c r="AO1056" s="91"/>
    </row>
    <row r="1057" spans="1:41" ht="14.5" x14ac:dyDescent="0.25">
      <c r="A1057" s="110" t="s">
        <v>1828</v>
      </c>
      <c r="B1057" s="91"/>
      <c r="C1057" s="135" t="s">
        <v>1823</v>
      </c>
      <c r="D1057" s="184" t="s">
        <v>1824</v>
      </c>
      <c r="E1057" s="135" t="s">
        <v>97</v>
      </c>
      <c r="F1057" s="135" t="s">
        <v>0</v>
      </c>
      <c r="G1057" s="58" t="s">
        <v>163</v>
      </c>
      <c r="H1057" s="135">
        <v>1800</v>
      </c>
      <c r="I1057" s="135" t="s">
        <v>89</v>
      </c>
      <c r="J1057" s="182" t="s">
        <v>1365</v>
      </c>
      <c r="K1057" s="187" t="s">
        <v>9</v>
      </c>
      <c r="L1057" s="93" t="s">
        <v>2881</v>
      </c>
      <c r="M1057" s="94" t="s">
        <v>3302</v>
      </c>
      <c r="N1057" s="95" t="s">
        <v>2870</v>
      </c>
      <c r="O1057" s="189">
        <v>45</v>
      </c>
      <c r="P1057" s="153">
        <f t="shared" si="260"/>
        <v>602.61904761904759</v>
      </c>
      <c r="Q1057" s="135" t="s">
        <v>16</v>
      </c>
      <c r="R1057" s="135">
        <v>4.3</v>
      </c>
      <c r="S1057" s="95"/>
      <c r="T1057" s="98"/>
      <c r="U1057" s="190">
        <f t="shared" si="261"/>
        <v>2631.7503366385113</v>
      </c>
      <c r="V1057" s="113">
        <f t="shared" si="258"/>
        <v>1.4620835203547284</v>
      </c>
      <c r="W1057" s="114">
        <f t="shared" si="259"/>
        <v>0.20886907433638977</v>
      </c>
      <c r="X1057" s="95"/>
      <c r="Y1057" s="95"/>
      <c r="Z1057" s="102"/>
      <c r="AA1057" s="103">
        <v>45912</v>
      </c>
      <c r="AB1057" s="103">
        <v>45935</v>
      </c>
      <c r="AC1057" s="103"/>
      <c r="AD1057" s="104">
        <f>IF(ISNA(VLOOKUP(D1057,亚马逊入库配置费!B:F,5,0)),0,VLOOKUP(D1057,亚马逊入库配置费!B:F,5,0))</f>
        <v>0.35337926902336703</v>
      </c>
      <c r="AE1057" s="104">
        <f t="shared" si="253"/>
        <v>636.08268424206062</v>
      </c>
      <c r="AF1057" s="103">
        <v>45955</v>
      </c>
      <c r="AG1057" s="90">
        <f t="shared" si="254"/>
        <v>43</v>
      </c>
      <c r="AH1057" s="103">
        <v>45955</v>
      </c>
      <c r="AI1057" s="103">
        <v>45986</v>
      </c>
      <c r="AJ1057" s="96">
        <v>1798</v>
      </c>
      <c r="AK1057" s="91">
        <f t="shared" si="255"/>
        <v>31</v>
      </c>
      <c r="AL1057" s="96">
        <f t="shared" si="256"/>
        <v>74</v>
      </c>
      <c r="AM1057" s="92"/>
      <c r="AN1057" s="91"/>
      <c r="AO1057" s="91"/>
    </row>
    <row r="1058" spans="1:41" ht="14.5" x14ac:dyDescent="0.25">
      <c r="A1058" s="110" t="s">
        <v>1829</v>
      </c>
      <c r="B1058" s="91"/>
      <c r="C1058" s="135" t="s">
        <v>1823</v>
      </c>
      <c r="D1058" s="184" t="s">
        <v>1824</v>
      </c>
      <c r="E1058" s="135" t="s">
        <v>97</v>
      </c>
      <c r="F1058" s="135" t="s">
        <v>0</v>
      </c>
      <c r="G1058" s="58" t="s">
        <v>231</v>
      </c>
      <c r="H1058" s="135">
        <v>300</v>
      </c>
      <c r="I1058" s="135" t="s">
        <v>89</v>
      </c>
      <c r="J1058" s="182" t="s">
        <v>1365</v>
      </c>
      <c r="K1058" s="187" t="s">
        <v>9</v>
      </c>
      <c r="L1058" s="93" t="s">
        <v>3037</v>
      </c>
      <c r="M1058" s="94" t="s">
        <v>3207</v>
      </c>
      <c r="N1058" s="95" t="s">
        <v>2870</v>
      </c>
      <c r="O1058" s="189">
        <v>15</v>
      </c>
      <c r="P1058" s="153">
        <f t="shared" si="260"/>
        <v>200.87301587301587</v>
      </c>
      <c r="Q1058" s="135" t="s">
        <v>16</v>
      </c>
      <c r="R1058" s="135">
        <v>4.3</v>
      </c>
      <c r="S1058" s="95"/>
      <c r="T1058" s="98"/>
      <c r="U1058" s="190">
        <f t="shared" si="261"/>
        <v>877.25011221283705</v>
      </c>
      <c r="V1058" s="113">
        <f t="shared" si="258"/>
        <v>2.9241670407094569</v>
      </c>
      <c r="W1058" s="114">
        <f t="shared" si="259"/>
        <v>0.41773814867277953</v>
      </c>
      <c r="X1058" s="95"/>
      <c r="Y1058" s="95"/>
      <c r="Z1058" s="102"/>
      <c r="AA1058" s="103">
        <v>45912</v>
      </c>
      <c r="AB1058" s="103">
        <v>45935</v>
      </c>
      <c r="AC1058" s="103"/>
      <c r="AD1058" s="104">
        <f>IF(ISNA(VLOOKUP(D1058,亚马逊入库配置费!B:F,5,0)),0,VLOOKUP(D1058,亚马逊入库配置费!B:F,5,0))</f>
        <v>0.35337926902336703</v>
      </c>
      <c r="AE1058" s="104">
        <f t="shared" si="253"/>
        <v>106.01378070701011</v>
      </c>
      <c r="AF1058" s="103">
        <v>45955</v>
      </c>
      <c r="AG1058" s="90">
        <f t="shared" si="254"/>
        <v>43</v>
      </c>
      <c r="AH1058" s="103">
        <v>45955</v>
      </c>
      <c r="AI1058" s="103">
        <v>45986</v>
      </c>
      <c r="AJ1058" s="96">
        <v>340</v>
      </c>
      <c r="AK1058" s="91">
        <f t="shared" si="255"/>
        <v>31</v>
      </c>
      <c r="AL1058" s="96">
        <f t="shared" si="256"/>
        <v>74</v>
      </c>
      <c r="AM1058" s="92"/>
      <c r="AN1058" s="91"/>
      <c r="AO1058" s="91"/>
    </row>
    <row r="1059" spans="1:41" ht="14.5" x14ac:dyDescent="0.25">
      <c r="A1059" s="110" t="s">
        <v>1830</v>
      </c>
      <c r="B1059" s="91"/>
      <c r="C1059" s="135" t="s">
        <v>1823</v>
      </c>
      <c r="D1059" s="184" t="s">
        <v>1824</v>
      </c>
      <c r="E1059" s="135" t="s">
        <v>97</v>
      </c>
      <c r="F1059" s="135" t="s">
        <v>0</v>
      </c>
      <c r="G1059" s="58" t="s">
        <v>853</v>
      </c>
      <c r="H1059" s="135">
        <v>600</v>
      </c>
      <c r="I1059" s="135" t="s">
        <v>89</v>
      </c>
      <c r="J1059" s="182" t="s">
        <v>1365</v>
      </c>
      <c r="K1059" s="187" t="s">
        <v>9</v>
      </c>
      <c r="L1059" s="93" t="s">
        <v>853</v>
      </c>
      <c r="M1059" s="94" t="s">
        <v>3396</v>
      </c>
      <c r="N1059" s="95" t="s">
        <v>2870</v>
      </c>
      <c r="O1059" s="189">
        <v>15</v>
      </c>
      <c r="P1059" s="153">
        <f t="shared" si="260"/>
        <v>200.87301587301587</v>
      </c>
      <c r="Q1059" s="135" t="s">
        <v>16</v>
      </c>
      <c r="R1059" s="135">
        <v>4.3</v>
      </c>
      <c r="S1059" s="95"/>
      <c r="T1059" s="98"/>
      <c r="U1059" s="190">
        <f t="shared" si="261"/>
        <v>877.25011221283705</v>
      </c>
      <c r="V1059" s="113">
        <f t="shared" si="258"/>
        <v>1.4620835203547284</v>
      </c>
      <c r="W1059" s="114">
        <f t="shared" si="259"/>
        <v>0.20886907433638977</v>
      </c>
      <c r="X1059" s="95"/>
      <c r="Y1059" s="95"/>
      <c r="Z1059" s="102"/>
      <c r="AA1059" s="103">
        <v>45912</v>
      </c>
      <c r="AB1059" s="103">
        <v>45935</v>
      </c>
      <c r="AC1059" s="103"/>
      <c r="AD1059" s="104">
        <f>IF(ISNA(VLOOKUP(D1059,亚马逊入库配置费!B:F,5,0)),0,VLOOKUP(D1059,亚马逊入库配置费!B:F,5,0))</f>
        <v>0.35337926902336703</v>
      </c>
      <c r="AE1059" s="104">
        <f t="shared" si="253"/>
        <v>212.02756141402023</v>
      </c>
      <c r="AF1059" s="103">
        <v>45955</v>
      </c>
      <c r="AG1059" s="90">
        <f t="shared" si="254"/>
        <v>43</v>
      </c>
      <c r="AH1059" s="103">
        <v>45955</v>
      </c>
      <c r="AI1059" s="103">
        <v>45986</v>
      </c>
      <c r="AJ1059" s="96">
        <v>600</v>
      </c>
      <c r="AK1059" s="91">
        <f t="shared" si="255"/>
        <v>31</v>
      </c>
      <c r="AL1059" s="96">
        <f t="shared" si="256"/>
        <v>74</v>
      </c>
      <c r="AM1059" s="92"/>
      <c r="AN1059" s="91"/>
      <c r="AO1059" s="91"/>
    </row>
    <row r="1060" spans="1:41" ht="14.5" x14ac:dyDescent="0.25">
      <c r="A1060" s="110" t="s">
        <v>1831</v>
      </c>
      <c r="B1060" s="91"/>
      <c r="C1060" s="135" t="s">
        <v>1823</v>
      </c>
      <c r="D1060" s="184" t="s">
        <v>1824</v>
      </c>
      <c r="E1060" s="135" t="s">
        <v>97</v>
      </c>
      <c r="F1060" s="135" t="s">
        <v>0</v>
      </c>
      <c r="G1060" s="58" t="s">
        <v>350</v>
      </c>
      <c r="H1060" s="135">
        <v>600</v>
      </c>
      <c r="I1060" s="135" t="s">
        <v>89</v>
      </c>
      <c r="J1060" s="182" t="s">
        <v>1365</v>
      </c>
      <c r="K1060" s="187" t="s">
        <v>9</v>
      </c>
      <c r="L1060" s="93" t="s">
        <v>3048</v>
      </c>
      <c r="M1060" s="94" t="s">
        <v>3208</v>
      </c>
      <c r="N1060" s="95" t="s">
        <v>2870</v>
      </c>
      <c r="O1060" s="189">
        <v>15</v>
      </c>
      <c r="P1060" s="153">
        <f t="shared" si="260"/>
        <v>200.87301587301587</v>
      </c>
      <c r="Q1060" s="135" t="s">
        <v>16</v>
      </c>
      <c r="R1060" s="135">
        <v>4.3</v>
      </c>
      <c r="S1060" s="95"/>
      <c r="T1060" s="98"/>
      <c r="U1060" s="190">
        <f t="shared" si="261"/>
        <v>877.25011221283705</v>
      </c>
      <c r="V1060" s="113">
        <f t="shared" si="258"/>
        <v>1.4620835203547284</v>
      </c>
      <c r="W1060" s="114">
        <f t="shared" si="259"/>
        <v>0.20886907433638977</v>
      </c>
      <c r="X1060" s="95"/>
      <c r="Y1060" s="95"/>
      <c r="Z1060" s="102"/>
      <c r="AA1060" s="103">
        <v>45912</v>
      </c>
      <c r="AB1060" s="103">
        <v>45935</v>
      </c>
      <c r="AC1060" s="103"/>
      <c r="AD1060" s="104">
        <f>IF(ISNA(VLOOKUP(D1060,亚马逊入库配置费!B:F,5,0)),0,VLOOKUP(D1060,亚马逊入库配置费!B:F,5,0))</f>
        <v>0.35337926902336703</v>
      </c>
      <c r="AE1060" s="104">
        <f t="shared" si="253"/>
        <v>212.02756141402023</v>
      </c>
      <c r="AF1060" s="103">
        <v>45955</v>
      </c>
      <c r="AG1060" s="90">
        <f t="shared" si="254"/>
        <v>43</v>
      </c>
      <c r="AH1060" s="103">
        <v>45955</v>
      </c>
      <c r="AI1060" s="103">
        <v>45986</v>
      </c>
      <c r="AJ1060" s="96">
        <v>600</v>
      </c>
      <c r="AK1060" s="91">
        <f t="shared" si="255"/>
        <v>31</v>
      </c>
      <c r="AL1060" s="96">
        <f t="shared" si="256"/>
        <v>74</v>
      </c>
      <c r="AM1060" s="92"/>
      <c r="AN1060" s="91"/>
      <c r="AO1060" s="91"/>
    </row>
    <row r="1061" spans="1:41" ht="14.5" x14ac:dyDescent="0.25">
      <c r="A1061" s="110" t="s">
        <v>1832</v>
      </c>
      <c r="B1061" s="91"/>
      <c r="C1061" s="135" t="s">
        <v>1823</v>
      </c>
      <c r="D1061" s="184" t="s">
        <v>1824</v>
      </c>
      <c r="E1061" s="135" t="s">
        <v>97</v>
      </c>
      <c r="F1061" s="135" t="s">
        <v>0</v>
      </c>
      <c r="G1061" s="58" t="s">
        <v>876</v>
      </c>
      <c r="H1061" s="135">
        <v>200</v>
      </c>
      <c r="I1061" s="135" t="s">
        <v>89</v>
      </c>
      <c r="J1061" s="182" t="s">
        <v>1365</v>
      </c>
      <c r="K1061" s="187" t="s">
        <v>9</v>
      </c>
      <c r="L1061" s="93" t="s">
        <v>876</v>
      </c>
      <c r="M1061" s="94" t="s">
        <v>3400</v>
      </c>
      <c r="N1061" s="95" t="s">
        <v>2870</v>
      </c>
      <c r="O1061" s="189">
        <v>5</v>
      </c>
      <c r="P1061" s="153">
        <f t="shared" si="260"/>
        <v>66.957671957671948</v>
      </c>
      <c r="Q1061" s="135" t="s">
        <v>16</v>
      </c>
      <c r="R1061" s="135">
        <v>4.3</v>
      </c>
      <c r="S1061" s="95"/>
      <c r="T1061" s="98"/>
      <c r="U1061" s="190">
        <f t="shared" si="261"/>
        <v>292.41670407094568</v>
      </c>
      <c r="V1061" s="113">
        <f t="shared" si="258"/>
        <v>1.4620835203547284</v>
      </c>
      <c r="W1061" s="114">
        <f t="shared" si="259"/>
        <v>0.20886907433638977</v>
      </c>
      <c r="X1061" s="95"/>
      <c r="Y1061" s="95"/>
      <c r="Z1061" s="102"/>
      <c r="AA1061" s="103">
        <v>45912</v>
      </c>
      <c r="AB1061" s="103">
        <v>45935</v>
      </c>
      <c r="AC1061" s="103"/>
      <c r="AD1061" s="104">
        <f>IF(ISNA(VLOOKUP(D1061,亚马逊入库配置费!B:F,5,0)),0,VLOOKUP(D1061,亚马逊入库配置费!B:F,5,0))</f>
        <v>0.35337926902336703</v>
      </c>
      <c r="AE1061" s="104">
        <f t="shared" si="253"/>
        <v>70.675853804673409</v>
      </c>
      <c r="AF1061" s="103">
        <v>45955</v>
      </c>
      <c r="AG1061" s="90">
        <f t="shared" si="254"/>
        <v>43</v>
      </c>
      <c r="AH1061" s="103">
        <v>45955</v>
      </c>
      <c r="AI1061" s="103">
        <v>45986</v>
      </c>
      <c r="AJ1061" s="96">
        <v>200</v>
      </c>
      <c r="AK1061" s="91">
        <f t="shared" si="255"/>
        <v>31</v>
      </c>
      <c r="AL1061" s="96">
        <f t="shared" si="256"/>
        <v>74</v>
      </c>
      <c r="AM1061" s="92"/>
      <c r="AN1061" s="91"/>
      <c r="AO1061" s="91"/>
    </row>
    <row r="1062" spans="1:41" ht="14.5" x14ac:dyDescent="0.25">
      <c r="A1062" s="110" t="s">
        <v>1833</v>
      </c>
      <c r="B1062" s="91"/>
      <c r="C1062" s="135" t="s">
        <v>1823</v>
      </c>
      <c r="D1062" s="184" t="s">
        <v>1824</v>
      </c>
      <c r="E1062" s="135" t="s">
        <v>97</v>
      </c>
      <c r="F1062" s="135" t="s">
        <v>0</v>
      </c>
      <c r="G1062" s="58" t="s">
        <v>165</v>
      </c>
      <c r="H1062" s="135">
        <v>1320</v>
      </c>
      <c r="I1062" s="135" t="s">
        <v>89</v>
      </c>
      <c r="J1062" s="182" t="s">
        <v>1365</v>
      </c>
      <c r="K1062" s="187" t="s">
        <v>9</v>
      </c>
      <c r="L1062" s="93" t="s">
        <v>2880</v>
      </c>
      <c r="M1062" s="94" t="s">
        <v>3209</v>
      </c>
      <c r="N1062" s="95" t="s">
        <v>2870</v>
      </c>
      <c r="O1062" s="189">
        <v>33</v>
      </c>
      <c r="P1062" s="153">
        <f t="shared" si="260"/>
        <v>441.92063492063488</v>
      </c>
      <c r="Q1062" s="135" t="s">
        <v>16</v>
      </c>
      <c r="R1062" s="135">
        <v>4.3</v>
      </c>
      <c r="S1062" s="95"/>
      <c r="T1062" s="98"/>
      <c r="U1062" s="190">
        <f t="shared" si="261"/>
        <v>1929.9502468682413</v>
      </c>
      <c r="V1062" s="113">
        <f t="shared" si="258"/>
        <v>1.4620835203547282</v>
      </c>
      <c r="W1062" s="114">
        <f t="shared" si="259"/>
        <v>0.20886907433638974</v>
      </c>
      <c r="X1062" s="95"/>
      <c r="Y1062" s="95"/>
      <c r="Z1062" s="102"/>
      <c r="AA1062" s="103">
        <v>45912</v>
      </c>
      <c r="AB1062" s="103">
        <v>45935</v>
      </c>
      <c r="AC1062" s="103"/>
      <c r="AD1062" s="104">
        <f>IF(ISNA(VLOOKUP(D1062,亚马逊入库配置费!B:F,5,0)),0,VLOOKUP(D1062,亚马逊入库配置费!B:F,5,0))</f>
        <v>0.35337926902336703</v>
      </c>
      <c r="AE1062" s="104">
        <f t="shared" si="253"/>
        <v>466.46063511084446</v>
      </c>
      <c r="AF1062" s="103">
        <v>45955</v>
      </c>
      <c r="AG1062" s="90">
        <f t="shared" si="254"/>
        <v>43</v>
      </c>
      <c r="AH1062" s="103">
        <v>45955</v>
      </c>
      <c r="AI1062" s="103">
        <v>45986</v>
      </c>
      <c r="AJ1062" s="96">
        <v>1321</v>
      </c>
      <c r="AK1062" s="91">
        <f t="shared" si="255"/>
        <v>31</v>
      </c>
      <c r="AL1062" s="96">
        <f t="shared" si="256"/>
        <v>74</v>
      </c>
      <c r="AM1062" s="92"/>
      <c r="AN1062" s="91"/>
      <c r="AO1062" s="91"/>
    </row>
    <row r="1063" spans="1:41" ht="14.5" x14ac:dyDescent="0.25">
      <c r="A1063" s="110" t="s">
        <v>1834</v>
      </c>
      <c r="B1063" s="91"/>
      <c r="C1063" s="135" t="s">
        <v>1823</v>
      </c>
      <c r="D1063" s="184" t="s">
        <v>1824</v>
      </c>
      <c r="E1063" s="135" t="s">
        <v>97</v>
      </c>
      <c r="F1063" s="135" t="s">
        <v>0</v>
      </c>
      <c r="G1063" s="58" t="s">
        <v>786</v>
      </c>
      <c r="H1063" s="135">
        <v>200</v>
      </c>
      <c r="I1063" s="135" t="s">
        <v>89</v>
      </c>
      <c r="J1063" s="182" t="s">
        <v>1365</v>
      </c>
      <c r="K1063" s="187" t="s">
        <v>9</v>
      </c>
      <c r="L1063" s="93" t="s">
        <v>786</v>
      </c>
      <c r="M1063" s="94" t="s">
        <v>3395</v>
      </c>
      <c r="N1063" s="95" t="s">
        <v>2870</v>
      </c>
      <c r="O1063" s="189">
        <v>5</v>
      </c>
      <c r="P1063" s="153">
        <f t="shared" si="260"/>
        <v>66.957671957671948</v>
      </c>
      <c r="Q1063" s="135" t="s">
        <v>16</v>
      </c>
      <c r="R1063" s="135">
        <v>4.3</v>
      </c>
      <c r="S1063" s="95"/>
      <c r="T1063" s="98"/>
      <c r="U1063" s="190">
        <f t="shared" si="261"/>
        <v>292.41670407094568</v>
      </c>
      <c r="V1063" s="113">
        <f t="shared" si="258"/>
        <v>1.4620835203547284</v>
      </c>
      <c r="W1063" s="114">
        <f t="shared" si="259"/>
        <v>0.20886907433638977</v>
      </c>
      <c r="X1063" s="95"/>
      <c r="Y1063" s="95"/>
      <c r="Z1063" s="102"/>
      <c r="AA1063" s="103">
        <v>45912</v>
      </c>
      <c r="AB1063" s="103">
        <v>45935</v>
      </c>
      <c r="AC1063" s="103"/>
      <c r="AD1063" s="104">
        <f>IF(ISNA(VLOOKUP(D1063,亚马逊入库配置费!B:F,5,0)),0,VLOOKUP(D1063,亚马逊入库配置费!B:F,5,0))</f>
        <v>0.35337926902336703</v>
      </c>
      <c r="AE1063" s="104">
        <f t="shared" si="253"/>
        <v>70.675853804673409</v>
      </c>
      <c r="AF1063" s="103">
        <v>45955</v>
      </c>
      <c r="AG1063" s="90">
        <f t="shared" si="254"/>
        <v>43</v>
      </c>
      <c r="AH1063" s="103">
        <v>45955</v>
      </c>
      <c r="AI1063" s="103">
        <v>45986</v>
      </c>
      <c r="AJ1063" s="96">
        <v>196</v>
      </c>
      <c r="AK1063" s="91">
        <f t="shared" si="255"/>
        <v>31</v>
      </c>
      <c r="AL1063" s="96">
        <f t="shared" si="256"/>
        <v>74</v>
      </c>
      <c r="AM1063" s="92"/>
      <c r="AN1063" s="91"/>
      <c r="AO1063" s="91"/>
    </row>
    <row r="1064" spans="1:41" ht="14.5" x14ac:dyDescent="0.25">
      <c r="A1064" s="110" t="s">
        <v>1835</v>
      </c>
      <c r="B1064" s="91"/>
      <c r="C1064" s="135" t="s">
        <v>1823</v>
      </c>
      <c r="D1064" s="184" t="s">
        <v>1824</v>
      </c>
      <c r="E1064" s="135" t="s">
        <v>97</v>
      </c>
      <c r="F1064" s="135" t="s">
        <v>0</v>
      </c>
      <c r="G1064" s="58" t="s">
        <v>1213</v>
      </c>
      <c r="H1064" s="135">
        <v>280</v>
      </c>
      <c r="I1064" s="135" t="s">
        <v>89</v>
      </c>
      <c r="J1064" s="182" t="s">
        <v>1365</v>
      </c>
      <c r="K1064" s="187" t="s">
        <v>9</v>
      </c>
      <c r="L1064" s="93" t="s">
        <v>1213</v>
      </c>
      <c r="M1064" s="94" t="s">
        <v>3435</v>
      </c>
      <c r="N1064" s="95" t="s">
        <v>2867</v>
      </c>
      <c r="O1064" s="189">
        <v>7</v>
      </c>
      <c r="P1064" s="153">
        <f t="shared" si="260"/>
        <v>93.740740740740733</v>
      </c>
      <c r="Q1064" s="135" t="s">
        <v>16</v>
      </c>
      <c r="R1064" s="135">
        <v>4.3</v>
      </c>
      <c r="S1064" s="95"/>
      <c r="T1064" s="98"/>
      <c r="U1064" s="190">
        <f t="shared" si="261"/>
        <v>409.38338569932398</v>
      </c>
      <c r="V1064" s="113">
        <f t="shared" si="258"/>
        <v>1.4620835203547284</v>
      </c>
      <c r="W1064" s="114">
        <f t="shared" si="259"/>
        <v>0.20886907433638977</v>
      </c>
      <c r="X1064" s="95"/>
      <c r="Y1064" s="95"/>
      <c r="Z1064" s="102"/>
      <c r="AA1064" s="103">
        <v>45912</v>
      </c>
      <c r="AB1064" s="103">
        <v>45935</v>
      </c>
      <c r="AC1064" s="103"/>
      <c r="AD1064" s="104">
        <f>IF(ISNA(VLOOKUP(D1064,亚马逊入库配置费!B:F,5,0)),0,VLOOKUP(D1064,亚马逊入库配置费!B:F,5,0))</f>
        <v>0.35337926902336703</v>
      </c>
      <c r="AE1064" s="104">
        <f t="shared" si="253"/>
        <v>98.946195326542764</v>
      </c>
      <c r="AF1064" s="103">
        <v>45955</v>
      </c>
      <c r="AG1064" s="90">
        <f t="shared" si="254"/>
        <v>43</v>
      </c>
      <c r="AH1064" s="103">
        <v>45955</v>
      </c>
      <c r="AI1064" s="103">
        <v>45986</v>
      </c>
      <c r="AJ1064" s="96">
        <v>272</v>
      </c>
      <c r="AK1064" s="91">
        <f t="shared" si="255"/>
        <v>31</v>
      </c>
      <c r="AL1064" s="96">
        <f t="shared" si="256"/>
        <v>74</v>
      </c>
      <c r="AM1064" s="92"/>
      <c r="AN1064" s="91"/>
      <c r="AO1064" s="91"/>
    </row>
    <row r="1065" spans="1:41" ht="14.5" x14ac:dyDescent="0.25">
      <c r="A1065" s="110" t="s">
        <v>1836</v>
      </c>
      <c r="B1065" s="91"/>
      <c r="C1065" s="135" t="s">
        <v>1823</v>
      </c>
      <c r="D1065" s="184" t="s">
        <v>1824</v>
      </c>
      <c r="E1065" s="135" t="s">
        <v>97</v>
      </c>
      <c r="F1065" s="135" t="s">
        <v>0</v>
      </c>
      <c r="G1065" s="58" t="s">
        <v>355</v>
      </c>
      <c r="H1065" s="135">
        <v>200</v>
      </c>
      <c r="I1065" s="135" t="s">
        <v>89</v>
      </c>
      <c r="J1065" s="182" t="s">
        <v>1365</v>
      </c>
      <c r="K1065" s="187" t="s">
        <v>9</v>
      </c>
      <c r="L1065" s="93" t="s">
        <v>2712</v>
      </c>
      <c r="M1065" s="94" t="s">
        <v>3216</v>
      </c>
      <c r="N1065" s="95" t="s">
        <v>3050</v>
      </c>
      <c r="O1065" s="189">
        <v>1</v>
      </c>
      <c r="P1065" s="153">
        <f t="shared" si="260"/>
        <v>13.391534391534391</v>
      </c>
      <c r="Q1065" s="135" t="s">
        <v>16</v>
      </c>
      <c r="R1065" s="135">
        <v>4.3</v>
      </c>
      <c r="S1065" s="95"/>
      <c r="T1065" s="98"/>
      <c r="U1065" s="190">
        <f t="shared" si="261"/>
        <v>58.483340814189134</v>
      </c>
      <c r="V1065" s="113">
        <f t="shared" si="258"/>
        <v>0.29241670407094567</v>
      </c>
      <c r="W1065" s="114">
        <f t="shared" si="259"/>
        <v>4.177381486727795E-2</v>
      </c>
      <c r="X1065" s="95"/>
      <c r="Y1065" s="95"/>
      <c r="Z1065" s="102"/>
      <c r="AA1065" s="103">
        <v>45912</v>
      </c>
      <c r="AB1065" s="103">
        <v>45935</v>
      </c>
      <c r="AC1065" s="103"/>
      <c r="AD1065" s="104">
        <f>IF(ISNA(VLOOKUP(D1065,亚马逊入库配置费!B:F,5,0)),0,VLOOKUP(D1065,亚马逊入库配置费!B:F,5,0))</f>
        <v>0.35337926902336703</v>
      </c>
      <c r="AE1065" s="104">
        <f t="shared" si="253"/>
        <v>70.675853804673409</v>
      </c>
      <c r="AF1065" s="103">
        <v>45955</v>
      </c>
      <c r="AG1065" s="90">
        <f t="shared" si="254"/>
        <v>43</v>
      </c>
      <c r="AH1065" s="103">
        <v>45955</v>
      </c>
      <c r="AI1065" s="103">
        <v>45986</v>
      </c>
      <c r="AJ1065" s="96">
        <v>200</v>
      </c>
      <c r="AK1065" s="91">
        <f t="shared" si="255"/>
        <v>31</v>
      </c>
      <c r="AL1065" s="96">
        <f t="shared" si="256"/>
        <v>74</v>
      </c>
      <c r="AM1065" s="92"/>
      <c r="AN1065" s="91"/>
      <c r="AO1065" s="91"/>
    </row>
    <row r="1066" spans="1:41" ht="14.5" x14ac:dyDescent="0.25">
      <c r="A1066" s="110" t="s">
        <v>1837</v>
      </c>
      <c r="B1066" s="91"/>
      <c r="C1066" s="135" t="s">
        <v>1823</v>
      </c>
      <c r="D1066" s="184" t="s">
        <v>1824</v>
      </c>
      <c r="E1066" s="135" t="s">
        <v>97</v>
      </c>
      <c r="F1066" s="135" t="s">
        <v>0</v>
      </c>
      <c r="G1066" s="58" t="s">
        <v>357</v>
      </c>
      <c r="H1066" s="135">
        <v>200</v>
      </c>
      <c r="I1066" s="135" t="s">
        <v>89</v>
      </c>
      <c r="J1066" s="182" t="s">
        <v>1365</v>
      </c>
      <c r="K1066" s="187" t="s">
        <v>9</v>
      </c>
      <c r="L1066" s="93" t="s">
        <v>3051</v>
      </c>
      <c r="M1066" s="94" t="s">
        <v>3337</v>
      </c>
      <c r="N1066" s="95" t="s">
        <v>3050</v>
      </c>
      <c r="O1066" s="189">
        <v>1</v>
      </c>
      <c r="P1066" s="153">
        <f t="shared" si="260"/>
        <v>13.391534391534391</v>
      </c>
      <c r="Q1066" s="135" t="s">
        <v>16</v>
      </c>
      <c r="R1066" s="135">
        <v>4.3</v>
      </c>
      <c r="S1066" s="95"/>
      <c r="T1066" s="98"/>
      <c r="U1066" s="190">
        <f t="shared" si="261"/>
        <v>58.483340814189134</v>
      </c>
      <c r="V1066" s="113">
        <f t="shared" si="258"/>
        <v>0.29241670407094567</v>
      </c>
      <c r="W1066" s="114">
        <f t="shared" si="259"/>
        <v>4.177381486727795E-2</v>
      </c>
      <c r="X1066" s="95"/>
      <c r="Y1066" s="95"/>
      <c r="Z1066" s="102"/>
      <c r="AA1066" s="103">
        <v>45912</v>
      </c>
      <c r="AB1066" s="103">
        <v>45935</v>
      </c>
      <c r="AC1066" s="103"/>
      <c r="AD1066" s="104">
        <f>IF(ISNA(VLOOKUP(D1066,亚马逊入库配置费!B:F,5,0)),0,VLOOKUP(D1066,亚马逊入库配置费!B:F,5,0))</f>
        <v>0.35337926902336703</v>
      </c>
      <c r="AE1066" s="104">
        <f t="shared" si="253"/>
        <v>70.675853804673409</v>
      </c>
      <c r="AF1066" s="103">
        <v>45955</v>
      </c>
      <c r="AG1066" s="90">
        <f t="shared" si="254"/>
        <v>43</v>
      </c>
      <c r="AH1066" s="103">
        <v>45955</v>
      </c>
      <c r="AI1066" s="103">
        <v>45986</v>
      </c>
      <c r="AJ1066" s="96">
        <v>199</v>
      </c>
      <c r="AK1066" s="91">
        <f t="shared" si="255"/>
        <v>31</v>
      </c>
      <c r="AL1066" s="96">
        <f t="shared" si="256"/>
        <v>74</v>
      </c>
      <c r="AM1066" s="92"/>
      <c r="AN1066" s="91"/>
      <c r="AO1066" s="91"/>
    </row>
    <row r="1067" spans="1:41" ht="14.5" x14ac:dyDescent="0.25">
      <c r="A1067" s="110" t="s">
        <v>1838</v>
      </c>
      <c r="B1067" s="91"/>
      <c r="C1067" s="119" t="s">
        <v>1839</v>
      </c>
      <c r="D1067" s="127" t="s">
        <v>1840</v>
      </c>
      <c r="E1067" s="155" t="s">
        <v>97</v>
      </c>
      <c r="F1067" s="155" t="s">
        <v>175</v>
      </c>
      <c r="G1067" s="159" t="s">
        <v>1215</v>
      </c>
      <c r="H1067" s="126">
        <v>300</v>
      </c>
      <c r="I1067" s="126" t="s">
        <v>1227</v>
      </c>
      <c r="J1067" s="126" t="s">
        <v>1387</v>
      </c>
      <c r="K1067" s="127" t="s">
        <v>9</v>
      </c>
      <c r="L1067" s="93" t="s">
        <v>3095</v>
      </c>
      <c r="M1067" s="94" t="s">
        <v>3436</v>
      </c>
      <c r="N1067" s="95" t="s">
        <v>2867</v>
      </c>
      <c r="O1067" s="188">
        <v>10</v>
      </c>
      <c r="P1067" s="97">
        <v>164</v>
      </c>
      <c r="Q1067" s="126" t="s">
        <v>1443</v>
      </c>
      <c r="R1067" s="126">
        <v>7.2</v>
      </c>
      <c r="S1067" s="108"/>
      <c r="T1067" s="131"/>
      <c r="U1067" s="157">
        <f>R1067*P1067+350/10*O1067</f>
        <v>1530.8</v>
      </c>
      <c r="V1067" s="100">
        <f t="shared" si="258"/>
        <v>5.1026666666666669</v>
      </c>
      <c r="W1067" s="101">
        <f t="shared" si="259"/>
        <v>0.72895238095238102</v>
      </c>
      <c r="X1067" s="95"/>
      <c r="Y1067" s="108"/>
      <c r="Z1067" s="104"/>
      <c r="AA1067" s="118">
        <v>45912</v>
      </c>
      <c r="AB1067" s="118">
        <v>45944</v>
      </c>
      <c r="AC1067" s="103"/>
      <c r="AD1067" s="104">
        <f>IF(ISNA(VLOOKUP(D1067,亚马逊入库配置费!B:F,5,0)),0,VLOOKUP(D1067,亚马逊入库配置费!B:F,5,0))</f>
        <v>0.41</v>
      </c>
      <c r="AE1067" s="104">
        <f t="shared" si="253"/>
        <v>122.99999999999999</v>
      </c>
      <c r="AF1067" s="103">
        <v>45958</v>
      </c>
      <c r="AG1067" s="90">
        <f t="shared" si="254"/>
        <v>46</v>
      </c>
      <c r="AH1067" s="103">
        <v>45958</v>
      </c>
      <c r="AI1067" s="103">
        <v>45986</v>
      </c>
      <c r="AJ1067" s="96">
        <v>318</v>
      </c>
      <c r="AK1067" s="91">
        <f t="shared" si="255"/>
        <v>28</v>
      </c>
      <c r="AL1067" s="96">
        <f t="shared" si="256"/>
        <v>74</v>
      </c>
      <c r="AM1067" s="92"/>
      <c r="AN1067" s="91"/>
      <c r="AO1067" s="91"/>
    </row>
    <row r="1068" spans="1:41" ht="14.5" x14ac:dyDescent="0.25">
      <c r="A1068" s="110" t="s">
        <v>1841</v>
      </c>
      <c r="B1068" s="91"/>
      <c r="C1068" s="135" t="s">
        <v>1823</v>
      </c>
      <c r="D1068" s="184" t="s">
        <v>1842</v>
      </c>
      <c r="E1068" s="155" t="s">
        <v>97</v>
      </c>
      <c r="F1068" s="155" t="s">
        <v>175</v>
      </c>
      <c r="G1068" s="159" t="s">
        <v>1843</v>
      </c>
      <c r="H1068" s="155">
        <v>420</v>
      </c>
      <c r="I1068" s="182" t="s">
        <v>502</v>
      </c>
      <c r="J1068" s="182" t="s">
        <v>1365</v>
      </c>
      <c r="K1068" s="184" t="s">
        <v>10</v>
      </c>
      <c r="L1068" s="93" t="s">
        <v>1843</v>
      </c>
      <c r="M1068" s="94" t="s">
        <v>3452</v>
      </c>
      <c r="N1068" s="95" t="s">
        <v>2868</v>
      </c>
      <c r="O1068" s="185">
        <v>14</v>
      </c>
      <c r="P1068" s="97">
        <f t="shared" ref="P1068:P1074" si="262">2134/140*O1068</f>
        <v>213.39999999999998</v>
      </c>
      <c r="Q1068" s="155" t="s">
        <v>1443</v>
      </c>
      <c r="R1068" s="155">
        <v>5</v>
      </c>
      <c r="S1068" s="108"/>
      <c r="T1068" s="131"/>
      <c r="U1068" s="190">
        <f t="shared" ref="U1068:U1076" si="263">R1068*P1068+350/389*O1068</f>
        <v>1079.5964010282776</v>
      </c>
      <c r="V1068" s="100">
        <f t="shared" si="258"/>
        <v>2.570467621495899</v>
      </c>
      <c r="W1068" s="101">
        <f t="shared" si="259"/>
        <v>0.36720966021369988</v>
      </c>
      <c r="X1068" s="95"/>
      <c r="Y1068" s="108"/>
      <c r="Z1068" s="104"/>
      <c r="AA1068" s="103">
        <v>45912</v>
      </c>
      <c r="AB1068" s="103">
        <v>45935</v>
      </c>
      <c r="AC1068" s="103"/>
      <c r="AD1068" s="104">
        <f>IF(ISNA(VLOOKUP(D1068,亚马逊入库配置费!B:F,5,0)),0,VLOOKUP(D1068,亚马逊入库配置费!B:F,5,0))</f>
        <v>0.40250000000000002</v>
      </c>
      <c r="AE1068" s="104">
        <f t="shared" si="253"/>
        <v>169.05</v>
      </c>
      <c r="AF1068" s="103">
        <v>45960</v>
      </c>
      <c r="AG1068" s="90">
        <f t="shared" si="254"/>
        <v>48</v>
      </c>
      <c r="AH1068" s="103">
        <v>45960</v>
      </c>
      <c r="AI1068" s="103">
        <v>46029</v>
      </c>
      <c r="AJ1068" s="96">
        <v>420</v>
      </c>
      <c r="AK1068" s="91">
        <f t="shared" si="255"/>
        <v>69</v>
      </c>
      <c r="AL1068" s="96">
        <f t="shared" si="256"/>
        <v>117</v>
      </c>
      <c r="AM1068" s="92"/>
      <c r="AN1068" s="91"/>
      <c r="AO1068" s="91"/>
    </row>
    <row r="1069" spans="1:41" ht="14.5" x14ac:dyDescent="0.25">
      <c r="A1069" s="110" t="s">
        <v>1844</v>
      </c>
      <c r="B1069" s="91"/>
      <c r="C1069" s="135" t="s">
        <v>1823</v>
      </c>
      <c r="D1069" s="184" t="s">
        <v>1842</v>
      </c>
      <c r="E1069" s="135" t="s">
        <v>97</v>
      </c>
      <c r="F1069" s="135" t="s">
        <v>0</v>
      </c>
      <c r="G1069" s="58" t="s">
        <v>1845</v>
      </c>
      <c r="H1069" s="135">
        <v>330</v>
      </c>
      <c r="I1069" s="191" t="s">
        <v>89</v>
      </c>
      <c r="J1069" s="182" t="s">
        <v>1365</v>
      </c>
      <c r="K1069" s="187" t="s">
        <v>10</v>
      </c>
      <c r="L1069" s="93" t="s">
        <v>1845</v>
      </c>
      <c r="M1069" s="94" t="s">
        <v>3453</v>
      </c>
      <c r="N1069" s="95" t="s">
        <v>2868</v>
      </c>
      <c r="O1069" s="189">
        <v>11</v>
      </c>
      <c r="P1069" s="153">
        <f t="shared" si="262"/>
        <v>167.67142857142855</v>
      </c>
      <c r="Q1069" s="135" t="s">
        <v>16</v>
      </c>
      <c r="R1069" s="135">
        <v>5</v>
      </c>
      <c r="S1069" s="95"/>
      <c r="T1069" s="98"/>
      <c r="U1069" s="190">
        <f t="shared" si="263"/>
        <v>848.2543150936466</v>
      </c>
      <c r="V1069" s="113">
        <f t="shared" si="258"/>
        <v>2.5704676214958986</v>
      </c>
      <c r="W1069" s="114">
        <f t="shared" si="259"/>
        <v>0.36720966021369977</v>
      </c>
      <c r="X1069" s="95"/>
      <c r="Y1069" s="95"/>
      <c r="Z1069" s="102"/>
      <c r="AA1069" s="103">
        <v>45912</v>
      </c>
      <c r="AB1069" s="103">
        <v>45935</v>
      </c>
      <c r="AC1069" s="103"/>
      <c r="AD1069" s="104">
        <f>IF(ISNA(VLOOKUP(D1069,亚马逊入库配置费!B:F,5,0)),0,VLOOKUP(D1069,亚马逊入库配置费!B:F,5,0))</f>
        <v>0.40250000000000002</v>
      </c>
      <c r="AE1069" s="104">
        <f t="shared" si="253"/>
        <v>132.82500000000002</v>
      </c>
      <c r="AF1069" s="103">
        <v>45960</v>
      </c>
      <c r="AG1069" s="90">
        <f t="shared" si="254"/>
        <v>48</v>
      </c>
      <c r="AH1069" s="103">
        <v>45960</v>
      </c>
      <c r="AI1069" s="103">
        <v>46029</v>
      </c>
      <c r="AJ1069" s="96">
        <v>327</v>
      </c>
      <c r="AK1069" s="91">
        <f t="shared" si="255"/>
        <v>69</v>
      </c>
      <c r="AL1069" s="96">
        <f t="shared" si="256"/>
        <v>117</v>
      </c>
      <c r="AM1069" s="92"/>
      <c r="AN1069" s="91"/>
      <c r="AO1069" s="91"/>
    </row>
    <row r="1070" spans="1:41" ht="14.5" x14ac:dyDescent="0.25">
      <c r="A1070" s="110" t="s">
        <v>1846</v>
      </c>
      <c r="B1070" s="91"/>
      <c r="C1070" s="135" t="s">
        <v>1823</v>
      </c>
      <c r="D1070" s="184" t="s">
        <v>1842</v>
      </c>
      <c r="E1070" s="135" t="s">
        <v>97</v>
      </c>
      <c r="F1070" s="135" t="s">
        <v>0</v>
      </c>
      <c r="G1070" s="58" t="s">
        <v>1195</v>
      </c>
      <c r="H1070" s="135">
        <v>300</v>
      </c>
      <c r="I1070" s="191" t="s">
        <v>89</v>
      </c>
      <c r="J1070" s="182" t="s">
        <v>1365</v>
      </c>
      <c r="K1070" s="187" t="s">
        <v>10</v>
      </c>
      <c r="L1070" s="93" t="s">
        <v>1195</v>
      </c>
      <c r="M1070" s="94" t="s">
        <v>3433</v>
      </c>
      <c r="N1070" s="95" t="s">
        <v>2870</v>
      </c>
      <c r="O1070" s="189">
        <v>10</v>
      </c>
      <c r="P1070" s="153">
        <f t="shared" si="262"/>
        <v>152.42857142857142</v>
      </c>
      <c r="Q1070" s="135" t="s">
        <v>16</v>
      </c>
      <c r="R1070" s="135">
        <v>5</v>
      </c>
      <c r="S1070" s="95"/>
      <c r="T1070" s="98"/>
      <c r="U1070" s="190">
        <f t="shared" si="263"/>
        <v>771.14028644876976</v>
      </c>
      <c r="V1070" s="113">
        <f t="shared" si="258"/>
        <v>2.570467621495899</v>
      </c>
      <c r="W1070" s="114">
        <f t="shared" si="259"/>
        <v>0.36720966021369988</v>
      </c>
      <c r="X1070" s="95"/>
      <c r="Y1070" s="95"/>
      <c r="Z1070" s="102"/>
      <c r="AA1070" s="103">
        <v>45912</v>
      </c>
      <c r="AB1070" s="103">
        <v>45935</v>
      </c>
      <c r="AC1070" s="103"/>
      <c r="AD1070" s="104">
        <f>IF(ISNA(VLOOKUP(D1070,亚马逊入库配置费!B:F,5,0)),0,VLOOKUP(D1070,亚马逊入库配置费!B:F,5,0))</f>
        <v>0.40250000000000002</v>
      </c>
      <c r="AE1070" s="104">
        <f t="shared" si="253"/>
        <v>120.75000000000001</v>
      </c>
      <c r="AF1070" s="103">
        <v>45960</v>
      </c>
      <c r="AG1070" s="90">
        <f t="shared" si="254"/>
        <v>48</v>
      </c>
      <c r="AH1070" s="103">
        <v>45960</v>
      </c>
      <c r="AI1070" s="103">
        <v>46029</v>
      </c>
      <c r="AJ1070" s="96">
        <v>301</v>
      </c>
      <c r="AK1070" s="91">
        <f t="shared" si="255"/>
        <v>69</v>
      </c>
      <c r="AL1070" s="96">
        <f t="shared" si="256"/>
        <v>117</v>
      </c>
      <c r="AM1070" s="92"/>
      <c r="AN1070" s="91"/>
      <c r="AO1070" s="91"/>
    </row>
    <row r="1071" spans="1:41" ht="14.5" x14ac:dyDescent="0.25">
      <c r="A1071" s="110" t="s">
        <v>1847</v>
      </c>
      <c r="B1071" s="91"/>
      <c r="C1071" s="135" t="s">
        <v>1823</v>
      </c>
      <c r="D1071" s="184" t="s">
        <v>1842</v>
      </c>
      <c r="E1071" s="135" t="s">
        <v>97</v>
      </c>
      <c r="F1071" s="135" t="s">
        <v>0</v>
      </c>
      <c r="G1071" s="58" t="s">
        <v>872</v>
      </c>
      <c r="H1071" s="135">
        <v>1080</v>
      </c>
      <c r="I1071" s="191" t="s">
        <v>89</v>
      </c>
      <c r="J1071" s="182" t="s">
        <v>1365</v>
      </c>
      <c r="K1071" s="187" t="s">
        <v>10</v>
      </c>
      <c r="L1071" s="93" t="s">
        <v>872</v>
      </c>
      <c r="M1071" s="94" t="s">
        <v>3399</v>
      </c>
      <c r="N1071" s="95" t="s">
        <v>2870</v>
      </c>
      <c r="O1071" s="189">
        <v>36</v>
      </c>
      <c r="P1071" s="153">
        <f t="shared" si="262"/>
        <v>548.74285714285713</v>
      </c>
      <c r="Q1071" s="135" t="s">
        <v>16</v>
      </c>
      <c r="R1071" s="135">
        <v>5</v>
      </c>
      <c r="S1071" s="95"/>
      <c r="T1071" s="98"/>
      <c r="U1071" s="190">
        <f t="shared" si="263"/>
        <v>2776.1050312155712</v>
      </c>
      <c r="V1071" s="113">
        <f t="shared" si="258"/>
        <v>2.5704676214958995</v>
      </c>
      <c r="W1071" s="114">
        <f t="shared" si="259"/>
        <v>0.36720966021369994</v>
      </c>
      <c r="X1071" s="95"/>
      <c r="Y1071" s="95"/>
      <c r="Z1071" s="102"/>
      <c r="AA1071" s="103">
        <v>45912</v>
      </c>
      <c r="AB1071" s="103">
        <v>45935</v>
      </c>
      <c r="AC1071" s="103"/>
      <c r="AD1071" s="104">
        <f>IF(ISNA(VLOOKUP(D1071,亚马逊入库配置费!B:F,5,0)),0,VLOOKUP(D1071,亚马逊入库配置费!B:F,5,0))</f>
        <v>0.40250000000000002</v>
      </c>
      <c r="AE1071" s="104">
        <f t="shared" si="253"/>
        <v>434.70000000000005</v>
      </c>
      <c r="AF1071" s="103">
        <v>45960</v>
      </c>
      <c r="AG1071" s="90">
        <f t="shared" si="254"/>
        <v>48</v>
      </c>
      <c r="AH1071" s="103">
        <v>45960</v>
      </c>
      <c r="AI1071" s="103">
        <v>46029</v>
      </c>
      <c r="AJ1071" s="96">
        <v>1054</v>
      </c>
      <c r="AK1071" s="91">
        <f t="shared" si="255"/>
        <v>69</v>
      </c>
      <c r="AL1071" s="96">
        <f t="shared" si="256"/>
        <v>117</v>
      </c>
      <c r="AM1071" s="92"/>
      <c r="AN1071" s="91"/>
      <c r="AO1071" s="91"/>
    </row>
    <row r="1072" spans="1:41" ht="14.5" x14ac:dyDescent="0.25">
      <c r="A1072" s="110" t="s">
        <v>1848</v>
      </c>
      <c r="B1072" s="91"/>
      <c r="C1072" s="135" t="s">
        <v>1823</v>
      </c>
      <c r="D1072" s="184" t="s">
        <v>1842</v>
      </c>
      <c r="E1072" s="135" t="s">
        <v>97</v>
      </c>
      <c r="F1072" s="135" t="s">
        <v>0</v>
      </c>
      <c r="G1072" s="58" t="s">
        <v>1198</v>
      </c>
      <c r="H1072" s="135">
        <v>120</v>
      </c>
      <c r="I1072" s="191" t="s">
        <v>89</v>
      </c>
      <c r="J1072" s="182" t="s">
        <v>1365</v>
      </c>
      <c r="K1072" s="187" t="s">
        <v>10</v>
      </c>
      <c r="L1072" s="93" t="s">
        <v>1198</v>
      </c>
      <c r="M1072" s="94" t="s">
        <v>3434</v>
      </c>
      <c r="N1072" s="95" t="s">
        <v>2870</v>
      </c>
      <c r="O1072" s="189">
        <v>4</v>
      </c>
      <c r="P1072" s="153">
        <f t="shared" si="262"/>
        <v>60.971428571428568</v>
      </c>
      <c r="Q1072" s="135" t="s">
        <v>16</v>
      </c>
      <c r="R1072" s="135">
        <v>5</v>
      </c>
      <c r="S1072" s="95"/>
      <c r="T1072" s="98"/>
      <c r="U1072" s="190">
        <f t="shared" si="263"/>
        <v>308.45611457950787</v>
      </c>
      <c r="V1072" s="113">
        <f t="shared" si="258"/>
        <v>2.570467621495899</v>
      </c>
      <c r="W1072" s="114">
        <f t="shared" si="259"/>
        <v>0.36720966021369988</v>
      </c>
      <c r="X1072" s="95"/>
      <c r="Y1072" s="95"/>
      <c r="Z1072" s="102"/>
      <c r="AA1072" s="103">
        <v>45912</v>
      </c>
      <c r="AB1072" s="103">
        <v>45935</v>
      </c>
      <c r="AC1072" s="103"/>
      <c r="AD1072" s="104">
        <f>IF(ISNA(VLOOKUP(D1072,亚马逊入库配置费!B:F,5,0)),0,VLOOKUP(D1072,亚马逊入库配置费!B:F,5,0))</f>
        <v>0.40250000000000002</v>
      </c>
      <c r="AE1072" s="104">
        <f t="shared" si="253"/>
        <v>48.300000000000004</v>
      </c>
      <c r="AF1072" s="103">
        <v>45960</v>
      </c>
      <c r="AG1072" s="90">
        <f t="shared" si="254"/>
        <v>48</v>
      </c>
      <c r="AH1072" s="103">
        <v>45960</v>
      </c>
      <c r="AI1072" s="103">
        <v>46029</v>
      </c>
      <c r="AJ1072" s="96">
        <v>120</v>
      </c>
      <c r="AK1072" s="91">
        <f t="shared" si="255"/>
        <v>69</v>
      </c>
      <c r="AL1072" s="96">
        <f t="shared" si="256"/>
        <v>117</v>
      </c>
      <c r="AM1072" s="92"/>
      <c r="AN1072" s="91"/>
      <c r="AO1072" s="91"/>
    </row>
    <row r="1073" spans="1:41" ht="14.5" x14ac:dyDescent="0.25">
      <c r="A1073" s="110" t="s">
        <v>1849</v>
      </c>
      <c r="B1073" s="90"/>
      <c r="C1073" s="155" t="s">
        <v>1823</v>
      </c>
      <c r="D1073" s="184" t="s">
        <v>1842</v>
      </c>
      <c r="E1073" s="155" t="s">
        <v>97</v>
      </c>
      <c r="F1073" s="155" t="s">
        <v>175</v>
      </c>
      <c r="G1073" s="159" t="s">
        <v>1215</v>
      </c>
      <c r="H1073" s="155">
        <v>1500</v>
      </c>
      <c r="I1073" s="182" t="s">
        <v>502</v>
      </c>
      <c r="J1073" s="182" t="s">
        <v>1365</v>
      </c>
      <c r="K1073" s="187" t="s">
        <v>10</v>
      </c>
      <c r="L1073" s="93" t="s">
        <v>3095</v>
      </c>
      <c r="M1073" s="94" t="s">
        <v>3436</v>
      </c>
      <c r="N1073" s="95" t="s">
        <v>2867</v>
      </c>
      <c r="O1073" s="189">
        <v>50</v>
      </c>
      <c r="P1073" s="153">
        <f t="shared" si="262"/>
        <v>762.14285714285711</v>
      </c>
      <c r="Q1073" s="135" t="s">
        <v>16</v>
      </c>
      <c r="R1073" s="135">
        <v>5</v>
      </c>
      <c r="S1073" s="95"/>
      <c r="T1073" s="98"/>
      <c r="U1073" s="190">
        <f t="shared" si="263"/>
        <v>3855.7014322438481</v>
      </c>
      <c r="V1073" s="113">
        <f t="shared" si="258"/>
        <v>2.5704676214958986</v>
      </c>
      <c r="W1073" s="114">
        <f t="shared" si="259"/>
        <v>0.36720966021369977</v>
      </c>
      <c r="X1073" s="95"/>
      <c r="Y1073" s="95"/>
      <c r="Z1073" s="102"/>
      <c r="AA1073" s="103">
        <v>45912</v>
      </c>
      <c r="AB1073" s="103">
        <v>45935</v>
      </c>
      <c r="AC1073" s="103"/>
      <c r="AD1073" s="104">
        <f>IF(ISNA(VLOOKUP(D1073,亚马逊入库配置费!B:F,5,0)),0,VLOOKUP(D1073,亚马逊入库配置费!B:F,5,0))</f>
        <v>0.40250000000000002</v>
      </c>
      <c r="AE1073" s="104">
        <f t="shared" si="253"/>
        <v>603.75</v>
      </c>
      <c r="AF1073" s="103">
        <v>45960</v>
      </c>
      <c r="AG1073" s="90">
        <f t="shared" si="254"/>
        <v>48</v>
      </c>
      <c r="AH1073" s="103">
        <v>45960</v>
      </c>
      <c r="AI1073" s="103">
        <v>46029</v>
      </c>
      <c r="AJ1073" s="96">
        <v>1514</v>
      </c>
      <c r="AK1073" s="91">
        <f t="shared" si="255"/>
        <v>69</v>
      </c>
      <c r="AL1073" s="96">
        <f t="shared" si="256"/>
        <v>117</v>
      </c>
      <c r="AM1073" s="92"/>
      <c r="AN1073" s="91"/>
      <c r="AO1073" s="91"/>
    </row>
    <row r="1074" spans="1:41" ht="14.5" x14ac:dyDescent="0.25">
      <c r="A1074" s="110" t="s">
        <v>1850</v>
      </c>
      <c r="B1074" s="90"/>
      <c r="C1074" s="155" t="s">
        <v>1823</v>
      </c>
      <c r="D1074" s="184" t="s">
        <v>1842</v>
      </c>
      <c r="E1074" s="155" t="s">
        <v>97</v>
      </c>
      <c r="F1074" s="155" t="s">
        <v>175</v>
      </c>
      <c r="G1074" s="159" t="s">
        <v>1851</v>
      </c>
      <c r="H1074" s="155">
        <v>450</v>
      </c>
      <c r="I1074" s="182" t="s">
        <v>502</v>
      </c>
      <c r="J1074" s="182" t="s">
        <v>1365</v>
      </c>
      <c r="K1074" s="187" t="s">
        <v>10</v>
      </c>
      <c r="L1074" s="93" t="s">
        <v>1851</v>
      </c>
      <c r="M1074" s="94" t="s">
        <v>3454</v>
      </c>
      <c r="N1074" s="95" t="s">
        <v>2867</v>
      </c>
      <c r="O1074" s="189">
        <v>15</v>
      </c>
      <c r="P1074" s="153">
        <f t="shared" si="262"/>
        <v>228.64285714285714</v>
      </c>
      <c r="Q1074" s="135" t="s">
        <v>16</v>
      </c>
      <c r="R1074" s="135">
        <v>5</v>
      </c>
      <c r="S1074" s="95"/>
      <c r="T1074" s="98"/>
      <c r="U1074" s="190">
        <f t="shared" si="263"/>
        <v>1156.7104296731547</v>
      </c>
      <c r="V1074" s="113">
        <f t="shared" si="258"/>
        <v>2.5704676214958995</v>
      </c>
      <c r="W1074" s="114">
        <f t="shared" si="259"/>
        <v>0.36720966021369994</v>
      </c>
      <c r="X1074" s="95"/>
      <c r="Y1074" s="95"/>
      <c r="Z1074" s="102"/>
      <c r="AA1074" s="103">
        <v>45912</v>
      </c>
      <c r="AB1074" s="103">
        <v>45935</v>
      </c>
      <c r="AC1074" s="103"/>
      <c r="AD1074" s="104">
        <f>IF(ISNA(VLOOKUP(D1074,亚马逊入库配置费!B:F,5,0)),0,VLOOKUP(D1074,亚马逊入库配置费!B:F,5,0))</f>
        <v>0.40250000000000002</v>
      </c>
      <c r="AE1074" s="104">
        <f t="shared" si="253"/>
        <v>181.125</v>
      </c>
      <c r="AF1074" s="103">
        <v>45960</v>
      </c>
      <c r="AG1074" s="90">
        <f t="shared" si="254"/>
        <v>48</v>
      </c>
      <c r="AH1074" s="103">
        <v>45960</v>
      </c>
      <c r="AI1074" s="103">
        <v>46029</v>
      </c>
      <c r="AJ1074" s="96">
        <v>481</v>
      </c>
      <c r="AK1074" s="91">
        <f t="shared" si="255"/>
        <v>69</v>
      </c>
      <c r="AL1074" s="96">
        <f t="shared" si="256"/>
        <v>117</v>
      </c>
      <c r="AM1074" s="92"/>
      <c r="AN1074" s="91"/>
      <c r="AO1074" s="91"/>
    </row>
    <row r="1075" spans="1:41" ht="14.5" x14ac:dyDescent="0.25">
      <c r="A1075" s="110" t="s">
        <v>1852</v>
      </c>
      <c r="B1075" s="90"/>
      <c r="C1075" s="155" t="s">
        <v>1823</v>
      </c>
      <c r="D1075" s="184" t="s">
        <v>1853</v>
      </c>
      <c r="E1075" s="155" t="s">
        <v>97</v>
      </c>
      <c r="F1075" s="155" t="s">
        <v>175</v>
      </c>
      <c r="G1075" s="159" t="s">
        <v>1272</v>
      </c>
      <c r="H1075" s="155">
        <v>360</v>
      </c>
      <c r="I1075" s="182" t="s">
        <v>502</v>
      </c>
      <c r="J1075" s="182" t="s">
        <v>1365</v>
      </c>
      <c r="K1075" s="184" t="s">
        <v>10</v>
      </c>
      <c r="L1075" s="93" t="s">
        <v>3097</v>
      </c>
      <c r="M1075" s="94" t="s">
        <v>3439</v>
      </c>
      <c r="N1075" s="95" t="s">
        <v>2821</v>
      </c>
      <c r="O1075" s="185">
        <v>30</v>
      </c>
      <c r="P1075" s="97">
        <f>1033/60*O1075</f>
        <v>516.5</v>
      </c>
      <c r="Q1075" s="155" t="s">
        <v>1443</v>
      </c>
      <c r="R1075" s="155">
        <v>5</v>
      </c>
      <c r="S1075" s="108"/>
      <c r="T1075" s="131"/>
      <c r="U1075" s="190">
        <f t="shared" si="263"/>
        <v>2609.4922879177379</v>
      </c>
      <c r="V1075" s="100">
        <f t="shared" si="258"/>
        <v>7.2485896886603829</v>
      </c>
      <c r="W1075" s="101">
        <f t="shared" si="259"/>
        <v>1.0355128126657689</v>
      </c>
      <c r="X1075" s="95"/>
      <c r="Y1075" s="108"/>
      <c r="Z1075" s="102"/>
      <c r="AA1075" s="103">
        <v>45912</v>
      </c>
      <c r="AB1075" s="103">
        <v>45935</v>
      </c>
      <c r="AC1075" s="103"/>
      <c r="AD1075" s="104">
        <f>IF(ISNA(VLOOKUP(D1075,亚马逊入库配置费!B:F,5,0)),0,VLOOKUP(D1075,亚马逊入库配置费!B:F,5,0))</f>
        <v>0.49</v>
      </c>
      <c r="AE1075" s="104">
        <f t="shared" si="253"/>
        <v>176.4</v>
      </c>
      <c r="AF1075" s="103">
        <v>45960</v>
      </c>
      <c r="AG1075" s="90">
        <f t="shared" si="254"/>
        <v>48</v>
      </c>
      <c r="AH1075" s="103">
        <v>45960</v>
      </c>
      <c r="AI1075" s="103">
        <v>46021</v>
      </c>
      <c r="AJ1075" s="96">
        <v>348</v>
      </c>
      <c r="AK1075" s="91">
        <f t="shared" si="255"/>
        <v>61</v>
      </c>
      <c r="AL1075" s="96">
        <f t="shared" si="256"/>
        <v>109</v>
      </c>
      <c r="AM1075" s="92"/>
      <c r="AN1075" s="91"/>
      <c r="AO1075" s="91"/>
    </row>
    <row r="1076" spans="1:41" ht="14.5" x14ac:dyDescent="0.25">
      <c r="A1076" s="110" t="s">
        <v>1854</v>
      </c>
      <c r="B1076" s="90"/>
      <c r="C1076" s="155" t="s">
        <v>1823</v>
      </c>
      <c r="D1076" s="184" t="s">
        <v>1853</v>
      </c>
      <c r="E1076" s="155" t="s">
        <v>97</v>
      </c>
      <c r="F1076" s="155" t="s">
        <v>175</v>
      </c>
      <c r="G1076" s="159" t="s">
        <v>1274</v>
      </c>
      <c r="H1076" s="155">
        <v>360</v>
      </c>
      <c r="I1076" s="182" t="s">
        <v>502</v>
      </c>
      <c r="J1076" s="182" t="s">
        <v>1365</v>
      </c>
      <c r="K1076" s="184" t="s">
        <v>10</v>
      </c>
      <c r="L1076" s="93" t="s">
        <v>3098</v>
      </c>
      <c r="M1076" s="94" t="s">
        <v>3440</v>
      </c>
      <c r="N1076" s="95" t="s">
        <v>2821</v>
      </c>
      <c r="O1076" s="185">
        <v>30</v>
      </c>
      <c r="P1076" s="97">
        <f>1033/60*O1076</f>
        <v>516.5</v>
      </c>
      <c r="Q1076" s="155" t="s">
        <v>1443</v>
      </c>
      <c r="R1076" s="155">
        <v>5</v>
      </c>
      <c r="S1076" s="108"/>
      <c r="T1076" s="131"/>
      <c r="U1076" s="190">
        <f t="shared" si="263"/>
        <v>2609.4922879177379</v>
      </c>
      <c r="V1076" s="100">
        <f t="shared" si="258"/>
        <v>7.2485896886603829</v>
      </c>
      <c r="W1076" s="101">
        <f t="shared" si="259"/>
        <v>1.0355128126657689</v>
      </c>
      <c r="X1076" s="95"/>
      <c r="Y1076" s="108"/>
      <c r="Z1076" s="102"/>
      <c r="AA1076" s="103">
        <v>45912</v>
      </c>
      <c r="AB1076" s="103">
        <v>45935</v>
      </c>
      <c r="AC1076" s="103"/>
      <c r="AD1076" s="104">
        <f>IF(ISNA(VLOOKUP(D1076,亚马逊入库配置费!B:F,5,0)),0,VLOOKUP(D1076,亚马逊入库配置费!B:F,5,0))</f>
        <v>0.49</v>
      </c>
      <c r="AE1076" s="104">
        <f t="shared" si="253"/>
        <v>176.4</v>
      </c>
      <c r="AF1076" s="103">
        <v>45960</v>
      </c>
      <c r="AG1076" s="90">
        <f t="shared" si="254"/>
        <v>48</v>
      </c>
      <c r="AH1076" s="103">
        <v>45960</v>
      </c>
      <c r="AI1076" s="103">
        <v>46021</v>
      </c>
      <c r="AJ1076" s="96">
        <v>331</v>
      </c>
      <c r="AK1076" s="91">
        <f t="shared" si="255"/>
        <v>61</v>
      </c>
      <c r="AL1076" s="96">
        <f t="shared" si="256"/>
        <v>109</v>
      </c>
      <c r="AM1076" s="92"/>
      <c r="AN1076" s="91"/>
      <c r="AO1076" s="91"/>
    </row>
    <row r="1077" spans="1:41" ht="14.5" x14ac:dyDescent="0.25">
      <c r="A1077" s="110" t="s">
        <v>1855</v>
      </c>
      <c r="B1077" s="90"/>
      <c r="C1077" s="126" t="s">
        <v>1856</v>
      </c>
      <c r="D1077" s="127" t="s">
        <v>1857</v>
      </c>
      <c r="E1077" s="155" t="s">
        <v>97</v>
      </c>
      <c r="F1077" s="155" t="s">
        <v>175</v>
      </c>
      <c r="G1077" s="159" t="s">
        <v>93</v>
      </c>
      <c r="H1077" s="126">
        <v>792</v>
      </c>
      <c r="I1077" s="160" t="s">
        <v>1227</v>
      </c>
      <c r="J1077" s="160" t="s">
        <v>1387</v>
      </c>
      <c r="K1077" s="127" t="s">
        <v>13</v>
      </c>
      <c r="L1077" s="93" t="s">
        <v>3015</v>
      </c>
      <c r="M1077" s="94" t="s">
        <v>3288</v>
      </c>
      <c r="N1077" s="95" t="s">
        <v>2821</v>
      </c>
      <c r="O1077" s="188">
        <v>66</v>
      </c>
      <c r="P1077" s="97">
        <v>951</v>
      </c>
      <c r="Q1077" s="126" t="s">
        <v>1443</v>
      </c>
      <c r="R1077" s="126">
        <v>10.3</v>
      </c>
      <c r="S1077" s="108"/>
      <c r="T1077" s="131"/>
      <c r="U1077" s="157">
        <f>R1077*P1077+350/66*O1077</f>
        <v>10145.300000000001</v>
      </c>
      <c r="V1077" s="100">
        <f t="shared" si="258"/>
        <v>12.809722222222224</v>
      </c>
      <c r="W1077" s="101">
        <f t="shared" si="259"/>
        <v>1.8299603174603176</v>
      </c>
      <c r="X1077" s="95"/>
      <c r="Y1077" s="108"/>
      <c r="Z1077" s="102"/>
      <c r="AA1077" s="103">
        <v>45912</v>
      </c>
      <c r="AB1077" s="118">
        <v>45928</v>
      </c>
      <c r="AC1077" s="103"/>
      <c r="AD1077" s="104">
        <f>IF(ISNA(VLOOKUP(D1077,亚马逊入库配置费!B:F,5,0)),0,VLOOKUP(D1077,亚马逊入库配置费!B:F,5,0))</f>
        <v>0.49</v>
      </c>
      <c r="AE1077" s="104">
        <f t="shared" si="253"/>
        <v>388.08</v>
      </c>
      <c r="AF1077" s="103">
        <v>45939</v>
      </c>
      <c r="AG1077" s="90">
        <f t="shared" si="254"/>
        <v>27</v>
      </c>
      <c r="AH1077" s="103">
        <v>45939</v>
      </c>
      <c r="AI1077" s="103">
        <v>45975</v>
      </c>
      <c r="AJ1077" s="96">
        <v>791</v>
      </c>
      <c r="AK1077" s="91">
        <f t="shared" si="255"/>
        <v>36</v>
      </c>
      <c r="AL1077" s="96">
        <f t="shared" si="256"/>
        <v>63</v>
      </c>
      <c r="AM1077" s="92"/>
      <c r="AN1077" s="91"/>
      <c r="AO1077" s="91"/>
    </row>
    <row r="1078" spans="1:41" ht="14.5" x14ac:dyDescent="0.25">
      <c r="A1078" s="110" t="s">
        <v>1858</v>
      </c>
      <c r="B1078" s="91"/>
      <c r="C1078" s="119" t="s">
        <v>1801</v>
      </c>
      <c r="D1078" s="127" t="s">
        <v>1859</v>
      </c>
      <c r="E1078" s="155" t="s">
        <v>97</v>
      </c>
      <c r="F1078" s="155" t="s">
        <v>175</v>
      </c>
      <c r="G1078" s="159" t="s">
        <v>88</v>
      </c>
      <c r="H1078" s="126">
        <v>780</v>
      </c>
      <c r="I1078" s="160" t="s">
        <v>1227</v>
      </c>
      <c r="J1078" s="160" t="s">
        <v>503</v>
      </c>
      <c r="K1078" s="127" t="s">
        <v>13</v>
      </c>
      <c r="L1078" s="93" t="s">
        <v>3014</v>
      </c>
      <c r="M1078" s="94" t="s">
        <v>3286</v>
      </c>
      <c r="N1078" s="95" t="s">
        <v>2821</v>
      </c>
      <c r="O1078" s="188">
        <v>65</v>
      </c>
      <c r="P1078" s="97">
        <f>2146/149*O1078</f>
        <v>936.17449664429535</v>
      </c>
      <c r="Q1078" s="183" t="s">
        <v>3264</v>
      </c>
      <c r="R1078" s="126">
        <v>5</v>
      </c>
      <c r="S1078" s="108"/>
      <c r="T1078" s="131"/>
      <c r="U1078" s="157">
        <f>R1078*P1078+350/171*O1078</f>
        <v>4813.9134188939915</v>
      </c>
      <c r="V1078" s="100">
        <f t="shared" si="258"/>
        <v>6.1716838703769126</v>
      </c>
      <c r="W1078" s="101">
        <f t="shared" si="259"/>
        <v>0.88166912433955891</v>
      </c>
      <c r="X1078" s="95"/>
      <c r="Y1078" s="108"/>
      <c r="Z1078" s="102"/>
      <c r="AA1078" s="118">
        <v>45912</v>
      </c>
      <c r="AB1078" s="103">
        <v>45937</v>
      </c>
      <c r="AC1078" s="103"/>
      <c r="AD1078" s="104">
        <f>IF(ISNA(VLOOKUP(D1078,亚马逊入库配置费!B:F,5,0)),0,VLOOKUP(D1078,亚马逊入库配置费!B:F,5,0))</f>
        <v>0.49</v>
      </c>
      <c r="AE1078" s="104">
        <f t="shared" si="253"/>
        <v>382.2</v>
      </c>
      <c r="AF1078" s="103">
        <v>45947</v>
      </c>
      <c r="AG1078" s="90">
        <f t="shared" si="254"/>
        <v>35</v>
      </c>
      <c r="AH1078" s="103">
        <v>45947</v>
      </c>
      <c r="AI1078" s="103">
        <v>45985</v>
      </c>
      <c r="AJ1078" s="96">
        <v>769</v>
      </c>
      <c r="AK1078" s="91">
        <f t="shared" si="255"/>
        <v>38</v>
      </c>
      <c r="AL1078" s="96">
        <f t="shared" si="256"/>
        <v>73</v>
      </c>
      <c r="AM1078" s="92"/>
      <c r="AN1078" s="91"/>
      <c r="AO1078" s="91"/>
    </row>
    <row r="1079" spans="1:41" ht="14.5" x14ac:dyDescent="0.25">
      <c r="A1079" s="110" t="s">
        <v>1860</v>
      </c>
      <c r="B1079" s="91"/>
      <c r="C1079" s="119" t="s">
        <v>1801</v>
      </c>
      <c r="D1079" s="127" t="s">
        <v>1859</v>
      </c>
      <c r="E1079" s="155" t="s">
        <v>97</v>
      </c>
      <c r="F1079" s="155" t="s">
        <v>175</v>
      </c>
      <c r="G1079" s="159" t="s">
        <v>93</v>
      </c>
      <c r="H1079" s="126">
        <v>1008</v>
      </c>
      <c r="I1079" s="160" t="s">
        <v>1227</v>
      </c>
      <c r="J1079" s="160" t="s">
        <v>503</v>
      </c>
      <c r="K1079" s="127" t="s">
        <v>13</v>
      </c>
      <c r="L1079" s="93" t="s">
        <v>3015</v>
      </c>
      <c r="M1079" s="94" t="s">
        <v>3288</v>
      </c>
      <c r="N1079" s="95" t="s">
        <v>2821</v>
      </c>
      <c r="O1079" s="188">
        <v>84</v>
      </c>
      <c r="P1079" s="97">
        <f>2146/149*O1079</f>
        <v>1209.8255033557048</v>
      </c>
      <c r="Q1079" s="126" t="s">
        <v>1443</v>
      </c>
      <c r="R1079" s="126">
        <v>5</v>
      </c>
      <c r="S1079" s="108"/>
      <c r="T1079" s="131"/>
      <c r="U1079" s="157">
        <f>R1079*P1079+350/171*O1079</f>
        <v>6221.0573413399279</v>
      </c>
      <c r="V1079" s="100">
        <f t="shared" si="258"/>
        <v>6.1716838703769126</v>
      </c>
      <c r="W1079" s="101">
        <f t="shared" si="259"/>
        <v>0.88166912433955891</v>
      </c>
      <c r="X1079" s="95"/>
      <c r="Y1079" s="108"/>
      <c r="Z1079" s="102"/>
      <c r="AA1079" s="118">
        <v>45912</v>
      </c>
      <c r="AB1079" s="103">
        <v>45937</v>
      </c>
      <c r="AC1079" s="103"/>
      <c r="AD1079" s="104">
        <f>IF(ISNA(VLOOKUP(D1079,亚马逊入库配置费!B:F,5,0)),0,VLOOKUP(D1079,亚马逊入库配置费!B:F,5,0))</f>
        <v>0.49</v>
      </c>
      <c r="AE1079" s="104">
        <f t="shared" si="253"/>
        <v>493.92</v>
      </c>
      <c r="AF1079" s="103">
        <v>45947</v>
      </c>
      <c r="AG1079" s="90">
        <f t="shared" si="254"/>
        <v>35</v>
      </c>
      <c r="AH1079" s="103">
        <v>45947</v>
      </c>
      <c r="AI1079" s="103">
        <v>45985</v>
      </c>
      <c r="AJ1079" s="96">
        <v>1008</v>
      </c>
      <c r="AK1079" s="91">
        <f t="shared" si="255"/>
        <v>38</v>
      </c>
      <c r="AL1079" s="96">
        <f t="shared" si="256"/>
        <v>73</v>
      </c>
      <c r="AM1079" s="92"/>
      <c r="AN1079" s="91"/>
      <c r="AO1079" s="91"/>
    </row>
    <row r="1080" spans="1:41" ht="14.5" x14ac:dyDescent="0.25">
      <c r="A1080" s="110" t="s">
        <v>1861</v>
      </c>
      <c r="B1080" s="91"/>
      <c r="C1080" s="119" t="s">
        <v>1862</v>
      </c>
      <c r="D1080" s="127" t="s">
        <v>1863</v>
      </c>
      <c r="E1080" s="155" t="s">
        <v>287</v>
      </c>
      <c r="F1080" s="155" t="s">
        <v>175</v>
      </c>
      <c r="G1080" s="159" t="s">
        <v>282</v>
      </c>
      <c r="H1080" s="126">
        <v>320</v>
      </c>
      <c r="I1080" s="160" t="s">
        <v>1234</v>
      </c>
      <c r="J1080" s="160" t="s">
        <v>1365</v>
      </c>
      <c r="K1080" s="127" t="s">
        <v>10</v>
      </c>
      <c r="L1080" s="93" t="s">
        <v>2783</v>
      </c>
      <c r="M1080" s="94" t="s">
        <v>3322</v>
      </c>
      <c r="N1080" s="95" t="s">
        <v>2785</v>
      </c>
      <c r="O1080" s="188">
        <v>20</v>
      </c>
      <c r="P1080" s="97">
        <f>3.14/50*O1080</f>
        <v>1.2560000000000002</v>
      </c>
      <c r="Q1080" s="160" t="s">
        <v>3430</v>
      </c>
      <c r="R1080" s="126">
        <v>1080</v>
      </c>
      <c r="S1080" s="108"/>
      <c r="T1080" s="131"/>
      <c r="U1080" s="157">
        <f>R1080*P1080+220/147*O1080</f>
        <v>1386.4119727891159</v>
      </c>
      <c r="V1080" s="100">
        <f t="shared" si="258"/>
        <v>4.3325374149659872</v>
      </c>
      <c r="W1080" s="101">
        <f t="shared" si="259"/>
        <v>0.61893391642371243</v>
      </c>
      <c r="X1080" s="95"/>
      <c r="Y1080" s="108"/>
      <c r="Z1080" s="102"/>
      <c r="AA1080" s="103">
        <v>45912</v>
      </c>
      <c r="AB1080" s="103">
        <v>45935</v>
      </c>
      <c r="AC1080" s="103"/>
      <c r="AD1080" s="104">
        <f>IF(ISNA(VLOOKUP(D1080,亚马逊入库配置费!B:F,5,0)),0,VLOOKUP(D1080,亚马逊入库配置费!B:F,5,0))</f>
        <v>0.49</v>
      </c>
      <c r="AE1080" s="104">
        <f t="shared" si="253"/>
        <v>156.80000000000001</v>
      </c>
      <c r="AF1080" s="103">
        <v>45943</v>
      </c>
      <c r="AG1080" s="90">
        <f t="shared" si="254"/>
        <v>31</v>
      </c>
      <c r="AH1080" s="103">
        <v>45943</v>
      </c>
      <c r="AI1080" s="103">
        <v>45982</v>
      </c>
      <c r="AJ1080" s="96">
        <v>320</v>
      </c>
      <c r="AK1080" s="91">
        <f t="shared" si="255"/>
        <v>39</v>
      </c>
      <c r="AL1080" s="96">
        <f t="shared" si="256"/>
        <v>70</v>
      </c>
      <c r="AM1080" s="92"/>
      <c r="AN1080" s="91"/>
      <c r="AO1080" s="91"/>
    </row>
    <row r="1081" spans="1:41" ht="14.5" x14ac:dyDescent="0.25">
      <c r="A1081" s="110" t="s">
        <v>1864</v>
      </c>
      <c r="B1081" s="91"/>
      <c r="C1081" s="119" t="s">
        <v>1862</v>
      </c>
      <c r="D1081" s="127" t="s">
        <v>1863</v>
      </c>
      <c r="E1081" s="155" t="s">
        <v>287</v>
      </c>
      <c r="F1081" s="155" t="s">
        <v>175</v>
      </c>
      <c r="G1081" s="159" t="s">
        <v>284</v>
      </c>
      <c r="H1081" s="126">
        <v>80</v>
      </c>
      <c r="I1081" s="160" t="s">
        <v>1234</v>
      </c>
      <c r="J1081" s="160" t="s">
        <v>1365</v>
      </c>
      <c r="K1081" s="127" t="s">
        <v>10</v>
      </c>
      <c r="L1081" s="93" t="s">
        <v>3039</v>
      </c>
      <c r="M1081" s="94" t="s">
        <v>3323</v>
      </c>
      <c r="N1081" s="95" t="s">
        <v>2915</v>
      </c>
      <c r="O1081" s="188">
        <v>5</v>
      </c>
      <c r="P1081" s="97">
        <f>3.14/50*O1081</f>
        <v>0.31400000000000006</v>
      </c>
      <c r="Q1081" s="160" t="s">
        <v>3430</v>
      </c>
      <c r="R1081" s="126">
        <v>1080</v>
      </c>
      <c r="S1081" s="108"/>
      <c r="T1081" s="131"/>
      <c r="U1081" s="157">
        <f t="shared" ref="U1081:U1086" si="264">R1081*P1081+220/147*O1081</f>
        <v>346.60299319727898</v>
      </c>
      <c r="V1081" s="100">
        <f t="shared" si="258"/>
        <v>4.3325374149659872</v>
      </c>
      <c r="W1081" s="101">
        <f t="shared" si="259"/>
        <v>0.61893391642371243</v>
      </c>
      <c r="X1081" s="95"/>
      <c r="Y1081" s="108"/>
      <c r="Z1081" s="102"/>
      <c r="AA1081" s="103">
        <v>45912</v>
      </c>
      <c r="AB1081" s="103">
        <v>45935</v>
      </c>
      <c r="AC1081" s="103"/>
      <c r="AD1081" s="104">
        <f>IF(ISNA(VLOOKUP(D1081,亚马逊入库配置费!B:F,5,0)),0,VLOOKUP(D1081,亚马逊入库配置费!B:F,5,0))</f>
        <v>0.49</v>
      </c>
      <c r="AE1081" s="104">
        <f t="shared" si="253"/>
        <v>39.200000000000003</v>
      </c>
      <c r="AF1081" s="103">
        <v>45943</v>
      </c>
      <c r="AG1081" s="90">
        <f t="shared" si="254"/>
        <v>31</v>
      </c>
      <c r="AH1081" s="103">
        <v>45943</v>
      </c>
      <c r="AI1081" s="103">
        <v>45982</v>
      </c>
      <c r="AJ1081" s="96">
        <v>80</v>
      </c>
      <c r="AK1081" s="91">
        <f t="shared" si="255"/>
        <v>39</v>
      </c>
      <c r="AL1081" s="96">
        <f t="shared" si="256"/>
        <v>70</v>
      </c>
      <c r="AM1081" s="92"/>
      <c r="AN1081" s="91"/>
      <c r="AO1081" s="91"/>
    </row>
    <row r="1082" spans="1:41" ht="14.5" x14ac:dyDescent="0.25">
      <c r="A1082" s="110" t="s">
        <v>1865</v>
      </c>
      <c r="B1082" s="91"/>
      <c r="C1082" s="119" t="s">
        <v>1862</v>
      </c>
      <c r="D1082" s="127" t="s">
        <v>1863</v>
      </c>
      <c r="E1082" s="135" t="s">
        <v>287</v>
      </c>
      <c r="F1082" s="135" t="s">
        <v>0</v>
      </c>
      <c r="G1082" s="58" t="s">
        <v>663</v>
      </c>
      <c r="H1082" s="119">
        <v>192</v>
      </c>
      <c r="I1082" s="183" t="s">
        <v>1767</v>
      </c>
      <c r="J1082" s="160" t="s">
        <v>1365</v>
      </c>
      <c r="K1082" s="120" t="s">
        <v>10</v>
      </c>
      <c r="L1082" s="93" t="s">
        <v>3080</v>
      </c>
      <c r="M1082" s="94" t="s">
        <v>3383</v>
      </c>
      <c r="N1082" s="95" t="s">
        <v>2915</v>
      </c>
      <c r="O1082" s="192">
        <v>12</v>
      </c>
      <c r="P1082" s="153">
        <f>3.14/50*O1082</f>
        <v>0.75360000000000005</v>
      </c>
      <c r="Q1082" s="183" t="s">
        <v>3264</v>
      </c>
      <c r="R1082" s="119">
        <v>1080</v>
      </c>
      <c r="S1082" s="95"/>
      <c r="T1082" s="98"/>
      <c r="U1082" s="157">
        <f t="shared" si="264"/>
        <v>831.84718367346943</v>
      </c>
      <c r="V1082" s="113">
        <f t="shared" si="258"/>
        <v>4.3325374149659863</v>
      </c>
      <c r="W1082" s="114">
        <f t="shared" si="259"/>
        <v>0.61893391642371232</v>
      </c>
      <c r="X1082" s="95"/>
      <c r="Y1082" s="95"/>
      <c r="Z1082" s="102"/>
      <c r="AA1082" s="103">
        <v>45912</v>
      </c>
      <c r="AB1082" s="103">
        <v>45935</v>
      </c>
      <c r="AC1082" s="103"/>
      <c r="AD1082" s="104">
        <f>IF(ISNA(VLOOKUP(D1082,亚马逊入库配置费!B:F,5,0)),0,VLOOKUP(D1082,亚马逊入库配置费!B:F,5,0))</f>
        <v>0.49</v>
      </c>
      <c r="AE1082" s="104">
        <f t="shared" si="253"/>
        <v>94.08</v>
      </c>
      <c r="AF1082" s="103">
        <v>45943</v>
      </c>
      <c r="AG1082" s="90">
        <f t="shared" si="254"/>
        <v>31</v>
      </c>
      <c r="AH1082" s="103">
        <v>45943</v>
      </c>
      <c r="AI1082" s="103">
        <v>45982</v>
      </c>
      <c r="AJ1082" s="96">
        <v>192</v>
      </c>
      <c r="AK1082" s="91">
        <f t="shared" si="255"/>
        <v>39</v>
      </c>
      <c r="AL1082" s="96">
        <f t="shared" si="256"/>
        <v>70</v>
      </c>
      <c r="AM1082" s="92"/>
      <c r="AN1082" s="91"/>
      <c r="AO1082" s="91"/>
    </row>
    <row r="1083" spans="1:41" ht="14.5" x14ac:dyDescent="0.25">
      <c r="A1083" s="110" t="s">
        <v>1866</v>
      </c>
      <c r="B1083" s="91"/>
      <c r="C1083" s="119" t="s">
        <v>1862</v>
      </c>
      <c r="D1083" s="127" t="s">
        <v>1863</v>
      </c>
      <c r="E1083" s="135" t="s">
        <v>287</v>
      </c>
      <c r="F1083" s="135" t="s">
        <v>0</v>
      </c>
      <c r="G1083" s="58" t="s">
        <v>556</v>
      </c>
      <c r="H1083" s="119">
        <v>80</v>
      </c>
      <c r="I1083" s="183" t="s">
        <v>1767</v>
      </c>
      <c r="J1083" s="160" t="s">
        <v>1365</v>
      </c>
      <c r="K1083" s="120" t="s">
        <v>10</v>
      </c>
      <c r="L1083" s="93" t="s">
        <v>3073</v>
      </c>
      <c r="M1083" s="94" t="s">
        <v>3373</v>
      </c>
      <c r="N1083" s="95" t="s">
        <v>2915</v>
      </c>
      <c r="O1083" s="192">
        <v>5</v>
      </c>
      <c r="P1083" s="153">
        <f>3.14/50*O1083</f>
        <v>0.31400000000000006</v>
      </c>
      <c r="Q1083" s="183" t="s">
        <v>3264</v>
      </c>
      <c r="R1083" s="119">
        <v>1080</v>
      </c>
      <c r="S1083" s="95"/>
      <c r="T1083" s="98"/>
      <c r="U1083" s="157">
        <f t="shared" si="264"/>
        <v>346.60299319727898</v>
      </c>
      <c r="V1083" s="113">
        <f t="shared" si="258"/>
        <v>4.3325374149659872</v>
      </c>
      <c r="W1083" s="114">
        <f t="shared" si="259"/>
        <v>0.61893391642371243</v>
      </c>
      <c r="X1083" s="95"/>
      <c r="Y1083" s="95"/>
      <c r="Z1083" s="102"/>
      <c r="AA1083" s="103">
        <v>45912</v>
      </c>
      <c r="AB1083" s="103">
        <v>45935</v>
      </c>
      <c r="AC1083" s="103"/>
      <c r="AD1083" s="104">
        <f>IF(ISNA(VLOOKUP(D1083,亚马逊入库配置费!B:F,5,0)),0,VLOOKUP(D1083,亚马逊入库配置费!B:F,5,0))</f>
        <v>0.49</v>
      </c>
      <c r="AE1083" s="104">
        <f t="shared" si="253"/>
        <v>39.200000000000003</v>
      </c>
      <c r="AF1083" s="103">
        <v>45943</v>
      </c>
      <c r="AG1083" s="90">
        <f t="shared" si="254"/>
        <v>31</v>
      </c>
      <c r="AH1083" s="103">
        <v>45943</v>
      </c>
      <c r="AI1083" s="103">
        <v>45982</v>
      </c>
      <c r="AJ1083" s="96">
        <v>80</v>
      </c>
      <c r="AK1083" s="91">
        <f t="shared" si="255"/>
        <v>39</v>
      </c>
      <c r="AL1083" s="96">
        <f t="shared" si="256"/>
        <v>70</v>
      </c>
      <c r="AM1083" s="92"/>
      <c r="AN1083" s="91"/>
      <c r="AO1083" s="91"/>
    </row>
    <row r="1084" spans="1:41" ht="14.5" x14ac:dyDescent="0.25">
      <c r="A1084" s="110" t="s">
        <v>1867</v>
      </c>
      <c r="B1084" s="91"/>
      <c r="C1084" s="119" t="s">
        <v>1862</v>
      </c>
      <c r="D1084" s="127" t="s">
        <v>1863</v>
      </c>
      <c r="E1084" s="135" t="s">
        <v>287</v>
      </c>
      <c r="F1084" s="135" t="s">
        <v>0</v>
      </c>
      <c r="G1084" s="58" t="s">
        <v>549</v>
      </c>
      <c r="H1084" s="119">
        <v>128</v>
      </c>
      <c r="I1084" s="183" t="s">
        <v>1767</v>
      </c>
      <c r="J1084" s="160" t="s">
        <v>1365</v>
      </c>
      <c r="K1084" s="120" t="s">
        <v>10</v>
      </c>
      <c r="L1084" s="93" t="s">
        <v>3071</v>
      </c>
      <c r="M1084" s="94" t="s">
        <v>3371</v>
      </c>
      <c r="N1084" s="95" t="s">
        <v>2793</v>
      </c>
      <c r="O1084" s="192">
        <v>8</v>
      </c>
      <c r="P1084" s="153">
        <f>3.14/50*O1084</f>
        <v>0.50240000000000007</v>
      </c>
      <c r="Q1084" s="183" t="s">
        <v>3264</v>
      </c>
      <c r="R1084" s="119">
        <v>1080</v>
      </c>
      <c r="S1084" s="95"/>
      <c r="T1084" s="98"/>
      <c r="U1084" s="157">
        <f t="shared" si="264"/>
        <v>554.56478911564636</v>
      </c>
      <c r="V1084" s="113">
        <f t="shared" si="258"/>
        <v>4.3325374149659872</v>
      </c>
      <c r="W1084" s="114">
        <f t="shared" si="259"/>
        <v>0.61893391642371243</v>
      </c>
      <c r="X1084" s="95"/>
      <c r="Y1084" s="95"/>
      <c r="Z1084" s="102"/>
      <c r="AA1084" s="103">
        <v>45912</v>
      </c>
      <c r="AB1084" s="103">
        <v>45935</v>
      </c>
      <c r="AC1084" s="103"/>
      <c r="AD1084" s="104">
        <f>IF(ISNA(VLOOKUP(D1084,亚马逊入库配置费!B:F,5,0)),0,VLOOKUP(D1084,亚马逊入库配置费!B:F,5,0))</f>
        <v>0.49</v>
      </c>
      <c r="AE1084" s="104">
        <f t="shared" si="253"/>
        <v>62.72</v>
      </c>
      <c r="AF1084" s="103">
        <v>45943</v>
      </c>
      <c r="AG1084" s="90">
        <f t="shared" si="254"/>
        <v>31</v>
      </c>
      <c r="AH1084" s="103">
        <v>45943</v>
      </c>
      <c r="AI1084" s="103">
        <v>45982</v>
      </c>
      <c r="AJ1084" s="96">
        <v>128</v>
      </c>
      <c r="AK1084" s="91">
        <f t="shared" si="255"/>
        <v>39</v>
      </c>
      <c r="AL1084" s="96">
        <f t="shared" si="256"/>
        <v>70</v>
      </c>
      <c r="AM1084" s="92"/>
      <c r="AN1084" s="91"/>
      <c r="AO1084" s="91"/>
    </row>
    <row r="1085" spans="1:41" ht="14.5" x14ac:dyDescent="0.25">
      <c r="A1085" s="110" t="s">
        <v>1868</v>
      </c>
      <c r="B1085" s="91"/>
      <c r="C1085" s="119" t="s">
        <v>1862</v>
      </c>
      <c r="D1085" s="127" t="s">
        <v>1869</v>
      </c>
      <c r="E1085" s="135" t="s">
        <v>287</v>
      </c>
      <c r="F1085" s="135" t="s">
        <v>0</v>
      </c>
      <c r="G1085" s="58" t="s">
        <v>884</v>
      </c>
      <c r="H1085" s="119">
        <v>880</v>
      </c>
      <c r="I1085" s="183" t="s">
        <v>1767</v>
      </c>
      <c r="J1085" s="160" t="s">
        <v>1365</v>
      </c>
      <c r="K1085" s="120" t="s">
        <v>15</v>
      </c>
      <c r="L1085" s="93" t="s">
        <v>3084</v>
      </c>
      <c r="M1085" s="94" t="s">
        <v>3402</v>
      </c>
      <c r="N1085" s="95" t="s">
        <v>51</v>
      </c>
      <c r="O1085" s="192">
        <v>55</v>
      </c>
      <c r="P1085" s="153">
        <f>6.31/97*O1085</f>
        <v>3.5778350515463919</v>
      </c>
      <c r="Q1085" s="183" t="s">
        <v>3264</v>
      </c>
      <c r="R1085" s="119">
        <v>1100</v>
      </c>
      <c r="S1085" s="95"/>
      <c r="T1085" s="98"/>
      <c r="U1085" s="157">
        <f t="shared" si="264"/>
        <v>4017.9314818710991</v>
      </c>
      <c r="V1085" s="113">
        <f t="shared" si="258"/>
        <v>4.5658312293989765</v>
      </c>
      <c r="W1085" s="114">
        <f t="shared" si="259"/>
        <v>0.6522616041998538</v>
      </c>
      <c r="X1085" s="95"/>
      <c r="Y1085" s="95"/>
      <c r="Z1085" s="102"/>
      <c r="AA1085" s="103">
        <v>45912</v>
      </c>
      <c r="AB1085" s="103">
        <v>45935</v>
      </c>
      <c r="AC1085" s="103"/>
      <c r="AD1085" s="104">
        <f>IF(ISNA(VLOOKUP(D1085,亚马逊入库配置费!B:F,5,0)),0,VLOOKUP(D1085,亚马逊入库配置费!B:F,5,0))</f>
        <v>0.49</v>
      </c>
      <c r="AE1085" s="104">
        <f t="shared" si="253"/>
        <v>431.2</v>
      </c>
      <c r="AF1085" s="103">
        <v>45950</v>
      </c>
      <c r="AG1085" s="90">
        <f t="shared" si="254"/>
        <v>38</v>
      </c>
      <c r="AH1085" s="103">
        <v>45950</v>
      </c>
      <c r="AI1085" s="103">
        <v>45986</v>
      </c>
      <c r="AJ1085" s="96">
        <v>880</v>
      </c>
      <c r="AK1085" s="91">
        <f t="shared" si="255"/>
        <v>36</v>
      </c>
      <c r="AL1085" s="96">
        <f t="shared" si="256"/>
        <v>74</v>
      </c>
      <c r="AM1085" s="92"/>
      <c r="AN1085" s="91"/>
      <c r="AO1085" s="91"/>
    </row>
    <row r="1086" spans="1:41" ht="14.5" x14ac:dyDescent="0.25">
      <c r="A1086" s="110" t="s">
        <v>1870</v>
      </c>
      <c r="B1086" s="91"/>
      <c r="C1086" s="119" t="s">
        <v>1862</v>
      </c>
      <c r="D1086" s="127" t="s">
        <v>1869</v>
      </c>
      <c r="E1086" s="135" t="s">
        <v>287</v>
      </c>
      <c r="F1086" s="135" t="s">
        <v>0</v>
      </c>
      <c r="G1086" s="58" t="s">
        <v>886</v>
      </c>
      <c r="H1086" s="119">
        <v>672</v>
      </c>
      <c r="I1086" s="183" t="s">
        <v>1767</v>
      </c>
      <c r="J1086" s="160" t="s">
        <v>1365</v>
      </c>
      <c r="K1086" s="120" t="s">
        <v>15</v>
      </c>
      <c r="L1086" s="93" t="s">
        <v>3085</v>
      </c>
      <c r="M1086" s="94" t="s">
        <v>3403</v>
      </c>
      <c r="N1086" s="95" t="s">
        <v>51</v>
      </c>
      <c r="O1086" s="192">
        <v>42</v>
      </c>
      <c r="P1086" s="97">
        <f>6.31/97*O1086</f>
        <v>2.7321649484536081</v>
      </c>
      <c r="Q1086" s="183" t="s">
        <v>3264</v>
      </c>
      <c r="R1086" s="119">
        <v>1100</v>
      </c>
      <c r="S1086" s="95"/>
      <c r="T1086" s="98"/>
      <c r="U1086" s="157">
        <f t="shared" si="264"/>
        <v>3068.2385861561115</v>
      </c>
      <c r="V1086" s="100">
        <f t="shared" si="258"/>
        <v>4.5658312293989756</v>
      </c>
      <c r="W1086" s="101">
        <f t="shared" si="259"/>
        <v>0.65226160419985368</v>
      </c>
      <c r="X1086" s="95"/>
      <c r="Y1086" s="95"/>
      <c r="Z1086" s="102"/>
      <c r="AA1086" s="103">
        <v>45912</v>
      </c>
      <c r="AB1086" s="103">
        <v>45935</v>
      </c>
      <c r="AC1086" s="103"/>
      <c r="AD1086" s="104">
        <f>IF(ISNA(VLOOKUP(D1086,亚马逊入库配置费!B:F,5,0)),0,VLOOKUP(D1086,亚马逊入库配置费!B:F,5,0))</f>
        <v>0.49</v>
      </c>
      <c r="AE1086" s="104">
        <f t="shared" si="253"/>
        <v>329.28</v>
      </c>
      <c r="AF1086" s="103">
        <v>45950</v>
      </c>
      <c r="AG1086" s="90">
        <f t="shared" si="254"/>
        <v>38</v>
      </c>
      <c r="AH1086" s="103">
        <v>45950</v>
      </c>
      <c r="AI1086" s="103">
        <v>45986</v>
      </c>
      <c r="AJ1086" s="96">
        <v>671</v>
      </c>
      <c r="AK1086" s="91">
        <f t="shared" si="255"/>
        <v>36</v>
      </c>
      <c r="AL1086" s="96">
        <f t="shared" si="256"/>
        <v>74</v>
      </c>
      <c r="AM1086" s="92"/>
      <c r="AN1086" s="91"/>
      <c r="AO1086" s="91"/>
    </row>
    <row r="1087" spans="1:41" ht="14.5" x14ac:dyDescent="0.25">
      <c r="A1087" s="110" t="s">
        <v>1871</v>
      </c>
      <c r="B1087" s="91"/>
      <c r="C1087" s="135" t="s">
        <v>1872</v>
      </c>
      <c r="D1087" s="187" t="s">
        <v>1873</v>
      </c>
      <c r="E1087" s="135" t="s">
        <v>115</v>
      </c>
      <c r="F1087" s="135" t="s">
        <v>0</v>
      </c>
      <c r="G1087" s="58" t="s">
        <v>864</v>
      </c>
      <c r="H1087" s="135">
        <v>480</v>
      </c>
      <c r="I1087" s="191" t="s">
        <v>89</v>
      </c>
      <c r="J1087" s="182" t="s">
        <v>1365</v>
      </c>
      <c r="K1087" s="187" t="s">
        <v>13</v>
      </c>
      <c r="L1087" s="93" t="s">
        <v>864</v>
      </c>
      <c r="M1087" s="94" t="s">
        <v>3397</v>
      </c>
      <c r="N1087" s="95" t="s">
        <v>2869</v>
      </c>
      <c r="O1087" s="155">
        <v>16</v>
      </c>
      <c r="P1087" s="97">
        <f>712/45*O1087</f>
        <v>253.15555555555557</v>
      </c>
      <c r="Q1087" s="155" t="s">
        <v>1443</v>
      </c>
      <c r="R1087" s="155">
        <v>4.8</v>
      </c>
      <c r="S1087" s="108"/>
      <c r="T1087" s="131"/>
      <c r="U1087" s="186">
        <f t="shared" ref="U1087:U1110" si="265">R1087*P1087+350/433*O1087</f>
        <v>1228.0796920708237</v>
      </c>
      <c r="V1087" s="100">
        <f t="shared" si="258"/>
        <v>2.5584993584808826</v>
      </c>
      <c r="W1087" s="101">
        <f t="shared" si="259"/>
        <v>0.36549990835441182</v>
      </c>
      <c r="X1087" s="95"/>
      <c r="Y1087" s="108"/>
      <c r="Z1087" s="102"/>
      <c r="AA1087" s="103">
        <v>45919</v>
      </c>
      <c r="AB1087" s="118">
        <v>45945</v>
      </c>
      <c r="AC1087" s="103"/>
      <c r="AD1087" s="104">
        <f>IF(ISNA(VLOOKUP(D1087,亚马逊入库配置费!B:F,5,0)),0,VLOOKUP(D1087,亚马逊入库配置费!B:F,5,0))</f>
        <v>0.41</v>
      </c>
      <c r="AE1087" s="104">
        <f t="shared" si="253"/>
        <v>196.79999999999998</v>
      </c>
      <c r="AF1087" s="103">
        <v>45952</v>
      </c>
      <c r="AG1087" s="90">
        <f t="shared" si="254"/>
        <v>33</v>
      </c>
      <c r="AH1087" s="103">
        <v>45952</v>
      </c>
      <c r="AI1087" s="103">
        <v>45987</v>
      </c>
      <c r="AJ1087" s="96">
        <v>480</v>
      </c>
      <c r="AK1087" s="91">
        <f t="shared" si="255"/>
        <v>35</v>
      </c>
      <c r="AL1087" s="96">
        <f t="shared" si="256"/>
        <v>68</v>
      </c>
      <c r="AM1087" s="92"/>
      <c r="AN1087" s="91"/>
      <c r="AO1087" s="91"/>
    </row>
    <row r="1088" spans="1:41" ht="14.5" x14ac:dyDescent="0.25">
      <c r="A1088" s="110" t="s">
        <v>1874</v>
      </c>
      <c r="B1088" s="91"/>
      <c r="C1088" s="135" t="s">
        <v>1872</v>
      </c>
      <c r="D1088" s="187" t="s">
        <v>1873</v>
      </c>
      <c r="E1088" s="135" t="s">
        <v>115</v>
      </c>
      <c r="F1088" s="135" t="s">
        <v>0</v>
      </c>
      <c r="G1088" s="58" t="s">
        <v>1875</v>
      </c>
      <c r="H1088" s="135">
        <v>300</v>
      </c>
      <c r="I1088" s="191" t="s">
        <v>89</v>
      </c>
      <c r="J1088" s="182" t="s">
        <v>1365</v>
      </c>
      <c r="K1088" s="187" t="s">
        <v>13</v>
      </c>
      <c r="L1088" s="93" t="s">
        <v>1875</v>
      </c>
      <c r="M1088" s="94" t="s">
        <v>3455</v>
      </c>
      <c r="N1088" s="95" t="s">
        <v>2869</v>
      </c>
      <c r="O1088" s="155">
        <v>10</v>
      </c>
      <c r="P1088" s="97">
        <f>712/45*O1088</f>
        <v>158.22222222222223</v>
      </c>
      <c r="Q1088" s="155" t="s">
        <v>1443</v>
      </c>
      <c r="R1088" s="155">
        <v>4.8</v>
      </c>
      <c r="S1088" s="108"/>
      <c r="T1088" s="131"/>
      <c r="U1088" s="186">
        <f t="shared" si="265"/>
        <v>767.54980754426481</v>
      </c>
      <c r="V1088" s="100">
        <f t="shared" si="258"/>
        <v>2.5584993584808826</v>
      </c>
      <c r="W1088" s="101">
        <f t="shared" si="259"/>
        <v>0.36549990835441182</v>
      </c>
      <c r="X1088" s="95"/>
      <c r="Y1088" s="108"/>
      <c r="Z1088" s="102"/>
      <c r="AA1088" s="103">
        <v>45919</v>
      </c>
      <c r="AB1088" s="118">
        <v>45945</v>
      </c>
      <c r="AC1088" s="103"/>
      <c r="AD1088" s="104">
        <f>IF(ISNA(VLOOKUP(D1088,亚马逊入库配置费!B:F,5,0)),0,VLOOKUP(D1088,亚马逊入库配置费!B:F,5,0))</f>
        <v>0.41</v>
      </c>
      <c r="AE1088" s="104">
        <f t="shared" si="253"/>
        <v>122.99999999999999</v>
      </c>
      <c r="AF1088" s="103">
        <v>45952</v>
      </c>
      <c r="AG1088" s="90">
        <f t="shared" si="254"/>
        <v>33</v>
      </c>
      <c r="AH1088" s="103">
        <v>45952</v>
      </c>
      <c r="AI1088" s="103">
        <v>45987</v>
      </c>
      <c r="AJ1088" s="96">
        <v>302</v>
      </c>
      <c r="AK1088" s="91">
        <f t="shared" si="255"/>
        <v>35</v>
      </c>
      <c r="AL1088" s="96">
        <f t="shared" si="256"/>
        <v>68</v>
      </c>
      <c r="AM1088" s="92"/>
      <c r="AN1088" s="91"/>
      <c r="AO1088" s="91"/>
    </row>
    <row r="1089" spans="1:41" ht="14.5" x14ac:dyDescent="0.25">
      <c r="A1089" s="110" t="s">
        <v>1876</v>
      </c>
      <c r="B1089" s="91"/>
      <c r="C1089" s="135" t="s">
        <v>1872</v>
      </c>
      <c r="D1089" s="187" t="s">
        <v>1873</v>
      </c>
      <c r="E1089" s="135" t="s">
        <v>115</v>
      </c>
      <c r="F1089" s="135" t="s">
        <v>0</v>
      </c>
      <c r="G1089" s="58" t="s">
        <v>866</v>
      </c>
      <c r="H1089" s="135">
        <v>120</v>
      </c>
      <c r="I1089" s="191" t="s">
        <v>89</v>
      </c>
      <c r="J1089" s="182" t="s">
        <v>1365</v>
      </c>
      <c r="K1089" s="187" t="s">
        <v>13</v>
      </c>
      <c r="L1089" s="93" t="s">
        <v>866</v>
      </c>
      <c r="M1089" s="94" t="s">
        <v>3398</v>
      </c>
      <c r="N1089" s="95" t="s">
        <v>2869</v>
      </c>
      <c r="O1089" s="155">
        <v>4</v>
      </c>
      <c r="P1089" s="97">
        <f>712/45*O1089</f>
        <v>63.288888888888891</v>
      </c>
      <c r="Q1089" s="155" t="s">
        <v>1443</v>
      </c>
      <c r="R1089" s="155">
        <v>4.8</v>
      </c>
      <c r="S1089" s="108"/>
      <c r="T1089" s="131"/>
      <c r="U1089" s="186">
        <f t="shared" si="265"/>
        <v>307.01992301770593</v>
      </c>
      <c r="V1089" s="100">
        <f t="shared" si="258"/>
        <v>2.5584993584808826</v>
      </c>
      <c r="W1089" s="101">
        <f t="shared" si="259"/>
        <v>0.36549990835441182</v>
      </c>
      <c r="X1089" s="95"/>
      <c r="Y1089" s="108"/>
      <c r="Z1089" s="102"/>
      <c r="AA1089" s="103">
        <v>45919</v>
      </c>
      <c r="AB1089" s="118">
        <v>45945</v>
      </c>
      <c r="AC1089" s="103"/>
      <c r="AD1089" s="104">
        <f>IF(ISNA(VLOOKUP(D1089,亚马逊入库配置费!B:F,5,0)),0,VLOOKUP(D1089,亚马逊入库配置费!B:F,5,0))</f>
        <v>0.41</v>
      </c>
      <c r="AE1089" s="104">
        <f t="shared" si="253"/>
        <v>49.199999999999996</v>
      </c>
      <c r="AF1089" s="103">
        <v>45952</v>
      </c>
      <c r="AG1089" s="90">
        <f t="shared" si="254"/>
        <v>33</v>
      </c>
      <c r="AH1089" s="103">
        <v>45952</v>
      </c>
      <c r="AI1089" s="103">
        <v>45987</v>
      </c>
      <c r="AJ1089" s="96">
        <v>119</v>
      </c>
      <c r="AK1089" s="91">
        <f t="shared" si="255"/>
        <v>35</v>
      </c>
      <c r="AL1089" s="96">
        <f t="shared" si="256"/>
        <v>68</v>
      </c>
      <c r="AM1089" s="92"/>
      <c r="AN1089" s="91"/>
      <c r="AO1089" s="91"/>
    </row>
    <row r="1090" spans="1:41" ht="14.5" x14ac:dyDescent="0.25">
      <c r="A1090" s="110" t="s">
        <v>1877</v>
      </c>
      <c r="B1090" s="91"/>
      <c r="C1090" s="135" t="s">
        <v>1872</v>
      </c>
      <c r="D1090" s="187" t="s">
        <v>1878</v>
      </c>
      <c r="E1090" s="135" t="s">
        <v>1037</v>
      </c>
      <c r="F1090" s="135" t="s">
        <v>0</v>
      </c>
      <c r="G1090" s="58" t="s">
        <v>1879</v>
      </c>
      <c r="H1090" s="135">
        <v>300</v>
      </c>
      <c r="I1090" s="191" t="s">
        <v>89</v>
      </c>
      <c r="J1090" s="182" t="s">
        <v>1365</v>
      </c>
      <c r="K1090" s="187" t="s">
        <v>13</v>
      </c>
      <c r="L1090" s="93" t="s">
        <v>3103</v>
      </c>
      <c r="M1090" s="94" t="s">
        <v>3456</v>
      </c>
      <c r="N1090" s="95" t="s">
        <v>3104</v>
      </c>
      <c r="O1090" s="155">
        <v>15</v>
      </c>
      <c r="P1090" s="97">
        <f>712/45*O1090</f>
        <v>237.33333333333334</v>
      </c>
      <c r="Q1090" s="155" t="s">
        <v>1443</v>
      </c>
      <c r="R1090" s="155">
        <v>4.8</v>
      </c>
      <c r="S1090" s="108"/>
      <c r="T1090" s="131"/>
      <c r="U1090" s="186">
        <f t="shared" si="265"/>
        <v>1151.3247113163973</v>
      </c>
      <c r="V1090" s="100">
        <f t="shared" si="258"/>
        <v>3.8377490377213244</v>
      </c>
      <c r="W1090" s="101">
        <f t="shared" si="259"/>
        <v>0.54824986253161778</v>
      </c>
      <c r="X1090" s="95"/>
      <c r="Y1090" s="108"/>
      <c r="Z1090" s="102"/>
      <c r="AA1090" s="103">
        <v>45919</v>
      </c>
      <c r="AB1090" s="118">
        <v>45945</v>
      </c>
      <c r="AC1090" s="103"/>
      <c r="AD1090" s="104">
        <f>IF(ISNA(VLOOKUP(D1090,亚马逊入库配置费!B:F,5,0)),0,VLOOKUP(D1090,亚马逊入库配置费!B:F,5,0))</f>
        <v>0.49</v>
      </c>
      <c r="AE1090" s="104">
        <f t="shared" ref="AE1090:AE1153" si="266">H1090*AD1090</f>
        <v>147</v>
      </c>
      <c r="AF1090" s="103">
        <v>45955</v>
      </c>
      <c r="AG1090" s="90">
        <f t="shared" ref="AG1090:AG1153" si="267">AF1090-AA1090</f>
        <v>36</v>
      </c>
      <c r="AH1090" s="103">
        <v>45955</v>
      </c>
      <c r="AI1090" s="103">
        <v>45988</v>
      </c>
      <c r="AJ1090" s="96">
        <v>300</v>
      </c>
      <c r="AK1090" s="91">
        <f t="shared" ref="AK1090:AK1153" si="268">AI1090-AH1090</f>
        <v>33</v>
      </c>
      <c r="AL1090" s="96">
        <f t="shared" si="256"/>
        <v>69</v>
      </c>
      <c r="AM1090" s="92"/>
      <c r="AN1090" s="91"/>
      <c r="AO1090" s="91"/>
    </row>
    <row r="1091" spans="1:41" ht="14.5" x14ac:dyDescent="0.25">
      <c r="A1091" s="110" t="s">
        <v>1880</v>
      </c>
      <c r="B1091" s="91"/>
      <c r="C1091" s="135" t="s">
        <v>1872</v>
      </c>
      <c r="D1091" s="187" t="s">
        <v>1881</v>
      </c>
      <c r="E1091" s="135" t="s">
        <v>115</v>
      </c>
      <c r="F1091" s="135" t="s">
        <v>0</v>
      </c>
      <c r="G1091" s="58" t="s">
        <v>211</v>
      </c>
      <c r="H1091" s="135">
        <v>510</v>
      </c>
      <c r="I1091" s="191" t="s">
        <v>89</v>
      </c>
      <c r="J1091" s="182" t="s">
        <v>1365</v>
      </c>
      <c r="K1091" s="187" t="s">
        <v>11</v>
      </c>
      <c r="L1091" s="93" t="s">
        <v>3034</v>
      </c>
      <c r="M1091" s="94" t="s">
        <v>3312</v>
      </c>
      <c r="N1091" s="95" t="s">
        <v>2869</v>
      </c>
      <c r="O1091" s="155">
        <v>17</v>
      </c>
      <c r="P1091" s="97">
        <f t="shared" ref="P1091:P1102" si="269">3004/223*O1091</f>
        <v>229.00448430493276</v>
      </c>
      <c r="Q1091" s="155" t="s">
        <v>1443</v>
      </c>
      <c r="R1091" s="155">
        <v>4</v>
      </c>
      <c r="S1091" s="108"/>
      <c r="T1091" s="131"/>
      <c r="U1091" s="186">
        <f t="shared" si="265"/>
        <v>929.75927671164789</v>
      </c>
      <c r="V1091" s="100">
        <f t="shared" si="258"/>
        <v>1.8230574053169566</v>
      </c>
      <c r="W1091" s="101">
        <f t="shared" si="259"/>
        <v>0.26043677218813666</v>
      </c>
      <c r="X1091" s="95"/>
      <c r="Y1091" s="108"/>
      <c r="Z1091" s="102"/>
      <c r="AA1091" s="103">
        <v>45919</v>
      </c>
      <c r="AB1091" s="118">
        <v>45945</v>
      </c>
      <c r="AC1091" s="103"/>
      <c r="AD1091" s="104">
        <f>IF(ISNA(VLOOKUP(D1091,亚马逊入库配置费!B:F,5,0)),0,VLOOKUP(D1091,亚马逊入库配置费!B:F,5,0))</f>
        <v>0.41</v>
      </c>
      <c r="AE1091" s="104">
        <f t="shared" si="266"/>
        <v>209.1</v>
      </c>
      <c r="AF1091" s="103">
        <v>45954</v>
      </c>
      <c r="AG1091" s="90">
        <f t="shared" si="267"/>
        <v>35</v>
      </c>
      <c r="AH1091" s="103">
        <v>45954</v>
      </c>
      <c r="AI1091" s="103">
        <v>45986</v>
      </c>
      <c r="AJ1091" s="96">
        <v>510</v>
      </c>
      <c r="AK1091" s="91">
        <f t="shared" si="268"/>
        <v>32</v>
      </c>
      <c r="AL1091" s="96">
        <f t="shared" si="256"/>
        <v>67</v>
      </c>
      <c r="AM1091" s="92"/>
      <c r="AN1091" s="91"/>
      <c r="AO1091" s="91"/>
    </row>
    <row r="1092" spans="1:41" ht="14.5" x14ac:dyDescent="0.25">
      <c r="A1092" s="110" t="s">
        <v>1882</v>
      </c>
      <c r="B1092" s="91"/>
      <c r="C1092" s="135" t="s">
        <v>1872</v>
      </c>
      <c r="D1092" s="187" t="s">
        <v>1883</v>
      </c>
      <c r="E1092" s="135" t="s">
        <v>97</v>
      </c>
      <c r="F1092" s="135" t="s">
        <v>0</v>
      </c>
      <c r="G1092" s="58" t="s">
        <v>161</v>
      </c>
      <c r="H1092" s="135">
        <v>224</v>
      </c>
      <c r="I1092" s="191" t="s">
        <v>89</v>
      </c>
      <c r="J1092" s="182" t="s">
        <v>1365</v>
      </c>
      <c r="K1092" s="187" t="s">
        <v>11</v>
      </c>
      <c r="L1092" s="93" t="s">
        <v>3024</v>
      </c>
      <c r="M1092" s="94" t="s">
        <v>3301</v>
      </c>
      <c r="N1092" s="95" t="s">
        <v>2870</v>
      </c>
      <c r="O1092" s="155">
        <v>7</v>
      </c>
      <c r="P1092" s="97">
        <f t="shared" si="269"/>
        <v>94.295964125560545</v>
      </c>
      <c r="Q1092" s="155" t="s">
        <v>1443</v>
      </c>
      <c r="R1092" s="155">
        <v>4</v>
      </c>
      <c r="S1092" s="108"/>
      <c r="T1092" s="131"/>
      <c r="U1092" s="186">
        <f t="shared" si="265"/>
        <v>382.84205511656091</v>
      </c>
      <c r="V1092" s="100">
        <f t="shared" si="258"/>
        <v>1.7091163174846469</v>
      </c>
      <c r="W1092" s="101">
        <f t="shared" si="259"/>
        <v>0.24415947392637813</v>
      </c>
      <c r="X1092" s="95"/>
      <c r="Y1092" s="108"/>
      <c r="Z1092" s="102"/>
      <c r="AA1092" s="103">
        <v>45919</v>
      </c>
      <c r="AB1092" s="118">
        <v>45945</v>
      </c>
      <c r="AC1092" s="103"/>
      <c r="AD1092" s="104">
        <f>IF(ISNA(VLOOKUP(D1092,亚马逊入库配置费!B:F,5,0)),0,VLOOKUP(D1092,亚马逊入库配置费!B:F,5,0))</f>
        <v>0.35080175727622198</v>
      </c>
      <c r="AE1092" s="104">
        <f t="shared" si="266"/>
        <v>78.579593629873727</v>
      </c>
      <c r="AF1092" s="103">
        <v>45954</v>
      </c>
      <c r="AG1092" s="90">
        <f t="shared" si="267"/>
        <v>35</v>
      </c>
      <c r="AH1092" s="103">
        <v>45954</v>
      </c>
      <c r="AI1092" s="103">
        <v>45987</v>
      </c>
      <c r="AJ1092" s="96">
        <v>224</v>
      </c>
      <c r="AK1092" s="91">
        <f t="shared" si="268"/>
        <v>33</v>
      </c>
      <c r="AL1092" s="96">
        <f t="shared" ref="AL1092:AL1155" si="270">AG1092+AK1092</f>
        <v>68</v>
      </c>
      <c r="AM1092" s="92"/>
      <c r="AN1092" s="91"/>
      <c r="AO1092" s="91"/>
    </row>
    <row r="1093" spans="1:41" ht="14.5" x14ac:dyDescent="0.25">
      <c r="A1093" s="110" t="s">
        <v>1884</v>
      </c>
      <c r="B1093" s="91"/>
      <c r="C1093" s="135" t="s">
        <v>1872</v>
      </c>
      <c r="D1093" s="187" t="s">
        <v>1883</v>
      </c>
      <c r="E1093" s="135" t="s">
        <v>97</v>
      </c>
      <c r="F1093" s="135" t="s">
        <v>0</v>
      </c>
      <c r="G1093" s="58" t="s">
        <v>228</v>
      </c>
      <c r="H1093" s="135">
        <v>500</v>
      </c>
      <c r="I1093" s="191" t="s">
        <v>89</v>
      </c>
      <c r="J1093" s="182" t="s">
        <v>1365</v>
      </c>
      <c r="K1093" s="187" t="s">
        <v>11</v>
      </c>
      <c r="L1093" s="93" t="s">
        <v>3036</v>
      </c>
      <c r="M1093" s="94" t="s">
        <v>3315</v>
      </c>
      <c r="N1093" s="95" t="s">
        <v>2870</v>
      </c>
      <c r="O1093" s="155">
        <v>25</v>
      </c>
      <c r="P1093" s="97">
        <f t="shared" si="269"/>
        <v>336.77130044843051</v>
      </c>
      <c r="Q1093" s="155" t="s">
        <v>1443</v>
      </c>
      <c r="R1093" s="155">
        <v>4</v>
      </c>
      <c r="S1093" s="108"/>
      <c r="T1093" s="131"/>
      <c r="U1093" s="186">
        <f t="shared" si="265"/>
        <v>1367.2930539877175</v>
      </c>
      <c r="V1093" s="100">
        <f t="shared" si="258"/>
        <v>2.734586107975435</v>
      </c>
      <c r="W1093" s="101">
        <f t="shared" si="259"/>
        <v>0.39065515828220498</v>
      </c>
      <c r="X1093" s="95"/>
      <c r="Y1093" s="108"/>
      <c r="Z1093" s="102"/>
      <c r="AA1093" s="103">
        <v>45919</v>
      </c>
      <c r="AB1093" s="118">
        <v>45945</v>
      </c>
      <c r="AC1093" s="103"/>
      <c r="AD1093" s="104">
        <f>IF(ISNA(VLOOKUP(D1093,亚马逊入库配置费!B:F,5,0)),0,VLOOKUP(D1093,亚马逊入库配置费!B:F,5,0))</f>
        <v>0.35080175727622198</v>
      </c>
      <c r="AE1093" s="104">
        <f t="shared" si="266"/>
        <v>175.40087863811098</v>
      </c>
      <c r="AF1093" s="103">
        <v>45954</v>
      </c>
      <c r="AG1093" s="90">
        <f t="shared" si="267"/>
        <v>35</v>
      </c>
      <c r="AH1093" s="103">
        <v>45954</v>
      </c>
      <c r="AI1093" s="103">
        <v>45987</v>
      </c>
      <c r="AJ1093" s="96">
        <v>500</v>
      </c>
      <c r="AK1093" s="91">
        <f t="shared" si="268"/>
        <v>33</v>
      </c>
      <c r="AL1093" s="96">
        <f t="shared" si="270"/>
        <v>68</v>
      </c>
      <c r="AM1093" s="92"/>
      <c r="AN1093" s="91"/>
      <c r="AO1093" s="91"/>
    </row>
    <row r="1094" spans="1:41" ht="14.5" x14ac:dyDescent="0.25">
      <c r="A1094" s="110" t="s">
        <v>1885</v>
      </c>
      <c r="B1094" s="91"/>
      <c r="C1094" s="135" t="s">
        <v>1872</v>
      </c>
      <c r="D1094" s="187" t="s">
        <v>1883</v>
      </c>
      <c r="E1094" s="135" t="s">
        <v>97</v>
      </c>
      <c r="F1094" s="135" t="s">
        <v>0</v>
      </c>
      <c r="G1094" s="58" t="s">
        <v>163</v>
      </c>
      <c r="H1094" s="135">
        <v>3000</v>
      </c>
      <c r="I1094" s="191" t="s">
        <v>89</v>
      </c>
      <c r="J1094" s="182" t="s">
        <v>1365</v>
      </c>
      <c r="K1094" s="187" t="s">
        <v>11</v>
      </c>
      <c r="L1094" s="93" t="s">
        <v>2881</v>
      </c>
      <c r="M1094" s="94" t="s">
        <v>3302</v>
      </c>
      <c r="N1094" s="95" t="s">
        <v>2870</v>
      </c>
      <c r="O1094" s="155">
        <v>75</v>
      </c>
      <c r="P1094" s="97">
        <f t="shared" si="269"/>
        <v>1010.3139013452916</v>
      </c>
      <c r="Q1094" s="155" t="s">
        <v>1443</v>
      </c>
      <c r="R1094" s="155">
        <v>4</v>
      </c>
      <c r="S1094" s="108"/>
      <c r="T1094" s="131"/>
      <c r="U1094" s="186">
        <f t="shared" si="265"/>
        <v>4101.8791619631529</v>
      </c>
      <c r="V1094" s="100">
        <f t="shared" si="258"/>
        <v>1.3672930539877177</v>
      </c>
      <c r="W1094" s="101">
        <f t="shared" si="259"/>
        <v>0.19532757914110252</v>
      </c>
      <c r="X1094" s="95"/>
      <c r="Y1094" s="108"/>
      <c r="Z1094" s="102"/>
      <c r="AA1094" s="103">
        <v>45919</v>
      </c>
      <c r="AB1094" s="118">
        <v>45945</v>
      </c>
      <c r="AC1094" s="103"/>
      <c r="AD1094" s="104">
        <f>IF(ISNA(VLOOKUP(D1094,亚马逊入库配置费!B:F,5,0)),0,VLOOKUP(D1094,亚马逊入库配置费!B:F,5,0))</f>
        <v>0.35080175727622198</v>
      </c>
      <c r="AE1094" s="104">
        <f t="shared" si="266"/>
        <v>1052.4052718286659</v>
      </c>
      <c r="AF1094" s="103">
        <v>45954</v>
      </c>
      <c r="AG1094" s="90">
        <f t="shared" si="267"/>
        <v>35</v>
      </c>
      <c r="AH1094" s="103">
        <v>45954</v>
      </c>
      <c r="AI1094" s="103">
        <v>45987</v>
      </c>
      <c r="AJ1094" s="96">
        <v>2989</v>
      </c>
      <c r="AK1094" s="91">
        <f t="shared" si="268"/>
        <v>33</v>
      </c>
      <c r="AL1094" s="96">
        <f t="shared" si="270"/>
        <v>68</v>
      </c>
      <c r="AM1094" s="92"/>
      <c r="AN1094" s="91"/>
      <c r="AO1094" s="91"/>
    </row>
    <row r="1095" spans="1:41" ht="14.5" x14ac:dyDescent="0.25">
      <c r="A1095" s="110" t="s">
        <v>1886</v>
      </c>
      <c r="B1095" s="91"/>
      <c r="C1095" s="135" t="s">
        <v>1872</v>
      </c>
      <c r="D1095" s="187" t="s">
        <v>1883</v>
      </c>
      <c r="E1095" s="135" t="s">
        <v>97</v>
      </c>
      <c r="F1095" s="135" t="s">
        <v>0</v>
      </c>
      <c r="G1095" s="58" t="s">
        <v>231</v>
      </c>
      <c r="H1095" s="135">
        <v>200</v>
      </c>
      <c r="I1095" s="191" t="s">
        <v>89</v>
      </c>
      <c r="J1095" s="182" t="s">
        <v>1365</v>
      </c>
      <c r="K1095" s="187" t="s">
        <v>11</v>
      </c>
      <c r="L1095" s="93" t="s">
        <v>3037</v>
      </c>
      <c r="M1095" s="94" t="s">
        <v>3207</v>
      </c>
      <c r="N1095" s="95" t="s">
        <v>2870</v>
      </c>
      <c r="O1095" s="155">
        <v>10</v>
      </c>
      <c r="P1095" s="97">
        <f t="shared" si="269"/>
        <v>134.70852017937221</v>
      </c>
      <c r="Q1095" s="155" t="s">
        <v>1443</v>
      </c>
      <c r="R1095" s="155">
        <v>4</v>
      </c>
      <c r="S1095" s="108"/>
      <c r="T1095" s="131"/>
      <c r="U1095" s="186">
        <f t="shared" si="265"/>
        <v>546.91722159508697</v>
      </c>
      <c r="V1095" s="100">
        <f t="shared" si="258"/>
        <v>2.734586107975435</v>
      </c>
      <c r="W1095" s="101">
        <f t="shared" si="259"/>
        <v>0.39065515828220498</v>
      </c>
      <c r="X1095" s="95"/>
      <c r="Y1095" s="108"/>
      <c r="Z1095" s="102"/>
      <c r="AA1095" s="103">
        <v>45919</v>
      </c>
      <c r="AB1095" s="118">
        <v>45945</v>
      </c>
      <c r="AC1095" s="103"/>
      <c r="AD1095" s="104">
        <f>IF(ISNA(VLOOKUP(D1095,亚马逊入库配置费!B:F,5,0)),0,VLOOKUP(D1095,亚马逊入库配置费!B:F,5,0))</f>
        <v>0.35080175727622198</v>
      </c>
      <c r="AE1095" s="104">
        <f t="shared" si="266"/>
        <v>70.160351455244395</v>
      </c>
      <c r="AF1095" s="103">
        <v>45954</v>
      </c>
      <c r="AG1095" s="90">
        <f t="shared" si="267"/>
        <v>35</v>
      </c>
      <c r="AH1095" s="103">
        <v>45954</v>
      </c>
      <c r="AI1095" s="103">
        <v>45987</v>
      </c>
      <c r="AJ1095" s="96">
        <v>200</v>
      </c>
      <c r="AK1095" s="91">
        <f t="shared" si="268"/>
        <v>33</v>
      </c>
      <c r="AL1095" s="96">
        <f t="shared" si="270"/>
        <v>68</v>
      </c>
      <c r="AM1095" s="92"/>
      <c r="AN1095" s="91"/>
      <c r="AO1095" s="91"/>
    </row>
    <row r="1096" spans="1:41" ht="14.5" x14ac:dyDescent="0.25">
      <c r="A1096" s="110" t="s">
        <v>1887</v>
      </c>
      <c r="B1096" s="91"/>
      <c r="C1096" s="135" t="s">
        <v>1872</v>
      </c>
      <c r="D1096" s="187" t="s">
        <v>1883</v>
      </c>
      <c r="E1096" s="135" t="s">
        <v>97</v>
      </c>
      <c r="F1096" s="135" t="s">
        <v>0</v>
      </c>
      <c r="G1096" s="58" t="s">
        <v>853</v>
      </c>
      <c r="H1096" s="135">
        <v>600</v>
      </c>
      <c r="I1096" s="191" t="s">
        <v>89</v>
      </c>
      <c r="J1096" s="182" t="s">
        <v>1365</v>
      </c>
      <c r="K1096" s="187" t="s">
        <v>11</v>
      </c>
      <c r="L1096" s="93" t="s">
        <v>853</v>
      </c>
      <c r="M1096" s="94" t="s">
        <v>3396</v>
      </c>
      <c r="N1096" s="95" t="s">
        <v>2870</v>
      </c>
      <c r="O1096" s="155">
        <v>15</v>
      </c>
      <c r="P1096" s="97">
        <f t="shared" si="269"/>
        <v>202.06278026905829</v>
      </c>
      <c r="Q1096" s="155" t="s">
        <v>1443</v>
      </c>
      <c r="R1096" s="155">
        <v>4</v>
      </c>
      <c r="S1096" s="108"/>
      <c r="T1096" s="131"/>
      <c r="U1096" s="186">
        <f t="shared" si="265"/>
        <v>820.3758323926304</v>
      </c>
      <c r="V1096" s="100">
        <f t="shared" si="258"/>
        <v>1.3672930539877173</v>
      </c>
      <c r="W1096" s="101">
        <f t="shared" si="259"/>
        <v>0.19532757914110246</v>
      </c>
      <c r="X1096" s="95"/>
      <c r="Y1096" s="108"/>
      <c r="Z1096" s="102"/>
      <c r="AA1096" s="103">
        <v>45919</v>
      </c>
      <c r="AB1096" s="118">
        <v>45945</v>
      </c>
      <c r="AC1096" s="103"/>
      <c r="AD1096" s="104">
        <f>IF(ISNA(VLOOKUP(D1096,亚马逊入库配置费!B:F,5,0)),0,VLOOKUP(D1096,亚马逊入库配置费!B:F,5,0))</f>
        <v>0.35080175727622198</v>
      </c>
      <c r="AE1096" s="104">
        <f t="shared" si="266"/>
        <v>210.4810543657332</v>
      </c>
      <c r="AF1096" s="103">
        <v>45954</v>
      </c>
      <c r="AG1096" s="90">
        <f t="shared" si="267"/>
        <v>35</v>
      </c>
      <c r="AH1096" s="103">
        <v>45954</v>
      </c>
      <c r="AI1096" s="103">
        <v>45987</v>
      </c>
      <c r="AJ1096" s="96">
        <v>600</v>
      </c>
      <c r="AK1096" s="91">
        <f t="shared" si="268"/>
        <v>33</v>
      </c>
      <c r="AL1096" s="96">
        <f t="shared" si="270"/>
        <v>68</v>
      </c>
      <c r="AM1096" s="92"/>
      <c r="AN1096" s="91"/>
      <c r="AO1096" s="91"/>
    </row>
    <row r="1097" spans="1:41" ht="14.5" x14ac:dyDescent="0.25">
      <c r="A1097" s="110" t="s">
        <v>1888</v>
      </c>
      <c r="B1097" s="91"/>
      <c r="C1097" s="135" t="s">
        <v>1872</v>
      </c>
      <c r="D1097" s="187" t="s">
        <v>1883</v>
      </c>
      <c r="E1097" s="135" t="s">
        <v>97</v>
      </c>
      <c r="F1097" s="135" t="s">
        <v>0</v>
      </c>
      <c r="G1097" s="58" t="s">
        <v>350</v>
      </c>
      <c r="H1097" s="135">
        <v>320</v>
      </c>
      <c r="I1097" s="191" t="s">
        <v>89</v>
      </c>
      <c r="J1097" s="182" t="s">
        <v>1365</v>
      </c>
      <c r="K1097" s="187" t="s">
        <v>11</v>
      </c>
      <c r="L1097" s="93" t="s">
        <v>3048</v>
      </c>
      <c r="M1097" s="94" t="s">
        <v>3208</v>
      </c>
      <c r="N1097" s="95" t="s">
        <v>2870</v>
      </c>
      <c r="O1097" s="155">
        <v>8</v>
      </c>
      <c r="P1097" s="97">
        <f t="shared" si="269"/>
        <v>107.76681614349776</v>
      </c>
      <c r="Q1097" s="155" t="s">
        <v>1443</v>
      </c>
      <c r="R1097" s="155">
        <v>4</v>
      </c>
      <c r="S1097" s="108"/>
      <c r="T1097" s="131"/>
      <c r="U1097" s="186">
        <f t="shared" si="265"/>
        <v>437.5337772760696</v>
      </c>
      <c r="V1097" s="100">
        <f t="shared" si="258"/>
        <v>1.3672930539877175</v>
      </c>
      <c r="W1097" s="101">
        <f t="shared" si="259"/>
        <v>0.19532757914110249</v>
      </c>
      <c r="X1097" s="95"/>
      <c r="Y1097" s="108"/>
      <c r="Z1097" s="102"/>
      <c r="AA1097" s="103">
        <v>45919</v>
      </c>
      <c r="AB1097" s="118">
        <v>45945</v>
      </c>
      <c r="AC1097" s="103"/>
      <c r="AD1097" s="104">
        <f>IF(ISNA(VLOOKUP(D1097,亚马逊入库配置费!B:F,5,0)),0,VLOOKUP(D1097,亚马逊入库配置费!B:F,5,0))</f>
        <v>0.35080175727622198</v>
      </c>
      <c r="AE1097" s="104">
        <f t="shared" si="266"/>
        <v>112.25656232839103</v>
      </c>
      <c r="AF1097" s="103">
        <v>45954</v>
      </c>
      <c r="AG1097" s="90">
        <f t="shared" si="267"/>
        <v>35</v>
      </c>
      <c r="AH1097" s="103">
        <v>45954</v>
      </c>
      <c r="AI1097" s="103">
        <v>45987</v>
      </c>
      <c r="AJ1097" s="96">
        <v>319</v>
      </c>
      <c r="AK1097" s="91">
        <f t="shared" si="268"/>
        <v>33</v>
      </c>
      <c r="AL1097" s="96">
        <f t="shared" si="270"/>
        <v>68</v>
      </c>
      <c r="AM1097" s="92"/>
      <c r="AN1097" s="91"/>
      <c r="AO1097" s="91"/>
    </row>
    <row r="1098" spans="1:41" ht="14.5" x14ac:dyDescent="0.25">
      <c r="A1098" s="110" t="s">
        <v>1889</v>
      </c>
      <c r="B1098" s="91"/>
      <c r="C1098" s="135" t="s">
        <v>1872</v>
      </c>
      <c r="D1098" s="187" t="s">
        <v>1883</v>
      </c>
      <c r="E1098" s="135" t="s">
        <v>97</v>
      </c>
      <c r="F1098" s="135" t="s">
        <v>0</v>
      </c>
      <c r="G1098" s="58" t="s">
        <v>352</v>
      </c>
      <c r="H1098" s="135">
        <v>240</v>
      </c>
      <c r="I1098" s="191" t="s">
        <v>89</v>
      </c>
      <c r="J1098" s="182" t="s">
        <v>1365</v>
      </c>
      <c r="K1098" s="187" t="s">
        <v>11</v>
      </c>
      <c r="L1098" s="93" t="s">
        <v>3049</v>
      </c>
      <c r="M1098" s="94" t="s">
        <v>3336</v>
      </c>
      <c r="N1098" s="95" t="s">
        <v>2870</v>
      </c>
      <c r="O1098" s="155">
        <v>6</v>
      </c>
      <c r="P1098" s="97">
        <f t="shared" si="269"/>
        <v>80.825112107623326</v>
      </c>
      <c r="Q1098" s="155" t="s">
        <v>1443</v>
      </c>
      <c r="R1098" s="155">
        <v>4</v>
      </c>
      <c r="S1098" s="108"/>
      <c r="T1098" s="131"/>
      <c r="U1098" s="186">
        <f t="shared" si="265"/>
        <v>328.15033295705217</v>
      </c>
      <c r="V1098" s="100">
        <f t="shared" si="258"/>
        <v>1.3672930539877173</v>
      </c>
      <c r="W1098" s="101">
        <f t="shared" si="259"/>
        <v>0.19532757914110246</v>
      </c>
      <c r="X1098" s="95"/>
      <c r="Y1098" s="108"/>
      <c r="Z1098" s="102"/>
      <c r="AA1098" s="103">
        <v>45919</v>
      </c>
      <c r="AB1098" s="118">
        <v>45945</v>
      </c>
      <c r="AC1098" s="103"/>
      <c r="AD1098" s="104">
        <f>IF(ISNA(VLOOKUP(D1098,亚马逊入库配置费!B:F,5,0)),0,VLOOKUP(D1098,亚马逊入库配置费!B:F,5,0))</f>
        <v>0.35080175727622198</v>
      </c>
      <c r="AE1098" s="104">
        <f t="shared" si="266"/>
        <v>84.192421746293277</v>
      </c>
      <c r="AF1098" s="103">
        <v>45954</v>
      </c>
      <c r="AG1098" s="90">
        <f t="shared" si="267"/>
        <v>35</v>
      </c>
      <c r="AH1098" s="103">
        <v>45954</v>
      </c>
      <c r="AI1098" s="103">
        <v>45987</v>
      </c>
      <c r="AJ1098" s="96">
        <v>239</v>
      </c>
      <c r="AK1098" s="91">
        <f t="shared" si="268"/>
        <v>33</v>
      </c>
      <c r="AL1098" s="96">
        <f t="shared" si="270"/>
        <v>68</v>
      </c>
      <c r="AM1098" s="92"/>
      <c r="AN1098" s="91"/>
      <c r="AO1098" s="91"/>
    </row>
    <row r="1099" spans="1:41" ht="14.5" x14ac:dyDescent="0.25">
      <c r="A1099" s="110" t="s">
        <v>1890</v>
      </c>
      <c r="B1099" s="91"/>
      <c r="C1099" s="135" t="s">
        <v>1872</v>
      </c>
      <c r="D1099" s="187" t="s">
        <v>1883</v>
      </c>
      <c r="E1099" s="135" t="s">
        <v>97</v>
      </c>
      <c r="F1099" s="135" t="s">
        <v>0</v>
      </c>
      <c r="G1099" s="58" t="s">
        <v>876</v>
      </c>
      <c r="H1099" s="135">
        <v>200</v>
      </c>
      <c r="I1099" s="191" t="s">
        <v>89</v>
      </c>
      <c r="J1099" s="182" t="s">
        <v>1365</v>
      </c>
      <c r="K1099" s="187" t="s">
        <v>11</v>
      </c>
      <c r="L1099" s="93" t="s">
        <v>876</v>
      </c>
      <c r="M1099" s="94" t="s">
        <v>3400</v>
      </c>
      <c r="N1099" s="95" t="s">
        <v>2870</v>
      </c>
      <c r="O1099" s="155">
        <v>5</v>
      </c>
      <c r="P1099" s="97">
        <f t="shared" si="269"/>
        <v>67.354260089686107</v>
      </c>
      <c r="Q1099" s="155" t="s">
        <v>1443</v>
      </c>
      <c r="R1099" s="155">
        <v>4</v>
      </c>
      <c r="S1099" s="108"/>
      <c r="T1099" s="131"/>
      <c r="U1099" s="186">
        <f t="shared" si="265"/>
        <v>273.45861079754349</v>
      </c>
      <c r="V1099" s="100">
        <f t="shared" si="258"/>
        <v>1.3672930539877175</v>
      </c>
      <c r="W1099" s="101">
        <f t="shared" si="259"/>
        <v>0.19532757914110249</v>
      </c>
      <c r="X1099" s="95"/>
      <c r="Y1099" s="108"/>
      <c r="Z1099" s="102"/>
      <c r="AA1099" s="103">
        <v>45919</v>
      </c>
      <c r="AB1099" s="118">
        <v>45945</v>
      </c>
      <c r="AC1099" s="103"/>
      <c r="AD1099" s="104">
        <f>IF(ISNA(VLOOKUP(D1099,亚马逊入库配置费!B:F,5,0)),0,VLOOKUP(D1099,亚马逊入库配置费!B:F,5,0))</f>
        <v>0.35080175727622198</v>
      </c>
      <c r="AE1099" s="104">
        <f t="shared" si="266"/>
        <v>70.160351455244395</v>
      </c>
      <c r="AF1099" s="103">
        <v>45954</v>
      </c>
      <c r="AG1099" s="90">
        <f t="shared" si="267"/>
        <v>35</v>
      </c>
      <c r="AH1099" s="103">
        <v>45954</v>
      </c>
      <c r="AI1099" s="103">
        <v>45987</v>
      </c>
      <c r="AJ1099" s="96">
        <v>200</v>
      </c>
      <c r="AK1099" s="91">
        <f t="shared" si="268"/>
        <v>33</v>
      </c>
      <c r="AL1099" s="96">
        <f t="shared" si="270"/>
        <v>68</v>
      </c>
      <c r="AM1099" s="92"/>
      <c r="AN1099" s="91"/>
      <c r="AO1099" s="91"/>
    </row>
    <row r="1100" spans="1:41" ht="14.5" x14ac:dyDescent="0.25">
      <c r="A1100" s="110" t="s">
        <v>1891</v>
      </c>
      <c r="B1100" s="91"/>
      <c r="C1100" s="135" t="s">
        <v>1872</v>
      </c>
      <c r="D1100" s="187" t="s">
        <v>1883</v>
      </c>
      <c r="E1100" s="135" t="s">
        <v>97</v>
      </c>
      <c r="F1100" s="135" t="s">
        <v>0</v>
      </c>
      <c r="G1100" s="58" t="s">
        <v>165</v>
      </c>
      <c r="H1100" s="135">
        <v>1520</v>
      </c>
      <c r="I1100" s="191" t="s">
        <v>89</v>
      </c>
      <c r="J1100" s="182" t="s">
        <v>1365</v>
      </c>
      <c r="K1100" s="187" t="s">
        <v>11</v>
      </c>
      <c r="L1100" s="93" t="s">
        <v>2880</v>
      </c>
      <c r="M1100" s="94" t="s">
        <v>3209</v>
      </c>
      <c r="N1100" s="95" t="s">
        <v>2870</v>
      </c>
      <c r="O1100" s="155">
        <v>38</v>
      </c>
      <c r="P1100" s="97">
        <f t="shared" si="269"/>
        <v>511.89237668161439</v>
      </c>
      <c r="Q1100" s="155" t="s">
        <v>1443</v>
      </c>
      <c r="R1100" s="155">
        <v>4</v>
      </c>
      <c r="S1100" s="108"/>
      <c r="T1100" s="131"/>
      <c r="U1100" s="186">
        <f t="shared" si="265"/>
        <v>2078.2854420613307</v>
      </c>
      <c r="V1100" s="100">
        <f t="shared" si="258"/>
        <v>1.3672930539877175</v>
      </c>
      <c r="W1100" s="101">
        <f t="shared" si="259"/>
        <v>0.19532757914110249</v>
      </c>
      <c r="X1100" s="95"/>
      <c r="Y1100" s="108"/>
      <c r="Z1100" s="102"/>
      <c r="AA1100" s="103">
        <v>45919</v>
      </c>
      <c r="AB1100" s="118">
        <v>45945</v>
      </c>
      <c r="AC1100" s="103"/>
      <c r="AD1100" s="104">
        <f>IF(ISNA(VLOOKUP(D1100,亚马逊入库配置费!B:F,5,0)),0,VLOOKUP(D1100,亚马逊入库配置费!B:F,5,0))</f>
        <v>0.35080175727622198</v>
      </c>
      <c r="AE1100" s="104">
        <f t="shared" si="266"/>
        <v>533.21867105985746</v>
      </c>
      <c r="AF1100" s="103">
        <v>45954</v>
      </c>
      <c r="AG1100" s="90">
        <f t="shared" si="267"/>
        <v>35</v>
      </c>
      <c r="AH1100" s="103">
        <v>45954</v>
      </c>
      <c r="AI1100" s="103">
        <v>45987</v>
      </c>
      <c r="AJ1100" s="96">
        <v>2560</v>
      </c>
      <c r="AK1100" s="91">
        <f t="shared" si="268"/>
        <v>33</v>
      </c>
      <c r="AL1100" s="96">
        <f t="shared" si="270"/>
        <v>68</v>
      </c>
      <c r="AM1100" s="92"/>
      <c r="AN1100" s="91"/>
      <c r="AO1100" s="91"/>
    </row>
    <row r="1101" spans="1:41" ht="14.5" x14ac:dyDescent="0.25">
      <c r="A1101" s="110" t="s">
        <v>1892</v>
      </c>
      <c r="B1101" s="91"/>
      <c r="C1101" s="135" t="s">
        <v>1872</v>
      </c>
      <c r="D1101" s="187" t="s">
        <v>1883</v>
      </c>
      <c r="E1101" s="135" t="s">
        <v>97</v>
      </c>
      <c r="F1101" s="135" t="s">
        <v>0</v>
      </c>
      <c r="G1101" s="58" t="s">
        <v>786</v>
      </c>
      <c r="H1101" s="135">
        <v>280</v>
      </c>
      <c r="I1101" s="191" t="s">
        <v>89</v>
      </c>
      <c r="J1101" s="182" t="s">
        <v>1365</v>
      </c>
      <c r="K1101" s="187" t="s">
        <v>11</v>
      </c>
      <c r="L1101" s="93" t="s">
        <v>786</v>
      </c>
      <c r="M1101" s="94" t="s">
        <v>3395</v>
      </c>
      <c r="N1101" s="95" t="s">
        <v>2870</v>
      </c>
      <c r="O1101" s="155">
        <v>7</v>
      </c>
      <c r="P1101" s="97">
        <f t="shared" si="269"/>
        <v>94.295964125560545</v>
      </c>
      <c r="Q1101" s="155" t="s">
        <v>1443</v>
      </c>
      <c r="R1101" s="155">
        <v>4</v>
      </c>
      <c r="S1101" s="108"/>
      <c r="T1101" s="131"/>
      <c r="U1101" s="186">
        <f t="shared" si="265"/>
        <v>382.84205511656091</v>
      </c>
      <c r="V1101" s="100">
        <f t="shared" ref="V1101:V1164" si="271">U1101/H1101</f>
        <v>1.3672930539877175</v>
      </c>
      <c r="W1101" s="101">
        <f t="shared" ref="W1101:W1164" si="272">V1101/7</f>
        <v>0.19532757914110249</v>
      </c>
      <c r="X1101" s="95"/>
      <c r="Y1101" s="108"/>
      <c r="Z1101" s="102"/>
      <c r="AA1101" s="103">
        <v>45919</v>
      </c>
      <c r="AB1101" s="118">
        <v>45945</v>
      </c>
      <c r="AC1101" s="103"/>
      <c r="AD1101" s="104">
        <f>IF(ISNA(VLOOKUP(D1101,亚马逊入库配置费!B:F,5,0)),0,VLOOKUP(D1101,亚马逊入库配置费!B:F,5,0))</f>
        <v>0.35080175727622198</v>
      </c>
      <c r="AE1101" s="104">
        <f t="shared" si="266"/>
        <v>98.224492037342159</v>
      </c>
      <c r="AF1101" s="103">
        <v>45954</v>
      </c>
      <c r="AG1101" s="90">
        <f t="shared" si="267"/>
        <v>35</v>
      </c>
      <c r="AH1101" s="103">
        <v>45954</v>
      </c>
      <c r="AI1101" s="103">
        <v>45987</v>
      </c>
      <c r="AJ1101" s="96">
        <v>277</v>
      </c>
      <c r="AK1101" s="91">
        <f t="shared" si="268"/>
        <v>33</v>
      </c>
      <c r="AL1101" s="96">
        <f t="shared" si="270"/>
        <v>68</v>
      </c>
      <c r="AM1101" s="92"/>
      <c r="AN1101" s="91"/>
      <c r="AO1101" s="91"/>
    </row>
    <row r="1102" spans="1:41" ht="14.5" x14ac:dyDescent="0.25">
      <c r="A1102" s="110" t="s">
        <v>1893</v>
      </c>
      <c r="B1102" s="91"/>
      <c r="C1102" s="135" t="s">
        <v>1872</v>
      </c>
      <c r="D1102" s="187" t="s">
        <v>1883</v>
      </c>
      <c r="E1102" s="135" t="s">
        <v>97</v>
      </c>
      <c r="F1102" s="135" t="s">
        <v>0</v>
      </c>
      <c r="G1102" s="58" t="s">
        <v>1217</v>
      </c>
      <c r="H1102" s="135">
        <v>200</v>
      </c>
      <c r="I1102" s="191" t="s">
        <v>89</v>
      </c>
      <c r="J1102" s="182" t="s">
        <v>1365</v>
      </c>
      <c r="K1102" s="187" t="s">
        <v>11</v>
      </c>
      <c r="L1102" s="93" t="s">
        <v>1217</v>
      </c>
      <c r="M1102" s="94" t="s">
        <v>3437</v>
      </c>
      <c r="N1102" s="95" t="s">
        <v>2867</v>
      </c>
      <c r="O1102" s="155">
        <v>10</v>
      </c>
      <c r="P1102" s="97">
        <f t="shared" si="269"/>
        <v>134.70852017937221</v>
      </c>
      <c r="Q1102" s="155" t="s">
        <v>1443</v>
      </c>
      <c r="R1102" s="155">
        <v>4</v>
      </c>
      <c r="S1102" s="108"/>
      <c r="T1102" s="131"/>
      <c r="U1102" s="186">
        <f t="shared" si="265"/>
        <v>546.91722159508697</v>
      </c>
      <c r="V1102" s="100">
        <f t="shared" si="271"/>
        <v>2.734586107975435</v>
      </c>
      <c r="W1102" s="101">
        <f t="shared" si="272"/>
        <v>0.39065515828220498</v>
      </c>
      <c r="X1102" s="95"/>
      <c r="Y1102" s="108"/>
      <c r="Z1102" s="102"/>
      <c r="AA1102" s="103">
        <v>45919</v>
      </c>
      <c r="AB1102" s="118">
        <v>45945</v>
      </c>
      <c r="AC1102" s="103"/>
      <c r="AD1102" s="104">
        <f>IF(ISNA(VLOOKUP(D1102,亚马逊入库配置费!B:F,5,0)),0,VLOOKUP(D1102,亚马逊入库配置费!B:F,5,0))</f>
        <v>0.35080175727622198</v>
      </c>
      <c r="AE1102" s="104">
        <f t="shared" si="266"/>
        <v>70.160351455244395</v>
      </c>
      <c r="AF1102" s="103">
        <v>45954</v>
      </c>
      <c r="AG1102" s="90">
        <f t="shared" si="267"/>
        <v>35</v>
      </c>
      <c r="AH1102" s="103">
        <v>45954</v>
      </c>
      <c r="AI1102" s="103">
        <v>45987</v>
      </c>
      <c r="AJ1102" s="96">
        <v>200</v>
      </c>
      <c r="AK1102" s="91">
        <f t="shared" si="268"/>
        <v>33</v>
      </c>
      <c r="AL1102" s="96">
        <f t="shared" si="270"/>
        <v>68</v>
      </c>
      <c r="AM1102" s="92"/>
      <c r="AN1102" s="91"/>
      <c r="AO1102" s="91"/>
    </row>
    <row r="1103" spans="1:41" ht="14.5" x14ac:dyDescent="0.25">
      <c r="A1103" s="110" t="s">
        <v>1894</v>
      </c>
      <c r="B1103" s="91"/>
      <c r="C1103" s="135" t="s">
        <v>1872</v>
      </c>
      <c r="D1103" s="187" t="s">
        <v>1895</v>
      </c>
      <c r="E1103" s="135" t="s">
        <v>97</v>
      </c>
      <c r="F1103" s="135" t="s">
        <v>0</v>
      </c>
      <c r="G1103" s="58" t="s">
        <v>1843</v>
      </c>
      <c r="H1103" s="135">
        <v>570</v>
      </c>
      <c r="I1103" s="191" t="s">
        <v>89</v>
      </c>
      <c r="J1103" s="182" t="s">
        <v>1365</v>
      </c>
      <c r="K1103" s="187" t="s">
        <v>10</v>
      </c>
      <c r="L1103" s="93" t="s">
        <v>1843</v>
      </c>
      <c r="M1103" s="94" t="s">
        <v>3452</v>
      </c>
      <c r="N1103" s="95" t="s">
        <v>2868</v>
      </c>
      <c r="O1103" s="155">
        <v>19</v>
      </c>
      <c r="P1103" s="97">
        <f t="shared" ref="P1103:P1110" si="273">2504/165*O1103</f>
        <v>288.33939393939391</v>
      </c>
      <c r="Q1103" s="155" t="s">
        <v>1443</v>
      </c>
      <c r="R1103" s="155">
        <v>4.8</v>
      </c>
      <c r="S1103" s="108"/>
      <c r="T1103" s="131"/>
      <c r="U1103" s="186">
        <f t="shared" si="265"/>
        <v>1399.3870585765271</v>
      </c>
      <c r="V1103" s="100">
        <f t="shared" si="271"/>
        <v>2.455065015046539</v>
      </c>
      <c r="W1103" s="101">
        <f t="shared" si="272"/>
        <v>0.35072357357807699</v>
      </c>
      <c r="X1103" s="95"/>
      <c r="Y1103" s="108"/>
      <c r="Z1103" s="102"/>
      <c r="AA1103" s="103">
        <v>45919</v>
      </c>
      <c r="AB1103" s="118">
        <v>45945</v>
      </c>
      <c r="AC1103" s="103"/>
      <c r="AD1103" s="104">
        <f>IF(ISNA(VLOOKUP(D1103,亚马逊入库配置费!B:F,5,0)),0,VLOOKUP(D1103,亚马逊入库配置费!B:F,5,0))</f>
        <v>0.40151515151515099</v>
      </c>
      <c r="AE1103" s="104">
        <f t="shared" si="266"/>
        <v>228.86363636363606</v>
      </c>
      <c r="AF1103" s="103">
        <v>45954</v>
      </c>
      <c r="AG1103" s="90">
        <f t="shared" si="267"/>
        <v>35</v>
      </c>
      <c r="AH1103" s="103">
        <v>45954</v>
      </c>
      <c r="AI1103" s="103">
        <v>46020</v>
      </c>
      <c r="AJ1103" s="96">
        <v>573</v>
      </c>
      <c r="AK1103" s="91">
        <f t="shared" si="268"/>
        <v>66</v>
      </c>
      <c r="AL1103" s="96">
        <f t="shared" si="270"/>
        <v>101</v>
      </c>
      <c r="AM1103" s="92"/>
      <c r="AN1103" s="91"/>
      <c r="AO1103" s="91"/>
    </row>
    <row r="1104" spans="1:41" ht="14.5" x14ac:dyDescent="0.25">
      <c r="A1104" s="110" t="s">
        <v>1896</v>
      </c>
      <c r="B1104" s="91"/>
      <c r="C1104" s="135" t="s">
        <v>1872</v>
      </c>
      <c r="D1104" s="187" t="s">
        <v>1895</v>
      </c>
      <c r="E1104" s="135" t="s">
        <v>97</v>
      </c>
      <c r="F1104" s="135" t="s">
        <v>0</v>
      </c>
      <c r="G1104" s="58" t="s">
        <v>1845</v>
      </c>
      <c r="H1104" s="135">
        <v>390</v>
      </c>
      <c r="I1104" s="191" t="s">
        <v>89</v>
      </c>
      <c r="J1104" s="182" t="s">
        <v>1365</v>
      </c>
      <c r="K1104" s="187" t="s">
        <v>10</v>
      </c>
      <c r="L1104" s="93" t="s">
        <v>1845</v>
      </c>
      <c r="M1104" s="94" t="s">
        <v>3453</v>
      </c>
      <c r="N1104" s="95" t="s">
        <v>2868</v>
      </c>
      <c r="O1104" s="155">
        <v>13</v>
      </c>
      <c r="P1104" s="97">
        <f t="shared" si="273"/>
        <v>197.28484848484848</v>
      </c>
      <c r="Q1104" s="155" t="s">
        <v>1443</v>
      </c>
      <c r="R1104" s="155">
        <v>4.8</v>
      </c>
      <c r="S1104" s="108"/>
      <c r="T1104" s="131"/>
      <c r="U1104" s="186">
        <f t="shared" si="265"/>
        <v>957.47535586815025</v>
      </c>
      <c r="V1104" s="100">
        <f t="shared" si="271"/>
        <v>2.455065015046539</v>
      </c>
      <c r="W1104" s="101">
        <f t="shared" si="272"/>
        <v>0.35072357357807699</v>
      </c>
      <c r="X1104" s="95"/>
      <c r="Y1104" s="108"/>
      <c r="Z1104" s="102"/>
      <c r="AA1104" s="103">
        <v>45919</v>
      </c>
      <c r="AB1104" s="118">
        <v>45945</v>
      </c>
      <c r="AC1104" s="103"/>
      <c r="AD1104" s="104">
        <f>IF(ISNA(VLOOKUP(D1104,亚马逊入库配置费!B:F,5,0)),0,VLOOKUP(D1104,亚马逊入库配置费!B:F,5,0))</f>
        <v>0.40151515151515099</v>
      </c>
      <c r="AE1104" s="104">
        <f t="shared" si="266"/>
        <v>156.59090909090889</v>
      </c>
      <c r="AF1104" s="103">
        <v>45954</v>
      </c>
      <c r="AG1104" s="90">
        <f t="shared" si="267"/>
        <v>35</v>
      </c>
      <c r="AH1104" s="103">
        <v>45954</v>
      </c>
      <c r="AI1104" s="103">
        <v>46020</v>
      </c>
      <c r="AJ1104" s="96">
        <v>390</v>
      </c>
      <c r="AK1104" s="91">
        <f t="shared" si="268"/>
        <v>66</v>
      </c>
      <c r="AL1104" s="96">
        <f t="shared" si="270"/>
        <v>101</v>
      </c>
      <c r="AM1104" s="92"/>
      <c r="AN1104" s="91"/>
      <c r="AO1104" s="91"/>
    </row>
    <row r="1105" spans="1:41" ht="14.5" x14ac:dyDescent="0.25">
      <c r="A1105" s="110" t="s">
        <v>1897</v>
      </c>
      <c r="B1105" s="91"/>
      <c r="C1105" s="135" t="s">
        <v>1872</v>
      </c>
      <c r="D1105" s="187" t="s">
        <v>1895</v>
      </c>
      <c r="E1105" s="135" t="s">
        <v>97</v>
      </c>
      <c r="F1105" s="135" t="s">
        <v>0</v>
      </c>
      <c r="G1105" s="58" t="s">
        <v>1195</v>
      </c>
      <c r="H1105" s="135">
        <v>450</v>
      </c>
      <c r="I1105" s="191" t="s">
        <v>89</v>
      </c>
      <c r="J1105" s="182" t="s">
        <v>1365</v>
      </c>
      <c r="K1105" s="187" t="s">
        <v>10</v>
      </c>
      <c r="L1105" s="93" t="s">
        <v>1195</v>
      </c>
      <c r="M1105" s="94" t="s">
        <v>3433</v>
      </c>
      <c r="N1105" s="95" t="s">
        <v>2870</v>
      </c>
      <c r="O1105" s="155">
        <v>15</v>
      </c>
      <c r="P1105" s="97">
        <f t="shared" si="273"/>
        <v>227.63636363636363</v>
      </c>
      <c r="Q1105" s="155" t="s">
        <v>1443</v>
      </c>
      <c r="R1105" s="155">
        <v>4.8</v>
      </c>
      <c r="S1105" s="108"/>
      <c r="T1105" s="131"/>
      <c r="U1105" s="186">
        <f t="shared" si="265"/>
        <v>1104.7792567709425</v>
      </c>
      <c r="V1105" s="100">
        <f t="shared" si="271"/>
        <v>2.455065015046539</v>
      </c>
      <c r="W1105" s="101">
        <f t="shared" si="272"/>
        <v>0.35072357357807699</v>
      </c>
      <c r="X1105" s="95"/>
      <c r="Y1105" s="108"/>
      <c r="Z1105" s="102"/>
      <c r="AA1105" s="103">
        <v>45919</v>
      </c>
      <c r="AB1105" s="118">
        <v>45945</v>
      </c>
      <c r="AC1105" s="103"/>
      <c r="AD1105" s="104">
        <f>IF(ISNA(VLOOKUP(D1105,亚马逊入库配置费!B:F,5,0)),0,VLOOKUP(D1105,亚马逊入库配置费!B:F,5,0))</f>
        <v>0.40151515151515099</v>
      </c>
      <c r="AE1105" s="104">
        <f t="shared" si="266"/>
        <v>180.68181818181796</v>
      </c>
      <c r="AF1105" s="103">
        <v>45954</v>
      </c>
      <c r="AG1105" s="90">
        <f t="shared" si="267"/>
        <v>35</v>
      </c>
      <c r="AH1105" s="103">
        <v>45954</v>
      </c>
      <c r="AI1105" s="103">
        <v>46020</v>
      </c>
      <c r="AJ1105" s="96">
        <v>450</v>
      </c>
      <c r="AK1105" s="91">
        <f t="shared" si="268"/>
        <v>66</v>
      </c>
      <c r="AL1105" s="96">
        <f t="shared" si="270"/>
        <v>101</v>
      </c>
      <c r="AM1105" s="92"/>
      <c r="AN1105" s="91"/>
      <c r="AO1105" s="91"/>
    </row>
    <row r="1106" spans="1:41" ht="14.5" x14ac:dyDescent="0.25">
      <c r="A1106" s="110" t="s">
        <v>1898</v>
      </c>
      <c r="B1106" s="91"/>
      <c r="C1106" s="135" t="s">
        <v>1872</v>
      </c>
      <c r="D1106" s="187" t="s">
        <v>1895</v>
      </c>
      <c r="E1106" s="135" t="s">
        <v>97</v>
      </c>
      <c r="F1106" s="135" t="s">
        <v>0</v>
      </c>
      <c r="G1106" s="58" t="s">
        <v>872</v>
      </c>
      <c r="H1106" s="135">
        <v>1200</v>
      </c>
      <c r="I1106" s="191" t="s">
        <v>89</v>
      </c>
      <c r="J1106" s="182" t="s">
        <v>1365</v>
      </c>
      <c r="K1106" s="187" t="s">
        <v>10</v>
      </c>
      <c r="L1106" s="93" t="s">
        <v>872</v>
      </c>
      <c r="M1106" s="94" t="s">
        <v>3399</v>
      </c>
      <c r="N1106" s="95" t="s">
        <v>2870</v>
      </c>
      <c r="O1106" s="155">
        <v>40</v>
      </c>
      <c r="P1106" s="97">
        <f t="shared" si="273"/>
        <v>607.030303030303</v>
      </c>
      <c r="Q1106" s="155" t="s">
        <v>1443</v>
      </c>
      <c r="R1106" s="155">
        <v>4.8</v>
      </c>
      <c r="S1106" s="108"/>
      <c r="T1106" s="131"/>
      <c r="U1106" s="186">
        <f t="shared" si="265"/>
        <v>2946.0780180558468</v>
      </c>
      <c r="V1106" s="100">
        <f t="shared" si="271"/>
        <v>2.455065015046539</v>
      </c>
      <c r="W1106" s="101">
        <f t="shared" si="272"/>
        <v>0.35072357357807699</v>
      </c>
      <c r="X1106" s="95"/>
      <c r="Y1106" s="108"/>
      <c r="Z1106" s="102"/>
      <c r="AA1106" s="103">
        <v>45919</v>
      </c>
      <c r="AB1106" s="118">
        <v>45945</v>
      </c>
      <c r="AC1106" s="103"/>
      <c r="AD1106" s="104">
        <f>IF(ISNA(VLOOKUP(D1106,亚马逊入库配置费!B:F,5,0)),0,VLOOKUP(D1106,亚马逊入库配置费!B:F,5,0))</f>
        <v>0.40151515151515099</v>
      </c>
      <c r="AE1106" s="104">
        <f t="shared" si="266"/>
        <v>481.81818181818119</v>
      </c>
      <c r="AF1106" s="103">
        <v>45954</v>
      </c>
      <c r="AG1106" s="90">
        <f t="shared" si="267"/>
        <v>35</v>
      </c>
      <c r="AH1106" s="103">
        <v>45954</v>
      </c>
      <c r="AI1106" s="103">
        <v>46020</v>
      </c>
      <c r="AJ1106" s="96">
        <v>1196</v>
      </c>
      <c r="AK1106" s="91">
        <f t="shared" si="268"/>
        <v>66</v>
      </c>
      <c r="AL1106" s="96">
        <f t="shared" si="270"/>
        <v>101</v>
      </c>
      <c r="AM1106" s="92"/>
      <c r="AN1106" s="91"/>
      <c r="AO1106" s="91"/>
    </row>
    <row r="1107" spans="1:41" ht="14.5" x14ac:dyDescent="0.25">
      <c r="A1107" s="110" t="s">
        <v>1899</v>
      </c>
      <c r="B1107" s="91"/>
      <c r="C1107" s="135" t="s">
        <v>1872</v>
      </c>
      <c r="D1107" s="187" t="s">
        <v>1895</v>
      </c>
      <c r="E1107" s="135" t="s">
        <v>97</v>
      </c>
      <c r="F1107" s="135" t="s">
        <v>0</v>
      </c>
      <c r="G1107" s="58" t="s">
        <v>1409</v>
      </c>
      <c r="H1107" s="135">
        <v>600</v>
      </c>
      <c r="I1107" s="191" t="s">
        <v>89</v>
      </c>
      <c r="J1107" s="182" t="s">
        <v>1365</v>
      </c>
      <c r="K1107" s="187" t="s">
        <v>10</v>
      </c>
      <c r="L1107" s="93" t="s">
        <v>1409</v>
      </c>
      <c r="M1107" s="94" t="s">
        <v>3446</v>
      </c>
      <c r="N1107" s="95" t="s">
        <v>2870</v>
      </c>
      <c r="O1107" s="155">
        <v>20</v>
      </c>
      <c r="P1107" s="97">
        <f t="shared" si="273"/>
        <v>303.5151515151515</v>
      </c>
      <c r="Q1107" s="155" t="s">
        <v>1443</v>
      </c>
      <c r="R1107" s="155">
        <v>4.8</v>
      </c>
      <c r="S1107" s="108"/>
      <c r="T1107" s="131"/>
      <c r="U1107" s="186">
        <f t="shared" si="265"/>
        <v>1473.0390090279234</v>
      </c>
      <c r="V1107" s="100">
        <f t="shared" si="271"/>
        <v>2.455065015046539</v>
      </c>
      <c r="W1107" s="101">
        <f t="shared" si="272"/>
        <v>0.35072357357807699</v>
      </c>
      <c r="X1107" s="95"/>
      <c r="Y1107" s="108"/>
      <c r="Z1107" s="102"/>
      <c r="AA1107" s="103">
        <v>45919</v>
      </c>
      <c r="AB1107" s="118">
        <v>45945</v>
      </c>
      <c r="AC1107" s="103"/>
      <c r="AD1107" s="104">
        <f>IF(ISNA(VLOOKUP(D1107,亚马逊入库配置费!B:F,5,0)),0,VLOOKUP(D1107,亚马逊入库配置费!B:F,5,0))</f>
        <v>0.40151515151515099</v>
      </c>
      <c r="AE1107" s="104">
        <f t="shared" si="266"/>
        <v>240.90909090909059</v>
      </c>
      <c r="AF1107" s="103">
        <v>45954</v>
      </c>
      <c r="AG1107" s="90">
        <f t="shared" si="267"/>
        <v>35</v>
      </c>
      <c r="AH1107" s="103">
        <v>45954</v>
      </c>
      <c r="AI1107" s="103">
        <v>46020</v>
      </c>
      <c r="AJ1107" s="96">
        <v>606</v>
      </c>
      <c r="AK1107" s="91">
        <f t="shared" si="268"/>
        <v>66</v>
      </c>
      <c r="AL1107" s="96">
        <f t="shared" si="270"/>
        <v>101</v>
      </c>
      <c r="AM1107" s="92"/>
      <c r="AN1107" s="91"/>
      <c r="AO1107" s="91"/>
    </row>
    <row r="1108" spans="1:41" ht="14.5" x14ac:dyDescent="0.25">
      <c r="A1108" s="110" t="s">
        <v>1900</v>
      </c>
      <c r="B1108" s="91"/>
      <c r="C1108" s="135" t="s">
        <v>1872</v>
      </c>
      <c r="D1108" s="187" t="s">
        <v>1895</v>
      </c>
      <c r="E1108" s="135" t="s">
        <v>97</v>
      </c>
      <c r="F1108" s="135" t="s">
        <v>0</v>
      </c>
      <c r="G1108" s="58" t="s">
        <v>1215</v>
      </c>
      <c r="H1108" s="135">
        <v>900</v>
      </c>
      <c r="I1108" s="191" t="s">
        <v>89</v>
      </c>
      <c r="J1108" s="182" t="s">
        <v>1365</v>
      </c>
      <c r="K1108" s="187" t="s">
        <v>10</v>
      </c>
      <c r="L1108" s="93" t="s">
        <v>3095</v>
      </c>
      <c r="M1108" s="94" t="s">
        <v>3436</v>
      </c>
      <c r="N1108" s="95" t="s">
        <v>2867</v>
      </c>
      <c r="O1108" s="155">
        <v>30</v>
      </c>
      <c r="P1108" s="97">
        <f t="shared" si="273"/>
        <v>455.27272727272725</v>
      </c>
      <c r="Q1108" s="155" t="s">
        <v>1443</v>
      </c>
      <c r="R1108" s="155">
        <v>4.8</v>
      </c>
      <c r="S1108" s="108"/>
      <c r="T1108" s="131"/>
      <c r="U1108" s="186">
        <f t="shared" si="265"/>
        <v>2209.5585135418851</v>
      </c>
      <c r="V1108" s="100">
        <f t="shared" si="271"/>
        <v>2.455065015046539</v>
      </c>
      <c r="W1108" s="101">
        <f t="shared" si="272"/>
        <v>0.35072357357807699</v>
      </c>
      <c r="X1108" s="95"/>
      <c r="Y1108" s="108"/>
      <c r="Z1108" s="102"/>
      <c r="AA1108" s="103">
        <v>45919</v>
      </c>
      <c r="AB1108" s="118">
        <v>45945</v>
      </c>
      <c r="AC1108" s="103"/>
      <c r="AD1108" s="104">
        <f>IF(ISNA(VLOOKUP(D1108,亚马逊入库配置费!B:F,5,0)),0,VLOOKUP(D1108,亚马逊入库配置费!B:F,5,0))</f>
        <v>0.40151515151515099</v>
      </c>
      <c r="AE1108" s="104">
        <f t="shared" si="266"/>
        <v>361.36363636363592</v>
      </c>
      <c r="AF1108" s="103">
        <v>45954</v>
      </c>
      <c r="AG1108" s="90">
        <f t="shared" si="267"/>
        <v>35</v>
      </c>
      <c r="AH1108" s="103">
        <v>45954</v>
      </c>
      <c r="AI1108" s="103">
        <v>46020</v>
      </c>
      <c r="AJ1108" s="96">
        <v>855</v>
      </c>
      <c r="AK1108" s="91">
        <f t="shared" si="268"/>
        <v>66</v>
      </c>
      <c r="AL1108" s="96">
        <f t="shared" si="270"/>
        <v>101</v>
      </c>
      <c r="AM1108" s="92"/>
      <c r="AN1108" s="91"/>
      <c r="AO1108" s="91"/>
    </row>
    <row r="1109" spans="1:41" ht="14.5" x14ac:dyDescent="0.25">
      <c r="A1109" s="110" t="s">
        <v>1901</v>
      </c>
      <c r="B1109" s="91"/>
      <c r="C1109" s="135" t="s">
        <v>1872</v>
      </c>
      <c r="D1109" s="187" t="s">
        <v>1895</v>
      </c>
      <c r="E1109" s="135" t="s">
        <v>97</v>
      </c>
      <c r="F1109" s="135" t="s">
        <v>0</v>
      </c>
      <c r="G1109" s="58" t="s">
        <v>1902</v>
      </c>
      <c r="H1109" s="135">
        <v>600</v>
      </c>
      <c r="I1109" s="191" t="s">
        <v>89</v>
      </c>
      <c r="J1109" s="182" t="s">
        <v>1365</v>
      </c>
      <c r="K1109" s="187" t="s">
        <v>10</v>
      </c>
      <c r="L1109" s="93" t="s">
        <v>1902</v>
      </c>
      <c r="M1109" s="94" t="s">
        <v>3457</v>
      </c>
      <c r="N1109" s="95" t="s">
        <v>2867</v>
      </c>
      <c r="O1109" s="155">
        <v>20</v>
      </c>
      <c r="P1109" s="97">
        <f t="shared" si="273"/>
        <v>303.5151515151515</v>
      </c>
      <c r="Q1109" s="155" t="s">
        <v>1443</v>
      </c>
      <c r="R1109" s="155">
        <v>4.8</v>
      </c>
      <c r="S1109" s="108"/>
      <c r="T1109" s="131"/>
      <c r="U1109" s="186">
        <f t="shared" si="265"/>
        <v>1473.0390090279234</v>
      </c>
      <c r="V1109" s="100">
        <f t="shared" si="271"/>
        <v>2.455065015046539</v>
      </c>
      <c r="W1109" s="101">
        <f t="shared" si="272"/>
        <v>0.35072357357807699</v>
      </c>
      <c r="X1109" s="95"/>
      <c r="Y1109" s="108"/>
      <c r="Z1109" s="102"/>
      <c r="AA1109" s="103">
        <v>45919</v>
      </c>
      <c r="AB1109" s="118">
        <v>45945</v>
      </c>
      <c r="AC1109" s="103"/>
      <c r="AD1109" s="104">
        <f>IF(ISNA(VLOOKUP(D1109,亚马逊入库配置费!B:F,5,0)),0,VLOOKUP(D1109,亚马逊入库配置费!B:F,5,0))</f>
        <v>0.40151515151515099</v>
      </c>
      <c r="AE1109" s="104">
        <f t="shared" si="266"/>
        <v>240.90909090909059</v>
      </c>
      <c r="AF1109" s="103">
        <v>45954</v>
      </c>
      <c r="AG1109" s="90">
        <f t="shared" si="267"/>
        <v>35</v>
      </c>
      <c r="AH1109" s="103">
        <v>45954</v>
      </c>
      <c r="AI1109" s="103">
        <v>46020</v>
      </c>
      <c r="AJ1109" s="96">
        <v>600</v>
      </c>
      <c r="AK1109" s="91">
        <f t="shared" si="268"/>
        <v>66</v>
      </c>
      <c r="AL1109" s="96">
        <f t="shared" si="270"/>
        <v>101</v>
      </c>
      <c r="AM1109" s="92"/>
      <c r="AN1109" s="91"/>
      <c r="AO1109" s="91"/>
    </row>
    <row r="1110" spans="1:41" ht="14.5" x14ac:dyDescent="0.25">
      <c r="A1110" s="110" t="s">
        <v>1903</v>
      </c>
      <c r="B1110" s="91"/>
      <c r="C1110" s="135" t="s">
        <v>1872</v>
      </c>
      <c r="D1110" s="187" t="s">
        <v>1895</v>
      </c>
      <c r="E1110" s="135" t="s">
        <v>97</v>
      </c>
      <c r="F1110" s="135" t="s">
        <v>0</v>
      </c>
      <c r="G1110" s="58" t="s">
        <v>878</v>
      </c>
      <c r="H1110" s="135">
        <v>240</v>
      </c>
      <c r="I1110" s="191" t="s">
        <v>89</v>
      </c>
      <c r="J1110" s="182" t="s">
        <v>1365</v>
      </c>
      <c r="K1110" s="184" t="s">
        <v>10</v>
      </c>
      <c r="L1110" s="93" t="s">
        <v>878</v>
      </c>
      <c r="M1110" s="94" t="s">
        <v>3401</v>
      </c>
      <c r="N1110" s="95" t="s">
        <v>2876</v>
      </c>
      <c r="O1110" s="155">
        <v>8</v>
      </c>
      <c r="P1110" s="97">
        <f t="shared" si="273"/>
        <v>121.40606060606061</v>
      </c>
      <c r="Q1110" s="155" t="s">
        <v>1443</v>
      </c>
      <c r="R1110" s="155">
        <v>4.8</v>
      </c>
      <c r="S1110" s="108"/>
      <c r="T1110" s="131"/>
      <c r="U1110" s="186">
        <f t="shared" si="265"/>
        <v>589.2156036111694</v>
      </c>
      <c r="V1110" s="100">
        <f t="shared" si="271"/>
        <v>2.455065015046539</v>
      </c>
      <c r="W1110" s="101">
        <f t="shared" si="272"/>
        <v>0.35072357357807699</v>
      </c>
      <c r="X1110" s="95"/>
      <c r="Y1110" s="108"/>
      <c r="Z1110" s="102"/>
      <c r="AA1110" s="103">
        <v>45919</v>
      </c>
      <c r="AB1110" s="118">
        <v>45945</v>
      </c>
      <c r="AC1110" s="103"/>
      <c r="AD1110" s="104">
        <f>IF(ISNA(VLOOKUP(D1110,亚马逊入库配置费!B:F,5,0)),0,VLOOKUP(D1110,亚马逊入库配置费!B:F,5,0))</f>
        <v>0.40151515151515099</v>
      </c>
      <c r="AE1110" s="104">
        <f t="shared" si="266"/>
        <v>96.363636363636232</v>
      </c>
      <c r="AF1110" s="103">
        <v>45954</v>
      </c>
      <c r="AG1110" s="90">
        <f t="shared" si="267"/>
        <v>35</v>
      </c>
      <c r="AH1110" s="103">
        <v>45954</v>
      </c>
      <c r="AI1110" s="103">
        <v>46020</v>
      </c>
      <c r="AJ1110" s="96">
        <v>240</v>
      </c>
      <c r="AK1110" s="91">
        <f t="shared" si="268"/>
        <v>66</v>
      </c>
      <c r="AL1110" s="96">
        <f t="shared" si="270"/>
        <v>101</v>
      </c>
      <c r="AM1110" s="92"/>
      <c r="AN1110" s="91"/>
      <c r="AO1110" s="91"/>
    </row>
    <row r="1111" spans="1:41" ht="14.5" x14ac:dyDescent="0.25">
      <c r="A1111" s="110" t="s">
        <v>1904</v>
      </c>
      <c r="B1111" s="91"/>
      <c r="C1111" s="119" t="s">
        <v>1905</v>
      </c>
      <c r="D1111" s="120" t="s">
        <v>1906</v>
      </c>
      <c r="E1111" s="135" t="s">
        <v>97</v>
      </c>
      <c r="F1111" s="135" t="s">
        <v>0</v>
      </c>
      <c r="G1111" s="58" t="s">
        <v>1330</v>
      </c>
      <c r="H1111" s="119">
        <v>360</v>
      </c>
      <c r="I1111" s="183" t="s">
        <v>89</v>
      </c>
      <c r="J1111" s="160" t="s">
        <v>1686</v>
      </c>
      <c r="K1111" s="127" t="s">
        <v>9</v>
      </c>
      <c r="L1111" s="93" t="s">
        <v>1330</v>
      </c>
      <c r="M1111" s="94" t="s">
        <v>3442</v>
      </c>
      <c r="N1111" s="95" t="s">
        <v>3099</v>
      </c>
      <c r="O1111" s="126">
        <v>30</v>
      </c>
      <c r="P1111" s="97">
        <f>872/60*O1111</f>
        <v>436</v>
      </c>
      <c r="Q1111" s="126" t="s">
        <v>1443</v>
      </c>
      <c r="R1111" s="126">
        <v>10.5</v>
      </c>
      <c r="S1111" s="108"/>
      <c r="T1111" s="131"/>
      <c r="U1111" s="157">
        <f>R1111*P1111+350/60*O1111</f>
        <v>4753</v>
      </c>
      <c r="V1111" s="100">
        <f t="shared" si="271"/>
        <v>13.202777777777778</v>
      </c>
      <c r="W1111" s="101">
        <f t="shared" si="272"/>
        <v>1.8861111111111111</v>
      </c>
      <c r="X1111" s="95"/>
      <c r="Y1111" s="108"/>
      <c r="Z1111" s="102"/>
      <c r="AA1111" s="103">
        <v>45919</v>
      </c>
      <c r="AB1111" s="118">
        <v>45935</v>
      </c>
      <c r="AC1111" s="103"/>
      <c r="AD1111" s="104">
        <f>IF(ISNA(VLOOKUP(D1111,亚马逊入库配置费!B:F,5,0)),0,VLOOKUP(D1111,亚马逊入库配置费!B:F,5,0))</f>
        <v>0.49</v>
      </c>
      <c r="AE1111" s="104">
        <f t="shared" si="266"/>
        <v>176.4</v>
      </c>
      <c r="AF1111" s="103">
        <v>45942</v>
      </c>
      <c r="AG1111" s="90">
        <f t="shared" si="267"/>
        <v>23</v>
      </c>
      <c r="AH1111" s="103">
        <v>45942</v>
      </c>
      <c r="AI1111" s="103">
        <v>45973</v>
      </c>
      <c r="AJ1111" s="96">
        <v>361</v>
      </c>
      <c r="AK1111" s="91">
        <f t="shared" si="268"/>
        <v>31</v>
      </c>
      <c r="AL1111" s="96">
        <f t="shared" si="270"/>
        <v>54</v>
      </c>
      <c r="AM1111" s="92"/>
      <c r="AN1111" s="91"/>
      <c r="AO1111" s="91"/>
    </row>
    <row r="1112" spans="1:41" ht="14.5" x14ac:dyDescent="0.25">
      <c r="A1112" s="110" t="s">
        <v>1907</v>
      </c>
      <c r="B1112" s="91"/>
      <c r="C1112" s="119" t="s">
        <v>1905</v>
      </c>
      <c r="D1112" s="120" t="s">
        <v>1906</v>
      </c>
      <c r="E1112" s="135" t="s">
        <v>97</v>
      </c>
      <c r="F1112" s="135" t="s">
        <v>0</v>
      </c>
      <c r="G1112" s="58" t="s">
        <v>1332</v>
      </c>
      <c r="H1112" s="119">
        <v>360</v>
      </c>
      <c r="I1112" s="183" t="s">
        <v>89</v>
      </c>
      <c r="J1112" s="160" t="s">
        <v>1365</v>
      </c>
      <c r="K1112" s="127" t="s">
        <v>9</v>
      </c>
      <c r="L1112" s="93" t="s">
        <v>1332</v>
      </c>
      <c r="M1112" s="94" t="s">
        <v>3443</v>
      </c>
      <c r="N1112" s="95" t="s">
        <v>3099</v>
      </c>
      <c r="O1112" s="126">
        <v>30</v>
      </c>
      <c r="P1112" s="97">
        <f>872/60*O1112</f>
        <v>436</v>
      </c>
      <c r="Q1112" s="126" t="s">
        <v>1443</v>
      </c>
      <c r="R1112" s="126">
        <v>10.5</v>
      </c>
      <c r="S1112" s="108"/>
      <c r="T1112" s="131"/>
      <c r="U1112" s="157">
        <f>R1112*P1112+350/60*O1112</f>
        <v>4753</v>
      </c>
      <c r="V1112" s="100">
        <f t="shared" si="271"/>
        <v>13.202777777777778</v>
      </c>
      <c r="W1112" s="101">
        <f t="shared" si="272"/>
        <v>1.8861111111111111</v>
      </c>
      <c r="X1112" s="95"/>
      <c r="Y1112" s="108"/>
      <c r="Z1112" s="102"/>
      <c r="AA1112" s="103">
        <v>45919</v>
      </c>
      <c r="AB1112" s="118">
        <v>45935</v>
      </c>
      <c r="AC1112" s="103"/>
      <c r="AD1112" s="104">
        <f>IF(ISNA(VLOOKUP(D1112,亚马逊入库配置费!B:F,5,0)),0,VLOOKUP(D1112,亚马逊入库配置费!B:F,5,0))</f>
        <v>0.49</v>
      </c>
      <c r="AE1112" s="104">
        <f t="shared" si="266"/>
        <v>176.4</v>
      </c>
      <c r="AF1112" s="103">
        <v>45942</v>
      </c>
      <c r="AG1112" s="90">
        <f t="shared" si="267"/>
        <v>23</v>
      </c>
      <c r="AH1112" s="103">
        <v>45942</v>
      </c>
      <c r="AI1112" s="103">
        <v>45973</v>
      </c>
      <c r="AJ1112" s="96">
        <v>376</v>
      </c>
      <c r="AK1112" s="91">
        <f t="shared" si="268"/>
        <v>31</v>
      </c>
      <c r="AL1112" s="96">
        <f t="shared" si="270"/>
        <v>54</v>
      </c>
      <c r="AM1112" s="92"/>
      <c r="AN1112" s="91"/>
      <c r="AO1112" s="91"/>
    </row>
    <row r="1113" spans="1:41" ht="14.5" x14ac:dyDescent="0.25">
      <c r="A1113" s="110" t="s">
        <v>1908</v>
      </c>
      <c r="B1113" s="91"/>
      <c r="C1113" s="119" t="s">
        <v>1909</v>
      </c>
      <c r="D1113" s="120" t="s">
        <v>1910</v>
      </c>
      <c r="E1113" s="135" t="s">
        <v>97</v>
      </c>
      <c r="F1113" s="135" t="s">
        <v>0</v>
      </c>
      <c r="G1113" s="58" t="s">
        <v>1330</v>
      </c>
      <c r="H1113" s="119">
        <v>336</v>
      </c>
      <c r="I1113" s="160" t="s">
        <v>1234</v>
      </c>
      <c r="J1113" s="160" t="s">
        <v>1365</v>
      </c>
      <c r="K1113" s="127" t="s">
        <v>10</v>
      </c>
      <c r="L1113" s="93" t="s">
        <v>1330</v>
      </c>
      <c r="M1113" s="94" t="s">
        <v>3442</v>
      </c>
      <c r="N1113" s="95" t="s">
        <v>3099</v>
      </c>
      <c r="O1113" s="126">
        <v>28</v>
      </c>
      <c r="P1113" s="97">
        <f>1210/84*O1113</f>
        <v>403.33333333333337</v>
      </c>
      <c r="Q1113" s="126" t="s">
        <v>1443</v>
      </c>
      <c r="R1113" s="126">
        <v>4.8</v>
      </c>
      <c r="S1113" s="108"/>
      <c r="T1113" s="131"/>
      <c r="U1113" s="157">
        <f>R1113*P1113+220/84*O1113</f>
        <v>2009.3333333333333</v>
      </c>
      <c r="V1113" s="100">
        <f t="shared" si="271"/>
        <v>5.9801587301587302</v>
      </c>
      <c r="W1113" s="101">
        <f t="shared" si="272"/>
        <v>0.85430839002267578</v>
      </c>
      <c r="X1113" s="95"/>
      <c r="Y1113" s="108"/>
      <c r="Z1113" s="102"/>
      <c r="AA1113" s="103">
        <v>45919</v>
      </c>
      <c r="AB1113" s="103">
        <v>45945</v>
      </c>
      <c r="AC1113" s="103"/>
      <c r="AD1113" s="104">
        <f>IF(ISNA(VLOOKUP(D1113,亚马逊入库配置费!B:F,5,0)),0,VLOOKUP(D1113,亚马逊入库配置费!B:F,5,0))</f>
        <v>0.49</v>
      </c>
      <c r="AE1113" s="104">
        <f t="shared" si="266"/>
        <v>164.64</v>
      </c>
      <c r="AF1113" s="103">
        <v>45957</v>
      </c>
      <c r="AG1113" s="90">
        <f t="shared" si="267"/>
        <v>38</v>
      </c>
      <c r="AH1113" s="103">
        <v>45957</v>
      </c>
      <c r="AI1113" s="103">
        <v>45990</v>
      </c>
      <c r="AJ1113" s="96">
        <v>336</v>
      </c>
      <c r="AK1113" s="91">
        <f t="shared" si="268"/>
        <v>33</v>
      </c>
      <c r="AL1113" s="96">
        <f t="shared" si="270"/>
        <v>71</v>
      </c>
      <c r="AM1113" s="92"/>
      <c r="AN1113" s="91"/>
      <c r="AO1113" s="91"/>
    </row>
    <row r="1114" spans="1:41" ht="14.5" x14ac:dyDescent="0.25">
      <c r="A1114" s="110" t="s">
        <v>1911</v>
      </c>
      <c r="B1114" s="91"/>
      <c r="C1114" s="119" t="s">
        <v>1909</v>
      </c>
      <c r="D1114" s="120" t="s">
        <v>1910</v>
      </c>
      <c r="E1114" s="135" t="s">
        <v>97</v>
      </c>
      <c r="F1114" s="135" t="s">
        <v>0</v>
      </c>
      <c r="G1114" s="58" t="s">
        <v>1332</v>
      </c>
      <c r="H1114" s="119">
        <v>72</v>
      </c>
      <c r="I1114" s="160" t="s">
        <v>1234</v>
      </c>
      <c r="J1114" s="160" t="s">
        <v>1365</v>
      </c>
      <c r="K1114" s="127" t="s">
        <v>10</v>
      </c>
      <c r="L1114" s="93" t="s">
        <v>1332</v>
      </c>
      <c r="M1114" s="94" t="s">
        <v>3443</v>
      </c>
      <c r="N1114" s="95" t="s">
        <v>3099</v>
      </c>
      <c r="O1114" s="126">
        <v>6</v>
      </c>
      <c r="P1114" s="97">
        <f>1210/84*O1114</f>
        <v>86.428571428571431</v>
      </c>
      <c r="Q1114" s="126" t="s">
        <v>1443</v>
      </c>
      <c r="R1114" s="126">
        <v>4.8</v>
      </c>
      <c r="S1114" s="108"/>
      <c r="T1114" s="131"/>
      <c r="U1114" s="157">
        <f>R1114*P1114+220/84*O1114</f>
        <v>430.57142857142856</v>
      </c>
      <c r="V1114" s="100">
        <f t="shared" si="271"/>
        <v>5.9801587301587302</v>
      </c>
      <c r="W1114" s="101">
        <f t="shared" si="272"/>
        <v>0.85430839002267578</v>
      </c>
      <c r="X1114" s="95"/>
      <c r="Y1114" s="108"/>
      <c r="Z1114" s="102"/>
      <c r="AA1114" s="103">
        <v>45919</v>
      </c>
      <c r="AB1114" s="103">
        <v>45945</v>
      </c>
      <c r="AC1114" s="103"/>
      <c r="AD1114" s="104">
        <f>IF(ISNA(VLOOKUP(D1114,亚马逊入库配置费!B:F,5,0)),0,VLOOKUP(D1114,亚马逊入库配置费!B:F,5,0))</f>
        <v>0.49</v>
      </c>
      <c r="AE1114" s="104">
        <f t="shared" si="266"/>
        <v>35.28</v>
      </c>
      <c r="AF1114" s="103">
        <v>45957</v>
      </c>
      <c r="AG1114" s="90">
        <f t="shared" si="267"/>
        <v>38</v>
      </c>
      <c r="AH1114" s="103">
        <v>45957</v>
      </c>
      <c r="AI1114" s="103">
        <v>45990</v>
      </c>
      <c r="AJ1114" s="96">
        <v>72</v>
      </c>
      <c r="AK1114" s="91">
        <f t="shared" si="268"/>
        <v>33</v>
      </c>
      <c r="AL1114" s="96">
        <f t="shared" si="270"/>
        <v>71</v>
      </c>
      <c r="AM1114" s="92"/>
      <c r="AN1114" s="91"/>
      <c r="AO1114" s="91"/>
    </row>
    <row r="1115" spans="1:41" ht="14.5" x14ac:dyDescent="0.25">
      <c r="A1115" s="110" t="s">
        <v>1912</v>
      </c>
      <c r="B1115" s="91"/>
      <c r="C1115" s="119" t="s">
        <v>1909</v>
      </c>
      <c r="D1115" s="120" t="s">
        <v>1910</v>
      </c>
      <c r="E1115" s="135" t="s">
        <v>97</v>
      </c>
      <c r="F1115" s="135" t="s">
        <v>0</v>
      </c>
      <c r="G1115" s="58" t="s">
        <v>88</v>
      </c>
      <c r="H1115" s="119">
        <v>600</v>
      </c>
      <c r="I1115" s="160" t="s">
        <v>1234</v>
      </c>
      <c r="J1115" s="160" t="s">
        <v>1365</v>
      </c>
      <c r="K1115" s="127" t="s">
        <v>10</v>
      </c>
      <c r="L1115" s="93" t="s">
        <v>3014</v>
      </c>
      <c r="M1115" s="94" t="s">
        <v>3286</v>
      </c>
      <c r="N1115" s="95" t="s">
        <v>2821</v>
      </c>
      <c r="O1115" s="126">
        <v>50</v>
      </c>
      <c r="P1115" s="97">
        <f>1210/84*O1115</f>
        <v>720.2380952380953</v>
      </c>
      <c r="Q1115" s="126" t="s">
        <v>1443</v>
      </c>
      <c r="R1115" s="126">
        <v>4.8</v>
      </c>
      <c r="S1115" s="108"/>
      <c r="T1115" s="131"/>
      <c r="U1115" s="157">
        <f>R1115*P1115+220/84*O1115</f>
        <v>3588.0952380952385</v>
      </c>
      <c r="V1115" s="100">
        <f t="shared" si="271"/>
        <v>5.9801587301587311</v>
      </c>
      <c r="W1115" s="101">
        <f t="shared" si="272"/>
        <v>0.85430839002267589</v>
      </c>
      <c r="X1115" s="95"/>
      <c r="Y1115" s="108"/>
      <c r="Z1115" s="102"/>
      <c r="AA1115" s="103">
        <v>45919</v>
      </c>
      <c r="AB1115" s="103">
        <v>45945</v>
      </c>
      <c r="AC1115" s="103"/>
      <c r="AD1115" s="104">
        <f>IF(ISNA(VLOOKUP(D1115,亚马逊入库配置费!B:F,5,0)),0,VLOOKUP(D1115,亚马逊入库配置费!B:F,5,0))</f>
        <v>0.49</v>
      </c>
      <c r="AE1115" s="104">
        <f t="shared" si="266"/>
        <v>294</v>
      </c>
      <c r="AF1115" s="103">
        <v>45957</v>
      </c>
      <c r="AG1115" s="90">
        <f t="shared" si="267"/>
        <v>38</v>
      </c>
      <c r="AH1115" s="103">
        <v>45957</v>
      </c>
      <c r="AI1115" s="103">
        <v>45990</v>
      </c>
      <c r="AJ1115" s="96">
        <v>603</v>
      </c>
      <c r="AK1115" s="91">
        <f t="shared" si="268"/>
        <v>33</v>
      </c>
      <c r="AL1115" s="96">
        <f t="shared" si="270"/>
        <v>71</v>
      </c>
      <c r="AM1115" s="92"/>
      <c r="AN1115" s="91"/>
      <c r="AO1115" s="91"/>
    </row>
    <row r="1116" spans="1:41" ht="14.5" x14ac:dyDescent="0.25">
      <c r="A1116" s="110" t="s">
        <v>1913</v>
      </c>
      <c r="B1116" s="91"/>
      <c r="C1116" s="119" t="s">
        <v>303</v>
      </c>
      <c r="D1116" s="120" t="s">
        <v>1914</v>
      </c>
      <c r="E1116" s="135" t="s">
        <v>97</v>
      </c>
      <c r="F1116" s="135" t="s">
        <v>0</v>
      </c>
      <c r="G1116" s="58" t="s">
        <v>1054</v>
      </c>
      <c r="H1116" s="119">
        <v>180</v>
      </c>
      <c r="I1116" s="160" t="s">
        <v>1234</v>
      </c>
      <c r="J1116" s="160" t="s">
        <v>1365</v>
      </c>
      <c r="K1116" s="127" t="s">
        <v>9</v>
      </c>
      <c r="L1116" s="93" t="s">
        <v>3090</v>
      </c>
      <c r="M1116" s="94" t="s">
        <v>3424</v>
      </c>
      <c r="N1116" s="95" t="s">
        <v>3042</v>
      </c>
      <c r="O1116" s="126">
        <v>2</v>
      </c>
      <c r="P1116" s="97">
        <f>1/16*O1116</f>
        <v>0.125</v>
      </c>
      <c r="Q1116" s="160" t="s">
        <v>3430</v>
      </c>
      <c r="R1116" s="126">
        <v>1140</v>
      </c>
      <c r="S1116" s="108"/>
      <c r="T1116" s="131">
        <v>0</v>
      </c>
      <c r="U1116" s="157">
        <f t="shared" ref="U1116:U1129" si="274">R1116*P1116</f>
        <v>142.5</v>
      </c>
      <c r="V1116" s="100">
        <f t="shared" si="271"/>
        <v>0.79166666666666663</v>
      </c>
      <c r="W1116" s="101">
        <f t="shared" si="272"/>
        <v>0.1130952380952381</v>
      </c>
      <c r="X1116" s="95"/>
      <c r="Y1116" s="108"/>
      <c r="Z1116" s="102"/>
      <c r="AA1116" s="103">
        <v>45919</v>
      </c>
      <c r="AB1116" s="103">
        <v>45938</v>
      </c>
      <c r="AC1116" s="103"/>
      <c r="AD1116" s="104">
        <f>IF(ISNA(VLOOKUP(D1116,亚马逊入库配置费!B:F,5,0)),0,VLOOKUP(D1116,亚马逊入库配置费!B:F,5,0))</f>
        <v>0.35555555555555601</v>
      </c>
      <c r="AE1116" s="104">
        <f t="shared" si="266"/>
        <v>64.000000000000085</v>
      </c>
      <c r="AF1116" s="103">
        <v>45958</v>
      </c>
      <c r="AG1116" s="90">
        <f t="shared" si="267"/>
        <v>39</v>
      </c>
      <c r="AH1116" s="103">
        <v>45958</v>
      </c>
      <c r="AI1116" s="103">
        <v>45987</v>
      </c>
      <c r="AJ1116" s="96">
        <v>180</v>
      </c>
      <c r="AK1116" s="91">
        <f t="shared" si="268"/>
        <v>29</v>
      </c>
      <c r="AL1116" s="96">
        <f t="shared" si="270"/>
        <v>68</v>
      </c>
      <c r="AM1116" s="92"/>
      <c r="AN1116" s="91"/>
      <c r="AO1116" s="91"/>
    </row>
    <row r="1117" spans="1:41" ht="14.5" x14ac:dyDescent="0.25">
      <c r="A1117" s="110" t="s">
        <v>1915</v>
      </c>
      <c r="B1117" s="91"/>
      <c r="C1117" s="119" t="s">
        <v>303</v>
      </c>
      <c r="D1117" s="120" t="s">
        <v>1914</v>
      </c>
      <c r="E1117" s="135" t="s">
        <v>97</v>
      </c>
      <c r="F1117" s="135" t="s">
        <v>0</v>
      </c>
      <c r="G1117" s="58" t="s">
        <v>1312</v>
      </c>
      <c r="H1117" s="119">
        <v>180</v>
      </c>
      <c r="I1117" s="160" t="s">
        <v>1234</v>
      </c>
      <c r="J1117" s="160" t="s">
        <v>1365</v>
      </c>
      <c r="K1117" s="127" t="s">
        <v>9</v>
      </c>
      <c r="L1117" s="93" t="s">
        <v>1312</v>
      </c>
      <c r="M1117" s="94" t="s">
        <v>3441</v>
      </c>
      <c r="N1117" s="95" t="s">
        <v>3042</v>
      </c>
      <c r="O1117" s="126">
        <v>9</v>
      </c>
      <c r="P1117" s="97">
        <f>1/16*O1117</f>
        <v>0.5625</v>
      </c>
      <c r="Q1117" s="160" t="s">
        <v>3430</v>
      </c>
      <c r="R1117" s="126">
        <v>1140</v>
      </c>
      <c r="S1117" s="108"/>
      <c r="T1117" s="131">
        <v>0</v>
      </c>
      <c r="U1117" s="157">
        <f t="shared" si="274"/>
        <v>641.25</v>
      </c>
      <c r="V1117" s="100">
        <f t="shared" si="271"/>
        <v>3.5625</v>
      </c>
      <c r="W1117" s="101">
        <f t="shared" si="272"/>
        <v>0.5089285714285714</v>
      </c>
      <c r="X1117" s="95"/>
      <c r="Y1117" s="108"/>
      <c r="Z1117" s="102"/>
      <c r="AA1117" s="103">
        <v>45919</v>
      </c>
      <c r="AB1117" s="103">
        <v>45938</v>
      </c>
      <c r="AC1117" s="103"/>
      <c r="AD1117" s="104">
        <f>IF(ISNA(VLOOKUP(D1117,亚马逊入库配置费!B:F,5,0)),0,VLOOKUP(D1117,亚马逊入库配置费!B:F,5,0))</f>
        <v>0.35555555555555601</v>
      </c>
      <c r="AE1117" s="104">
        <f t="shared" si="266"/>
        <v>64.000000000000085</v>
      </c>
      <c r="AF1117" s="103">
        <v>45958</v>
      </c>
      <c r="AG1117" s="90">
        <f t="shared" si="267"/>
        <v>39</v>
      </c>
      <c r="AH1117" s="103">
        <v>45958</v>
      </c>
      <c r="AI1117" s="103">
        <v>45987</v>
      </c>
      <c r="AJ1117" s="96">
        <v>178</v>
      </c>
      <c r="AK1117" s="91">
        <f t="shared" si="268"/>
        <v>29</v>
      </c>
      <c r="AL1117" s="96">
        <f t="shared" si="270"/>
        <v>68</v>
      </c>
      <c r="AM1117" s="92"/>
      <c r="AN1117" s="91"/>
      <c r="AO1117" s="91"/>
    </row>
    <row r="1118" spans="1:41" ht="14.5" x14ac:dyDescent="0.25">
      <c r="A1118" s="110" t="s">
        <v>1916</v>
      </c>
      <c r="B1118" s="91"/>
      <c r="C1118" s="119" t="s">
        <v>303</v>
      </c>
      <c r="D1118" s="120" t="s">
        <v>1914</v>
      </c>
      <c r="E1118" s="135" t="s">
        <v>97</v>
      </c>
      <c r="F1118" s="135" t="s">
        <v>0</v>
      </c>
      <c r="G1118" s="58" t="s">
        <v>1059</v>
      </c>
      <c r="H1118" s="119">
        <v>180</v>
      </c>
      <c r="I1118" s="160" t="s">
        <v>1234</v>
      </c>
      <c r="J1118" s="160" t="s">
        <v>1365</v>
      </c>
      <c r="K1118" s="127" t="s">
        <v>9</v>
      </c>
      <c r="L1118" s="93" t="s">
        <v>3092</v>
      </c>
      <c r="M1118" s="94" t="s">
        <v>3426</v>
      </c>
      <c r="N1118" s="95" t="s">
        <v>3042</v>
      </c>
      <c r="O1118" s="126">
        <v>2</v>
      </c>
      <c r="P1118" s="97">
        <f>1/16*O1118</f>
        <v>0.125</v>
      </c>
      <c r="Q1118" s="160" t="s">
        <v>3430</v>
      </c>
      <c r="R1118" s="126">
        <v>1140</v>
      </c>
      <c r="S1118" s="108"/>
      <c r="T1118" s="131">
        <v>0</v>
      </c>
      <c r="U1118" s="157">
        <f t="shared" si="274"/>
        <v>142.5</v>
      </c>
      <c r="V1118" s="100">
        <f t="shared" si="271"/>
        <v>0.79166666666666663</v>
      </c>
      <c r="W1118" s="101">
        <f t="shared" si="272"/>
        <v>0.1130952380952381</v>
      </c>
      <c r="X1118" s="95"/>
      <c r="Y1118" s="108"/>
      <c r="Z1118" s="102"/>
      <c r="AA1118" s="103">
        <v>45919</v>
      </c>
      <c r="AB1118" s="103">
        <v>45938</v>
      </c>
      <c r="AC1118" s="103"/>
      <c r="AD1118" s="104">
        <f>IF(ISNA(VLOOKUP(D1118,亚马逊入库配置费!B:F,5,0)),0,VLOOKUP(D1118,亚马逊入库配置费!B:F,5,0))</f>
        <v>0.35555555555555601</v>
      </c>
      <c r="AE1118" s="104">
        <f t="shared" si="266"/>
        <v>64.000000000000085</v>
      </c>
      <c r="AF1118" s="103">
        <v>45958</v>
      </c>
      <c r="AG1118" s="90">
        <f t="shared" si="267"/>
        <v>39</v>
      </c>
      <c r="AH1118" s="103">
        <v>45958</v>
      </c>
      <c r="AI1118" s="103">
        <v>45987</v>
      </c>
      <c r="AJ1118" s="96">
        <v>181</v>
      </c>
      <c r="AK1118" s="91">
        <f t="shared" si="268"/>
        <v>29</v>
      </c>
      <c r="AL1118" s="96">
        <f t="shared" si="270"/>
        <v>68</v>
      </c>
      <c r="AM1118" s="92"/>
      <c r="AN1118" s="91"/>
      <c r="AO1118" s="91"/>
    </row>
    <row r="1119" spans="1:41" ht="14.5" x14ac:dyDescent="0.25">
      <c r="A1119" s="110" t="s">
        <v>1917</v>
      </c>
      <c r="B1119" s="91"/>
      <c r="C1119" s="119" t="s">
        <v>303</v>
      </c>
      <c r="D1119" s="120" t="s">
        <v>1914</v>
      </c>
      <c r="E1119" s="135" t="s">
        <v>97</v>
      </c>
      <c r="F1119" s="135" t="s">
        <v>0</v>
      </c>
      <c r="G1119" s="58" t="s">
        <v>1061</v>
      </c>
      <c r="H1119" s="119">
        <v>270</v>
      </c>
      <c r="I1119" s="160" t="s">
        <v>1234</v>
      </c>
      <c r="J1119" s="160" t="s">
        <v>1365</v>
      </c>
      <c r="K1119" s="127" t="s">
        <v>9</v>
      </c>
      <c r="L1119" s="93" t="s">
        <v>3093</v>
      </c>
      <c r="M1119" s="94" t="s">
        <v>3427</v>
      </c>
      <c r="N1119" s="95" t="s">
        <v>3042</v>
      </c>
      <c r="O1119" s="126">
        <v>3</v>
      </c>
      <c r="P1119" s="97">
        <f>1/16*O1119</f>
        <v>0.1875</v>
      </c>
      <c r="Q1119" s="160" t="s">
        <v>3430</v>
      </c>
      <c r="R1119" s="126">
        <v>1140</v>
      </c>
      <c r="S1119" s="108"/>
      <c r="T1119" s="131">
        <v>0</v>
      </c>
      <c r="U1119" s="157">
        <f t="shared" si="274"/>
        <v>213.75</v>
      </c>
      <c r="V1119" s="100">
        <f t="shared" si="271"/>
        <v>0.79166666666666663</v>
      </c>
      <c r="W1119" s="101">
        <f t="shared" si="272"/>
        <v>0.1130952380952381</v>
      </c>
      <c r="X1119" s="95"/>
      <c r="Y1119" s="108"/>
      <c r="Z1119" s="102"/>
      <c r="AA1119" s="103">
        <v>45919</v>
      </c>
      <c r="AB1119" s="103">
        <v>45938</v>
      </c>
      <c r="AC1119" s="103"/>
      <c r="AD1119" s="104">
        <f>IF(ISNA(VLOOKUP(D1119,亚马逊入库配置费!B:F,5,0)),0,VLOOKUP(D1119,亚马逊入库配置费!B:F,5,0))</f>
        <v>0.35555555555555601</v>
      </c>
      <c r="AE1119" s="104">
        <f t="shared" si="266"/>
        <v>96.000000000000128</v>
      </c>
      <c r="AF1119" s="103">
        <v>45958</v>
      </c>
      <c r="AG1119" s="90">
        <f t="shared" si="267"/>
        <v>39</v>
      </c>
      <c r="AH1119" s="103">
        <v>45958</v>
      </c>
      <c r="AI1119" s="103">
        <v>45987</v>
      </c>
      <c r="AJ1119" s="96">
        <v>268</v>
      </c>
      <c r="AK1119" s="91">
        <f t="shared" si="268"/>
        <v>29</v>
      </c>
      <c r="AL1119" s="96">
        <f t="shared" si="270"/>
        <v>68</v>
      </c>
      <c r="AM1119" s="92"/>
      <c r="AN1119" s="91"/>
      <c r="AO1119" s="91"/>
    </row>
    <row r="1120" spans="1:41" ht="14.5" x14ac:dyDescent="0.25">
      <c r="A1120" s="92" t="s">
        <v>1918</v>
      </c>
      <c r="B1120" s="91"/>
      <c r="C1120" s="180" t="s">
        <v>303</v>
      </c>
      <c r="D1120" s="177" t="s">
        <v>1919</v>
      </c>
      <c r="E1120" s="178" t="s">
        <v>97</v>
      </c>
      <c r="F1120" s="178" t="s">
        <v>0</v>
      </c>
      <c r="G1120" s="179" t="s">
        <v>316</v>
      </c>
      <c r="H1120" s="160">
        <v>720</v>
      </c>
      <c r="I1120" s="160" t="s">
        <v>1313</v>
      </c>
      <c r="J1120" s="126" t="s">
        <v>6</v>
      </c>
      <c r="K1120" s="177" t="s">
        <v>9</v>
      </c>
      <c r="L1120" s="93" t="s">
        <v>3046</v>
      </c>
      <c r="M1120" s="94" t="s">
        <v>3333</v>
      </c>
      <c r="N1120" s="95" t="s">
        <v>3042</v>
      </c>
      <c r="O1120" s="171">
        <v>8</v>
      </c>
      <c r="P1120" s="97">
        <f>157/8*O1120</f>
        <v>157</v>
      </c>
      <c r="Q1120" s="165" t="s">
        <v>1443</v>
      </c>
      <c r="R1120" s="174">
        <v>11.6</v>
      </c>
      <c r="S1120" s="175"/>
      <c r="T1120" s="131">
        <v>0</v>
      </c>
      <c r="U1120" s="157">
        <f t="shared" si="274"/>
        <v>1821.2</v>
      </c>
      <c r="V1120" s="113">
        <f t="shared" si="271"/>
        <v>2.5294444444444446</v>
      </c>
      <c r="W1120" s="114">
        <f t="shared" si="272"/>
        <v>0.36134920634920636</v>
      </c>
      <c r="X1120" s="175"/>
      <c r="Y1120" s="175"/>
      <c r="Z1120" s="102"/>
      <c r="AA1120" s="103">
        <v>45929</v>
      </c>
      <c r="AB1120" s="103">
        <v>45943</v>
      </c>
      <c r="AC1120" s="103"/>
      <c r="AD1120" s="102">
        <f>IF(ISNA(VLOOKUP(D1120,亚马逊入库配置费!B:F,5,0)),0,VLOOKUP(D1120,亚马逊入库配置费!B:F,5,0))</f>
        <v>0.34</v>
      </c>
      <c r="AE1120" s="102">
        <f t="shared" si="266"/>
        <v>244.8</v>
      </c>
      <c r="AF1120" s="103">
        <v>45955</v>
      </c>
      <c r="AG1120" s="91">
        <f t="shared" si="267"/>
        <v>26</v>
      </c>
      <c r="AH1120" s="103">
        <v>45955</v>
      </c>
      <c r="AI1120" s="103">
        <v>45985</v>
      </c>
      <c r="AJ1120" s="96">
        <v>712</v>
      </c>
      <c r="AK1120" s="91">
        <f t="shared" si="268"/>
        <v>30</v>
      </c>
      <c r="AL1120" s="96">
        <f t="shared" si="270"/>
        <v>56</v>
      </c>
      <c r="AM1120" s="92"/>
      <c r="AN1120" s="91"/>
      <c r="AO1120" s="91"/>
    </row>
    <row r="1121" spans="1:41" ht="14.5" x14ac:dyDescent="0.25">
      <c r="A1121" s="110" t="s">
        <v>1920</v>
      </c>
      <c r="B1121" s="91"/>
      <c r="C1121" s="135" t="s">
        <v>303</v>
      </c>
      <c r="D1121" s="187" t="s">
        <v>1921</v>
      </c>
      <c r="E1121" s="135" t="s">
        <v>97</v>
      </c>
      <c r="F1121" s="135" t="s">
        <v>0</v>
      </c>
      <c r="G1121" s="58" t="s">
        <v>316</v>
      </c>
      <c r="H1121" s="135">
        <v>1530</v>
      </c>
      <c r="I1121" s="135" t="s">
        <v>1767</v>
      </c>
      <c r="J1121" s="182" t="s">
        <v>1365</v>
      </c>
      <c r="K1121" s="187" t="s">
        <v>15</v>
      </c>
      <c r="L1121" s="93" t="s">
        <v>3046</v>
      </c>
      <c r="M1121" s="94" t="s">
        <v>3333</v>
      </c>
      <c r="N1121" s="95" t="s">
        <v>3042</v>
      </c>
      <c r="O1121" s="189">
        <v>17</v>
      </c>
      <c r="P1121" s="97">
        <f>1.83/39*O1121</f>
        <v>0.7976923076923077</v>
      </c>
      <c r="Q1121" s="182" t="s">
        <v>3430</v>
      </c>
      <c r="R1121" s="135">
        <v>1130</v>
      </c>
      <c r="S1121" s="95"/>
      <c r="T1121" s="98">
        <v>0</v>
      </c>
      <c r="U1121" s="186">
        <f t="shared" si="274"/>
        <v>901.39230769230767</v>
      </c>
      <c r="V1121" s="100">
        <f t="shared" si="271"/>
        <v>0.58914529914529912</v>
      </c>
      <c r="W1121" s="101">
        <f t="shared" si="272"/>
        <v>8.4163614163614162E-2</v>
      </c>
      <c r="X1121" s="95"/>
      <c r="Y1121" s="95"/>
      <c r="Z1121" s="102"/>
      <c r="AA1121" s="103">
        <v>45929</v>
      </c>
      <c r="AB1121" s="103">
        <v>45944</v>
      </c>
      <c r="AC1121" s="103"/>
      <c r="AD1121" s="104">
        <f>IF(ISNA(VLOOKUP(D1121,亚马逊入库配置费!B:F,5,0)),0,VLOOKUP(D1121,亚马逊入库配置费!B:F,5,0))</f>
        <v>0.38623229461756398</v>
      </c>
      <c r="AE1121" s="104">
        <f t="shared" si="266"/>
        <v>590.93541076487293</v>
      </c>
      <c r="AF1121" s="103">
        <v>45958</v>
      </c>
      <c r="AG1121" s="90">
        <f t="shared" si="267"/>
        <v>29</v>
      </c>
      <c r="AH1121" s="103">
        <v>45958</v>
      </c>
      <c r="AI1121" s="103">
        <v>46022</v>
      </c>
      <c r="AJ1121" s="96">
        <v>1530</v>
      </c>
      <c r="AK1121" s="91">
        <f t="shared" si="268"/>
        <v>64</v>
      </c>
      <c r="AL1121" s="96">
        <f t="shared" si="270"/>
        <v>93</v>
      </c>
      <c r="AM1121" s="92"/>
      <c r="AN1121" s="91"/>
      <c r="AO1121" s="91"/>
    </row>
    <row r="1122" spans="1:41" ht="14.5" x14ac:dyDescent="0.25">
      <c r="A1122" s="110" t="s">
        <v>1922</v>
      </c>
      <c r="B1122" s="91"/>
      <c r="C1122" s="135" t="s">
        <v>303</v>
      </c>
      <c r="D1122" s="187" t="s">
        <v>1921</v>
      </c>
      <c r="E1122" s="135" t="s">
        <v>97</v>
      </c>
      <c r="F1122" s="135" t="s">
        <v>0</v>
      </c>
      <c r="G1122" s="58" t="s">
        <v>1057</v>
      </c>
      <c r="H1122" s="135">
        <v>90</v>
      </c>
      <c r="I1122" s="135" t="s">
        <v>1767</v>
      </c>
      <c r="J1122" s="182" t="s">
        <v>1365</v>
      </c>
      <c r="K1122" s="187" t="s">
        <v>15</v>
      </c>
      <c r="L1122" s="93" t="s">
        <v>3091</v>
      </c>
      <c r="M1122" s="94" t="s">
        <v>3425</v>
      </c>
      <c r="N1122" s="95" t="s">
        <v>3042</v>
      </c>
      <c r="O1122" s="189">
        <v>1</v>
      </c>
      <c r="P1122" s="97">
        <f t="shared" ref="P1122:P1129" si="275">1.83/39*O1122</f>
        <v>4.6923076923076922E-2</v>
      </c>
      <c r="Q1122" s="182" t="s">
        <v>3430</v>
      </c>
      <c r="R1122" s="135">
        <v>1130</v>
      </c>
      <c r="S1122" s="95"/>
      <c r="T1122" s="98">
        <v>0</v>
      </c>
      <c r="U1122" s="186">
        <f t="shared" si="274"/>
        <v>53.023076923076921</v>
      </c>
      <c r="V1122" s="100">
        <f t="shared" si="271"/>
        <v>0.58914529914529912</v>
      </c>
      <c r="W1122" s="101">
        <f t="shared" si="272"/>
        <v>8.4163614163614162E-2</v>
      </c>
      <c r="X1122" s="95"/>
      <c r="Y1122" s="95"/>
      <c r="Z1122" s="102"/>
      <c r="AA1122" s="103">
        <v>45929</v>
      </c>
      <c r="AB1122" s="103">
        <v>45944</v>
      </c>
      <c r="AC1122" s="103"/>
      <c r="AD1122" s="104">
        <f>IF(ISNA(VLOOKUP(D1122,亚马逊入库配置费!B:F,5,0)),0,VLOOKUP(D1122,亚马逊入库配置费!B:F,5,0))</f>
        <v>0.38623229461756398</v>
      </c>
      <c r="AE1122" s="104">
        <f t="shared" si="266"/>
        <v>34.760906515580757</v>
      </c>
      <c r="AF1122" s="103">
        <v>45958</v>
      </c>
      <c r="AG1122" s="90">
        <f t="shared" si="267"/>
        <v>29</v>
      </c>
      <c r="AH1122" s="103">
        <v>45958</v>
      </c>
      <c r="AI1122" s="103">
        <v>46022</v>
      </c>
      <c r="AJ1122" s="96">
        <v>90</v>
      </c>
      <c r="AK1122" s="91">
        <f t="shared" si="268"/>
        <v>64</v>
      </c>
      <c r="AL1122" s="96">
        <f t="shared" si="270"/>
        <v>93</v>
      </c>
      <c r="AM1122" s="92"/>
      <c r="AN1122" s="91"/>
      <c r="AO1122" s="91"/>
    </row>
    <row r="1123" spans="1:41" ht="14.5" x14ac:dyDescent="0.25">
      <c r="A1123" s="110" t="s">
        <v>1923</v>
      </c>
      <c r="B1123" s="91"/>
      <c r="C1123" s="135" t="s">
        <v>303</v>
      </c>
      <c r="D1123" s="187" t="s">
        <v>1921</v>
      </c>
      <c r="E1123" s="135" t="s">
        <v>97</v>
      </c>
      <c r="F1123" s="135" t="s">
        <v>0</v>
      </c>
      <c r="G1123" s="58" t="s">
        <v>650</v>
      </c>
      <c r="H1123" s="135">
        <v>180</v>
      </c>
      <c r="I1123" s="135" t="s">
        <v>1767</v>
      </c>
      <c r="J1123" s="182" t="s">
        <v>1365</v>
      </c>
      <c r="K1123" s="187" t="s">
        <v>15</v>
      </c>
      <c r="L1123" s="93" t="s">
        <v>3078</v>
      </c>
      <c r="M1123" s="94" t="s">
        <v>3381</v>
      </c>
      <c r="N1123" s="95" t="s">
        <v>3042</v>
      </c>
      <c r="O1123" s="189">
        <v>2</v>
      </c>
      <c r="P1123" s="97">
        <f t="shared" si="275"/>
        <v>9.3846153846153843E-2</v>
      </c>
      <c r="Q1123" s="182" t="s">
        <v>3430</v>
      </c>
      <c r="R1123" s="135">
        <v>1130</v>
      </c>
      <c r="S1123" s="95"/>
      <c r="T1123" s="98">
        <v>0</v>
      </c>
      <c r="U1123" s="186">
        <f t="shared" si="274"/>
        <v>106.04615384615384</v>
      </c>
      <c r="V1123" s="100">
        <f t="shared" si="271"/>
        <v>0.58914529914529912</v>
      </c>
      <c r="W1123" s="101">
        <f t="shared" si="272"/>
        <v>8.4163614163614162E-2</v>
      </c>
      <c r="X1123" s="95"/>
      <c r="Y1123" s="95"/>
      <c r="Z1123" s="102"/>
      <c r="AA1123" s="103">
        <v>45929</v>
      </c>
      <c r="AB1123" s="103">
        <v>45944</v>
      </c>
      <c r="AC1123" s="103"/>
      <c r="AD1123" s="104">
        <f>IF(ISNA(VLOOKUP(D1123,亚马逊入库配置费!B:F,5,0)),0,VLOOKUP(D1123,亚马逊入库配置费!B:F,5,0))</f>
        <v>0.38623229461756398</v>
      </c>
      <c r="AE1123" s="104">
        <f t="shared" si="266"/>
        <v>69.521813031161514</v>
      </c>
      <c r="AF1123" s="103">
        <v>45958</v>
      </c>
      <c r="AG1123" s="90">
        <f t="shared" si="267"/>
        <v>29</v>
      </c>
      <c r="AH1123" s="103">
        <v>45958</v>
      </c>
      <c r="AI1123" s="103">
        <v>46022</v>
      </c>
      <c r="AJ1123" s="96">
        <v>384</v>
      </c>
      <c r="AK1123" s="91">
        <f t="shared" si="268"/>
        <v>64</v>
      </c>
      <c r="AL1123" s="96">
        <f t="shared" si="270"/>
        <v>93</v>
      </c>
      <c r="AM1123" s="92"/>
      <c r="AN1123" s="91"/>
      <c r="AO1123" s="91"/>
    </row>
    <row r="1124" spans="1:41" ht="14.5" x14ac:dyDescent="0.25">
      <c r="A1124" s="110" t="s">
        <v>1924</v>
      </c>
      <c r="B1124" s="91"/>
      <c r="C1124" s="135" t="s">
        <v>303</v>
      </c>
      <c r="D1124" s="187" t="s">
        <v>1921</v>
      </c>
      <c r="E1124" s="135" t="s">
        <v>97</v>
      </c>
      <c r="F1124" s="135" t="s">
        <v>0</v>
      </c>
      <c r="G1124" s="58" t="s">
        <v>1925</v>
      </c>
      <c r="H1124" s="135">
        <v>384</v>
      </c>
      <c r="I1124" s="135" t="s">
        <v>1767</v>
      </c>
      <c r="J1124" s="182" t="s">
        <v>1365</v>
      </c>
      <c r="K1124" s="187" t="s">
        <v>15</v>
      </c>
      <c r="L1124" s="93" t="s">
        <v>1925</v>
      </c>
      <c r="M1124" s="94" t="s">
        <v>3458</v>
      </c>
      <c r="N1124" s="95" t="s">
        <v>3105</v>
      </c>
      <c r="O1124" s="189">
        <v>6</v>
      </c>
      <c r="P1124" s="97">
        <f t="shared" si="275"/>
        <v>0.28153846153846152</v>
      </c>
      <c r="Q1124" s="182" t="s">
        <v>3430</v>
      </c>
      <c r="R1124" s="135">
        <v>1130</v>
      </c>
      <c r="S1124" s="95"/>
      <c r="T1124" s="98">
        <v>0</v>
      </c>
      <c r="U1124" s="186">
        <f t="shared" si="274"/>
        <v>318.13846153846151</v>
      </c>
      <c r="V1124" s="100">
        <f t="shared" si="271"/>
        <v>0.82848557692307689</v>
      </c>
      <c r="W1124" s="101">
        <f t="shared" si="272"/>
        <v>0.11835508241758241</v>
      </c>
      <c r="X1124" s="95"/>
      <c r="Y1124" s="95"/>
      <c r="Z1124" s="102"/>
      <c r="AA1124" s="103">
        <v>45929</v>
      </c>
      <c r="AB1124" s="103">
        <v>45944</v>
      </c>
      <c r="AC1124" s="103"/>
      <c r="AD1124" s="104">
        <f>IF(ISNA(VLOOKUP(D1124,亚马逊入库配置费!B:F,5,0)),0,VLOOKUP(D1124,亚马逊入库配置费!B:F,5,0))</f>
        <v>0.38623229461756398</v>
      </c>
      <c r="AE1124" s="104">
        <f t="shared" si="266"/>
        <v>148.31320113314456</v>
      </c>
      <c r="AF1124" s="103">
        <v>45958</v>
      </c>
      <c r="AG1124" s="90">
        <f t="shared" si="267"/>
        <v>29</v>
      </c>
      <c r="AH1124" s="103">
        <v>45958</v>
      </c>
      <c r="AI1124" s="103">
        <v>46022</v>
      </c>
      <c r="AJ1124" s="96">
        <v>377</v>
      </c>
      <c r="AK1124" s="91">
        <f t="shared" si="268"/>
        <v>64</v>
      </c>
      <c r="AL1124" s="96">
        <f t="shared" si="270"/>
        <v>93</v>
      </c>
      <c r="AM1124" s="92"/>
      <c r="AN1124" s="91"/>
      <c r="AO1124" s="91"/>
    </row>
    <row r="1125" spans="1:41" ht="14.5" x14ac:dyDescent="0.25">
      <c r="A1125" s="110" t="s">
        <v>1926</v>
      </c>
      <c r="B1125" s="91"/>
      <c r="C1125" s="135" t="s">
        <v>303</v>
      </c>
      <c r="D1125" s="187" t="s">
        <v>1921</v>
      </c>
      <c r="E1125" s="135" t="s">
        <v>97</v>
      </c>
      <c r="F1125" s="135" t="s">
        <v>0</v>
      </c>
      <c r="G1125" s="58" t="s">
        <v>1927</v>
      </c>
      <c r="H1125" s="135">
        <v>384</v>
      </c>
      <c r="I1125" s="135" t="s">
        <v>1767</v>
      </c>
      <c r="J1125" s="182" t="s">
        <v>1365</v>
      </c>
      <c r="K1125" s="187" t="s">
        <v>15</v>
      </c>
      <c r="L1125" s="93" t="s">
        <v>1927</v>
      </c>
      <c r="M1125" s="94" t="s">
        <v>3459</v>
      </c>
      <c r="N1125" s="95" t="s">
        <v>3105</v>
      </c>
      <c r="O1125" s="189">
        <v>6</v>
      </c>
      <c r="P1125" s="97">
        <f t="shared" si="275"/>
        <v>0.28153846153846152</v>
      </c>
      <c r="Q1125" s="182" t="s">
        <v>3430</v>
      </c>
      <c r="R1125" s="135">
        <v>1130</v>
      </c>
      <c r="S1125" s="95"/>
      <c r="T1125" s="98">
        <v>0</v>
      </c>
      <c r="U1125" s="186">
        <f t="shared" si="274"/>
        <v>318.13846153846151</v>
      </c>
      <c r="V1125" s="100">
        <f t="shared" si="271"/>
        <v>0.82848557692307689</v>
      </c>
      <c r="W1125" s="101">
        <f t="shared" si="272"/>
        <v>0.11835508241758241</v>
      </c>
      <c r="X1125" s="95"/>
      <c r="Y1125" s="95"/>
      <c r="Z1125" s="102"/>
      <c r="AA1125" s="103">
        <v>45929</v>
      </c>
      <c r="AB1125" s="103">
        <v>45944</v>
      </c>
      <c r="AC1125" s="103"/>
      <c r="AD1125" s="104">
        <f>IF(ISNA(VLOOKUP(D1125,亚马逊入库配置费!B:F,5,0)),0,VLOOKUP(D1125,亚马逊入库配置费!B:F,5,0))</f>
        <v>0.38623229461756398</v>
      </c>
      <c r="AE1125" s="104">
        <f t="shared" si="266"/>
        <v>148.31320113314456</v>
      </c>
      <c r="AF1125" s="103">
        <v>45958</v>
      </c>
      <c r="AG1125" s="90">
        <f t="shared" si="267"/>
        <v>29</v>
      </c>
      <c r="AH1125" s="103">
        <v>45958</v>
      </c>
      <c r="AI1125" s="103">
        <v>46022</v>
      </c>
      <c r="AJ1125" s="96">
        <v>180</v>
      </c>
      <c r="AK1125" s="91">
        <f t="shared" si="268"/>
        <v>64</v>
      </c>
      <c r="AL1125" s="96">
        <f t="shared" si="270"/>
        <v>93</v>
      </c>
      <c r="AM1125" s="92"/>
      <c r="AN1125" s="91"/>
      <c r="AO1125" s="91"/>
    </row>
    <row r="1126" spans="1:41" ht="14.5" x14ac:dyDescent="0.25">
      <c r="A1126" s="110" t="s">
        <v>1928</v>
      </c>
      <c r="B1126" s="91"/>
      <c r="C1126" s="135" t="s">
        <v>303</v>
      </c>
      <c r="D1126" s="187" t="s">
        <v>1921</v>
      </c>
      <c r="E1126" s="135" t="s">
        <v>97</v>
      </c>
      <c r="F1126" s="135" t="s">
        <v>0</v>
      </c>
      <c r="G1126" s="58" t="s">
        <v>1929</v>
      </c>
      <c r="H1126" s="135">
        <v>256</v>
      </c>
      <c r="I1126" s="135" t="s">
        <v>1767</v>
      </c>
      <c r="J1126" s="182" t="s">
        <v>1365</v>
      </c>
      <c r="K1126" s="187" t="s">
        <v>15</v>
      </c>
      <c r="L1126" s="93" t="s">
        <v>1929</v>
      </c>
      <c r="M1126" s="94" t="s">
        <v>3460</v>
      </c>
      <c r="N1126" s="95" t="s">
        <v>3105</v>
      </c>
      <c r="O1126" s="189">
        <v>4</v>
      </c>
      <c r="P1126" s="97">
        <f t="shared" si="275"/>
        <v>0.18769230769230769</v>
      </c>
      <c r="Q1126" s="182" t="s">
        <v>3430</v>
      </c>
      <c r="R1126" s="135">
        <v>1130</v>
      </c>
      <c r="S1126" s="95"/>
      <c r="T1126" s="98">
        <v>0</v>
      </c>
      <c r="U1126" s="186">
        <f t="shared" si="274"/>
        <v>212.09230769230768</v>
      </c>
      <c r="V1126" s="100">
        <f t="shared" si="271"/>
        <v>0.82848557692307689</v>
      </c>
      <c r="W1126" s="101">
        <f t="shared" si="272"/>
        <v>0.11835508241758241</v>
      </c>
      <c r="X1126" s="95"/>
      <c r="Y1126" s="95"/>
      <c r="Z1126" s="102"/>
      <c r="AA1126" s="103">
        <v>45929</v>
      </c>
      <c r="AB1126" s="103">
        <v>45944</v>
      </c>
      <c r="AC1126" s="103"/>
      <c r="AD1126" s="104">
        <f>IF(ISNA(VLOOKUP(D1126,亚马逊入库配置费!B:F,5,0)),0,VLOOKUP(D1126,亚马逊入库配置费!B:F,5,0))</f>
        <v>0.38623229461756398</v>
      </c>
      <c r="AE1126" s="104">
        <f t="shared" si="266"/>
        <v>98.875467422096378</v>
      </c>
      <c r="AF1126" s="103">
        <v>45958</v>
      </c>
      <c r="AG1126" s="90">
        <f t="shared" si="267"/>
        <v>29</v>
      </c>
      <c r="AH1126" s="103">
        <v>45958</v>
      </c>
      <c r="AI1126" s="103">
        <v>46022</v>
      </c>
      <c r="AJ1126" s="96">
        <v>229</v>
      </c>
      <c r="AK1126" s="91">
        <f t="shared" si="268"/>
        <v>64</v>
      </c>
      <c r="AL1126" s="96">
        <f t="shared" si="270"/>
        <v>93</v>
      </c>
      <c r="AM1126" s="92"/>
      <c r="AN1126" s="91"/>
      <c r="AO1126" s="91"/>
    </row>
    <row r="1127" spans="1:41" ht="14.5" x14ac:dyDescent="0.25">
      <c r="A1127" s="110" t="s">
        <v>1930</v>
      </c>
      <c r="B1127" s="91"/>
      <c r="C1127" s="135" t="s">
        <v>303</v>
      </c>
      <c r="D1127" s="187" t="s">
        <v>1931</v>
      </c>
      <c r="E1127" s="135" t="s">
        <v>115</v>
      </c>
      <c r="F1127" s="135" t="s">
        <v>0</v>
      </c>
      <c r="G1127" s="58" t="s">
        <v>1925</v>
      </c>
      <c r="H1127" s="135">
        <v>64</v>
      </c>
      <c r="I1127" s="135" t="s">
        <v>1767</v>
      </c>
      <c r="J1127" s="182" t="s">
        <v>1365</v>
      </c>
      <c r="K1127" s="187" t="s">
        <v>15</v>
      </c>
      <c r="L1127" s="93" t="s">
        <v>1925</v>
      </c>
      <c r="M1127" s="94" t="s">
        <v>3458</v>
      </c>
      <c r="N1127" s="95" t="s">
        <v>3105</v>
      </c>
      <c r="O1127" s="189">
        <v>1</v>
      </c>
      <c r="P1127" s="97">
        <f t="shared" si="275"/>
        <v>4.6923076923076922E-2</v>
      </c>
      <c r="Q1127" s="182" t="s">
        <v>3430</v>
      </c>
      <c r="R1127" s="135">
        <v>1130</v>
      </c>
      <c r="S1127" s="95"/>
      <c r="T1127" s="98">
        <v>0</v>
      </c>
      <c r="U1127" s="186">
        <f t="shared" si="274"/>
        <v>53.023076923076921</v>
      </c>
      <c r="V1127" s="100">
        <f t="shared" si="271"/>
        <v>0.82848557692307689</v>
      </c>
      <c r="W1127" s="101">
        <f t="shared" si="272"/>
        <v>0.11835508241758241</v>
      </c>
      <c r="X1127" s="95"/>
      <c r="Y1127" s="95"/>
      <c r="Z1127" s="102"/>
      <c r="AA1127" s="103">
        <v>45929</v>
      </c>
      <c r="AB1127" s="103">
        <v>45944</v>
      </c>
      <c r="AC1127" s="103"/>
      <c r="AD1127" s="104">
        <f>IF(ISNA(VLOOKUP(D1127,亚马逊入库配置费!B:F,5,0)),0,VLOOKUP(D1127,亚马逊入库配置费!B:F,5,0))</f>
        <v>0.34</v>
      </c>
      <c r="AE1127" s="104">
        <f t="shared" si="266"/>
        <v>21.76</v>
      </c>
      <c r="AF1127" s="103">
        <v>45958</v>
      </c>
      <c r="AG1127" s="90">
        <f t="shared" si="267"/>
        <v>29</v>
      </c>
      <c r="AH1127" s="103">
        <v>45958</v>
      </c>
      <c r="AI1127" s="103">
        <v>45986</v>
      </c>
      <c r="AJ1127" s="96">
        <v>72</v>
      </c>
      <c r="AK1127" s="91">
        <f t="shared" si="268"/>
        <v>28</v>
      </c>
      <c r="AL1127" s="96">
        <f t="shared" si="270"/>
        <v>57</v>
      </c>
      <c r="AM1127" s="92"/>
      <c r="AN1127" s="91"/>
      <c r="AO1127" s="91"/>
    </row>
    <row r="1128" spans="1:41" ht="14.5" x14ac:dyDescent="0.25">
      <c r="A1128" s="110" t="s">
        <v>1932</v>
      </c>
      <c r="B1128" s="91"/>
      <c r="C1128" s="135" t="s">
        <v>303</v>
      </c>
      <c r="D1128" s="187" t="s">
        <v>1931</v>
      </c>
      <c r="E1128" s="135" t="s">
        <v>115</v>
      </c>
      <c r="F1128" s="135" t="s">
        <v>0</v>
      </c>
      <c r="G1128" s="58" t="s">
        <v>1929</v>
      </c>
      <c r="H1128" s="135">
        <v>64</v>
      </c>
      <c r="I1128" s="135" t="s">
        <v>1767</v>
      </c>
      <c r="J1128" s="182" t="s">
        <v>1365</v>
      </c>
      <c r="K1128" s="187" t="s">
        <v>15</v>
      </c>
      <c r="L1128" s="93" t="s">
        <v>1929</v>
      </c>
      <c r="M1128" s="94" t="s">
        <v>3460</v>
      </c>
      <c r="N1128" s="95" t="s">
        <v>3105</v>
      </c>
      <c r="O1128" s="189">
        <v>1</v>
      </c>
      <c r="P1128" s="97">
        <f t="shared" si="275"/>
        <v>4.6923076923076922E-2</v>
      </c>
      <c r="Q1128" s="182" t="s">
        <v>3430</v>
      </c>
      <c r="R1128" s="135">
        <v>1130</v>
      </c>
      <c r="S1128" s="95"/>
      <c r="T1128" s="98">
        <v>0</v>
      </c>
      <c r="U1128" s="186">
        <f t="shared" si="274"/>
        <v>53.023076923076921</v>
      </c>
      <c r="V1128" s="100">
        <f t="shared" si="271"/>
        <v>0.82848557692307689</v>
      </c>
      <c r="W1128" s="101">
        <f t="shared" si="272"/>
        <v>0.11835508241758241</v>
      </c>
      <c r="X1128" s="95"/>
      <c r="Y1128" s="95"/>
      <c r="Z1128" s="102"/>
      <c r="AA1128" s="103">
        <v>45929</v>
      </c>
      <c r="AB1128" s="103">
        <v>45944</v>
      </c>
      <c r="AC1128" s="103"/>
      <c r="AD1128" s="104">
        <f>IF(ISNA(VLOOKUP(D1128,亚马逊入库配置费!B:F,5,0)),0,VLOOKUP(D1128,亚马逊入库配置费!B:F,5,0))</f>
        <v>0.34</v>
      </c>
      <c r="AE1128" s="104">
        <f t="shared" si="266"/>
        <v>21.76</v>
      </c>
      <c r="AF1128" s="103">
        <v>45958</v>
      </c>
      <c r="AG1128" s="90">
        <f t="shared" si="267"/>
        <v>29</v>
      </c>
      <c r="AH1128" s="103">
        <v>45958</v>
      </c>
      <c r="AI1128" s="103">
        <v>45986</v>
      </c>
      <c r="AJ1128" s="96">
        <v>64</v>
      </c>
      <c r="AK1128" s="91">
        <f t="shared" si="268"/>
        <v>28</v>
      </c>
      <c r="AL1128" s="96">
        <f t="shared" si="270"/>
        <v>57</v>
      </c>
      <c r="AM1128" s="92"/>
      <c r="AN1128" s="91"/>
      <c r="AO1128" s="91"/>
    </row>
    <row r="1129" spans="1:41" ht="14.5" x14ac:dyDescent="0.25">
      <c r="A1129" s="110" t="s">
        <v>1933</v>
      </c>
      <c r="B1129" s="91"/>
      <c r="C1129" s="135" t="s">
        <v>303</v>
      </c>
      <c r="D1129" s="187" t="s">
        <v>1931</v>
      </c>
      <c r="E1129" s="135" t="s">
        <v>115</v>
      </c>
      <c r="F1129" s="135" t="s">
        <v>0</v>
      </c>
      <c r="G1129" s="58" t="s">
        <v>1927</v>
      </c>
      <c r="H1129" s="135">
        <v>64</v>
      </c>
      <c r="I1129" s="135" t="s">
        <v>1767</v>
      </c>
      <c r="J1129" s="182" t="s">
        <v>1365</v>
      </c>
      <c r="K1129" s="187" t="s">
        <v>15</v>
      </c>
      <c r="L1129" s="93" t="s">
        <v>1927</v>
      </c>
      <c r="M1129" s="94" t="s">
        <v>3459</v>
      </c>
      <c r="N1129" s="95" t="s">
        <v>3105</v>
      </c>
      <c r="O1129" s="189">
        <v>1</v>
      </c>
      <c r="P1129" s="97">
        <f t="shared" si="275"/>
        <v>4.6923076923076922E-2</v>
      </c>
      <c r="Q1129" s="182" t="s">
        <v>3430</v>
      </c>
      <c r="R1129" s="135">
        <v>1130</v>
      </c>
      <c r="S1129" s="95"/>
      <c r="T1129" s="98">
        <v>0</v>
      </c>
      <c r="U1129" s="186">
        <f t="shared" si="274"/>
        <v>53.023076923076921</v>
      </c>
      <c r="V1129" s="100">
        <f t="shared" si="271"/>
        <v>0.82848557692307689</v>
      </c>
      <c r="W1129" s="101">
        <f t="shared" si="272"/>
        <v>0.11835508241758241</v>
      </c>
      <c r="X1129" s="95"/>
      <c r="Y1129" s="95"/>
      <c r="Z1129" s="102"/>
      <c r="AA1129" s="103">
        <v>45929</v>
      </c>
      <c r="AB1129" s="103">
        <v>45944</v>
      </c>
      <c r="AC1129" s="103"/>
      <c r="AD1129" s="104">
        <f>IF(ISNA(VLOOKUP(D1129,亚马逊入库配置费!B:F,5,0)),0,VLOOKUP(D1129,亚马逊入库配置费!B:F,5,0))</f>
        <v>0.34</v>
      </c>
      <c r="AE1129" s="104">
        <f t="shared" si="266"/>
        <v>21.76</v>
      </c>
      <c r="AF1129" s="103">
        <v>45958</v>
      </c>
      <c r="AG1129" s="90">
        <f t="shared" si="267"/>
        <v>29</v>
      </c>
      <c r="AH1129" s="103">
        <v>45958</v>
      </c>
      <c r="AI1129" s="103">
        <v>45986</v>
      </c>
      <c r="AJ1129" s="96">
        <v>64</v>
      </c>
      <c r="AK1129" s="91">
        <f t="shared" si="268"/>
        <v>28</v>
      </c>
      <c r="AL1129" s="96">
        <f t="shared" si="270"/>
        <v>57</v>
      </c>
      <c r="AM1129" s="92"/>
      <c r="AN1129" s="91"/>
      <c r="AO1129" s="91"/>
    </row>
    <row r="1130" spans="1:41" ht="14.5" x14ac:dyDescent="0.25">
      <c r="A1130" s="110" t="s">
        <v>1934</v>
      </c>
      <c r="B1130" s="91"/>
      <c r="C1130" s="135" t="s">
        <v>1935</v>
      </c>
      <c r="D1130" s="187" t="s">
        <v>1936</v>
      </c>
      <c r="E1130" s="135" t="s">
        <v>1037</v>
      </c>
      <c r="F1130" s="135" t="s">
        <v>0</v>
      </c>
      <c r="G1130" s="58" t="s">
        <v>1879</v>
      </c>
      <c r="H1130" s="135">
        <v>100</v>
      </c>
      <c r="I1130" s="135" t="s">
        <v>89</v>
      </c>
      <c r="J1130" s="182" t="s">
        <v>1365</v>
      </c>
      <c r="K1130" s="187" t="s">
        <v>13</v>
      </c>
      <c r="L1130" s="93" t="s">
        <v>3103</v>
      </c>
      <c r="M1130" s="94" t="s">
        <v>3456</v>
      </c>
      <c r="N1130" s="95" t="s">
        <v>3104</v>
      </c>
      <c r="O1130" s="189">
        <v>5</v>
      </c>
      <c r="P1130" s="97">
        <f t="shared" ref="P1130:P1143" si="276">3346/233*O1130</f>
        <v>71.802575107296136</v>
      </c>
      <c r="Q1130" s="155" t="s">
        <v>1443</v>
      </c>
      <c r="R1130" s="135">
        <v>3.8</v>
      </c>
      <c r="S1130" s="95"/>
      <c r="T1130" s="98"/>
      <c r="U1130" s="186">
        <f t="shared" ref="U1130:U1152" si="277">R1130*P1130+350/349*O1130</f>
        <v>277.86411205528975</v>
      </c>
      <c r="V1130" s="100">
        <f t="shared" si="271"/>
        <v>2.7786411205528974</v>
      </c>
      <c r="W1130" s="101">
        <f t="shared" si="272"/>
        <v>0.39694873150755677</v>
      </c>
      <c r="X1130" s="95"/>
      <c r="Y1130" s="95"/>
      <c r="Z1130" s="102"/>
      <c r="AA1130" s="103">
        <v>45929</v>
      </c>
      <c r="AB1130" s="118">
        <v>45948</v>
      </c>
      <c r="AC1130" s="103"/>
      <c r="AD1130" s="104">
        <f>IF(ISNA(VLOOKUP(D1130,亚马逊入库配置费!B:F,5,0)),0,VLOOKUP(D1130,亚马逊入库配置费!B:F,5,0))</f>
        <v>0.49</v>
      </c>
      <c r="AE1130" s="104">
        <f t="shared" si="266"/>
        <v>49</v>
      </c>
      <c r="AF1130" s="103">
        <v>45958</v>
      </c>
      <c r="AG1130" s="90">
        <f t="shared" si="267"/>
        <v>29</v>
      </c>
      <c r="AH1130" s="103">
        <v>45958</v>
      </c>
      <c r="AI1130" s="103">
        <v>45987</v>
      </c>
      <c r="AJ1130" s="96">
        <v>100</v>
      </c>
      <c r="AK1130" s="91">
        <f t="shared" si="268"/>
        <v>29</v>
      </c>
      <c r="AL1130" s="96">
        <f t="shared" si="270"/>
        <v>58</v>
      </c>
      <c r="AM1130" s="92"/>
      <c r="AN1130" s="91"/>
      <c r="AO1130" s="91"/>
    </row>
    <row r="1131" spans="1:41" ht="14.5" x14ac:dyDescent="0.25">
      <c r="A1131" s="110" t="s">
        <v>1937</v>
      </c>
      <c r="B1131" s="91"/>
      <c r="C1131" s="135" t="s">
        <v>1935</v>
      </c>
      <c r="D1131" s="187" t="s">
        <v>1938</v>
      </c>
      <c r="E1131" s="135" t="s">
        <v>97</v>
      </c>
      <c r="F1131" s="135" t="s">
        <v>0</v>
      </c>
      <c r="G1131" s="58" t="s">
        <v>1198</v>
      </c>
      <c r="H1131" s="135">
        <v>150</v>
      </c>
      <c r="I1131" s="135" t="s">
        <v>89</v>
      </c>
      <c r="J1131" s="182" t="s">
        <v>1365</v>
      </c>
      <c r="K1131" s="187" t="s">
        <v>13</v>
      </c>
      <c r="L1131" s="93" t="s">
        <v>1198</v>
      </c>
      <c r="M1131" s="94" t="s">
        <v>3434</v>
      </c>
      <c r="N1131" s="95" t="s">
        <v>2870</v>
      </c>
      <c r="O1131" s="189">
        <v>5</v>
      </c>
      <c r="P1131" s="97">
        <f t="shared" si="276"/>
        <v>71.802575107296136</v>
      </c>
      <c r="Q1131" s="155" t="s">
        <v>1443</v>
      </c>
      <c r="R1131" s="135">
        <v>3.8</v>
      </c>
      <c r="S1131" s="95"/>
      <c r="T1131" s="98"/>
      <c r="U1131" s="186">
        <f t="shared" si="277"/>
        <v>277.86411205528975</v>
      </c>
      <c r="V1131" s="100">
        <f t="shared" si="271"/>
        <v>1.8524274137019316</v>
      </c>
      <c r="W1131" s="101">
        <f t="shared" si="272"/>
        <v>0.2646324876717045</v>
      </c>
      <c r="X1131" s="95"/>
      <c r="Y1131" s="95"/>
      <c r="Z1131" s="102"/>
      <c r="AA1131" s="103">
        <v>45929</v>
      </c>
      <c r="AB1131" s="118">
        <v>45948</v>
      </c>
      <c r="AC1131" s="103"/>
      <c r="AD1131" s="104">
        <f>IF(ISNA(VLOOKUP(D1131,亚马逊入库配置费!B:F,5,0)),0,VLOOKUP(D1131,亚马逊入库配置费!B:F,5,0))</f>
        <v>0.39321839080459797</v>
      </c>
      <c r="AE1131" s="104">
        <f t="shared" si="266"/>
        <v>58.982758620689694</v>
      </c>
      <c r="AF1131" s="103">
        <v>45958</v>
      </c>
      <c r="AG1131" s="90">
        <f t="shared" si="267"/>
        <v>29</v>
      </c>
      <c r="AH1131" s="103">
        <v>45958</v>
      </c>
      <c r="AI1131" s="103">
        <v>45993</v>
      </c>
      <c r="AJ1131" s="96">
        <v>150</v>
      </c>
      <c r="AK1131" s="91">
        <f t="shared" si="268"/>
        <v>35</v>
      </c>
      <c r="AL1131" s="96">
        <f t="shared" si="270"/>
        <v>64</v>
      </c>
      <c r="AM1131" s="92"/>
      <c r="AN1131" s="91"/>
      <c r="AO1131" s="91"/>
    </row>
    <row r="1132" spans="1:41" ht="14.5" x14ac:dyDescent="0.25">
      <c r="A1132" s="110" t="s">
        <v>1939</v>
      </c>
      <c r="B1132" s="91"/>
      <c r="C1132" s="135" t="s">
        <v>1935</v>
      </c>
      <c r="D1132" s="187" t="s">
        <v>1938</v>
      </c>
      <c r="E1132" s="135" t="s">
        <v>97</v>
      </c>
      <c r="F1132" s="135" t="s">
        <v>0</v>
      </c>
      <c r="G1132" s="58" t="s">
        <v>1409</v>
      </c>
      <c r="H1132" s="135">
        <v>600</v>
      </c>
      <c r="I1132" s="135" t="s">
        <v>89</v>
      </c>
      <c r="J1132" s="182" t="s">
        <v>1365</v>
      </c>
      <c r="K1132" s="187" t="s">
        <v>13</v>
      </c>
      <c r="L1132" s="93" t="s">
        <v>1409</v>
      </c>
      <c r="M1132" s="94" t="s">
        <v>3446</v>
      </c>
      <c r="N1132" s="95" t="s">
        <v>2870</v>
      </c>
      <c r="O1132" s="189">
        <v>20</v>
      </c>
      <c r="P1132" s="97">
        <f t="shared" si="276"/>
        <v>287.21030042918454</v>
      </c>
      <c r="Q1132" s="155" t="s">
        <v>1443</v>
      </c>
      <c r="R1132" s="135">
        <v>3.8</v>
      </c>
      <c r="S1132" s="95"/>
      <c r="T1132" s="98"/>
      <c r="U1132" s="186">
        <f t="shared" si="277"/>
        <v>1111.456448221159</v>
      </c>
      <c r="V1132" s="100">
        <f t="shared" si="271"/>
        <v>1.8524274137019316</v>
      </c>
      <c r="W1132" s="101">
        <f t="shared" si="272"/>
        <v>0.2646324876717045</v>
      </c>
      <c r="X1132" s="95"/>
      <c r="Y1132" s="95"/>
      <c r="Z1132" s="102"/>
      <c r="AA1132" s="103">
        <v>45929</v>
      </c>
      <c r="AB1132" s="118">
        <v>45948</v>
      </c>
      <c r="AC1132" s="103"/>
      <c r="AD1132" s="104">
        <f>IF(ISNA(VLOOKUP(D1132,亚马逊入库配置费!B:F,5,0)),0,VLOOKUP(D1132,亚马逊入库配置费!B:F,5,0))</f>
        <v>0.39321839080459797</v>
      </c>
      <c r="AE1132" s="104">
        <f t="shared" si="266"/>
        <v>235.93103448275878</v>
      </c>
      <c r="AF1132" s="103">
        <v>45958</v>
      </c>
      <c r="AG1132" s="90">
        <f t="shared" si="267"/>
        <v>29</v>
      </c>
      <c r="AH1132" s="103">
        <v>45958</v>
      </c>
      <c r="AI1132" s="103">
        <v>45993</v>
      </c>
      <c r="AJ1132" s="96">
        <v>596</v>
      </c>
      <c r="AK1132" s="91">
        <f t="shared" si="268"/>
        <v>35</v>
      </c>
      <c r="AL1132" s="96">
        <f t="shared" si="270"/>
        <v>64</v>
      </c>
      <c r="AM1132" s="92"/>
      <c r="AN1132" s="91"/>
      <c r="AO1132" s="91"/>
    </row>
    <row r="1133" spans="1:41" ht="14.5" x14ac:dyDescent="0.25">
      <c r="A1133" s="110" t="s">
        <v>1940</v>
      </c>
      <c r="B1133" s="91"/>
      <c r="C1133" s="135" t="s">
        <v>1935</v>
      </c>
      <c r="D1133" s="187" t="s">
        <v>1938</v>
      </c>
      <c r="E1133" s="135" t="s">
        <v>97</v>
      </c>
      <c r="F1133" s="135" t="s">
        <v>0</v>
      </c>
      <c r="G1133" s="58" t="s">
        <v>1941</v>
      </c>
      <c r="H1133" s="135">
        <v>240</v>
      </c>
      <c r="I1133" s="135" t="s">
        <v>89</v>
      </c>
      <c r="J1133" s="182" t="s">
        <v>1365</v>
      </c>
      <c r="K1133" s="187" t="s">
        <v>13</v>
      </c>
      <c r="L1133" s="93" t="s">
        <v>1941</v>
      </c>
      <c r="M1133" s="94" t="s">
        <v>3461</v>
      </c>
      <c r="N1133" s="95" t="s">
        <v>2867</v>
      </c>
      <c r="O1133" s="189">
        <v>12</v>
      </c>
      <c r="P1133" s="97">
        <f t="shared" si="276"/>
        <v>172.32618025751071</v>
      </c>
      <c r="Q1133" s="155" t="s">
        <v>1443</v>
      </c>
      <c r="R1133" s="135">
        <v>3.8</v>
      </c>
      <c r="S1133" s="95"/>
      <c r="T1133" s="98"/>
      <c r="U1133" s="186">
        <f t="shared" si="277"/>
        <v>666.87386893269536</v>
      </c>
      <c r="V1133" s="100">
        <f t="shared" si="271"/>
        <v>2.7786411205528974</v>
      </c>
      <c r="W1133" s="101">
        <f t="shared" si="272"/>
        <v>0.39694873150755677</v>
      </c>
      <c r="X1133" s="95"/>
      <c r="Y1133" s="95"/>
      <c r="Z1133" s="102"/>
      <c r="AA1133" s="103">
        <v>45929</v>
      </c>
      <c r="AB1133" s="118">
        <v>45948</v>
      </c>
      <c r="AC1133" s="103"/>
      <c r="AD1133" s="104">
        <f>IF(ISNA(VLOOKUP(D1133,亚马逊入库配置费!B:F,5,0)),0,VLOOKUP(D1133,亚马逊入库配置费!B:F,5,0))</f>
        <v>0.39321839080459797</v>
      </c>
      <c r="AE1133" s="104">
        <f t="shared" si="266"/>
        <v>94.372413793103519</v>
      </c>
      <c r="AF1133" s="103">
        <v>45958</v>
      </c>
      <c r="AG1133" s="90">
        <f t="shared" si="267"/>
        <v>29</v>
      </c>
      <c r="AH1133" s="103">
        <v>45958</v>
      </c>
      <c r="AI1133" s="103">
        <v>45993</v>
      </c>
      <c r="AJ1133" s="96">
        <v>240</v>
      </c>
      <c r="AK1133" s="91">
        <f t="shared" si="268"/>
        <v>35</v>
      </c>
      <c r="AL1133" s="96">
        <f t="shared" si="270"/>
        <v>64</v>
      </c>
      <c r="AM1133" s="92"/>
      <c r="AN1133" s="91"/>
      <c r="AO1133" s="91"/>
    </row>
    <row r="1134" spans="1:41" ht="14.5" x14ac:dyDescent="0.25">
      <c r="A1134" s="110" t="s">
        <v>1942</v>
      </c>
      <c r="B1134" s="91"/>
      <c r="C1134" s="135" t="s">
        <v>1935</v>
      </c>
      <c r="D1134" s="187" t="s">
        <v>1938</v>
      </c>
      <c r="E1134" s="135" t="s">
        <v>97</v>
      </c>
      <c r="F1134" s="135" t="s">
        <v>0</v>
      </c>
      <c r="G1134" s="58" t="s">
        <v>1215</v>
      </c>
      <c r="H1134" s="135">
        <v>720</v>
      </c>
      <c r="I1134" s="135" t="s">
        <v>89</v>
      </c>
      <c r="J1134" s="182" t="s">
        <v>1365</v>
      </c>
      <c r="K1134" s="187" t="s">
        <v>13</v>
      </c>
      <c r="L1134" s="93" t="s">
        <v>3095</v>
      </c>
      <c r="M1134" s="94" t="s">
        <v>3436</v>
      </c>
      <c r="N1134" s="95" t="s">
        <v>2867</v>
      </c>
      <c r="O1134" s="189">
        <v>24</v>
      </c>
      <c r="P1134" s="97">
        <f t="shared" si="276"/>
        <v>344.65236051502143</v>
      </c>
      <c r="Q1134" s="155" t="s">
        <v>1443</v>
      </c>
      <c r="R1134" s="135">
        <v>3.8</v>
      </c>
      <c r="S1134" s="95"/>
      <c r="T1134" s="98"/>
      <c r="U1134" s="186">
        <f t="shared" si="277"/>
        <v>1333.7477378653907</v>
      </c>
      <c r="V1134" s="100">
        <f t="shared" si="271"/>
        <v>1.8524274137019316</v>
      </c>
      <c r="W1134" s="101">
        <f t="shared" si="272"/>
        <v>0.2646324876717045</v>
      </c>
      <c r="X1134" s="95"/>
      <c r="Y1134" s="95"/>
      <c r="Z1134" s="102"/>
      <c r="AA1134" s="103">
        <v>45929</v>
      </c>
      <c r="AB1134" s="118">
        <v>45948</v>
      </c>
      <c r="AC1134" s="103"/>
      <c r="AD1134" s="104">
        <f>IF(ISNA(VLOOKUP(D1134,亚马逊入库配置费!B:F,5,0)),0,VLOOKUP(D1134,亚马逊入库配置费!B:F,5,0))</f>
        <v>0.39321839080459797</v>
      </c>
      <c r="AE1134" s="104">
        <f t="shared" si="266"/>
        <v>283.11724137931054</v>
      </c>
      <c r="AF1134" s="103">
        <v>45958</v>
      </c>
      <c r="AG1134" s="90">
        <f t="shared" si="267"/>
        <v>29</v>
      </c>
      <c r="AH1134" s="103">
        <v>45958</v>
      </c>
      <c r="AI1134" s="103">
        <v>45993</v>
      </c>
      <c r="AJ1134" s="96">
        <v>728</v>
      </c>
      <c r="AK1134" s="91">
        <f t="shared" si="268"/>
        <v>35</v>
      </c>
      <c r="AL1134" s="96">
        <f t="shared" si="270"/>
        <v>64</v>
      </c>
      <c r="AM1134" s="92"/>
      <c r="AN1134" s="91"/>
      <c r="AO1134" s="91"/>
    </row>
    <row r="1135" spans="1:41" ht="14.5" x14ac:dyDescent="0.25">
      <c r="A1135" s="110" t="s">
        <v>1943</v>
      </c>
      <c r="B1135" s="91"/>
      <c r="C1135" s="135" t="s">
        <v>1935</v>
      </c>
      <c r="D1135" s="187" t="s">
        <v>1938</v>
      </c>
      <c r="E1135" s="135" t="s">
        <v>97</v>
      </c>
      <c r="F1135" s="135" t="s">
        <v>0</v>
      </c>
      <c r="G1135" s="58" t="s">
        <v>1851</v>
      </c>
      <c r="H1135" s="135">
        <v>300</v>
      </c>
      <c r="I1135" s="135" t="s">
        <v>89</v>
      </c>
      <c r="J1135" s="182" t="s">
        <v>1365</v>
      </c>
      <c r="K1135" s="187" t="s">
        <v>13</v>
      </c>
      <c r="L1135" s="93" t="s">
        <v>1851</v>
      </c>
      <c r="M1135" s="94" t="s">
        <v>3454</v>
      </c>
      <c r="N1135" s="95" t="s">
        <v>2867</v>
      </c>
      <c r="O1135" s="189">
        <v>10</v>
      </c>
      <c r="P1135" s="97">
        <f t="shared" si="276"/>
        <v>143.60515021459227</v>
      </c>
      <c r="Q1135" s="155" t="s">
        <v>1443</v>
      </c>
      <c r="R1135" s="135">
        <v>3.8</v>
      </c>
      <c r="S1135" s="95"/>
      <c r="T1135" s="98"/>
      <c r="U1135" s="186">
        <f t="shared" si="277"/>
        <v>555.7282241105795</v>
      </c>
      <c r="V1135" s="100">
        <f t="shared" si="271"/>
        <v>1.8524274137019316</v>
      </c>
      <c r="W1135" s="101">
        <f t="shared" si="272"/>
        <v>0.2646324876717045</v>
      </c>
      <c r="X1135" s="95"/>
      <c r="Y1135" s="95"/>
      <c r="Z1135" s="102"/>
      <c r="AA1135" s="103">
        <v>45929</v>
      </c>
      <c r="AB1135" s="118">
        <v>45948</v>
      </c>
      <c r="AC1135" s="103"/>
      <c r="AD1135" s="104">
        <f>IF(ISNA(VLOOKUP(D1135,亚马逊入库配置费!B:F,5,0)),0,VLOOKUP(D1135,亚马逊入库配置费!B:F,5,0))</f>
        <v>0.39321839080459797</v>
      </c>
      <c r="AE1135" s="104">
        <f t="shared" si="266"/>
        <v>117.96551724137939</v>
      </c>
      <c r="AF1135" s="103">
        <v>45958</v>
      </c>
      <c r="AG1135" s="90">
        <f t="shared" si="267"/>
        <v>29</v>
      </c>
      <c r="AH1135" s="103">
        <v>45958</v>
      </c>
      <c r="AI1135" s="103">
        <v>45993</v>
      </c>
      <c r="AJ1135" s="96">
        <v>271</v>
      </c>
      <c r="AK1135" s="91">
        <f t="shared" si="268"/>
        <v>35</v>
      </c>
      <c r="AL1135" s="96">
        <f t="shared" si="270"/>
        <v>64</v>
      </c>
      <c r="AM1135" s="92"/>
      <c r="AN1135" s="91"/>
      <c r="AO1135" s="91"/>
    </row>
    <row r="1136" spans="1:41" ht="14.5" x14ac:dyDescent="0.25">
      <c r="A1136" s="110" t="s">
        <v>1944</v>
      </c>
      <c r="B1136" s="91"/>
      <c r="C1136" s="135" t="s">
        <v>1935</v>
      </c>
      <c r="D1136" s="187" t="s">
        <v>1938</v>
      </c>
      <c r="E1136" s="135" t="s">
        <v>97</v>
      </c>
      <c r="F1136" s="135" t="s">
        <v>0</v>
      </c>
      <c r="G1136" s="58" t="s">
        <v>1902</v>
      </c>
      <c r="H1136" s="135">
        <v>600</v>
      </c>
      <c r="I1136" s="135" t="s">
        <v>89</v>
      </c>
      <c r="J1136" s="182" t="s">
        <v>1365</v>
      </c>
      <c r="K1136" s="187" t="s">
        <v>13</v>
      </c>
      <c r="L1136" s="93" t="s">
        <v>1902</v>
      </c>
      <c r="M1136" s="94" t="s">
        <v>3457</v>
      </c>
      <c r="N1136" s="95" t="s">
        <v>2867</v>
      </c>
      <c r="O1136" s="189">
        <v>20</v>
      </c>
      <c r="P1136" s="97">
        <f t="shared" si="276"/>
        <v>287.21030042918454</v>
      </c>
      <c r="Q1136" s="155" t="s">
        <v>1443</v>
      </c>
      <c r="R1136" s="135">
        <v>3.8</v>
      </c>
      <c r="S1136" s="95"/>
      <c r="T1136" s="98"/>
      <c r="U1136" s="186">
        <f t="shared" si="277"/>
        <v>1111.456448221159</v>
      </c>
      <c r="V1136" s="100">
        <f t="shared" si="271"/>
        <v>1.8524274137019316</v>
      </c>
      <c r="W1136" s="101">
        <f t="shared" si="272"/>
        <v>0.2646324876717045</v>
      </c>
      <c r="X1136" s="95"/>
      <c r="Y1136" s="95"/>
      <c r="Z1136" s="102"/>
      <c r="AA1136" s="103">
        <v>45929</v>
      </c>
      <c r="AB1136" s="118">
        <v>45948</v>
      </c>
      <c r="AC1136" s="103"/>
      <c r="AD1136" s="104">
        <f>IF(ISNA(VLOOKUP(D1136,亚马逊入库配置费!B:F,5,0)),0,VLOOKUP(D1136,亚马逊入库配置费!B:F,5,0))</f>
        <v>0.39321839080459797</v>
      </c>
      <c r="AE1136" s="104">
        <f t="shared" si="266"/>
        <v>235.93103448275878</v>
      </c>
      <c r="AF1136" s="103">
        <v>45958</v>
      </c>
      <c r="AG1136" s="90">
        <f t="shared" si="267"/>
        <v>29</v>
      </c>
      <c r="AH1136" s="103">
        <v>45958</v>
      </c>
      <c r="AI1136" s="103">
        <v>45993</v>
      </c>
      <c r="AJ1136" s="96">
        <v>600</v>
      </c>
      <c r="AK1136" s="91">
        <f t="shared" si="268"/>
        <v>35</v>
      </c>
      <c r="AL1136" s="96">
        <f t="shared" si="270"/>
        <v>64</v>
      </c>
      <c r="AM1136" s="92"/>
      <c r="AN1136" s="91"/>
      <c r="AO1136" s="91"/>
    </row>
    <row r="1137" spans="1:41" ht="14.5" x14ac:dyDescent="0.25">
      <c r="A1137" s="110" t="s">
        <v>1945</v>
      </c>
      <c r="B1137" s="91"/>
      <c r="C1137" s="135" t="s">
        <v>1935</v>
      </c>
      <c r="D1137" s="187" t="s">
        <v>1946</v>
      </c>
      <c r="E1137" s="135" t="s">
        <v>97</v>
      </c>
      <c r="F1137" s="135" t="s">
        <v>0</v>
      </c>
      <c r="G1137" s="58" t="s">
        <v>163</v>
      </c>
      <c r="H1137" s="135">
        <v>1920</v>
      </c>
      <c r="I1137" s="135" t="s">
        <v>89</v>
      </c>
      <c r="J1137" s="182" t="s">
        <v>1365</v>
      </c>
      <c r="K1137" s="187" t="s">
        <v>13</v>
      </c>
      <c r="L1137" s="93" t="s">
        <v>2881</v>
      </c>
      <c r="M1137" s="94" t="s">
        <v>3302</v>
      </c>
      <c r="N1137" s="95" t="s">
        <v>2870</v>
      </c>
      <c r="O1137" s="189">
        <v>48</v>
      </c>
      <c r="P1137" s="97">
        <f t="shared" si="276"/>
        <v>689.30472103004286</v>
      </c>
      <c r="Q1137" s="155" t="s">
        <v>1443</v>
      </c>
      <c r="R1137" s="135">
        <v>3.8</v>
      </c>
      <c r="S1137" s="95"/>
      <c r="T1137" s="98"/>
      <c r="U1137" s="186">
        <f t="shared" si="277"/>
        <v>2667.4954757307814</v>
      </c>
      <c r="V1137" s="100">
        <f t="shared" si="271"/>
        <v>1.3893205602764487</v>
      </c>
      <c r="W1137" s="101">
        <f t="shared" si="272"/>
        <v>0.19847436575377839</v>
      </c>
      <c r="X1137" s="95"/>
      <c r="Y1137" s="95"/>
      <c r="Z1137" s="102"/>
      <c r="AA1137" s="103">
        <v>45929</v>
      </c>
      <c r="AB1137" s="118">
        <v>45948</v>
      </c>
      <c r="AC1137" s="103"/>
      <c r="AD1137" s="104">
        <f>IF(ISNA(VLOOKUP(D1137,亚马逊入库配置费!B:F,5,0)),0,VLOOKUP(D1137,亚马逊入库配置费!B:F,5,0))</f>
        <v>0.34</v>
      </c>
      <c r="AE1137" s="104">
        <f t="shared" si="266"/>
        <v>652.80000000000007</v>
      </c>
      <c r="AF1137" s="103">
        <v>45958</v>
      </c>
      <c r="AG1137" s="90">
        <f t="shared" si="267"/>
        <v>29</v>
      </c>
      <c r="AH1137" s="103">
        <v>45958</v>
      </c>
      <c r="AI1137" s="103">
        <v>45988</v>
      </c>
      <c r="AJ1137" s="96">
        <v>1915</v>
      </c>
      <c r="AK1137" s="91">
        <f t="shared" si="268"/>
        <v>30</v>
      </c>
      <c r="AL1137" s="96">
        <f t="shared" si="270"/>
        <v>59</v>
      </c>
      <c r="AM1137" s="92"/>
      <c r="AN1137" s="91"/>
      <c r="AO1137" s="91"/>
    </row>
    <row r="1138" spans="1:41" ht="14.5" x14ac:dyDescent="0.25">
      <c r="A1138" s="110" t="s">
        <v>1947</v>
      </c>
      <c r="B1138" s="91"/>
      <c r="C1138" s="135" t="s">
        <v>1935</v>
      </c>
      <c r="D1138" s="187" t="s">
        <v>1946</v>
      </c>
      <c r="E1138" s="135" t="s">
        <v>97</v>
      </c>
      <c r="F1138" s="135" t="s">
        <v>0</v>
      </c>
      <c r="G1138" s="58" t="s">
        <v>853</v>
      </c>
      <c r="H1138" s="135">
        <v>480</v>
      </c>
      <c r="I1138" s="135" t="s">
        <v>89</v>
      </c>
      <c r="J1138" s="182" t="s">
        <v>1365</v>
      </c>
      <c r="K1138" s="187" t="s">
        <v>13</v>
      </c>
      <c r="L1138" s="93" t="s">
        <v>853</v>
      </c>
      <c r="M1138" s="94" t="s">
        <v>3396</v>
      </c>
      <c r="N1138" s="95" t="s">
        <v>2870</v>
      </c>
      <c r="O1138" s="189">
        <v>12</v>
      </c>
      <c r="P1138" s="97">
        <f t="shared" si="276"/>
        <v>172.32618025751071</v>
      </c>
      <c r="Q1138" s="155" t="s">
        <v>1443</v>
      </c>
      <c r="R1138" s="135">
        <v>3.8</v>
      </c>
      <c r="S1138" s="95"/>
      <c r="T1138" s="98"/>
      <c r="U1138" s="186">
        <f t="shared" si="277"/>
        <v>666.87386893269536</v>
      </c>
      <c r="V1138" s="100">
        <f t="shared" si="271"/>
        <v>1.3893205602764487</v>
      </c>
      <c r="W1138" s="101">
        <f t="shared" si="272"/>
        <v>0.19847436575377839</v>
      </c>
      <c r="X1138" s="95"/>
      <c r="Y1138" s="95"/>
      <c r="Z1138" s="102"/>
      <c r="AA1138" s="103">
        <v>45929</v>
      </c>
      <c r="AB1138" s="118">
        <v>45948</v>
      </c>
      <c r="AC1138" s="103"/>
      <c r="AD1138" s="104">
        <f>IF(ISNA(VLOOKUP(D1138,亚马逊入库配置费!B:F,5,0)),0,VLOOKUP(D1138,亚马逊入库配置费!B:F,5,0))</f>
        <v>0.34</v>
      </c>
      <c r="AE1138" s="104">
        <f t="shared" si="266"/>
        <v>163.20000000000002</v>
      </c>
      <c r="AF1138" s="103">
        <v>45958</v>
      </c>
      <c r="AG1138" s="90">
        <f t="shared" si="267"/>
        <v>29</v>
      </c>
      <c r="AH1138" s="103">
        <v>45958</v>
      </c>
      <c r="AI1138" s="103">
        <v>45988</v>
      </c>
      <c r="AJ1138" s="96">
        <v>478</v>
      </c>
      <c r="AK1138" s="91">
        <f t="shared" si="268"/>
        <v>30</v>
      </c>
      <c r="AL1138" s="96">
        <f t="shared" si="270"/>
        <v>59</v>
      </c>
      <c r="AM1138" s="92"/>
      <c r="AN1138" s="91"/>
      <c r="AO1138" s="91"/>
    </row>
    <row r="1139" spans="1:41" ht="14.5" x14ac:dyDescent="0.25">
      <c r="A1139" s="110" t="s">
        <v>1948</v>
      </c>
      <c r="B1139" s="91"/>
      <c r="C1139" s="135" t="s">
        <v>1935</v>
      </c>
      <c r="D1139" s="187" t="s">
        <v>1946</v>
      </c>
      <c r="E1139" s="135" t="s">
        <v>97</v>
      </c>
      <c r="F1139" s="135" t="s">
        <v>0</v>
      </c>
      <c r="G1139" s="58" t="s">
        <v>350</v>
      </c>
      <c r="H1139" s="135">
        <v>400</v>
      </c>
      <c r="I1139" s="135" t="s">
        <v>89</v>
      </c>
      <c r="J1139" s="182" t="s">
        <v>1365</v>
      </c>
      <c r="K1139" s="187" t="s">
        <v>13</v>
      </c>
      <c r="L1139" s="93" t="s">
        <v>3048</v>
      </c>
      <c r="M1139" s="94" t="s">
        <v>3208</v>
      </c>
      <c r="N1139" s="95" t="s">
        <v>2870</v>
      </c>
      <c r="O1139" s="189">
        <v>10</v>
      </c>
      <c r="P1139" s="97">
        <f t="shared" si="276"/>
        <v>143.60515021459227</v>
      </c>
      <c r="Q1139" s="155" t="s">
        <v>1443</v>
      </c>
      <c r="R1139" s="135">
        <v>3.8</v>
      </c>
      <c r="S1139" s="95"/>
      <c r="T1139" s="98"/>
      <c r="U1139" s="186">
        <f t="shared" si="277"/>
        <v>555.7282241105795</v>
      </c>
      <c r="V1139" s="100">
        <f t="shared" si="271"/>
        <v>1.3893205602764487</v>
      </c>
      <c r="W1139" s="101">
        <f t="shared" si="272"/>
        <v>0.19847436575377839</v>
      </c>
      <c r="X1139" s="95"/>
      <c r="Y1139" s="95"/>
      <c r="Z1139" s="102"/>
      <c r="AA1139" s="103">
        <v>45929</v>
      </c>
      <c r="AB1139" s="118">
        <v>45948</v>
      </c>
      <c r="AC1139" s="103"/>
      <c r="AD1139" s="104">
        <f>IF(ISNA(VLOOKUP(D1139,亚马逊入库配置费!B:F,5,0)),0,VLOOKUP(D1139,亚马逊入库配置费!B:F,5,0))</f>
        <v>0.34</v>
      </c>
      <c r="AE1139" s="104">
        <f t="shared" si="266"/>
        <v>136</v>
      </c>
      <c r="AF1139" s="103">
        <v>45958</v>
      </c>
      <c r="AG1139" s="90">
        <f t="shared" si="267"/>
        <v>29</v>
      </c>
      <c r="AH1139" s="103">
        <v>45958</v>
      </c>
      <c r="AI1139" s="103">
        <v>45988</v>
      </c>
      <c r="AJ1139" s="96">
        <v>399</v>
      </c>
      <c r="AK1139" s="91">
        <f t="shared" si="268"/>
        <v>30</v>
      </c>
      <c r="AL1139" s="96">
        <f t="shared" si="270"/>
        <v>59</v>
      </c>
      <c r="AM1139" s="92"/>
      <c r="AN1139" s="91"/>
      <c r="AO1139" s="91"/>
    </row>
    <row r="1140" spans="1:41" ht="14.5" x14ac:dyDescent="0.25">
      <c r="A1140" s="110" t="s">
        <v>1949</v>
      </c>
      <c r="B1140" s="91"/>
      <c r="C1140" s="135" t="s">
        <v>1935</v>
      </c>
      <c r="D1140" s="187" t="s">
        <v>1946</v>
      </c>
      <c r="E1140" s="135" t="s">
        <v>97</v>
      </c>
      <c r="F1140" s="135" t="s">
        <v>0</v>
      </c>
      <c r="G1140" s="58" t="s">
        <v>352</v>
      </c>
      <c r="H1140" s="135">
        <v>480</v>
      </c>
      <c r="I1140" s="135" t="s">
        <v>89</v>
      </c>
      <c r="J1140" s="182" t="s">
        <v>1365</v>
      </c>
      <c r="K1140" s="187" t="s">
        <v>13</v>
      </c>
      <c r="L1140" s="93" t="s">
        <v>3049</v>
      </c>
      <c r="M1140" s="94" t="s">
        <v>3336</v>
      </c>
      <c r="N1140" s="95" t="s">
        <v>2870</v>
      </c>
      <c r="O1140" s="189">
        <v>12</v>
      </c>
      <c r="P1140" s="97">
        <f t="shared" si="276"/>
        <v>172.32618025751071</v>
      </c>
      <c r="Q1140" s="155" t="s">
        <v>1443</v>
      </c>
      <c r="R1140" s="135">
        <v>3.8</v>
      </c>
      <c r="S1140" s="95"/>
      <c r="T1140" s="98"/>
      <c r="U1140" s="186">
        <f t="shared" si="277"/>
        <v>666.87386893269536</v>
      </c>
      <c r="V1140" s="100">
        <f t="shared" si="271"/>
        <v>1.3893205602764487</v>
      </c>
      <c r="W1140" s="101">
        <f t="shared" si="272"/>
        <v>0.19847436575377839</v>
      </c>
      <c r="X1140" s="95"/>
      <c r="Y1140" s="95"/>
      <c r="Z1140" s="102"/>
      <c r="AA1140" s="103">
        <v>45929</v>
      </c>
      <c r="AB1140" s="118">
        <v>45948</v>
      </c>
      <c r="AC1140" s="103"/>
      <c r="AD1140" s="104">
        <f>IF(ISNA(VLOOKUP(D1140,亚马逊入库配置费!B:F,5,0)),0,VLOOKUP(D1140,亚马逊入库配置费!B:F,5,0))</f>
        <v>0.34</v>
      </c>
      <c r="AE1140" s="104">
        <f t="shared" si="266"/>
        <v>163.20000000000002</v>
      </c>
      <c r="AF1140" s="103">
        <v>45958</v>
      </c>
      <c r="AG1140" s="90">
        <f t="shared" si="267"/>
        <v>29</v>
      </c>
      <c r="AH1140" s="103">
        <v>45958</v>
      </c>
      <c r="AI1140" s="103">
        <v>45988</v>
      </c>
      <c r="AJ1140" s="96">
        <v>479</v>
      </c>
      <c r="AK1140" s="91">
        <f t="shared" si="268"/>
        <v>30</v>
      </c>
      <c r="AL1140" s="96">
        <f t="shared" si="270"/>
        <v>59</v>
      </c>
      <c r="AM1140" s="92"/>
      <c r="AN1140" s="91"/>
      <c r="AO1140" s="91"/>
    </row>
    <row r="1141" spans="1:41" ht="14.5" x14ac:dyDescent="0.25">
      <c r="A1141" s="110" t="s">
        <v>1950</v>
      </c>
      <c r="B1141" s="91"/>
      <c r="C1141" s="135" t="s">
        <v>1935</v>
      </c>
      <c r="D1141" s="187" t="s">
        <v>1946</v>
      </c>
      <c r="E1141" s="135" t="s">
        <v>97</v>
      </c>
      <c r="F1141" s="135" t="s">
        <v>0</v>
      </c>
      <c r="G1141" s="58" t="s">
        <v>876</v>
      </c>
      <c r="H1141" s="135">
        <v>200</v>
      </c>
      <c r="I1141" s="135" t="s">
        <v>89</v>
      </c>
      <c r="J1141" s="182" t="s">
        <v>1365</v>
      </c>
      <c r="K1141" s="187" t="s">
        <v>13</v>
      </c>
      <c r="L1141" s="93" t="s">
        <v>876</v>
      </c>
      <c r="M1141" s="94" t="s">
        <v>3400</v>
      </c>
      <c r="N1141" s="95" t="s">
        <v>2870</v>
      </c>
      <c r="O1141" s="189">
        <v>5</v>
      </c>
      <c r="P1141" s="97">
        <f t="shared" si="276"/>
        <v>71.802575107296136</v>
      </c>
      <c r="Q1141" s="155" t="s">
        <v>1443</v>
      </c>
      <c r="R1141" s="135">
        <v>3.8</v>
      </c>
      <c r="S1141" s="95"/>
      <c r="T1141" s="98"/>
      <c r="U1141" s="186">
        <f t="shared" si="277"/>
        <v>277.86411205528975</v>
      </c>
      <c r="V1141" s="100">
        <f t="shared" si="271"/>
        <v>1.3893205602764487</v>
      </c>
      <c r="W1141" s="101">
        <f t="shared" si="272"/>
        <v>0.19847436575377839</v>
      </c>
      <c r="X1141" s="95"/>
      <c r="Y1141" s="95"/>
      <c r="Z1141" s="102"/>
      <c r="AA1141" s="103">
        <v>45929</v>
      </c>
      <c r="AB1141" s="118">
        <v>45948</v>
      </c>
      <c r="AC1141" s="103"/>
      <c r="AD1141" s="104">
        <f>IF(ISNA(VLOOKUP(D1141,亚马逊入库配置费!B:F,5,0)),0,VLOOKUP(D1141,亚马逊入库配置费!B:F,5,0))</f>
        <v>0.34</v>
      </c>
      <c r="AE1141" s="104">
        <f t="shared" si="266"/>
        <v>68</v>
      </c>
      <c r="AF1141" s="103">
        <v>45958</v>
      </c>
      <c r="AG1141" s="90">
        <f t="shared" si="267"/>
        <v>29</v>
      </c>
      <c r="AH1141" s="103">
        <v>45958</v>
      </c>
      <c r="AI1141" s="103">
        <v>45988</v>
      </c>
      <c r="AJ1141" s="96">
        <v>200</v>
      </c>
      <c r="AK1141" s="91">
        <f t="shared" si="268"/>
        <v>30</v>
      </c>
      <c r="AL1141" s="96">
        <f t="shared" si="270"/>
        <v>59</v>
      </c>
      <c r="AM1141" s="92"/>
      <c r="AN1141" s="91"/>
      <c r="AO1141" s="91"/>
    </row>
    <row r="1142" spans="1:41" ht="14.5" x14ac:dyDescent="0.25">
      <c r="A1142" s="110" t="s">
        <v>1951</v>
      </c>
      <c r="B1142" s="91"/>
      <c r="C1142" s="135" t="s">
        <v>1935</v>
      </c>
      <c r="D1142" s="187" t="s">
        <v>1946</v>
      </c>
      <c r="E1142" s="135" t="s">
        <v>97</v>
      </c>
      <c r="F1142" s="135" t="s">
        <v>0</v>
      </c>
      <c r="G1142" s="58" t="s">
        <v>786</v>
      </c>
      <c r="H1142" s="135">
        <v>200</v>
      </c>
      <c r="I1142" s="135" t="s">
        <v>89</v>
      </c>
      <c r="J1142" s="182" t="s">
        <v>1365</v>
      </c>
      <c r="K1142" s="187" t="s">
        <v>13</v>
      </c>
      <c r="L1142" s="93" t="s">
        <v>786</v>
      </c>
      <c r="M1142" s="94" t="s">
        <v>3395</v>
      </c>
      <c r="N1142" s="95" t="s">
        <v>2870</v>
      </c>
      <c r="O1142" s="189">
        <v>5</v>
      </c>
      <c r="P1142" s="97">
        <f t="shared" si="276"/>
        <v>71.802575107296136</v>
      </c>
      <c r="Q1142" s="155" t="s">
        <v>1443</v>
      </c>
      <c r="R1142" s="135">
        <v>3.8</v>
      </c>
      <c r="S1142" s="95"/>
      <c r="T1142" s="98"/>
      <c r="U1142" s="186">
        <f t="shared" si="277"/>
        <v>277.86411205528975</v>
      </c>
      <c r="V1142" s="100">
        <f t="shared" si="271"/>
        <v>1.3893205602764487</v>
      </c>
      <c r="W1142" s="101">
        <f t="shared" si="272"/>
        <v>0.19847436575377839</v>
      </c>
      <c r="X1142" s="95"/>
      <c r="Y1142" s="95"/>
      <c r="Z1142" s="102"/>
      <c r="AA1142" s="103">
        <v>45929</v>
      </c>
      <c r="AB1142" s="118">
        <v>45948</v>
      </c>
      <c r="AC1142" s="103"/>
      <c r="AD1142" s="104">
        <f>IF(ISNA(VLOOKUP(D1142,亚马逊入库配置费!B:F,5,0)),0,VLOOKUP(D1142,亚马逊入库配置费!B:F,5,0))</f>
        <v>0.34</v>
      </c>
      <c r="AE1142" s="104">
        <f t="shared" si="266"/>
        <v>68</v>
      </c>
      <c r="AF1142" s="103">
        <v>45958</v>
      </c>
      <c r="AG1142" s="90">
        <f t="shared" si="267"/>
        <v>29</v>
      </c>
      <c r="AH1142" s="103">
        <v>45958</v>
      </c>
      <c r="AI1142" s="103">
        <v>45988</v>
      </c>
      <c r="AJ1142" s="96">
        <v>200</v>
      </c>
      <c r="AK1142" s="91">
        <f t="shared" si="268"/>
        <v>30</v>
      </c>
      <c r="AL1142" s="96">
        <f t="shared" si="270"/>
        <v>59</v>
      </c>
      <c r="AM1142" s="92"/>
      <c r="AN1142" s="91"/>
      <c r="AO1142" s="91"/>
    </row>
    <row r="1143" spans="1:41" ht="14.5" x14ac:dyDescent="0.25">
      <c r="A1143" s="110" t="s">
        <v>1952</v>
      </c>
      <c r="B1143" s="91"/>
      <c r="C1143" s="135" t="s">
        <v>1935</v>
      </c>
      <c r="D1143" s="187" t="s">
        <v>1946</v>
      </c>
      <c r="E1143" s="135" t="s">
        <v>97</v>
      </c>
      <c r="F1143" s="135" t="s">
        <v>0</v>
      </c>
      <c r="G1143" s="58" t="s">
        <v>355</v>
      </c>
      <c r="H1143" s="135">
        <v>200</v>
      </c>
      <c r="I1143" s="135" t="s">
        <v>89</v>
      </c>
      <c r="J1143" s="182" t="s">
        <v>1365</v>
      </c>
      <c r="K1143" s="187" t="s">
        <v>13</v>
      </c>
      <c r="L1143" s="93" t="s">
        <v>2712</v>
      </c>
      <c r="M1143" s="94" t="s">
        <v>3216</v>
      </c>
      <c r="N1143" s="95" t="s">
        <v>3050</v>
      </c>
      <c r="O1143" s="189">
        <v>1</v>
      </c>
      <c r="P1143" s="97">
        <f t="shared" si="276"/>
        <v>14.360515021459227</v>
      </c>
      <c r="Q1143" s="155" t="s">
        <v>1443</v>
      </c>
      <c r="R1143" s="135">
        <v>3.8</v>
      </c>
      <c r="S1143" s="95"/>
      <c r="T1143" s="98"/>
      <c r="U1143" s="186">
        <f t="shared" si="277"/>
        <v>55.572822411057949</v>
      </c>
      <c r="V1143" s="100">
        <f t="shared" si="271"/>
        <v>0.27786411205528977</v>
      </c>
      <c r="W1143" s="101">
        <f t="shared" si="272"/>
        <v>3.9694873150755684E-2</v>
      </c>
      <c r="X1143" s="95"/>
      <c r="Y1143" s="95"/>
      <c r="Z1143" s="102"/>
      <c r="AA1143" s="103">
        <v>45929</v>
      </c>
      <c r="AB1143" s="118">
        <v>45948</v>
      </c>
      <c r="AC1143" s="103"/>
      <c r="AD1143" s="104">
        <f>IF(ISNA(VLOOKUP(D1143,亚马逊入库配置费!B:F,5,0)),0,VLOOKUP(D1143,亚马逊入库配置费!B:F,5,0))</f>
        <v>0.34</v>
      </c>
      <c r="AE1143" s="104">
        <f t="shared" si="266"/>
        <v>68</v>
      </c>
      <c r="AF1143" s="103">
        <v>45958</v>
      </c>
      <c r="AG1143" s="90">
        <f t="shared" si="267"/>
        <v>29</v>
      </c>
      <c r="AH1143" s="103">
        <v>45958</v>
      </c>
      <c r="AI1143" s="103">
        <v>45988</v>
      </c>
      <c r="AJ1143" s="96">
        <v>200</v>
      </c>
      <c r="AK1143" s="91">
        <f t="shared" si="268"/>
        <v>30</v>
      </c>
      <c r="AL1143" s="96">
        <f t="shared" si="270"/>
        <v>59</v>
      </c>
      <c r="AM1143" s="92"/>
      <c r="AN1143" s="91"/>
      <c r="AO1143" s="91"/>
    </row>
    <row r="1144" spans="1:41" ht="14.5" x14ac:dyDescent="0.25">
      <c r="A1144" s="110" t="s">
        <v>1953</v>
      </c>
      <c r="B1144" s="91"/>
      <c r="C1144" s="135" t="s">
        <v>1935</v>
      </c>
      <c r="D1144" s="187" t="s">
        <v>1954</v>
      </c>
      <c r="E1144" s="135" t="s">
        <v>115</v>
      </c>
      <c r="F1144" s="135" t="s">
        <v>0</v>
      </c>
      <c r="G1144" s="58" t="s">
        <v>1186</v>
      </c>
      <c r="H1144" s="135">
        <v>300</v>
      </c>
      <c r="I1144" s="135" t="s">
        <v>89</v>
      </c>
      <c r="J1144" s="182" t="s">
        <v>1365</v>
      </c>
      <c r="K1144" s="187" t="s">
        <v>10</v>
      </c>
      <c r="L1144" s="93" t="s">
        <v>1186</v>
      </c>
      <c r="M1144" s="94" t="s">
        <v>3431</v>
      </c>
      <c r="N1144" s="95" t="s">
        <v>2869</v>
      </c>
      <c r="O1144" s="189">
        <v>10</v>
      </c>
      <c r="P1144" s="97">
        <f>240/14*O1144</f>
        <v>171.42857142857142</v>
      </c>
      <c r="Q1144" s="155" t="s">
        <v>1443</v>
      </c>
      <c r="R1144" s="135">
        <v>4.8</v>
      </c>
      <c r="S1144" s="95"/>
      <c r="T1144" s="98"/>
      <c r="U1144" s="186">
        <f t="shared" si="277"/>
        <v>832.88579615227172</v>
      </c>
      <c r="V1144" s="100">
        <f t="shared" si="271"/>
        <v>2.7762859871742389</v>
      </c>
      <c r="W1144" s="101">
        <f t="shared" si="272"/>
        <v>0.39661228388203412</v>
      </c>
      <c r="X1144" s="95"/>
      <c r="Y1144" s="95"/>
      <c r="Z1144" s="102"/>
      <c r="AA1144" s="103">
        <v>45929</v>
      </c>
      <c r="AB1144" s="118">
        <v>45948</v>
      </c>
      <c r="AC1144" s="103"/>
      <c r="AD1144" s="104">
        <f>IF(ISNA(VLOOKUP(D1144,亚马逊入库配置费!B:F,5,0)),0,VLOOKUP(D1144,亚马逊入库配置费!B:F,5,0))</f>
        <v>0.41</v>
      </c>
      <c r="AE1144" s="104">
        <f t="shared" si="266"/>
        <v>122.99999999999999</v>
      </c>
      <c r="AF1144" s="103">
        <v>45962</v>
      </c>
      <c r="AG1144" s="90">
        <f t="shared" si="267"/>
        <v>33</v>
      </c>
      <c r="AH1144" s="103">
        <v>45962</v>
      </c>
      <c r="AI1144" s="103">
        <v>45993</v>
      </c>
      <c r="AJ1144" s="96">
        <v>298</v>
      </c>
      <c r="AK1144" s="91">
        <f t="shared" si="268"/>
        <v>31</v>
      </c>
      <c r="AL1144" s="96">
        <f t="shared" si="270"/>
        <v>64</v>
      </c>
      <c r="AM1144" s="92"/>
      <c r="AN1144" s="91"/>
      <c r="AO1144" s="91"/>
    </row>
    <row r="1145" spans="1:41" ht="14.5" x14ac:dyDescent="0.25">
      <c r="A1145" s="110" t="s">
        <v>1955</v>
      </c>
      <c r="B1145" s="91"/>
      <c r="C1145" s="135" t="s">
        <v>1935</v>
      </c>
      <c r="D1145" s="187" t="s">
        <v>1954</v>
      </c>
      <c r="E1145" s="135" t="s">
        <v>115</v>
      </c>
      <c r="F1145" s="135" t="s">
        <v>0</v>
      </c>
      <c r="G1145" s="58" t="s">
        <v>864</v>
      </c>
      <c r="H1145" s="135">
        <v>120</v>
      </c>
      <c r="I1145" s="135" t="s">
        <v>89</v>
      </c>
      <c r="J1145" s="182" t="s">
        <v>1365</v>
      </c>
      <c r="K1145" s="187" t="s">
        <v>10</v>
      </c>
      <c r="L1145" s="93" t="s">
        <v>864</v>
      </c>
      <c r="M1145" s="94" t="s">
        <v>3397</v>
      </c>
      <c r="N1145" s="95" t="s">
        <v>2869</v>
      </c>
      <c r="O1145" s="189">
        <v>4</v>
      </c>
      <c r="P1145" s="97">
        <f>240/14*O1145</f>
        <v>68.571428571428569</v>
      </c>
      <c r="Q1145" s="155" t="s">
        <v>1443</v>
      </c>
      <c r="R1145" s="135">
        <v>4.8</v>
      </c>
      <c r="S1145" s="95"/>
      <c r="T1145" s="98"/>
      <c r="U1145" s="186">
        <f t="shared" si="277"/>
        <v>333.15431846090871</v>
      </c>
      <c r="V1145" s="100">
        <f t="shared" si="271"/>
        <v>2.7762859871742394</v>
      </c>
      <c r="W1145" s="101">
        <f t="shared" si="272"/>
        <v>0.39661228388203418</v>
      </c>
      <c r="X1145" s="95"/>
      <c r="Y1145" s="95"/>
      <c r="Z1145" s="102"/>
      <c r="AA1145" s="103">
        <v>45929</v>
      </c>
      <c r="AB1145" s="118">
        <v>45948</v>
      </c>
      <c r="AC1145" s="103"/>
      <c r="AD1145" s="104">
        <f>IF(ISNA(VLOOKUP(D1145,亚马逊入库配置费!B:F,5,0)),0,VLOOKUP(D1145,亚马逊入库配置费!B:F,5,0))</f>
        <v>0.41</v>
      </c>
      <c r="AE1145" s="104">
        <f t="shared" si="266"/>
        <v>49.199999999999996</v>
      </c>
      <c r="AF1145" s="103">
        <v>45962</v>
      </c>
      <c r="AG1145" s="90">
        <f t="shared" si="267"/>
        <v>33</v>
      </c>
      <c r="AH1145" s="103">
        <v>45962</v>
      </c>
      <c r="AI1145" s="103">
        <v>45993</v>
      </c>
      <c r="AJ1145" s="96">
        <v>120</v>
      </c>
      <c r="AK1145" s="91">
        <f t="shared" si="268"/>
        <v>31</v>
      </c>
      <c r="AL1145" s="96">
        <f t="shared" si="270"/>
        <v>64</v>
      </c>
      <c r="AM1145" s="92"/>
      <c r="AN1145" s="91"/>
      <c r="AO1145" s="91"/>
    </row>
    <row r="1146" spans="1:41" ht="14.5" x14ac:dyDescent="0.25">
      <c r="A1146" s="110" t="s">
        <v>1956</v>
      </c>
      <c r="B1146" s="91"/>
      <c r="C1146" s="135" t="s">
        <v>1935</v>
      </c>
      <c r="D1146" s="187" t="s">
        <v>1957</v>
      </c>
      <c r="E1146" s="135" t="s">
        <v>115</v>
      </c>
      <c r="F1146" s="135" t="s">
        <v>0</v>
      </c>
      <c r="G1146" s="58" t="s">
        <v>211</v>
      </c>
      <c r="H1146" s="135">
        <v>300</v>
      </c>
      <c r="I1146" s="135" t="s">
        <v>89</v>
      </c>
      <c r="J1146" s="182" t="s">
        <v>1365</v>
      </c>
      <c r="K1146" s="187" t="s">
        <v>13</v>
      </c>
      <c r="L1146" s="93" t="s">
        <v>3034</v>
      </c>
      <c r="M1146" s="94" t="s">
        <v>3312</v>
      </c>
      <c r="N1146" s="95" t="s">
        <v>2869</v>
      </c>
      <c r="O1146" s="189">
        <v>10</v>
      </c>
      <c r="P1146" s="97">
        <f t="shared" ref="P1146:P1152" si="278">3346/233*O1146</f>
        <v>143.60515021459227</v>
      </c>
      <c r="Q1146" s="155" t="s">
        <v>1443</v>
      </c>
      <c r="R1146" s="135">
        <v>3.8</v>
      </c>
      <c r="S1146" s="95"/>
      <c r="T1146" s="98"/>
      <c r="U1146" s="186">
        <f t="shared" si="277"/>
        <v>555.7282241105795</v>
      </c>
      <c r="V1146" s="100">
        <f t="shared" si="271"/>
        <v>1.8524274137019316</v>
      </c>
      <c r="W1146" s="101">
        <f t="shared" si="272"/>
        <v>0.2646324876717045</v>
      </c>
      <c r="X1146" s="95"/>
      <c r="Y1146" s="95"/>
      <c r="Z1146" s="102"/>
      <c r="AA1146" s="103">
        <v>45929</v>
      </c>
      <c r="AB1146" s="118">
        <v>45948</v>
      </c>
      <c r="AC1146" s="103"/>
      <c r="AD1146" s="104">
        <f>IF(ISNA(VLOOKUP(D1146,亚马逊入库配置费!B:F,5,0)),0,VLOOKUP(D1146,亚马逊入库配置费!B:F,5,0))</f>
        <v>0.41857142857142898</v>
      </c>
      <c r="AE1146" s="104">
        <f t="shared" si="266"/>
        <v>125.5714285714287</v>
      </c>
      <c r="AF1146" s="103">
        <v>45958</v>
      </c>
      <c r="AG1146" s="90">
        <f t="shared" si="267"/>
        <v>29</v>
      </c>
      <c r="AH1146" s="103">
        <v>45958</v>
      </c>
      <c r="AI1146" s="103">
        <v>45991</v>
      </c>
      <c r="AJ1146" s="96">
        <v>298</v>
      </c>
      <c r="AK1146" s="91">
        <f t="shared" si="268"/>
        <v>33</v>
      </c>
      <c r="AL1146" s="96">
        <f t="shared" si="270"/>
        <v>62</v>
      </c>
      <c r="AM1146" s="92"/>
      <c r="AN1146" s="91"/>
      <c r="AO1146" s="91"/>
    </row>
    <row r="1147" spans="1:41" ht="14.5" x14ac:dyDescent="0.25">
      <c r="A1147" s="110" t="s">
        <v>1958</v>
      </c>
      <c r="B1147" s="91"/>
      <c r="C1147" s="135" t="s">
        <v>1935</v>
      </c>
      <c r="D1147" s="187" t="s">
        <v>1957</v>
      </c>
      <c r="E1147" s="135" t="s">
        <v>115</v>
      </c>
      <c r="F1147" s="135" t="s">
        <v>0</v>
      </c>
      <c r="G1147" s="58" t="s">
        <v>608</v>
      </c>
      <c r="H1147" s="135">
        <v>210</v>
      </c>
      <c r="I1147" s="135" t="s">
        <v>89</v>
      </c>
      <c r="J1147" s="182" t="s">
        <v>1365</v>
      </c>
      <c r="K1147" s="187" t="s">
        <v>13</v>
      </c>
      <c r="L1147" s="93" t="s">
        <v>3076</v>
      </c>
      <c r="M1147" s="94" t="s">
        <v>3377</v>
      </c>
      <c r="N1147" s="95" t="s">
        <v>2869</v>
      </c>
      <c r="O1147" s="189">
        <v>7</v>
      </c>
      <c r="P1147" s="97">
        <f t="shared" si="278"/>
        <v>100.52360515021459</v>
      </c>
      <c r="Q1147" s="155" t="s">
        <v>1443</v>
      </c>
      <c r="R1147" s="135">
        <v>3.8</v>
      </c>
      <c r="S1147" s="95"/>
      <c r="T1147" s="98"/>
      <c r="U1147" s="186">
        <f t="shared" si="277"/>
        <v>389.00975687740572</v>
      </c>
      <c r="V1147" s="100">
        <f t="shared" si="271"/>
        <v>1.8524274137019321</v>
      </c>
      <c r="W1147" s="101">
        <f t="shared" si="272"/>
        <v>0.26463248767170461</v>
      </c>
      <c r="X1147" s="95"/>
      <c r="Y1147" s="95"/>
      <c r="Z1147" s="102"/>
      <c r="AA1147" s="103">
        <v>45929</v>
      </c>
      <c r="AB1147" s="118">
        <v>45948</v>
      </c>
      <c r="AC1147" s="103"/>
      <c r="AD1147" s="104">
        <f>IF(ISNA(VLOOKUP(D1147,亚马逊入库配置费!B:F,5,0)),0,VLOOKUP(D1147,亚马逊入库配置费!B:F,5,0))</f>
        <v>0.41857142857142898</v>
      </c>
      <c r="AE1147" s="104">
        <f t="shared" si="266"/>
        <v>87.900000000000091</v>
      </c>
      <c r="AF1147" s="103">
        <v>45958</v>
      </c>
      <c r="AG1147" s="90">
        <f t="shared" si="267"/>
        <v>29</v>
      </c>
      <c r="AH1147" s="103">
        <v>45958</v>
      </c>
      <c r="AI1147" s="103">
        <v>45991</v>
      </c>
      <c r="AJ1147" s="96">
        <v>209</v>
      </c>
      <c r="AK1147" s="91">
        <f t="shared" si="268"/>
        <v>33</v>
      </c>
      <c r="AL1147" s="96">
        <f t="shared" si="270"/>
        <v>62</v>
      </c>
      <c r="AM1147" s="92"/>
      <c r="AN1147" s="91"/>
      <c r="AO1147" s="91"/>
    </row>
    <row r="1148" spans="1:41" ht="14.5" x14ac:dyDescent="0.25">
      <c r="A1148" s="110" t="s">
        <v>1959</v>
      </c>
      <c r="B1148" s="91"/>
      <c r="C1148" s="135" t="s">
        <v>1935</v>
      </c>
      <c r="D1148" s="187" t="s">
        <v>1957</v>
      </c>
      <c r="E1148" s="135" t="s">
        <v>115</v>
      </c>
      <c r="F1148" s="135" t="s">
        <v>0</v>
      </c>
      <c r="G1148" s="58" t="s">
        <v>485</v>
      </c>
      <c r="H1148" s="135">
        <v>120</v>
      </c>
      <c r="I1148" s="135" t="s">
        <v>89</v>
      </c>
      <c r="J1148" s="182" t="s">
        <v>1365</v>
      </c>
      <c r="K1148" s="187" t="s">
        <v>13</v>
      </c>
      <c r="L1148" s="93" t="s">
        <v>3065</v>
      </c>
      <c r="M1148" s="94" t="s">
        <v>3358</v>
      </c>
      <c r="N1148" s="95" t="s">
        <v>2869</v>
      </c>
      <c r="O1148" s="189">
        <v>4</v>
      </c>
      <c r="P1148" s="97">
        <f t="shared" si="278"/>
        <v>57.442060085836907</v>
      </c>
      <c r="Q1148" s="155" t="s">
        <v>1443</v>
      </c>
      <c r="R1148" s="135">
        <v>3.8</v>
      </c>
      <c r="S1148" s="95"/>
      <c r="T1148" s="98"/>
      <c r="U1148" s="186">
        <f t="shared" si="277"/>
        <v>222.2912896442318</v>
      </c>
      <c r="V1148" s="100">
        <f t="shared" si="271"/>
        <v>1.8524274137019316</v>
      </c>
      <c r="W1148" s="101">
        <f t="shared" si="272"/>
        <v>0.2646324876717045</v>
      </c>
      <c r="X1148" s="95"/>
      <c r="Y1148" s="95"/>
      <c r="Z1148" s="102"/>
      <c r="AA1148" s="103">
        <v>45929</v>
      </c>
      <c r="AB1148" s="118">
        <v>45948</v>
      </c>
      <c r="AC1148" s="103"/>
      <c r="AD1148" s="104">
        <f>IF(ISNA(VLOOKUP(D1148,亚马逊入库配置费!B:F,5,0)),0,VLOOKUP(D1148,亚马逊入库配置费!B:F,5,0))</f>
        <v>0.41857142857142898</v>
      </c>
      <c r="AE1148" s="104">
        <f t="shared" si="266"/>
        <v>50.228571428571477</v>
      </c>
      <c r="AF1148" s="103">
        <v>45958</v>
      </c>
      <c r="AG1148" s="90">
        <f t="shared" si="267"/>
        <v>29</v>
      </c>
      <c r="AH1148" s="103">
        <v>45958</v>
      </c>
      <c r="AI1148" s="103">
        <v>45991</v>
      </c>
      <c r="AJ1148" s="96">
        <v>122</v>
      </c>
      <c r="AK1148" s="91">
        <f t="shared" si="268"/>
        <v>33</v>
      </c>
      <c r="AL1148" s="96">
        <f t="shared" si="270"/>
        <v>62</v>
      </c>
      <c r="AM1148" s="92"/>
      <c r="AN1148" s="91"/>
      <c r="AO1148" s="91"/>
    </row>
    <row r="1149" spans="1:41" ht="14.5" x14ac:dyDescent="0.25">
      <c r="A1149" s="110" t="s">
        <v>1960</v>
      </c>
      <c r="B1149" s="91"/>
      <c r="C1149" s="135" t="s">
        <v>1935</v>
      </c>
      <c r="D1149" s="187" t="s">
        <v>1957</v>
      </c>
      <c r="E1149" s="135" t="s">
        <v>115</v>
      </c>
      <c r="F1149" s="135" t="s">
        <v>0</v>
      </c>
      <c r="G1149" s="58" t="s">
        <v>487</v>
      </c>
      <c r="H1149" s="135">
        <v>90</v>
      </c>
      <c r="I1149" s="135" t="s">
        <v>89</v>
      </c>
      <c r="J1149" s="182" t="s">
        <v>1365</v>
      </c>
      <c r="K1149" s="187" t="s">
        <v>13</v>
      </c>
      <c r="L1149" s="93" t="s">
        <v>3066</v>
      </c>
      <c r="M1149" s="94" t="s">
        <v>3359</v>
      </c>
      <c r="N1149" s="95" t="s">
        <v>2869</v>
      </c>
      <c r="O1149" s="189">
        <v>3</v>
      </c>
      <c r="P1149" s="97">
        <f t="shared" si="278"/>
        <v>43.081545064377679</v>
      </c>
      <c r="Q1149" s="155" t="s">
        <v>1443</v>
      </c>
      <c r="R1149" s="135">
        <v>3.8</v>
      </c>
      <c r="S1149" s="95"/>
      <c r="T1149" s="98"/>
      <c r="U1149" s="186">
        <f t="shared" si="277"/>
        <v>166.71846723317384</v>
      </c>
      <c r="V1149" s="100">
        <f t="shared" si="271"/>
        <v>1.8524274137019316</v>
      </c>
      <c r="W1149" s="101">
        <f t="shared" si="272"/>
        <v>0.2646324876717045</v>
      </c>
      <c r="X1149" s="95"/>
      <c r="Y1149" s="95"/>
      <c r="Z1149" s="102"/>
      <c r="AA1149" s="103">
        <v>45929</v>
      </c>
      <c r="AB1149" s="118">
        <v>45948</v>
      </c>
      <c r="AC1149" s="103"/>
      <c r="AD1149" s="104">
        <f>IF(ISNA(VLOOKUP(D1149,亚马逊入库配置费!B:F,5,0)),0,VLOOKUP(D1149,亚马逊入库配置费!B:F,5,0))</f>
        <v>0.41857142857142898</v>
      </c>
      <c r="AE1149" s="104">
        <f t="shared" si="266"/>
        <v>37.671428571428606</v>
      </c>
      <c r="AF1149" s="103">
        <v>45958</v>
      </c>
      <c r="AG1149" s="90">
        <f t="shared" si="267"/>
        <v>29</v>
      </c>
      <c r="AH1149" s="103">
        <v>45958</v>
      </c>
      <c r="AI1149" s="103">
        <v>45991</v>
      </c>
      <c r="AJ1149" s="96">
        <v>90</v>
      </c>
      <c r="AK1149" s="91">
        <f t="shared" si="268"/>
        <v>33</v>
      </c>
      <c r="AL1149" s="96">
        <f t="shared" si="270"/>
        <v>62</v>
      </c>
      <c r="AM1149" s="92"/>
      <c r="AN1149" s="91"/>
      <c r="AO1149" s="91"/>
    </row>
    <row r="1150" spans="1:41" ht="14.5" x14ac:dyDescent="0.25">
      <c r="A1150" s="110" t="s">
        <v>1961</v>
      </c>
      <c r="B1150" s="91"/>
      <c r="C1150" s="135" t="s">
        <v>1935</v>
      </c>
      <c r="D1150" s="187" t="s">
        <v>1957</v>
      </c>
      <c r="E1150" s="135" t="s">
        <v>115</v>
      </c>
      <c r="F1150" s="135" t="s">
        <v>0</v>
      </c>
      <c r="G1150" s="58" t="s">
        <v>481</v>
      </c>
      <c r="H1150" s="135">
        <v>90</v>
      </c>
      <c r="I1150" s="135" t="s">
        <v>89</v>
      </c>
      <c r="J1150" s="182" t="s">
        <v>1365</v>
      </c>
      <c r="K1150" s="187" t="s">
        <v>13</v>
      </c>
      <c r="L1150" s="93" t="s">
        <v>3064</v>
      </c>
      <c r="M1150" s="94" t="s">
        <v>3356</v>
      </c>
      <c r="N1150" s="95" t="s">
        <v>2869</v>
      </c>
      <c r="O1150" s="189">
        <v>3</v>
      </c>
      <c r="P1150" s="97">
        <f t="shared" si="278"/>
        <v>43.081545064377679</v>
      </c>
      <c r="Q1150" s="155" t="s">
        <v>1443</v>
      </c>
      <c r="R1150" s="135">
        <v>3.8</v>
      </c>
      <c r="S1150" s="95"/>
      <c r="T1150" s="98"/>
      <c r="U1150" s="186">
        <f t="shared" si="277"/>
        <v>166.71846723317384</v>
      </c>
      <c r="V1150" s="100">
        <f t="shared" si="271"/>
        <v>1.8524274137019316</v>
      </c>
      <c r="W1150" s="101">
        <f t="shared" si="272"/>
        <v>0.2646324876717045</v>
      </c>
      <c r="X1150" s="95"/>
      <c r="Y1150" s="95"/>
      <c r="Z1150" s="102"/>
      <c r="AA1150" s="103">
        <v>45929</v>
      </c>
      <c r="AB1150" s="118">
        <v>45948</v>
      </c>
      <c r="AC1150" s="103"/>
      <c r="AD1150" s="104">
        <f>IF(ISNA(VLOOKUP(D1150,亚马逊入库配置费!B:F,5,0)),0,VLOOKUP(D1150,亚马逊入库配置费!B:F,5,0))</f>
        <v>0.41857142857142898</v>
      </c>
      <c r="AE1150" s="104">
        <f t="shared" si="266"/>
        <v>37.671428571428606</v>
      </c>
      <c r="AF1150" s="103">
        <v>45958</v>
      </c>
      <c r="AG1150" s="90">
        <f t="shared" si="267"/>
        <v>29</v>
      </c>
      <c r="AH1150" s="103">
        <v>45958</v>
      </c>
      <c r="AI1150" s="103">
        <v>45991</v>
      </c>
      <c r="AJ1150" s="96">
        <v>90</v>
      </c>
      <c r="AK1150" s="91">
        <f t="shared" si="268"/>
        <v>33</v>
      </c>
      <c r="AL1150" s="96">
        <f t="shared" si="270"/>
        <v>62</v>
      </c>
      <c r="AM1150" s="92"/>
      <c r="AN1150" s="91"/>
      <c r="AO1150" s="91"/>
    </row>
    <row r="1151" spans="1:41" ht="14.5" x14ac:dyDescent="0.25">
      <c r="A1151" s="110" t="s">
        <v>1962</v>
      </c>
      <c r="B1151" s="91"/>
      <c r="C1151" s="135" t="s">
        <v>1935</v>
      </c>
      <c r="D1151" s="187" t="s">
        <v>1957</v>
      </c>
      <c r="E1151" s="135" t="s">
        <v>115</v>
      </c>
      <c r="F1151" s="135" t="s">
        <v>0</v>
      </c>
      <c r="G1151" s="193" t="s">
        <v>213</v>
      </c>
      <c r="H1151" s="135">
        <v>390</v>
      </c>
      <c r="I1151" s="135" t="s">
        <v>89</v>
      </c>
      <c r="J1151" s="182" t="s">
        <v>1365</v>
      </c>
      <c r="K1151" s="187" t="s">
        <v>13</v>
      </c>
      <c r="L1151" s="93" t="s">
        <v>3035</v>
      </c>
      <c r="M1151" s="94" t="s">
        <v>3313</v>
      </c>
      <c r="N1151" s="95" t="s">
        <v>2869</v>
      </c>
      <c r="O1151" s="189">
        <v>13</v>
      </c>
      <c r="P1151" s="97">
        <f t="shared" si="278"/>
        <v>186.68669527896995</v>
      </c>
      <c r="Q1151" s="155" t="s">
        <v>1443</v>
      </c>
      <c r="R1151" s="135">
        <v>3.8</v>
      </c>
      <c r="S1151" s="95"/>
      <c r="T1151" s="98"/>
      <c r="U1151" s="186">
        <f t="shared" si="277"/>
        <v>722.4466913437534</v>
      </c>
      <c r="V1151" s="100">
        <f t="shared" si="271"/>
        <v>1.8524274137019319</v>
      </c>
      <c r="W1151" s="101">
        <f t="shared" si="272"/>
        <v>0.26463248767170455</v>
      </c>
      <c r="X1151" s="95"/>
      <c r="Y1151" s="95"/>
      <c r="Z1151" s="102"/>
      <c r="AA1151" s="103">
        <v>45929</v>
      </c>
      <c r="AB1151" s="118">
        <v>45948</v>
      </c>
      <c r="AC1151" s="103"/>
      <c r="AD1151" s="104">
        <f>IF(ISNA(VLOOKUP(D1151,亚马逊入库配置费!B:F,5,0)),0,VLOOKUP(D1151,亚马逊入库配置费!B:F,5,0))</f>
        <v>0.41857142857142898</v>
      </c>
      <c r="AE1151" s="104">
        <f t="shared" si="266"/>
        <v>163.2428571428573</v>
      </c>
      <c r="AF1151" s="103">
        <v>45958</v>
      </c>
      <c r="AG1151" s="90">
        <f t="shared" si="267"/>
        <v>29</v>
      </c>
      <c r="AH1151" s="103">
        <v>45958</v>
      </c>
      <c r="AI1151" s="103">
        <v>45991</v>
      </c>
      <c r="AJ1151" s="96">
        <v>390</v>
      </c>
      <c r="AK1151" s="91">
        <f t="shared" si="268"/>
        <v>33</v>
      </c>
      <c r="AL1151" s="96">
        <f t="shared" si="270"/>
        <v>62</v>
      </c>
      <c r="AM1151" s="92"/>
      <c r="AN1151" s="91"/>
      <c r="AO1151" s="91"/>
    </row>
    <row r="1152" spans="1:41" ht="14.5" x14ac:dyDescent="0.25">
      <c r="A1152" s="110" t="s">
        <v>1963</v>
      </c>
      <c r="B1152" s="91"/>
      <c r="C1152" s="135" t="s">
        <v>1935</v>
      </c>
      <c r="D1152" s="187" t="s">
        <v>1957</v>
      </c>
      <c r="E1152" s="135" t="s">
        <v>115</v>
      </c>
      <c r="F1152" s="135" t="s">
        <v>0</v>
      </c>
      <c r="G1152" s="58" t="s">
        <v>614</v>
      </c>
      <c r="H1152" s="135">
        <v>144</v>
      </c>
      <c r="I1152" s="135" t="s">
        <v>89</v>
      </c>
      <c r="J1152" s="182" t="s">
        <v>1365</v>
      </c>
      <c r="K1152" s="187" t="s">
        <v>13</v>
      </c>
      <c r="L1152" s="93" t="s">
        <v>2695</v>
      </c>
      <c r="M1152" s="94" t="s">
        <v>3215</v>
      </c>
      <c r="N1152" s="95" t="s">
        <v>2822</v>
      </c>
      <c r="O1152" s="189">
        <v>4</v>
      </c>
      <c r="P1152" s="97">
        <f t="shared" si="278"/>
        <v>57.442060085836907</v>
      </c>
      <c r="Q1152" s="155" t="s">
        <v>1443</v>
      </c>
      <c r="R1152" s="135">
        <v>3.8</v>
      </c>
      <c r="S1152" s="95"/>
      <c r="T1152" s="98"/>
      <c r="U1152" s="186">
        <f t="shared" si="277"/>
        <v>222.2912896442318</v>
      </c>
      <c r="V1152" s="100">
        <f t="shared" si="271"/>
        <v>1.5436895114182763</v>
      </c>
      <c r="W1152" s="101">
        <f t="shared" si="272"/>
        <v>0.22052707305975375</v>
      </c>
      <c r="X1152" s="95"/>
      <c r="Y1152" s="95"/>
      <c r="Z1152" s="102"/>
      <c r="AA1152" s="103">
        <v>45929</v>
      </c>
      <c r="AB1152" s="118">
        <v>45948</v>
      </c>
      <c r="AC1152" s="103"/>
      <c r="AD1152" s="104">
        <f>IF(ISNA(VLOOKUP(D1152,亚马逊入库配置费!B:F,5,0)),0,VLOOKUP(D1152,亚马逊入库配置费!B:F,5,0))</f>
        <v>0.41857142857142898</v>
      </c>
      <c r="AE1152" s="104">
        <f t="shared" si="266"/>
        <v>60.274285714285774</v>
      </c>
      <c r="AF1152" s="103">
        <v>45958</v>
      </c>
      <c r="AG1152" s="90">
        <f t="shared" si="267"/>
        <v>29</v>
      </c>
      <c r="AH1152" s="103">
        <v>45958</v>
      </c>
      <c r="AI1152" s="103">
        <v>45991</v>
      </c>
      <c r="AJ1152" s="96">
        <v>144</v>
      </c>
      <c r="AK1152" s="91">
        <f t="shared" si="268"/>
        <v>33</v>
      </c>
      <c r="AL1152" s="96">
        <f t="shared" si="270"/>
        <v>62</v>
      </c>
      <c r="AM1152" s="92"/>
      <c r="AN1152" s="91"/>
      <c r="AO1152" s="91"/>
    </row>
    <row r="1153" spans="1:41" ht="14.5" x14ac:dyDescent="0.25">
      <c r="A1153" s="110" t="s">
        <v>1964</v>
      </c>
      <c r="B1153" s="91"/>
      <c r="C1153" s="135" t="s">
        <v>1965</v>
      </c>
      <c r="D1153" s="187" t="s">
        <v>1966</v>
      </c>
      <c r="E1153" s="135" t="s">
        <v>278</v>
      </c>
      <c r="F1153" s="135" t="s">
        <v>87</v>
      </c>
      <c r="G1153" s="58" t="s">
        <v>282</v>
      </c>
      <c r="H1153" s="135">
        <v>32</v>
      </c>
      <c r="I1153" s="135" t="s">
        <v>89</v>
      </c>
      <c r="J1153" s="135" t="s">
        <v>90</v>
      </c>
      <c r="K1153" s="187" t="s">
        <v>1967</v>
      </c>
      <c r="L1153" s="93" t="s">
        <v>2783</v>
      </c>
      <c r="M1153" s="94" t="s">
        <v>3322</v>
      </c>
      <c r="N1153" s="95" t="s">
        <v>2785</v>
      </c>
      <c r="O1153" s="189">
        <v>2</v>
      </c>
      <c r="P1153" s="97">
        <f>73/5*O1153</f>
        <v>29.2</v>
      </c>
      <c r="Q1153" s="155" t="s">
        <v>1443</v>
      </c>
      <c r="R1153" s="135">
        <v>6</v>
      </c>
      <c r="S1153" s="95"/>
      <c r="T1153" s="98"/>
      <c r="U1153" s="186">
        <f>R1153*P1153+350/39*O1153</f>
        <v>193.14871794871794</v>
      </c>
      <c r="V1153" s="100">
        <f t="shared" si="271"/>
        <v>6.0358974358974358</v>
      </c>
      <c r="W1153" s="101">
        <f t="shared" si="272"/>
        <v>0.86227106227106221</v>
      </c>
      <c r="X1153" s="95"/>
      <c r="Y1153" s="95"/>
      <c r="Z1153" s="102"/>
      <c r="AA1153" s="103">
        <v>45929</v>
      </c>
      <c r="AB1153" s="118">
        <v>45963</v>
      </c>
      <c r="AC1153" s="103"/>
      <c r="AD1153" s="104">
        <f>IF(ISNA(VLOOKUP(D1153,亚马逊入库配置费!B:F,5,0)),0,VLOOKUP(D1153,亚马逊入库配置费!B:F,5,0))</f>
        <v>0</v>
      </c>
      <c r="AE1153" s="104">
        <f t="shared" si="266"/>
        <v>0</v>
      </c>
      <c r="AF1153" s="103">
        <v>45968</v>
      </c>
      <c r="AG1153" s="90">
        <f t="shared" si="267"/>
        <v>39</v>
      </c>
      <c r="AH1153" s="103">
        <v>45968</v>
      </c>
      <c r="AI1153" s="103">
        <v>45972</v>
      </c>
      <c r="AJ1153" s="96">
        <v>32</v>
      </c>
      <c r="AK1153" s="91">
        <f t="shared" si="268"/>
        <v>4</v>
      </c>
      <c r="AL1153" s="96">
        <f t="shared" si="270"/>
        <v>43</v>
      </c>
      <c r="AM1153" s="92"/>
      <c r="AN1153" s="91"/>
      <c r="AO1153" s="91"/>
    </row>
    <row r="1154" spans="1:41" ht="14.5" x14ac:dyDescent="0.25">
      <c r="A1154" s="110" t="s">
        <v>1968</v>
      </c>
      <c r="B1154" s="91"/>
      <c r="C1154" s="135" t="s">
        <v>1965</v>
      </c>
      <c r="D1154" s="187" t="s">
        <v>1966</v>
      </c>
      <c r="E1154" s="135" t="s">
        <v>278</v>
      </c>
      <c r="F1154" s="135" t="s">
        <v>87</v>
      </c>
      <c r="G1154" s="58" t="s">
        <v>284</v>
      </c>
      <c r="H1154" s="135">
        <v>48</v>
      </c>
      <c r="I1154" s="135" t="s">
        <v>89</v>
      </c>
      <c r="J1154" s="135" t="s">
        <v>90</v>
      </c>
      <c r="K1154" s="187" t="s">
        <v>1967</v>
      </c>
      <c r="L1154" s="93" t="s">
        <v>3039</v>
      </c>
      <c r="M1154" s="94" t="s">
        <v>3323</v>
      </c>
      <c r="N1154" s="95" t="s">
        <v>2915</v>
      </c>
      <c r="O1154" s="189">
        <v>3</v>
      </c>
      <c r="P1154" s="97">
        <f>73/5*O1154</f>
        <v>43.8</v>
      </c>
      <c r="Q1154" s="155" t="s">
        <v>1443</v>
      </c>
      <c r="R1154" s="135">
        <v>6</v>
      </c>
      <c r="S1154" s="95"/>
      <c r="T1154" s="98"/>
      <c r="U1154" s="186">
        <f>R1154*P1154+350/39*O1154</f>
        <v>289.72307692307686</v>
      </c>
      <c r="V1154" s="100">
        <f t="shared" si="271"/>
        <v>6.0358974358974349</v>
      </c>
      <c r="W1154" s="101">
        <f t="shared" si="272"/>
        <v>0.86227106227106209</v>
      </c>
      <c r="X1154" s="95"/>
      <c r="Y1154" s="95"/>
      <c r="Z1154" s="102"/>
      <c r="AA1154" s="103">
        <v>45929</v>
      </c>
      <c r="AB1154" s="118">
        <v>45963</v>
      </c>
      <c r="AC1154" s="103"/>
      <c r="AD1154" s="104">
        <f>IF(ISNA(VLOOKUP(D1154,亚马逊入库配置费!B:F,5,0)),0,VLOOKUP(D1154,亚马逊入库配置费!B:F,5,0))</f>
        <v>0</v>
      </c>
      <c r="AE1154" s="104">
        <f t="shared" ref="AE1154:AE1217" si="279">H1154*AD1154</f>
        <v>0</v>
      </c>
      <c r="AF1154" s="103">
        <v>45968</v>
      </c>
      <c r="AG1154" s="90">
        <f t="shared" ref="AG1154:AG1217" si="280">AF1154-AA1154</f>
        <v>39</v>
      </c>
      <c r="AH1154" s="103">
        <v>45968</v>
      </c>
      <c r="AI1154" s="103">
        <v>45972</v>
      </c>
      <c r="AJ1154" s="96">
        <v>48</v>
      </c>
      <c r="AK1154" s="91">
        <f t="shared" ref="AK1154:AK1217" si="281">AI1154-AH1154</f>
        <v>4</v>
      </c>
      <c r="AL1154" s="96">
        <f t="shared" si="270"/>
        <v>43</v>
      </c>
      <c r="AM1154" s="92"/>
      <c r="AN1154" s="91"/>
      <c r="AO1154" s="91"/>
    </row>
    <row r="1155" spans="1:41" ht="14.5" x14ac:dyDescent="0.25">
      <c r="A1155" s="110" t="s">
        <v>1969</v>
      </c>
      <c r="B1155" s="91"/>
      <c r="C1155" s="135" t="s">
        <v>1965</v>
      </c>
      <c r="D1155" s="187" t="s">
        <v>1970</v>
      </c>
      <c r="E1155" s="135" t="s">
        <v>1971</v>
      </c>
      <c r="F1155" s="135" t="s">
        <v>87</v>
      </c>
      <c r="G1155" s="58" t="s">
        <v>564</v>
      </c>
      <c r="H1155" s="135">
        <v>60</v>
      </c>
      <c r="I1155" s="135" t="s">
        <v>89</v>
      </c>
      <c r="J1155" s="135" t="s">
        <v>90</v>
      </c>
      <c r="K1155" s="187" t="s">
        <v>280</v>
      </c>
      <c r="L1155" s="93" t="s">
        <v>3074</v>
      </c>
      <c r="M1155" s="94" t="s">
        <v>3375</v>
      </c>
      <c r="N1155" s="95" t="s">
        <v>2917</v>
      </c>
      <c r="O1155" s="189">
        <v>5</v>
      </c>
      <c r="P1155" s="97">
        <f>352/26*O1155</f>
        <v>67.692307692307693</v>
      </c>
      <c r="Q1155" s="155" t="s">
        <v>1443</v>
      </c>
      <c r="R1155" s="135">
        <v>6</v>
      </c>
      <c r="S1155" s="95"/>
      <c r="T1155" s="98"/>
      <c r="U1155" s="186">
        <f>R1155*P1155+350/39*O1155</f>
        <v>451.02564102564105</v>
      </c>
      <c r="V1155" s="100">
        <f t="shared" si="271"/>
        <v>7.5170940170940179</v>
      </c>
      <c r="W1155" s="101">
        <f t="shared" si="272"/>
        <v>1.0738705738705741</v>
      </c>
      <c r="X1155" s="95"/>
      <c r="Y1155" s="95"/>
      <c r="Z1155" s="102"/>
      <c r="AA1155" s="103">
        <v>45929</v>
      </c>
      <c r="AB1155" s="118">
        <v>45963</v>
      </c>
      <c r="AC1155" s="103"/>
      <c r="AD1155" s="104">
        <f>IF(ISNA(VLOOKUP(D1155,亚马逊入库配置费!B:F,5,0)),0,VLOOKUP(D1155,亚马逊入库配置费!B:F,5,0))</f>
        <v>0</v>
      </c>
      <c r="AE1155" s="104">
        <f t="shared" si="279"/>
        <v>0</v>
      </c>
      <c r="AF1155" s="103">
        <v>45968</v>
      </c>
      <c r="AG1155" s="90">
        <f t="shared" si="280"/>
        <v>39</v>
      </c>
      <c r="AH1155" s="103">
        <v>45968</v>
      </c>
      <c r="AI1155" s="103">
        <v>45975</v>
      </c>
      <c r="AJ1155" s="96">
        <v>60</v>
      </c>
      <c r="AK1155" s="91">
        <f t="shared" si="281"/>
        <v>7</v>
      </c>
      <c r="AL1155" s="96">
        <f t="shared" si="270"/>
        <v>46</v>
      </c>
      <c r="AM1155" s="92"/>
      <c r="AN1155" s="91"/>
      <c r="AO1155" s="91"/>
    </row>
    <row r="1156" spans="1:41" ht="14.5" x14ac:dyDescent="0.25">
      <c r="A1156" s="110" t="s">
        <v>1972</v>
      </c>
      <c r="B1156" s="91"/>
      <c r="C1156" s="135" t="s">
        <v>1965</v>
      </c>
      <c r="D1156" s="187" t="s">
        <v>1970</v>
      </c>
      <c r="E1156" s="135" t="s">
        <v>1971</v>
      </c>
      <c r="F1156" s="135" t="s">
        <v>87</v>
      </c>
      <c r="G1156" s="58" t="s">
        <v>296</v>
      </c>
      <c r="H1156" s="135">
        <v>252</v>
      </c>
      <c r="I1156" s="135" t="s">
        <v>89</v>
      </c>
      <c r="J1156" s="135" t="s">
        <v>90</v>
      </c>
      <c r="K1156" s="187" t="s">
        <v>280</v>
      </c>
      <c r="L1156" s="93" t="s">
        <v>2684</v>
      </c>
      <c r="M1156" s="94" t="s">
        <v>3326</v>
      </c>
      <c r="N1156" s="95" t="s">
        <v>2917</v>
      </c>
      <c r="O1156" s="189">
        <v>21</v>
      </c>
      <c r="P1156" s="97">
        <f>352/26*O1156</f>
        <v>284.30769230769232</v>
      </c>
      <c r="Q1156" s="155" t="s">
        <v>1443</v>
      </c>
      <c r="R1156" s="135">
        <v>6</v>
      </c>
      <c r="S1156" s="95"/>
      <c r="T1156" s="98"/>
      <c r="U1156" s="186">
        <f>R1156*P1156+350/39*O1156</f>
        <v>1894.3076923076924</v>
      </c>
      <c r="V1156" s="100">
        <f t="shared" si="271"/>
        <v>7.517094017094017</v>
      </c>
      <c r="W1156" s="101">
        <f t="shared" si="272"/>
        <v>1.0738705738705738</v>
      </c>
      <c r="X1156" s="95"/>
      <c r="Y1156" s="95"/>
      <c r="Z1156" s="102"/>
      <c r="AA1156" s="103">
        <v>45929</v>
      </c>
      <c r="AB1156" s="118">
        <v>45963</v>
      </c>
      <c r="AC1156" s="103"/>
      <c r="AD1156" s="104">
        <f>IF(ISNA(VLOOKUP(D1156,亚马逊入库配置费!B:F,5,0)),0,VLOOKUP(D1156,亚马逊入库配置费!B:F,5,0))</f>
        <v>0</v>
      </c>
      <c r="AE1156" s="104">
        <f t="shared" si="279"/>
        <v>0</v>
      </c>
      <c r="AF1156" s="103">
        <v>45968</v>
      </c>
      <c r="AG1156" s="90">
        <f t="shared" si="280"/>
        <v>39</v>
      </c>
      <c r="AH1156" s="103">
        <v>45968</v>
      </c>
      <c r="AI1156" s="103">
        <v>45975</v>
      </c>
      <c r="AJ1156" s="96">
        <v>251</v>
      </c>
      <c r="AK1156" s="91">
        <f t="shared" si="281"/>
        <v>7</v>
      </c>
      <c r="AL1156" s="96">
        <f t="shared" ref="AL1156:AL1219" si="282">AG1156+AK1156</f>
        <v>46</v>
      </c>
      <c r="AM1156" s="92"/>
      <c r="AN1156" s="91"/>
      <c r="AO1156" s="91"/>
    </row>
    <row r="1157" spans="1:41" ht="14.5" x14ac:dyDescent="0.25">
      <c r="A1157" s="110" t="s">
        <v>1973</v>
      </c>
      <c r="B1157" s="91"/>
      <c r="C1157" s="135" t="s">
        <v>1974</v>
      </c>
      <c r="D1157" s="187" t="s">
        <v>1975</v>
      </c>
      <c r="E1157" s="135" t="s">
        <v>97</v>
      </c>
      <c r="F1157" s="135" t="s">
        <v>0</v>
      </c>
      <c r="G1157" s="58" t="s">
        <v>1330</v>
      </c>
      <c r="H1157" s="135">
        <v>480</v>
      </c>
      <c r="I1157" s="135" t="s">
        <v>89</v>
      </c>
      <c r="J1157" s="135" t="s">
        <v>5</v>
      </c>
      <c r="K1157" s="187" t="s">
        <v>10</v>
      </c>
      <c r="L1157" s="93" t="s">
        <v>1330</v>
      </c>
      <c r="M1157" s="94" t="s">
        <v>3442</v>
      </c>
      <c r="N1157" s="95" t="s">
        <v>3099</v>
      </c>
      <c r="O1157" s="189">
        <v>40</v>
      </c>
      <c r="P1157" s="97">
        <f>1308/90*O1157</f>
        <v>581.33333333333337</v>
      </c>
      <c r="Q1157" s="155" t="s">
        <v>1443</v>
      </c>
      <c r="R1157" s="135">
        <v>10.5</v>
      </c>
      <c r="S1157" s="95"/>
      <c r="T1157" s="98"/>
      <c r="U1157" s="186">
        <f>R1157*P1157+350/90*O1157</f>
        <v>6259.5555555555557</v>
      </c>
      <c r="V1157" s="100">
        <f t="shared" si="271"/>
        <v>13.040740740740741</v>
      </c>
      <c r="W1157" s="101">
        <f t="shared" si="272"/>
        <v>1.8629629629629629</v>
      </c>
      <c r="X1157" s="95"/>
      <c r="Y1157" s="95"/>
      <c r="Z1157" s="102"/>
      <c r="AA1157" s="103">
        <v>45929</v>
      </c>
      <c r="AB1157" s="118">
        <v>45942</v>
      </c>
      <c r="AC1157" s="103"/>
      <c r="AD1157" s="104">
        <f>IF(ISNA(VLOOKUP(D1157,亚马逊入库配置费!B:F,5,0)),0,VLOOKUP(D1157,亚马逊入库配置费!B:F,5,0))</f>
        <v>0.49</v>
      </c>
      <c r="AE1157" s="104">
        <f t="shared" si="279"/>
        <v>235.2</v>
      </c>
      <c r="AF1157" s="103">
        <v>45945</v>
      </c>
      <c r="AG1157" s="90">
        <f t="shared" si="280"/>
        <v>16</v>
      </c>
      <c r="AH1157" s="103">
        <v>45945</v>
      </c>
      <c r="AI1157" s="103">
        <v>45981</v>
      </c>
      <c r="AJ1157" s="96">
        <v>479</v>
      </c>
      <c r="AK1157" s="91">
        <f t="shared" si="281"/>
        <v>36</v>
      </c>
      <c r="AL1157" s="96">
        <f t="shared" si="282"/>
        <v>52</v>
      </c>
      <c r="AM1157" s="92"/>
      <c r="AN1157" s="91"/>
      <c r="AO1157" s="91"/>
    </row>
    <row r="1158" spans="1:41" ht="14.5" x14ac:dyDescent="0.25">
      <c r="A1158" s="110" t="s">
        <v>1976</v>
      </c>
      <c r="B1158" s="91"/>
      <c r="C1158" s="135" t="s">
        <v>1974</v>
      </c>
      <c r="D1158" s="187" t="s">
        <v>1975</v>
      </c>
      <c r="E1158" s="135" t="s">
        <v>97</v>
      </c>
      <c r="F1158" s="135" t="s">
        <v>0</v>
      </c>
      <c r="G1158" s="58" t="s">
        <v>93</v>
      </c>
      <c r="H1158" s="135">
        <v>600</v>
      </c>
      <c r="I1158" s="135" t="s">
        <v>89</v>
      </c>
      <c r="J1158" s="135" t="s">
        <v>5</v>
      </c>
      <c r="K1158" s="187" t="s">
        <v>10</v>
      </c>
      <c r="L1158" s="93" t="s">
        <v>3015</v>
      </c>
      <c r="M1158" s="94" t="s">
        <v>3288</v>
      </c>
      <c r="N1158" s="95" t="s">
        <v>2821</v>
      </c>
      <c r="O1158" s="189">
        <v>50</v>
      </c>
      <c r="P1158" s="97">
        <f>1308/90*O1158</f>
        <v>726.66666666666663</v>
      </c>
      <c r="Q1158" s="155" t="s">
        <v>1443</v>
      </c>
      <c r="R1158" s="135">
        <v>10.5</v>
      </c>
      <c r="S1158" s="95"/>
      <c r="T1158" s="98"/>
      <c r="U1158" s="186">
        <f>R1158*P1158+350/90*O1158</f>
        <v>7824.4444444444443</v>
      </c>
      <c r="V1158" s="100">
        <f t="shared" si="271"/>
        <v>13.040740740740741</v>
      </c>
      <c r="W1158" s="101">
        <f t="shared" si="272"/>
        <v>1.8629629629629629</v>
      </c>
      <c r="X1158" s="95"/>
      <c r="Y1158" s="95"/>
      <c r="Z1158" s="102"/>
      <c r="AA1158" s="103">
        <v>45929</v>
      </c>
      <c r="AB1158" s="118">
        <v>45942</v>
      </c>
      <c r="AC1158" s="103"/>
      <c r="AD1158" s="104">
        <f>IF(ISNA(VLOOKUP(D1158,亚马逊入库配置费!B:F,5,0)),0,VLOOKUP(D1158,亚马逊入库配置费!B:F,5,0))</f>
        <v>0.49</v>
      </c>
      <c r="AE1158" s="104">
        <f t="shared" si="279"/>
        <v>294</v>
      </c>
      <c r="AF1158" s="103">
        <v>45945</v>
      </c>
      <c r="AG1158" s="90">
        <f t="shared" si="280"/>
        <v>16</v>
      </c>
      <c r="AH1158" s="103">
        <v>45945</v>
      </c>
      <c r="AI1158" s="103">
        <v>45981</v>
      </c>
      <c r="AJ1158" s="96">
        <v>588</v>
      </c>
      <c r="AK1158" s="91">
        <f t="shared" si="281"/>
        <v>36</v>
      </c>
      <c r="AL1158" s="96">
        <f t="shared" si="282"/>
        <v>52</v>
      </c>
      <c r="AM1158" s="92"/>
      <c r="AN1158" s="91"/>
      <c r="AO1158" s="91"/>
    </row>
    <row r="1159" spans="1:41" ht="14.5" x14ac:dyDescent="0.25">
      <c r="A1159" s="110" t="s">
        <v>1977</v>
      </c>
      <c r="B1159" s="91"/>
      <c r="C1159" s="135" t="s">
        <v>1935</v>
      </c>
      <c r="D1159" s="187" t="s">
        <v>1978</v>
      </c>
      <c r="E1159" s="135" t="s">
        <v>97</v>
      </c>
      <c r="F1159" s="135" t="s">
        <v>0</v>
      </c>
      <c r="G1159" s="58" t="s">
        <v>1272</v>
      </c>
      <c r="H1159" s="135">
        <v>180</v>
      </c>
      <c r="I1159" s="135" t="s">
        <v>89</v>
      </c>
      <c r="J1159" s="182" t="s">
        <v>1365</v>
      </c>
      <c r="K1159" s="187" t="s">
        <v>10</v>
      </c>
      <c r="L1159" s="93" t="s">
        <v>3097</v>
      </c>
      <c r="M1159" s="94" t="s">
        <v>3439</v>
      </c>
      <c r="N1159" s="95" t="s">
        <v>2821</v>
      </c>
      <c r="O1159" s="189">
        <v>15</v>
      </c>
      <c r="P1159" s="97">
        <f t="shared" ref="P1159:P1164" si="283">1608/102*O1159</f>
        <v>236.47058823529414</v>
      </c>
      <c r="Q1159" s="155" t="s">
        <v>1443</v>
      </c>
      <c r="R1159" s="135">
        <v>4.8</v>
      </c>
      <c r="S1159" s="95"/>
      <c r="T1159" s="98"/>
      <c r="U1159" s="186">
        <f t="shared" ref="U1159:U1164" si="284">R1159*P1159+350/349*O1159</f>
        <v>1150.1018034721053</v>
      </c>
      <c r="V1159" s="100">
        <f t="shared" si="271"/>
        <v>6.3894544637339186</v>
      </c>
      <c r="W1159" s="101">
        <f t="shared" si="272"/>
        <v>0.91277920910484556</v>
      </c>
      <c r="X1159" s="95"/>
      <c r="Y1159" s="95"/>
      <c r="Z1159" s="102"/>
      <c r="AA1159" s="103">
        <v>45929</v>
      </c>
      <c r="AB1159" s="118">
        <v>45948</v>
      </c>
      <c r="AC1159" s="103"/>
      <c r="AD1159" s="104">
        <f>IF(ISNA(VLOOKUP(D1159,亚马逊入库配置费!B:F,5,0)),0,VLOOKUP(D1159,亚马逊入库配置费!B:F,5,0))</f>
        <v>0.49163879598662202</v>
      </c>
      <c r="AE1159" s="104">
        <f t="shared" si="279"/>
        <v>88.49498327759197</v>
      </c>
      <c r="AF1159" s="103">
        <v>45962</v>
      </c>
      <c r="AG1159" s="90">
        <f t="shared" si="280"/>
        <v>33</v>
      </c>
      <c r="AH1159" s="103">
        <v>45962</v>
      </c>
      <c r="AI1159" s="103">
        <v>45997</v>
      </c>
      <c r="AJ1159" s="96">
        <v>180</v>
      </c>
      <c r="AK1159" s="91">
        <f t="shared" si="281"/>
        <v>35</v>
      </c>
      <c r="AL1159" s="96">
        <f t="shared" si="282"/>
        <v>68</v>
      </c>
      <c r="AM1159" s="92"/>
      <c r="AN1159" s="91"/>
      <c r="AO1159" s="91"/>
    </row>
    <row r="1160" spans="1:41" ht="14.5" x14ac:dyDescent="0.25">
      <c r="A1160" s="110" t="s">
        <v>1979</v>
      </c>
      <c r="B1160" s="91"/>
      <c r="C1160" s="135" t="s">
        <v>1935</v>
      </c>
      <c r="D1160" s="187" t="s">
        <v>1978</v>
      </c>
      <c r="E1160" s="135" t="s">
        <v>97</v>
      </c>
      <c r="F1160" s="135" t="s">
        <v>0</v>
      </c>
      <c r="G1160" s="58" t="s">
        <v>1274</v>
      </c>
      <c r="H1160" s="135">
        <v>418</v>
      </c>
      <c r="I1160" s="135" t="s">
        <v>89</v>
      </c>
      <c r="J1160" s="182" t="s">
        <v>1365</v>
      </c>
      <c r="K1160" s="187" t="s">
        <v>10</v>
      </c>
      <c r="L1160" s="93" t="s">
        <v>3098</v>
      </c>
      <c r="M1160" s="94" t="s">
        <v>3440</v>
      </c>
      <c r="N1160" s="95" t="s">
        <v>2821</v>
      </c>
      <c r="O1160" s="189">
        <v>35</v>
      </c>
      <c r="P1160" s="97">
        <f t="shared" si="283"/>
        <v>551.76470588235293</v>
      </c>
      <c r="Q1160" s="155" t="s">
        <v>1443</v>
      </c>
      <c r="R1160" s="135">
        <v>4.8</v>
      </c>
      <c r="S1160" s="194"/>
      <c r="T1160" s="98"/>
      <c r="U1160" s="186">
        <f t="shared" si="284"/>
        <v>2683.5708747682456</v>
      </c>
      <c r="V1160" s="100">
        <f t="shared" si="271"/>
        <v>6.4200260161919749</v>
      </c>
      <c r="W1160" s="101">
        <f t="shared" si="272"/>
        <v>0.91714657374171071</v>
      </c>
      <c r="X1160" s="95"/>
      <c r="Y1160" s="95"/>
      <c r="Z1160" s="102"/>
      <c r="AA1160" s="103">
        <v>45929</v>
      </c>
      <c r="AB1160" s="118">
        <v>45948</v>
      </c>
      <c r="AC1160" s="103"/>
      <c r="AD1160" s="104">
        <f>IF(ISNA(VLOOKUP(D1160,亚马逊入库配置费!B:F,5,0)),0,VLOOKUP(D1160,亚马逊入库配置费!B:F,5,0))</f>
        <v>0.49163879598662202</v>
      </c>
      <c r="AE1160" s="104">
        <f t="shared" si="279"/>
        <v>205.50501672240802</v>
      </c>
      <c r="AF1160" s="103">
        <v>45962</v>
      </c>
      <c r="AG1160" s="90">
        <f t="shared" si="280"/>
        <v>33</v>
      </c>
      <c r="AH1160" s="103">
        <v>45962</v>
      </c>
      <c r="AI1160" s="103">
        <v>45997</v>
      </c>
      <c r="AJ1160" s="96">
        <v>416</v>
      </c>
      <c r="AK1160" s="91">
        <f t="shared" si="281"/>
        <v>35</v>
      </c>
      <c r="AL1160" s="96">
        <f t="shared" si="282"/>
        <v>68</v>
      </c>
      <c r="AM1160" s="92"/>
      <c r="AN1160" s="91"/>
      <c r="AO1160" s="91"/>
    </row>
    <row r="1161" spans="1:41" ht="14.5" x14ac:dyDescent="0.25">
      <c r="A1161" s="110" t="s">
        <v>1980</v>
      </c>
      <c r="B1161" s="91"/>
      <c r="C1161" s="135" t="s">
        <v>1935</v>
      </c>
      <c r="D1161" s="187" t="s">
        <v>1981</v>
      </c>
      <c r="E1161" s="135" t="s">
        <v>97</v>
      </c>
      <c r="F1161" s="135" t="s">
        <v>0</v>
      </c>
      <c r="G1161" s="58" t="s">
        <v>1330</v>
      </c>
      <c r="H1161" s="135">
        <v>192</v>
      </c>
      <c r="I1161" s="135" t="s">
        <v>89</v>
      </c>
      <c r="J1161" s="182" t="s">
        <v>1365</v>
      </c>
      <c r="K1161" s="187" t="s">
        <v>10</v>
      </c>
      <c r="L1161" s="93" t="s">
        <v>1330</v>
      </c>
      <c r="M1161" s="94" t="s">
        <v>3442</v>
      </c>
      <c r="N1161" s="95" t="s">
        <v>3099</v>
      </c>
      <c r="O1161" s="189">
        <v>16</v>
      </c>
      <c r="P1161" s="97">
        <f t="shared" si="283"/>
        <v>252.23529411764707</v>
      </c>
      <c r="Q1161" s="155" t="s">
        <v>1443</v>
      </c>
      <c r="R1161" s="135">
        <v>4.8</v>
      </c>
      <c r="S1161" s="95"/>
      <c r="T1161" s="98"/>
      <c r="U1161" s="186">
        <f t="shared" si="284"/>
        <v>1226.7752570369123</v>
      </c>
      <c r="V1161" s="100">
        <f t="shared" si="271"/>
        <v>6.3894544637339186</v>
      </c>
      <c r="W1161" s="101">
        <f t="shared" si="272"/>
        <v>0.91277920910484556</v>
      </c>
      <c r="X1161" s="95"/>
      <c r="Y1161" s="95"/>
      <c r="Z1161" s="102"/>
      <c r="AA1161" s="103">
        <v>45929</v>
      </c>
      <c r="AB1161" s="118">
        <v>45948</v>
      </c>
      <c r="AC1161" s="103"/>
      <c r="AD1161" s="104">
        <f>IF(ISNA(VLOOKUP(D1161,亚马逊入库配置费!B:F,5,0)),0,VLOOKUP(D1161,亚马逊入库配置费!B:F,5,0))</f>
        <v>0.455384615384615</v>
      </c>
      <c r="AE1161" s="104">
        <f t="shared" si="279"/>
        <v>87.433846153846076</v>
      </c>
      <c r="AF1161" s="103">
        <v>45962</v>
      </c>
      <c r="AG1161" s="90">
        <f t="shared" si="280"/>
        <v>33</v>
      </c>
      <c r="AH1161" s="103">
        <v>45962</v>
      </c>
      <c r="AI1161" s="103">
        <v>45995</v>
      </c>
      <c r="AJ1161" s="96">
        <v>197</v>
      </c>
      <c r="AK1161" s="91">
        <f t="shared" si="281"/>
        <v>33</v>
      </c>
      <c r="AL1161" s="96">
        <f t="shared" si="282"/>
        <v>66</v>
      </c>
      <c r="AM1161" s="92"/>
      <c r="AN1161" s="91"/>
      <c r="AO1161" s="91"/>
    </row>
    <row r="1162" spans="1:41" ht="14.5" x14ac:dyDescent="0.25">
      <c r="A1162" s="110" t="s">
        <v>1982</v>
      </c>
      <c r="B1162" s="91"/>
      <c r="C1162" s="135" t="s">
        <v>1935</v>
      </c>
      <c r="D1162" s="187" t="s">
        <v>1981</v>
      </c>
      <c r="E1162" s="135" t="s">
        <v>97</v>
      </c>
      <c r="F1162" s="135" t="s">
        <v>0</v>
      </c>
      <c r="G1162" s="58" t="s">
        <v>93</v>
      </c>
      <c r="H1162" s="135">
        <v>408</v>
      </c>
      <c r="I1162" s="135" t="s">
        <v>89</v>
      </c>
      <c r="J1162" s="182" t="s">
        <v>1365</v>
      </c>
      <c r="K1162" s="187" t="s">
        <v>10</v>
      </c>
      <c r="L1162" s="93" t="s">
        <v>3015</v>
      </c>
      <c r="M1162" s="94" t="s">
        <v>3288</v>
      </c>
      <c r="N1162" s="95" t="s">
        <v>2821</v>
      </c>
      <c r="O1162" s="189">
        <v>34</v>
      </c>
      <c r="P1162" s="97">
        <f t="shared" si="283"/>
        <v>536</v>
      </c>
      <c r="Q1162" s="155" t="s">
        <v>1443</v>
      </c>
      <c r="R1162" s="135">
        <v>4.8</v>
      </c>
      <c r="S1162" s="95"/>
      <c r="T1162" s="98"/>
      <c r="U1162" s="186">
        <f t="shared" si="284"/>
        <v>2606.8974212034382</v>
      </c>
      <c r="V1162" s="100">
        <f t="shared" si="271"/>
        <v>6.3894544637339168</v>
      </c>
      <c r="W1162" s="101">
        <f t="shared" si="272"/>
        <v>0.91277920910484522</v>
      </c>
      <c r="X1162" s="95"/>
      <c r="Y1162" s="95"/>
      <c r="Z1162" s="102"/>
      <c r="AA1162" s="103">
        <v>45929</v>
      </c>
      <c r="AB1162" s="118">
        <v>45948</v>
      </c>
      <c r="AC1162" s="103"/>
      <c r="AD1162" s="104">
        <f>IF(ISNA(VLOOKUP(D1162,亚马逊入库配置费!B:F,5,0)),0,VLOOKUP(D1162,亚马逊入库配置费!B:F,5,0))</f>
        <v>0.455384615384615</v>
      </c>
      <c r="AE1162" s="104">
        <f t="shared" si="279"/>
        <v>185.79692307692292</v>
      </c>
      <c r="AF1162" s="103">
        <v>45962</v>
      </c>
      <c r="AG1162" s="90">
        <f t="shared" si="280"/>
        <v>33</v>
      </c>
      <c r="AH1162" s="103">
        <v>45962</v>
      </c>
      <c r="AI1162" s="103">
        <v>45995</v>
      </c>
      <c r="AJ1162" s="96">
        <v>409</v>
      </c>
      <c r="AK1162" s="91">
        <f t="shared" si="281"/>
        <v>33</v>
      </c>
      <c r="AL1162" s="96">
        <f t="shared" si="282"/>
        <v>66</v>
      </c>
      <c r="AM1162" s="92"/>
      <c r="AN1162" s="91"/>
      <c r="AO1162" s="91"/>
    </row>
    <row r="1163" spans="1:41" ht="14.5" x14ac:dyDescent="0.25">
      <c r="A1163" s="110" t="s">
        <v>1983</v>
      </c>
      <c r="B1163" s="91"/>
      <c r="C1163" s="135" t="s">
        <v>1935</v>
      </c>
      <c r="D1163" s="187" t="s">
        <v>1981</v>
      </c>
      <c r="E1163" s="135" t="s">
        <v>97</v>
      </c>
      <c r="F1163" s="135" t="s">
        <v>0</v>
      </c>
      <c r="G1163" s="58" t="s">
        <v>1984</v>
      </c>
      <c r="H1163" s="135">
        <v>90</v>
      </c>
      <c r="I1163" s="135" t="s">
        <v>89</v>
      </c>
      <c r="J1163" s="182" t="s">
        <v>1365</v>
      </c>
      <c r="K1163" s="187" t="s">
        <v>10</v>
      </c>
      <c r="L1163" s="93" t="s">
        <v>1984</v>
      </c>
      <c r="M1163" s="94" t="s">
        <v>3462</v>
      </c>
      <c r="N1163" s="95" t="s">
        <v>3106</v>
      </c>
      <c r="O1163" s="189">
        <v>1</v>
      </c>
      <c r="P1163" s="97">
        <f t="shared" si="283"/>
        <v>15.764705882352942</v>
      </c>
      <c r="Q1163" s="155" t="s">
        <v>1443</v>
      </c>
      <c r="R1163" s="135">
        <v>4.8</v>
      </c>
      <c r="S1163" s="95"/>
      <c r="T1163" s="98"/>
      <c r="U1163" s="186">
        <f t="shared" si="284"/>
        <v>76.673453564807019</v>
      </c>
      <c r="V1163" s="100">
        <f t="shared" si="271"/>
        <v>0.85192726183118905</v>
      </c>
      <c r="W1163" s="101">
        <f t="shared" si="272"/>
        <v>0.12170389454731272</v>
      </c>
      <c r="X1163" s="95"/>
      <c r="Y1163" s="95"/>
      <c r="Z1163" s="102"/>
      <c r="AA1163" s="103">
        <v>45929</v>
      </c>
      <c r="AB1163" s="118">
        <v>45948</v>
      </c>
      <c r="AC1163" s="103"/>
      <c r="AD1163" s="104">
        <f>IF(ISNA(VLOOKUP(D1163,亚马逊入库配置费!B:F,5,0)),0,VLOOKUP(D1163,亚马逊入库配置费!B:F,5,0))</f>
        <v>0.455384615384615</v>
      </c>
      <c r="AE1163" s="104">
        <f t="shared" si="279"/>
        <v>40.984615384615353</v>
      </c>
      <c r="AF1163" s="103">
        <v>45962</v>
      </c>
      <c r="AG1163" s="90">
        <f t="shared" si="280"/>
        <v>33</v>
      </c>
      <c r="AH1163" s="103">
        <v>45962</v>
      </c>
      <c r="AI1163" s="103">
        <v>45995</v>
      </c>
      <c r="AJ1163" s="96">
        <v>90</v>
      </c>
      <c r="AK1163" s="91">
        <f t="shared" si="281"/>
        <v>33</v>
      </c>
      <c r="AL1163" s="96">
        <f t="shared" si="282"/>
        <v>66</v>
      </c>
      <c r="AM1163" s="92"/>
      <c r="AN1163" s="91"/>
      <c r="AO1163" s="91"/>
    </row>
    <row r="1164" spans="1:41" ht="14.5" x14ac:dyDescent="0.25">
      <c r="A1164" s="110" t="s">
        <v>1985</v>
      </c>
      <c r="B1164" s="91"/>
      <c r="C1164" s="135" t="s">
        <v>1935</v>
      </c>
      <c r="D1164" s="187" t="s">
        <v>1981</v>
      </c>
      <c r="E1164" s="135" t="s">
        <v>97</v>
      </c>
      <c r="F1164" s="135" t="s">
        <v>0</v>
      </c>
      <c r="G1164" s="58" t="s">
        <v>1986</v>
      </c>
      <c r="H1164" s="135">
        <v>90</v>
      </c>
      <c r="I1164" s="135" t="s">
        <v>89</v>
      </c>
      <c r="J1164" s="182" t="s">
        <v>1365</v>
      </c>
      <c r="K1164" s="187" t="s">
        <v>10</v>
      </c>
      <c r="L1164" s="93" t="s">
        <v>1986</v>
      </c>
      <c r="M1164" s="94" t="s">
        <v>3463</v>
      </c>
      <c r="N1164" s="95" t="s">
        <v>3106</v>
      </c>
      <c r="O1164" s="189">
        <v>1</v>
      </c>
      <c r="P1164" s="97">
        <f t="shared" si="283"/>
        <v>15.764705882352942</v>
      </c>
      <c r="Q1164" s="155" t="s">
        <v>1443</v>
      </c>
      <c r="R1164" s="135">
        <v>4.8</v>
      </c>
      <c r="S1164" s="95"/>
      <c r="T1164" s="98"/>
      <c r="U1164" s="186">
        <f t="shared" si="284"/>
        <v>76.673453564807019</v>
      </c>
      <c r="V1164" s="100">
        <f t="shared" si="271"/>
        <v>0.85192726183118905</v>
      </c>
      <c r="W1164" s="101">
        <f t="shared" si="272"/>
        <v>0.12170389454731272</v>
      </c>
      <c r="X1164" s="95"/>
      <c r="Y1164" s="95"/>
      <c r="Z1164" s="102"/>
      <c r="AA1164" s="103">
        <v>45929</v>
      </c>
      <c r="AB1164" s="118">
        <v>45948</v>
      </c>
      <c r="AC1164" s="103"/>
      <c r="AD1164" s="104">
        <f>IF(ISNA(VLOOKUP(D1164,亚马逊入库配置费!B:F,5,0)),0,VLOOKUP(D1164,亚马逊入库配置费!B:F,5,0))</f>
        <v>0.455384615384615</v>
      </c>
      <c r="AE1164" s="104">
        <f t="shared" si="279"/>
        <v>40.984615384615353</v>
      </c>
      <c r="AF1164" s="103">
        <v>45962</v>
      </c>
      <c r="AG1164" s="90">
        <f t="shared" si="280"/>
        <v>33</v>
      </c>
      <c r="AH1164" s="103">
        <v>45962</v>
      </c>
      <c r="AI1164" s="103">
        <v>45995</v>
      </c>
      <c r="AJ1164" s="96">
        <v>90</v>
      </c>
      <c r="AK1164" s="91">
        <f t="shared" si="281"/>
        <v>33</v>
      </c>
      <c r="AL1164" s="96">
        <f t="shared" si="282"/>
        <v>66</v>
      </c>
      <c r="AM1164" s="92"/>
      <c r="AN1164" s="91"/>
      <c r="AO1164" s="91"/>
    </row>
    <row r="1165" spans="1:41" ht="14.5" x14ac:dyDescent="0.25">
      <c r="A1165" s="110" t="s">
        <v>1987</v>
      </c>
      <c r="B1165" s="91"/>
      <c r="C1165" s="135" t="s">
        <v>1965</v>
      </c>
      <c r="D1165" s="187" t="s">
        <v>1988</v>
      </c>
      <c r="E1165" s="135" t="s">
        <v>86</v>
      </c>
      <c r="F1165" s="135" t="s">
        <v>87</v>
      </c>
      <c r="G1165" s="58" t="s">
        <v>88</v>
      </c>
      <c r="H1165" s="135">
        <v>24</v>
      </c>
      <c r="I1165" s="135" t="s">
        <v>89</v>
      </c>
      <c r="J1165" s="135" t="s">
        <v>90</v>
      </c>
      <c r="K1165" s="187" t="s">
        <v>815</v>
      </c>
      <c r="L1165" s="93" t="s">
        <v>3014</v>
      </c>
      <c r="M1165" s="94" t="s">
        <v>3286</v>
      </c>
      <c r="N1165" s="95" t="s">
        <v>2821</v>
      </c>
      <c r="O1165" s="189">
        <v>2</v>
      </c>
      <c r="P1165" s="97">
        <f>116/8*O1165</f>
        <v>29</v>
      </c>
      <c r="Q1165" s="155" t="s">
        <v>1443</v>
      </c>
      <c r="R1165" s="135">
        <v>6</v>
      </c>
      <c r="S1165" s="95"/>
      <c r="T1165" s="98"/>
      <c r="U1165" s="186">
        <f>R1165*P1165+350/39*O1165</f>
        <v>191.94871794871796</v>
      </c>
      <c r="V1165" s="100">
        <f t="shared" ref="V1165:V1228" si="285">U1165/H1165</f>
        <v>7.9978632478632479</v>
      </c>
      <c r="W1165" s="101">
        <f t="shared" ref="W1165:W1228" si="286">V1165/7</f>
        <v>1.1425518925518925</v>
      </c>
      <c r="X1165" s="95"/>
      <c r="Y1165" s="95"/>
      <c r="Z1165" s="102"/>
      <c r="AA1165" s="103">
        <v>45929</v>
      </c>
      <c r="AB1165" s="118">
        <v>45963</v>
      </c>
      <c r="AC1165" s="103"/>
      <c r="AD1165" s="104">
        <f>IF(ISNA(VLOOKUP(D1165,亚马逊入库配置费!B:F,5,0)),0,VLOOKUP(D1165,亚马逊入库配置费!B:F,5,0))</f>
        <v>0</v>
      </c>
      <c r="AE1165" s="104">
        <f t="shared" si="279"/>
        <v>0</v>
      </c>
      <c r="AF1165" s="103">
        <v>45973</v>
      </c>
      <c r="AG1165" s="90">
        <f t="shared" si="280"/>
        <v>44</v>
      </c>
      <c r="AH1165" s="103">
        <v>45973</v>
      </c>
      <c r="AI1165" s="103">
        <v>45993</v>
      </c>
      <c r="AJ1165" s="96">
        <v>24</v>
      </c>
      <c r="AK1165" s="91">
        <f t="shared" si="281"/>
        <v>20</v>
      </c>
      <c r="AL1165" s="96">
        <f t="shared" si="282"/>
        <v>64</v>
      </c>
      <c r="AM1165" s="92"/>
      <c r="AN1165" s="91"/>
      <c r="AO1165" s="91"/>
    </row>
    <row r="1166" spans="1:41" ht="14.5" x14ac:dyDescent="0.25">
      <c r="A1166" s="110" t="s">
        <v>1989</v>
      </c>
      <c r="B1166" s="91"/>
      <c r="C1166" s="135" t="s">
        <v>1965</v>
      </c>
      <c r="D1166" s="187" t="s">
        <v>1988</v>
      </c>
      <c r="E1166" s="135" t="s">
        <v>86</v>
      </c>
      <c r="F1166" s="135" t="s">
        <v>87</v>
      </c>
      <c r="G1166" s="58" t="s">
        <v>93</v>
      </c>
      <c r="H1166" s="135">
        <v>72</v>
      </c>
      <c r="I1166" s="135" t="s">
        <v>89</v>
      </c>
      <c r="J1166" s="135" t="s">
        <v>90</v>
      </c>
      <c r="K1166" s="187" t="s">
        <v>815</v>
      </c>
      <c r="L1166" s="93" t="s">
        <v>3015</v>
      </c>
      <c r="M1166" s="94" t="s">
        <v>3288</v>
      </c>
      <c r="N1166" s="95" t="s">
        <v>2821</v>
      </c>
      <c r="O1166" s="189">
        <v>6</v>
      </c>
      <c r="P1166" s="97">
        <f>116/8*O1166</f>
        <v>87</v>
      </c>
      <c r="Q1166" s="155" t="s">
        <v>1443</v>
      </c>
      <c r="R1166" s="135">
        <v>6</v>
      </c>
      <c r="S1166" s="95"/>
      <c r="T1166" s="98"/>
      <c r="U1166" s="186">
        <f>R1166*P1166+350/39*O1166</f>
        <v>575.84615384615381</v>
      </c>
      <c r="V1166" s="100">
        <f t="shared" si="285"/>
        <v>7.997863247863247</v>
      </c>
      <c r="W1166" s="101">
        <f t="shared" si="286"/>
        <v>1.1425518925518925</v>
      </c>
      <c r="X1166" s="95"/>
      <c r="Y1166" s="95"/>
      <c r="Z1166" s="102"/>
      <c r="AA1166" s="103">
        <v>45929</v>
      </c>
      <c r="AB1166" s="118">
        <v>45963</v>
      </c>
      <c r="AC1166" s="103"/>
      <c r="AD1166" s="104">
        <f>IF(ISNA(VLOOKUP(D1166,亚马逊入库配置费!B:F,5,0)),0,VLOOKUP(D1166,亚马逊入库配置费!B:F,5,0))</f>
        <v>0</v>
      </c>
      <c r="AE1166" s="104">
        <f t="shared" si="279"/>
        <v>0</v>
      </c>
      <c r="AF1166" s="103">
        <v>45973</v>
      </c>
      <c r="AG1166" s="90">
        <f t="shared" si="280"/>
        <v>44</v>
      </c>
      <c r="AH1166" s="103">
        <v>45973</v>
      </c>
      <c r="AI1166" s="103">
        <v>45993</v>
      </c>
      <c r="AJ1166" s="96">
        <v>72</v>
      </c>
      <c r="AK1166" s="91">
        <f t="shared" si="281"/>
        <v>20</v>
      </c>
      <c r="AL1166" s="96">
        <f t="shared" si="282"/>
        <v>64</v>
      </c>
      <c r="AM1166" s="92"/>
      <c r="AN1166" s="91"/>
      <c r="AO1166" s="91"/>
    </row>
    <row r="1167" spans="1:41" ht="14.5" x14ac:dyDescent="0.25">
      <c r="A1167" s="110" t="s">
        <v>1990</v>
      </c>
      <c r="B1167" s="91"/>
      <c r="C1167" s="119" t="s">
        <v>1991</v>
      </c>
      <c r="D1167" s="120" t="s">
        <v>1992</v>
      </c>
      <c r="E1167" s="135" t="s">
        <v>287</v>
      </c>
      <c r="F1167" s="135" t="s">
        <v>0</v>
      </c>
      <c r="G1167" s="58" t="s">
        <v>884</v>
      </c>
      <c r="H1167" s="119">
        <v>32</v>
      </c>
      <c r="I1167" s="119" t="s">
        <v>1767</v>
      </c>
      <c r="J1167" s="160" t="s">
        <v>1365</v>
      </c>
      <c r="K1167" s="120" t="s">
        <v>11</v>
      </c>
      <c r="L1167" s="93" t="s">
        <v>3084</v>
      </c>
      <c r="M1167" s="94" t="s">
        <v>3402</v>
      </c>
      <c r="N1167" s="95" t="s">
        <v>51</v>
      </c>
      <c r="O1167" s="192">
        <v>2</v>
      </c>
      <c r="P1167" s="97">
        <f>2.92/51*O1167</f>
        <v>0.11450980392156862</v>
      </c>
      <c r="Q1167" s="160" t="s">
        <v>3430</v>
      </c>
      <c r="R1167" s="119">
        <v>890</v>
      </c>
      <c r="S1167" s="95"/>
      <c r="T1167" s="98"/>
      <c r="U1167" s="157">
        <f>R1167*P1167+220/51*O1167</f>
        <v>110.54117647058823</v>
      </c>
      <c r="V1167" s="100">
        <f t="shared" si="285"/>
        <v>3.4544117647058821</v>
      </c>
      <c r="W1167" s="101">
        <f t="shared" si="286"/>
        <v>0.49348739495798316</v>
      </c>
      <c r="X1167" s="95"/>
      <c r="Y1167" s="95"/>
      <c r="Z1167" s="102"/>
      <c r="AA1167" s="103">
        <v>45929</v>
      </c>
      <c r="AB1167" s="103">
        <v>45948</v>
      </c>
      <c r="AC1167" s="103"/>
      <c r="AD1167" s="104">
        <f>IF(ISNA(VLOOKUP(D1167,亚马逊入库配置费!B:F,5,0)),0,VLOOKUP(D1167,亚马逊入库配置费!B:F,5,0))</f>
        <v>0.49</v>
      </c>
      <c r="AE1167" s="104">
        <f t="shared" si="279"/>
        <v>15.68</v>
      </c>
      <c r="AF1167" s="103">
        <v>45956</v>
      </c>
      <c r="AG1167" s="90">
        <f t="shared" si="280"/>
        <v>27</v>
      </c>
      <c r="AH1167" s="103">
        <v>45956</v>
      </c>
      <c r="AI1167" s="103">
        <v>45991</v>
      </c>
      <c r="AJ1167" s="96">
        <v>31</v>
      </c>
      <c r="AK1167" s="91">
        <f t="shared" si="281"/>
        <v>35</v>
      </c>
      <c r="AL1167" s="96">
        <f t="shared" si="282"/>
        <v>62</v>
      </c>
      <c r="AM1167" s="92"/>
      <c r="AN1167" s="91"/>
      <c r="AO1167" s="91"/>
    </row>
    <row r="1168" spans="1:41" ht="14.5" x14ac:dyDescent="0.25">
      <c r="A1168" s="110" t="s">
        <v>1993</v>
      </c>
      <c r="B1168" s="91"/>
      <c r="C1168" s="119" t="s">
        <v>1991</v>
      </c>
      <c r="D1168" s="120" t="s">
        <v>1992</v>
      </c>
      <c r="E1168" s="135" t="s">
        <v>287</v>
      </c>
      <c r="F1168" s="135" t="s">
        <v>0</v>
      </c>
      <c r="G1168" s="58" t="s">
        <v>1994</v>
      </c>
      <c r="H1168" s="119">
        <v>160</v>
      </c>
      <c r="I1168" s="119" t="s">
        <v>1767</v>
      </c>
      <c r="J1168" s="160" t="s">
        <v>1365</v>
      </c>
      <c r="K1168" s="120" t="s">
        <v>11</v>
      </c>
      <c r="L1168" s="93" t="s">
        <v>1994</v>
      </c>
      <c r="M1168" s="94" t="s">
        <v>3464</v>
      </c>
      <c r="N1168" s="95" t="s">
        <v>51</v>
      </c>
      <c r="O1168" s="192">
        <v>10</v>
      </c>
      <c r="P1168" s="97">
        <f>2.92/51*O1168</f>
        <v>0.5725490196078431</v>
      </c>
      <c r="Q1168" s="160" t="s">
        <v>3430</v>
      </c>
      <c r="R1168" s="119">
        <v>890</v>
      </c>
      <c r="S1168" s="95"/>
      <c r="T1168" s="98"/>
      <c r="U1168" s="157">
        <f>R1168*P1168+220/51*O1168</f>
        <v>552.70588235294122</v>
      </c>
      <c r="V1168" s="100">
        <f t="shared" si="285"/>
        <v>3.4544117647058825</v>
      </c>
      <c r="W1168" s="101">
        <f t="shared" si="286"/>
        <v>0.49348739495798322</v>
      </c>
      <c r="X1168" s="95"/>
      <c r="Y1168" s="95"/>
      <c r="Z1168" s="102"/>
      <c r="AA1168" s="103">
        <v>45929</v>
      </c>
      <c r="AB1168" s="103">
        <v>45948</v>
      </c>
      <c r="AC1168" s="103"/>
      <c r="AD1168" s="104">
        <f>IF(ISNA(VLOOKUP(D1168,亚马逊入库配置费!B:F,5,0)),0,VLOOKUP(D1168,亚马逊入库配置费!B:F,5,0))</f>
        <v>0.49</v>
      </c>
      <c r="AE1168" s="104">
        <f t="shared" si="279"/>
        <v>78.400000000000006</v>
      </c>
      <c r="AF1168" s="103">
        <v>45956</v>
      </c>
      <c r="AG1168" s="90">
        <f t="shared" si="280"/>
        <v>27</v>
      </c>
      <c r="AH1168" s="103">
        <v>45956</v>
      </c>
      <c r="AI1168" s="103">
        <v>45991</v>
      </c>
      <c r="AJ1168" s="96">
        <v>160</v>
      </c>
      <c r="AK1168" s="91">
        <f t="shared" si="281"/>
        <v>35</v>
      </c>
      <c r="AL1168" s="96">
        <f t="shared" si="282"/>
        <v>62</v>
      </c>
      <c r="AM1168" s="92"/>
      <c r="AN1168" s="91"/>
      <c r="AO1168" s="91"/>
    </row>
    <row r="1169" spans="1:41" ht="14.5" x14ac:dyDescent="0.25">
      <c r="A1169" s="110" t="s">
        <v>1995</v>
      </c>
      <c r="B1169" s="91"/>
      <c r="C1169" s="119" t="s">
        <v>1991</v>
      </c>
      <c r="D1169" s="120" t="s">
        <v>1992</v>
      </c>
      <c r="E1169" s="135" t="s">
        <v>287</v>
      </c>
      <c r="F1169" s="135" t="s">
        <v>0</v>
      </c>
      <c r="G1169" s="58" t="s">
        <v>886</v>
      </c>
      <c r="H1169" s="119">
        <v>112</v>
      </c>
      <c r="I1169" s="119" t="s">
        <v>1767</v>
      </c>
      <c r="J1169" s="160" t="s">
        <v>1365</v>
      </c>
      <c r="K1169" s="120" t="s">
        <v>11</v>
      </c>
      <c r="L1169" s="93" t="s">
        <v>3085</v>
      </c>
      <c r="M1169" s="94" t="s">
        <v>3403</v>
      </c>
      <c r="N1169" s="95" t="s">
        <v>51</v>
      </c>
      <c r="O1169" s="192">
        <v>7</v>
      </c>
      <c r="P1169" s="97">
        <f>2.92/51*O1169</f>
        <v>0.40078431372549017</v>
      </c>
      <c r="Q1169" s="160" t="s">
        <v>3430</v>
      </c>
      <c r="R1169" s="119">
        <v>890</v>
      </c>
      <c r="S1169" s="95"/>
      <c r="T1169" s="98"/>
      <c r="U1169" s="157">
        <f>R1169*P1169+220/51*O1169</f>
        <v>386.89411764705881</v>
      </c>
      <c r="V1169" s="100">
        <f t="shared" si="285"/>
        <v>3.4544117647058821</v>
      </c>
      <c r="W1169" s="101">
        <f t="shared" si="286"/>
        <v>0.49348739495798316</v>
      </c>
      <c r="X1169" s="95"/>
      <c r="Y1169" s="95"/>
      <c r="Z1169" s="102"/>
      <c r="AA1169" s="103">
        <v>45929</v>
      </c>
      <c r="AB1169" s="103">
        <v>45948</v>
      </c>
      <c r="AC1169" s="103"/>
      <c r="AD1169" s="104">
        <f>IF(ISNA(VLOOKUP(D1169,亚马逊入库配置费!B:F,5,0)),0,VLOOKUP(D1169,亚马逊入库配置费!B:F,5,0))</f>
        <v>0.49</v>
      </c>
      <c r="AE1169" s="104">
        <f t="shared" si="279"/>
        <v>54.879999999999995</v>
      </c>
      <c r="AF1169" s="103">
        <v>45956</v>
      </c>
      <c r="AG1169" s="90">
        <f t="shared" si="280"/>
        <v>27</v>
      </c>
      <c r="AH1169" s="103">
        <v>45956</v>
      </c>
      <c r="AI1169" s="103">
        <v>45991</v>
      </c>
      <c r="AJ1169" s="96">
        <v>112</v>
      </c>
      <c r="AK1169" s="91">
        <f t="shared" si="281"/>
        <v>35</v>
      </c>
      <c r="AL1169" s="96">
        <f t="shared" si="282"/>
        <v>62</v>
      </c>
      <c r="AM1169" s="92"/>
      <c r="AN1169" s="91"/>
      <c r="AO1169" s="91"/>
    </row>
    <row r="1170" spans="1:41" ht="14.5" x14ac:dyDescent="0.25">
      <c r="A1170" s="110" t="s">
        <v>1996</v>
      </c>
      <c r="B1170" s="91"/>
      <c r="C1170" s="119" t="s">
        <v>1991</v>
      </c>
      <c r="D1170" s="120" t="s">
        <v>1992</v>
      </c>
      <c r="E1170" s="135" t="s">
        <v>287</v>
      </c>
      <c r="F1170" s="135" t="s">
        <v>0</v>
      </c>
      <c r="G1170" s="58" t="s">
        <v>1997</v>
      </c>
      <c r="H1170" s="119">
        <v>512</v>
      </c>
      <c r="I1170" s="119" t="s">
        <v>1767</v>
      </c>
      <c r="J1170" s="160" t="s">
        <v>1365</v>
      </c>
      <c r="K1170" s="120" t="s">
        <v>11</v>
      </c>
      <c r="L1170" s="93" t="s">
        <v>1997</v>
      </c>
      <c r="M1170" s="94" t="s">
        <v>3465</v>
      </c>
      <c r="N1170" s="95" t="s">
        <v>3107</v>
      </c>
      <c r="O1170" s="192">
        <v>32</v>
      </c>
      <c r="P1170" s="97">
        <f>2.92/51*O1170</f>
        <v>1.8321568627450979</v>
      </c>
      <c r="Q1170" s="160" t="s">
        <v>3430</v>
      </c>
      <c r="R1170" s="119">
        <v>890</v>
      </c>
      <c r="S1170" s="95"/>
      <c r="T1170" s="98"/>
      <c r="U1170" s="157">
        <f>R1170*P1170+220/51*O1170</f>
        <v>1768.6588235294116</v>
      </c>
      <c r="V1170" s="100">
        <f t="shared" si="285"/>
        <v>3.4544117647058821</v>
      </c>
      <c r="W1170" s="101">
        <f t="shared" si="286"/>
        <v>0.49348739495798316</v>
      </c>
      <c r="X1170" s="95"/>
      <c r="Y1170" s="95"/>
      <c r="Z1170" s="102"/>
      <c r="AA1170" s="103">
        <v>45929</v>
      </c>
      <c r="AB1170" s="103">
        <v>45948</v>
      </c>
      <c r="AC1170" s="103"/>
      <c r="AD1170" s="104">
        <f>IF(ISNA(VLOOKUP(D1170,亚马逊入库配置费!B:F,5,0)),0,VLOOKUP(D1170,亚马逊入库配置费!B:F,5,0))</f>
        <v>0.49</v>
      </c>
      <c r="AE1170" s="104">
        <f t="shared" si="279"/>
        <v>250.88</v>
      </c>
      <c r="AF1170" s="103">
        <v>45956</v>
      </c>
      <c r="AG1170" s="90">
        <f t="shared" si="280"/>
        <v>27</v>
      </c>
      <c r="AH1170" s="103">
        <v>45956</v>
      </c>
      <c r="AI1170" s="103">
        <v>45991</v>
      </c>
      <c r="AJ1170" s="96">
        <v>512</v>
      </c>
      <c r="AK1170" s="91">
        <f t="shared" si="281"/>
        <v>35</v>
      </c>
      <c r="AL1170" s="96">
        <f t="shared" si="282"/>
        <v>62</v>
      </c>
      <c r="AM1170" s="92"/>
      <c r="AN1170" s="91"/>
      <c r="AO1170" s="91"/>
    </row>
    <row r="1171" spans="1:41" ht="14.5" x14ac:dyDescent="0.25">
      <c r="A1171" s="110" t="s">
        <v>1998</v>
      </c>
      <c r="B1171" s="90"/>
      <c r="C1171" s="155" t="s">
        <v>1999</v>
      </c>
      <c r="D1171" s="184" t="s">
        <v>2000</v>
      </c>
      <c r="E1171" s="155" t="s">
        <v>97</v>
      </c>
      <c r="F1171" s="155" t="s">
        <v>175</v>
      </c>
      <c r="G1171" s="159" t="s">
        <v>228</v>
      </c>
      <c r="H1171" s="155">
        <v>200</v>
      </c>
      <c r="I1171" s="155" t="s">
        <v>502</v>
      </c>
      <c r="J1171" s="182" t="s">
        <v>1365</v>
      </c>
      <c r="K1171" s="184" t="s">
        <v>9</v>
      </c>
      <c r="L1171" s="93" t="s">
        <v>3036</v>
      </c>
      <c r="M1171" s="94" t="s">
        <v>3315</v>
      </c>
      <c r="N1171" s="95" t="s">
        <v>2870</v>
      </c>
      <c r="O1171" s="155">
        <v>10</v>
      </c>
      <c r="P1171" s="97">
        <v>135.531914893617</v>
      </c>
      <c r="Q1171" s="155" t="s">
        <v>1443</v>
      </c>
      <c r="R1171" s="155">
        <v>3.8</v>
      </c>
      <c r="S1171" s="108"/>
      <c r="T1171" s="131"/>
      <c r="U1171" s="186">
        <f>R1171*P1171+350/69*O1171</f>
        <v>565.74591427690393</v>
      </c>
      <c r="V1171" s="100">
        <f t="shared" si="285"/>
        <v>2.8287295713845197</v>
      </c>
      <c r="W1171" s="101">
        <f t="shared" si="286"/>
        <v>0.40410422448350281</v>
      </c>
      <c r="X1171" s="95"/>
      <c r="Y1171" s="108"/>
      <c r="Z1171" s="102"/>
      <c r="AA1171" s="103">
        <v>45933</v>
      </c>
      <c r="AB1171" s="118">
        <v>45955</v>
      </c>
      <c r="AC1171" s="103"/>
      <c r="AD1171" s="102">
        <f>IF(ISNA(VLOOKUP(D1171,亚马逊入库配置费!B:F,5,0)),0,VLOOKUP(D1171,亚马逊入库配置费!B:F,5,0))</f>
        <v>0.348333333333333</v>
      </c>
      <c r="AE1171" s="102">
        <f t="shared" si="279"/>
        <v>69.6666666666666</v>
      </c>
      <c r="AF1171" s="103">
        <v>45965</v>
      </c>
      <c r="AG1171" s="91">
        <f t="shared" si="280"/>
        <v>32</v>
      </c>
      <c r="AH1171" s="103">
        <v>45965</v>
      </c>
      <c r="AI1171" s="103">
        <v>46004</v>
      </c>
      <c r="AJ1171" s="96">
        <v>199</v>
      </c>
      <c r="AK1171" s="91">
        <f t="shared" si="281"/>
        <v>39</v>
      </c>
      <c r="AL1171" s="96">
        <f t="shared" si="282"/>
        <v>71</v>
      </c>
      <c r="AM1171" s="92"/>
      <c r="AN1171" s="91"/>
      <c r="AO1171" s="91"/>
    </row>
    <row r="1172" spans="1:41" ht="14.5" x14ac:dyDescent="0.25">
      <c r="A1172" s="110" t="s">
        <v>2001</v>
      </c>
      <c r="B1172" s="90"/>
      <c r="C1172" s="155" t="s">
        <v>1999</v>
      </c>
      <c r="D1172" s="184" t="s">
        <v>2000</v>
      </c>
      <c r="E1172" s="155" t="s">
        <v>97</v>
      </c>
      <c r="F1172" s="155" t="s">
        <v>175</v>
      </c>
      <c r="G1172" s="159" t="s">
        <v>163</v>
      </c>
      <c r="H1172" s="155">
        <v>1480</v>
      </c>
      <c r="I1172" s="155" t="s">
        <v>502</v>
      </c>
      <c r="J1172" s="182" t="s">
        <v>1365</v>
      </c>
      <c r="K1172" s="184" t="s">
        <v>9</v>
      </c>
      <c r="L1172" s="93" t="s">
        <v>2881</v>
      </c>
      <c r="M1172" s="94" t="s">
        <v>3302</v>
      </c>
      <c r="N1172" s="95" t="s">
        <v>2870</v>
      </c>
      <c r="O1172" s="155">
        <v>37</v>
      </c>
      <c r="P1172" s="97">
        <v>501.468085106383</v>
      </c>
      <c r="Q1172" s="155" t="s">
        <v>1443</v>
      </c>
      <c r="R1172" s="155">
        <v>3.8</v>
      </c>
      <c r="S1172" s="108"/>
      <c r="T1172" s="131"/>
      <c r="U1172" s="186">
        <f>R1172*P1172+350/69*O1172</f>
        <v>2093.259882824545</v>
      </c>
      <c r="V1172" s="100">
        <f t="shared" si="285"/>
        <v>1.4143647856922601</v>
      </c>
      <c r="W1172" s="101">
        <f t="shared" si="286"/>
        <v>0.20205211224175143</v>
      </c>
      <c r="X1172" s="95"/>
      <c r="Y1172" s="108"/>
      <c r="Z1172" s="102"/>
      <c r="AA1172" s="103">
        <v>45933</v>
      </c>
      <c r="AB1172" s="118">
        <v>45955</v>
      </c>
      <c r="AC1172" s="103"/>
      <c r="AD1172" s="102">
        <f>IF(ISNA(VLOOKUP(D1172,亚马逊入库配置费!B:F,5,0)),0,VLOOKUP(D1172,亚马逊入库配置费!B:F,5,0))</f>
        <v>0.348333333333333</v>
      </c>
      <c r="AE1172" s="102">
        <f t="shared" si="279"/>
        <v>515.53333333333285</v>
      </c>
      <c r="AF1172" s="103">
        <v>45965</v>
      </c>
      <c r="AG1172" s="91">
        <f t="shared" si="280"/>
        <v>32</v>
      </c>
      <c r="AH1172" s="103">
        <v>45965</v>
      </c>
      <c r="AI1172" s="103">
        <v>46004</v>
      </c>
      <c r="AJ1172" s="96">
        <v>1478</v>
      </c>
      <c r="AK1172" s="91">
        <f t="shared" si="281"/>
        <v>39</v>
      </c>
      <c r="AL1172" s="96">
        <f t="shared" si="282"/>
        <v>71</v>
      </c>
      <c r="AM1172" s="92"/>
      <c r="AN1172" s="91"/>
      <c r="AO1172" s="91"/>
    </row>
    <row r="1173" spans="1:41" ht="14.5" x14ac:dyDescent="0.25">
      <c r="A1173" s="110" t="s">
        <v>2002</v>
      </c>
      <c r="B1173" s="91"/>
      <c r="C1173" s="155" t="s">
        <v>1999</v>
      </c>
      <c r="D1173" s="184" t="s">
        <v>2003</v>
      </c>
      <c r="E1173" s="155" t="s">
        <v>97</v>
      </c>
      <c r="F1173" s="155" t="s">
        <v>175</v>
      </c>
      <c r="G1173" s="159" t="s">
        <v>2004</v>
      </c>
      <c r="H1173" s="155">
        <v>200</v>
      </c>
      <c r="I1173" s="155" t="s">
        <v>502</v>
      </c>
      <c r="J1173" s="182" t="s">
        <v>1365</v>
      </c>
      <c r="K1173" s="184" t="s">
        <v>10</v>
      </c>
      <c r="L1173" s="93" t="s">
        <v>2004</v>
      </c>
      <c r="M1173" s="94" t="s">
        <v>3466</v>
      </c>
      <c r="N1173" s="95" t="s">
        <v>2870</v>
      </c>
      <c r="O1173" s="155">
        <v>10</v>
      </c>
      <c r="P1173" s="97">
        <v>171.81818181818201</v>
      </c>
      <c r="Q1173" s="155" t="s">
        <v>1443</v>
      </c>
      <c r="R1173" s="155">
        <v>3.8</v>
      </c>
      <c r="S1173" s="108"/>
      <c r="T1173" s="131"/>
      <c r="U1173" s="186">
        <f>R1173*P1173+350/69*O1173</f>
        <v>703.63372859025094</v>
      </c>
      <c r="V1173" s="100">
        <f t="shared" si="285"/>
        <v>3.5181686429512546</v>
      </c>
      <c r="W1173" s="101">
        <f t="shared" si="286"/>
        <v>0.50259552042160782</v>
      </c>
      <c r="X1173" s="95"/>
      <c r="Y1173" s="108"/>
      <c r="Z1173" s="102"/>
      <c r="AA1173" s="103">
        <v>45933</v>
      </c>
      <c r="AB1173" s="118">
        <v>45955</v>
      </c>
      <c r="AC1173" s="103"/>
      <c r="AD1173" s="102">
        <f>IF(ISNA(VLOOKUP(D1173,亚马逊入库配置费!B:F,5,0)),0,VLOOKUP(D1173,亚马逊入库配置费!B:F,5,0))</f>
        <v>0.453636363636364</v>
      </c>
      <c r="AE1173" s="102">
        <f t="shared" si="279"/>
        <v>90.727272727272805</v>
      </c>
      <c r="AF1173" s="103">
        <v>45965</v>
      </c>
      <c r="AG1173" s="91">
        <f t="shared" si="280"/>
        <v>32</v>
      </c>
      <c r="AH1173" s="103">
        <v>45965</v>
      </c>
      <c r="AI1173" s="103">
        <v>45995</v>
      </c>
      <c r="AJ1173" s="96">
        <v>198</v>
      </c>
      <c r="AK1173" s="91">
        <f t="shared" si="281"/>
        <v>30</v>
      </c>
      <c r="AL1173" s="96">
        <f t="shared" si="282"/>
        <v>62</v>
      </c>
      <c r="AM1173" s="92"/>
      <c r="AN1173" s="91"/>
      <c r="AO1173" s="91"/>
    </row>
    <row r="1174" spans="1:41" ht="14.5" x14ac:dyDescent="0.25">
      <c r="A1174" s="110" t="s">
        <v>2005</v>
      </c>
      <c r="B1174" s="90"/>
      <c r="C1174" s="155" t="s">
        <v>1999</v>
      </c>
      <c r="D1174" s="184" t="s">
        <v>2003</v>
      </c>
      <c r="E1174" s="155" t="s">
        <v>97</v>
      </c>
      <c r="F1174" s="155" t="s">
        <v>175</v>
      </c>
      <c r="G1174" s="159" t="s">
        <v>1941</v>
      </c>
      <c r="H1174" s="155">
        <v>240</v>
      </c>
      <c r="I1174" s="155" t="s">
        <v>502</v>
      </c>
      <c r="J1174" s="182" t="s">
        <v>1365</v>
      </c>
      <c r="K1174" s="184" t="s">
        <v>10</v>
      </c>
      <c r="L1174" s="93" t="s">
        <v>1941</v>
      </c>
      <c r="M1174" s="94" t="s">
        <v>3461</v>
      </c>
      <c r="N1174" s="95" t="s">
        <v>2867</v>
      </c>
      <c r="O1174" s="155">
        <v>12</v>
      </c>
      <c r="P1174" s="97">
        <v>206.18181818181799</v>
      </c>
      <c r="Q1174" s="155" t="s">
        <v>1443</v>
      </c>
      <c r="R1174" s="155">
        <v>3.8</v>
      </c>
      <c r="S1174" s="108"/>
      <c r="T1174" s="131"/>
      <c r="U1174" s="186">
        <f>R1174*P1174+350/69*O1174</f>
        <v>844.36047430829967</v>
      </c>
      <c r="V1174" s="100">
        <f t="shared" si="285"/>
        <v>3.5181686429512484</v>
      </c>
      <c r="W1174" s="101">
        <f t="shared" si="286"/>
        <v>0.50259552042160693</v>
      </c>
      <c r="X1174" s="95"/>
      <c r="Y1174" s="108"/>
      <c r="Z1174" s="102"/>
      <c r="AA1174" s="103">
        <v>45933</v>
      </c>
      <c r="AB1174" s="118">
        <v>45955</v>
      </c>
      <c r="AC1174" s="103"/>
      <c r="AD1174" s="102">
        <f>IF(ISNA(VLOOKUP(D1174,亚马逊入库配置费!B:F,5,0)),0,VLOOKUP(D1174,亚马逊入库配置费!B:F,5,0))</f>
        <v>0.453636363636364</v>
      </c>
      <c r="AE1174" s="102">
        <f t="shared" si="279"/>
        <v>108.87272727272736</v>
      </c>
      <c r="AF1174" s="103">
        <v>45965</v>
      </c>
      <c r="AG1174" s="91">
        <f t="shared" si="280"/>
        <v>32</v>
      </c>
      <c r="AH1174" s="103">
        <v>45965</v>
      </c>
      <c r="AI1174" s="103">
        <v>45995</v>
      </c>
      <c r="AJ1174" s="96">
        <v>240</v>
      </c>
      <c r="AK1174" s="91">
        <f t="shared" si="281"/>
        <v>30</v>
      </c>
      <c r="AL1174" s="96">
        <f t="shared" si="282"/>
        <v>62</v>
      </c>
      <c r="AM1174" s="92"/>
      <c r="AN1174" s="91"/>
      <c r="AO1174" s="91"/>
    </row>
    <row r="1175" spans="1:41" ht="14.5" x14ac:dyDescent="0.25">
      <c r="A1175" s="110" t="s">
        <v>2006</v>
      </c>
      <c r="B1175" s="90"/>
      <c r="C1175" s="155" t="s">
        <v>2007</v>
      </c>
      <c r="D1175" s="184" t="s">
        <v>2008</v>
      </c>
      <c r="E1175" s="155" t="s">
        <v>97</v>
      </c>
      <c r="F1175" s="155" t="s">
        <v>175</v>
      </c>
      <c r="G1175" s="159" t="s">
        <v>1215</v>
      </c>
      <c r="H1175" s="155">
        <v>600</v>
      </c>
      <c r="I1175" s="155" t="s">
        <v>502</v>
      </c>
      <c r="J1175" s="155" t="s">
        <v>2009</v>
      </c>
      <c r="K1175" s="184" t="s">
        <v>10</v>
      </c>
      <c r="L1175" s="93" t="s">
        <v>3095</v>
      </c>
      <c r="M1175" s="94" t="s">
        <v>3436</v>
      </c>
      <c r="N1175" s="95" t="s">
        <v>2867</v>
      </c>
      <c r="O1175" s="155">
        <v>20</v>
      </c>
      <c r="P1175" s="97">
        <v>319</v>
      </c>
      <c r="Q1175" s="155" t="s">
        <v>1443</v>
      </c>
      <c r="R1175" s="155">
        <v>7.5</v>
      </c>
      <c r="S1175" s="108"/>
      <c r="T1175" s="131"/>
      <c r="U1175" s="186">
        <f>R1175*P1175+350/20*O1175</f>
        <v>2742.5</v>
      </c>
      <c r="V1175" s="100">
        <f t="shared" si="285"/>
        <v>4.5708333333333337</v>
      </c>
      <c r="W1175" s="101">
        <f t="shared" si="286"/>
        <v>0.65297619047619049</v>
      </c>
      <c r="X1175" s="108"/>
      <c r="Y1175" s="108"/>
      <c r="Z1175" s="104"/>
      <c r="AA1175" s="103">
        <v>45933</v>
      </c>
      <c r="AB1175" s="118">
        <v>45945</v>
      </c>
      <c r="AC1175" s="118"/>
      <c r="AD1175" s="104">
        <f>IF(ISNA(VLOOKUP(D1175,亚马逊入库配置费!B:F,5,0)),0,VLOOKUP(D1175,亚马逊入库配置费!B:F,5,0))</f>
        <v>0.41</v>
      </c>
      <c r="AE1175" s="104">
        <f t="shared" si="279"/>
        <v>245.99999999999997</v>
      </c>
      <c r="AF1175" s="118">
        <v>45953</v>
      </c>
      <c r="AG1175" s="90">
        <f t="shared" si="280"/>
        <v>20</v>
      </c>
      <c r="AH1175" s="118">
        <v>45953</v>
      </c>
      <c r="AI1175" s="118">
        <v>45983</v>
      </c>
      <c r="AJ1175" s="158">
        <v>596</v>
      </c>
      <c r="AK1175" s="91">
        <f t="shared" si="281"/>
        <v>30</v>
      </c>
      <c r="AL1175" s="96">
        <f t="shared" si="282"/>
        <v>50</v>
      </c>
      <c r="AM1175" s="110"/>
      <c r="AN1175" s="90"/>
      <c r="AO1175" s="90"/>
    </row>
    <row r="1176" spans="1:41" ht="14.5" x14ac:dyDescent="0.25">
      <c r="A1176" s="110" t="s">
        <v>2010</v>
      </c>
      <c r="B1176" s="90"/>
      <c r="C1176" s="155" t="s">
        <v>2011</v>
      </c>
      <c r="D1176" s="184" t="s">
        <v>2012</v>
      </c>
      <c r="E1176" s="155" t="s">
        <v>97</v>
      </c>
      <c r="F1176" s="155" t="s">
        <v>175</v>
      </c>
      <c r="G1176" s="159" t="s">
        <v>1330</v>
      </c>
      <c r="H1176" s="155">
        <v>360</v>
      </c>
      <c r="I1176" s="155" t="s">
        <v>1227</v>
      </c>
      <c r="J1176" s="182" t="s">
        <v>503</v>
      </c>
      <c r="K1176" s="184" t="s">
        <v>9</v>
      </c>
      <c r="L1176" s="93" t="s">
        <v>1330</v>
      </c>
      <c r="M1176" s="94" t="s">
        <v>3442</v>
      </c>
      <c r="N1176" s="95" t="s">
        <v>3099</v>
      </c>
      <c r="O1176" s="155">
        <v>30</v>
      </c>
      <c r="P1176" s="97">
        <v>436.55737704917999</v>
      </c>
      <c r="Q1176" s="155" t="s">
        <v>1443</v>
      </c>
      <c r="R1176" s="155">
        <v>4.7</v>
      </c>
      <c r="S1176" s="108"/>
      <c r="T1176" s="131"/>
      <c r="U1176" s="186">
        <f>R1176*P1176+350/183*O1176</f>
        <v>2109.196721311474</v>
      </c>
      <c r="V1176" s="100">
        <f t="shared" si="285"/>
        <v>5.8588797814207609</v>
      </c>
      <c r="W1176" s="101">
        <f t="shared" si="286"/>
        <v>0.83698282591725159</v>
      </c>
      <c r="X1176" s="95"/>
      <c r="Y1176" s="108"/>
      <c r="Z1176" s="102"/>
      <c r="AA1176" s="103">
        <v>45933</v>
      </c>
      <c r="AB1176" s="103">
        <v>45955</v>
      </c>
      <c r="AC1176" s="103"/>
      <c r="AD1176" s="102">
        <f>IF(ISNA(VLOOKUP(D1176,亚马逊入库配置费!B:F,5,0)),0,VLOOKUP(D1176,亚马逊入库配置费!B:F,5,0))</f>
        <v>0.49</v>
      </c>
      <c r="AE1176" s="102">
        <f t="shared" si="279"/>
        <v>176.4</v>
      </c>
      <c r="AF1176" s="103">
        <v>45961</v>
      </c>
      <c r="AG1176" s="91">
        <f t="shared" si="280"/>
        <v>28</v>
      </c>
      <c r="AH1176" s="103">
        <v>45961</v>
      </c>
      <c r="AI1176" s="103">
        <v>45998</v>
      </c>
      <c r="AJ1176" s="96">
        <v>359</v>
      </c>
      <c r="AK1176" s="91">
        <f t="shared" si="281"/>
        <v>37</v>
      </c>
      <c r="AL1176" s="96">
        <f t="shared" si="282"/>
        <v>65</v>
      </c>
      <c r="AM1176" s="92"/>
      <c r="AN1176" s="91"/>
      <c r="AO1176" s="91"/>
    </row>
    <row r="1177" spans="1:41" ht="14.5" x14ac:dyDescent="0.25">
      <c r="A1177" s="110" t="s">
        <v>2013</v>
      </c>
      <c r="B1177" s="90"/>
      <c r="C1177" s="155" t="s">
        <v>2011</v>
      </c>
      <c r="D1177" s="184" t="s">
        <v>2012</v>
      </c>
      <c r="E1177" s="155" t="s">
        <v>97</v>
      </c>
      <c r="F1177" s="155" t="s">
        <v>175</v>
      </c>
      <c r="G1177" s="159" t="s">
        <v>1332</v>
      </c>
      <c r="H1177" s="155">
        <v>192</v>
      </c>
      <c r="I1177" s="155" t="s">
        <v>1227</v>
      </c>
      <c r="J1177" s="182" t="s">
        <v>503</v>
      </c>
      <c r="K1177" s="184" t="s">
        <v>9</v>
      </c>
      <c r="L1177" s="93" t="s">
        <v>1332</v>
      </c>
      <c r="M1177" s="94" t="s">
        <v>3443</v>
      </c>
      <c r="N1177" s="95" t="s">
        <v>3099</v>
      </c>
      <c r="O1177" s="155">
        <v>16</v>
      </c>
      <c r="P1177" s="97">
        <v>232.83060109289599</v>
      </c>
      <c r="Q1177" s="155" t="s">
        <v>1443</v>
      </c>
      <c r="R1177" s="155">
        <v>4.7</v>
      </c>
      <c r="S1177" s="108"/>
      <c r="T1177" s="131"/>
      <c r="U1177" s="186">
        <f>R1177*P1177+350/183*O1177</f>
        <v>1124.9049180327861</v>
      </c>
      <c r="V1177" s="100">
        <f t="shared" si="285"/>
        <v>5.8588797814207609</v>
      </c>
      <c r="W1177" s="101">
        <f t="shared" si="286"/>
        <v>0.83698282591725159</v>
      </c>
      <c r="X1177" s="95"/>
      <c r="Y1177" s="108"/>
      <c r="Z1177" s="102"/>
      <c r="AA1177" s="103">
        <v>45933</v>
      </c>
      <c r="AB1177" s="103">
        <v>45955</v>
      </c>
      <c r="AC1177" s="103"/>
      <c r="AD1177" s="102">
        <f>IF(ISNA(VLOOKUP(D1177,亚马逊入库配置费!B:F,5,0)),0,VLOOKUP(D1177,亚马逊入库配置费!B:F,5,0))</f>
        <v>0.49</v>
      </c>
      <c r="AE1177" s="102">
        <f t="shared" si="279"/>
        <v>94.08</v>
      </c>
      <c r="AF1177" s="103">
        <v>45961</v>
      </c>
      <c r="AG1177" s="91">
        <f t="shared" si="280"/>
        <v>28</v>
      </c>
      <c r="AH1177" s="103">
        <v>45961</v>
      </c>
      <c r="AI1177" s="103">
        <v>45998</v>
      </c>
      <c r="AJ1177" s="96">
        <v>192</v>
      </c>
      <c r="AK1177" s="91">
        <f t="shared" si="281"/>
        <v>37</v>
      </c>
      <c r="AL1177" s="96">
        <f t="shared" si="282"/>
        <v>65</v>
      </c>
      <c r="AM1177" s="92"/>
      <c r="AN1177" s="91"/>
      <c r="AO1177" s="91"/>
    </row>
    <row r="1178" spans="1:41" ht="14.5" x14ac:dyDescent="0.25">
      <c r="A1178" s="110" t="s">
        <v>2014</v>
      </c>
      <c r="B1178" s="90"/>
      <c r="C1178" s="155" t="s">
        <v>2011</v>
      </c>
      <c r="D1178" s="184" t="s">
        <v>2012</v>
      </c>
      <c r="E1178" s="155" t="s">
        <v>97</v>
      </c>
      <c r="F1178" s="155" t="s">
        <v>175</v>
      </c>
      <c r="G1178" s="159" t="s">
        <v>93</v>
      </c>
      <c r="H1178" s="155">
        <v>1644</v>
      </c>
      <c r="I1178" s="155" t="s">
        <v>1227</v>
      </c>
      <c r="J1178" s="182" t="s">
        <v>503</v>
      </c>
      <c r="K1178" s="184" t="s">
        <v>9</v>
      </c>
      <c r="L1178" s="93" t="s">
        <v>3015</v>
      </c>
      <c r="M1178" s="94" t="s">
        <v>3288</v>
      </c>
      <c r="N1178" s="95" t="s">
        <v>2821</v>
      </c>
      <c r="O1178" s="155">
        <v>137</v>
      </c>
      <c r="P1178" s="97">
        <v>1993.6120218579199</v>
      </c>
      <c r="Q1178" s="155" t="s">
        <v>1443</v>
      </c>
      <c r="R1178" s="155">
        <v>4.7</v>
      </c>
      <c r="S1178" s="108"/>
      <c r="T1178" s="131"/>
      <c r="U1178" s="186">
        <f>R1178*P1178+350/183*O1178</f>
        <v>9631.9983606557216</v>
      </c>
      <c r="V1178" s="100">
        <f t="shared" si="285"/>
        <v>5.8588797814207556</v>
      </c>
      <c r="W1178" s="101">
        <f t="shared" si="286"/>
        <v>0.83698282591725082</v>
      </c>
      <c r="X1178" s="95"/>
      <c r="Y1178" s="108"/>
      <c r="Z1178" s="102"/>
      <c r="AA1178" s="103">
        <v>45933</v>
      </c>
      <c r="AB1178" s="103">
        <v>45955</v>
      </c>
      <c r="AC1178" s="103"/>
      <c r="AD1178" s="102">
        <f>IF(ISNA(VLOOKUP(D1178,亚马逊入库配置费!B:F,5,0)),0,VLOOKUP(D1178,亚马逊入库配置费!B:F,5,0))</f>
        <v>0.49</v>
      </c>
      <c r="AE1178" s="102">
        <f t="shared" si="279"/>
        <v>805.56</v>
      </c>
      <c r="AF1178" s="103">
        <v>45961</v>
      </c>
      <c r="AG1178" s="91">
        <f t="shared" si="280"/>
        <v>28</v>
      </c>
      <c r="AH1178" s="103">
        <v>45961</v>
      </c>
      <c r="AI1178" s="103">
        <v>45998</v>
      </c>
      <c r="AJ1178" s="96">
        <v>1630</v>
      </c>
      <c r="AK1178" s="91">
        <f t="shared" si="281"/>
        <v>37</v>
      </c>
      <c r="AL1178" s="96">
        <f t="shared" si="282"/>
        <v>65</v>
      </c>
      <c r="AM1178" s="92"/>
      <c r="AN1178" s="91"/>
      <c r="AO1178" s="91"/>
    </row>
    <row r="1179" spans="1:41" ht="14.5" x14ac:dyDescent="0.25">
      <c r="A1179" s="110" t="s">
        <v>2015</v>
      </c>
      <c r="B1179" s="90"/>
      <c r="C1179" s="155" t="s">
        <v>2016</v>
      </c>
      <c r="D1179" s="184" t="s">
        <v>2017</v>
      </c>
      <c r="E1179" s="155" t="s">
        <v>97</v>
      </c>
      <c r="F1179" s="155" t="s">
        <v>175</v>
      </c>
      <c r="G1179" s="159" t="s">
        <v>1332</v>
      </c>
      <c r="H1179" s="155">
        <v>600</v>
      </c>
      <c r="I1179" s="155" t="s">
        <v>1227</v>
      </c>
      <c r="J1179" s="155" t="s">
        <v>2009</v>
      </c>
      <c r="K1179" s="184" t="s">
        <v>9</v>
      </c>
      <c r="L1179" s="93" t="s">
        <v>1332</v>
      </c>
      <c r="M1179" s="94" t="s">
        <v>3443</v>
      </c>
      <c r="N1179" s="95" t="s">
        <v>3099</v>
      </c>
      <c r="O1179" s="155">
        <v>50</v>
      </c>
      <c r="P1179" s="97">
        <v>729</v>
      </c>
      <c r="Q1179" s="155" t="s">
        <v>1443</v>
      </c>
      <c r="R1179" s="155">
        <v>10.3</v>
      </c>
      <c r="S1179" s="108"/>
      <c r="T1179" s="131"/>
      <c r="U1179" s="186">
        <f>R1179*P1179+350/50*O1179</f>
        <v>7858.7000000000007</v>
      </c>
      <c r="V1179" s="100">
        <f t="shared" si="285"/>
        <v>13.097833333333334</v>
      </c>
      <c r="W1179" s="101">
        <f t="shared" si="286"/>
        <v>1.8711190476190478</v>
      </c>
      <c r="X1179" s="108"/>
      <c r="Y1179" s="108"/>
      <c r="Z1179" s="104"/>
      <c r="AA1179" s="118">
        <v>45933</v>
      </c>
      <c r="AB1179" s="103">
        <v>45955</v>
      </c>
      <c r="AC1179" s="118"/>
      <c r="AD1179" s="104">
        <f>IF(ISNA(VLOOKUP(D1179,亚马逊入库配置费!B:F,5,0)),0,VLOOKUP(D1179,亚马逊入库配置费!B:F,5,0))</f>
        <v>0.49</v>
      </c>
      <c r="AE1179" s="104">
        <f t="shared" si="279"/>
        <v>294</v>
      </c>
      <c r="AF1179" s="118">
        <v>45959</v>
      </c>
      <c r="AG1179" s="90">
        <f t="shared" si="280"/>
        <v>26</v>
      </c>
      <c r="AH1179" s="118">
        <v>45959</v>
      </c>
      <c r="AI1179" s="118">
        <v>45993</v>
      </c>
      <c r="AJ1179" s="158">
        <v>600</v>
      </c>
      <c r="AK1179" s="91">
        <f t="shared" si="281"/>
        <v>34</v>
      </c>
      <c r="AL1179" s="96">
        <f t="shared" si="282"/>
        <v>60</v>
      </c>
      <c r="AM1179" s="110"/>
      <c r="AN1179" s="90"/>
      <c r="AO1179" s="90"/>
    </row>
    <row r="1180" spans="1:41" ht="14.5" x14ac:dyDescent="0.25">
      <c r="A1180" s="110" t="s">
        <v>2018</v>
      </c>
      <c r="B1180" s="91"/>
      <c r="C1180" s="155" t="s">
        <v>2019</v>
      </c>
      <c r="D1180" s="195" t="s">
        <v>2020</v>
      </c>
      <c r="E1180" s="182" t="s">
        <v>97</v>
      </c>
      <c r="F1180" s="182" t="s">
        <v>175</v>
      </c>
      <c r="G1180" s="179" t="s">
        <v>228</v>
      </c>
      <c r="H1180" s="191">
        <v>300</v>
      </c>
      <c r="I1180" s="135" t="s">
        <v>89</v>
      </c>
      <c r="J1180" s="135" t="s">
        <v>8</v>
      </c>
      <c r="K1180" s="195" t="s">
        <v>10</v>
      </c>
      <c r="L1180" s="93" t="s">
        <v>3036</v>
      </c>
      <c r="M1180" s="94" t="s">
        <v>3315</v>
      </c>
      <c r="N1180" s="95" t="s">
        <v>2870</v>
      </c>
      <c r="O1180" s="191">
        <v>15</v>
      </c>
      <c r="P1180" s="97">
        <v>202.363636363636</v>
      </c>
      <c r="Q1180" s="189" t="s">
        <v>16</v>
      </c>
      <c r="R1180" s="135">
        <v>3.8</v>
      </c>
      <c r="S1180" s="95">
        <v>350</v>
      </c>
      <c r="T1180" s="98">
        <v>56.451612903225801</v>
      </c>
      <c r="U1180" s="186">
        <f>R1180*P1180+T1180</f>
        <v>825.43343108504268</v>
      </c>
      <c r="V1180" s="100">
        <f t="shared" si="285"/>
        <v>2.7514447702834754</v>
      </c>
      <c r="W1180" s="101">
        <f t="shared" si="286"/>
        <v>0.39306353861192506</v>
      </c>
      <c r="X1180" s="95"/>
      <c r="Y1180" s="196"/>
      <c r="Z1180" s="102"/>
      <c r="AA1180" s="103">
        <v>45940</v>
      </c>
      <c r="AB1180" s="118">
        <v>45963</v>
      </c>
      <c r="AC1180" s="103"/>
      <c r="AD1180" s="104">
        <f>IF(ISNA(VLOOKUP(D1180,亚马逊入库配置费!B:F,5,0)),0,VLOOKUP(D1180,亚马逊入库配置费!B:F,5,0))</f>
        <v>0.35105263157894701</v>
      </c>
      <c r="AE1180" s="104">
        <f t="shared" si="279"/>
        <v>105.31578947368411</v>
      </c>
      <c r="AF1180" s="103">
        <v>45971</v>
      </c>
      <c r="AG1180" s="90">
        <f t="shared" si="280"/>
        <v>31</v>
      </c>
      <c r="AH1180" s="103">
        <v>45971</v>
      </c>
      <c r="AI1180" s="103">
        <v>46001</v>
      </c>
      <c r="AJ1180" s="96">
        <v>300</v>
      </c>
      <c r="AK1180" s="91">
        <f t="shared" si="281"/>
        <v>30</v>
      </c>
      <c r="AL1180" s="96">
        <f t="shared" si="282"/>
        <v>61</v>
      </c>
      <c r="AM1180" s="92"/>
      <c r="AN1180" s="91"/>
      <c r="AO1180" s="91"/>
    </row>
    <row r="1181" spans="1:41" ht="14.5" x14ac:dyDescent="0.25">
      <c r="A1181" s="110" t="s">
        <v>2021</v>
      </c>
      <c r="B1181" s="91"/>
      <c r="C1181" s="155" t="s">
        <v>2019</v>
      </c>
      <c r="D1181" s="195" t="s">
        <v>2020</v>
      </c>
      <c r="E1181" s="182" t="s">
        <v>97</v>
      </c>
      <c r="F1181" s="182" t="s">
        <v>175</v>
      </c>
      <c r="G1181" s="179" t="s">
        <v>163</v>
      </c>
      <c r="H1181" s="191">
        <v>1600</v>
      </c>
      <c r="I1181" s="135" t="s">
        <v>89</v>
      </c>
      <c r="J1181" s="135" t="s">
        <v>8</v>
      </c>
      <c r="K1181" s="197" t="s">
        <v>10</v>
      </c>
      <c r="L1181" s="93" t="s">
        <v>2881</v>
      </c>
      <c r="M1181" s="94" t="s">
        <v>3302</v>
      </c>
      <c r="N1181" s="95" t="s">
        <v>2870</v>
      </c>
      <c r="O1181" s="191">
        <v>40</v>
      </c>
      <c r="P1181" s="97">
        <v>539.63636363636397</v>
      </c>
      <c r="Q1181" s="189" t="s">
        <v>16</v>
      </c>
      <c r="R1181" s="135">
        <v>3.8</v>
      </c>
      <c r="S1181" s="106">
        <f>SUMIF(C:C,C1180,T:T)</f>
        <v>349.99999999999977</v>
      </c>
      <c r="T1181" s="98">
        <v>150.537634408602</v>
      </c>
      <c r="U1181" s="186">
        <f t="shared" ref="U1181:U1244" si="287">R1181*P1181+T1181</f>
        <v>2201.1558162267852</v>
      </c>
      <c r="V1181" s="100">
        <f t="shared" si="285"/>
        <v>1.3757223851417408</v>
      </c>
      <c r="W1181" s="101">
        <f t="shared" si="286"/>
        <v>0.19653176930596297</v>
      </c>
      <c r="X1181" s="95"/>
      <c r="Y1181" s="95"/>
      <c r="Z1181" s="102"/>
      <c r="AA1181" s="103">
        <v>45940</v>
      </c>
      <c r="AB1181" s="118">
        <v>45963</v>
      </c>
      <c r="AC1181" s="103"/>
      <c r="AD1181" s="104">
        <f>IF(ISNA(VLOOKUP(D1181,亚马逊入库配置费!B:F,5,0)),0,VLOOKUP(D1181,亚马逊入库配置费!B:F,5,0))</f>
        <v>0.35105263157894701</v>
      </c>
      <c r="AE1181" s="104">
        <f t="shared" si="279"/>
        <v>561.68421052631516</v>
      </c>
      <c r="AF1181" s="103">
        <v>45971</v>
      </c>
      <c r="AG1181" s="90">
        <f t="shared" si="280"/>
        <v>31</v>
      </c>
      <c r="AH1181" s="103">
        <v>45971</v>
      </c>
      <c r="AI1181" s="103">
        <v>46001</v>
      </c>
      <c r="AJ1181" s="96">
        <v>1600</v>
      </c>
      <c r="AK1181" s="91">
        <f t="shared" si="281"/>
        <v>30</v>
      </c>
      <c r="AL1181" s="96">
        <f t="shared" si="282"/>
        <v>61</v>
      </c>
      <c r="AM1181" s="92"/>
      <c r="AN1181" s="91"/>
      <c r="AO1181" s="91"/>
    </row>
    <row r="1182" spans="1:41" ht="14.5" x14ac:dyDescent="0.25">
      <c r="A1182" s="110" t="s">
        <v>2022</v>
      </c>
      <c r="B1182" s="198"/>
      <c r="C1182" s="155" t="s">
        <v>2019</v>
      </c>
      <c r="D1182" s="195" t="s">
        <v>2023</v>
      </c>
      <c r="E1182" s="182" t="s">
        <v>97</v>
      </c>
      <c r="F1182" s="182" t="s">
        <v>175</v>
      </c>
      <c r="G1182" s="179" t="s">
        <v>2004</v>
      </c>
      <c r="H1182" s="191">
        <v>200</v>
      </c>
      <c r="I1182" s="135" t="s">
        <v>89</v>
      </c>
      <c r="J1182" s="135" t="s">
        <v>8</v>
      </c>
      <c r="K1182" s="197" t="s">
        <v>50</v>
      </c>
      <c r="L1182" s="93" t="s">
        <v>2004</v>
      </c>
      <c r="M1182" s="94" t="s">
        <v>3466</v>
      </c>
      <c r="N1182" s="95" t="s">
        <v>2870</v>
      </c>
      <c r="O1182" s="191">
        <v>10</v>
      </c>
      <c r="P1182" s="97">
        <v>157.894736842105</v>
      </c>
      <c r="Q1182" s="189" t="s">
        <v>16</v>
      </c>
      <c r="R1182" s="135">
        <v>4.8</v>
      </c>
      <c r="S1182" s="95"/>
      <c r="T1182" s="98">
        <v>37.634408602150501</v>
      </c>
      <c r="U1182" s="186">
        <f t="shared" si="287"/>
        <v>795.52914544425448</v>
      </c>
      <c r="V1182" s="100">
        <f t="shared" si="285"/>
        <v>3.9776457272212724</v>
      </c>
      <c r="W1182" s="101">
        <f t="shared" si="286"/>
        <v>0.5682351038887532</v>
      </c>
      <c r="X1182" s="95"/>
      <c r="Y1182" s="95"/>
      <c r="Z1182" s="102"/>
      <c r="AA1182" s="103">
        <v>45940</v>
      </c>
      <c r="AB1182" s="118">
        <v>45963</v>
      </c>
      <c r="AC1182" s="103"/>
      <c r="AD1182" s="104">
        <f>IF(ISNA(VLOOKUP(D1182,亚马逊入库配置费!B:F,5,0)),0,VLOOKUP(D1182,亚马逊入库配置费!B:F,5,0))</f>
        <v>0.42538461538461497</v>
      </c>
      <c r="AE1182" s="104">
        <f t="shared" si="279"/>
        <v>85.076923076922995</v>
      </c>
      <c r="AF1182" s="103">
        <v>45977</v>
      </c>
      <c r="AG1182" s="90">
        <f t="shared" si="280"/>
        <v>37</v>
      </c>
      <c r="AH1182" s="103">
        <v>45977</v>
      </c>
      <c r="AI1182" s="103">
        <v>46011</v>
      </c>
      <c r="AJ1182" s="96">
        <v>200</v>
      </c>
      <c r="AK1182" s="91">
        <f t="shared" si="281"/>
        <v>34</v>
      </c>
      <c r="AL1182" s="96">
        <f t="shared" si="282"/>
        <v>71</v>
      </c>
      <c r="AM1182" s="92"/>
      <c r="AN1182" s="91"/>
      <c r="AO1182" s="91"/>
    </row>
    <row r="1183" spans="1:41" ht="14.5" x14ac:dyDescent="0.25">
      <c r="A1183" s="110" t="s">
        <v>2024</v>
      </c>
      <c r="B1183" s="91"/>
      <c r="C1183" s="155" t="s">
        <v>2019</v>
      </c>
      <c r="D1183" s="187" t="s">
        <v>2023</v>
      </c>
      <c r="E1183" s="135" t="s">
        <v>97</v>
      </c>
      <c r="F1183" s="135" t="s">
        <v>0</v>
      </c>
      <c r="G1183" s="58" t="s">
        <v>1195</v>
      </c>
      <c r="H1183" s="135">
        <v>180</v>
      </c>
      <c r="I1183" s="135" t="s">
        <v>89</v>
      </c>
      <c r="J1183" s="135" t="s">
        <v>8</v>
      </c>
      <c r="K1183" s="187" t="s">
        <v>50</v>
      </c>
      <c r="L1183" s="93" t="s">
        <v>1195</v>
      </c>
      <c r="M1183" s="94" t="s">
        <v>3433</v>
      </c>
      <c r="N1183" s="95" t="s">
        <v>2870</v>
      </c>
      <c r="O1183" s="189">
        <v>6</v>
      </c>
      <c r="P1183" s="97">
        <v>94.736842105263193</v>
      </c>
      <c r="Q1183" s="189" t="s">
        <v>16</v>
      </c>
      <c r="R1183" s="135">
        <v>4.8</v>
      </c>
      <c r="S1183" s="95"/>
      <c r="T1183" s="98">
        <v>22.580645161290299</v>
      </c>
      <c r="U1183" s="186">
        <f t="shared" si="287"/>
        <v>477.3174872665536</v>
      </c>
      <c r="V1183" s="100">
        <f t="shared" si="285"/>
        <v>2.6517638181475198</v>
      </c>
      <c r="W1183" s="101">
        <f t="shared" si="286"/>
        <v>0.37882340259250286</v>
      </c>
      <c r="X1183" s="95"/>
      <c r="Y1183" s="95"/>
      <c r="Z1183" s="102"/>
      <c r="AA1183" s="103">
        <v>45940</v>
      </c>
      <c r="AB1183" s="118">
        <v>45963</v>
      </c>
      <c r="AC1183" s="103"/>
      <c r="AD1183" s="104">
        <f>IF(ISNA(VLOOKUP(D1183,亚马逊入库配置费!B:F,5,0)),0,VLOOKUP(D1183,亚马逊入库配置费!B:F,5,0))</f>
        <v>0.42538461538461497</v>
      </c>
      <c r="AE1183" s="104">
        <f t="shared" si="279"/>
        <v>76.5692307692307</v>
      </c>
      <c r="AF1183" s="103">
        <v>45977</v>
      </c>
      <c r="AG1183" s="90">
        <f t="shared" si="280"/>
        <v>37</v>
      </c>
      <c r="AH1183" s="103">
        <v>45977</v>
      </c>
      <c r="AI1183" s="103">
        <v>46011</v>
      </c>
      <c r="AJ1183" s="96">
        <v>179</v>
      </c>
      <c r="AK1183" s="91">
        <f t="shared" si="281"/>
        <v>34</v>
      </c>
      <c r="AL1183" s="96">
        <f t="shared" si="282"/>
        <v>71</v>
      </c>
      <c r="AM1183" s="92"/>
      <c r="AN1183" s="91"/>
      <c r="AO1183" s="91"/>
    </row>
    <row r="1184" spans="1:41" ht="14.5" x14ac:dyDescent="0.25">
      <c r="A1184" s="110" t="s">
        <v>2025</v>
      </c>
      <c r="B1184" s="91"/>
      <c r="C1184" s="135" t="s">
        <v>2019</v>
      </c>
      <c r="D1184" s="187" t="s">
        <v>2023</v>
      </c>
      <c r="E1184" s="135" t="s">
        <v>97</v>
      </c>
      <c r="F1184" s="135" t="s">
        <v>0</v>
      </c>
      <c r="G1184" s="58" t="s">
        <v>872</v>
      </c>
      <c r="H1184" s="135">
        <v>300</v>
      </c>
      <c r="I1184" s="135" t="s">
        <v>89</v>
      </c>
      <c r="J1184" s="135" t="s">
        <v>8</v>
      </c>
      <c r="K1184" s="187" t="s">
        <v>50</v>
      </c>
      <c r="L1184" s="93" t="s">
        <v>872</v>
      </c>
      <c r="M1184" s="94" t="s">
        <v>3399</v>
      </c>
      <c r="N1184" s="95" t="s">
        <v>2870</v>
      </c>
      <c r="O1184" s="189">
        <v>10</v>
      </c>
      <c r="P1184" s="97">
        <v>157.894736842105</v>
      </c>
      <c r="Q1184" s="189" t="s">
        <v>16</v>
      </c>
      <c r="R1184" s="135">
        <v>4.8</v>
      </c>
      <c r="S1184" s="95"/>
      <c r="T1184" s="98">
        <v>37.634408602150501</v>
      </c>
      <c r="U1184" s="186">
        <f t="shared" si="287"/>
        <v>795.52914544425448</v>
      </c>
      <c r="V1184" s="100">
        <f t="shared" si="285"/>
        <v>2.6517638181475149</v>
      </c>
      <c r="W1184" s="101">
        <f t="shared" si="286"/>
        <v>0.37882340259250213</v>
      </c>
      <c r="X1184" s="95"/>
      <c r="Y1184" s="95"/>
      <c r="Z1184" s="102"/>
      <c r="AA1184" s="103">
        <v>45940</v>
      </c>
      <c r="AB1184" s="118">
        <v>45963</v>
      </c>
      <c r="AC1184" s="103"/>
      <c r="AD1184" s="104">
        <f>IF(ISNA(VLOOKUP(D1184,亚马逊入库配置费!B:F,5,0)),0,VLOOKUP(D1184,亚马逊入库配置费!B:F,5,0))</f>
        <v>0.42538461538461497</v>
      </c>
      <c r="AE1184" s="104">
        <f t="shared" si="279"/>
        <v>127.61538461538449</v>
      </c>
      <c r="AF1184" s="103">
        <v>45977</v>
      </c>
      <c r="AG1184" s="90">
        <f t="shared" si="280"/>
        <v>37</v>
      </c>
      <c r="AH1184" s="103">
        <v>45977</v>
      </c>
      <c r="AI1184" s="103">
        <v>46011</v>
      </c>
      <c r="AJ1184" s="96">
        <v>300</v>
      </c>
      <c r="AK1184" s="91">
        <f t="shared" si="281"/>
        <v>34</v>
      </c>
      <c r="AL1184" s="96">
        <f t="shared" si="282"/>
        <v>71</v>
      </c>
      <c r="AM1184" s="92"/>
      <c r="AN1184" s="91"/>
      <c r="AO1184" s="91"/>
    </row>
    <row r="1185" spans="1:41" ht="14.5" x14ac:dyDescent="0.25">
      <c r="A1185" s="110" t="s">
        <v>2026</v>
      </c>
      <c r="B1185" s="91"/>
      <c r="C1185" s="135" t="s">
        <v>2019</v>
      </c>
      <c r="D1185" s="187" t="s">
        <v>2023</v>
      </c>
      <c r="E1185" s="135" t="s">
        <v>97</v>
      </c>
      <c r="F1185" s="135" t="s">
        <v>0</v>
      </c>
      <c r="G1185" s="58" t="s">
        <v>1215</v>
      </c>
      <c r="H1185" s="135">
        <v>210</v>
      </c>
      <c r="I1185" s="135" t="s">
        <v>89</v>
      </c>
      <c r="J1185" s="135" t="s">
        <v>8</v>
      </c>
      <c r="K1185" s="187" t="s">
        <v>50</v>
      </c>
      <c r="L1185" s="93" t="s">
        <v>3095</v>
      </c>
      <c r="M1185" s="94" t="s">
        <v>3436</v>
      </c>
      <c r="N1185" s="95" t="s">
        <v>2867</v>
      </c>
      <c r="O1185" s="189">
        <v>7</v>
      </c>
      <c r="P1185" s="97">
        <v>110.526315789474</v>
      </c>
      <c r="Q1185" s="189" t="s">
        <v>16</v>
      </c>
      <c r="R1185" s="135">
        <v>4.8</v>
      </c>
      <c r="S1185" s="95"/>
      <c r="T1185" s="98">
        <v>26.344086021505401</v>
      </c>
      <c r="U1185" s="186">
        <f t="shared" si="287"/>
        <v>556.87040181098052</v>
      </c>
      <c r="V1185" s="100">
        <f t="shared" si="285"/>
        <v>2.6517638181475265</v>
      </c>
      <c r="W1185" s="101">
        <f t="shared" si="286"/>
        <v>0.3788234025925038</v>
      </c>
      <c r="X1185" s="95"/>
      <c r="Y1185" s="95"/>
      <c r="Z1185" s="102"/>
      <c r="AA1185" s="103">
        <v>45940</v>
      </c>
      <c r="AB1185" s="118">
        <v>45963</v>
      </c>
      <c r="AC1185" s="103"/>
      <c r="AD1185" s="104">
        <f>IF(ISNA(VLOOKUP(D1185,亚马逊入库配置费!B:F,5,0)),0,VLOOKUP(D1185,亚马逊入库配置费!B:F,5,0))</f>
        <v>0.42538461538461497</v>
      </c>
      <c r="AE1185" s="104">
        <f t="shared" si="279"/>
        <v>89.33076923076915</v>
      </c>
      <c r="AF1185" s="103">
        <v>45977</v>
      </c>
      <c r="AG1185" s="90">
        <f t="shared" si="280"/>
        <v>37</v>
      </c>
      <c r="AH1185" s="103">
        <v>45977</v>
      </c>
      <c r="AI1185" s="103">
        <v>46011</v>
      </c>
      <c r="AJ1185" s="96">
        <v>184</v>
      </c>
      <c r="AK1185" s="91">
        <f t="shared" si="281"/>
        <v>34</v>
      </c>
      <c r="AL1185" s="96">
        <f t="shared" si="282"/>
        <v>71</v>
      </c>
      <c r="AM1185" s="92"/>
      <c r="AN1185" s="91"/>
      <c r="AO1185" s="91"/>
    </row>
    <row r="1186" spans="1:41" ht="14.5" x14ac:dyDescent="0.25">
      <c r="A1186" s="110" t="s">
        <v>2027</v>
      </c>
      <c r="B1186" s="91"/>
      <c r="C1186" s="135" t="s">
        <v>2019</v>
      </c>
      <c r="D1186" s="187" t="s">
        <v>2023</v>
      </c>
      <c r="E1186" s="135" t="s">
        <v>97</v>
      </c>
      <c r="F1186" s="135" t="s">
        <v>0</v>
      </c>
      <c r="G1186" s="58" t="s">
        <v>1851</v>
      </c>
      <c r="H1186" s="135">
        <v>150</v>
      </c>
      <c r="I1186" s="135" t="s">
        <v>89</v>
      </c>
      <c r="J1186" s="135" t="s">
        <v>8</v>
      </c>
      <c r="K1186" s="187" t="s">
        <v>50</v>
      </c>
      <c r="L1186" s="93" t="s">
        <v>1851</v>
      </c>
      <c r="M1186" s="94" t="s">
        <v>3454</v>
      </c>
      <c r="N1186" s="95" t="s">
        <v>2867</v>
      </c>
      <c r="O1186" s="189">
        <v>5</v>
      </c>
      <c r="P1186" s="97">
        <v>78.947368421052602</v>
      </c>
      <c r="Q1186" s="189" t="s">
        <v>16</v>
      </c>
      <c r="R1186" s="135">
        <v>4.8</v>
      </c>
      <c r="S1186" s="95"/>
      <c r="T1186" s="98">
        <v>18.8172043010753</v>
      </c>
      <c r="U1186" s="186">
        <f t="shared" si="287"/>
        <v>397.76457272212781</v>
      </c>
      <c r="V1186" s="100">
        <f t="shared" si="285"/>
        <v>2.6517638181475189</v>
      </c>
      <c r="W1186" s="101">
        <f t="shared" si="286"/>
        <v>0.37882340259250269</v>
      </c>
      <c r="X1186" s="95"/>
      <c r="Y1186" s="95"/>
      <c r="Z1186" s="102"/>
      <c r="AA1186" s="103">
        <v>45940</v>
      </c>
      <c r="AB1186" s="118">
        <v>45963</v>
      </c>
      <c r="AC1186" s="103"/>
      <c r="AD1186" s="104">
        <f>IF(ISNA(VLOOKUP(D1186,亚马逊入库配置费!B:F,5,0)),0,VLOOKUP(D1186,亚马逊入库配置费!B:F,5,0))</f>
        <v>0.42538461538461497</v>
      </c>
      <c r="AE1186" s="104">
        <f t="shared" si="279"/>
        <v>63.807692307692243</v>
      </c>
      <c r="AF1186" s="103">
        <v>45977</v>
      </c>
      <c r="AG1186" s="90">
        <f t="shared" si="280"/>
        <v>37</v>
      </c>
      <c r="AH1186" s="103">
        <v>45977</v>
      </c>
      <c r="AI1186" s="103">
        <v>46011</v>
      </c>
      <c r="AJ1186" s="96">
        <v>150</v>
      </c>
      <c r="AK1186" s="91">
        <f t="shared" si="281"/>
        <v>34</v>
      </c>
      <c r="AL1186" s="96">
        <f t="shared" si="282"/>
        <v>71</v>
      </c>
      <c r="AM1186" s="92"/>
      <c r="AN1186" s="91"/>
      <c r="AO1186" s="91"/>
    </row>
    <row r="1187" spans="1:41" ht="14.5" x14ac:dyDescent="0.25">
      <c r="A1187" s="110" t="s">
        <v>2028</v>
      </c>
      <c r="B1187" s="91"/>
      <c r="C1187" s="135" t="s">
        <v>2029</v>
      </c>
      <c r="D1187" s="187" t="s">
        <v>2030</v>
      </c>
      <c r="E1187" s="135" t="s">
        <v>97</v>
      </c>
      <c r="F1187" s="135" t="s">
        <v>0</v>
      </c>
      <c r="G1187" s="58" t="s">
        <v>1215</v>
      </c>
      <c r="H1187" s="135">
        <v>810</v>
      </c>
      <c r="I1187" s="135" t="s">
        <v>89</v>
      </c>
      <c r="J1187" s="135" t="s">
        <v>4</v>
      </c>
      <c r="K1187" s="187" t="s">
        <v>50</v>
      </c>
      <c r="L1187" s="93" t="s">
        <v>3095</v>
      </c>
      <c r="M1187" s="94" t="s">
        <v>3436</v>
      </c>
      <c r="N1187" s="95" t="s">
        <v>2867</v>
      </c>
      <c r="O1187" s="189">
        <v>27</v>
      </c>
      <c r="P1187" s="97">
        <v>429</v>
      </c>
      <c r="Q1187" s="189" t="s">
        <v>16</v>
      </c>
      <c r="R1187" s="135">
        <v>11</v>
      </c>
      <c r="S1187" s="95">
        <v>350</v>
      </c>
      <c r="T1187" s="98">
        <v>350</v>
      </c>
      <c r="U1187" s="186">
        <f t="shared" si="287"/>
        <v>5069</v>
      </c>
      <c r="V1187" s="100">
        <f t="shared" si="285"/>
        <v>6.2580246913580249</v>
      </c>
      <c r="W1187" s="101">
        <f t="shared" si="286"/>
        <v>0.89400352733686073</v>
      </c>
      <c r="X1187" s="95"/>
      <c r="Y1187" s="95"/>
      <c r="Z1187" s="102"/>
      <c r="AA1187" s="103">
        <v>45940</v>
      </c>
      <c r="AB1187" s="118">
        <v>45956</v>
      </c>
      <c r="AC1187" s="103"/>
      <c r="AD1187" s="104">
        <f>IF(ISNA(VLOOKUP(D1187,亚马逊入库配置费!B:F,5,0)),0,VLOOKUP(D1187,亚马逊入库配置费!B:F,5,0))</f>
        <v>0.41</v>
      </c>
      <c r="AE1187" s="104">
        <f t="shared" si="279"/>
        <v>332.09999999999997</v>
      </c>
      <c r="AF1187" s="103">
        <v>45974</v>
      </c>
      <c r="AG1187" s="90">
        <f t="shared" si="280"/>
        <v>34</v>
      </c>
      <c r="AH1187" s="103">
        <v>45974</v>
      </c>
      <c r="AI1187" s="103">
        <v>46009</v>
      </c>
      <c r="AJ1187" s="96">
        <v>809</v>
      </c>
      <c r="AK1187" s="91">
        <f t="shared" si="281"/>
        <v>35</v>
      </c>
      <c r="AL1187" s="96">
        <f t="shared" si="282"/>
        <v>69</v>
      </c>
      <c r="AM1187" s="92"/>
      <c r="AN1187" s="91"/>
      <c r="AO1187" s="91"/>
    </row>
    <row r="1188" spans="1:41" ht="14.5" x14ac:dyDescent="0.25">
      <c r="A1188" s="110" t="s">
        <v>2031</v>
      </c>
      <c r="B1188" s="91" t="s">
        <v>3467</v>
      </c>
      <c r="C1188" s="136" t="s">
        <v>2032</v>
      </c>
      <c r="D1188" s="134" t="s">
        <v>2033</v>
      </c>
      <c r="E1188" s="137" t="s">
        <v>270</v>
      </c>
      <c r="F1188" s="137" t="s">
        <v>2034</v>
      </c>
      <c r="G1188" s="172" t="s">
        <v>163</v>
      </c>
      <c r="H1188" s="136">
        <v>400</v>
      </c>
      <c r="I1188" s="136" t="s">
        <v>2035</v>
      </c>
      <c r="J1188" s="136" t="s">
        <v>2036</v>
      </c>
      <c r="K1188" s="134" t="s">
        <v>273</v>
      </c>
      <c r="L1188" s="93" t="s">
        <v>2881</v>
      </c>
      <c r="M1188" s="94" t="s">
        <v>3302</v>
      </c>
      <c r="N1188" s="95" t="s">
        <v>2870</v>
      </c>
      <c r="O1188" s="199">
        <v>10</v>
      </c>
      <c r="P1188" s="109">
        <v>0.44</v>
      </c>
      <c r="Q1188" s="199" t="s">
        <v>3392</v>
      </c>
      <c r="R1188" s="136">
        <v>700</v>
      </c>
      <c r="S1188" s="106">
        <v>450</v>
      </c>
      <c r="T1188" s="141">
        <v>450</v>
      </c>
      <c r="U1188" s="142">
        <f t="shared" si="287"/>
        <v>758</v>
      </c>
      <c r="V1188" s="100">
        <f t="shared" si="285"/>
        <v>1.895</v>
      </c>
      <c r="W1188" s="101">
        <f t="shared" si="286"/>
        <v>0.27071428571428574</v>
      </c>
      <c r="X1188" s="95"/>
      <c r="Y1188" s="95"/>
      <c r="Z1188" s="102"/>
      <c r="AA1188" s="103">
        <v>45940</v>
      </c>
      <c r="AB1188" s="103">
        <v>45972</v>
      </c>
      <c r="AC1188" s="103"/>
      <c r="AD1188" s="104">
        <f>IF(ISNA(VLOOKUP(D1188,亚马逊入库配置费!B:F,5,0)),0,VLOOKUP(D1188,亚马逊入库配置费!B:F,5,0))</f>
        <v>0</v>
      </c>
      <c r="AE1188" s="104">
        <f t="shared" si="279"/>
        <v>0</v>
      </c>
      <c r="AF1188" s="103">
        <v>45983</v>
      </c>
      <c r="AG1188" s="90">
        <f t="shared" si="280"/>
        <v>43</v>
      </c>
      <c r="AH1188" s="103">
        <v>45983</v>
      </c>
      <c r="AI1188" s="103">
        <v>45999</v>
      </c>
      <c r="AJ1188" s="96">
        <v>400</v>
      </c>
      <c r="AK1188" s="91">
        <f t="shared" si="281"/>
        <v>16</v>
      </c>
      <c r="AL1188" s="96">
        <f t="shared" si="282"/>
        <v>59</v>
      </c>
      <c r="AM1188" s="92"/>
      <c r="AN1188" s="91"/>
      <c r="AO1188" s="91"/>
    </row>
    <row r="1189" spans="1:41" ht="14.5" x14ac:dyDescent="0.25">
      <c r="A1189" s="110" t="s">
        <v>2037</v>
      </c>
      <c r="B1189" s="91"/>
      <c r="C1189" s="135" t="s">
        <v>2038</v>
      </c>
      <c r="D1189" s="187" t="s">
        <v>2039</v>
      </c>
      <c r="E1189" s="135" t="s">
        <v>97</v>
      </c>
      <c r="F1189" s="135" t="s">
        <v>0</v>
      </c>
      <c r="G1189" s="58" t="s">
        <v>1330</v>
      </c>
      <c r="H1189" s="135">
        <v>600</v>
      </c>
      <c r="I1189" s="135" t="s">
        <v>1767</v>
      </c>
      <c r="J1189" s="135" t="s">
        <v>8</v>
      </c>
      <c r="K1189" s="187" t="s">
        <v>13</v>
      </c>
      <c r="L1189" s="93" t="s">
        <v>1330</v>
      </c>
      <c r="M1189" s="94" t="s">
        <v>3442</v>
      </c>
      <c r="N1189" s="95" t="s">
        <v>3099</v>
      </c>
      <c r="O1189" s="189">
        <v>50</v>
      </c>
      <c r="P1189" s="97">
        <v>735</v>
      </c>
      <c r="Q1189" s="189" t="s">
        <v>16</v>
      </c>
      <c r="R1189" s="135">
        <v>4.5999999999999996</v>
      </c>
      <c r="S1189" s="95">
        <v>220</v>
      </c>
      <c r="T1189" s="98">
        <v>73.3333333333334</v>
      </c>
      <c r="U1189" s="186">
        <f t="shared" si="287"/>
        <v>3454.333333333333</v>
      </c>
      <c r="V1189" s="100">
        <f t="shared" si="285"/>
        <v>5.7572222222222216</v>
      </c>
      <c r="W1189" s="101">
        <f t="shared" si="286"/>
        <v>0.82246031746031734</v>
      </c>
      <c r="X1189" s="95"/>
      <c r="Y1189" s="95"/>
      <c r="Z1189" s="102"/>
      <c r="AA1189" s="103">
        <v>45940</v>
      </c>
      <c r="AB1189" s="103">
        <v>45963</v>
      </c>
      <c r="AC1189" s="103"/>
      <c r="AD1189" s="104">
        <f>IF(ISNA(VLOOKUP(D1189,亚马逊入库配置费!B:F,5,0)),0,VLOOKUP(D1189,亚马逊入库配置费!B:F,5,0))</f>
        <v>0.49</v>
      </c>
      <c r="AE1189" s="104">
        <f t="shared" si="279"/>
        <v>294</v>
      </c>
      <c r="AF1189" s="103">
        <v>45972</v>
      </c>
      <c r="AG1189" s="90">
        <f t="shared" si="280"/>
        <v>32</v>
      </c>
      <c r="AH1189" s="103">
        <v>45972</v>
      </c>
      <c r="AI1189" s="103">
        <v>46006</v>
      </c>
      <c r="AJ1189" s="96">
        <v>595</v>
      </c>
      <c r="AK1189" s="91">
        <f t="shared" si="281"/>
        <v>34</v>
      </c>
      <c r="AL1189" s="96">
        <f t="shared" si="282"/>
        <v>66</v>
      </c>
      <c r="AM1189" s="92"/>
      <c r="AN1189" s="91"/>
      <c r="AO1189" s="91"/>
    </row>
    <row r="1190" spans="1:41" ht="14.5" x14ac:dyDescent="0.25">
      <c r="A1190" s="110" t="s">
        <v>2040</v>
      </c>
      <c r="B1190" s="91"/>
      <c r="C1190" s="135" t="s">
        <v>2038</v>
      </c>
      <c r="D1190" s="187" t="s">
        <v>2039</v>
      </c>
      <c r="E1190" s="135" t="s">
        <v>97</v>
      </c>
      <c r="F1190" s="135" t="s">
        <v>0</v>
      </c>
      <c r="G1190" s="58" t="s">
        <v>1332</v>
      </c>
      <c r="H1190" s="135">
        <v>1200</v>
      </c>
      <c r="I1190" s="135" t="s">
        <v>1767</v>
      </c>
      <c r="J1190" s="135" t="s">
        <v>8</v>
      </c>
      <c r="K1190" s="187" t="s">
        <v>13</v>
      </c>
      <c r="L1190" s="93" t="s">
        <v>1332</v>
      </c>
      <c r="M1190" s="94" t="s">
        <v>3443</v>
      </c>
      <c r="N1190" s="95" t="s">
        <v>3099</v>
      </c>
      <c r="O1190" s="189">
        <v>100</v>
      </c>
      <c r="P1190" s="97">
        <v>1470</v>
      </c>
      <c r="Q1190" s="189" t="s">
        <v>16</v>
      </c>
      <c r="R1190" s="135">
        <v>4.5999999999999996</v>
      </c>
      <c r="S1190" s="106">
        <f>SUMIF(C:C,C1189,T:T)</f>
        <v>220.0000000000004</v>
      </c>
      <c r="T1190" s="98">
        <v>146.666666666667</v>
      </c>
      <c r="U1190" s="186">
        <f t="shared" si="287"/>
        <v>6908.6666666666661</v>
      </c>
      <c r="V1190" s="100">
        <f t="shared" si="285"/>
        <v>5.7572222222222216</v>
      </c>
      <c r="W1190" s="101">
        <f t="shared" si="286"/>
        <v>0.82246031746031734</v>
      </c>
      <c r="X1190" s="95"/>
      <c r="Y1190" s="95"/>
      <c r="Z1190" s="102"/>
      <c r="AA1190" s="103">
        <v>45940</v>
      </c>
      <c r="AB1190" s="103">
        <v>45963</v>
      </c>
      <c r="AC1190" s="103"/>
      <c r="AD1190" s="104">
        <f>IF(ISNA(VLOOKUP(D1190,亚马逊入库配置费!B:F,5,0)),0,VLOOKUP(D1190,亚马逊入库配置费!B:F,5,0))</f>
        <v>0.49</v>
      </c>
      <c r="AE1190" s="104">
        <f t="shared" si="279"/>
        <v>588</v>
      </c>
      <c r="AF1190" s="103">
        <v>45972</v>
      </c>
      <c r="AG1190" s="90">
        <f t="shared" si="280"/>
        <v>32</v>
      </c>
      <c r="AH1190" s="103">
        <v>45972</v>
      </c>
      <c r="AI1190" s="103">
        <v>46006</v>
      </c>
      <c r="AJ1190" s="96">
        <v>1185</v>
      </c>
      <c r="AK1190" s="91">
        <f t="shared" si="281"/>
        <v>34</v>
      </c>
      <c r="AL1190" s="96">
        <f t="shared" si="282"/>
        <v>66</v>
      </c>
      <c r="AM1190" s="92"/>
      <c r="AN1190" s="91"/>
      <c r="AO1190" s="91"/>
    </row>
    <row r="1191" spans="1:41" ht="14.5" x14ac:dyDescent="0.25">
      <c r="A1191" s="110" t="s">
        <v>2041</v>
      </c>
      <c r="B1191" s="91"/>
      <c r="C1191" s="135" t="s">
        <v>303</v>
      </c>
      <c r="D1191" s="187" t="s">
        <v>2042</v>
      </c>
      <c r="E1191" s="135" t="s">
        <v>97</v>
      </c>
      <c r="F1191" s="135" t="s">
        <v>0</v>
      </c>
      <c r="G1191" s="58" t="s">
        <v>1052</v>
      </c>
      <c r="H1191" s="135">
        <v>390</v>
      </c>
      <c r="I1191" s="135" t="s">
        <v>1767</v>
      </c>
      <c r="J1191" s="135" t="s">
        <v>8</v>
      </c>
      <c r="K1191" s="187" t="s">
        <v>9</v>
      </c>
      <c r="L1191" s="93" t="s">
        <v>3089</v>
      </c>
      <c r="M1191" s="94" t="s">
        <v>3423</v>
      </c>
      <c r="N1191" s="95" t="s">
        <v>3042</v>
      </c>
      <c r="O1191" s="189">
        <v>5</v>
      </c>
      <c r="P1191" s="97">
        <f>1/13*O1191</f>
        <v>0.38461538461538464</v>
      </c>
      <c r="Q1191" s="189" t="s">
        <v>3264</v>
      </c>
      <c r="R1191" s="135">
        <v>1090</v>
      </c>
      <c r="S1191" s="95"/>
      <c r="T1191" s="98">
        <v>0</v>
      </c>
      <c r="U1191" s="186">
        <f t="shared" si="287"/>
        <v>419.23076923076923</v>
      </c>
      <c r="V1191" s="100">
        <f t="shared" si="285"/>
        <v>1.0749506903353057</v>
      </c>
      <c r="W1191" s="101">
        <f t="shared" si="286"/>
        <v>0.15356438433361511</v>
      </c>
      <c r="X1191" s="95"/>
      <c r="Y1191" s="95"/>
      <c r="Z1191" s="102"/>
      <c r="AA1191" s="103">
        <v>45940</v>
      </c>
      <c r="AB1191" s="103">
        <v>45959</v>
      </c>
      <c r="AC1191" s="103"/>
      <c r="AD1191" s="104">
        <f>IF(ISNA(VLOOKUP(D1191,亚马逊入库配置费!B:F,5,0)),0,VLOOKUP(D1191,亚马逊入库配置费!B:F,5,0))</f>
        <v>0.30396396396396402</v>
      </c>
      <c r="AE1191" s="104">
        <f t="shared" si="279"/>
        <v>118.54594594594597</v>
      </c>
      <c r="AF1191" s="103">
        <v>45970</v>
      </c>
      <c r="AG1191" s="90">
        <f t="shared" si="280"/>
        <v>30</v>
      </c>
      <c r="AH1191" s="103">
        <v>45970</v>
      </c>
      <c r="AI1191" s="103">
        <v>46006</v>
      </c>
      <c r="AJ1191" s="96">
        <v>401</v>
      </c>
      <c r="AK1191" s="91">
        <f t="shared" si="281"/>
        <v>36</v>
      </c>
      <c r="AL1191" s="96">
        <f t="shared" si="282"/>
        <v>66</v>
      </c>
      <c r="AM1191" s="92"/>
      <c r="AN1191" s="91"/>
      <c r="AO1191" s="91"/>
    </row>
    <row r="1192" spans="1:41" ht="14.5" x14ac:dyDescent="0.25">
      <c r="A1192" s="110" t="s">
        <v>2043</v>
      </c>
      <c r="B1192" s="198"/>
      <c r="C1192" s="135" t="s">
        <v>303</v>
      </c>
      <c r="D1192" s="187" t="s">
        <v>2042</v>
      </c>
      <c r="E1192" s="135" t="s">
        <v>97</v>
      </c>
      <c r="F1192" s="135" t="s">
        <v>0</v>
      </c>
      <c r="G1192" s="58" t="s">
        <v>1059</v>
      </c>
      <c r="H1192" s="135">
        <v>360</v>
      </c>
      <c r="I1192" s="135" t="s">
        <v>1767</v>
      </c>
      <c r="J1192" s="135" t="s">
        <v>8</v>
      </c>
      <c r="K1192" s="187" t="s">
        <v>9</v>
      </c>
      <c r="L1192" s="93" t="s">
        <v>3092</v>
      </c>
      <c r="M1192" s="94" t="s">
        <v>3426</v>
      </c>
      <c r="N1192" s="95" t="s">
        <v>3042</v>
      </c>
      <c r="O1192" s="189">
        <v>4</v>
      </c>
      <c r="P1192" s="97">
        <f>1/13*O1192</f>
        <v>0.30769230769230771</v>
      </c>
      <c r="Q1192" s="189" t="s">
        <v>3264</v>
      </c>
      <c r="R1192" s="135">
        <v>1090</v>
      </c>
      <c r="S1192" s="95"/>
      <c r="T1192" s="98">
        <v>0</v>
      </c>
      <c r="U1192" s="186">
        <f t="shared" si="287"/>
        <v>335.38461538461542</v>
      </c>
      <c r="V1192" s="100">
        <f t="shared" si="285"/>
        <v>0.93162393162393176</v>
      </c>
      <c r="W1192" s="101">
        <f t="shared" si="286"/>
        <v>0.13308913308913312</v>
      </c>
      <c r="X1192" s="95"/>
      <c r="Y1192" s="95"/>
      <c r="Z1192" s="102"/>
      <c r="AA1192" s="103">
        <v>45940</v>
      </c>
      <c r="AB1192" s="103">
        <v>45959</v>
      </c>
      <c r="AC1192" s="103"/>
      <c r="AD1192" s="104">
        <f>IF(ISNA(VLOOKUP(D1192,亚马逊入库配置费!B:F,5,0)),0,VLOOKUP(D1192,亚马逊入库配置费!B:F,5,0))</f>
        <v>0.30396396396396402</v>
      </c>
      <c r="AE1192" s="104">
        <f t="shared" si="279"/>
        <v>109.42702702702705</v>
      </c>
      <c r="AF1192" s="103">
        <v>45970</v>
      </c>
      <c r="AG1192" s="90">
        <f t="shared" si="280"/>
        <v>30</v>
      </c>
      <c r="AH1192" s="103">
        <v>45970</v>
      </c>
      <c r="AI1192" s="103">
        <v>46006</v>
      </c>
      <c r="AJ1192" s="96">
        <v>359</v>
      </c>
      <c r="AK1192" s="91">
        <f t="shared" si="281"/>
        <v>36</v>
      </c>
      <c r="AL1192" s="96">
        <f t="shared" si="282"/>
        <v>66</v>
      </c>
      <c r="AM1192" s="92"/>
      <c r="AN1192" s="91"/>
      <c r="AO1192" s="91"/>
    </row>
    <row r="1193" spans="1:41" ht="14.5" x14ac:dyDescent="0.25">
      <c r="A1193" s="110" t="s">
        <v>2044</v>
      </c>
      <c r="B1193" s="91"/>
      <c r="C1193" s="135" t="s">
        <v>303</v>
      </c>
      <c r="D1193" s="187" t="s">
        <v>2042</v>
      </c>
      <c r="E1193" s="135" t="s">
        <v>97</v>
      </c>
      <c r="F1193" s="135" t="s">
        <v>0</v>
      </c>
      <c r="G1193" s="58" t="s">
        <v>526</v>
      </c>
      <c r="H1193" s="135">
        <v>360</v>
      </c>
      <c r="I1193" s="135" t="s">
        <v>1767</v>
      </c>
      <c r="J1193" s="135" t="s">
        <v>8</v>
      </c>
      <c r="K1193" s="187" t="s">
        <v>9</v>
      </c>
      <c r="L1193" s="93" t="s">
        <v>3069</v>
      </c>
      <c r="M1193" s="94" t="s">
        <v>3367</v>
      </c>
      <c r="N1193" s="95" t="s">
        <v>3042</v>
      </c>
      <c r="O1193" s="189">
        <v>4</v>
      </c>
      <c r="P1193" s="97">
        <f>1/13*O1193</f>
        <v>0.30769230769230771</v>
      </c>
      <c r="Q1193" s="189" t="s">
        <v>3264</v>
      </c>
      <c r="R1193" s="135">
        <v>1090</v>
      </c>
      <c r="S1193" s="95"/>
      <c r="T1193" s="98">
        <v>0</v>
      </c>
      <c r="U1193" s="186">
        <f t="shared" si="287"/>
        <v>335.38461538461542</v>
      </c>
      <c r="V1193" s="100">
        <f t="shared" si="285"/>
        <v>0.93162393162393176</v>
      </c>
      <c r="W1193" s="101">
        <f t="shared" si="286"/>
        <v>0.13308913308913312</v>
      </c>
      <c r="X1193" s="95"/>
      <c r="Y1193" s="95"/>
      <c r="Z1193" s="102"/>
      <c r="AA1193" s="103">
        <v>45940</v>
      </c>
      <c r="AB1193" s="103">
        <v>45959</v>
      </c>
      <c r="AC1193" s="103"/>
      <c r="AD1193" s="104">
        <f>IF(ISNA(VLOOKUP(D1193,亚马逊入库配置费!B:F,5,0)),0,VLOOKUP(D1193,亚马逊入库配置费!B:F,5,0))</f>
        <v>0.30396396396396402</v>
      </c>
      <c r="AE1193" s="104">
        <f t="shared" si="279"/>
        <v>109.42702702702705</v>
      </c>
      <c r="AF1193" s="103">
        <v>45970</v>
      </c>
      <c r="AG1193" s="90">
        <f t="shared" si="280"/>
        <v>30</v>
      </c>
      <c r="AH1193" s="103">
        <v>45970</v>
      </c>
      <c r="AI1193" s="103">
        <v>46006</v>
      </c>
      <c r="AJ1193" s="96">
        <v>356</v>
      </c>
      <c r="AK1193" s="91">
        <f t="shared" si="281"/>
        <v>36</v>
      </c>
      <c r="AL1193" s="96">
        <f t="shared" si="282"/>
        <v>66</v>
      </c>
      <c r="AM1193" s="92"/>
      <c r="AN1193" s="91"/>
      <c r="AO1193" s="91"/>
    </row>
    <row r="1194" spans="1:41" ht="14.5" x14ac:dyDescent="0.25">
      <c r="A1194" s="110" t="s">
        <v>2045</v>
      </c>
      <c r="B1194" s="91" t="s">
        <v>3468</v>
      </c>
      <c r="C1194" s="200" t="s">
        <v>303</v>
      </c>
      <c r="D1194" s="201" t="s">
        <v>2046</v>
      </c>
      <c r="E1194" s="135" t="s">
        <v>97</v>
      </c>
      <c r="F1194" s="135" t="s">
        <v>0</v>
      </c>
      <c r="G1194" s="58" t="s">
        <v>648</v>
      </c>
      <c r="H1194" s="200">
        <v>90</v>
      </c>
      <c r="I1194" s="200" t="s">
        <v>306</v>
      </c>
      <c r="J1194" s="200" t="s">
        <v>8</v>
      </c>
      <c r="K1194" s="201" t="s">
        <v>39</v>
      </c>
      <c r="L1194" s="93" t="s">
        <v>3077</v>
      </c>
      <c r="M1194" s="94" t="s">
        <v>3380</v>
      </c>
      <c r="N1194" s="95" t="s">
        <v>3042</v>
      </c>
      <c r="O1194" s="202">
        <v>1</v>
      </c>
      <c r="P1194" s="97">
        <f>101/5*O1194</f>
        <v>20.2</v>
      </c>
      <c r="Q1194" s="202" t="s">
        <v>16</v>
      </c>
      <c r="R1194" s="200">
        <v>12.2</v>
      </c>
      <c r="S1194" s="95">
        <v>25</v>
      </c>
      <c r="T1194" s="95">
        <v>0</v>
      </c>
      <c r="U1194" s="203">
        <f t="shared" si="287"/>
        <v>246.43999999999997</v>
      </c>
      <c r="V1194" s="100">
        <f t="shared" si="285"/>
        <v>2.7382222222222219</v>
      </c>
      <c r="W1194" s="101">
        <f t="shared" si="286"/>
        <v>0.39117460317460312</v>
      </c>
      <c r="X1194" s="95"/>
      <c r="Y1194" s="95"/>
      <c r="Z1194" s="102"/>
      <c r="AA1194" s="103">
        <v>45947</v>
      </c>
      <c r="AB1194" s="103">
        <v>45969</v>
      </c>
      <c r="AC1194" s="103"/>
      <c r="AD1194" s="104">
        <f>IF(ISNA(VLOOKUP(D1194,亚马逊入库配置费!B:F,5,0)),0,VLOOKUP(D1194,亚马逊入库配置费!B:F,5,0))</f>
        <v>0.18</v>
      </c>
      <c r="AE1194" s="104">
        <f t="shared" si="279"/>
        <v>16.2</v>
      </c>
      <c r="AF1194" s="103">
        <v>45982</v>
      </c>
      <c r="AG1194" s="90">
        <f t="shared" si="280"/>
        <v>35</v>
      </c>
      <c r="AH1194" s="103">
        <v>45982</v>
      </c>
      <c r="AI1194" s="103">
        <v>45987</v>
      </c>
      <c r="AJ1194" s="96">
        <v>90</v>
      </c>
      <c r="AK1194" s="91">
        <f t="shared" si="281"/>
        <v>5</v>
      </c>
      <c r="AL1194" s="96">
        <f t="shared" si="282"/>
        <v>40</v>
      </c>
      <c r="AM1194" s="92"/>
      <c r="AN1194" s="91"/>
      <c r="AO1194" s="91"/>
    </row>
    <row r="1195" spans="1:41" ht="14.5" x14ac:dyDescent="0.25">
      <c r="A1195" s="110" t="s">
        <v>2047</v>
      </c>
      <c r="B1195" s="91" t="s">
        <v>3468</v>
      </c>
      <c r="C1195" s="200" t="s">
        <v>303</v>
      </c>
      <c r="D1195" s="201" t="s">
        <v>2046</v>
      </c>
      <c r="E1195" s="135" t="s">
        <v>97</v>
      </c>
      <c r="F1195" s="135" t="s">
        <v>0</v>
      </c>
      <c r="G1195" s="58" t="s">
        <v>652</v>
      </c>
      <c r="H1195" s="200">
        <v>180</v>
      </c>
      <c r="I1195" s="200" t="s">
        <v>306</v>
      </c>
      <c r="J1195" s="200" t="s">
        <v>8</v>
      </c>
      <c r="K1195" s="204" t="s">
        <v>39</v>
      </c>
      <c r="L1195" s="93" t="s">
        <v>3079</v>
      </c>
      <c r="M1195" s="94" t="s">
        <v>3382</v>
      </c>
      <c r="N1195" s="95" t="s">
        <v>3042</v>
      </c>
      <c r="O1195" s="202">
        <v>2</v>
      </c>
      <c r="P1195" s="97">
        <f t="shared" ref="P1195:P1196" si="288">101/5*O1195</f>
        <v>40.4</v>
      </c>
      <c r="Q1195" s="202" t="s">
        <v>16</v>
      </c>
      <c r="R1195" s="200">
        <v>12.2</v>
      </c>
      <c r="S1195" s="95">
        <v>50</v>
      </c>
      <c r="T1195" s="95">
        <v>0</v>
      </c>
      <c r="U1195" s="203">
        <f t="shared" si="287"/>
        <v>492.87999999999994</v>
      </c>
      <c r="V1195" s="100">
        <f t="shared" si="285"/>
        <v>2.7382222222222219</v>
      </c>
      <c r="W1195" s="101">
        <f t="shared" si="286"/>
        <v>0.39117460317460312</v>
      </c>
      <c r="X1195" s="95"/>
      <c r="Y1195" s="95"/>
      <c r="Z1195" s="102"/>
      <c r="AA1195" s="103">
        <v>45947</v>
      </c>
      <c r="AB1195" s="103">
        <v>45969</v>
      </c>
      <c r="AC1195" s="103"/>
      <c r="AD1195" s="104">
        <f>IF(ISNA(VLOOKUP(D1195,亚马逊入库配置费!B:F,5,0)),0,VLOOKUP(D1195,亚马逊入库配置费!B:F,5,0))</f>
        <v>0.18</v>
      </c>
      <c r="AE1195" s="104">
        <f t="shared" si="279"/>
        <v>32.4</v>
      </c>
      <c r="AF1195" s="103">
        <v>45982</v>
      </c>
      <c r="AG1195" s="90">
        <f t="shared" si="280"/>
        <v>35</v>
      </c>
      <c r="AH1195" s="103">
        <v>45982</v>
      </c>
      <c r="AI1195" s="103">
        <v>45987</v>
      </c>
      <c r="AJ1195" s="96">
        <v>180</v>
      </c>
      <c r="AK1195" s="91">
        <f t="shared" si="281"/>
        <v>5</v>
      </c>
      <c r="AL1195" s="96">
        <f t="shared" si="282"/>
        <v>40</v>
      </c>
      <c r="AM1195" s="92"/>
      <c r="AN1195" s="91"/>
      <c r="AO1195" s="91"/>
    </row>
    <row r="1196" spans="1:41" ht="14.5" x14ac:dyDescent="0.25">
      <c r="A1196" s="110" t="s">
        <v>2048</v>
      </c>
      <c r="B1196" s="91" t="s">
        <v>3468</v>
      </c>
      <c r="C1196" s="200" t="s">
        <v>303</v>
      </c>
      <c r="D1196" s="201" t="s">
        <v>2046</v>
      </c>
      <c r="E1196" s="135" t="s">
        <v>97</v>
      </c>
      <c r="F1196" s="135" t="s">
        <v>0</v>
      </c>
      <c r="G1196" s="58" t="s">
        <v>311</v>
      </c>
      <c r="H1196" s="200">
        <v>180</v>
      </c>
      <c r="I1196" s="200" t="s">
        <v>306</v>
      </c>
      <c r="J1196" s="200" t="s">
        <v>8</v>
      </c>
      <c r="K1196" s="204" t="s">
        <v>39</v>
      </c>
      <c r="L1196" s="93" t="s">
        <v>3044</v>
      </c>
      <c r="M1196" s="94" t="s">
        <v>3331</v>
      </c>
      <c r="N1196" s="95" t="s">
        <v>3042</v>
      </c>
      <c r="O1196" s="202">
        <v>2</v>
      </c>
      <c r="P1196" s="97">
        <f t="shared" si="288"/>
        <v>40.4</v>
      </c>
      <c r="Q1196" s="202" t="s">
        <v>16</v>
      </c>
      <c r="R1196" s="200">
        <v>12.2</v>
      </c>
      <c r="S1196" s="95">
        <v>50</v>
      </c>
      <c r="T1196" s="95">
        <v>0</v>
      </c>
      <c r="U1196" s="203">
        <f t="shared" si="287"/>
        <v>492.87999999999994</v>
      </c>
      <c r="V1196" s="100">
        <f t="shared" si="285"/>
        <v>2.7382222222222219</v>
      </c>
      <c r="W1196" s="101">
        <f t="shared" si="286"/>
        <v>0.39117460317460312</v>
      </c>
      <c r="X1196" s="95"/>
      <c r="Y1196" s="95"/>
      <c r="Z1196" s="102"/>
      <c r="AA1196" s="103">
        <v>45947</v>
      </c>
      <c r="AB1196" s="103">
        <v>45969</v>
      </c>
      <c r="AC1196" s="103"/>
      <c r="AD1196" s="104">
        <f>IF(ISNA(VLOOKUP(D1196,亚马逊入库配置费!B:F,5,0)),0,VLOOKUP(D1196,亚马逊入库配置费!B:F,5,0))</f>
        <v>0.18</v>
      </c>
      <c r="AE1196" s="104">
        <f t="shared" si="279"/>
        <v>32.4</v>
      </c>
      <c r="AF1196" s="103">
        <v>45982</v>
      </c>
      <c r="AG1196" s="90">
        <f t="shared" si="280"/>
        <v>35</v>
      </c>
      <c r="AH1196" s="103">
        <v>45982</v>
      </c>
      <c r="AI1196" s="103">
        <v>45987</v>
      </c>
      <c r="AJ1196" s="96">
        <v>177</v>
      </c>
      <c r="AK1196" s="91">
        <f t="shared" si="281"/>
        <v>5</v>
      </c>
      <c r="AL1196" s="96">
        <f t="shared" si="282"/>
        <v>40</v>
      </c>
      <c r="AM1196" s="92"/>
      <c r="AN1196" s="91"/>
      <c r="AO1196" s="91"/>
    </row>
    <row r="1197" spans="1:41" ht="14.5" x14ac:dyDescent="0.25">
      <c r="A1197" s="110" t="s">
        <v>2049</v>
      </c>
      <c r="B1197" s="91"/>
      <c r="C1197" s="135" t="s">
        <v>303</v>
      </c>
      <c r="D1197" s="187" t="s">
        <v>2050</v>
      </c>
      <c r="E1197" s="135" t="s">
        <v>97</v>
      </c>
      <c r="F1197" s="135" t="s">
        <v>0</v>
      </c>
      <c r="G1197" s="58" t="s">
        <v>1312</v>
      </c>
      <c r="H1197" s="135">
        <v>80</v>
      </c>
      <c r="I1197" s="135" t="s">
        <v>1767</v>
      </c>
      <c r="J1197" s="135" t="s">
        <v>8</v>
      </c>
      <c r="K1197" s="205" t="s">
        <v>13</v>
      </c>
      <c r="L1197" s="93" t="s">
        <v>1312</v>
      </c>
      <c r="M1197" s="94" t="s">
        <v>3441</v>
      </c>
      <c r="N1197" s="95" t="s">
        <v>3042</v>
      </c>
      <c r="O1197" s="189">
        <v>4</v>
      </c>
      <c r="P1197" s="97">
        <f>1.73/34*O1197</f>
        <v>0.20352941176470588</v>
      </c>
      <c r="Q1197" s="189" t="s">
        <v>3264</v>
      </c>
      <c r="R1197" s="135">
        <v>1180</v>
      </c>
      <c r="S1197" s="95"/>
      <c r="T1197" s="98">
        <v>0</v>
      </c>
      <c r="U1197" s="186">
        <f t="shared" si="287"/>
        <v>240.16470588235293</v>
      </c>
      <c r="V1197" s="100">
        <f t="shared" si="285"/>
        <v>3.0020588235294117</v>
      </c>
      <c r="W1197" s="101">
        <f t="shared" si="286"/>
        <v>0.42886554621848738</v>
      </c>
      <c r="X1197" s="95"/>
      <c r="Y1197" s="95"/>
      <c r="Z1197" s="102"/>
      <c r="AA1197" s="103">
        <v>45947</v>
      </c>
      <c r="AB1197" s="103">
        <v>45966</v>
      </c>
      <c r="AC1197" s="103"/>
      <c r="AD1197" s="104">
        <f>IF(ISNA(VLOOKUP(D1197,亚马逊入库配置费!B:F,5,0)),0,VLOOKUP(D1197,亚马逊入库配置费!B:F,5,0))</f>
        <v>0.34250000000000003</v>
      </c>
      <c r="AE1197" s="104">
        <f t="shared" si="279"/>
        <v>27.400000000000002</v>
      </c>
      <c r="AF1197" s="103">
        <v>45986</v>
      </c>
      <c r="AG1197" s="90">
        <f t="shared" si="280"/>
        <v>39</v>
      </c>
      <c r="AH1197" s="103">
        <v>45986</v>
      </c>
      <c r="AI1197" s="103">
        <v>46015</v>
      </c>
      <c r="AJ1197" s="96">
        <v>90</v>
      </c>
      <c r="AK1197" s="91">
        <f t="shared" si="281"/>
        <v>29</v>
      </c>
      <c r="AL1197" s="96">
        <f t="shared" si="282"/>
        <v>68</v>
      </c>
      <c r="AM1197" s="92"/>
      <c r="AN1197" s="91"/>
      <c r="AO1197" s="91"/>
    </row>
    <row r="1198" spans="1:41" ht="14.5" x14ac:dyDescent="0.25">
      <c r="A1198" s="110" t="s">
        <v>2051</v>
      </c>
      <c r="B1198" s="91"/>
      <c r="C1198" s="135" t="s">
        <v>303</v>
      </c>
      <c r="D1198" s="187" t="s">
        <v>2050</v>
      </c>
      <c r="E1198" s="135" t="s">
        <v>97</v>
      </c>
      <c r="F1198" s="135" t="s">
        <v>0</v>
      </c>
      <c r="G1198" s="58" t="s">
        <v>1057</v>
      </c>
      <c r="H1198" s="135">
        <v>90</v>
      </c>
      <c r="I1198" s="135" t="s">
        <v>1767</v>
      </c>
      <c r="J1198" s="135" t="s">
        <v>8</v>
      </c>
      <c r="K1198" s="187" t="s">
        <v>13</v>
      </c>
      <c r="L1198" s="93" t="s">
        <v>3091</v>
      </c>
      <c r="M1198" s="94" t="s">
        <v>3425</v>
      </c>
      <c r="N1198" s="95" t="s">
        <v>3042</v>
      </c>
      <c r="O1198" s="189">
        <v>1</v>
      </c>
      <c r="P1198" s="97">
        <f t="shared" ref="P1198:P1206" si="289">1.73/34*O1198</f>
        <v>5.0882352941176469E-2</v>
      </c>
      <c r="Q1198" s="189" t="s">
        <v>3264</v>
      </c>
      <c r="R1198" s="135">
        <v>1180</v>
      </c>
      <c r="S1198" s="95"/>
      <c r="T1198" s="98">
        <v>0</v>
      </c>
      <c r="U1198" s="186">
        <f t="shared" si="287"/>
        <v>60.041176470588233</v>
      </c>
      <c r="V1198" s="100">
        <f t="shared" si="285"/>
        <v>0.66712418300653598</v>
      </c>
      <c r="W1198" s="101">
        <f t="shared" si="286"/>
        <v>9.5303454715219421E-2</v>
      </c>
      <c r="X1198" s="95"/>
      <c r="Y1198" s="95"/>
      <c r="Z1198" s="102"/>
      <c r="AA1198" s="103">
        <v>45947</v>
      </c>
      <c r="AB1198" s="103">
        <v>45966</v>
      </c>
      <c r="AC1198" s="103"/>
      <c r="AD1198" s="104">
        <f>IF(ISNA(VLOOKUP(D1198,亚马逊入库配置费!B:F,5,0)),0,VLOOKUP(D1198,亚马逊入库配置费!B:F,5,0))</f>
        <v>0.34250000000000003</v>
      </c>
      <c r="AE1198" s="104">
        <f t="shared" si="279"/>
        <v>30.825000000000003</v>
      </c>
      <c r="AF1198" s="103">
        <v>45986</v>
      </c>
      <c r="AG1198" s="90">
        <f t="shared" si="280"/>
        <v>39</v>
      </c>
      <c r="AH1198" s="103">
        <v>45986</v>
      </c>
      <c r="AI1198" s="103">
        <v>46015</v>
      </c>
      <c r="AJ1198" s="96">
        <v>90</v>
      </c>
      <c r="AK1198" s="91">
        <f t="shared" si="281"/>
        <v>29</v>
      </c>
      <c r="AL1198" s="96">
        <f t="shared" si="282"/>
        <v>68</v>
      </c>
      <c r="AM1198" s="92"/>
      <c r="AN1198" s="91"/>
      <c r="AO1198" s="91"/>
    </row>
    <row r="1199" spans="1:41" ht="14.5" x14ac:dyDescent="0.25">
      <c r="A1199" s="110" t="s">
        <v>2052</v>
      </c>
      <c r="B1199" s="91"/>
      <c r="C1199" s="135" t="s">
        <v>303</v>
      </c>
      <c r="D1199" s="187" t="s">
        <v>2050</v>
      </c>
      <c r="E1199" s="135" t="s">
        <v>97</v>
      </c>
      <c r="F1199" s="135" t="s">
        <v>0</v>
      </c>
      <c r="G1199" s="58" t="s">
        <v>1059</v>
      </c>
      <c r="H1199" s="135">
        <v>180</v>
      </c>
      <c r="I1199" s="135" t="s">
        <v>1767</v>
      </c>
      <c r="J1199" s="135" t="s">
        <v>8</v>
      </c>
      <c r="K1199" s="187" t="s">
        <v>13</v>
      </c>
      <c r="L1199" s="93" t="s">
        <v>3092</v>
      </c>
      <c r="M1199" s="94" t="s">
        <v>3426</v>
      </c>
      <c r="N1199" s="95" t="s">
        <v>3042</v>
      </c>
      <c r="O1199" s="189">
        <v>2</v>
      </c>
      <c r="P1199" s="97">
        <f t="shared" si="289"/>
        <v>0.10176470588235294</v>
      </c>
      <c r="Q1199" s="189" t="s">
        <v>3264</v>
      </c>
      <c r="R1199" s="135">
        <v>1180</v>
      </c>
      <c r="S1199" s="95"/>
      <c r="T1199" s="98">
        <v>0</v>
      </c>
      <c r="U1199" s="186">
        <f t="shared" si="287"/>
        <v>120.08235294117647</v>
      </c>
      <c r="V1199" s="100">
        <f t="shared" si="285"/>
        <v>0.66712418300653598</v>
      </c>
      <c r="W1199" s="101">
        <f t="shared" si="286"/>
        <v>9.5303454715219421E-2</v>
      </c>
      <c r="X1199" s="95"/>
      <c r="Y1199" s="95"/>
      <c r="Z1199" s="102"/>
      <c r="AA1199" s="103">
        <v>45947</v>
      </c>
      <c r="AB1199" s="103">
        <v>45966</v>
      </c>
      <c r="AC1199" s="103"/>
      <c r="AD1199" s="104">
        <f>IF(ISNA(VLOOKUP(D1199,亚马逊入库配置费!B:F,5,0)),0,VLOOKUP(D1199,亚马逊入库配置费!B:F,5,0))</f>
        <v>0.34250000000000003</v>
      </c>
      <c r="AE1199" s="104">
        <f t="shared" si="279"/>
        <v>61.650000000000006</v>
      </c>
      <c r="AF1199" s="103">
        <v>45986</v>
      </c>
      <c r="AG1199" s="90">
        <f t="shared" si="280"/>
        <v>39</v>
      </c>
      <c r="AH1199" s="103">
        <v>45986</v>
      </c>
      <c r="AI1199" s="103">
        <v>46015</v>
      </c>
      <c r="AJ1199" s="96">
        <v>180</v>
      </c>
      <c r="AK1199" s="91">
        <f t="shared" si="281"/>
        <v>29</v>
      </c>
      <c r="AL1199" s="96">
        <f t="shared" si="282"/>
        <v>68</v>
      </c>
      <c r="AM1199" s="92"/>
      <c r="AN1199" s="91"/>
      <c r="AO1199" s="91"/>
    </row>
    <row r="1200" spans="1:41" ht="14.5" x14ac:dyDescent="0.25">
      <c r="A1200" s="110" t="s">
        <v>2053</v>
      </c>
      <c r="B1200" s="91"/>
      <c r="C1200" s="135" t="s">
        <v>303</v>
      </c>
      <c r="D1200" s="187" t="s">
        <v>2050</v>
      </c>
      <c r="E1200" s="135" t="s">
        <v>97</v>
      </c>
      <c r="F1200" s="135" t="s">
        <v>0</v>
      </c>
      <c r="G1200" s="58" t="s">
        <v>1061</v>
      </c>
      <c r="H1200" s="135">
        <v>180</v>
      </c>
      <c r="I1200" s="135" t="s">
        <v>1767</v>
      </c>
      <c r="J1200" s="135" t="s">
        <v>8</v>
      </c>
      <c r="K1200" s="187" t="s">
        <v>13</v>
      </c>
      <c r="L1200" s="93" t="s">
        <v>3093</v>
      </c>
      <c r="M1200" s="94" t="s">
        <v>3427</v>
      </c>
      <c r="N1200" s="95" t="s">
        <v>3042</v>
      </c>
      <c r="O1200" s="189">
        <v>2</v>
      </c>
      <c r="P1200" s="97">
        <f t="shared" si="289"/>
        <v>0.10176470588235294</v>
      </c>
      <c r="Q1200" s="189" t="s">
        <v>3264</v>
      </c>
      <c r="R1200" s="135">
        <v>1180</v>
      </c>
      <c r="S1200" s="95"/>
      <c r="T1200" s="98">
        <v>0</v>
      </c>
      <c r="U1200" s="186">
        <f t="shared" si="287"/>
        <v>120.08235294117647</v>
      </c>
      <c r="V1200" s="100">
        <f t="shared" si="285"/>
        <v>0.66712418300653598</v>
      </c>
      <c r="W1200" s="101">
        <f t="shared" si="286"/>
        <v>9.5303454715219421E-2</v>
      </c>
      <c r="X1200" s="95"/>
      <c r="Y1200" s="95"/>
      <c r="Z1200" s="102"/>
      <c r="AA1200" s="103">
        <v>45947</v>
      </c>
      <c r="AB1200" s="103">
        <v>45966</v>
      </c>
      <c r="AC1200" s="103"/>
      <c r="AD1200" s="104">
        <f>IF(ISNA(VLOOKUP(D1200,亚马逊入库配置费!B:F,5,0)),0,VLOOKUP(D1200,亚马逊入库配置费!B:F,5,0))</f>
        <v>0.34250000000000003</v>
      </c>
      <c r="AE1200" s="104">
        <f t="shared" si="279"/>
        <v>61.650000000000006</v>
      </c>
      <c r="AF1200" s="103">
        <v>45986</v>
      </c>
      <c r="AG1200" s="90">
        <f t="shared" si="280"/>
        <v>39</v>
      </c>
      <c r="AH1200" s="103">
        <v>45986</v>
      </c>
      <c r="AI1200" s="103">
        <v>46015</v>
      </c>
      <c r="AJ1200" s="96">
        <v>181</v>
      </c>
      <c r="AK1200" s="91">
        <f t="shared" si="281"/>
        <v>29</v>
      </c>
      <c r="AL1200" s="96">
        <f t="shared" si="282"/>
        <v>68</v>
      </c>
      <c r="AM1200" s="92"/>
      <c r="AN1200" s="91"/>
      <c r="AO1200" s="91"/>
    </row>
    <row r="1201" spans="1:41" ht="14.5" x14ac:dyDescent="0.25">
      <c r="A1201" s="110" t="s">
        <v>2054</v>
      </c>
      <c r="B1201" s="91"/>
      <c r="C1201" s="135" t="s">
        <v>303</v>
      </c>
      <c r="D1201" s="187" t="s">
        <v>2050</v>
      </c>
      <c r="E1201" s="135" t="s">
        <v>97</v>
      </c>
      <c r="F1201" s="135" t="s">
        <v>0</v>
      </c>
      <c r="G1201" s="58" t="s">
        <v>650</v>
      </c>
      <c r="H1201" s="135">
        <v>900</v>
      </c>
      <c r="I1201" s="135" t="s">
        <v>1767</v>
      </c>
      <c r="J1201" s="135" t="s">
        <v>8</v>
      </c>
      <c r="K1201" s="187" t="s">
        <v>13</v>
      </c>
      <c r="L1201" s="93" t="s">
        <v>3078</v>
      </c>
      <c r="M1201" s="94" t="s">
        <v>3381</v>
      </c>
      <c r="N1201" s="95" t="s">
        <v>3042</v>
      </c>
      <c r="O1201" s="189">
        <v>10</v>
      </c>
      <c r="P1201" s="97">
        <f t="shared" si="289"/>
        <v>0.50882352941176467</v>
      </c>
      <c r="Q1201" s="189" t="s">
        <v>3264</v>
      </c>
      <c r="R1201" s="135">
        <v>1180</v>
      </c>
      <c r="S1201" s="95"/>
      <c r="T1201" s="98">
        <v>0</v>
      </c>
      <c r="U1201" s="186">
        <f t="shared" si="287"/>
        <v>600.41176470588232</v>
      </c>
      <c r="V1201" s="100">
        <f t="shared" si="285"/>
        <v>0.66712418300653586</v>
      </c>
      <c r="W1201" s="101">
        <f t="shared" si="286"/>
        <v>9.5303454715219407E-2</v>
      </c>
      <c r="X1201" s="95"/>
      <c r="Y1201" s="95"/>
      <c r="Z1201" s="102"/>
      <c r="AA1201" s="103">
        <v>45947</v>
      </c>
      <c r="AB1201" s="103">
        <v>45966</v>
      </c>
      <c r="AC1201" s="103"/>
      <c r="AD1201" s="104">
        <f>IF(ISNA(VLOOKUP(D1201,亚马逊入库配置费!B:F,5,0)),0,VLOOKUP(D1201,亚马逊入库配置费!B:F,5,0))</f>
        <v>0.34250000000000003</v>
      </c>
      <c r="AE1201" s="104">
        <f t="shared" si="279"/>
        <v>308.25</v>
      </c>
      <c r="AF1201" s="103">
        <v>45986</v>
      </c>
      <c r="AG1201" s="90">
        <f t="shared" si="280"/>
        <v>39</v>
      </c>
      <c r="AH1201" s="103">
        <v>45986</v>
      </c>
      <c r="AI1201" s="103">
        <v>46015</v>
      </c>
      <c r="AJ1201" s="96">
        <v>900</v>
      </c>
      <c r="AK1201" s="91">
        <f t="shared" si="281"/>
        <v>29</v>
      </c>
      <c r="AL1201" s="96">
        <f t="shared" si="282"/>
        <v>68</v>
      </c>
      <c r="AM1201" s="92"/>
      <c r="AN1201" s="91"/>
      <c r="AO1201" s="91"/>
    </row>
    <row r="1202" spans="1:41" ht="14.5" x14ac:dyDescent="0.25">
      <c r="A1202" s="110" t="s">
        <v>2055</v>
      </c>
      <c r="B1202" s="91"/>
      <c r="C1202" s="135" t="s">
        <v>303</v>
      </c>
      <c r="D1202" s="187" t="s">
        <v>2050</v>
      </c>
      <c r="E1202" s="135" t="s">
        <v>97</v>
      </c>
      <c r="F1202" s="135" t="s">
        <v>0</v>
      </c>
      <c r="G1202" s="58" t="s">
        <v>526</v>
      </c>
      <c r="H1202" s="135">
        <v>810</v>
      </c>
      <c r="I1202" s="135" t="s">
        <v>1767</v>
      </c>
      <c r="J1202" s="135" t="s">
        <v>8</v>
      </c>
      <c r="K1202" s="187" t="s">
        <v>13</v>
      </c>
      <c r="L1202" s="93" t="s">
        <v>3069</v>
      </c>
      <c r="M1202" s="94" t="s">
        <v>3367</v>
      </c>
      <c r="N1202" s="95" t="s">
        <v>3042</v>
      </c>
      <c r="O1202" s="189">
        <v>9</v>
      </c>
      <c r="P1202" s="97">
        <f t="shared" si="289"/>
        <v>0.45794117647058824</v>
      </c>
      <c r="Q1202" s="189" t="s">
        <v>3264</v>
      </c>
      <c r="R1202" s="135">
        <v>1180</v>
      </c>
      <c r="S1202" s="95"/>
      <c r="T1202" s="98">
        <v>0</v>
      </c>
      <c r="U1202" s="186">
        <f t="shared" si="287"/>
        <v>540.37058823529412</v>
      </c>
      <c r="V1202" s="100">
        <f t="shared" si="285"/>
        <v>0.66712418300653598</v>
      </c>
      <c r="W1202" s="101">
        <f t="shared" si="286"/>
        <v>9.5303454715219421E-2</v>
      </c>
      <c r="X1202" s="95"/>
      <c r="Y1202" s="95"/>
      <c r="Z1202" s="102"/>
      <c r="AA1202" s="103">
        <v>45947</v>
      </c>
      <c r="AB1202" s="103">
        <v>45966</v>
      </c>
      <c r="AC1202" s="103"/>
      <c r="AD1202" s="104">
        <f>IF(ISNA(VLOOKUP(D1202,亚马逊入库配置费!B:F,5,0)),0,VLOOKUP(D1202,亚马逊入库配置费!B:F,5,0))</f>
        <v>0.34250000000000003</v>
      </c>
      <c r="AE1202" s="104">
        <f t="shared" si="279"/>
        <v>277.42500000000001</v>
      </c>
      <c r="AF1202" s="103">
        <v>45986</v>
      </c>
      <c r="AG1202" s="90">
        <f t="shared" si="280"/>
        <v>39</v>
      </c>
      <c r="AH1202" s="103">
        <v>45986</v>
      </c>
      <c r="AI1202" s="103">
        <v>46015</v>
      </c>
      <c r="AJ1202" s="96">
        <v>802</v>
      </c>
      <c r="AK1202" s="91">
        <f t="shared" si="281"/>
        <v>29</v>
      </c>
      <c r="AL1202" s="96">
        <f t="shared" si="282"/>
        <v>68</v>
      </c>
      <c r="AM1202" s="92"/>
      <c r="AN1202" s="91"/>
      <c r="AO1202" s="91"/>
    </row>
    <row r="1203" spans="1:41" ht="14.5" x14ac:dyDescent="0.25">
      <c r="A1203" s="110" t="s">
        <v>2056</v>
      </c>
      <c r="B1203" s="91"/>
      <c r="C1203" s="135" t="s">
        <v>303</v>
      </c>
      <c r="D1203" s="187" t="s">
        <v>2057</v>
      </c>
      <c r="E1203" s="135" t="s">
        <v>115</v>
      </c>
      <c r="F1203" s="135" t="s">
        <v>0</v>
      </c>
      <c r="G1203" s="58" t="s">
        <v>1054</v>
      </c>
      <c r="H1203" s="135">
        <v>90</v>
      </c>
      <c r="I1203" s="135" t="s">
        <v>1767</v>
      </c>
      <c r="J1203" s="135" t="s">
        <v>8</v>
      </c>
      <c r="K1203" s="187" t="s">
        <v>13</v>
      </c>
      <c r="L1203" s="93" t="s">
        <v>3090</v>
      </c>
      <c r="M1203" s="94" t="s">
        <v>3424</v>
      </c>
      <c r="N1203" s="95" t="s">
        <v>3042</v>
      </c>
      <c r="O1203" s="189">
        <v>1</v>
      </c>
      <c r="P1203" s="97">
        <f t="shared" si="289"/>
        <v>5.0882352941176469E-2</v>
      </c>
      <c r="Q1203" s="189" t="s">
        <v>3264</v>
      </c>
      <c r="R1203" s="135">
        <v>1180</v>
      </c>
      <c r="S1203" s="95"/>
      <c r="T1203" s="98">
        <v>0</v>
      </c>
      <c r="U1203" s="186">
        <f t="shared" si="287"/>
        <v>60.041176470588233</v>
      </c>
      <c r="V1203" s="100">
        <f t="shared" si="285"/>
        <v>0.66712418300653598</v>
      </c>
      <c r="W1203" s="101">
        <f t="shared" si="286"/>
        <v>9.5303454715219421E-2</v>
      </c>
      <c r="X1203" s="95"/>
      <c r="Y1203" s="95"/>
      <c r="Z1203" s="102"/>
      <c r="AA1203" s="103">
        <v>45947</v>
      </c>
      <c r="AB1203" s="103">
        <v>45966</v>
      </c>
      <c r="AC1203" s="103"/>
      <c r="AD1203" s="104">
        <f>IF(ISNA(VLOOKUP(D1203,亚马逊入库配置费!B:F,5,0)),0,VLOOKUP(D1203,亚马逊入库配置费!B:F,5,0))</f>
        <v>0.34</v>
      </c>
      <c r="AE1203" s="104">
        <f t="shared" si="279"/>
        <v>30.6</v>
      </c>
      <c r="AF1203" s="103">
        <v>45986</v>
      </c>
      <c r="AG1203" s="90">
        <f t="shared" si="280"/>
        <v>39</v>
      </c>
      <c r="AH1203" s="103">
        <v>45986</v>
      </c>
      <c r="AI1203" s="103">
        <v>46015</v>
      </c>
      <c r="AJ1203" s="96">
        <v>90</v>
      </c>
      <c r="AK1203" s="91">
        <f t="shared" si="281"/>
        <v>29</v>
      </c>
      <c r="AL1203" s="96">
        <f t="shared" si="282"/>
        <v>68</v>
      </c>
      <c r="AM1203" s="92"/>
      <c r="AN1203" s="91"/>
      <c r="AO1203" s="91"/>
    </row>
    <row r="1204" spans="1:41" ht="14.5" x14ac:dyDescent="0.25">
      <c r="A1204" s="110" t="s">
        <v>2058</v>
      </c>
      <c r="B1204" s="91"/>
      <c r="C1204" s="135" t="s">
        <v>303</v>
      </c>
      <c r="D1204" s="187" t="s">
        <v>2057</v>
      </c>
      <c r="E1204" s="135" t="s">
        <v>115</v>
      </c>
      <c r="F1204" s="135" t="s">
        <v>0</v>
      </c>
      <c r="G1204" s="58" t="s">
        <v>316</v>
      </c>
      <c r="H1204" s="135">
        <v>180</v>
      </c>
      <c r="I1204" s="135" t="s">
        <v>1767</v>
      </c>
      <c r="J1204" s="135" t="s">
        <v>8</v>
      </c>
      <c r="K1204" s="187" t="s">
        <v>13</v>
      </c>
      <c r="L1204" s="93" t="s">
        <v>3046</v>
      </c>
      <c r="M1204" s="94" t="s">
        <v>3333</v>
      </c>
      <c r="N1204" s="95" t="s">
        <v>3042</v>
      </c>
      <c r="O1204" s="189">
        <v>2</v>
      </c>
      <c r="P1204" s="97">
        <f t="shared" si="289"/>
        <v>0.10176470588235294</v>
      </c>
      <c r="Q1204" s="189" t="s">
        <v>3264</v>
      </c>
      <c r="R1204" s="135">
        <v>1180</v>
      </c>
      <c r="S1204" s="95"/>
      <c r="T1204" s="98">
        <v>0</v>
      </c>
      <c r="U1204" s="186">
        <f t="shared" si="287"/>
        <v>120.08235294117647</v>
      </c>
      <c r="V1204" s="100">
        <f t="shared" si="285"/>
        <v>0.66712418300653598</v>
      </c>
      <c r="W1204" s="101">
        <f t="shared" si="286"/>
        <v>9.5303454715219421E-2</v>
      </c>
      <c r="X1204" s="95"/>
      <c r="Y1204" s="95"/>
      <c r="Z1204" s="102"/>
      <c r="AA1204" s="103">
        <v>45947</v>
      </c>
      <c r="AB1204" s="103">
        <v>45966</v>
      </c>
      <c r="AC1204" s="103"/>
      <c r="AD1204" s="104">
        <f>IF(ISNA(VLOOKUP(D1204,亚马逊入库配置费!B:F,5,0)),0,VLOOKUP(D1204,亚马逊入库配置费!B:F,5,0))</f>
        <v>0.34</v>
      </c>
      <c r="AE1204" s="104">
        <f t="shared" si="279"/>
        <v>61.2</v>
      </c>
      <c r="AF1204" s="103">
        <v>45986</v>
      </c>
      <c r="AG1204" s="90">
        <f t="shared" si="280"/>
        <v>39</v>
      </c>
      <c r="AH1204" s="103">
        <v>45986</v>
      </c>
      <c r="AI1204" s="103">
        <v>46015</v>
      </c>
      <c r="AJ1204" s="96">
        <v>180</v>
      </c>
      <c r="AK1204" s="91">
        <f t="shared" si="281"/>
        <v>29</v>
      </c>
      <c r="AL1204" s="96">
        <f t="shared" si="282"/>
        <v>68</v>
      </c>
      <c r="AM1204" s="92"/>
      <c r="AN1204" s="91"/>
      <c r="AO1204" s="91"/>
    </row>
    <row r="1205" spans="1:41" ht="14.5" x14ac:dyDescent="0.25">
      <c r="A1205" s="110" t="s">
        <v>2059</v>
      </c>
      <c r="B1205" s="91"/>
      <c r="C1205" s="135" t="s">
        <v>303</v>
      </c>
      <c r="D1205" s="187" t="s">
        <v>2057</v>
      </c>
      <c r="E1205" s="135" t="s">
        <v>115</v>
      </c>
      <c r="F1205" s="135" t="s">
        <v>0</v>
      </c>
      <c r="G1205" s="58" t="s">
        <v>1057</v>
      </c>
      <c r="H1205" s="135">
        <v>90</v>
      </c>
      <c r="I1205" s="135" t="s">
        <v>1767</v>
      </c>
      <c r="J1205" s="135" t="s">
        <v>8</v>
      </c>
      <c r="K1205" s="187" t="s">
        <v>13</v>
      </c>
      <c r="L1205" s="93" t="s">
        <v>3091</v>
      </c>
      <c r="M1205" s="94" t="s">
        <v>3425</v>
      </c>
      <c r="N1205" s="95" t="s">
        <v>3042</v>
      </c>
      <c r="O1205" s="189">
        <v>1</v>
      </c>
      <c r="P1205" s="97">
        <f t="shared" si="289"/>
        <v>5.0882352941176469E-2</v>
      </c>
      <c r="Q1205" s="189" t="s">
        <v>3264</v>
      </c>
      <c r="R1205" s="135">
        <v>1180</v>
      </c>
      <c r="S1205" s="95"/>
      <c r="T1205" s="98">
        <v>0</v>
      </c>
      <c r="U1205" s="186">
        <f t="shared" si="287"/>
        <v>60.041176470588233</v>
      </c>
      <c r="V1205" s="100">
        <f t="shared" si="285"/>
        <v>0.66712418300653598</v>
      </c>
      <c r="W1205" s="101">
        <f t="shared" si="286"/>
        <v>9.5303454715219421E-2</v>
      </c>
      <c r="X1205" s="95"/>
      <c r="Y1205" s="95"/>
      <c r="Z1205" s="102"/>
      <c r="AA1205" s="103">
        <v>45947</v>
      </c>
      <c r="AB1205" s="103">
        <v>45966</v>
      </c>
      <c r="AC1205" s="103"/>
      <c r="AD1205" s="104">
        <f>IF(ISNA(VLOOKUP(D1205,亚马逊入库配置费!B:F,5,0)),0,VLOOKUP(D1205,亚马逊入库配置费!B:F,5,0))</f>
        <v>0.34</v>
      </c>
      <c r="AE1205" s="104">
        <f t="shared" si="279"/>
        <v>30.6</v>
      </c>
      <c r="AF1205" s="103">
        <v>45986</v>
      </c>
      <c r="AG1205" s="90">
        <f t="shared" si="280"/>
        <v>39</v>
      </c>
      <c r="AH1205" s="103">
        <v>45986</v>
      </c>
      <c r="AI1205" s="103">
        <v>46015</v>
      </c>
      <c r="AJ1205" s="96">
        <v>90</v>
      </c>
      <c r="AK1205" s="91">
        <f t="shared" si="281"/>
        <v>29</v>
      </c>
      <c r="AL1205" s="96">
        <f t="shared" si="282"/>
        <v>68</v>
      </c>
      <c r="AM1205" s="92"/>
      <c r="AN1205" s="91"/>
      <c r="AO1205" s="91"/>
    </row>
    <row r="1206" spans="1:41" ht="14.5" x14ac:dyDescent="0.25">
      <c r="A1206" s="110" t="s">
        <v>2060</v>
      </c>
      <c r="B1206" s="91"/>
      <c r="C1206" s="135" t="s">
        <v>303</v>
      </c>
      <c r="D1206" s="187" t="s">
        <v>2057</v>
      </c>
      <c r="E1206" s="135" t="s">
        <v>115</v>
      </c>
      <c r="F1206" s="135" t="s">
        <v>0</v>
      </c>
      <c r="G1206" s="58" t="s">
        <v>1059</v>
      </c>
      <c r="H1206" s="135">
        <v>180</v>
      </c>
      <c r="I1206" s="135" t="s">
        <v>1767</v>
      </c>
      <c r="J1206" s="135" t="s">
        <v>8</v>
      </c>
      <c r="K1206" s="187" t="s">
        <v>13</v>
      </c>
      <c r="L1206" s="93" t="s">
        <v>3092</v>
      </c>
      <c r="M1206" s="94" t="s">
        <v>3426</v>
      </c>
      <c r="N1206" s="95" t="s">
        <v>3042</v>
      </c>
      <c r="O1206" s="189">
        <v>2</v>
      </c>
      <c r="P1206" s="97">
        <f t="shared" si="289"/>
        <v>0.10176470588235294</v>
      </c>
      <c r="Q1206" s="189" t="s">
        <v>3264</v>
      </c>
      <c r="R1206" s="135">
        <v>1180</v>
      </c>
      <c r="S1206" s="95"/>
      <c r="T1206" s="98">
        <v>0</v>
      </c>
      <c r="U1206" s="186">
        <f t="shared" si="287"/>
        <v>120.08235294117647</v>
      </c>
      <c r="V1206" s="100">
        <f t="shared" si="285"/>
        <v>0.66712418300653598</v>
      </c>
      <c r="W1206" s="101">
        <f t="shared" si="286"/>
        <v>9.5303454715219421E-2</v>
      </c>
      <c r="X1206" s="95"/>
      <c r="Y1206" s="95"/>
      <c r="Z1206" s="102"/>
      <c r="AA1206" s="103">
        <v>45947</v>
      </c>
      <c r="AB1206" s="103">
        <v>45966</v>
      </c>
      <c r="AC1206" s="103"/>
      <c r="AD1206" s="104">
        <f>IF(ISNA(VLOOKUP(D1206,亚马逊入库配置费!B:F,5,0)),0,VLOOKUP(D1206,亚马逊入库配置费!B:F,5,0))</f>
        <v>0.34</v>
      </c>
      <c r="AE1206" s="104">
        <f t="shared" si="279"/>
        <v>61.2</v>
      </c>
      <c r="AF1206" s="103">
        <v>45986</v>
      </c>
      <c r="AG1206" s="90">
        <f t="shared" si="280"/>
        <v>39</v>
      </c>
      <c r="AH1206" s="103">
        <v>45986</v>
      </c>
      <c r="AI1206" s="103">
        <v>46015</v>
      </c>
      <c r="AJ1206" s="96">
        <v>180</v>
      </c>
      <c r="AK1206" s="91">
        <f t="shared" si="281"/>
        <v>29</v>
      </c>
      <c r="AL1206" s="96">
        <f t="shared" si="282"/>
        <v>68</v>
      </c>
      <c r="AM1206" s="92"/>
      <c r="AN1206" s="91"/>
      <c r="AO1206" s="91"/>
    </row>
    <row r="1207" spans="1:41" ht="14.5" x14ac:dyDescent="0.25">
      <c r="A1207" s="110" t="s">
        <v>2061</v>
      </c>
      <c r="B1207" s="91"/>
      <c r="C1207" s="135" t="s">
        <v>2062</v>
      </c>
      <c r="D1207" s="187" t="s">
        <v>2063</v>
      </c>
      <c r="E1207" s="135" t="s">
        <v>1164</v>
      </c>
      <c r="F1207" s="135" t="s">
        <v>1165</v>
      </c>
      <c r="G1207" s="58" t="s">
        <v>352</v>
      </c>
      <c r="H1207" s="135">
        <v>40</v>
      </c>
      <c r="I1207" s="135" t="s">
        <v>89</v>
      </c>
      <c r="J1207" s="135" t="s">
        <v>2064</v>
      </c>
      <c r="K1207" s="205" t="s">
        <v>1167</v>
      </c>
      <c r="L1207" s="93" t="s">
        <v>3049</v>
      </c>
      <c r="M1207" s="94" t="s">
        <v>3336</v>
      </c>
      <c r="N1207" s="95" t="s">
        <v>2870</v>
      </c>
      <c r="O1207" s="189">
        <v>1</v>
      </c>
      <c r="P1207" s="97">
        <f>97/7*O1207</f>
        <v>13.857142857142858</v>
      </c>
      <c r="Q1207" s="189" t="s">
        <v>16</v>
      </c>
      <c r="R1207" s="135">
        <v>7.5</v>
      </c>
      <c r="S1207" s="95">
        <v>350</v>
      </c>
      <c r="T1207" s="98">
        <v>50</v>
      </c>
      <c r="U1207" s="186">
        <f t="shared" si="287"/>
        <v>153.92857142857144</v>
      </c>
      <c r="V1207" s="100">
        <f t="shared" si="285"/>
        <v>3.848214285714286</v>
      </c>
      <c r="W1207" s="101">
        <f t="shared" si="286"/>
        <v>0.54974489795918369</v>
      </c>
      <c r="X1207" s="95"/>
      <c r="Y1207" s="95"/>
      <c r="Z1207" s="102"/>
      <c r="AA1207" s="103">
        <v>45947</v>
      </c>
      <c r="AB1207" s="118">
        <v>45986</v>
      </c>
      <c r="AC1207" s="103"/>
      <c r="AD1207" s="104">
        <f>IF(ISNA(VLOOKUP(D1207,亚马逊入库配置费!B:F,5,0)),0,VLOOKUP(D1207,亚马逊入库配置费!B:F,5,0))</f>
        <v>0</v>
      </c>
      <c r="AE1207" s="104">
        <f t="shared" si="279"/>
        <v>0</v>
      </c>
      <c r="AF1207" s="103">
        <v>46000</v>
      </c>
      <c r="AG1207" s="90">
        <f t="shared" si="280"/>
        <v>53</v>
      </c>
      <c r="AH1207" s="103">
        <v>46000</v>
      </c>
      <c r="AI1207" s="103">
        <v>46014</v>
      </c>
      <c r="AJ1207" s="96">
        <v>40</v>
      </c>
      <c r="AK1207" s="91">
        <f t="shared" si="281"/>
        <v>14</v>
      </c>
      <c r="AL1207" s="96">
        <f t="shared" si="282"/>
        <v>67</v>
      </c>
      <c r="AM1207" s="92"/>
      <c r="AN1207" s="91"/>
      <c r="AO1207" s="91"/>
    </row>
    <row r="1208" spans="1:41" ht="14.5" x14ac:dyDescent="0.25">
      <c r="A1208" s="110" t="s">
        <v>2065</v>
      </c>
      <c r="B1208" s="91"/>
      <c r="C1208" s="135" t="s">
        <v>2062</v>
      </c>
      <c r="D1208" s="187" t="s">
        <v>2063</v>
      </c>
      <c r="E1208" s="135" t="s">
        <v>1164</v>
      </c>
      <c r="F1208" s="135" t="s">
        <v>1165</v>
      </c>
      <c r="G1208" s="58" t="s">
        <v>165</v>
      </c>
      <c r="H1208" s="135">
        <v>240</v>
      </c>
      <c r="I1208" s="135" t="s">
        <v>89</v>
      </c>
      <c r="J1208" s="135" t="s">
        <v>2064</v>
      </c>
      <c r="K1208" s="205" t="s">
        <v>1167</v>
      </c>
      <c r="L1208" s="93" t="s">
        <v>2880</v>
      </c>
      <c r="M1208" s="94" t="s">
        <v>3209</v>
      </c>
      <c r="N1208" s="95" t="s">
        <v>2870</v>
      </c>
      <c r="O1208" s="189">
        <v>6</v>
      </c>
      <c r="P1208" s="97">
        <f>97/7*O1208</f>
        <v>83.142857142857139</v>
      </c>
      <c r="Q1208" s="189" t="s">
        <v>16</v>
      </c>
      <c r="R1208" s="135">
        <v>7.5</v>
      </c>
      <c r="S1208" s="106">
        <f>SUMIF(C:C,C1207,T:T)</f>
        <v>350</v>
      </c>
      <c r="T1208" s="98">
        <v>300</v>
      </c>
      <c r="U1208" s="186">
        <f t="shared" si="287"/>
        <v>923.57142857142856</v>
      </c>
      <c r="V1208" s="100">
        <f t="shared" si="285"/>
        <v>3.8482142857142856</v>
      </c>
      <c r="W1208" s="101">
        <f t="shared" si="286"/>
        <v>0.54974489795918369</v>
      </c>
      <c r="X1208" s="95"/>
      <c r="Y1208" s="95"/>
      <c r="Z1208" s="102"/>
      <c r="AA1208" s="103">
        <v>45947</v>
      </c>
      <c r="AB1208" s="118">
        <v>45986</v>
      </c>
      <c r="AC1208" s="103"/>
      <c r="AD1208" s="104">
        <f>IF(ISNA(VLOOKUP(D1208,亚马逊入库配置费!B:F,5,0)),0,VLOOKUP(D1208,亚马逊入库配置费!B:F,5,0))</f>
        <v>0</v>
      </c>
      <c r="AE1208" s="104">
        <f t="shared" si="279"/>
        <v>0</v>
      </c>
      <c r="AF1208" s="103">
        <v>46000</v>
      </c>
      <c r="AG1208" s="90">
        <f t="shared" si="280"/>
        <v>53</v>
      </c>
      <c r="AH1208" s="103">
        <v>46000</v>
      </c>
      <c r="AI1208" s="103">
        <v>46014</v>
      </c>
      <c r="AJ1208" s="96">
        <v>240</v>
      </c>
      <c r="AK1208" s="91">
        <f t="shared" si="281"/>
        <v>14</v>
      </c>
      <c r="AL1208" s="96">
        <f t="shared" si="282"/>
        <v>67</v>
      </c>
      <c r="AM1208" s="92"/>
      <c r="AN1208" s="91"/>
      <c r="AO1208" s="91"/>
    </row>
    <row r="1209" spans="1:41" ht="14.5" x14ac:dyDescent="0.25">
      <c r="A1209" s="110" t="s">
        <v>2066</v>
      </c>
      <c r="B1209" s="91"/>
      <c r="C1209" s="135" t="s">
        <v>2067</v>
      </c>
      <c r="D1209" s="187" t="s">
        <v>2068</v>
      </c>
      <c r="E1209" s="135" t="s">
        <v>115</v>
      </c>
      <c r="F1209" s="135" t="s">
        <v>0</v>
      </c>
      <c r="G1209" s="58" t="s">
        <v>606</v>
      </c>
      <c r="H1209" s="135">
        <v>180</v>
      </c>
      <c r="I1209" s="135" t="s">
        <v>89</v>
      </c>
      <c r="J1209" s="135" t="s">
        <v>8</v>
      </c>
      <c r="K1209" s="187" t="s">
        <v>50</v>
      </c>
      <c r="L1209" s="93" t="s">
        <v>3075</v>
      </c>
      <c r="M1209" s="94" t="s">
        <v>3376</v>
      </c>
      <c r="N1209" s="95" t="s">
        <v>2869</v>
      </c>
      <c r="O1209" s="189">
        <v>6</v>
      </c>
      <c r="P1209" s="97">
        <v>80.415999999999997</v>
      </c>
      <c r="Q1209" s="189" t="s">
        <v>16</v>
      </c>
      <c r="R1209" s="135">
        <v>4</v>
      </c>
      <c r="S1209" s="95">
        <v>350</v>
      </c>
      <c r="T1209" s="98">
        <v>5.9322033898304998</v>
      </c>
      <c r="U1209" s="186">
        <f t="shared" si="287"/>
        <v>327.59620338983046</v>
      </c>
      <c r="V1209" s="100">
        <f t="shared" si="285"/>
        <v>1.8199789077212805</v>
      </c>
      <c r="W1209" s="101">
        <f t="shared" si="286"/>
        <v>0.2599969868173258</v>
      </c>
      <c r="X1209" s="95"/>
      <c r="Y1209" s="95"/>
      <c r="Z1209" s="102"/>
      <c r="AA1209" s="103">
        <v>45947</v>
      </c>
      <c r="AB1209" s="118">
        <v>45968</v>
      </c>
      <c r="AC1209" s="103"/>
      <c r="AD1209" s="104">
        <f>IF(ISNA(VLOOKUP(D1209,亚马逊入库配置费!B:F,5,0)),0,VLOOKUP(D1209,亚马逊入库配置费!B:F,5,0))</f>
        <v>0.41</v>
      </c>
      <c r="AE1209" s="104">
        <f t="shared" si="279"/>
        <v>73.8</v>
      </c>
      <c r="AF1209" s="103">
        <v>45979</v>
      </c>
      <c r="AG1209" s="90">
        <f t="shared" si="280"/>
        <v>32</v>
      </c>
      <c r="AH1209" s="103">
        <v>45979</v>
      </c>
      <c r="AI1209" s="103">
        <v>46010</v>
      </c>
      <c r="AJ1209" s="96">
        <v>178</v>
      </c>
      <c r="AK1209" s="91">
        <f t="shared" si="281"/>
        <v>31</v>
      </c>
      <c r="AL1209" s="96">
        <f t="shared" si="282"/>
        <v>63</v>
      </c>
      <c r="AM1209" s="92"/>
      <c r="AN1209" s="91"/>
      <c r="AO1209" s="91"/>
    </row>
    <row r="1210" spans="1:41" ht="14.5" x14ac:dyDescent="0.25">
      <c r="A1210" s="110" t="s">
        <v>2069</v>
      </c>
      <c r="B1210" s="91"/>
      <c r="C1210" s="135" t="s">
        <v>2067</v>
      </c>
      <c r="D1210" s="187" t="s">
        <v>2068</v>
      </c>
      <c r="E1210" s="135" t="s">
        <v>115</v>
      </c>
      <c r="F1210" s="135" t="s">
        <v>0</v>
      </c>
      <c r="G1210" s="58" t="s">
        <v>1085</v>
      </c>
      <c r="H1210" s="135">
        <v>180</v>
      </c>
      <c r="I1210" s="135" t="s">
        <v>89</v>
      </c>
      <c r="J1210" s="135" t="s">
        <v>8</v>
      </c>
      <c r="K1210" s="187" t="s">
        <v>50</v>
      </c>
      <c r="L1210" s="93" t="s">
        <v>3094</v>
      </c>
      <c r="M1210" s="94" t="s">
        <v>3429</v>
      </c>
      <c r="N1210" s="95" t="s">
        <v>2869</v>
      </c>
      <c r="O1210" s="189">
        <v>6</v>
      </c>
      <c r="P1210" s="97">
        <v>80.415999999999997</v>
      </c>
      <c r="Q1210" s="189" t="s">
        <v>16</v>
      </c>
      <c r="R1210" s="135">
        <v>4</v>
      </c>
      <c r="S1210" s="106">
        <f>SUMIF(C:C,C1209,T:T)</f>
        <v>349.9999999999996</v>
      </c>
      <c r="T1210" s="98">
        <v>5.9322033898304998</v>
      </c>
      <c r="U1210" s="186">
        <f t="shared" si="287"/>
        <v>327.59620338983046</v>
      </c>
      <c r="V1210" s="100">
        <f t="shared" si="285"/>
        <v>1.8199789077212805</v>
      </c>
      <c r="W1210" s="101">
        <f t="shared" si="286"/>
        <v>0.2599969868173258</v>
      </c>
      <c r="X1210" s="95"/>
      <c r="Y1210" s="95"/>
      <c r="Z1210" s="102"/>
      <c r="AA1210" s="103">
        <v>45947</v>
      </c>
      <c r="AB1210" s="118">
        <v>45968</v>
      </c>
      <c r="AC1210" s="103"/>
      <c r="AD1210" s="104">
        <f>IF(ISNA(VLOOKUP(D1210,亚马逊入库配置费!B:F,5,0)),0,VLOOKUP(D1210,亚马逊入库配置费!B:F,5,0))</f>
        <v>0.41</v>
      </c>
      <c r="AE1210" s="104">
        <f t="shared" si="279"/>
        <v>73.8</v>
      </c>
      <c r="AF1210" s="103">
        <v>45979</v>
      </c>
      <c r="AG1210" s="90">
        <f t="shared" si="280"/>
        <v>32</v>
      </c>
      <c r="AH1210" s="103">
        <v>45979</v>
      </c>
      <c r="AI1210" s="103">
        <v>46010</v>
      </c>
      <c r="AJ1210" s="96">
        <v>180</v>
      </c>
      <c r="AK1210" s="91">
        <f t="shared" si="281"/>
        <v>31</v>
      </c>
      <c r="AL1210" s="96">
        <f t="shared" si="282"/>
        <v>63</v>
      </c>
      <c r="AM1210" s="92"/>
      <c r="AN1210" s="91"/>
      <c r="AO1210" s="91"/>
    </row>
    <row r="1211" spans="1:41" ht="14.5" x14ac:dyDescent="0.25">
      <c r="A1211" s="110" t="s">
        <v>2070</v>
      </c>
      <c r="B1211" s="91"/>
      <c r="C1211" s="135" t="s">
        <v>2067</v>
      </c>
      <c r="D1211" s="187" t="s">
        <v>2068</v>
      </c>
      <c r="E1211" s="135" t="s">
        <v>115</v>
      </c>
      <c r="F1211" s="135" t="s">
        <v>0</v>
      </c>
      <c r="G1211" s="58" t="s">
        <v>487</v>
      </c>
      <c r="H1211" s="135">
        <v>90</v>
      </c>
      <c r="I1211" s="135" t="s">
        <v>89</v>
      </c>
      <c r="J1211" s="135" t="s">
        <v>8</v>
      </c>
      <c r="K1211" s="187" t="s">
        <v>50</v>
      </c>
      <c r="L1211" s="93" t="s">
        <v>3066</v>
      </c>
      <c r="M1211" s="94" t="s">
        <v>3359</v>
      </c>
      <c r="N1211" s="95" t="s">
        <v>2869</v>
      </c>
      <c r="O1211" s="189">
        <v>3</v>
      </c>
      <c r="P1211" s="97">
        <v>40.207999999999998</v>
      </c>
      <c r="Q1211" s="189" t="s">
        <v>16</v>
      </c>
      <c r="R1211" s="135">
        <v>4</v>
      </c>
      <c r="S1211" s="95"/>
      <c r="T1211" s="98">
        <v>2.9661016949152499</v>
      </c>
      <c r="U1211" s="186">
        <f t="shared" si="287"/>
        <v>163.79810169491523</v>
      </c>
      <c r="V1211" s="100">
        <f t="shared" si="285"/>
        <v>1.8199789077212805</v>
      </c>
      <c r="W1211" s="101">
        <f t="shared" si="286"/>
        <v>0.2599969868173258</v>
      </c>
      <c r="X1211" s="95"/>
      <c r="Y1211" s="95"/>
      <c r="Z1211" s="102"/>
      <c r="AA1211" s="103">
        <v>45947</v>
      </c>
      <c r="AB1211" s="118">
        <v>45968</v>
      </c>
      <c r="AC1211" s="103"/>
      <c r="AD1211" s="104">
        <f>IF(ISNA(VLOOKUP(D1211,亚马逊入库配置费!B:F,5,0)),0,VLOOKUP(D1211,亚马逊入库配置费!B:F,5,0))</f>
        <v>0.41</v>
      </c>
      <c r="AE1211" s="104">
        <f t="shared" si="279"/>
        <v>36.9</v>
      </c>
      <c r="AF1211" s="103">
        <v>45979</v>
      </c>
      <c r="AG1211" s="90">
        <f t="shared" si="280"/>
        <v>32</v>
      </c>
      <c r="AH1211" s="103">
        <v>45979</v>
      </c>
      <c r="AI1211" s="103">
        <v>46010</v>
      </c>
      <c r="AJ1211" s="96">
        <v>90</v>
      </c>
      <c r="AK1211" s="91">
        <f t="shared" si="281"/>
        <v>31</v>
      </c>
      <c r="AL1211" s="96">
        <f t="shared" si="282"/>
        <v>63</v>
      </c>
      <c r="AM1211" s="92"/>
      <c r="AN1211" s="91"/>
      <c r="AO1211" s="91"/>
    </row>
    <row r="1212" spans="1:41" ht="14.5" x14ac:dyDescent="0.25">
      <c r="A1212" s="110" t="s">
        <v>2071</v>
      </c>
      <c r="B1212" s="91"/>
      <c r="C1212" s="135" t="s">
        <v>2067</v>
      </c>
      <c r="D1212" s="187" t="s">
        <v>2072</v>
      </c>
      <c r="E1212" s="135" t="s">
        <v>97</v>
      </c>
      <c r="F1212" s="135" t="s">
        <v>0</v>
      </c>
      <c r="G1212" s="58" t="s">
        <v>2004</v>
      </c>
      <c r="H1212" s="135">
        <v>400</v>
      </c>
      <c r="I1212" s="135" t="s">
        <v>89</v>
      </c>
      <c r="J1212" s="135" t="s">
        <v>8</v>
      </c>
      <c r="K1212" s="187" t="s">
        <v>13</v>
      </c>
      <c r="L1212" s="93" t="s">
        <v>2004</v>
      </c>
      <c r="M1212" s="94" t="s">
        <v>3466</v>
      </c>
      <c r="N1212" s="95" t="s">
        <v>2870</v>
      </c>
      <c r="O1212" s="189">
        <v>20</v>
      </c>
      <c r="P1212" s="97">
        <v>314.86486486486501</v>
      </c>
      <c r="Q1212" s="189" t="s">
        <v>16</v>
      </c>
      <c r="R1212" s="135">
        <v>4.8</v>
      </c>
      <c r="S1212" s="95"/>
      <c r="T1212" s="98">
        <v>19.774011299434999</v>
      </c>
      <c r="U1212" s="186">
        <f t="shared" si="287"/>
        <v>1531.1253626507869</v>
      </c>
      <c r="V1212" s="100">
        <f t="shared" si="285"/>
        <v>3.8278134066269671</v>
      </c>
      <c r="W1212" s="101">
        <f t="shared" si="286"/>
        <v>0.54683048666099532</v>
      </c>
      <c r="X1212" s="95"/>
      <c r="Y1212" s="95"/>
      <c r="Z1212" s="102"/>
      <c r="AA1212" s="103">
        <v>45947</v>
      </c>
      <c r="AB1212" s="118">
        <v>45968</v>
      </c>
      <c r="AC1212" s="103"/>
      <c r="AD1212" s="104">
        <f>IF(ISNA(VLOOKUP(D1212,亚马逊入库配置费!B:F,5,0)),0,VLOOKUP(D1212,亚马逊入库配置费!B:F,5,0))</f>
        <v>0.41</v>
      </c>
      <c r="AE1212" s="104">
        <f t="shared" si="279"/>
        <v>164</v>
      </c>
      <c r="AF1212" s="103">
        <v>45978</v>
      </c>
      <c r="AG1212" s="90">
        <f t="shared" si="280"/>
        <v>31</v>
      </c>
      <c r="AH1212" s="103">
        <v>45978</v>
      </c>
      <c r="AI1212" s="103">
        <v>46013</v>
      </c>
      <c r="AJ1212" s="96">
        <v>402</v>
      </c>
      <c r="AK1212" s="91">
        <f t="shared" si="281"/>
        <v>35</v>
      </c>
      <c r="AL1212" s="96">
        <f t="shared" si="282"/>
        <v>66</v>
      </c>
      <c r="AM1212" s="92"/>
      <c r="AN1212" s="91"/>
      <c r="AO1212" s="91"/>
    </row>
    <row r="1213" spans="1:41" ht="14.5" x14ac:dyDescent="0.25">
      <c r="A1213" s="110" t="s">
        <v>2073</v>
      </c>
      <c r="B1213" s="91"/>
      <c r="C1213" s="135" t="s">
        <v>2067</v>
      </c>
      <c r="D1213" s="187" t="s">
        <v>2072</v>
      </c>
      <c r="E1213" s="135" t="s">
        <v>97</v>
      </c>
      <c r="F1213" s="135" t="s">
        <v>0</v>
      </c>
      <c r="G1213" s="58" t="s">
        <v>872</v>
      </c>
      <c r="H1213" s="135">
        <v>150</v>
      </c>
      <c r="I1213" s="135" t="s">
        <v>89</v>
      </c>
      <c r="J1213" s="135" t="s">
        <v>8</v>
      </c>
      <c r="K1213" s="187" t="s">
        <v>13</v>
      </c>
      <c r="L1213" s="93" t="s">
        <v>872</v>
      </c>
      <c r="M1213" s="94" t="s">
        <v>3399</v>
      </c>
      <c r="N1213" s="95" t="s">
        <v>2870</v>
      </c>
      <c r="O1213" s="189">
        <v>5</v>
      </c>
      <c r="P1213" s="97">
        <v>78.716216216216196</v>
      </c>
      <c r="Q1213" s="189" t="s">
        <v>16</v>
      </c>
      <c r="R1213" s="135">
        <v>4.8</v>
      </c>
      <c r="S1213" s="95"/>
      <c r="T1213" s="98">
        <v>4.9435028248587498</v>
      </c>
      <c r="U1213" s="186">
        <f t="shared" si="287"/>
        <v>382.78134066269649</v>
      </c>
      <c r="V1213" s="100">
        <f t="shared" si="285"/>
        <v>2.5518756044179765</v>
      </c>
      <c r="W1213" s="101">
        <f t="shared" si="286"/>
        <v>0.36455365777399662</v>
      </c>
      <c r="X1213" s="95"/>
      <c r="Y1213" s="95"/>
      <c r="Z1213" s="102"/>
      <c r="AA1213" s="103">
        <v>45947</v>
      </c>
      <c r="AB1213" s="118">
        <v>45968</v>
      </c>
      <c r="AC1213" s="103"/>
      <c r="AD1213" s="104">
        <f>IF(ISNA(VLOOKUP(D1213,亚马逊入库配置费!B:F,5,0)),0,VLOOKUP(D1213,亚马逊入库配置费!B:F,5,0))</f>
        <v>0.41</v>
      </c>
      <c r="AE1213" s="104">
        <f t="shared" si="279"/>
        <v>61.499999999999993</v>
      </c>
      <c r="AF1213" s="103">
        <v>45978</v>
      </c>
      <c r="AG1213" s="90">
        <f t="shared" si="280"/>
        <v>31</v>
      </c>
      <c r="AH1213" s="103">
        <v>45978</v>
      </c>
      <c r="AI1213" s="103">
        <v>46013</v>
      </c>
      <c r="AJ1213" s="96">
        <v>150</v>
      </c>
      <c r="AK1213" s="91">
        <f t="shared" si="281"/>
        <v>35</v>
      </c>
      <c r="AL1213" s="96">
        <f t="shared" si="282"/>
        <v>66</v>
      </c>
      <c r="AM1213" s="92"/>
      <c r="AN1213" s="91"/>
      <c r="AO1213" s="91"/>
    </row>
    <row r="1214" spans="1:41" ht="14.5" x14ac:dyDescent="0.25">
      <c r="A1214" s="110" t="s">
        <v>2074</v>
      </c>
      <c r="B1214" s="91"/>
      <c r="C1214" s="135" t="s">
        <v>2067</v>
      </c>
      <c r="D1214" s="187" t="s">
        <v>2072</v>
      </c>
      <c r="E1214" s="135" t="s">
        <v>97</v>
      </c>
      <c r="F1214" s="135" t="s">
        <v>0</v>
      </c>
      <c r="G1214" s="58" t="s">
        <v>1198</v>
      </c>
      <c r="H1214" s="135">
        <v>30</v>
      </c>
      <c r="I1214" s="135" t="s">
        <v>89</v>
      </c>
      <c r="J1214" s="135" t="s">
        <v>8</v>
      </c>
      <c r="K1214" s="187" t="s">
        <v>13</v>
      </c>
      <c r="L1214" s="93" t="s">
        <v>1198</v>
      </c>
      <c r="M1214" s="94" t="s">
        <v>3434</v>
      </c>
      <c r="N1214" s="95" t="s">
        <v>2870</v>
      </c>
      <c r="O1214" s="189">
        <v>1</v>
      </c>
      <c r="P1214" s="97">
        <v>15.743243243243199</v>
      </c>
      <c r="Q1214" s="189" t="s">
        <v>16</v>
      </c>
      <c r="R1214" s="135">
        <v>4.8</v>
      </c>
      <c r="S1214" s="95"/>
      <c r="T1214" s="98">
        <v>0.98870056497175096</v>
      </c>
      <c r="U1214" s="186">
        <f t="shared" si="287"/>
        <v>76.556268132539103</v>
      </c>
      <c r="V1214" s="100">
        <f t="shared" si="285"/>
        <v>2.5518756044179702</v>
      </c>
      <c r="W1214" s="101">
        <f t="shared" si="286"/>
        <v>0.36455365777399573</v>
      </c>
      <c r="X1214" s="95"/>
      <c r="Y1214" s="95"/>
      <c r="Z1214" s="102"/>
      <c r="AA1214" s="103">
        <v>45947</v>
      </c>
      <c r="AB1214" s="118">
        <v>45968</v>
      </c>
      <c r="AC1214" s="103"/>
      <c r="AD1214" s="104">
        <f>IF(ISNA(VLOOKUP(D1214,亚马逊入库配置费!B:F,5,0)),0,VLOOKUP(D1214,亚马逊入库配置费!B:F,5,0))</f>
        <v>0.41</v>
      </c>
      <c r="AE1214" s="104">
        <f t="shared" si="279"/>
        <v>12.299999999999999</v>
      </c>
      <c r="AF1214" s="103">
        <v>45978</v>
      </c>
      <c r="AG1214" s="90">
        <f t="shared" si="280"/>
        <v>31</v>
      </c>
      <c r="AH1214" s="103">
        <v>45978</v>
      </c>
      <c r="AI1214" s="103">
        <v>46013</v>
      </c>
      <c r="AJ1214" s="96">
        <v>30</v>
      </c>
      <c r="AK1214" s="91">
        <f t="shared" si="281"/>
        <v>35</v>
      </c>
      <c r="AL1214" s="96">
        <f t="shared" si="282"/>
        <v>66</v>
      </c>
      <c r="AM1214" s="92"/>
      <c r="AN1214" s="91"/>
      <c r="AO1214" s="91"/>
    </row>
    <row r="1215" spans="1:41" ht="14.5" x14ac:dyDescent="0.25">
      <c r="A1215" s="110" t="s">
        <v>2075</v>
      </c>
      <c r="B1215" s="91"/>
      <c r="C1215" s="135" t="s">
        <v>2067</v>
      </c>
      <c r="D1215" s="187" t="s">
        <v>2072</v>
      </c>
      <c r="E1215" s="135" t="s">
        <v>97</v>
      </c>
      <c r="F1215" s="135" t="s">
        <v>0</v>
      </c>
      <c r="G1215" s="58" t="s">
        <v>1409</v>
      </c>
      <c r="H1215" s="135">
        <v>240</v>
      </c>
      <c r="I1215" s="135" t="s">
        <v>89</v>
      </c>
      <c r="J1215" s="135" t="s">
        <v>8</v>
      </c>
      <c r="K1215" s="187" t="s">
        <v>13</v>
      </c>
      <c r="L1215" s="93" t="s">
        <v>1409</v>
      </c>
      <c r="M1215" s="94" t="s">
        <v>3446</v>
      </c>
      <c r="N1215" s="95" t="s">
        <v>2870</v>
      </c>
      <c r="O1215" s="189">
        <v>8</v>
      </c>
      <c r="P1215" s="97">
        <v>125.94594594594599</v>
      </c>
      <c r="Q1215" s="189" t="s">
        <v>16</v>
      </c>
      <c r="R1215" s="135">
        <v>4.8</v>
      </c>
      <c r="S1215" s="95"/>
      <c r="T1215" s="98">
        <v>7.9096045197740104</v>
      </c>
      <c r="U1215" s="186">
        <f t="shared" si="287"/>
        <v>612.45014506031475</v>
      </c>
      <c r="V1215" s="100">
        <f t="shared" si="285"/>
        <v>2.5518756044179782</v>
      </c>
      <c r="W1215" s="101">
        <f t="shared" si="286"/>
        <v>0.3645536577739969</v>
      </c>
      <c r="X1215" s="95"/>
      <c r="Y1215" s="95"/>
      <c r="Z1215" s="102"/>
      <c r="AA1215" s="103">
        <v>45947</v>
      </c>
      <c r="AB1215" s="118">
        <v>45968</v>
      </c>
      <c r="AC1215" s="103"/>
      <c r="AD1215" s="104">
        <f>IF(ISNA(VLOOKUP(D1215,亚马逊入库配置费!B:F,5,0)),0,VLOOKUP(D1215,亚马逊入库配置费!B:F,5,0))</f>
        <v>0.41</v>
      </c>
      <c r="AE1215" s="104">
        <f t="shared" si="279"/>
        <v>98.399999999999991</v>
      </c>
      <c r="AF1215" s="103">
        <v>45978</v>
      </c>
      <c r="AG1215" s="90">
        <f t="shared" si="280"/>
        <v>31</v>
      </c>
      <c r="AH1215" s="103">
        <v>45978</v>
      </c>
      <c r="AI1215" s="103">
        <v>46013</v>
      </c>
      <c r="AJ1215" s="96">
        <v>239</v>
      </c>
      <c r="AK1215" s="91">
        <f t="shared" si="281"/>
        <v>35</v>
      </c>
      <c r="AL1215" s="96">
        <f t="shared" si="282"/>
        <v>66</v>
      </c>
      <c r="AM1215" s="92"/>
      <c r="AN1215" s="91"/>
      <c r="AO1215" s="91"/>
    </row>
    <row r="1216" spans="1:41" ht="14.5" x14ac:dyDescent="0.25">
      <c r="A1216" s="110" t="s">
        <v>2076</v>
      </c>
      <c r="B1216" s="91"/>
      <c r="C1216" s="135" t="s">
        <v>2067</v>
      </c>
      <c r="D1216" s="187" t="s">
        <v>2072</v>
      </c>
      <c r="E1216" s="135" t="s">
        <v>97</v>
      </c>
      <c r="F1216" s="135" t="s">
        <v>0</v>
      </c>
      <c r="G1216" s="58" t="s">
        <v>1215</v>
      </c>
      <c r="H1216" s="135">
        <v>900</v>
      </c>
      <c r="I1216" s="135" t="s">
        <v>89</v>
      </c>
      <c r="J1216" s="135" t="s">
        <v>8</v>
      </c>
      <c r="K1216" s="187" t="s">
        <v>13</v>
      </c>
      <c r="L1216" s="93" t="s">
        <v>3095</v>
      </c>
      <c r="M1216" s="94" t="s">
        <v>3436</v>
      </c>
      <c r="N1216" s="95" t="s">
        <v>2867</v>
      </c>
      <c r="O1216" s="189">
        <v>30</v>
      </c>
      <c r="P1216" s="97">
        <v>472.29729729729701</v>
      </c>
      <c r="Q1216" s="189" t="s">
        <v>16</v>
      </c>
      <c r="R1216" s="135">
        <v>4.8</v>
      </c>
      <c r="S1216" s="95"/>
      <c r="T1216" s="98">
        <v>29.661016949152501</v>
      </c>
      <c r="U1216" s="186">
        <f t="shared" si="287"/>
        <v>2296.6880439761781</v>
      </c>
      <c r="V1216" s="100">
        <f t="shared" si="285"/>
        <v>2.5518756044179756</v>
      </c>
      <c r="W1216" s="101">
        <f t="shared" si="286"/>
        <v>0.36455365777399651</v>
      </c>
      <c r="X1216" s="95"/>
      <c r="Y1216" s="95"/>
      <c r="Z1216" s="102"/>
      <c r="AA1216" s="103">
        <v>45947</v>
      </c>
      <c r="AB1216" s="118">
        <v>45968</v>
      </c>
      <c r="AC1216" s="103"/>
      <c r="AD1216" s="104">
        <f>IF(ISNA(VLOOKUP(D1216,亚马逊入库配置费!B:F,5,0)),0,VLOOKUP(D1216,亚马逊入库配置费!B:F,5,0))</f>
        <v>0.41</v>
      </c>
      <c r="AE1216" s="104">
        <f t="shared" si="279"/>
        <v>369</v>
      </c>
      <c r="AF1216" s="103">
        <v>45978</v>
      </c>
      <c r="AG1216" s="90">
        <f t="shared" si="280"/>
        <v>31</v>
      </c>
      <c r="AH1216" s="103">
        <v>45978</v>
      </c>
      <c r="AI1216" s="103">
        <v>46013</v>
      </c>
      <c r="AJ1216" s="96">
        <v>898</v>
      </c>
      <c r="AK1216" s="91">
        <f t="shared" si="281"/>
        <v>35</v>
      </c>
      <c r="AL1216" s="96">
        <f t="shared" si="282"/>
        <v>66</v>
      </c>
      <c r="AM1216" s="92"/>
      <c r="AN1216" s="91"/>
      <c r="AO1216" s="91"/>
    </row>
    <row r="1217" spans="1:41" ht="14.5" x14ac:dyDescent="0.25">
      <c r="A1217" s="110" t="s">
        <v>2077</v>
      </c>
      <c r="B1217" s="91"/>
      <c r="C1217" s="135" t="s">
        <v>2067</v>
      </c>
      <c r="D1217" s="187" t="s">
        <v>2072</v>
      </c>
      <c r="E1217" s="135" t="s">
        <v>97</v>
      </c>
      <c r="F1217" s="135" t="s">
        <v>0</v>
      </c>
      <c r="G1217" s="58" t="s">
        <v>1875</v>
      </c>
      <c r="H1217" s="135">
        <v>300</v>
      </c>
      <c r="I1217" s="135" t="s">
        <v>89</v>
      </c>
      <c r="J1217" s="135" t="s">
        <v>8</v>
      </c>
      <c r="K1217" s="187" t="s">
        <v>13</v>
      </c>
      <c r="L1217" s="93" t="s">
        <v>1875</v>
      </c>
      <c r="M1217" s="94" t="s">
        <v>3455</v>
      </c>
      <c r="N1217" s="95" t="s">
        <v>2869</v>
      </c>
      <c r="O1217" s="189">
        <v>10</v>
      </c>
      <c r="P1217" s="97">
        <v>157.43243243243199</v>
      </c>
      <c r="Q1217" s="189" t="s">
        <v>16</v>
      </c>
      <c r="R1217" s="135">
        <v>4.8</v>
      </c>
      <c r="S1217" s="95"/>
      <c r="T1217" s="98">
        <v>9.8870056497175103</v>
      </c>
      <c r="U1217" s="186">
        <f t="shared" si="287"/>
        <v>765.56268132539105</v>
      </c>
      <c r="V1217" s="100">
        <f t="shared" si="285"/>
        <v>2.5518756044179702</v>
      </c>
      <c r="W1217" s="101">
        <f t="shared" si="286"/>
        <v>0.36455365777399573</v>
      </c>
      <c r="X1217" s="95"/>
      <c r="Y1217" s="95"/>
      <c r="Z1217" s="102"/>
      <c r="AA1217" s="103">
        <v>45947</v>
      </c>
      <c r="AB1217" s="118">
        <v>45968</v>
      </c>
      <c r="AC1217" s="103"/>
      <c r="AD1217" s="104">
        <f>IF(ISNA(VLOOKUP(D1217,亚马逊入库配置费!B:F,5,0)),0,VLOOKUP(D1217,亚马逊入库配置费!B:F,5,0))</f>
        <v>0.41</v>
      </c>
      <c r="AE1217" s="104">
        <f t="shared" si="279"/>
        <v>122.99999999999999</v>
      </c>
      <c r="AF1217" s="103">
        <v>45978</v>
      </c>
      <c r="AG1217" s="90">
        <f t="shared" si="280"/>
        <v>31</v>
      </c>
      <c r="AH1217" s="103">
        <v>45978</v>
      </c>
      <c r="AI1217" s="103">
        <v>46013</v>
      </c>
      <c r="AJ1217" s="96">
        <v>300</v>
      </c>
      <c r="AK1217" s="91">
        <f t="shared" si="281"/>
        <v>35</v>
      </c>
      <c r="AL1217" s="96">
        <f t="shared" si="282"/>
        <v>66</v>
      </c>
      <c r="AM1217" s="92"/>
      <c r="AN1217" s="91"/>
      <c r="AO1217" s="91"/>
    </row>
    <row r="1218" spans="1:41" ht="14.5" x14ac:dyDescent="0.25">
      <c r="A1218" s="110" t="s">
        <v>2078</v>
      </c>
      <c r="B1218" s="91"/>
      <c r="C1218" s="135" t="s">
        <v>2067</v>
      </c>
      <c r="D1218" s="187" t="s">
        <v>2079</v>
      </c>
      <c r="E1218" s="135" t="s">
        <v>97</v>
      </c>
      <c r="F1218" s="135" t="s">
        <v>0</v>
      </c>
      <c r="G1218" s="58" t="s">
        <v>876</v>
      </c>
      <c r="H1218" s="135">
        <v>120</v>
      </c>
      <c r="I1218" s="135" t="s">
        <v>89</v>
      </c>
      <c r="J1218" s="135" t="s">
        <v>8</v>
      </c>
      <c r="K1218" s="187" t="s">
        <v>50</v>
      </c>
      <c r="L1218" s="93" t="s">
        <v>876</v>
      </c>
      <c r="M1218" s="94" t="s">
        <v>3400</v>
      </c>
      <c r="N1218" s="95" t="s">
        <v>2870</v>
      </c>
      <c r="O1218" s="189">
        <v>3</v>
      </c>
      <c r="P1218" s="97">
        <v>40.208571428571403</v>
      </c>
      <c r="Q1218" s="189" t="s">
        <v>16</v>
      </c>
      <c r="R1218" s="135">
        <v>4</v>
      </c>
      <c r="S1218" s="95"/>
      <c r="T1218" s="98">
        <v>2.9661016949152499</v>
      </c>
      <c r="U1218" s="186">
        <f t="shared" si="287"/>
        <v>163.80038740920085</v>
      </c>
      <c r="V1218" s="100">
        <f t="shared" si="285"/>
        <v>1.3650032284100071</v>
      </c>
      <c r="W1218" s="101">
        <f t="shared" si="286"/>
        <v>0.19500046120142958</v>
      </c>
      <c r="X1218" s="95"/>
      <c r="Y1218" s="95"/>
      <c r="Z1218" s="102"/>
      <c r="AA1218" s="103">
        <v>45947</v>
      </c>
      <c r="AB1218" s="118">
        <v>45968</v>
      </c>
      <c r="AC1218" s="103"/>
      <c r="AD1218" s="104">
        <f>IF(ISNA(VLOOKUP(D1218,亚马逊入库配置费!B:F,5,0)),0,VLOOKUP(D1218,亚马逊入库配置费!B:F,5,0))</f>
        <v>0.36210526315789499</v>
      </c>
      <c r="AE1218" s="104">
        <f t="shared" ref="AE1218:AE1281" si="290">H1218*AD1218</f>
        <v>43.452631578947397</v>
      </c>
      <c r="AF1218" s="103">
        <v>45979</v>
      </c>
      <c r="AG1218" s="90">
        <f t="shared" ref="AG1218:AG1281" si="291">AF1218-AA1218</f>
        <v>32</v>
      </c>
      <c r="AH1218" s="103">
        <v>45979</v>
      </c>
      <c r="AI1218" s="103">
        <v>46012</v>
      </c>
      <c r="AJ1218" s="96">
        <v>127</v>
      </c>
      <c r="AK1218" s="91">
        <f t="shared" ref="AK1218:AK1281" si="292">AI1218-AH1218</f>
        <v>33</v>
      </c>
      <c r="AL1218" s="96">
        <f t="shared" si="282"/>
        <v>65</v>
      </c>
      <c r="AM1218" s="92"/>
      <c r="AN1218" s="91"/>
      <c r="AO1218" s="91"/>
    </row>
    <row r="1219" spans="1:41" ht="14.5" x14ac:dyDescent="0.25">
      <c r="A1219" s="110" t="s">
        <v>2080</v>
      </c>
      <c r="B1219" s="91"/>
      <c r="C1219" s="135" t="s">
        <v>2067</v>
      </c>
      <c r="D1219" s="187" t="s">
        <v>2079</v>
      </c>
      <c r="E1219" s="135" t="s">
        <v>97</v>
      </c>
      <c r="F1219" s="135" t="s">
        <v>0</v>
      </c>
      <c r="G1219" s="58" t="s">
        <v>1213</v>
      </c>
      <c r="H1219" s="135">
        <v>400</v>
      </c>
      <c r="I1219" s="135" t="s">
        <v>89</v>
      </c>
      <c r="J1219" s="135" t="s">
        <v>8</v>
      </c>
      <c r="K1219" s="187" t="s">
        <v>50</v>
      </c>
      <c r="L1219" s="93" t="s">
        <v>1213</v>
      </c>
      <c r="M1219" s="94" t="s">
        <v>3435</v>
      </c>
      <c r="N1219" s="95" t="s">
        <v>2867</v>
      </c>
      <c r="O1219" s="189">
        <v>10</v>
      </c>
      <c r="P1219" s="97">
        <v>134.02857142857101</v>
      </c>
      <c r="Q1219" s="189" t="s">
        <v>16</v>
      </c>
      <c r="R1219" s="135">
        <v>4</v>
      </c>
      <c r="S1219" s="95"/>
      <c r="T1219" s="98">
        <v>9.8870056497175103</v>
      </c>
      <c r="U1219" s="186">
        <f t="shared" si="287"/>
        <v>546.00129136400153</v>
      </c>
      <c r="V1219" s="100">
        <f t="shared" si="285"/>
        <v>1.3650032284100038</v>
      </c>
      <c r="W1219" s="101">
        <f t="shared" si="286"/>
        <v>0.19500046120142911</v>
      </c>
      <c r="X1219" s="95"/>
      <c r="Y1219" s="95"/>
      <c r="Z1219" s="102"/>
      <c r="AA1219" s="103">
        <v>45947</v>
      </c>
      <c r="AB1219" s="118">
        <v>45968</v>
      </c>
      <c r="AC1219" s="103"/>
      <c r="AD1219" s="104">
        <f>IF(ISNA(VLOOKUP(D1219,亚马逊入库配置费!B:F,5,0)),0,VLOOKUP(D1219,亚马逊入库配置费!B:F,5,0))</f>
        <v>0.36210526315789499</v>
      </c>
      <c r="AE1219" s="104">
        <f t="shared" si="290"/>
        <v>144.842105263158</v>
      </c>
      <c r="AF1219" s="103">
        <v>45979</v>
      </c>
      <c r="AG1219" s="90">
        <f t="shared" si="291"/>
        <v>32</v>
      </c>
      <c r="AH1219" s="103">
        <v>45979</v>
      </c>
      <c r="AI1219" s="103">
        <v>46012</v>
      </c>
      <c r="AJ1219" s="96">
        <v>388</v>
      </c>
      <c r="AK1219" s="91">
        <f t="shared" si="292"/>
        <v>33</v>
      </c>
      <c r="AL1219" s="96">
        <f t="shared" si="282"/>
        <v>65</v>
      </c>
      <c r="AM1219" s="92"/>
      <c r="AN1219" s="91"/>
      <c r="AO1219" s="91"/>
    </row>
    <row r="1220" spans="1:41" ht="14.5" x14ac:dyDescent="0.25">
      <c r="A1220" s="110" t="s">
        <v>2081</v>
      </c>
      <c r="B1220" s="91"/>
      <c r="C1220" s="135" t="s">
        <v>2067</v>
      </c>
      <c r="D1220" s="187" t="s">
        <v>2079</v>
      </c>
      <c r="E1220" s="135" t="s">
        <v>97</v>
      </c>
      <c r="F1220" s="135" t="s">
        <v>0</v>
      </c>
      <c r="G1220" s="58" t="s">
        <v>955</v>
      </c>
      <c r="H1220" s="135">
        <v>90</v>
      </c>
      <c r="I1220" s="135" t="s">
        <v>89</v>
      </c>
      <c r="J1220" s="135" t="s">
        <v>8</v>
      </c>
      <c r="K1220" s="187" t="s">
        <v>50</v>
      </c>
      <c r="L1220" s="93" t="s">
        <v>955</v>
      </c>
      <c r="M1220" s="94" t="s">
        <v>3406</v>
      </c>
      <c r="N1220" s="95" t="s">
        <v>3086</v>
      </c>
      <c r="O1220" s="189">
        <v>3</v>
      </c>
      <c r="P1220" s="97">
        <v>40.208571428571403</v>
      </c>
      <c r="Q1220" s="189" t="s">
        <v>16</v>
      </c>
      <c r="R1220" s="135">
        <v>4</v>
      </c>
      <c r="S1220" s="95"/>
      <c r="T1220" s="98">
        <v>2.9661016949152499</v>
      </c>
      <c r="U1220" s="186">
        <f t="shared" si="287"/>
        <v>163.80038740920085</v>
      </c>
      <c r="V1220" s="100">
        <f t="shared" si="285"/>
        <v>1.8200043045466761</v>
      </c>
      <c r="W1220" s="101">
        <f t="shared" si="286"/>
        <v>0.26000061493523946</v>
      </c>
      <c r="X1220" s="95"/>
      <c r="Y1220" s="95"/>
      <c r="Z1220" s="102"/>
      <c r="AA1220" s="103">
        <v>45947</v>
      </c>
      <c r="AB1220" s="118">
        <v>45968</v>
      </c>
      <c r="AC1220" s="103"/>
      <c r="AD1220" s="104">
        <f>IF(ISNA(VLOOKUP(D1220,亚马逊入库配置费!B:F,5,0)),0,VLOOKUP(D1220,亚马逊入库配置费!B:F,5,0))</f>
        <v>0.36210526315789499</v>
      </c>
      <c r="AE1220" s="104">
        <f t="shared" si="290"/>
        <v>32.589473684210546</v>
      </c>
      <c r="AF1220" s="103">
        <v>45979</v>
      </c>
      <c r="AG1220" s="90">
        <f t="shared" si="291"/>
        <v>32</v>
      </c>
      <c r="AH1220" s="103">
        <v>45979</v>
      </c>
      <c r="AI1220" s="103">
        <v>46012</v>
      </c>
      <c r="AJ1220" s="96">
        <v>90</v>
      </c>
      <c r="AK1220" s="91">
        <f t="shared" si="292"/>
        <v>33</v>
      </c>
      <c r="AL1220" s="96">
        <f t="shared" ref="AL1220:AL1283" si="293">AG1220+AK1220</f>
        <v>65</v>
      </c>
      <c r="AM1220" s="92"/>
      <c r="AN1220" s="91"/>
      <c r="AO1220" s="91"/>
    </row>
    <row r="1221" spans="1:41" ht="14.5" x14ac:dyDescent="0.25">
      <c r="A1221" s="110" t="s">
        <v>2082</v>
      </c>
      <c r="B1221" s="91"/>
      <c r="C1221" s="135" t="s">
        <v>2067</v>
      </c>
      <c r="D1221" s="187" t="s">
        <v>2079</v>
      </c>
      <c r="E1221" s="135" t="s">
        <v>97</v>
      </c>
      <c r="F1221" s="135" t="s">
        <v>0</v>
      </c>
      <c r="G1221" s="58" t="s">
        <v>957</v>
      </c>
      <c r="H1221" s="135">
        <v>60</v>
      </c>
      <c r="I1221" s="135" t="s">
        <v>89</v>
      </c>
      <c r="J1221" s="135" t="s">
        <v>8</v>
      </c>
      <c r="K1221" s="187" t="s">
        <v>50</v>
      </c>
      <c r="L1221" s="93" t="s">
        <v>957</v>
      </c>
      <c r="M1221" s="94" t="s">
        <v>3407</v>
      </c>
      <c r="N1221" s="95" t="s">
        <v>3086</v>
      </c>
      <c r="O1221" s="189">
        <v>2</v>
      </c>
      <c r="P1221" s="97">
        <v>26.805714285714298</v>
      </c>
      <c r="Q1221" s="189" t="s">
        <v>16</v>
      </c>
      <c r="R1221" s="135">
        <v>4</v>
      </c>
      <c r="S1221" s="95"/>
      <c r="T1221" s="98">
        <v>1.9774011299434999</v>
      </c>
      <c r="U1221" s="186">
        <f t="shared" si="287"/>
        <v>109.2002582728007</v>
      </c>
      <c r="V1221" s="100">
        <f t="shared" si="285"/>
        <v>1.8200043045466783</v>
      </c>
      <c r="W1221" s="101">
        <f t="shared" si="286"/>
        <v>0.26000061493523974</v>
      </c>
      <c r="X1221" s="95"/>
      <c r="Y1221" s="95"/>
      <c r="Z1221" s="102"/>
      <c r="AA1221" s="103">
        <v>45947</v>
      </c>
      <c r="AB1221" s="118">
        <v>45968</v>
      </c>
      <c r="AC1221" s="103"/>
      <c r="AD1221" s="104">
        <f>IF(ISNA(VLOOKUP(D1221,亚马逊入库配置费!B:F,5,0)),0,VLOOKUP(D1221,亚马逊入库配置费!B:F,5,0))</f>
        <v>0.36210526315789499</v>
      </c>
      <c r="AE1221" s="104">
        <f t="shared" si="290"/>
        <v>21.726315789473698</v>
      </c>
      <c r="AF1221" s="103">
        <v>45979</v>
      </c>
      <c r="AG1221" s="90">
        <f t="shared" si="291"/>
        <v>32</v>
      </c>
      <c r="AH1221" s="103">
        <v>45979</v>
      </c>
      <c r="AI1221" s="103">
        <v>46012</v>
      </c>
      <c r="AJ1221" s="96">
        <v>56</v>
      </c>
      <c r="AK1221" s="91">
        <f t="shared" si="292"/>
        <v>33</v>
      </c>
      <c r="AL1221" s="96">
        <f t="shared" si="293"/>
        <v>65</v>
      </c>
      <c r="AM1221" s="92"/>
      <c r="AN1221" s="91"/>
      <c r="AO1221" s="91"/>
    </row>
    <row r="1222" spans="1:41" ht="14.5" x14ac:dyDescent="0.25">
      <c r="A1222" s="110" t="s">
        <v>2083</v>
      </c>
      <c r="B1222" s="91"/>
      <c r="C1222" s="135" t="s">
        <v>2067</v>
      </c>
      <c r="D1222" s="187" t="s">
        <v>2079</v>
      </c>
      <c r="E1222" s="135" t="s">
        <v>97</v>
      </c>
      <c r="F1222" s="135" t="s">
        <v>0</v>
      </c>
      <c r="G1222" s="58" t="s">
        <v>969</v>
      </c>
      <c r="H1222" s="135">
        <v>90</v>
      </c>
      <c r="I1222" s="135" t="s">
        <v>89</v>
      </c>
      <c r="J1222" s="135" t="s">
        <v>8</v>
      </c>
      <c r="K1222" s="187" t="s">
        <v>50</v>
      </c>
      <c r="L1222" s="93" t="s">
        <v>969</v>
      </c>
      <c r="M1222" s="94" t="s">
        <v>3413</v>
      </c>
      <c r="N1222" s="95" t="s">
        <v>3086</v>
      </c>
      <c r="O1222" s="189">
        <v>3</v>
      </c>
      <c r="P1222" s="97">
        <v>40.208571428571403</v>
      </c>
      <c r="Q1222" s="189" t="s">
        <v>16</v>
      </c>
      <c r="R1222" s="135">
        <v>4</v>
      </c>
      <c r="S1222" s="95"/>
      <c r="T1222" s="98">
        <v>2.9661016949152499</v>
      </c>
      <c r="U1222" s="186">
        <f t="shared" si="287"/>
        <v>163.80038740920085</v>
      </c>
      <c r="V1222" s="100">
        <f t="shared" si="285"/>
        <v>1.8200043045466761</v>
      </c>
      <c r="W1222" s="101">
        <f t="shared" si="286"/>
        <v>0.26000061493523946</v>
      </c>
      <c r="X1222" s="95"/>
      <c r="Y1222" s="95"/>
      <c r="Z1222" s="102"/>
      <c r="AA1222" s="103">
        <v>45947</v>
      </c>
      <c r="AB1222" s="118">
        <v>45968</v>
      </c>
      <c r="AC1222" s="103"/>
      <c r="AD1222" s="104">
        <f>IF(ISNA(VLOOKUP(D1222,亚马逊入库配置费!B:F,5,0)),0,VLOOKUP(D1222,亚马逊入库配置费!B:F,5,0))</f>
        <v>0.36210526315789499</v>
      </c>
      <c r="AE1222" s="104">
        <f t="shared" si="290"/>
        <v>32.589473684210546</v>
      </c>
      <c r="AF1222" s="103">
        <v>45979</v>
      </c>
      <c r="AG1222" s="90">
        <f t="shared" si="291"/>
        <v>32</v>
      </c>
      <c r="AH1222" s="103">
        <v>45979</v>
      </c>
      <c r="AI1222" s="103">
        <v>46012</v>
      </c>
      <c r="AJ1222" s="96">
        <v>90</v>
      </c>
      <c r="AK1222" s="91">
        <f t="shared" si="292"/>
        <v>33</v>
      </c>
      <c r="AL1222" s="96">
        <f t="shared" si="293"/>
        <v>65</v>
      </c>
      <c r="AM1222" s="92"/>
      <c r="AN1222" s="91"/>
      <c r="AO1222" s="91"/>
    </row>
    <row r="1223" spans="1:41" ht="14.5" x14ac:dyDescent="0.25">
      <c r="A1223" s="110" t="s">
        <v>2084</v>
      </c>
      <c r="B1223" s="198"/>
      <c r="C1223" s="135" t="s">
        <v>2085</v>
      </c>
      <c r="D1223" s="187" t="s">
        <v>2086</v>
      </c>
      <c r="E1223" s="135" t="s">
        <v>97</v>
      </c>
      <c r="F1223" s="135" t="s">
        <v>0</v>
      </c>
      <c r="G1223" s="58" t="s">
        <v>1215</v>
      </c>
      <c r="H1223" s="135">
        <v>810</v>
      </c>
      <c r="I1223" s="135" t="s">
        <v>89</v>
      </c>
      <c r="J1223" s="135" t="s">
        <v>4</v>
      </c>
      <c r="K1223" s="187" t="s">
        <v>13</v>
      </c>
      <c r="L1223" s="93" t="s">
        <v>3095</v>
      </c>
      <c r="M1223" s="94" t="s">
        <v>3436</v>
      </c>
      <c r="N1223" s="95" t="s">
        <v>2867</v>
      </c>
      <c r="O1223" s="189">
        <v>27</v>
      </c>
      <c r="P1223" s="97">
        <v>428</v>
      </c>
      <c r="Q1223" s="189" t="s">
        <v>16</v>
      </c>
      <c r="R1223" s="135">
        <v>10.5</v>
      </c>
      <c r="S1223" s="95">
        <v>350</v>
      </c>
      <c r="T1223" s="98">
        <v>277.941176470588</v>
      </c>
      <c r="U1223" s="186">
        <f t="shared" si="287"/>
        <v>4771.9411764705883</v>
      </c>
      <c r="V1223" s="100">
        <f t="shared" si="285"/>
        <v>5.8912854030501087</v>
      </c>
      <c r="W1223" s="101">
        <f t="shared" si="286"/>
        <v>0.84161220043572982</v>
      </c>
      <c r="X1223" s="95"/>
      <c r="Y1223" s="95"/>
      <c r="Z1223" s="102"/>
      <c r="AA1223" s="103">
        <v>45947</v>
      </c>
      <c r="AB1223" s="118">
        <v>45965</v>
      </c>
      <c r="AC1223" s="103"/>
      <c r="AD1223" s="104">
        <f>IF(ISNA(VLOOKUP(D1223,亚马逊入库配置费!B:F,5,0)),0,VLOOKUP(D1223,亚马逊入库配置费!B:F,5,0))</f>
        <v>0.41</v>
      </c>
      <c r="AE1223" s="104">
        <f t="shared" si="290"/>
        <v>332.09999999999997</v>
      </c>
      <c r="AF1223" s="103">
        <v>45973</v>
      </c>
      <c r="AG1223" s="90">
        <f t="shared" si="291"/>
        <v>26</v>
      </c>
      <c r="AH1223" s="103">
        <v>45973</v>
      </c>
      <c r="AI1223" s="103">
        <v>46007</v>
      </c>
      <c r="AJ1223" s="96">
        <v>810</v>
      </c>
      <c r="AK1223" s="91">
        <f t="shared" si="292"/>
        <v>34</v>
      </c>
      <c r="AL1223" s="96">
        <f t="shared" si="293"/>
        <v>60</v>
      </c>
      <c r="AM1223" s="92"/>
      <c r="AN1223" s="91"/>
      <c r="AO1223" s="91"/>
    </row>
    <row r="1224" spans="1:41" ht="14.5" x14ac:dyDescent="0.25">
      <c r="A1224" s="110" t="s">
        <v>2087</v>
      </c>
      <c r="B1224" s="91"/>
      <c r="C1224" s="135" t="s">
        <v>2067</v>
      </c>
      <c r="D1224" s="187" t="s">
        <v>2088</v>
      </c>
      <c r="E1224" s="135" t="s">
        <v>97</v>
      </c>
      <c r="F1224" s="135" t="s">
        <v>0</v>
      </c>
      <c r="G1224" s="58" t="s">
        <v>228</v>
      </c>
      <c r="H1224" s="135">
        <v>200</v>
      </c>
      <c r="I1224" s="135" t="s">
        <v>89</v>
      </c>
      <c r="J1224" s="135" t="s">
        <v>8</v>
      </c>
      <c r="K1224" s="187" t="s">
        <v>50</v>
      </c>
      <c r="L1224" s="93" t="s">
        <v>3036</v>
      </c>
      <c r="M1224" s="94" t="s">
        <v>3315</v>
      </c>
      <c r="N1224" s="95" t="s">
        <v>2870</v>
      </c>
      <c r="O1224" s="189">
        <v>10</v>
      </c>
      <c r="P1224" s="97">
        <v>134.02912621359201</v>
      </c>
      <c r="Q1224" s="189" t="s">
        <v>16</v>
      </c>
      <c r="R1224" s="135">
        <v>4</v>
      </c>
      <c r="S1224" s="106">
        <f>SUMIF(C:C,C1223,T:T)</f>
        <v>349.99999999999977</v>
      </c>
      <c r="T1224" s="98">
        <v>9.8870056497175103</v>
      </c>
      <c r="U1224" s="186">
        <f t="shared" si="287"/>
        <v>546.00351050408551</v>
      </c>
      <c r="V1224" s="100">
        <f t="shared" si="285"/>
        <v>2.7300175525204278</v>
      </c>
      <c r="W1224" s="101">
        <f t="shared" si="286"/>
        <v>0.39000250750291826</v>
      </c>
      <c r="X1224" s="95"/>
      <c r="Y1224" s="95"/>
      <c r="Z1224" s="102"/>
      <c r="AA1224" s="103">
        <v>45947</v>
      </c>
      <c r="AB1224" s="118">
        <v>45968</v>
      </c>
      <c r="AC1224" s="103"/>
      <c r="AD1224" s="104">
        <f>IF(ISNA(VLOOKUP(D1224,亚马逊入库配置费!B:F,5,0)),0,VLOOKUP(D1224,亚马逊入库配置费!B:F,5,0))</f>
        <v>0.34752688172043</v>
      </c>
      <c r="AE1224" s="104">
        <f t="shared" si="290"/>
        <v>69.505376344086002</v>
      </c>
      <c r="AF1224" s="103">
        <v>45979</v>
      </c>
      <c r="AG1224" s="90">
        <f t="shared" si="291"/>
        <v>32</v>
      </c>
      <c r="AH1224" s="103">
        <v>45979</v>
      </c>
      <c r="AI1224" s="103">
        <v>46013</v>
      </c>
      <c r="AJ1224" s="96">
        <v>200</v>
      </c>
      <c r="AK1224" s="91">
        <f t="shared" si="292"/>
        <v>34</v>
      </c>
      <c r="AL1224" s="96">
        <f t="shared" si="293"/>
        <v>66</v>
      </c>
      <c r="AM1224" s="92"/>
      <c r="AN1224" s="91"/>
      <c r="AO1224" s="91"/>
    </row>
    <row r="1225" spans="1:41" ht="14.5" x14ac:dyDescent="0.25">
      <c r="A1225" s="110" t="s">
        <v>2089</v>
      </c>
      <c r="B1225" s="91"/>
      <c r="C1225" s="135" t="s">
        <v>2067</v>
      </c>
      <c r="D1225" s="187" t="s">
        <v>2088</v>
      </c>
      <c r="E1225" s="135" t="s">
        <v>97</v>
      </c>
      <c r="F1225" s="135" t="s">
        <v>0</v>
      </c>
      <c r="G1225" s="58" t="s">
        <v>163</v>
      </c>
      <c r="H1225" s="135">
        <v>2400</v>
      </c>
      <c r="I1225" s="135" t="s">
        <v>89</v>
      </c>
      <c r="J1225" s="135" t="s">
        <v>8</v>
      </c>
      <c r="K1225" s="187" t="s">
        <v>50</v>
      </c>
      <c r="L1225" s="93" t="s">
        <v>2881</v>
      </c>
      <c r="M1225" s="94" t="s">
        <v>3302</v>
      </c>
      <c r="N1225" s="95" t="s">
        <v>2870</v>
      </c>
      <c r="O1225" s="189">
        <v>60</v>
      </c>
      <c r="P1225" s="97">
        <v>804.17475728155296</v>
      </c>
      <c r="Q1225" s="189" t="s">
        <v>16</v>
      </c>
      <c r="R1225" s="135">
        <v>4</v>
      </c>
      <c r="S1225" s="95"/>
      <c r="T1225" s="98">
        <v>59.322033898305001</v>
      </c>
      <c r="U1225" s="186">
        <f t="shared" si="287"/>
        <v>3276.0210630245169</v>
      </c>
      <c r="V1225" s="100">
        <f t="shared" si="285"/>
        <v>1.3650087762602154</v>
      </c>
      <c r="W1225" s="101">
        <f t="shared" si="286"/>
        <v>0.19500125375145935</v>
      </c>
      <c r="X1225" s="95"/>
      <c r="Y1225" s="95"/>
      <c r="Z1225" s="102"/>
      <c r="AA1225" s="103">
        <v>45947</v>
      </c>
      <c r="AB1225" s="118">
        <v>45968</v>
      </c>
      <c r="AC1225" s="103"/>
      <c r="AD1225" s="104">
        <f>IF(ISNA(VLOOKUP(D1225,亚马逊入库配置费!B:F,5,0)),0,VLOOKUP(D1225,亚马逊入库配置费!B:F,5,0))</f>
        <v>0.34752688172043</v>
      </c>
      <c r="AE1225" s="104">
        <f t="shared" si="290"/>
        <v>834.06451612903197</v>
      </c>
      <c r="AF1225" s="103">
        <v>45979</v>
      </c>
      <c r="AG1225" s="90">
        <f t="shared" si="291"/>
        <v>32</v>
      </c>
      <c r="AH1225" s="103">
        <v>45979</v>
      </c>
      <c r="AI1225" s="103">
        <v>46013</v>
      </c>
      <c r="AJ1225" s="96">
        <v>2402</v>
      </c>
      <c r="AK1225" s="91">
        <f t="shared" si="292"/>
        <v>34</v>
      </c>
      <c r="AL1225" s="96">
        <f t="shared" si="293"/>
        <v>66</v>
      </c>
      <c r="AM1225" s="92"/>
      <c r="AN1225" s="91"/>
      <c r="AO1225" s="91"/>
    </row>
    <row r="1226" spans="1:41" ht="14.5" x14ac:dyDescent="0.25">
      <c r="A1226" s="110" t="s">
        <v>2090</v>
      </c>
      <c r="B1226" s="91"/>
      <c r="C1226" s="135" t="s">
        <v>2067</v>
      </c>
      <c r="D1226" s="187" t="s">
        <v>2088</v>
      </c>
      <c r="E1226" s="135" t="s">
        <v>97</v>
      </c>
      <c r="F1226" s="135" t="s">
        <v>0</v>
      </c>
      <c r="G1226" s="58" t="s">
        <v>853</v>
      </c>
      <c r="H1226" s="135">
        <v>440</v>
      </c>
      <c r="I1226" s="135" t="s">
        <v>89</v>
      </c>
      <c r="J1226" s="135" t="s">
        <v>8</v>
      </c>
      <c r="K1226" s="187" t="s">
        <v>50</v>
      </c>
      <c r="L1226" s="93" t="s">
        <v>853</v>
      </c>
      <c r="M1226" s="94" t="s">
        <v>3396</v>
      </c>
      <c r="N1226" s="95" t="s">
        <v>2870</v>
      </c>
      <c r="O1226" s="189">
        <v>11</v>
      </c>
      <c r="P1226" s="97">
        <v>147.43203883495099</v>
      </c>
      <c r="Q1226" s="189" t="s">
        <v>16</v>
      </c>
      <c r="R1226" s="135">
        <v>4</v>
      </c>
      <c r="S1226" s="95"/>
      <c r="T1226" s="98">
        <v>10.8757062146893</v>
      </c>
      <c r="U1226" s="186">
        <f t="shared" si="287"/>
        <v>600.60386155449328</v>
      </c>
      <c r="V1226" s="100">
        <f t="shared" si="285"/>
        <v>1.3650087762602119</v>
      </c>
      <c r="W1226" s="101">
        <f t="shared" si="286"/>
        <v>0.19500125375145885</v>
      </c>
      <c r="X1226" s="95"/>
      <c r="Y1226" s="95"/>
      <c r="Z1226" s="102"/>
      <c r="AA1226" s="103">
        <v>45947</v>
      </c>
      <c r="AB1226" s="118">
        <v>45968</v>
      </c>
      <c r="AC1226" s="103"/>
      <c r="AD1226" s="104">
        <f>IF(ISNA(VLOOKUP(D1226,亚马逊入库配置费!B:F,5,0)),0,VLOOKUP(D1226,亚马逊入库配置费!B:F,5,0))</f>
        <v>0.34752688172043</v>
      </c>
      <c r="AE1226" s="104">
        <f t="shared" si="290"/>
        <v>152.91182795698921</v>
      </c>
      <c r="AF1226" s="103">
        <v>45979</v>
      </c>
      <c r="AG1226" s="90">
        <f t="shared" si="291"/>
        <v>32</v>
      </c>
      <c r="AH1226" s="103">
        <v>45979</v>
      </c>
      <c r="AI1226" s="103">
        <v>46013</v>
      </c>
      <c r="AJ1226" s="96">
        <v>435</v>
      </c>
      <c r="AK1226" s="91">
        <f t="shared" si="292"/>
        <v>34</v>
      </c>
      <c r="AL1226" s="96">
        <f t="shared" si="293"/>
        <v>66</v>
      </c>
      <c r="AM1226" s="92"/>
      <c r="AN1226" s="91"/>
      <c r="AO1226" s="91"/>
    </row>
    <row r="1227" spans="1:41" ht="14.5" x14ac:dyDescent="0.25">
      <c r="A1227" s="110" t="s">
        <v>2091</v>
      </c>
      <c r="B1227" s="91"/>
      <c r="C1227" s="135" t="s">
        <v>2067</v>
      </c>
      <c r="D1227" s="187" t="s">
        <v>2088</v>
      </c>
      <c r="E1227" s="135" t="s">
        <v>97</v>
      </c>
      <c r="F1227" s="135" t="s">
        <v>0</v>
      </c>
      <c r="G1227" s="58" t="s">
        <v>352</v>
      </c>
      <c r="H1227" s="135">
        <v>320</v>
      </c>
      <c r="I1227" s="135" t="s">
        <v>89</v>
      </c>
      <c r="J1227" s="135" t="s">
        <v>8</v>
      </c>
      <c r="K1227" s="187" t="s">
        <v>50</v>
      </c>
      <c r="L1227" s="93" t="s">
        <v>3049</v>
      </c>
      <c r="M1227" s="94" t="s">
        <v>3336</v>
      </c>
      <c r="N1227" s="95" t="s">
        <v>2870</v>
      </c>
      <c r="O1227" s="189">
        <v>8</v>
      </c>
      <c r="P1227" s="97">
        <v>107.22330097087401</v>
      </c>
      <c r="Q1227" s="189" t="s">
        <v>16</v>
      </c>
      <c r="R1227" s="135">
        <v>4</v>
      </c>
      <c r="S1227" s="95"/>
      <c r="T1227" s="98">
        <v>7.9096045197740104</v>
      </c>
      <c r="U1227" s="186">
        <f t="shared" si="287"/>
        <v>436.80280840327003</v>
      </c>
      <c r="V1227" s="100">
        <f t="shared" si="285"/>
        <v>1.3650087762602188</v>
      </c>
      <c r="W1227" s="101">
        <f t="shared" si="286"/>
        <v>0.19500125375145982</v>
      </c>
      <c r="X1227" s="95"/>
      <c r="Y1227" s="95"/>
      <c r="Z1227" s="102"/>
      <c r="AA1227" s="103">
        <v>45947</v>
      </c>
      <c r="AB1227" s="118">
        <v>45968</v>
      </c>
      <c r="AC1227" s="103"/>
      <c r="AD1227" s="104">
        <f>IF(ISNA(VLOOKUP(D1227,亚马逊入库配置费!B:F,5,0)),0,VLOOKUP(D1227,亚马逊入库配置费!B:F,5,0))</f>
        <v>0.34752688172043</v>
      </c>
      <c r="AE1227" s="104">
        <f t="shared" si="290"/>
        <v>111.2086021505376</v>
      </c>
      <c r="AF1227" s="103">
        <v>45979</v>
      </c>
      <c r="AG1227" s="90">
        <f t="shared" si="291"/>
        <v>32</v>
      </c>
      <c r="AH1227" s="103">
        <v>45979</v>
      </c>
      <c r="AI1227" s="103">
        <v>46013</v>
      </c>
      <c r="AJ1227" s="96">
        <v>319</v>
      </c>
      <c r="AK1227" s="91">
        <f t="shared" si="292"/>
        <v>34</v>
      </c>
      <c r="AL1227" s="96">
        <f t="shared" si="293"/>
        <v>66</v>
      </c>
      <c r="AM1227" s="92"/>
      <c r="AN1227" s="91"/>
      <c r="AO1227" s="91"/>
    </row>
    <row r="1228" spans="1:41" ht="14.5" x14ac:dyDescent="0.25">
      <c r="A1228" s="110" t="s">
        <v>2092</v>
      </c>
      <c r="B1228" s="91"/>
      <c r="C1228" s="135" t="s">
        <v>2067</v>
      </c>
      <c r="D1228" s="187" t="s">
        <v>2088</v>
      </c>
      <c r="E1228" s="135" t="s">
        <v>97</v>
      </c>
      <c r="F1228" s="135" t="s">
        <v>0</v>
      </c>
      <c r="G1228" s="58" t="s">
        <v>876</v>
      </c>
      <c r="H1228" s="135">
        <v>160</v>
      </c>
      <c r="I1228" s="135" t="s">
        <v>89</v>
      </c>
      <c r="J1228" s="135" t="s">
        <v>8</v>
      </c>
      <c r="K1228" s="187" t="s">
        <v>50</v>
      </c>
      <c r="L1228" s="93" t="s">
        <v>876</v>
      </c>
      <c r="M1228" s="94" t="s">
        <v>3400</v>
      </c>
      <c r="N1228" s="95" t="s">
        <v>2870</v>
      </c>
      <c r="O1228" s="189">
        <v>4</v>
      </c>
      <c r="P1228" s="97">
        <v>53.611650485436897</v>
      </c>
      <c r="Q1228" s="189" t="s">
        <v>16</v>
      </c>
      <c r="R1228" s="135">
        <v>4</v>
      </c>
      <c r="S1228" s="95"/>
      <c r="T1228" s="98">
        <v>3.9548022598869998</v>
      </c>
      <c r="U1228" s="186">
        <f t="shared" si="287"/>
        <v>218.40140420163459</v>
      </c>
      <c r="V1228" s="100">
        <f t="shared" si="285"/>
        <v>1.3650087762602161</v>
      </c>
      <c r="W1228" s="101">
        <f t="shared" si="286"/>
        <v>0.19500125375145944</v>
      </c>
      <c r="X1228" s="95"/>
      <c r="Y1228" s="95"/>
      <c r="Z1228" s="102"/>
      <c r="AA1228" s="103">
        <v>45947</v>
      </c>
      <c r="AB1228" s="118">
        <v>45968</v>
      </c>
      <c r="AC1228" s="103"/>
      <c r="AD1228" s="104">
        <f>IF(ISNA(VLOOKUP(D1228,亚马逊入库配置费!B:F,5,0)),0,VLOOKUP(D1228,亚马逊入库配置费!B:F,5,0))</f>
        <v>0.34752688172043</v>
      </c>
      <c r="AE1228" s="104">
        <f t="shared" si="290"/>
        <v>55.604301075268801</v>
      </c>
      <c r="AF1228" s="103">
        <v>45979</v>
      </c>
      <c r="AG1228" s="90">
        <f t="shared" si="291"/>
        <v>32</v>
      </c>
      <c r="AH1228" s="103">
        <v>45979</v>
      </c>
      <c r="AI1228" s="103">
        <v>46013</v>
      </c>
      <c r="AJ1228" s="96">
        <v>150</v>
      </c>
      <c r="AK1228" s="91">
        <f t="shared" si="292"/>
        <v>34</v>
      </c>
      <c r="AL1228" s="96">
        <f t="shared" si="293"/>
        <v>66</v>
      </c>
      <c r="AM1228" s="92"/>
      <c r="AN1228" s="91"/>
      <c r="AO1228" s="91"/>
    </row>
    <row r="1229" spans="1:41" ht="14.5" x14ac:dyDescent="0.25">
      <c r="A1229" s="110" t="s">
        <v>2093</v>
      </c>
      <c r="B1229" s="91"/>
      <c r="C1229" s="135" t="s">
        <v>2067</v>
      </c>
      <c r="D1229" s="187" t="s">
        <v>2088</v>
      </c>
      <c r="E1229" s="135" t="s">
        <v>97</v>
      </c>
      <c r="F1229" s="135" t="s">
        <v>0</v>
      </c>
      <c r="G1229" s="58" t="s">
        <v>1217</v>
      </c>
      <c r="H1229" s="135">
        <v>200</v>
      </c>
      <c r="I1229" s="135" t="s">
        <v>89</v>
      </c>
      <c r="J1229" s="135" t="s">
        <v>8</v>
      </c>
      <c r="K1229" s="187" t="s">
        <v>50</v>
      </c>
      <c r="L1229" s="93" t="s">
        <v>1217</v>
      </c>
      <c r="M1229" s="94" t="s">
        <v>3437</v>
      </c>
      <c r="N1229" s="95" t="s">
        <v>2867</v>
      </c>
      <c r="O1229" s="189">
        <v>10</v>
      </c>
      <c r="P1229" s="97">
        <v>134.02912621359201</v>
      </c>
      <c r="Q1229" s="189" t="s">
        <v>16</v>
      </c>
      <c r="R1229" s="135">
        <v>4</v>
      </c>
      <c r="S1229" s="95"/>
      <c r="T1229" s="98">
        <v>9.8870056497175103</v>
      </c>
      <c r="U1229" s="186">
        <f t="shared" si="287"/>
        <v>546.00351050408551</v>
      </c>
      <c r="V1229" s="100">
        <f t="shared" ref="V1229:V1292" si="294">U1229/H1229</f>
        <v>2.7300175525204278</v>
      </c>
      <c r="W1229" s="101">
        <f t="shared" ref="W1229:W1292" si="295">V1229/7</f>
        <v>0.39000250750291826</v>
      </c>
      <c r="X1229" s="95"/>
      <c r="Y1229" s="95"/>
      <c r="Z1229" s="102"/>
      <c r="AA1229" s="103">
        <v>45947</v>
      </c>
      <c r="AB1229" s="118">
        <v>45968</v>
      </c>
      <c r="AC1229" s="103"/>
      <c r="AD1229" s="104">
        <f>IF(ISNA(VLOOKUP(D1229,亚马逊入库配置费!B:F,5,0)),0,VLOOKUP(D1229,亚马逊入库配置费!B:F,5,0))</f>
        <v>0.34752688172043</v>
      </c>
      <c r="AE1229" s="104">
        <f t="shared" si="290"/>
        <v>69.505376344086002</v>
      </c>
      <c r="AF1229" s="103">
        <v>45979</v>
      </c>
      <c r="AG1229" s="90">
        <f t="shared" si="291"/>
        <v>32</v>
      </c>
      <c r="AH1229" s="103">
        <v>45979</v>
      </c>
      <c r="AI1229" s="103">
        <v>46013</v>
      </c>
      <c r="AJ1229" s="96">
        <v>199</v>
      </c>
      <c r="AK1229" s="91">
        <f t="shared" si="292"/>
        <v>34</v>
      </c>
      <c r="AL1229" s="96">
        <f t="shared" si="293"/>
        <v>66</v>
      </c>
      <c r="AM1229" s="92"/>
      <c r="AN1229" s="91"/>
      <c r="AO1229" s="91"/>
    </row>
    <row r="1230" spans="1:41" ht="14.5" x14ac:dyDescent="0.25">
      <c r="A1230" s="110" t="s">
        <v>2094</v>
      </c>
      <c r="B1230" s="91"/>
      <c r="C1230" s="135" t="s">
        <v>2067</v>
      </c>
      <c r="D1230" s="187" t="s">
        <v>2095</v>
      </c>
      <c r="E1230" s="135" t="s">
        <v>97</v>
      </c>
      <c r="F1230" s="135" t="s">
        <v>0</v>
      </c>
      <c r="G1230" s="58" t="s">
        <v>2004</v>
      </c>
      <c r="H1230" s="135">
        <v>200</v>
      </c>
      <c r="I1230" s="135" t="s">
        <v>89</v>
      </c>
      <c r="J1230" s="135" t="s">
        <v>8</v>
      </c>
      <c r="K1230" s="187" t="s">
        <v>46</v>
      </c>
      <c r="L1230" s="93" t="s">
        <v>2004</v>
      </c>
      <c r="M1230" s="94" t="s">
        <v>3466</v>
      </c>
      <c r="N1230" s="95" t="s">
        <v>2870</v>
      </c>
      <c r="O1230" s="189">
        <v>10</v>
      </c>
      <c r="P1230" s="97">
        <v>147.894736842105</v>
      </c>
      <c r="Q1230" s="189" t="s">
        <v>16</v>
      </c>
      <c r="R1230" s="135">
        <v>5</v>
      </c>
      <c r="S1230" s="95"/>
      <c r="T1230" s="98">
        <v>9.8870056497175103</v>
      </c>
      <c r="U1230" s="186">
        <f t="shared" si="287"/>
        <v>749.36068986024247</v>
      </c>
      <c r="V1230" s="100">
        <f t="shared" si="294"/>
        <v>3.7468034493012126</v>
      </c>
      <c r="W1230" s="101">
        <f t="shared" si="295"/>
        <v>0.53525763561445894</v>
      </c>
      <c r="X1230" s="95"/>
      <c r="Y1230" s="95"/>
      <c r="Z1230" s="102"/>
      <c r="AA1230" s="103">
        <v>45947</v>
      </c>
      <c r="AB1230" s="118">
        <v>45968</v>
      </c>
      <c r="AC1230" s="103"/>
      <c r="AD1230" s="104">
        <f>IF(ISNA(VLOOKUP(D1230,亚马逊入库配置费!B:F,5,0)),0,VLOOKUP(D1230,亚马逊入库配置费!B:F,5,0))</f>
        <v>0.41993788819875799</v>
      </c>
      <c r="AE1230" s="104">
        <f t="shared" si="290"/>
        <v>83.987577639751592</v>
      </c>
      <c r="AF1230" s="103">
        <v>45978</v>
      </c>
      <c r="AG1230" s="90">
        <f t="shared" si="291"/>
        <v>31</v>
      </c>
      <c r="AH1230" s="103">
        <v>45978</v>
      </c>
      <c r="AI1230" s="103">
        <v>46012</v>
      </c>
      <c r="AJ1230" s="96">
        <v>197</v>
      </c>
      <c r="AK1230" s="91">
        <f t="shared" si="292"/>
        <v>34</v>
      </c>
      <c r="AL1230" s="96">
        <f t="shared" si="293"/>
        <v>65</v>
      </c>
      <c r="AM1230" s="92"/>
      <c r="AN1230" s="91"/>
      <c r="AO1230" s="91"/>
    </row>
    <row r="1231" spans="1:41" ht="14.5" x14ac:dyDescent="0.25">
      <c r="A1231" s="110" t="s">
        <v>2096</v>
      </c>
      <c r="B1231" s="91"/>
      <c r="C1231" s="135" t="s">
        <v>2067</v>
      </c>
      <c r="D1231" s="187" t="s">
        <v>2095</v>
      </c>
      <c r="E1231" s="135" t="s">
        <v>97</v>
      </c>
      <c r="F1231" s="135" t="s">
        <v>0</v>
      </c>
      <c r="G1231" s="58" t="s">
        <v>872</v>
      </c>
      <c r="H1231" s="135">
        <v>660</v>
      </c>
      <c r="I1231" s="135" t="s">
        <v>89</v>
      </c>
      <c r="J1231" s="135" t="s">
        <v>8</v>
      </c>
      <c r="K1231" s="187" t="s">
        <v>46</v>
      </c>
      <c r="L1231" s="93" t="s">
        <v>872</v>
      </c>
      <c r="M1231" s="94" t="s">
        <v>3399</v>
      </c>
      <c r="N1231" s="95" t="s">
        <v>2870</v>
      </c>
      <c r="O1231" s="189">
        <v>22</v>
      </c>
      <c r="P1231" s="97">
        <v>325.36842105263202</v>
      </c>
      <c r="Q1231" s="189" t="s">
        <v>16</v>
      </c>
      <c r="R1231" s="135">
        <v>5</v>
      </c>
      <c r="S1231" s="95"/>
      <c r="T1231" s="98">
        <v>21.751412429378501</v>
      </c>
      <c r="U1231" s="186">
        <f t="shared" si="287"/>
        <v>1648.5935176925386</v>
      </c>
      <c r="V1231" s="100">
        <f t="shared" si="294"/>
        <v>2.4978689662008162</v>
      </c>
      <c r="W1231" s="101">
        <f t="shared" si="295"/>
        <v>0.35683842374297375</v>
      </c>
      <c r="X1231" s="95"/>
      <c r="Y1231" s="95"/>
      <c r="Z1231" s="102"/>
      <c r="AA1231" s="103">
        <v>45947</v>
      </c>
      <c r="AB1231" s="118">
        <v>45968</v>
      </c>
      <c r="AC1231" s="103"/>
      <c r="AD1231" s="104">
        <f>IF(ISNA(VLOOKUP(D1231,亚马逊入库配置费!B:F,5,0)),0,VLOOKUP(D1231,亚马逊入库配置费!B:F,5,0))</f>
        <v>0.41993788819875799</v>
      </c>
      <c r="AE1231" s="104">
        <f t="shared" si="290"/>
        <v>277.15900621118027</v>
      </c>
      <c r="AF1231" s="103">
        <v>45978</v>
      </c>
      <c r="AG1231" s="90">
        <f t="shared" si="291"/>
        <v>31</v>
      </c>
      <c r="AH1231" s="103">
        <v>45978</v>
      </c>
      <c r="AI1231" s="103">
        <v>46012</v>
      </c>
      <c r="AJ1231" s="96">
        <v>639</v>
      </c>
      <c r="AK1231" s="91">
        <f t="shared" si="292"/>
        <v>34</v>
      </c>
      <c r="AL1231" s="96">
        <f t="shared" si="293"/>
        <v>65</v>
      </c>
      <c r="AM1231" s="92"/>
      <c r="AN1231" s="91"/>
      <c r="AO1231" s="91"/>
    </row>
    <row r="1232" spans="1:41" ht="14.5" x14ac:dyDescent="0.25">
      <c r="A1232" s="110" t="s">
        <v>2097</v>
      </c>
      <c r="B1232" s="91"/>
      <c r="C1232" s="135" t="s">
        <v>2067</v>
      </c>
      <c r="D1232" s="187" t="s">
        <v>2095</v>
      </c>
      <c r="E1232" s="135" t="s">
        <v>97</v>
      </c>
      <c r="F1232" s="135" t="s">
        <v>0</v>
      </c>
      <c r="G1232" s="58" t="s">
        <v>1409</v>
      </c>
      <c r="H1232" s="135">
        <v>360</v>
      </c>
      <c r="I1232" s="135" t="s">
        <v>89</v>
      </c>
      <c r="J1232" s="135" t="s">
        <v>8</v>
      </c>
      <c r="K1232" s="187" t="s">
        <v>46</v>
      </c>
      <c r="L1232" s="93" t="s">
        <v>1409</v>
      </c>
      <c r="M1232" s="94" t="s">
        <v>3446</v>
      </c>
      <c r="N1232" s="95" t="s">
        <v>2870</v>
      </c>
      <c r="O1232" s="189">
        <v>12</v>
      </c>
      <c r="P1232" s="97">
        <v>177.47368421052599</v>
      </c>
      <c r="Q1232" s="189" t="s">
        <v>16</v>
      </c>
      <c r="R1232" s="135">
        <v>5</v>
      </c>
      <c r="S1232" s="95"/>
      <c r="T1232" s="98">
        <v>11.864406779661</v>
      </c>
      <c r="U1232" s="186">
        <f t="shared" si="287"/>
        <v>899.23282783229092</v>
      </c>
      <c r="V1232" s="100">
        <f t="shared" si="294"/>
        <v>2.4978689662008082</v>
      </c>
      <c r="W1232" s="101">
        <f t="shared" si="295"/>
        <v>0.35683842374297259</v>
      </c>
      <c r="X1232" s="95"/>
      <c r="Y1232" s="95"/>
      <c r="Z1232" s="102"/>
      <c r="AA1232" s="103">
        <v>45947</v>
      </c>
      <c r="AB1232" s="118">
        <v>45968</v>
      </c>
      <c r="AC1232" s="103"/>
      <c r="AD1232" s="104">
        <f>IF(ISNA(VLOOKUP(D1232,亚马逊入库配置费!B:F,5,0)),0,VLOOKUP(D1232,亚马逊入库配置费!B:F,5,0))</f>
        <v>0.41993788819875799</v>
      </c>
      <c r="AE1232" s="104">
        <f t="shared" si="290"/>
        <v>151.17763975155287</v>
      </c>
      <c r="AF1232" s="103">
        <v>45978</v>
      </c>
      <c r="AG1232" s="90">
        <f t="shared" si="291"/>
        <v>31</v>
      </c>
      <c r="AH1232" s="103">
        <v>45978</v>
      </c>
      <c r="AI1232" s="103">
        <v>46012</v>
      </c>
      <c r="AJ1232" s="96">
        <v>359</v>
      </c>
      <c r="AK1232" s="91">
        <f t="shared" si="292"/>
        <v>34</v>
      </c>
      <c r="AL1232" s="96">
        <f t="shared" si="293"/>
        <v>65</v>
      </c>
      <c r="AM1232" s="92"/>
      <c r="AN1232" s="91"/>
      <c r="AO1232" s="91"/>
    </row>
    <row r="1233" spans="1:41" ht="14.5" x14ac:dyDescent="0.25">
      <c r="A1233" s="110" t="s">
        <v>2098</v>
      </c>
      <c r="B1233" s="91"/>
      <c r="C1233" s="135" t="s">
        <v>2067</v>
      </c>
      <c r="D1233" s="187" t="s">
        <v>2095</v>
      </c>
      <c r="E1233" s="135" t="s">
        <v>97</v>
      </c>
      <c r="F1233" s="135" t="s">
        <v>0</v>
      </c>
      <c r="G1233" s="58" t="s">
        <v>1215</v>
      </c>
      <c r="H1233" s="135">
        <v>390</v>
      </c>
      <c r="I1233" s="135" t="s">
        <v>89</v>
      </c>
      <c r="J1233" s="135" t="s">
        <v>8</v>
      </c>
      <c r="K1233" s="187" t="s">
        <v>46</v>
      </c>
      <c r="L1233" s="93" t="s">
        <v>3095</v>
      </c>
      <c r="M1233" s="94" t="s">
        <v>3436</v>
      </c>
      <c r="N1233" s="95" t="s">
        <v>2867</v>
      </c>
      <c r="O1233" s="189">
        <v>13</v>
      </c>
      <c r="P1233" s="97">
        <v>192.26315789473699</v>
      </c>
      <c r="Q1233" s="189" t="s">
        <v>16</v>
      </c>
      <c r="R1233" s="135">
        <v>5</v>
      </c>
      <c r="S1233" s="95"/>
      <c r="T1233" s="98">
        <v>12.8531073446328</v>
      </c>
      <c r="U1233" s="186">
        <f t="shared" si="287"/>
        <v>974.16889681831776</v>
      </c>
      <c r="V1233" s="100">
        <f t="shared" si="294"/>
        <v>2.4978689662008149</v>
      </c>
      <c r="W1233" s="101">
        <f t="shared" si="295"/>
        <v>0.35683842374297353</v>
      </c>
      <c r="X1233" s="95"/>
      <c r="Y1233" s="95"/>
      <c r="Z1233" s="102"/>
      <c r="AA1233" s="103">
        <v>45947</v>
      </c>
      <c r="AB1233" s="118">
        <v>45968</v>
      </c>
      <c r="AC1233" s="103"/>
      <c r="AD1233" s="104">
        <f>IF(ISNA(VLOOKUP(D1233,亚马逊入库配置费!B:F,5,0)),0,VLOOKUP(D1233,亚马逊入库配置费!B:F,5,0))</f>
        <v>0.41993788819875799</v>
      </c>
      <c r="AE1233" s="104">
        <f t="shared" si="290"/>
        <v>163.77577639751561</v>
      </c>
      <c r="AF1233" s="103">
        <v>45978</v>
      </c>
      <c r="AG1233" s="90">
        <f t="shared" si="291"/>
        <v>31</v>
      </c>
      <c r="AH1233" s="103">
        <v>45978</v>
      </c>
      <c r="AI1233" s="103">
        <v>46012</v>
      </c>
      <c r="AJ1233" s="96">
        <v>392</v>
      </c>
      <c r="AK1233" s="91">
        <f t="shared" si="292"/>
        <v>34</v>
      </c>
      <c r="AL1233" s="96">
        <f t="shared" si="293"/>
        <v>65</v>
      </c>
      <c r="AM1233" s="92"/>
      <c r="AN1233" s="91"/>
      <c r="AO1233" s="91"/>
    </row>
    <row r="1234" spans="1:41" ht="14.5" x14ac:dyDescent="0.25">
      <c r="A1234" s="110" t="s">
        <v>2099</v>
      </c>
      <c r="B1234" s="91"/>
      <c r="C1234" s="200" t="s">
        <v>2100</v>
      </c>
      <c r="D1234" s="201" t="s">
        <v>2101</v>
      </c>
      <c r="E1234" s="135" t="s">
        <v>1072</v>
      </c>
      <c r="F1234" s="135" t="s">
        <v>1073</v>
      </c>
      <c r="G1234" s="58" t="s">
        <v>953</v>
      </c>
      <c r="H1234" s="200">
        <v>60</v>
      </c>
      <c r="I1234" s="200" t="s">
        <v>1074</v>
      </c>
      <c r="J1234" s="200" t="s">
        <v>2102</v>
      </c>
      <c r="K1234" s="201" t="s">
        <v>1075</v>
      </c>
      <c r="L1234" s="93" t="s">
        <v>953</v>
      </c>
      <c r="M1234" s="94" t="s">
        <v>3405</v>
      </c>
      <c r="N1234" s="95" t="s">
        <v>3086</v>
      </c>
      <c r="O1234" s="202">
        <v>2</v>
      </c>
      <c r="P1234" s="97">
        <v>26</v>
      </c>
      <c r="Q1234" s="202" t="s">
        <v>16</v>
      </c>
      <c r="R1234" s="200">
        <v>7</v>
      </c>
      <c r="S1234" s="95">
        <v>350</v>
      </c>
      <c r="T1234" s="98">
        <v>77.7777777777778</v>
      </c>
      <c r="U1234" s="203">
        <f t="shared" si="287"/>
        <v>259.77777777777783</v>
      </c>
      <c r="V1234" s="100">
        <f t="shared" si="294"/>
        <v>4.3296296296296308</v>
      </c>
      <c r="W1234" s="101">
        <f t="shared" si="295"/>
        <v>0.61851851851851869</v>
      </c>
      <c r="X1234" s="95"/>
      <c r="Y1234" s="95"/>
      <c r="Z1234" s="102"/>
      <c r="AA1234" s="103">
        <v>45947</v>
      </c>
      <c r="AB1234" s="103">
        <v>45978</v>
      </c>
      <c r="AC1234" s="103"/>
      <c r="AD1234" s="104">
        <f>IF(ISNA(VLOOKUP(D1234,亚马逊入库配置费!B:F,5,0)),0,VLOOKUP(D1234,亚马逊入库配置费!B:F,5,0))</f>
        <v>0</v>
      </c>
      <c r="AE1234" s="104">
        <f t="shared" si="290"/>
        <v>0</v>
      </c>
      <c r="AF1234" s="103">
        <v>45992</v>
      </c>
      <c r="AG1234" s="90">
        <f t="shared" si="291"/>
        <v>45</v>
      </c>
      <c r="AH1234" s="103">
        <v>45992</v>
      </c>
      <c r="AI1234" s="103">
        <v>46006</v>
      </c>
      <c r="AJ1234" s="96">
        <v>60</v>
      </c>
      <c r="AK1234" s="91">
        <f t="shared" si="292"/>
        <v>14</v>
      </c>
      <c r="AL1234" s="96">
        <f t="shared" si="293"/>
        <v>59</v>
      </c>
      <c r="AM1234" s="92"/>
      <c r="AN1234" s="91"/>
      <c r="AO1234" s="91"/>
    </row>
    <row r="1235" spans="1:41" ht="14.5" x14ac:dyDescent="0.25">
      <c r="A1235" s="110" t="s">
        <v>2103</v>
      </c>
      <c r="B1235" s="91"/>
      <c r="C1235" s="200" t="s">
        <v>2100</v>
      </c>
      <c r="D1235" s="201" t="s">
        <v>2101</v>
      </c>
      <c r="E1235" s="135" t="s">
        <v>1072</v>
      </c>
      <c r="F1235" s="135" t="s">
        <v>1073</v>
      </c>
      <c r="G1235" s="58" t="s">
        <v>211</v>
      </c>
      <c r="H1235" s="200">
        <v>120</v>
      </c>
      <c r="I1235" s="200" t="s">
        <v>1074</v>
      </c>
      <c r="J1235" s="200" t="s">
        <v>2102</v>
      </c>
      <c r="K1235" s="201" t="s">
        <v>1075</v>
      </c>
      <c r="L1235" s="93" t="s">
        <v>3034</v>
      </c>
      <c r="M1235" s="94" t="s">
        <v>3312</v>
      </c>
      <c r="N1235" s="95" t="s">
        <v>2869</v>
      </c>
      <c r="O1235" s="202">
        <v>4</v>
      </c>
      <c r="P1235" s="97">
        <v>52</v>
      </c>
      <c r="Q1235" s="202" t="s">
        <v>16</v>
      </c>
      <c r="R1235" s="200">
        <v>7</v>
      </c>
      <c r="S1235" s="106">
        <f>SUMIF(C:C,C1234,T:T)</f>
        <v>350.00000000000051</v>
      </c>
      <c r="T1235" s="98">
        <v>155.555555555556</v>
      </c>
      <c r="U1235" s="203">
        <f t="shared" si="287"/>
        <v>519.555555555556</v>
      </c>
      <c r="V1235" s="100">
        <f t="shared" si="294"/>
        <v>4.3296296296296335</v>
      </c>
      <c r="W1235" s="101">
        <f t="shared" si="295"/>
        <v>0.61851851851851902</v>
      </c>
      <c r="X1235" s="95"/>
      <c r="Y1235" s="95"/>
      <c r="Z1235" s="102"/>
      <c r="AA1235" s="103">
        <v>45947</v>
      </c>
      <c r="AB1235" s="103">
        <v>45978</v>
      </c>
      <c r="AC1235" s="103"/>
      <c r="AD1235" s="104">
        <f>IF(ISNA(VLOOKUP(D1235,亚马逊入库配置费!B:F,5,0)),0,VLOOKUP(D1235,亚马逊入库配置费!B:F,5,0))</f>
        <v>0</v>
      </c>
      <c r="AE1235" s="104">
        <f t="shared" si="290"/>
        <v>0</v>
      </c>
      <c r="AF1235" s="103">
        <v>45992</v>
      </c>
      <c r="AG1235" s="90">
        <f t="shared" si="291"/>
        <v>45</v>
      </c>
      <c r="AH1235" s="103">
        <v>45992</v>
      </c>
      <c r="AI1235" s="103">
        <v>46006</v>
      </c>
      <c r="AJ1235" s="96">
        <v>120</v>
      </c>
      <c r="AK1235" s="91">
        <f t="shared" si="292"/>
        <v>14</v>
      </c>
      <c r="AL1235" s="96">
        <f t="shared" si="293"/>
        <v>59</v>
      </c>
      <c r="AM1235" s="92"/>
      <c r="AN1235" s="91"/>
      <c r="AO1235" s="91"/>
    </row>
    <row r="1236" spans="1:41" ht="14.5" x14ac:dyDescent="0.25">
      <c r="A1236" s="110" t="s">
        <v>2104</v>
      </c>
      <c r="B1236" s="91"/>
      <c r="C1236" s="200" t="s">
        <v>2100</v>
      </c>
      <c r="D1236" s="201" t="s">
        <v>2101</v>
      </c>
      <c r="E1236" s="135" t="s">
        <v>1072</v>
      </c>
      <c r="F1236" s="135" t="s">
        <v>1073</v>
      </c>
      <c r="G1236" s="58" t="s">
        <v>481</v>
      </c>
      <c r="H1236" s="200">
        <v>60</v>
      </c>
      <c r="I1236" s="200" t="s">
        <v>1074</v>
      </c>
      <c r="J1236" s="200" t="s">
        <v>2102</v>
      </c>
      <c r="K1236" s="201" t="s">
        <v>1075</v>
      </c>
      <c r="L1236" s="93" t="s">
        <v>3064</v>
      </c>
      <c r="M1236" s="94" t="s">
        <v>3356</v>
      </c>
      <c r="N1236" s="95" t="s">
        <v>2869</v>
      </c>
      <c r="O1236" s="202">
        <v>2</v>
      </c>
      <c r="P1236" s="97">
        <v>26</v>
      </c>
      <c r="Q1236" s="202" t="s">
        <v>16</v>
      </c>
      <c r="R1236" s="200">
        <v>7</v>
      </c>
      <c r="S1236" s="95"/>
      <c r="T1236" s="98">
        <v>77.7777777777778</v>
      </c>
      <c r="U1236" s="203">
        <f t="shared" si="287"/>
        <v>259.77777777777783</v>
      </c>
      <c r="V1236" s="100">
        <f t="shared" si="294"/>
        <v>4.3296296296296308</v>
      </c>
      <c r="W1236" s="101">
        <f t="shared" si="295"/>
        <v>0.61851851851851869</v>
      </c>
      <c r="X1236" s="95"/>
      <c r="Y1236" s="95"/>
      <c r="Z1236" s="102"/>
      <c r="AA1236" s="103">
        <v>45947</v>
      </c>
      <c r="AB1236" s="103">
        <v>45978</v>
      </c>
      <c r="AC1236" s="103"/>
      <c r="AD1236" s="104">
        <f>IF(ISNA(VLOOKUP(D1236,亚马逊入库配置费!B:F,5,0)),0,VLOOKUP(D1236,亚马逊入库配置费!B:F,5,0))</f>
        <v>0</v>
      </c>
      <c r="AE1236" s="104">
        <f t="shared" si="290"/>
        <v>0</v>
      </c>
      <c r="AF1236" s="103">
        <v>45992</v>
      </c>
      <c r="AG1236" s="90">
        <f t="shared" si="291"/>
        <v>45</v>
      </c>
      <c r="AH1236" s="103">
        <v>45992</v>
      </c>
      <c r="AI1236" s="103">
        <v>46006</v>
      </c>
      <c r="AJ1236" s="96">
        <v>60</v>
      </c>
      <c r="AK1236" s="91">
        <f t="shared" si="292"/>
        <v>14</v>
      </c>
      <c r="AL1236" s="96">
        <f t="shared" si="293"/>
        <v>59</v>
      </c>
      <c r="AM1236" s="92"/>
      <c r="AN1236" s="91"/>
      <c r="AO1236" s="91"/>
    </row>
    <row r="1237" spans="1:41" ht="14.5" x14ac:dyDescent="0.25">
      <c r="A1237" s="110" t="s">
        <v>2105</v>
      </c>
      <c r="B1237" s="91"/>
      <c r="C1237" s="200" t="s">
        <v>2100</v>
      </c>
      <c r="D1237" s="201" t="s">
        <v>2101</v>
      </c>
      <c r="E1237" s="135" t="s">
        <v>1072</v>
      </c>
      <c r="F1237" s="135" t="s">
        <v>1073</v>
      </c>
      <c r="G1237" s="58" t="s">
        <v>1085</v>
      </c>
      <c r="H1237" s="200">
        <v>30</v>
      </c>
      <c r="I1237" s="200" t="s">
        <v>1074</v>
      </c>
      <c r="J1237" s="200" t="s">
        <v>2102</v>
      </c>
      <c r="K1237" s="201" t="s">
        <v>1075</v>
      </c>
      <c r="L1237" s="93" t="s">
        <v>3094</v>
      </c>
      <c r="M1237" s="94" t="s">
        <v>3429</v>
      </c>
      <c r="N1237" s="95" t="s">
        <v>2869</v>
      </c>
      <c r="O1237" s="202">
        <v>1</v>
      </c>
      <c r="P1237" s="97">
        <v>13</v>
      </c>
      <c r="Q1237" s="202" t="s">
        <v>16</v>
      </c>
      <c r="R1237" s="200">
        <v>7</v>
      </c>
      <c r="S1237" s="95"/>
      <c r="T1237" s="98">
        <v>38.8888888888889</v>
      </c>
      <c r="U1237" s="203">
        <f t="shared" si="287"/>
        <v>129.88888888888891</v>
      </c>
      <c r="V1237" s="100">
        <f t="shared" si="294"/>
        <v>4.3296296296296308</v>
      </c>
      <c r="W1237" s="101">
        <f t="shared" si="295"/>
        <v>0.61851851851851869</v>
      </c>
      <c r="X1237" s="95"/>
      <c r="Y1237" s="95"/>
      <c r="Z1237" s="102"/>
      <c r="AA1237" s="103">
        <v>45947</v>
      </c>
      <c r="AB1237" s="103">
        <v>45978</v>
      </c>
      <c r="AC1237" s="103"/>
      <c r="AD1237" s="104">
        <f>IF(ISNA(VLOOKUP(D1237,亚马逊入库配置费!B:F,5,0)),0,VLOOKUP(D1237,亚马逊入库配置费!B:F,5,0))</f>
        <v>0</v>
      </c>
      <c r="AE1237" s="104">
        <f t="shared" si="290"/>
        <v>0</v>
      </c>
      <c r="AF1237" s="103">
        <v>45992</v>
      </c>
      <c r="AG1237" s="90">
        <f t="shared" si="291"/>
        <v>45</v>
      </c>
      <c r="AH1237" s="103">
        <v>45992</v>
      </c>
      <c r="AI1237" s="103">
        <v>46006</v>
      </c>
      <c r="AJ1237" s="96">
        <v>30</v>
      </c>
      <c r="AK1237" s="91">
        <f t="shared" si="292"/>
        <v>14</v>
      </c>
      <c r="AL1237" s="96">
        <f t="shared" si="293"/>
        <v>59</v>
      </c>
      <c r="AM1237" s="92"/>
      <c r="AN1237" s="91"/>
      <c r="AO1237" s="91"/>
    </row>
    <row r="1238" spans="1:41" ht="14.5" x14ac:dyDescent="0.25">
      <c r="A1238" s="110" t="s">
        <v>2106</v>
      </c>
      <c r="B1238" s="91"/>
      <c r="C1238" s="135" t="s">
        <v>2067</v>
      </c>
      <c r="D1238" s="187" t="s">
        <v>2107</v>
      </c>
      <c r="E1238" s="135" t="s">
        <v>97</v>
      </c>
      <c r="F1238" s="135" t="s">
        <v>0</v>
      </c>
      <c r="G1238" s="58" t="s">
        <v>1330</v>
      </c>
      <c r="H1238" s="135">
        <v>264</v>
      </c>
      <c r="I1238" s="135" t="s">
        <v>89</v>
      </c>
      <c r="J1238" s="135" t="s">
        <v>8</v>
      </c>
      <c r="K1238" s="187" t="s">
        <v>9</v>
      </c>
      <c r="L1238" s="93" t="s">
        <v>1330</v>
      </c>
      <c r="M1238" s="94" t="s">
        <v>3442</v>
      </c>
      <c r="N1238" s="95" t="s">
        <v>3099</v>
      </c>
      <c r="O1238" s="189">
        <v>22</v>
      </c>
      <c r="P1238" s="97">
        <v>321.75</v>
      </c>
      <c r="Q1238" s="189" t="s">
        <v>16</v>
      </c>
      <c r="R1238" s="135">
        <v>5.3</v>
      </c>
      <c r="S1238" s="95"/>
      <c r="T1238" s="98">
        <v>21.751412429378501</v>
      </c>
      <c r="U1238" s="186">
        <f t="shared" si="287"/>
        <v>1727.0264124293783</v>
      </c>
      <c r="V1238" s="100">
        <f t="shared" si="294"/>
        <v>6.541766713747645</v>
      </c>
      <c r="W1238" s="101">
        <f t="shared" si="295"/>
        <v>0.93453810196394926</v>
      </c>
      <c r="X1238" s="95"/>
      <c r="Y1238" s="95"/>
      <c r="Z1238" s="102"/>
      <c r="AA1238" s="103">
        <v>45947</v>
      </c>
      <c r="AB1238" s="118">
        <v>45968</v>
      </c>
      <c r="AC1238" s="103"/>
      <c r="AD1238" s="104">
        <f>IF(ISNA(VLOOKUP(D1238,亚马逊入库配置费!B:F,5,0)),0,VLOOKUP(D1238,亚马逊入库配置费!B:F,5,0))</f>
        <v>0.42918918918918902</v>
      </c>
      <c r="AE1238" s="104">
        <f t="shared" si="290"/>
        <v>113.30594594594591</v>
      </c>
      <c r="AF1238" s="103">
        <v>45976</v>
      </c>
      <c r="AG1238" s="90">
        <f t="shared" si="291"/>
        <v>29</v>
      </c>
      <c r="AH1238" s="103">
        <v>45976</v>
      </c>
      <c r="AI1238" s="103">
        <v>46008</v>
      </c>
      <c r="AJ1238" s="96">
        <v>264</v>
      </c>
      <c r="AK1238" s="91">
        <f t="shared" si="292"/>
        <v>32</v>
      </c>
      <c r="AL1238" s="96">
        <f t="shared" si="293"/>
        <v>61</v>
      </c>
      <c r="AM1238" s="92"/>
      <c r="AN1238" s="91"/>
      <c r="AO1238" s="91"/>
    </row>
    <row r="1239" spans="1:41" ht="14.5" x14ac:dyDescent="0.25">
      <c r="A1239" s="110" t="s">
        <v>2108</v>
      </c>
      <c r="B1239" s="198"/>
      <c r="C1239" s="135" t="s">
        <v>2067</v>
      </c>
      <c r="D1239" s="187" t="s">
        <v>2107</v>
      </c>
      <c r="E1239" s="135" t="s">
        <v>97</v>
      </c>
      <c r="F1239" s="135" t="s">
        <v>0</v>
      </c>
      <c r="G1239" s="58" t="s">
        <v>100</v>
      </c>
      <c r="H1239" s="135">
        <v>90</v>
      </c>
      <c r="I1239" s="135" t="s">
        <v>89</v>
      </c>
      <c r="J1239" s="135" t="s">
        <v>8</v>
      </c>
      <c r="K1239" s="187" t="s">
        <v>9</v>
      </c>
      <c r="L1239" s="93" t="s">
        <v>2819</v>
      </c>
      <c r="M1239" s="94" t="s">
        <v>3290</v>
      </c>
      <c r="N1239" s="95" t="s">
        <v>3016</v>
      </c>
      <c r="O1239" s="189">
        <v>1</v>
      </c>
      <c r="P1239" s="97">
        <v>14.625</v>
      </c>
      <c r="Q1239" s="189" t="s">
        <v>16</v>
      </c>
      <c r="R1239" s="135">
        <v>5.3</v>
      </c>
      <c r="S1239" s="95"/>
      <c r="T1239" s="98">
        <v>0.98870056497175096</v>
      </c>
      <c r="U1239" s="186">
        <f t="shared" si="287"/>
        <v>78.501200564971754</v>
      </c>
      <c r="V1239" s="100">
        <f t="shared" si="294"/>
        <v>0.87223556183301953</v>
      </c>
      <c r="W1239" s="101">
        <f t="shared" si="295"/>
        <v>0.12460508026185993</v>
      </c>
      <c r="X1239" s="95"/>
      <c r="Y1239" s="95"/>
      <c r="Z1239" s="102"/>
      <c r="AA1239" s="103">
        <v>45947</v>
      </c>
      <c r="AB1239" s="118">
        <v>45968</v>
      </c>
      <c r="AC1239" s="103"/>
      <c r="AD1239" s="104">
        <f>IF(ISNA(VLOOKUP(D1239,亚马逊入库配置费!B:F,5,0)),0,VLOOKUP(D1239,亚马逊入库配置费!B:F,5,0))</f>
        <v>0.42918918918918902</v>
      </c>
      <c r="AE1239" s="104">
        <f t="shared" si="290"/>
        <v>38.627027027027012</v>
      </c>
      <c r="AF1239" s="103">
        <v>45976</v>
      </c>
      <c r="AG1239" s="90">
        <f t="shared" si="291"/>
        <v>29</v>
      </c>
      <c r="AH1239" s="103">
        <v>45976</v>
      </c>
      <c r="AI1239" s="103">
        <v>46008</v>
      </c>
      <c r="AJ1239" s="96">
        <v>90</v>
      </c>
      <c r="AK1239" s="91">
        <f t="shared" si="292"/>
        <v>32</v>
      </c>
      <c r="AL1239" s="96">
        <f t="shared" si="293"/>
        <v>61</v>
      </c>
      <c r="AM1239" s="92"/>
      <c r="AN1239" s="91"/>
      <c r="AO1239" s="91"/>
    </row>
    <row r="1240" spans="1:41" ht="14.5" x14ac:dyDescent="0.25">
      <c r="A1240" s="110" t="s">
        <v>2109</v>
      </c>
      <c r="B1240" s="198"/>
      <c r="C1240" s="135" t="s">
        <v>2067</v>
      </c>
      <c r="D1240" s="187" t="s">
        <v>2107</v>
      </c>
      <c r="E1240" s="135" t="s">
        <v>97</v>
      </c>
      <c r="F1240" s="135" t="s">
        <v>0</v>
      </c>
      <c r="G1240" s="58" t="s">
        <v>98</v>
      </c>
      <c r="H1240" s="135">
        <v>90</v>
      </c>
      <c r="I1240" s="135" t="s">
        <v>89</v>
      </c>
      <c r="J1240" s="135" t="s">
        <v>8</v>
      </c>
      <c r="K1240" s="187" t="s">
        <v>9</v>
      </c>
      <c r="L1240" s="93" t="s">
        <v>2820</v>
      </c>
      <c r="M1240" s="94" t="s">
        <v>3289</v>
      </c>
      <c r="N1240" s="95" t="s">
        <v>3016</v>
      </c>
      <c r="O1240" s="189">
        <v>1</v>
      </c>
      <c r="P1240" s="97">
        <v>14.625</v>
      </c>
      <c r="Q1240" s="189" t="s">
        <v>16</v>
      </c>
      <c r="R1240" s="135">
        <v>5.3</v>
      </c>
      <c r="S1240" s="95"/>
      <c r="T1240" s="98">
        <v>0.98870056497175096</v>
      </c>
      <c r="U1240" s="186">
        <f t="shared" si="287"/>
        <v>78.501200564971754</v>
      </c>
      <c r="V1240" s="100">
        <f t="shared" si="294"/>
        <v>0.87223556183301953</v>
      </c>
      <c r="W1240" s="101">
        <f t="shared" si="295"/>
        <v>0.12460508026185993</v>
      </c>
      <c r="X1240" s="95"/>
      <c r="Y1240" s="95"/>
      <c r="Z1240" s="102"/>
      <c r="AA1240" s="103">
        <v>45947</v>
      </c>
      <c r="AB1240" s="118">
        <v>45968</v>
      </c>
      <c r="AC1240" s="103"/>
      <c r="AD1240" s="104">
        <f>IF(ISNA(VLOOKUP(D1240,亚马逊入库配置费!B:F,5,0)),0,VLOOKUP(D1240,亚马逊入库配置费!B:F,5,0))</f>
        <v>0.42918918918918902</v>
      </c>
      <c r="AE1240" s="104">
        <f t="shared" si="290"/>
        <v>38.627027027027012</v>
      </c>
      <c r="AF1240" s="103">
        <v>45976</v>
      </c>
      <c r="AG1240" s="90">
        <f t="shared" si="291"/>
        <v>29</v>
      </c>
      <c r="AH1240" s="103">
        <v>45976</v>
      </c>
      <c r="AI1240" s="103">
        <v>46008</v>
      </c>
      <c r="AJ1240" s="96">
        <v>90</v>
      </c>
      <c r="AK1240" s="91">
        <f t="shared" si="292"/>
        <v>32</v>
      </c>
      <c r="AL1240" s="96">
        <f t="shared" si="293"/>
        <v>61</v>
      </c>
      <c r="AM1240" s="92"/>
      <c r="AN1240" s="91"/>
      <c r="AO1240" s="91"/>
    </row>
    <row r="1241" spans="1:41" ht="14.5" x14ac:dyDescent="0.25">
      <c r="A1241" s="110" t="s">
        <v>2110</v>
      </c>
      <c r="B1241" s="91"/>
      <c r="C1241" s="135" t="s">
        <v>2067</v>
      </c>
      <c r="D1241" s="187" t="s">
        <v>2111</v>
      </c>
      <c r="E1241" s="135" t="s">
        <v>97</v>
      </c>
      <c r="F1241" s="135" t="s">
        <v>0</v>
      </c>
      <c r="G1241" s="58" t="s">
        <v>1501</v>
      </c>
      <c r="H1241" s="135">
        <v>360</v>
      </c>
      <c r="I1241" s="135" t="s">
        <v>89</v>
      </c>
      <c r="J1241" s="135" t="s">
        <v>8</v>
      </c>
      <c r="K1241" s="187" t="s">
        <v>50</v>
      </c>
      <c r="L1241" s="93" t="s">
        <v>1501</v>
      </c>
      <c r="M1241" s="94" t="s">
        <v>3448</v>
      </c>
      <c r="N1241" s="95" t="s">
        <v>3099</v>
      </c>
      <c r="O1241" s="189">
        <v>30</v>
      </c>
      <c r="P1241" s="97">
        <v>526.5</v>
      </c>
      <c r="Q1241" s="189" t="s">
        <v>16</v>
      </c>
      <c r="R1241" s="135">
        <v>5.3</v>
      </c>
      <c r="S1241" s="95"/>
      <c r="T1241" s="98">
        <v>29.661016949152501</v>
      </c>
      <c r="U1241" s="186">
        <f t="shared" si="287"/>
        <v>2820.1110169491521</v>
      </c>
      <c r="V1241" s="100">
        <f t="shared" si="294"/>
        <v>7.8336417137476451</v>
      </c>
      <c r="W1241" s="101">
        <f t="shared" si="295"/>
        <v>1.1190916733925207</v>
      </c>
      <c r="X1241" s="95"/>
      <c r="Y1241" s="95"/>
      <c r="Z1241" s="102"/>
      <c r="AA1241" s="103">
        <v>45947</v>
      </c>
      <c r="AB1241" s="118">
        <v>45968</v>
      </c>
      <c r="AC1241" s="103"/>
      <c r="AD1241" s="104">
        <f>IF(ISNA(VLOOKUP(D1241,亚马逊入库配置费!B:F,5,0)),0,VLOOKUP(D1241,亚马逊入库配置费!B:F,5,0))</f>
        <v>0.49</v>
      </c>
      <c r="AE1241" s="104">
        <f t="shared" si="290"/>
        <v>176.4</v>
      </c>
      <c r="AF1241" s="103">
        <v>45979</v>
      </c>
      <c r="AG1241" s="90">
        <f t="shared" si="291"/>
        <v>32</v>
      </c>
      <c r="AH1241" s="103">
        <v>45979</v>
      </c>
      <c r="AI1241" s="103">
        <v>46015</v>
      </c>
      <c r="AJ1241" s="96">
        <v>359</v>
      </c>
      <c r="AK1241" s="91">
        <f t="shared" si="292"/>
        <v>36</v>
      </c>
      <c r="AL1241" s="96">
        <f t="shared" si="293"/>
        <v>68</v>
      </c>
      <c r="AM1241" s="92"/>
      <c r="AN1241" s="91"/>
      <c r="AO1241" s="91"/>
    </row>
    <row r="1242" spans="1:41" ht="14.5" x14ac:dyDescent="0.25">
      <c r="A1242" s="110" t="s">
        <v>2112</v>
      </c>
      <c r="B1242" s="91"/>
      <c r="C1242" s="135" t="s">
        <v>2067</v>
      </c>
      <c r="D1242" s="187" t="s">
        <v>2111</v>
      </c>
      <c r="E1242" s="135" t="s">
        <v>97</v>
      </c>
      <c r="F1242" s="135" t="s">
        <v>0</v>
      </c>
      <c r="G1242" s="58" t="s">
        <v>1503</v>
      </c>
      <c r="H1242" s="135">
        <v>360</v>
      </c>
      <c r="I1242" s="135" t="s">
        <v>89</v>
      </c>
      <c r="J1242" s="135" t="s">
        <v>8</v>
      </c>
      <c r="K1242" s="187" t="s">
        <v>50</v>
      </c>
      <c r="L1242" s="93" t="s">
        <v>1503</v>
      </c>
      <c r="M1242" s="94" t="s">
        <v>3449</v>
      </c>
      <c r="N1242" s="95" t="s">
        <v>3099</v>
      </c>
      <c r="O1242" s="189">
        <v>30</v>
      </c>
      <c r="P1242" s="97">
        <v>526.5</v>
      </c>
      <c r="Q1242" s="189" t="s">
        <v>16</v>
      </c>
      <c r="R1242" s="135">
        <v>5.3</v>
      </c>
      <c r="S1242" s="95"/>
      <c r="T1242" s="98">
        <v>29.661016949152501</v>
      </c>
      <c r="U1242" s="186">
        <f t="shared" si="287"/>
        <v>2820.1110169491521</v>
      </c>
      <c r="V1242" s="100">
        <f t="shared" si="294"/>
        <v>7.8336417137476451</v>
      </c>
      <c r="W1242" s="101">
        <f t="shared" si="295"/>
        <v>1.1190916733925207</v>
      </c>
      <c r="X1242" s="95"/>
      <c r="Y1242" s="95"/>
      <c r="Z1242" s="102"/>
      <c r="AA1242" s="103">
        <v>45947</v>
      </c>
      <c r="AB1242" s="118">
        <v>45968</v>
      </c>
      <c r="AC1242" s="103"/>
      <c r="AD1242" s="104">
        <f>IF(ISNA(VLOOKUP(D1242,亚马逊入库配置费!B:F,5,0)),0,VLOOKUP(D1242,亚马逊入库配置费!B:F,5,0))</f>
        <v>0.49</v>
      </c>
      <c r="AE1242" s="104">
        <f t="shared" si="290"/>
        <v>176.4</v>
      </c>
      <c r="AF1242" s="103">
        <v>45979</v>
      </c>
      <c r="AG1242" s="90">
        <f t="shared" si="291"/>
        <v>32</v>
      </c>
      <c r="AH1242" s="103">
        <v>45979</v>
      </c>
      <c r="AI1242" s="103">
        <v>46015</v>
      </c>
      <c r="AJ1242" s="96">
        <v>360</v>
      </c>
      <c r="AK1242" s="91">
        <f t="shared" si="292"/>
        <v>36</v>
      </c>
      <c r="AL1242" s="96">
        <f t="shared" si="293"/>
        <v>68</v>
      </c>
      <c r="AM1242" s="92"/>
      <c r="AN1242" s="91"/>
      <c r="AO1242" s="91"/>
    </row>
    <row r="1243" spans="1:41" ht="14.5" x14ac:dyDescent="0.25">
      <c r="A1243" s="110" t="s">
        <v>2113</v>
      </c>
      <c r="B1243" s="91" t="s">
        <v>3469</v>
      </c>
      <c r="C1243" s="137" t="s">
        <v>2114</v>
      </c>
      <c r="D1243" s="206" t="s">
        <v>2115</v>
      </c>
      <c r="E1243" s="135" t="s">
        <v>287</v>
      </c>
      <c r="F1243" s="135" t="s">
        <v>0</v>
      </c>
      <c r="G1243" s="58" t="s">
        <v>884</v>
      </c>
      <c r="H1243" s="137">
        <v>256</v>
      </c>
      <c r="I1243" s="137" t="s">
        <v>2116</v>
      </c>
      <c r="J1243" s="137" t="s">
        <v>2117</v>
      </c>
      <c r="K1243" s="206" t="s">
        <v>10</v>
      </c>
      <c r="L1243" s="93" t="s">
        <v>3084</v>
      </c>
      <c r="M1243" s="207" t="s">
        <v>3470</v>
      </c>
      <c r="N1243" s="95" t="s">
        <v>51</v>
      </c>
      <c r="O1243" s="208">
        <v>16</v>
      </c>
      <c r="P1243" s="109">
        <f>1.28/21*O1243</f>
        <v>0.97523809523809524</v>
      </c>
      <c r="Q1243" s="208" t="s">
        <v>3392</v>
      </c>
      <c r="R1243" s="137">
        <f>960-92</f>
        <v>868</v>
      </c>
      <c r="S1243" s="106">
        <v>220</v>
      </c>
      <c r="T1243" s="141">
        <v>167.61904761904799</v>
      </c>
      <c r="U1243" s="209">
        <f t="shared" si="287"/>
        <v>1014.1257142857146</v>
      </c>
      <c r="V1243" s="100">
        <f t="shared" si="294"/>
        <v>3.9614285714285726</v>
      </c>
      <c r="W1243" s="101">
        <f t="shared" si="295"/>
        <v>0.5659183673469389</v>
      </c>
      <c r="X1243" s="95"/>
      <c r="Y1243" s="95"/>
      <c r="Z1243" s="102"/>
      <c r="AA1243" s="103">
        <v>45947</v>
      </c>
      <c r="AB1243" s="103">
        <v>45969</v>
      </c>
      <c r="AC1243" s="103"/>
      <c r="AD1243" s="104">
        <f>IF(ISNA(VLOOKUP(D1243,亚马逊入库配置费!B:F,5,0)),0,VLOOKUP(D1243,亚马逊入库配置费!B:F,5,0))</f>
        <v>0.49</v>
      </c>
      <c r="AE1243" s="104">
        <f t="shared" si="290"/>
        <v>125.44</v>
      </c>
      <c r="AF1243" s="103">
        <v>45981</v>
      </c>
      <c r="AG1243" s="90">
        <f t="shared" si="291"/>
        <v>34</v>
      </c>
      <c r="AH1243" s="103">
        <v>45981</v>
      </c>
      <c r="AI1243" s="103">
        <v>46013</v>
      </c>
      <c r="AJ1243" s="96">
        <v>255</v>
      </c>
      <c r="AK1243" s="91">
        <f t="shared" si="292"/>
        <v>32</v>
      </c>
      <c r="AL1243" s="96">
        <f t="shared" si="293"/>
        <v>66</v>
      </c>
      <c r="AM1243" s="92"/>
      <c r="AN1243" s="91"/>
      <c r="AO1243" s="91"/>
    </row>
    <row r="1244" spans="1:41" ht="14.5" x14ac:dyDescent="0.25">
      <c r="A1244" s="110" t="s">
        <v>2118</v>
      </c>
      <c r="B1244" s="91" t="s">
        <v>3469</v>
      </c>
      <c r="C1244" s="137" t="s">
        <v>2114</v>
      </c>
      <c r="D1244" s="206" t="s">
        <v>2115</v>
      </c>
      <c r="E1244" s="135" t="s">
        <v>287</v>
      </c>
      <c r="F1244" s="135" t="s">
        <v>0</v>
      </c>
      <c r="G1244" s="58" t="s">
        <v>1997</v>
      </c>
      <c r="H1244" s="137">
        <v>80</v>
      </c>
      <c r="I1244" s="137" t="s">
        <v>2116</v>
      </c>
      <c r="J1244" s="137" t="s">
        <v>2117</v>
      </c>
      <c r="K1244" s="206" t="s">
        <v>10</v>
      </c>
      <c r="L1244" s="93" t="s">
        <v>1997</v>
      </c>
      <c r="M1244" s="207" t="s">
        <v>3471</v>
      </c>
      <c r="N1244" s="95" t="s">
        <v>3107</v>
      </c>
      <c r="O1244" s="208">
        <v>5</v>
      </c>
      <c r="P1244" s="109">
        <f>1.28/21*O1244</f>
        <v>0.30476190476190479</v>
      </c>
      <c r="Q1244" s="208" t="s">
        <v>3392</v>
      </c>
      <c r="R1244" s="137">
        <f>960-92</f>
        <v>868</v>
      </c>
      <c r="S1244" s="106">
        <f>SUMIF(C:C,C1243,T:T)</f>
        <v>220.0000000000004</v>
      </c>
      <c r="T1244" s="141">
        <v>52.380952380952401</v>
      </c>
      <c r="U1244" s="209">
        <f t="shared" si="287"/>
        <v>316.91428571428577</v>
      </c>
      <c r="V1244" s="100">
        <f t="shared" si="294"/>
        <v>3.9614285714285722</v>
      </c>
      <c r="W1244" s="101">
        <f t="shared" si="295"/>
        <v>0.5659183673469389</v>
      </c>
      <c r="X1244" s="95"/>
      <c r="Y1244" s="95"/>
      <c r="Z1244" s="102"/>
      <c r="AA1244" s="103">
        <v>45947</v>
      </c>
      <c r="AB1244" s="103">
        <v>45969</v>
      </c>
      <c r="AC1244" s="103"/>
      <c r="AD1244" s="104">
        <f>IF(ISNA(VLOOKUP(D1244,亚马逊入库配置费!B:F,5,0)),0,VLOOKUP(D1244,亚马逊入库配置费!B:F,5,0))</f>
        <v>0.49</v>
      </c>
      <c r="AE1244" s="104">
        <f t="shared" si="290"/>
        <v>39.200000000000003</v>
      </c>
      <c r="AF1244" s="103">
        <v>45981</v>
      </c>
      <c r="AG1244" s="90">
        <f t="shared" si="291"/>
        <v>34</v>
      </c>
      <c r="AH1244" s="103">
        <v>45981</v>
      </c>
      <c r="AI1244" s="103">
        <v>46013</v>
      </c>
      <c r="AJ1244" s="96">
        <v>79</v>
      </c>
      <c r="AK1244" s="91">
        <f t="shared" si="292"/>
        <v>32</v>
      </c>
      <c r="AL1244" s="96">
        <f t="shared" si="293"/>
        <v>66</v>
      </c>
      <c r="AM1244" s="92"/>
      <c r="AN1244" s="91"/>
      <c r="AO1244" s="91"/>
    </row>
    <row r="1245" spans="1:41" ht="14.5" x14ac:dyDescent="0.25">
      <c r="A1245" s="110" t="s">
        <v>2119</v>
      </c>
      <c r="B1245" s="91"/>
      <c r="C1245" s="135" t="s">
        <v>2085</v>
      </c>
      <c r="D1245" s="187" t="s">
        <v>2120</v>
      </c>
      <c r="E1245" s="135" t="s">
        <v>287</v>
      </c>
      <c r="F1245" s="135" t="s">
        <v>0</v>
      </c>
      <c r="G1245" s="58" t="s">
        <v>886</v>
      </c>
      <c r="H1245" s="135">
        <v>112</v>
      </c>
      <c r="I1245" s="135" t="s">
        <v>89</v>
      </c>
      <c r="J1245" s="135" t="s">
        <v>4</v>
      </c>
      <c r="K1245" s="187" t="s">
        <v>50</v>
      </c>
      <c r="L1245" s="93" t="s">
        <v>3085</v>
      </c>
      <c r="M1245" s="94" t="s">
        <v>3403</v>
      </c>
      <c r="N1245" s="95" t="s">
        <v>51</v>
      </c>
      <c r="O1245" s="189">
        <v>7</v>
      </c>
      <c r="P1245" s="97">
        <v>122</v>
      </c>
      <c r="Q1245" s="189" t="s">
        <v>16</v>
      </c>
      <c r="R1245" s="135">
        <v>10</v>
      </c>
      <c r="S1245" s="95"/>
      <c r="T1245" s="98">
        <v>72.058823529411796</v>
      </c>
      <c r="U1245" s="186">
        <f t="shared" ref="U1245:U1308" si="296">R1245*P1245+T1245</f>
        <v>1292.0588235294117</v>
      </c>
      <c r="V1245" s="100">
        <f t="shared" si="294"/>
        <v>11.536239495798318</v>
      </c>
      <c r="W1245" s="101">
        <f t="shared" si="295"/>
        <v>1.648034213685474</v>
      </c>
      <c r="X1245" s="95"/>
      <c r="Y1245" s="95"/>
      <c r="Z1245" s="102"/>
      <c r="AA1245" s="103">
        <v>45947</v>
      </c>
      <c r="AB1245" s="118">
        <v>45965</v>
      </c>
      <c r="AC1245" s="103"/>
      <c r="AD1245" s="104">
        <f>IF(ISNA(VLOOKUP(D1245,亚马逊入库配置费!B:F,5,0)),0,VLOOKUP(D1245,亚马逊入库配置费!B:F,5,0))</f>
        <v>0.49</v>
      </c>
      <c r="AE1245" s="104">
        <f t="shared" si="290"/>
        <v>54.879999999999995</v>
      </c>
      <c r="AF1245" s="103">
        <v>45976</v>
      </c>
      <c r="AG1245" s="90">
        <f t="shared" si="291"/>
        <v>29</v>
      </c>
      <c r="AH1245" s="103">
        <v>45976</v>
      </c>
      <c r="AI1245" s="103">
        <v>46010</v>
      </c>
      <c r="AJ1245" s="96">
        <v>112</v>
      </c>
      <c r="AK1245" s="91">
        <f t="shared" si="292"/>
        <v>34</v>
      </c>
      <c r="AL1245" s="96">
        <f t="shared" si="293"/>
        <v>63</v>
      </c>
      <c r="AM1245" s="92"/>
      <c r="AN1245" s="91"/>
      <c r="AO1245" s="91"/>
    </row>
    <row r="1246" spans="1:41" ht="14.5" x14ac:dyDescent="0.25">
      <c r="A1246" s="110" t="s">
        <v>2121</v>
      </c>
      <c r="B1246" s="91"/>
      <c r="C1246" s="135" t="s">
        <v>2122</v>
      </c>
      <c r="D1246" s="187" t="s">
        <v>2123</v>
      </c>
      <c r="E1246" s="135" t="s">
        <v>278</v>
      </c>
      <c r="F1246" s="135" t="s">
        <v>87</v>
      </c>
      <c r="G1246" s="58" t="s">
        <v>884</v>
      </c>
      <c r="H1246" s="135">
        <v>160</v>
      </c>
      <c r="I1246" s="135" t="s">
        <v>89</v>
      </c>
      <c r="J1246" s="135" t="s">
        <v>90</v>
      </c>
      <c r="K1246" s="187" t="s">
        <v>815</v>
      </c>
      <c r="L1246" s="93" t="s">
        <v>3084</v>
      </c>
      <c r="M1246" s="94" t="s">
        <v>3402</v>
      </c>
      <c r="N1246" s="95" t="s">
        <v>51</v>
      </c>
      <c r="O1246" s="189">
        <v>10</v>
      </c>
      <c r="P1246" s="97">
        <v>174</v>
      </c>
      <c r="Q1246" s="189" t="s">
        <v>16</v>
      </c>
      <c r="R1246" s="135">
        <v>6</v>
      </c>
      <c r="S1246" s="95">
        <v>350</v>
      </c>
      <c r="T1246" s="98">
        <v>79.545454545454504</v>
      </c>
      <c r="U1246" s="186">
        <f t="shared" si="296"/>
        <v>1123.5454545454545</v>
      </c>
      <c r="V1246" s="100">
        <f t="shared" si="294"/>
        <v>7.0221590909090903</v>
      </c>
      <c r="W1246" s="101">
        <f t="shared" si="295"/>
        <v>1.0031655844155842</v>
      </c>
      <c r="X1246" s="95"/>
      <c r="Y1246" s="95"/>
      <c r="Z1246" s="102"/>
      <c r="AA1246" s="103">
        <v>45947</v>
      </c>
      <c r="AB1246" s="118">
        <v>45982</v>
      </c>
      <c r="AC1246" s="103"/>
      <c r="AD1246" s="104">
        <f>IF(ISNA(VLOOKUP(D1246,亚马逊入库配置费!B:F,5,0)),0,VLOOKUP(D1246,亚马逊入库配置费!B:F,5,0))</f>
        <v>0</v>
      </c>
      <c r="AE1246" s="104">
        <f t="shared" si="290"/>
        <v>0</v>
      </c>
      <c r="AF1246" s="103">
        <v>45998</v>
      </c>
      <c r="AG1246" s="90">
        <f t="shared" si="291"/>
        <v>51</v>
      </c>
      <c r="AH1246" s="103">
        <v>45998</v>
      </c>
      <c r="AI1246" s="103">
        <v>46021</v>
      </c>
      <c r="AJ1246" s="96">
        <v>160</v>
      </c>
      <c r="AK1246" s="91">
        <f t="shared" si="292"/>
        <v>23</v>
      </c>
      <c r="AL1246" s="96">
        <f t="shared" si="293"/>
        <v>74</v>
      </c>
      <c r="AM1246" s="92"/>
      <c r="AN1246" s="91"/>
      <c r="AO1246" s="91"/>
    </row>
    <row r="1247" spans="1:41" ht="14.5" x14ac:dyDescent="0.25">
      <c r="A1247" s="110" t="s">
        <v>2124</v>
      </c>
      <c r="B1247" s="91"/>
      <c r="C1247" s="135" t="s">
        <v>2122</v>
      </c>
      <c r="D1247" s="187" t="s">
        <v>2125</v>
      </c>
      <c r="E1247" s="135" t="s">
        <v>1971</v>
      </c>
      <c r="F1247" s="135" t="s">
        <v>87</v>
      </c>
      <c r="G1247" s="58" t="s">
        <v>298</v>
      </c>
      <c r="H1247" s="135">
        <v>180</v>
      </c>
      <c r="I1247" s="135" t="s">
        <v>89</v>
      </c>
      <c r="J1247" s="135" t="s">
        <v>90</v>
      </c>
      <c r="K1247" s="187" t="s">
        <v>815</v>
      </c>
      <c r="L1247" s="93" t="s">
        <v>2689</v>
      </c>
      <c r="M1247" s="94" t="s">
        <v>3327</v>
      </c>
      <c r="N1247" s="95" t="s">
        <v>2919</v>
      </c>
      <c r="O1247" s="189">
        <v>15</v>
      </c>
      <c r="P1247" s="97">
        <v>210.441176470588</v>
      </c>
      <c r="Q1247" s="189" t="s">
        <v>16</v>
      </c>
      <c r="R1247" s="135">
        <v>6</v>
      </c>
      <c r="S1247" s="106">
        <f>SUMIF(C:C,C1246,T:T)</f>
        <v>350.00000000000017</v>
      </c>
      <c r="T1247" s="98">
        <v>119.318181818182</v>
      </c>
      <c r="U1247" s="186">
        <f t="shared" si="296"/>
        <v>1381.9652406417099</v>
      </c>
      <c r="V1247" s="100">
        <f t="shared" si="294"/>
        <v>7.6775846702317221</v>
      </c>
      <c r="W1247" s="101">
        <f t="shared" si="295"/>
        <v>1.0967978100331031</v>
      </c>
      <c r="X1247" s="95"/>
      <c r="Y1247" s="95"/>
      <c r="Z1247" s="102"/>
      <c r="AA1247" s="103">
        <v>45947</v>
      </c>
      <c r="AB1247" s="118">
        <v>45982</v>
      </c>
      <c r="AC1247" s="103"/>
      <c r="AD1247" s="104">
        <f>IF(ISNA(VLOOKUP(D1247,亚马逊入库配置费!B:F,5,0)),0,VLOOKUP(D1247,亚马逊入库配置费!B:F,5,0))</f>
        <v>0</v>
      </c>
      <c r="AE1247" s="104">
        <f t="shared" si="290"/>
        <v>0</v>
      </c>
      <c r="AF1247" s="103">
        <v>45998</v>
      </c>
      <c r="AG1247" s="90">
        <f t="shared" si="291"/>
        <v>51</v>
      </c>
      <c r="AH1247" s="103">
        <v>45998</v>
      </c>
      <c r="AI1247" s="103">
        <v>46014</v>
      </c>
      <c r="AJ1247" s="96">
        <v>180</v>
      </c>
      <c r="AK1247" s="91">
        <f t="shared" si="292"/>
        <v>16</v>
      </c>
      <c r="AL1247" s="96">
        <f t="shared" si="293"/>
        <v>67</v>
      </c>
      <c r="AM1247" s="92"/>
      <c r="AN1247" s="91"/>
      <c r="AO1247" s="91"/>
    </row>
    <row r="1248" spans="1:41" ht="14.5" x14ac:dyDescent="0.25">
      <c r="A1248" s="110" t="s">
        <v>2126</v>
      </c>
      <c r="B1248" s="91"/>
      <c r="C1248" s="135" t="s">
        <v>2122</v>
      </c>
      <c r="D1248" s="187" t="s">
        <v>2125</v>
      </c>
      <c r="E1248" s="135" t="s">
        <v>1971</v>
      </c>
      <c r="F1248" s="135" t="s">
        <v>87</v>
      </c>
      <c r="G1248" s="58" t="s">
        <v>671</v>
      </c>
      <c r="H1248" s="135">
        <v>48</v>
      </c>
      <c r="I1248" s="135" t="s">
        <v>89</v>
      </c>
      <c r="J1248" s="135" t="s">
        <v>90</v>
      </c>
      <c r="K1248" s="187" t="s">
        <v>815</v>
      </c>
      <c r="L1248" s="93" t="s">
        <v>2691</v>
      </c>
      <c r="M1248" s="94" t="s">
        <v>3386</v>
      </c>
      <c r="N1248" s="95" t="s">
        <v>2919</v>
      </c>
      <c r="O1248" s="189">
        <v>4</v>
      </c>
      <c r="P1248" s="97">
        <v>56.117647058823501</v>
      </c>
      <c r="Q1248" s="189" t="s">
        <v>16</v>
      </c>
      <c r="R1248" s="135">
        <v>6</v>
      </c>
      <c r="S1248" s="95"/>
      <c r="T1248" s="98">
        <v>31.818181818181799</v>
      </c>
      <c r="U1248" s="186">
        <f t="shared" si="296"/>
        <v>368.5240641711228</v>
      </c>
      <c r="V1248" s="100">
        <f t="shared" si="294"/>
        <v>7.6775846702317248</v>
      </c>
      <c r="W1248" s="101">
        <f t="shared" si="295"/>
        <v>1.0967978100331035</v>
      </c>
      <c r="X1248" s="95"/>
      <c r="Y1248" s="95"/>
      <c r="Z1248" s="102"/>
      <c r="AA1248" s="103">
        <v>45947</v>
      </c>
      <c r="AB1248" s="118">
        <v>45982</v>
      </c>
      <c r="AC1248" s="103"/>
      <c r="AD1248" s="104">
        <f>IF(ISNA(VLOOKUP(D1248,亚马逊入库配置费!B:F,5,0)),0,VLOOKUP(D1248,亚马逊入库配置费!B:F,5,0))</f>
        <v>0</v>
      </c>
      <c r="AE1248" s="104">
        <f t="shared" si="290"/>
        <v>0</v>
      </c>
      <c r="AF1248" s="103">
        <v>45998</v>
      </c>
      <c r="AG1248" s="90">
        <f t="shared" si="291"/>
        <v>51</v>
      </c>
      <c r="AH1248" s="103">
        <v>45998</v>
      </c>
      <c r="AI1248" s="103">
        <v>46014</v>
      </c>
      <c r="AJ1248" s="96">
        <v>48</v>
      </c>
      <c r="AK1248" s="91">
        <f t="shared" si="292"/>
        <v>16</v>
      </c>
      <c r="AL1248" s="96">
        <f t="shared" si="293"/>
        <v>67</v>
      </c>
      <c r="AM1248" s="92"/>
      <c r="AN1248" s="91"/>
      <c r="AO1248" s="91"/>
    </row>
    <row r="1249" spans="1:41" ht="14.5" x14ac:dyDescent="0.25">
      <c r="A1249" s="110" t="s">
        <v>2127</v>
      </c>
      <c r="B1249" s="91"/>
      <c r="C1249" s="135" t="s">
        <v>2122</v>
      </c>
      <c r="D1249" s="187" t="s">
        <v>2125</v>
      </c>
      <c r="E1249" s="135" t="s">
        <v>1971</v>
      </c>
      <c r="F1249" s="135" t="s">
        <v>87</v>
      </c>
      <c r="G1249" s="58" t="s">
        <v>675</v>
      </c>
      <c r="H1249" s="135">
        <v>144</v>
      </c>
      <c r="I1249" s="135" t="s">
        <v>89</v>
      </c>
      <c r="J1249" s="135" t="s">
        <v>90</v>
      </c>
      <c r="K1249" s="187" t="s">
        <v>815</v>
      </c>
      <c r="L1249" s="93" t="s">
        <v>2690</v>
      </c>
      <c r="M1249" s="94" t="s">
        <v>3388</v>
      </c>
      <c r="N1249" s="95" t="s">
        <v>2919</v>
      </c>
      <c r="O1249" s="189">
        <v>12</v>
      </c>
      <c r="P1249" s="97">
        <v>168.35294117647101</v>
      </c>
      <c r="Q1249" s="189" t="s">
        <v>16</v>
      </c>
      <c r="R1249" s="135">
        <v>6</v>
      </c>
      <c r="S1249" s="95"/>
      <c r="T1249" s="98">
        <v>95.454545454545496</v>
      </c>
      <c r="U1249" s="186">
        <f t="shared" si="296"/>
        <v>1105.5721925133716</v>
      </c>
      <c r="V1249" s="100">
        <f t="shared" si="294"/>
        <v>7.6775846702317478</v>
      </c>
      <c r="W1249" s="101">
        <f t="shared" si="295"/>
        <v>1.0967978100331068</v>
      </c>
      <c r="X1249" s="95"/>
      <c r="Y1249" s="95"/>
      <c r="Z1249" s="102"/>
      <c r="AA1249" s="103">
        <v>45947</v>
      </c>
      <c r="AB1249" s="118">
        <v>45982</v>
      </c>
      <c r="AC1249" s="103"/>
      <c r="AD1249" s="104">
        <f>IF(ISNA(VLOOKUP(D1249,亚马逊入库配置费!B:F,5,0)),0,VLOOKUP(D1249,亚马逊入库配置费!B:F,5,0))</f>
        <v>0</v>
      </c>
      <c r="AE1249" s="104">
        <f t="shared" si="290"/>
        <v>0</v>
      </c>
      <c r="AF1249" s="103">
        <v>45998</v>
      </c>
      <c r="AG1249" s="90">
        <f t="shared" si="291"/>
        <v>51</v>
      </c>
      <c r="AH1249" s="103">
        <v>45998</v>
      </c>
      <c r="AI1249" s="103">
        <v>46014</v>
      </c>
      <c r="AJ1249" s="96">
        <v>144</v>
      </c>
      <c r="AK1249" s="91">
        <f t="shared" si="292"/>
        <v>16</v>
      </c>
      <c r="AL1249" s="96">
        <f t="shared" si="293"/>
        <v>67</v>
      </c>
      <c r="AM1249" s="92"/>
      <c r="AN1249" s="91"/>
      <c r="AO1249" s="91"/>
    </row>
    <row r="1250" spans="1:41" ht="14.5" x14ac:dyDescent="0.25">
      <c r="A1250" s="110" t="s">
        <v>2128</v>
      </c>
      <c r="B1250" s="91"/>
      <c r="C1250" s="135" t="s">
        <v>2122</v>
      </c>
      <c r="D1250" s="187" t="s">
        <v>2125</v>
      </c>
      <c r="E1250" s="135" t="s">
        <v>1971</v>
      </c>
      <c r="F1250" s="135" t="s">
        <v>87</v>
      </c>
      <c r="G1250" s="58" t="s">
        <v>2129</v>
      </c>
      <c r="H1250" s="135">
        <v>36</v>
      </c>
      <c r="I1250" s="135" t="s">
        <v>89</v>
      </c>
      <c r="J1250" s="135" t="s">
        <v>90</v>
      </c>
      <c r="K1250" s="187" t="s">
        <v>815</v>
      </c>
      <c r="L1250" s="93" t="s">
        <v>3108</v>
      </c>
      <c r="M1250" s="94" t="s">
        <v>3472</v>
      </c>
      <c r="N1250" s="95" t="s">
        <v>2919</v>
      </c>
      <c r="O1250" s="189">
        <v>3</v>
      </c>
      <c r="P1250" s="97">
        <v>42.088235294117602</v>
      </c>
      <c r="Q1250" s="189" t="s">
        <v>16</v>
      </c>
      <c r="R1250" s="135">
        <v>6</v>
      </c>
      <c r="S1250" s="95"/>
      <c r="T1250" s="98">
        <v>23.863636363636399</v>
      </c>
      <c r="U1250" s="186">
        <f t="shared" si="296"/>
        <v>276.393048128342</v>
      </c>
      <c r="V1250" s="100">
        <f t="shared" si="294"/>
        <v>7.6775846702317221</v>
      </c>
      <c r="W1250" s="101">
        <f t="shared" si="295"/>
        <v>1.0967978100331031</v>
      </c>
      <c r="X1250" s="95"/>
      <c r="Y1250" s="95"/>
      <c r="Z1250" s="102"/>
      <c r="AA1250" s="103">
        <v>45947</v>
      </c>
      <c r="AB1250" s="118">
        <v>45982</v>
      </c>
      <c r="AC1250" s="103"/>
      <c r="AD1250" s="104">
        <f>IF(ISNA(VLOOKUP(D1250,亚马逊入库配置费!B:F,5,0)),0,VLOOKUP(D1250,亚马逊入库配置费!B:F,5,0))</f>
        <v>0</v>
      </c>
      <c r="AE1250" s="104">
        <f t="shared" si="290"/>
        <v>0</v>
      </c>
      <c r="AF1250" s="103">
        <v>45998</v>
      </c>
      <c r="AG1250" s="90">
        <f t="shared" si="291"/>
        <v>51</v>
      </c>
      <c r="AH1250" s="103">
        <v>45998</v>
      </c>
      <c r="AI1250" s="103">
        <v>46014</v>
      </c>
      <c r="AJ1250" s="96">
        <v>36</v>
      </c>
      <c r="AK1250" s="91">
        <f t="shared" si="292"/>
        <v>16</v>
      </c>
      <c r="AL1250" s="96">
        <f t="shared" si="293"/>
        <v>67</v>
      </c>
      <c r="AM1250" s="92"/>
      <c r="AN1250" s="91"/>
      <c r="AO1250" s="91"/>
    </row>
    <row r="1251" spans="1:41" ht="14.5" x14ac:dyDescent="0.25">
      <c r="A1251" s="110" t="s">
        <v>2130</v>
      </c>
      <c r="B1251" s="91"/>
      <c r="C1251" s="135" t="s">
        <v>2131</v>
      </c>
      <c r="D1251" s="187" t="s">
        <v>2132</v>
      </c>
      <c r="E1251" s="135" t="s">
        <v>97</v>
      </c>
      <c r="F1251" s="135" t="s">
        <v>0</v>
      </c>
      <c r="G1251" s="58" t="s">
        <v>163</v>
      </c>
      <c r="H1251" s="135">
        <v>800</v>
      </c>
      <c r="I1251" s="135" t="s">
        <v>89</v>
      </c>
      <c r="J1251" s="135" t="s">
        <v>8</v>
      </c>
      <c r="K1251" s="187" t="s">
        <v>10</v>
      </c>
      <c r="L1251" s="93" t="s">
        <v>2881</v>
      </c>
      <c r="M1251" s="94" t="s">
        <v>3302</v>
      </c>
      <c r="N1251" s="95" t="s">
        <v>2870</v>
      </c>
      <c r="O1251" s="189">
        <v>20</v>
      </c>
      <c r="P1251" s="97">
        <v>267.44186046511601</v>
      </c>
      <c r="Q1251" s="189" t="s">
        <v>16</v>
      </c>
      <c r="R1251" s="135">
        <v>4</v>
      </c>
      <c r="S1251" s="95">
        <v>350</v>
      </c>
      <c r="T1251" s="98">
        <v>25</v>
      </c>
      <c r="U1251" s="186">
        <f t="shared" si="296"/>
        <v>1094.767441860464</v>
      </c>
      <c r="V1251" s="100">
        <f t="shared" si="294"/>
        <v>1.36845930232558</v>
      </c>
      <c r="W1251" s="101">
        <f t="shared" si="295"/>
        <v>0.19549418604651142</v>
      </c>
      <c r="X1251" s="95"/>
      <c r="Y1251" s="95"/>
      <c r="Z1251" s="102"/>
      <c r="AA1251" s="103">
        <v>45954</v>
      </c>
      <c r="AB1251" s="118">
        <v>45978</v>
      </c>
      <c r="AC1251" s="103"/>
      <c r="AD1251" s="104">
        <f>IF(ISNA(VLOOKUP(D1251,亚马逊入库配置费!B:F,5,0)),0,VLOOKUP(D1251,亚马逊入库配置费!B:F,5,0))</f>
        <v>0.348333333333333</v>
      </c>
      <c r="AE1251" s="104">
        <f t="shared" si="290"/>
        <v>278.6666666666664</v>
      </c>
      <c r="AF1251" s="103">
        <v>45987</v>
      </c>
      <c r="AG1251" s="90">
        <f t="shared" si="291"/>
        <v>33</v>
      </c>
      <c r="AH1251" s="103">
        <v>45987</v>
      </c>
      <c r="AI1251" s="103">
        <v>46019</v>
      </c>
      <c r="AJ1251" s="96">
        <v>801</v>
      </c>
      <c r="AK1251" s="91">
        <f t="shared" si="292"/>
        <v>32</v>
      </c>
      <c r="AL1251" s="96">
        <f t="shared" si="293"/>
        <v>65</v>
      </c>
      <c r="AM1251" s="92"/>
      <c r="AN1251" s="91"/>
      <c r="AO1251" s="91"/>
    </row>
    <row r="1252" spans="1:41" ht="14.5" x14ac:dyDescent="0.25">
      <c r="A1252" s="110" t="s">
        <v>2133</v>
      </c>
      <c r="B1252" s="91"/>
      <c r="C1252" s="135" t="s">
        <v>2131</v>
      </c>
      <c r="D1252" s="187" t="s">
        <v>2132</v>
      </c>
      <c r="E1252" s="135" t="s">
        <v>97</v>
      </c>
      <c r="F1252" s="135" t="s">
        <v>0</v>
      </c>
      <c r="G1252" s="58" t="s">
        <v>1213</v>
      </c>
      <c r="H1252" s="135">
        <v>120</v>
      </c>
      <c r="I1252" s="135" t="s">
        <v>89</v>
      </c>
      <c r="J1252" s="135" t="s">
        <v>8</v>
      </c>
      <c r="K1252" s="187" t="s">
        <v>10</v>
      </c>
      <c r="L1252" s="93" t="s">
        <v>1213</v>
      </c>
      <c r="M1252" s="94" t="s">
        <v>3435</v>
      </c>
      <c r="N1252" s="95" t="s">
        <v>2867</v>
      </c>
      <c r="O1252" s="189">
        <v>3</v>
      </c>
      <c r="P1252" s="97">
        <v>40.116279069767401</v>
      </c>
      <c r="Q1252" s="189" t="s">
        <v>16</v>
      </c>
      <c r="R1252" s="135">
        <v>4</v>
      </c>
      <c r="S1252" s="106">
        <f>SUMIF(C:C,C1251,T:T)</f>
        <v>350</v>
      </c>
      <c r="T1252" s="98">
        <v>3.75</v>
      </c>
      <c r="U1252" s="186">
        <f t="shared" si="296"/>
        <v>164.2151162790696</v>
      </c>
      <c r="V1252" s="100">
        <f t="shared" si="294"/>
        <v>1.36845930232558</v>
      </c>
      <c r="W1252" s="101">
        <f t="shared" si="295"/>
        <v>0.19549418604651142</v>
      </c>
      <c r="X1252" s="95"/>
      <c r="Y1252" s="95"/>
      <c r="Z1252" s="102"/>
      <c r="AA1252" s="103">
        <v>45954</v>
      </c>
      <c r="AB1252" s="118">
        <v>45978</v>
      </c>
      <c r="AC1252" s="103"/>
      <c r="AD1252" s="104">
        <f>IF(ISNA(VLOOKUP(D1252,亚马逊入库配置费!B:F,5,0)),0,VLOOKUP(D1252,亚马逊入库配置费!B:F,5,0))</f>
        <v>0.348333333333333</v>
      </c>
      <c r="AE1252" s="104">
        <f t="shared" si="290"/>
        <v>41.799999999999962</v>
      </c>
      <c r="AF1252" s="103">
        <v>45987</v>
      </c>
      <c r="AG1252" s="90">
        <f t="shared" si="291"/>
        <v>33</v>
      </c>
      <c r="AH1252" s="103">
        <v>45987</v>
      </c>
      <c r="AI1252" s="103">
        <v>46019</v>
      </c>
      <c r="AJ1252" s="96">
        <v>121</v>
      </c>
      <c r="AK1252" s="91">
        <f t="shared" si="292"/>
        <v>32</v>
      </c>
      <c r="AL1252" s="96">
        <f t="shared" si="293"/>
        <v>65</v>
      </c>
      <c r="AM1252" s="92"/>
      <c r="AN1252" s="91"/>
      <c r="AO1252" s="91"/>
    </row>
    <row r="1253" spans="1:41" ht="14.5" x14ac:dyDescent="0.25">
      <c r="A1253" s="110" t="s">
        <v>2134</v>
      </c>
      <c r="B1253" s="91"/>
      <c r="C1253" s="135" t="s">
        <v>2131</v>
      </c>
      <c r="D1253" s="187" t="s">
        <v>2132</v>
      </c>
      <c r="E1253" s="135" t="s">
        <v>97</v>
      </c>
      <c r="F1253" s="135" t="s">
        <v>0</v>
      </c>
      <c r="G1253" s="58" t="s">
        <v>1217</v>
      </c>
      <c r="H1253" s="135">
        <v>200</v>
      </c>
      <c r="I1253" s="135" t="s">
        <v>89</v>
      </c>
      <c r="J1253" s="135" t="s">
        <v>8</v>
      </c>
      <c r="K1253" s="187" t="s">
        <v>10</v>
      </c>
      <c r="L1253" s="93" t="s">
        <v>1217</v>
      </c>
      <c r="M1253" s="94" t="s">
        <v>3437</v>
      </c>
      <c r="N1253" s="95" t="s">
        <v>2867</v>
      </c>
      <c r="O1253" s="189">
        <v>10</v>
      </c>
      <c r="P1253" s="97">
        <v>133.720930232558</v>
      </c>
      <c r="Q1253" s="189" t="s">
        <v>16</v>
      </c>
      <c r="R1253" s="135">
        <v>4</v>
      </c>
      <c r="S1253" s="95"/>
      <c r="T1253" s="98">
        <v>12.5</v>
      </c>
      <c r="U1253" s="186">
        <f t="shared" si="296"/>
        <v>547.38372093023202</v>
      </c>
      <c r="V1253" s="100">
        <f t="shared" si="294"/>
        <v>2.73691860465116</v>
      </c>
      <c r="W1253" s="101">
        <f t="shared" si="295"/>
        <v>0.39098837209302284</v>
      </c>
      <c r="X1253" s="95"/>
      <c r="Y1253" s="95"/>
      <c r="Z1253" s="102"/>
      <c r="AA1253" s="103">
        <v>45954</v>
      </c>
      <c r="AB1253" s="118">
        <v>45978</v>
      </c>
      <c r="AC1253" s="103"/>
      <c r="AD1253" s="104">
        <f>IF(ISNA(VLOOKUP(D1253,亚马逊入库配置费!B:F,5,0)),0,VLOOKUP(D1253,亚马逊入库配置费!B:F,5,0))</f>
        <v>0.348333333333333</v>
      </c>
      <c r="AE1253" s="104">
        <f t="shared" si="290"/>
        <v>69.6666666666666</v>
      </c>
      <c r="AF1253" s="103">
        <v>45987</v>
      </c>
      <c r="AG1253" s="90">
        <f t="shared" si="291"/>
        <v>33</v>
      </c>
      <c r="AH1253" s="103">
        <v>45987</v>
      </c>
      <c r="AI1253" s="103">
        <v>46019</v>
      </c>
      <c r="AJ1253" s="96">
        <v>200</v>
      </c>
      <c r="AK1253" s="91">
        <f t="shared" si="292"/>
        <v>32</v>
      </c>
      <c r="AL1253" s="96">
        <f t="shared" si="293"/>
        <v>65</v>
      </c>
      <c r="AM1253" s="92"/>
      <c r="AN1253" s="91"/>
      <c r="AO1253" s="91"/>
    </row>
    <row r="1254" spans="1:41" ht="14.5" x14ac:dyDescent="0.25">
      <c r="A1254" s="110" t="s">
        <v>2135</v>
      </c>
      <c r="B1254" s="91"/>
      <c r="C1254" s="135" t="s">
        <v>2131</v>
      </c>
      <c r="D1254" s="187" t="s">
        <v>2132</v>
      </c>
      <c r="E1254" s="135" t="s">
        <v>97</v>
      </c>
      <c r="F1254" s="135" t="s">
        <v>0</v>
      </c>
      <c r="G1254" s="58" t="s">
        <v>2136</v>
      </c>
      <c r="H1254" s="135">
        <v>360</v>
      </c>
      <c r="I1254" s="135" t="s">
        <v>89</v>
      </c>
      <c r="J1254" s="135" t="s">
        <v>8</v>
      </c>
      <c r="K1254" s="187" t="s">
        <v>10</v>
      </c>
      <c r="L1254" s="93" t="s">
        <v>2136</v>
      </c>
      <c r="M1254" s="94" t="s">
        <v>3473</v>
      </c>
      <c r="N1254" s="95" t="s">
        <v>2867</v>
      </c>
      <c r="O1254" s="189">
        <v>9</v>
      </c>
      <c r="P1254" s="97">
        <v>120.348837209302</v>
      </c>
      <c r="Q1254" s="189" t="s">
        <v>16</v>
      </c>
      <c r="R1254" s="135">
        <v>4</v>
      </c>
      <c r="S1254" s="95"/>
      <c r="T1254" s="98">
        <v>11.25</v>
      </c>
      <c r="U1254" s="186">
        <f t="shared" si="296"/>
        <v>492.64534883720802</v>
      </c>
      <c r="V1254" s="100">
        <f t="shared" si="294"/>
        <v>1.3684593023255778</v>
      </c>
      <c r="W1254" s="101">
        <f t="shared" si="295"/>
        <v>0.19549418604651111</v>
      </c>
      <c r="X1254" s="95"/>
      <c r="Y1254" s="95"/>
      <c r="Z1254" s="102"/>
      <c r="AA1254" s="103">
        <v>45954</v>
      </c>
      <c r="AB1254" s="118">
        <v>45978</v>
      </c>
      <c r="AC1254" s="103"/>
      <c r="AD1254" s="104">
        <f>IF(ISNA(VLOOKUP(D1254,亚马逊入库配置费!B:F,5,0)),0,VLOOKUP(D1254,亚马逊入库配置费!B:F,5,0))</f>
        <v>0.348333333333333</v>
      </c>
      <c r="AE1254" s="104">
        <f t="shared" si="290"/>
        <v>125.39999999999988</v>
      </c>
      <c r="AF1254" s="103">
        <v>45987</v>
      </c>
      <c r="AG1254" s="90">
        <f t="shared" si="291"/>
        <v>33</v>
      </c>
      <c r="AH1254" s="103">
        <v>45987</v>
      </c>
      <c r="AI1254" s="103">
        <v>46019</v>
      </c>
      <c r="AJ1254" s="96">
        <v>359</v>
      </c>
      <c r="AK1254" s="91">
        <f t="shared" si="292"/>
        <v>32</v>
      </c>
      <c r="AL1254" s="96">
        <f t="shared" si="293"/>
        <v>65</v>
      </c>
      <c r="AM1254" s="92"/>
      <c r="AN1254" s="91"/>
      <c r="AO1254" s="91"/>
    </row>
    <row r="1255" spans="1:41" ht="14.5" x14ac:dyDescent="0.25">
      <c r="A1255" s="110" t="s">
        <v>2137</v>
      </c>
      <c r="B1255" s="91"/>
      <c r="C1255" s="135" t="s">
        <v>2131</v>
      </c>
      <c r="D1255" s="187" t="s">
        <v>2132</v>
      </c>
      <c r="E1255" s="135" t="s">
        <v>97</v>
      </c>
      <c r="F1255" s="135" t="s">
        <v>0</v>
      </c>
      <c r="G1255" s="58" t="s">
        <v>2138</v>
      </c>
      <c r="H1255" s="135">
        <v>200</v>
      </c>
      <c r="I1255" s="135" t="s">
        <v>89</v>
      </c>
      <c r="J1255" s="135" t="s">
        <v>8</v>
      </c>
      <c r="K1255" s="187" t="s">
        <v>10</v>
      </c>
      <c r="L1255" s="93" t="s">
        <v>2138</v>
      </c>
      <c r="M1255" s="94" t="s">
        <v>3474</v>
      </c>
      <c r="N1255" s="95" t="s">
        <v>3102</v>
      </c>
      <c r="O1255" s="189">
        <v>1</v>
      </c>
      <c r="P1255" s="97">
        <v>13.3720930232558</v>
      </c>
      <c r="Q1255" s="189" t="s">
        <v>16</v>
      </c>
      <c r="R1255" s="135">
        <v>4</v>
      </c>
      <c r="S1255" s="95"/>
      <c r="T1255" s="98">
        <v>1.25</v>
      </c>
      <c r="U1255" s="186">
        <f t="shared" si="296"/>
        <v>54.738372093023202</v>
      </c>
      <c r="V1255" s="100">
        <f t="shared" si="294"/>
        <v>0.27369186046511601</v>
      </c>
      <c r="W1255" s="101">
        <f t="shared" si="295"/>
        <v>3.9098837209302288E-2</v>
      </c>
      <c r="X1255" s="95"/>
      <c r="Y1255" s="95"/>
      <c r="Z1255" s="102"/>
      <c r="AA1255" s="103">
        <v>45954</v>
      </c>
      <c r="AB1255" s="118">
        <v>45978</v>
      </c>
      <c r="AC1255" s="103"/>
      <c r="AD1255" s="104">
        <f>IF(ISNA(VLOOKUP(D1255,亚马逊入库配置费!B:F,5,0)),0,VLOOKUP(D1255,亚马逊入库配置费!B:F,5,0))</f>
        <v>0.348333333333333</v>
      </c>
      <c r="AE1255" s="104">
        <f t="shared" si="290"/>
        <v>69.6666666666666</v>
      </c>
      <c r="AF1255" s="103">
        <v>45987</v>
      </c>
      <c r="AG1255" s="90">
        <f t="shared" si="291"/>
        <v>33</v>
      </c>
      <c r="AH1255" s="103">
        <v>45987</v>
      </c>
      <c r="AI1255" s="103">
        <v>46019</v>
      </c>
      <c r="AJ1255" s="96">
        <v>200</v>
      </c>
      <c r="AK1255" s="91">
        <f t="shared" si="292"/>
        <v>32</v>
      </c>
      <c r="AL1255" s="96">
        <f t="shared" si="293"/>
        <v>65</v>
      </c>
      <c r="AM1255" s="92"/>
      <c r="AN1255" s="91"/>
      <c r="AO1255" s="91"/>
    </row>
    <row r="1256" spans="1:41" ht="14.5" x14ac:dyDescent="0.25">
      <c r="A1256" s="110" t="s">
        <v>2139</v>
      </c>
      <c r="B1256" s="91"/>
      <c r="C1256" s="135" t="s">
        <v>2131</v>
      </c>
      <c r="D1256" s="187" t="s">
        <v>2140</v>
      </c>
      <c r="E1256" s="135" t="s">
        <v>97</v>
      </c>
      <c r="F1256" s="135" t="s">
        <v>0</v>
      </c>
      <c r="G1256" s="58" t="s">
        <v>872</v>
      </c>
      <c r="H1256" s="135">
        <v>1260</v>
      </c>
      <c r="I1256" s="135" t="s">
        <v>89</v>
      </c>
      <c r="J1256" s="135" t="s">
        <v>8</v>
      </c>
      <c r="K1256" s="187" t="s">
        <v>15</v>
      </c>
      <c r="L1256" s="93" t="s">
        <v>872</v>
      </c>
      <c r="M1256" s="94" t="s">
        <v>3399</v>
      </c>
      <c r="N1256" s="95" t="s">
        <v>2870</v>
      </c>
      <c r="O1256" s="189">
        <v>42</v>
      </c>
      <c r="P1256" s="97">
        <v>626.87048780487805</v>
      </c>
      <c r="Q1256" s="189" t="s">
        <v>16</v>
      </c>
      <c r="R1256" s="135">
        <v>5</v>
      </c>
      <c r="S1256" s="95"/>
      <c r="T1256" s="98">
        <v>52.5</v>
      </c>
      <c r="U1256" s="186">
        <f t="shared" si="296"/>
        <v>3186.8524390243902</v>
      </c>
      <c r="V1256" s="100">
        <f t="shared" si="294"/>
        <v>2.5292479674796748</v>
      </c>
      <c r="W1256" s="101">
        <f t="shared" si="295"/>
        <v>0.36132113821138212</v>
      </c>
      <c r="X1256" s="95"/>
      <c r="Y1256" s="95"/>
      <c r="Z1256" s="102"/>
      <c r="AA1256" s="103">
        <v>45954</v>
      </c>
      <c r="AB1256" s="118">
        <v>45978</v>
      </c>
      <c r="AC1256" s="103"/>
      <c r="AD1256" s="104">
        <f>IF(ISNA(VLOOKUP(D1256,亚马逊入库配置费!B:F,5,0)),0,VLOOKUP(D1256,亚马逊入库配置费!B:F,5,0))</f>
        <v>0.41</v>
      </c>
      <c r="AE1256" s="104">
        <f t="shared" si="290"/>
        <v>516.6</v>
      </c>
      <c r="AF1256" s="103">
        <v>45985</v>
      </c>
      <c r="AG1256" s="90">
        <f t="shared" si="291"/>
        <v>31</v>
      </c>
      <c r="AH1256" s="103">
        <v>45985</v>
      </c>
      <c r="AI1256" s="103">
        <v>46017</v>
      </c>
      <c r="AJ1256" s="96">
        <v>1260</v>
      </c>
      <c r="AK1256" s="91">
        <f t="shared" si="292"/>
        <v>32</v>
      </c>
      <c r="AL1256" s="96">
        <f t="shared" si="293"/>
        <v>63</v>
      </c>
      <c r="AM1256" s="92"/>
      <c r="AN1256" s="91"/>
      <c r="AO1256" s="91"/>
    </row>
    <row r="1257" spans="1:41" ht="14.5" x14ac:dyDescent="0.25">
      <c r="A1257" s="110" t="s">
        <v>2141</v>
      </c>
      <c r="B1257" s="91"/>
      <c r="C1257" s="135" t="s">
        <v>2131</v>
      </c>
      <c r="D1257" s="187" t="s">
        <v>2140</v>
      </c>
      <c r="E1257" s="135" t="s">
        <v>97</v>
      </c>
      <c r="F1257" s="135" t="s">
        <v>0</v>
      </c>
      <c r="G1257" s="58" t="s">
        <v>1215</v>
      </c>
      <c r="H1257" s="135">
        <v>600</v>
      </c>
      <c r="I1257" s="135" t="s">
        <v>89</v>
      </c>
      <c r="J1257" s="135" t="s">
        <v>8</v>
      </c>
      <c r="K1257" s="187" t="s">
        <v>15</v>
      </c>
      <c r="L1257" s="93" t="s">
        <v>3095</v>
      </c>
      <c r="M1257" s="94" t="s">
        <v>3436</v>
      </c>
      <c r="N1257" s="95" t="s">
        <v>2867</v>
      </c>
      <c r="O1257" s="189">
        <v>20</v>
      </c>
      <c r="P1257" s="97">
        <v>298.50975609756102</v>
      </c>
      <c r="Q1257" s="189" t="s">
        <v>16</v>
      </c>
      <c r="R1257" s="135">
        <v>5</v>
      </c>
      <c r="S1257" s="95"/>
      <c r="T1257" s="98">
        <v>25</v>
      </c>
      <c r="U1257" s="186">
        <f t="shared" si="296"/>
        <v>1517.5487804878051</v>
      </c>
      <c r="V1257" s="100">
        <f t="shared" si="294"/>
        <v>2.5292479674796753</v>
      </c>
      <c r="W1257" s="101">
        <f t="shared" si="295"/>
        <v>0.36132113821138218</v>
      </c>
      <c r="X1257" s="95"/>
      <c r="Y1257" s="95"/>
      <c r="Z1257" s="102"/>
      <c r="AA1257" s="103">
        <v>45954</v>
      </c>
      <c r="AB1257" s="118">
        <v>45978</v>
      </c>
      <c r="AC1257" s="103"/>
      <c r="AD1257" s="104">
        <f>IF(ISNA(VLOOKUP(D1257,亚马逊入库配置费!B:F,5,0)),0,VLOOKUP(D1257,亚马逊入库配置费!B:F,5,0))</f>
        <v>0.41</v>
      </c>
      <c r="AE1257" s="104">
        <f t="shared" si="290"/>
        <v>245.99999999999997</v>
      </c>
      <c r="AF1257" s="103">
        <v>45985</v>
      </c>
      <c r="AG1257" s="90">
        <f t="shared" si="291"/>
        <v>31</v>
      </c>
      <c r="AH1257" s="103">
        <v>45985</v>
      </c>
      <c r="AI1257" s="103">
        <v>46017</v>
      </c>
      <c r="AJ1257" s="96">
        <v>600</v>
      </c>
      <c r="AK1257" s="91">
        <f t="shared" si="292"/>
        <v>32</v>
      </c>
      <c r="AL1257" s="96">
        <f t="shared" si="293"/>
        <v>63</v>
      </c>
      <c r="AM1257" s="92"/>
      <c r="AN1257" s="91"/>
      <c r="AO1257" s="91"/>
    </row>
    <row r="1258" spans="1:41" ht="14.5" x14ac:dyDescent="0.25">
      <c r="A1258" s="110" t="s">
        <v>2142</v>
      </c>
      <c r="B1258" s="91"/>
      <c r="C1258" s="135" t="s">
        <v>2131</v>
      </c>
      <c r="D1258" s="187" t="s">
        <v>2140</v>
      </c>
      <c r="E1258" s="135" t="s">
        <v>97</v>
      </c>
      <c r="F1258" s="135" t="s">
        <v>0</v>
      </c>
      <c r="G1258" s="58" t="s">
        <v>1851</v>
      </c>
      <c r="H1258" s="135">
        <v>300</v>
      </c>
      <c r="I1258" s="135" t="s">
        <v>89</v>
      </c>
      <c r="J1258" s="135" t="s">
        <v>8</v>
      </c>
      <c r="K1258" s="187" t="s">
        <v>15</v>
      </c>
      <c r="L1258" s="93" t="s">
        <v>1851</v>
      </c>
      <c r="M1258" s="94" t="s">
        <v>3454</v>
      </c>
      <c r="N1258" s="95" t="s">
        <v>2867</v>
      </c>
      <c r="O1258" s="189">
        <v>10</v>
      </c>
      <c r="P1258" s="97">
        <v>149.25487804878099</v>
      </c>
      <c r="Q1258" s="189" t="s">
        <v>16</v>
      </c>
      <c r="R1258" s="135">
        <v>5</v>
      </c>
      <c r="S1258" s="95"/>
      <c r="T1258" s="98">
        <v>12.5</v>
      </c>
      <c r="U1258" s="186">
        <f t="shared" si="296"/>
        <v>758.77439024390492</v>
      </c>
      <c r="V1258" s="100">
        <f t="shared" si="294"/>
        <v>2.5292479674796833</v>
      </c>
      <c r="W1258" s="101">
        <f t="shared" si="295"/>
        <v>0.36132113821138334</v>
      </c>
      <c r="X1258" s="95"/>
      <c r="Y1258" s="95"/>
      <c r="Z1258" s="102"/>
      <c r="AA1258" s="103">
        <v>45954</v>
      </c>
      <c r="AB1258" s="118">
        <v>45978</v>
      </c>
      <c r="AC1258" s="103"/>
      <c r="AD1258" s="104">
        <f>IF(ISNA(VLOOKUP(D1258,亚马逊入库配置费!B:F,5,0)),0,VLOOKUP(D1258,亚马逊入库配置费!B:F,5,0))</f>
        <v>0.41</v>
      </c>
      <c r="AE1258" s="104">
        <f t="shared" si="290"/>
        <v>122.99999999999999</v>
      </c>
      <c r="AF1258" s="103">
        <v>45985</v>
      </c>
      <c r="AG1258" s="90">
        <f t="shared" si="291"/>
        <v>31</v>
      </c>
      <c r="AH1258" s="103">
        <v>45985</v>
      </c>
      <c r="AI1258" s="103">
        <v>46017</v>
      </c>
      <c r="AJ1258" s="96">
        <v>300</v>
      </c>
      <c r="AK1258" s="91">
        <f t="shared" si="292"/>
        <v>32</v>
      </c>
      <c r="AL1258" s="96">
        <f t="shared" si="293"/>
        <v>63</v>
      </c>
      <c r="AM1258" s="92"/>
      <c r="AN1258" s="91"/>
      <c r="AO1258" s="91"/>
    </row>
    <row r="1259" spans="1:41" ht="14.5" x14ac:dyDescent="0.25">
      <c r="A1259" s="110" t="s">
        <v>2143</v>
      </c>
      <c r="B1259" s="91"/>
      <c r="C1259" s="135" t="s">
        <v>2131</v>
      </c>
      <c r="D1259" s="187" t="s">
        <v>2140</v>
      </c>
      <c r="E1259" s="135" t="s">
        <v>97</v>
      </c>
      <c r="F1259" s="135" t="s">
        <v>0</v>
      </c>
      <c r="G1259" s="58" t="s">
        <v>1902</v>
      </c>
      <c r="H1259" s="135">
        <v>300</v>
      </c>
      <c r="I1259" s="135" t="s">
        <v>89</v>
      </c>
      <c r="J1259" s="135" t="s">
        <v>8</v>
      </c>
      <c r="K1259" s="187" t="s">
        <v>15</v>
      </c>
      <c r="L1259" s="93" t="s">
        <v>1902</v>
      </c>
      <c r="M1259" s="94" t="s">
        <v>3457</v>
      </c>
      <c r="N1259" s="95" t="s">
        <v>2867</v>
      </c>
      <c r="O1259" s="189">
        <v>10</v>
      </c>
      <c r="P1259" s="97">
        <v>149.25487804878099</v>
      </c>
      <c r="Q1259" s="189" t="s">
        <v>16</v>
      </c>
      <c r="R1259" s="135">
        <v>5</v>
      </c>
      <c r="S1259" s="95"/>
      <c r="T1259" s="98">
        <v>12.5</v>
      </c>
      <c r="U1259" s="186">
        <f t="shared" si="296"/>
        <v>758.77439024390492</v>
      </c>
      <c r="V1259" s="100">
        <f t="shared" si="294"/>
        <v>2.5292479674796833</v>
      </c>
      <c r="W1259" s="101">
        <f t="shared" si="295"/>
        <v>0.36132113821138334</v>
      </c>
      <c r="X1259" s="95"/>
      <c r="Y1259" s="95"/>
      <c r="Z1259" s="102"/>
      <c r="AA1259" s="103">
        <v>45954</v>
      </c>
      <c r="AB1259" s="118">
        <v>45978</v>
      </c>
      <c r="AC1259" s="103"/>
      <c r="AD1259" s="104">
        <f>IF(ISNA(VLOOKUP(D1259,亚马逊入库配置费!B:F,5,0)),0,VLOOKUP(D1259,亚马逊入库配置费!B:F,5,0))</f>
        <v>0.41</v>
      </c>
      <c r="AE1259" s="104">
        <f t="shared" si="290"/>
        <v>122.99999999999999</v>
      </c>
      <c r="AF1259" s="103">
        <v>45985</v>
      </c>
      <c r="AG1259" s="90">
        <f t="shared" si="291"/>
        <v>31</v>
      </c>
      <c r="AH1259" s="103">
        <v>45985</v>
      </c>
      <c r="AI1259" s="103">
        <v>46017</v>
      </c>
      <c r="AJ1259" s="96">
        <v>300</v>
      </c>
      <c r="AK1259" s="91">
        <f t="shared" si="292"/>
        <v>32</v>
      </c>
      <c r="AL1259" s="96">
        <f t="shared" si="293"/>
        <v>63</v>
      </c>
      <c r="AM1259" s="92"/>
      <c r="AN1259" s="91"/>
      <c r="AO1259" s="91"/>
    </row>
    <row r="1260" spans="1:41" ht="14.5" x14ac:dyDescent="0.25">
      <c r="A1260" s="110" t="s">
        <v>2144</v>
      </c>
      <c r="B1260" s="91"/>
      <c r="C1260" s="135" t="s">
        <v>2131</v>
      </c>
      <c r="D1260" s="187" t="s">
        <v>2145</v>
      </c>
      <c r="E1260" s="135" t="s">
        <v>97</v>
      </c>
      <c r="F1260" s="135" t="s">
        <v>0</v>
      </c>
      <c r="G1260" s="58" t="s">
        <v>1195</v>
      </c>
      <c r="H1260" s="135">
        <v>360</v>
      </c>
      <c r="I1260" s="135" t="s">
        <v>89</v>
      </c>
      <c r="J1260" s="135" t="s">
        <v>8</v>
      </c>
      <c r="K1260" s="187" t="s">
        <v>15</v>
      </c>
      <c r="L1260" s="93" t="s">
        <v>1195</v>
      </c>
      <c r="M1260" s="94" t="s">
        <v>3433</v>
      </c>
      <c r="N1260" s="95" t="s">
        <v>2870</v>
      </c>
      <c r="O1260" s="189">
        <v>12</v>
      </c>
      <c r="P1260" s="97">
        <v>179.11</v>
      </c>
      <c r="Q1260" s="189" t="s">
        <v>16</v>
      </c>
      <c r="R1260" s="135">
        <v>5</v>
      </c>
      <c r="S1260" s="95"/>
      <c r="T1260" s="98">
        <v>15</v>
      </c>
      <c r="U1260" s="186">
        <f t="shared" si="296"/>
        <v>910.55000000000007</v>
      </c>
      <c r="V1260" s="100">
        <f t="shared" si="294"/>
        <v>2.5293055555555557</v>
      </c>
      <c r="W1260" s="101">
        <f t="shared" si="295"/>
        <v>0.36132936507936508</v>
      </c>
      <c r="X1260" s="95"/>
      <c r="Y1260" s="95"/>
      <c r="Z1260" s="102"/>
      <c r="AA1260" s="103">
        <v>45954</v>
      </c>
      <c r="AB1260" s="118">
        <v>45978</v>
      </c>
      <c r="AC1260" s="103"/>
      <c r="AD1260" s="104">
        <f>IF(ISNA(VLOOKUP(D1260,亚马逊入库配置费!B:F,5,0)),0,VLOOKUP(D1260,亚马逊入库配置费!B:F,5,0))</f>
        <v>0.41</v>
      </c>
      <c r="AE1260" s="104">
        <f t="shared" si="290"/>
        <v>147.6</v>
      </c>
      <c r="AF1260" s="103">
        <v>45985</v>
      </c>
      <c r="AG1260" s="90">
        <f t="shared" si="291"/>
        <v>31</v>
      </c>
      <c r="AH1260" s="103">
        <v>45985</v>
      </c>
      <c r="AI1260" s="103">
        <v>46016</v>
      </c>
      <c r="AJ1260" s="96">
        <v>360</v>
      </c>
      <c r="AK1260" s="91">
        <f t="shared" si="292"/>
        <v>31</v>
      </c>
      <c r="AL1260" s="96">
        <f t="shared" si="293"/>
        <v>62</v>
      </c>
      <c r="AM1260" s="92"/>
      <c r="AN1260" s="91"/>
      <c r="AO1260" s="91"/>
    </row>
    <row r="1261" spans="1:41" ht="14.5" x14ac:dyDescent="0.25">
      <c r="A1261" s="110" t="s">
        <v>2146</v>
      </c>
      <c r="B1261" s="91" t="s">
        <v>3469</v>
      </c>
      <c r="C1261" s="137" t="s">
        <v>2147</v>
      </c>
      <c r="D1261" s="206" t="s">
        <v>2148</v>
      </c>
      <c r="E1261" s="135" t="s">
        <v>287</v>
      </c>
      <c r="F1261" s="135" t="s">
        <v>0</v>
      </c>
      <c r="G1261" s="58" t="s">
        <v>884</v>
      </c>
      <c r="H1261" s="137">
        <v>368</v>
      </c>
      <c r="I1261" s="137" t="s">
        <v>2116</v>
      </c>
      <c r="J1261" s="137" t="s">
        <v>2117</v>
      </c>
      <c r="K1261" s="206" t="s">
        <v>13</v>
      </c>
      <c r="L1261" s="93" t="s">
        <v>3084</v>
      </c>
      <c r="M1261" s="207" t="s">
        <v>3470</v>
      </c>
      <c r="N1261" s="95" t="s">
        <v>51</v>
      </c>
      <c r="O1261" s="208">
        <v>23</v>
      </c>
      <c r="P1261" s="109">
        <f>5.51/91*O1261</f>
        <v>1.3926373626373625</v>
      </c>
      <c r="Q1261" s="208" t="s">
        <v>3392</v>
      </c>
      <c r="R1261" s="137">
        <f>980-92</f>
        <v>888</v>
      </c>
      <c r="S1261" s="106">
        <v>220</v>
      </c>
      <c r="T1261" s="141">
        <f>220/112*O1261</f>
        <v>45.178571428571423</v>
      </c>
      <c r="U1261" s="209">
        <f t="shared" si="296"/>
        <v>1281.8405494505491</v>
      </c>
      <c r="V1261" s="100">
        <f t="shared" si="294"/>
        <v>3.4832623626373618</v>
      </c>
      <c r="W1261" s="101">
        <f t="shared" si="295"/>
        <v>0.49760890894819454</v>
      </c>
      <c r="X1261" s="95"/>
      <c r="Y1261" s="95"/>
      <c r="Z1261" s="102"/>
      <c r="AA1261" s="103">
        <v>45954</v>
      </c>
      <c r="AB1261" s="118">
        <v>45976</v>
      </c>
      <c r="AC1261" s="103"/>
      <c r="AD1261" s="104">
        <f>IF(ISNA(VLOOKUP(D1261,亚马逊入库配置费!B:F,5,0)),0,VLOOKUP(D1261,亚马逊入库配置费!B:F,5,0))</f>
        <v>0.49</v>
      </c>
      <c r="AE1261" s="104">
        <f t="shared" si="290"/>
        <v>180.32</v>
      </c>
      <c r="AF1261" s="103">
        <v>45993</v>
      </c>
      <c r="AG1261" s="90">
        <f t="shared" si="291"/>
        <v>39</v>
      </c>
      <c r="AH1261" s="103">
        <v>45993</v>
      </c>
      <c r="AI1261" s="103">
        <v>46028</v>
      </c>
      <c r="AJ1261" s="96">
        <v>366</v>
      </c>
      <c r="AK1261" s="91">
        <f t="shared" si="292"/>
        <v>35</v>
      </c>
      <c r="AL1261" s="96">
        <f t="shared" si="293"/>
        <v>74</v>
      </c>
      <c r="AM1261" s="92"/>
      <c r="AN1261" s="91"/>
      <c r="AO1261" s="91"/>
    </row>
    <row r="1262" spans="1:41" ht="14.5" x14ac:dyDescent="0.25">
      <c r="A1262" s="110" t="s">
        <v>2149</v>
      </c>
      <c r="B1262" s="91" t="s">
        <v>3469</v>
      </c>
      <c r="C1262" s="137" t="s">
        <v>2147</v>
      </c>
      <c r="D1262" s="206" t="s">
        <v>2148</v>
      </c>
      <c r="E1262" s="135" t="s">
        <v>287</v>
      </c>
      <c r="F1262" s="135" t="s">
        <v>0</v>
      </c>
      <c r="G1262" s="58" t="s">
        <v>1994</v>
      </c>
      <c r="H1262" s="137">
        <v>48</v>
      </c>
      <c r="I1262" s="137" t="s">
        <v>2116</v>
      </c>
      <c r="J1262" s="137" t="s">
        <v>2117</v>
      </c>
      <c r="K1262" s="206" t="s">
        <v>13</v>
      </c>
      <c r="L1262" s="93" t="s">
        <v>1994</v>
      </c>
      <c r="M1262" s="207" t="s">
        <v>3475</v>
      </c>
      <c r="N1262" s="95" t="s">
        <v>51</v>
      </c>
      <c r="O1262" s="208">
        <v>3</v>
      </c>
      <c r="P1262" s="109">
        <f>5.51/91*O1262</f>
        <v>0.18164835164835164</v>
      </c>
      <c r="Q1262" s="208" t="s">
        <v>3392</v>
      </c>
      <c r="R1262" s="137">
        <f t="shared" ref="R1262:R1265" si="297">980-92</f>
        <v>888</v>
      </c>
      <c r="S1262" s="106">
        <f>SUMIF(C:C,C1261,T:T)</f>
        <v>220</v>
      </c>
      <c r="T1262" s="141">
        <f t="shared" ref="T1262:T1265" si="298">220/112*O1262</f>
        <v>5.8928571428571423</v>
      </c>
      <c r="U1262" s="209">
        <f t="shared" si="296"/>
        <v>167.19659340659339</v>
      </c>
      <c r="V1262" s="100">
        <f t="shared" si="294"/>
        <v>3.4832623626373622</v>
      </c>
      <c r="W1262" s="101">
        <f t="shared" si="295"/>
        <v>0.49760890894819459</v>
      </c>
      <c r="X1262" s="95"/>
      <c r="Y1262" s="95"/>
      <c r="Z1262" s="102"/>
      <c r="AA1262" s="103">
        <v>45954</v>
      </c>
      <c r="AB1262" s="118">
        <v>45976</v>
      </c>
      <c r="AC1262" s="103"/>
      <c r="AD1262" s="104">
        <f>IF(ISNA(VLOOKUP(D1262,亚马逊入库配置费!B:F,5,0)),0,VLOOKUP(D1262,亚马逊入库配置费!B:F,5,0))</f>
        <v>0.49</v>
      </c>
      <c r="AE1262" s="104">
        <f t="shared" si="290"/>
        <v>23.52</v>
      </c>
      <c r="AF1262" s="103">
        <v>45993</v>
      </c>
      <c r="AG1262" s="90">
        <f t="shared" si="291"/>
        <v>39</v>
      </c>
      <c r="AH1262" s="103">
        <v>45993</v>
      </c>
      <c r="AI1262" s="103">
        <v>46028</v>
      </c>
      <c r="AJ1262" s="96">
        <v>48</v>
      </c>
      <c r="AK1262" s="91">
        <f t="shared" si="292"/>
        <v>35</v>
      </c>
      <c r="AL1262" s="96">
        <f t="shared" si="293"/>
        <v>74</v>
      </c>
      <c r="AM1262" s="92"/>
      <c r="AN1262" s="91"/>
      <c r="AO1262" s="91"/>
    </row>
    <row r="1263" spans="1:41" ht="14.5" x14ac:dyDescent="0.25">
      <c r="A1263" s="110" t="s">
        <v>2150</v>
      </c>
      <c r="B1263" s="91" t="s">
        <v>3469</v>
      </c>
      <c r="C1263" s="137" t="s">
        <v>2147</v>
      </c>
      <c r="D1263" s="206" t="s">
        <v>2148</v>
      </c>
      <c r="E1263" s="135" t="s">
        <v>287</v>
      </c>
      <c r="F1263" s="135" t="s">
        <v>0</v>
      </c>
      <c r="G1263" s="58" t="s">
        <v>886</v>
      </c>
      <c r="H1263" s="137">
        <v>384</v>
      </c>
      <c r="I1263" s="137" t="s">
        <v>2116</v>
      </c>
      <c r="J1263" s="137" t="s">
        <v>2117</v>
      </c>
      <c r="K1263" s="206" t="s">
        <v>13</v>
      </c>
      <c r="L1263" s="93" t="s">
        <v>3085</v>
      </c>
      <c r="M1263" s="207" t="s">
        <v>3476</v>
      </c>
      <c r="N1263" s="95" t="s">
        <v>51</v>
      </c>
      <c r="O1263" s="208">
        <v>24</v>
      </c>
      <c r="P1263" s="109">
        <f>5.51/91*O1263</f>
        <v>1.4531868131868131</v>
      </c>
      <c r="Q1263" s="208" t="s">
        <v>3392</v>
      </c>
      <c r="R1263" s="137">
        <f t="shared" si="297"/>
        <v>888</v>
      </c>
      <c r="S1263" s="106"/>
      <c r="T1263" s="141">
        <f t="shared" si="298"/>
        <v>47.142857142857139</v>
      </c>
      <c r="U1263" s="209">
        <f t="shared" si="296"/>
        <v>1337.5727472527471</v>
      </c>
      <c r="V1263" s="100">
        <f t="shared" si="294"/>
        <v>3.4832623626373622</v>
      </c>
      <c r="W1263" s="101">
        <f t="shared" si="295"/>
        <v>0.49760890894819459</v>
      </c>
      <c r="X1263" s="95"/>
      <c r="Y1263" s="95"/>
      <c r="Z1263" s="102"/>
      <c r="AA1263" s="103">
        <v>45954</v>
      </c>
      <c r="AB1263" s="118">
        <v>45976</v>
      </c>
      <c r="AC1263" s="103"/>
      <c r="AD1263" s="104">
        <f>IF(ISNA(VLOOKUP(D1263,亚马逊入库配置费!B:F,5,0)),0,VLOOKUP(D1263,亚马逊入库配置费!B:F,5,0))</f>
        <v>0.49</v>
      </c>
      <c r="AE1263" s="104">
        <f t="shared" si="290"/>
        <v>188.16</v>
      </c>
      <c r="AF1263" s="103">
        <v>45993</v>
      </c>
      <c r="AG1263" s="90">
        <f t="shared" si="291"/>
        <v>39</v>
      </c>
      <c r="AH1263" s="103">
        <v>45993</v>
      </c>
      <c r="AI1263" s="103">
        <v>46028</v>
      </c>
      <c r="AJ1263" s="96">
        <v>384</v>
      </c>
      <c r="AK1263" s="91">
        <f t="shared" si="292"/>
        <v>35</v>
      </c>
      <c r="AL1263" s="96">
        <f t="shared" si="293"/>
        <v>74</v>
      </c>
      <c r="AM1263" s="92"/>
      <c r="AN1263" s="91"/>
      <c r="AO1263" s="91"/>
    </row>
    <row r="1264" spans="1:41" ht="14.5" x14ac:dyDescent="0.25">
      <c r="A1264" s="110" t="s">
        <v>2151</v>
      </c>
      <c r="B1264" s="91" t="s">
        <v>3469</v>
      </c>
      <c r="C1264" s="137" t="s">
        <v>2147</v>
      </c>
      <c r="D1264" s="206" t="s">
        <v>2148</v>
      </c>
      <c r="E1264" s="135" t="s">
        <v>287</v>
      </c>
      <c r="F1264" s="135" t="s">
        <v>0</v>
      </c>
      <c r="G1264" s="58" t="s">
        <v>1997</v>
      </c>
      <c r="H1264" s="137">
        <v>336</v>
      </c>
      <c r="I1264" s="137" t="s">
        <v>2116</v>
      </c>
      <c r="J1264" s="137" t="s">
        <v>2117</v>
      </c>
      <c r="K1264" s="206" t="s">
        <v>13</v>
      </c>
      <c r="L1264" s="93" t="s">
        <v>1997</v>
      </c>
      <c r="M1264" s="207" t="s">
        <v>3471</v>
      </c>
      <c r="N1264" s="95" t="s">
        <v>3107</v>
      </c>
      <c r="O1264" s="208">
        <v>21</v>
      </c>
      <c r="P1264" s="109">
        <f>5.51/91*O1264</f>
        <v>1.2715384615384615</v>
      </c>
      <c r="Q1264" s="208" t="s">
        <v>3392</v>
      </c>
      <c r="R1264" s="137">
        <f t="shared" si="297"/>
        <v>888</v>
      </c>
      <c r="S1264" s="106"/>
      <c r="T1264" s="141">
        <f t="shared" si="298"/>
        <v>41.25</v>
      </c>
      <c r="U1264" s="209">
        <f t="shared" si="296"/>
        <v>1170.3761538461538</v>
      </c>
      <c r="V1264" s="100">
        <f t="shared" si="294"/>
        <v>3.4832623626373627</v>
      </c>
      <c r="W1264" s="101">
        <f t="shared" si="295"/>
        <v>0.49760890894819465</v>
      </c>
      <c r="X1264" s="95"/>
      <c r="Y1264" s="95"/>
      <c r="Z1264" s="102"/>
      <c r="AA1264" s="103">
        <v>45954</v>
      </c>
      <c r="AB1264" s="118">
        <v>45976</v>
      </c>
      <c r="AC1264" s="103"/>
      <c r="AD1264" s="104">
        <f>IF(ISNA(VLOOKUP(D1264,亚马逊入库配置费!B:F,5,0)),0,VLOOKUP(D1264,亚马逊入库配置费!B:F,5,0))</f>
        <v>0.49</v>
      </c>
      <c r="AE1264" s="104">
        <f t="shared" si="290"/>
        <v>164.64</v>
      </c>
      <c r="AF1264" s="103">
        <v>45993</v>
      </c>
      <c r="AG1264" s="90">
        <f t="shared" si="291"/>
        <v>39</v>
      </c>
      <c r="AH1264" s="103">
        <v>45993</v>
      </c>
      <c r="AI1264" s="103">
        <v>46028</v>
      </c>
      <c r="AJ1264" s="96">
        <v>336</v>
      </c>
      <c r="AK1264" s="91">
        <f t="shared" si="292"/>
        <v>35</v>
      </c>
      <c r="AL1264" s="96">
        <f t="shared" si="293"/>
        <v>74</v>
      </c>
      <c r="AM1264" s="92"/>
      <c r="AN1264" s="91"/>
      <c r="AO1264" s="91"/>
    </row>
    <row r="1265" spans="1:41" ht="14.5" x14ac:dyDescent="0.25">
      <c r="A1265" s="110" t="s">
        <v>2152</v>
      </c>
      <c r="B1265" s="91" t="s">
        <v>3469</v>
      </c>
      <c r="C1265" s="137" t="s">
        <v>2147</v>
      </c>
      <c r="D1265" s="206" t="s">
        <v>2148</v>
      </c>
      <c r="E1265" s="135" t="s">
        <v>287</v>
      </c>
      <c r="F1265" s="135" t="s">
        <v>0</v>
      </c>
      <c r="G1265" s="58" t="s">
        <v>2153</v>
      </c>
      <c r="H1265" s="137">
        <v>320</v>
      </c>
      <c r="I1265" s="137" t="s">
        <v>2116</v>
      </c>
      <c r="J1265" s="137" t="s">
        <v>2117</v>
      </c>
      <c r="K1265" s="206" t="s">
        <v>13</v>
      </c>
      <c r="L1265" s="93" t="s">
        <v>2153</v>
      </c>
      <c r="M1265" s="207" t="s">
        <v>3477</v>
      </c>
      <c r="N1265" s="95" t="s">
        <v>3107</v>
      </c>
      <c r="O1265" s="208">
        <v>20</v>
      </c>
      <c r="P1265" s="109">
        <f>5.51/91*O1265</f>
        <v>1.2109890109890109</v>
      </c>
      <c r="Q1265" s="208" t="s">
        <v>3392</v>
      </c>
      <c r="R1265" s="137">
        <f t="shared" si="297"/>
        <v>888</v>
      </c>
      <c r="S1265" s="106"/>
      <c r="T1265" s="141">
        <f t="shared" si="298"/>
        <v>39.285714285714285</v>
      </c>
      <c r="U1265" s="209">
        <f t="shared" si="296"/>
        <v>1114.643956043956</v>
      </c>
      <c r="V1265" s="100">
        <f t="shared" si="294"/>
        <v>3.4832623626373627</v>
      </c>
      <c r="W1265" s="101">
        <f t="shared" si="295"/>
        <v>0.49760890894819465</v>
      </c>
      <c r="X1265" s="95"/>
      <c r="Y1265" s="95"/>
      <c r="Z1265" s="102"/>
      <c r="AA1265" s="103">
        <v>45954</v>
      </c>
      <c r="AB1265" s="118">
        <v>45976</v>
      </c>
      <c r="AC1265" s="103"/>
      <c r="AD1265" s="104">
        <f>IF(ISNA(VLOOKUP(D1265,亚马逊入库配置费!B:F,5,0)),0,VLOOKUP(D1265,亚马逊入库配置费!B:F,5,0))</f>
        <v>0.49</v>
      </c>
      <c r="AE1265" s="104">
        <f t="shared" si="290"/>
        <v>156.80000000000001</v>
      </c>
      <c r="AF1265" s="103">
        <v>45993</v>
      </c>
      <c r="AG1265" s="90">
        <f t="shared" si="291"/>
        <v>39</v>
      </c>
      <c r="AH1265" s="103">
        <v>45993</v>
      </c>
      <c r="AI1265" s="103">
        <v>46028</v>
      </c>
      <c r="AJ1265" s="96">
        <v>320</v>
      </c>
      <c r="AK1265" s="91">
        <f t="shared" si="292"/>
        <v>35</v>
      </c>
      <c r="AL1265" s="96">
        <f t="shared" si="293"/>
        <v>74</v>
      </c>
      <c r="AM1265" s="92"/>
      <c r="AN1265" s="91"/>
      <c r="AO1265" s="91"/>
    </row>
    <row r="1266" spans="1:41" ht="14.5" x14ac:dyDescent="0.25">
      <c r="A1266" s="110" t="s">
        <v>2154</v>
      </c>
      <c r="B1266" s="91"/>
      <c r="C1266" s="135" t="s">
        <v>2131</v>
      </c>
      <c r="D1266" s="187" t="s">
        <v>2155</v>
      </c>
      <c r="E1266" s="135" t="s">
        <v>97</v>
      </c>
      <c r="F1266" s="135" t="s">
        <v>0</v>
      </c>
      <c r="G1266" s="58" t="s">
        <v>1332</v>
      </c>
      <c r="H1266" s="135">
        <v>1236</v>
      </c>
      <c r="I1266" s="135" t="s">
        <v>89</v>
      </c>
      <c r="J1266" s="135" t="s">
        <v>8</v>
      </c>
      <c r="K1266" s="187" t="s">
        <v>13</v>
      </c>
      <c r="L1266" s="93" t="s">
        <v>1332</v>
      </c>
      <c r="M1266" s="94" t="s">
        <v>3443</v>
      </c>
      <c r="N1266" s="95" t="s">
        <v>3099</v>
      </c>
      <c r="O1266" s="189">
        <v>103</v>
      </c>
      <c r="P1266" s="97">
        <v>1501.0629370629399</v>
      </c>
      <c r="Q1266" s="189" t="s">
        <v>16</v>
      </c>
      <c r="R1266" s="135">
        <v>5</v>
      </c>
      <c r="S1266" s="95"/>
      <c r="T1266" s="98">
        <v>128.75</v>
      </c>
      <c r="U1266" s="186">
        <f t="shared" si="296"/>
        <v>7634.0646853146991</v>
      </c>
      <c r="V1266" s="100">
        <f t="shared" si="294"/>
        <v>6.1764277389277504</v>
      </c>
      <c r="W1266" s="101">
        <f t="shared" si="295"/>
        <v>0.88234681984682151</v>
      </c>
      <c r="X1266" s="95"/>
      <c r="Y1266" s="95"/>
      <c r="Z1266" s="102"/>
      <c r="AA1266" s="103">
        <v>45954</v>
      </c>
      <c r="AB1266" s="118">
        <v>45978</v>
      </c>
      <c r="AC1266" s="103"/>
      <c r="AD1266" s="104">
        <f>IF(ISNA(VLOOKUP(D1266,亚马逊入库配置费!B:F,5,0)),0,VLOOKUP(D1266,亚马逊入库配置费!B:F,5,0))</f>
        <v>0.49</v>
      </c>
      <c r="AE1266" s="104">
        <f t="shared" si="290"/>
        <v>605.64</v>
      </c>
      <c r="AF1266" s="103">
        <v>45988</v>
      </c>
      <c r="AG1266" s="90">
        <f t="shared" si="291"/>
        <v>34</v>
      </c>
      <c r="AH1266" s="103">
        <v>45988</v>
      </c>
      <c r="AI1266" s="103">
        <v>46024</v>
      </c>
      <c r="AJ1266" s="96">
        <v>1187</v>
      </c>
      <c r="AK1266" s="91">
        <f t="shared" si="292"/>
        <v>36</v>
      </c>
      <c r="AL1266" s="96">
        <f t="shared" si="293"/>
        <v>70</v>
      </c>
      <c r="AM1266" s="92"/>
      <c r="AN1266" s="91"/>
      <c r="AO1266" s="91"/>
    </row>
    <row r="1267" spans="1:41" ht="14.5" x14ac:dyDescent="0.25">
      <c r="A1267" s="110" t="s">
        <v>2156</v>
      </c>
      <c r="B1267" s="91"/>
      <c r="C1267" s="135" t="s">
        <v>2131</v>
      </c>
      <c r="D1267" s="187" t="s">
        <v>2155</v>
      </c>
      <c r="E1267" s="135" t="s">
        <v>97</v>
      </c>
      <c r="F1267" s="135" t="s">
        <v>0</v>
      </c>
      <c r="G1267" s="58" t="s">
        <v>93</v>
      </c>
      <c r="H1267" s="135">
        <v>480</v>
      </c>
      <c r="I1267" s="135" t="s">
        <v>89</v>
      </c>
      <c r="J1267" s="135" t="s">
        <v>8</v>
      </c>
      <c r="K1267" s="187" t="s">
        <v>13</v>
      </c>
      <c r="L1267" s="93" t="s">
        <v>3015</v>
      </c>
      <c r="M1267" s="94" t="s">
        <v>3288</v>
      </c>
      <c r="N1267" s="95" t="s">
        <v>2821</v>
      </c>
      <c r="O1267" s="189">
        <v>40</v>
      </c>
      <c r="P1267" s="97">
        <v>582.93706293706305</v>
      </c>
      <c r="Q1267" s="189" t="s">
        <v>16</v>
      </c>
      <c r="R1267" s="135">
        <v>5</v>
      </c>
      <c r="S1267" s="95"/>
      <c r="T1267" s="98">
        <v>50</v>
      </c>
      <c r="U1267" s="186">
        <f t="shared" si="296"/>
        <v>2964.6853146853155</v>
      </c>
      <c r="V1267" s="100">
        <f t="shared" si="294"/>
        <v>6.1764277389277407</v>
      </c>
      <c r="W1267" s="101">
        <f t="shared" si="295"/>
        <v>0.88234681984682006</v>
      </c>
      <c r="X1267" s="95"/>
      <c r="Y1267" s="95"/>
      <c r="Z1267" s="102"/>
      <c r="AA1267" s="103">
        <v>45954</v>
      </c>
      <c r="AB1267" s="118">
        <v>45978</v>
      </c>
      <c r="AC1267" s="103"/>
      <c r="AD1267" s="104">
        <f>IF(ISNA(VLOOKUP(D1267,亚马逊入库配置费!B:F,5,0)),0,VLOOKUP(D1267,亚马逊入库配置费!B:F,5,0))</f>
        <v>0.49</v>
      </c>
      <c r="AE1267" s="104">
        <f t="shared" si="290"/>
        <v>235.2</v>
      </c>
      <c r="AF1267" s="103">
        <v>45988</v>
      </c>
      <c r="AG1267" s="90">
        <f t="shared" si="291"/>
        <v>34</v>
      </c>
      <c r="AH1267" s="103">
        <v>45988</v>
      </c>
      <c r="AI1267" s="103">
        <v>46024</v>
      </c>
      <c r="AJ1267" s="96">
        <v>480</v>
      </c>
      <c r="AK1267" s="91">
        <f t="shared" si="292"/>
        <v>36</v>
      </c>
      <c r="AL1267" s="96">
        <f t="shared" si="293"/>
        <v>70</v>
      </c>
      <c r="AM1267" s="92"/>
      <c r="AN1267" s="91"/>
      <c r="AO1267" s="91"/>
    </row>
    <row r="1268" spans="1:41" ht="14.5" x14ac:dyDescent="0.25">
      <c r="A1268" s="110" t="s">
        <v>2157</v>
      </c>
      <c r="B1268" s="91" t="s">
        <v>3469</v>
      </c>
      <c r="C1268" s="137" t="s">
        <v>2158</v>
      </c>
      <c r="D1268" s="206" t="s">
        <v>2159</v>
      </c>
      <c r="E1268" s="135" t="s">
        <v>287</v>
      </c>
      <c r="F1268" s="135" t="s">
        <v>0</v>
      </c>
      <c r="G1268" s="58" t="s">
        <v>282</v>
      </c>
      <c r="H1268" s="137">
        <v>240</v>
      </c>
      <c r="I1268" s="137" t="s">
        <v>2116</v>
      </c>
      <c r="J1268" s="137" t="s">
        <v>2117</v>
      </c>
      <c r="K1268" s="206" t="s">
        <v>12</v>
      </c>
      <c r="L1268" s="93" t="s">
        <v>2783</v>
      </c>
      <c r="M1268" s="207" t="s">
        <v>3478</v>
      </c>
      <c r="N1268" s="95" t="s">
        <v>2785</v>
      </c>
      <c r="O1268" s="208">
        <v>15</v>
      </c>
      <c r="P1268" s="109">
        <f>3.25/50*O1268</f>
        <v>0.97500000000000009</v>
      </c>
      <c r="Q1268" s="208" t="s">
        <v>3392</v>
      </c>
      <c r="R1268" s="137">
        <f>1020-92</f>
        <v>928</v>
      </c>
      <c r="S1268" s="106">
        <v>220</v>
      </c>
      <c r="T1268" s="141">
        <f>220/50*O1268</f>
        <v>66</v>
      </c>
      <c r="U1268" s="209">
        <f t="shared" si="296"/>
        <v>970.80000000000007</v>
      </c>
      <c r="V1268" s="100">
        <f t="shared" si="294"/>
        <v>4.0449999999999999</v>
      </c>
      <c r="W1268" s="101">
        <f t="shared" si="295"/>
        <v>0.57785714285714285</v>
      </c>
      <c r="X1268" s="95"/>
      <c r="Y1268" s="95"/>
      <c r="Z1268" s="102"/>
      <c r="AA1268" s="103">
        <v>45954</v>
      </c>
      <c r="AB1268" s="118">
        <v>45976</v>
      </c>
      <c r="AC1268" s="103"/>
      <c r="AD1268" s="104">
        <f>IF(ISNA(VLOOKUP(D1268,亚马逊入库配置费!B:F,5,0)),0,VLOOKUP(D1268,亚马逊入库配置费!B:F,5,0))</f>
        <v>0</v>
      </c>
      <c r="AE1268" s="104">
        <f t="shared" si="290"/>
        <v>0</v>
      </c>
      <c r="AF1268" s="103">
        <v>45992</v>
      </c>
      <c r="AG1268" s="90">
        <f t="shared" si="291"/>
        <v>38</v>
      </c>
      <c r="AH1268" s="103">
        <v>45992</v>
      </c>
      <c r="AI1268" s="103">
        <v>45992</v>
      </c>
      <c r="AJ1268" s="96"/>
      <c r="AK1268" s="91">
        <f t="shared" si="292"/>
        <v>0</v>
      </c>
      <c r="AL1268" s="96">
        <f t="shared" si="293"/>
        <v>38</v>
      </c>
      <c r="AM1268" s="92"/>
      <c r="AN1268" s="91"/>
      <c r="AO1268" s="91"/>
    </row>
    <row r="1269" spans="1:41" ht="14.5" x14ac:dyDescent="0.25">
      <c r="A1269" s="110" t="s">
        <v>2160</v>
      </c>
      <c r="B1269" s="91" t="s">
        <v>3469</v>
      </c>
      <c r="C1269" s="137" t="s">
        <v>2158</v>
      </c>
      <c r="D1269" s="206" t="s">
        <v>2159</v>
      </c>
      <c r="E1269" s="135" t="s">
        <v>287</v>
      </c>
      <c r="F1269" s="135" t="s">
        <v>0</v>
      </c>
      <c r="G1269" s="58" t="s">
        <v>288</v>
      </c>
      <c r="H1269" s="137">
        <v>80</v>
      </c>
      <c r="I1269" s="137" t="s">
        <v>2116</v>
      </c>
      <c r="J1269" s="137" t="s">
        <v>2117</v>
      </c>
      <c r="K1269" s="206" t="s">
        <v>12</v>
      </c>
      <c r="L1269" s="93" t="s">
        <v>3040</v>
      </c>
      <c r="M1269" s="207" t="s">
        <v>3479</v>
      </c>
      <c r="N1269" s="95" t="s">
        <v>2785</v>
      </c>
      <c r="O1269" s="208">
        <v>5</v>
      </c>
      <c r="P1269" s="109">
        <f>3.25/50*O1269</f>
        <v>0.32500000000000001</v>
      </c>
      <c r="Q1269" s="208" t="s">
        <v>3392</v>
      </c>
      <c r="R1269" s="137">
        <f t="shared" ref="R1269:R1272" si="299">1020-92</f>
        <v>928</v>
      </c>
      <c r="S1269" s="106">
        <f>SUMIF(C:C,C1268,T:T)</f>
        <v>220</v>
      </c>
      <c r="T1269" s="141">
        <f t="shared" ref="T1269:T1272" si="300">220/50*O1269</f>
        <v>22</v>
      </c>
      <c r="U1269" s="209">
        <f t="shared" si="296"/>
        <v>323.60000000000002</v>
      </c>
      <c r="V1269" s="100">
        <f t="shared" si="294"/>
        <v>4.0449999999999999</v>
      </c>
      <c r="W1269" s="101">
        <f t="shared" si="295"/>
        <v>0.57785714285714285</v>
      </c>
      <c r="X1269" s="95"/>
      <c r="Y1269" s="95"/>
      <c r="Z1269" s="102"/>
      <c r="AA1269" s="103">
        <v>45954</v>
      </c>
      <c r="AB1269" s="118">
        <v>45976</v>
      </c>
      <c r="AC1269" s="103"/>
      <c r="AD1269" s="104">
        <f>IF(ISNA(VLOOKUP(D1269,亚马逊入库配置费!B:F,5,0)),0,VLOOKUP(D1269,亚马逊入库配置费!B:F,5,0))</f>
        <v>0</v>
      </c>
      <c r="AE1269" s="104">
        <f t="shared" si="290"/>
        <v>0</v>
      </c>
      <c r="AF1269" s="103">
        <v>45992</v>
      </c>
      <c r="AG1269" s="90">
        <f t="shared" si="291"/>
        <v>38</v>
      </c>
      <c r="AH1269" s="103">
        <v>45992</v>
      </c>
      <c r="AI1269" s="103">
        <v>45992</v>
      </c>
      <c r="AJ1269" s="96"/>
      <c r="AK1269" s="91">
        <f t="shared" si="292"/>
        <v>0</v>
      </c>
      <c r="AL1269" s="96">
        <f t="shared" si="293"/>
        <v>38</v>
      </c>
      <c r="AM1269" s="92"/>
      <c r="AN1269" s="91"/>
      <c r="AO1269" s="91"/>
    </row>
    <row r="1270" spans="1:41" ht="14.5" x14ac:dyDescent="0.25">
      <c r="A1270" s="110" t="s">
        <v>2161</v>
      </c>
      <c r="B1270" s="91" t="s">
        <v>3469</v>
      </c>
      <c r="C1270" s="137" t="s">
        <v>2158</v>
      </c>
      <c r="D1270" s="206" t="s">
        <v>2159</v>
      </c>
      <c r="E1270" s="135" t="s">
        <v>287</v>
      </c>
      <c r="F1270" s="135" t="s">
        <v>0</v>
      </c>
      <c r="G1270" s="58" t="s">
        <v>279</v>
      </c>
      <c r="H1270" s="137">
        <v>160</v>
      </c>
      <c r="I1270" s="137" t="s">
        <v>2116</v>
      </c>
      <c r="J1270" s="137" t="s">
        <v>2117</v>
      </c>
      <c r="K1270" s="206" t="s">
        <v>12</v>
      </c>
      <c r="L1270" s="93" t="s">
        <v>3038</v>
      </c>
      <c r="M1270" s="207" t="s">
        <v>3480</v>
      </c>
      <c r="N1270" s="95" t="s">
        <v>2785</v>
      </c>
      <c r="O1270" s="208">
        <v>10</v>
      </c>
      <c r="P1270" s="109">
        <f>3.25/50*O1270</f>
        <v>0.65</v>
      </c>
      <c r="Q1270" s="208" t="s">
        <v>3392</v>
      </c>
      <c r="R1270" s="137">
        <f t="shared" si="299"/>
        <v>928</v>
      </c>
      <c r="S1270" s="106"/>
      <c r="T1270" s="141">
        <f t="shared" si="300"/>
        <v>44</v>
      </c>
      <c r="U1270" s="209">
        <f t="shared" si="296"/>
        <v>647.20000000000005</v>
      </c>
      <c r="V1270" s="100">
        <f t="shared" si="294"/>
        <v>4.0449999999999999</v>
      </c>
      <c r="W1270" s="101">
        <f t="shared" si="295"/>
        <v>0.57785714285714285</v>
      </c>
      <c r="X1270" s="95"/>
      <c r="Y1270" s="95"/>
      <c r="Z1270" s="102"/>
      <c r="AA1270" s="103">
        <v>45954</v>
      </c>
      <c r="AB1270" s="118">
        <v>45976</v>
      </c>
      <c r="AC1270" s="103"/>
      <c r="AD1270" s="104">
        <f>IF(ISNA(VLOOKUP(D1270,亚马逊入库配置费!B:F,5,0)),0,VLOOKUP(D1270,亚马逊入库配置费!B:F,5,0))</f>
        <v>0</v>
      </c>
      <c r="AE1270" s="104">
        <f t="shared" si="290"/>
        <v>0</v>
      </c>
      <c r="AF1270" s="103">
        <v>45992</v>
      </c>
      <c r="AG1270" s="90">
        <f t="shared" si="291"/>
        <v>38</v>
      </c>
      <c r="AH1270" s="103">
        <v>45992</v>
      </c>
      <c r="AI1270" s="103">
        <v>45992</v>
      </c>
      <c r="AJ1270" s="96"/>
      <c r="AK1270" s="91">
        <f t="shared" si="292"/>
        <v>0</v>
      </c>
      <c r="AL1270" s="96">
        <f t="shared" si="293"/>
        <v>38</v>
      </c>
      <c r="AM1270" s="92"/>
      <c r="AN1270" s="91"/>
      <c r="AO1270" s="91"/>
    </row>
    <row r="1271" spans="1:41" ht="14.5" x14ac:dyDescent="0.25">
      <c r="A1271" s="110" t="s">
        <v>2162</v>
      </c>
      <c r="B1271" s="91" t="s">
        <v>3469</v>
      </c>
      <c r="C1271" s="137" t="s">
        <v>2158</v>
      </c>
      <c r="D1271" s="206" t="s">
        <v>2159</v>
      </c>
      <c r="E1271" s="135" t="s">
        <v>287</v>
      </c>
      <c r="F1271" s="135" t="s">
        <v>0</v>
      </c>
      <c r="G1271" s="58" t="s">
        <v>663</v>
      </c>
      <c r="H1271" s="137">
        <v>80</v>
      </c>
      <c r="I1271" s="137" t="s">
        <v>2116</v>
      </c>
      <c r="J1271" s="137" t="s">
        <v>2117</v>
      </c>
      <c r="K1271" s="206" t="s">
        <v>12</v>
      </c>
      <c r="L1271" s="93" t="s">
        <v>3080</v>
      </c>
      <c r="M1271" s="207" t="s">
        <v>3481</v>
      </c>
      <c r="N1271" s="95" t="s">
        <v>2915</v>
      </c>
      <c r="O1271" s="208">
        <v>5</v>
      </c>
      <c r="P1271" s="109">
        <f>3.25/50*O1271</f>
        <v>0.32500000000000001</v>
      </c>
      <c r="Q1271" s="208" t="s">
        <v>3392</v>
      </c>
      <c r="R1271" s="137">
        <f t="shared" si="299"/>
        <v>928</v>
      </c>
      <c r="S1271" s="106"/>
      <c r="T1271" s="141">
        <f t="shared" si="300"/>
        <v>22</v>
      </c>
      <c r="U1271" s="209">
        <f t="shared" si="296"/>
        <v>323.60000000000002</v>
      </c>
      <c r="V1271" s="100">
        <f t="shared" si="294"/>
        <v>4.0449999999999999</v>
      </c>
      <c r="W1271" s="101">
        <f t="shared" si="295"/>
        <v>0.57785714285714285</v>
      </c>
      <c r="X1271" s="95"/>
      <c r="Y1271" s="95"/>
      <c r="Z1271" s="102"/>
      <c r="AA1271" s="103">
        <v>45954</v>
      </c>
      <c r="AB1271" s="118">
        <v>45976</v>
      </c>
      <c r="AC1271" s="103"/>
      <c r="AD1271" s="104">
        <f>IF(ISNA(VLOOKUP(D1271,亚马逊入库配置费!B:F,5,0)),0,VLOOKUP(D1271,亚马逊入库配置费!B:F,5,0))</f>
        <v>0</v>
      </c>
      <c r="AE1271" s="104">
        <f t="shared" si="290"/>
        <v>0</v>
      </c>
      <c r="AF1271" s="103">
        <v>45992</v>
      </c>
      <c r="AG1271" s="90">
        <f t="shared" si="291"/>
        <v>38</v>
      </c>
      <c r="AH1271" s="103">
        <v>45992</v>
      </c>
      <c r="AI1271" s="103">
        <v>45992</v>
      </c>
      <c r="AJ1271" s="96"/>
      <c r="AK1271" s="91">
        <f t="shared" si="292"/>
        <v>0</v>
      </c>
      <c r="AL1271" s="96">
        <f t="shared" si="293"/>
        <v>38</v>
      </c>
      <c r="AM1271" s="92"/>
      <c r="AN1271" s="91"/>
      <c r="AO1271" s="91"/>
    </row>
    <row r="1272" spans="1:41" ht="14.5" x14ac:dyDescent="0.25">
      <c r="A1272" s="110" t="s">
        <v>2163</v>
      </c>
      <c r="B1272" s="91" t="s">
        <v>3469</v>
      </c>
      <c r="C1272" s="137" t="s">
        <v>2158</v>
      </c>
      <c r="D1272" s="206" t="s">
        <v>2159</v>
      </c>
      <c r="E1272" s="135" t="s">
        <v>287</v>
      </c>
      <c r="F1272" s="135" t="s">
        <v>0</v>
      </c>
      <c r="G1272" s="58" t="s">
        <v>556</v>
      </c>
      <c r="H1272" s="137">
        <v>240</v>
      </c>
      <c r="I1272" s="137" t="s">
        <v>2116</v>
      </c>
      <c r="J1272" s="137" t="s">
        <v>2117</v>
      </c>
      <c r="K1272" s="206" t="s">
        <v>12</v>
      </c>
      <c r="L1272" s="93" t="s">
        <v>3073</v>
      </c>
      <c r="M1272" s="207" t="s">
        <v>3482</v>
      </c>
      <c r="N1272" s="95" t="s">
        <v>2915</v>
      </c>
      <c r="O1272" s="208">
        <v>15</v>
      </c>
      <c r="P1272" s="109">
        <f>3.25/50*O1272</f>
        <v>0.97500000000000009</v>
      </c>
      <c r="Q1272" s="208" t="s">
        <v>3392</v>
      </c>
      <c r="R1272" s="137">
        <f t="shared" si="299"/>
        <v>928</v>
      </c>
      <c r="S1272" s="106"/>
      <c r="T1272" s="141">
        <f t="shared" si="300"/>
        <v>66</v>
      </c>
      <c r="U1272" s="209">
        <f t="shared" si="296"/>
        <v>970.80000000000007</v>
      </c>
      <c r="V1272" s="100">
        <f t="shared" si="294"/>
        <v>4.0449999999999999</v>
      </c>
      <c r="W1272" s="101">
        <f t="shared" si="295"/>
        <v>0.57785714285714285</v>
      </c>
      <c r="X1272" s="95"/>
      <c r="Y1272" s="95"/>
      <c r="Z1272" s="102"/>
      <c r="AA1272" s="103">
        <v>45954</v>
      </c>
      <c r="AB1272" s="118">
        <v>45976</v>
      </c>
      <c r="AC1272" s="103"/>
      <c r="AD1272" s="104">
        <f>IF(ISNA(VLOOKUP(D1272,亚马逊入库配置费!B:F,5,0)),0,VLOOKUP(D1272,亚马逊入库配置费!B:F,5,0))</f>
        <v>0</v>
      </c>
      <c r="AE1272" s="104">
        <f t="shared" si="290"/>
        <v>0</v>
      </c>
      <c r="AF1272" s="103">
        <v>45992</v>
      </c>
      <c r="AG1272" s="90">
        <f t="shared" si="291"/>
        <v>38</v>
      </c>
      <c r="AH1272" s="103">
        <v>45992</v>
      </c>
      <c r="AI1272" s="103">
        <v>45992</v>
      </c>
      <c r="AJ1272" s="96"/>
      <c r="AK1272" s="91">
        <f t="shared" si="292"/>
        <v>0</v>
      </c>
      <c r="AL1272" s="96">
        <f t="shared" si="293"/>
        <v>38</v>
      </c>
      <c r="AM1272" s="92"/>
      <c r="AN1272" s="91"/>
      <c r="AO1272" s="91"/>
    </row>
    <row r="1273" spans="1:41" ht="14.5" x14ac:dyDescent="0.25">
      <c r="A1273" s="110" t="s">
        <v>2164</v>
      </c>
      <c r="B1273" s="91" t="s">
        <v>3469</v>
      </c>
      <c r="C1273" s="137" t="s">
        <v>2147</v>
      </c>
      <c r="D1273" s="206" t="s">
        <v>2165</v>
      </c>
      <c r="E1273" s="135" t="s">
        <v>287</v>
      </c>
      <c r="F1273" s="135" t="s">
        <v>0</v>
      </c>
      <c r="G1273" s="58" t="s">
        <v>779</v>
      </c>
      <c r="H1273" s="137">
        <v>272</v>
      </c>
      <c r="I1273" s="137" t="s">
        <v>2116</v>
      </c>
      <c r="J1273" s="137" t="s">
        <v>2117</v>
      </c>
      <c r="K1273" s="206" t="s">
        <v>13</v>
      </c>
      <c r="L1273" s="93" t="s">
        <v>3083</v>
      </c>
      <c r="M1273" s="207" t="s">
        <v>3483</v>
      </c>
      <c r="N1273" s="95" t="s">
        <v>2793</v>
      </c>
      <c r="O1273" s="208">
        <v>17</v>
      </c>
      <c r="P1273" s="109">
        <f>1.38/21*O1273</f>
        <v>1.117142857142857</v>
      </c>
      <c r="Q1273" s="208" t="s">
        <v>3392</v>
      </c>
      <c r="R1273" s="137">
        <f>980-92</f>
        <v>888</v>
      </c>
      <c r="S1273" s="106"/>
      <c r="T1273" s="141">
        <f t="shared" ref="T1273:T1274" si="301">220/112*O1273</f>
        <v>33.392857142857139</v>
      </c>
      <c r="U1273" s="209">
        <f t="shared" si="296"/>
        <v>1025.4157142857141</v>
      </c>
      <c r="V1273" s="100">
        <f t="shared" si="294"/>
        <v>3.7699107142857136</v>
      </c>
      <c r="W1273" s="101">
        <f t="shared" si="295"/>
        <v>0.53855867346938768</v>
      </c>
      <c r="X1273" s="95"/>
      <c r="Y1273" s="95"/>
      <c r="Z1273" s="102"/>
      <c r="AA1273" s="103">
        <v>45954</v>
      </c>
      <c r="AB1273" s="118">
        <v>45976</v>
      </c>
      <c r="AC1273" s="103"/>
      <c r="AD1273" s="104">
        <f>IF(ISNA(VLOOKUP(D1273,亚马逊入库配置费!B:F,5,0)),0,VLOOKUP(D1273,亚马逊入库配置费!B:F,5,0))</f>
        <v>0.49</v>
      </c>
      <c r="AE1273" s="104">
        <f t="shared" si="290"/>
        <v>133.28</v>
      </c>
      <c r="AF1273" s="103">
        <v>45993</v>
      </c>
      <c r="AG1273" s="90">
        <f t="shared" si="291"/>
        <v>39</v>
      </c>
      <c r="AH1273" s="103">
        <v>45993</v>
      </c>
      <c r="AI1273" s="103">
        <v>46023</v>
      </c>
      <c r="AJ1273" s="96">
        <v>271</v>
      </c>
      <c r="AK1273" s="91">
        <f t="shared" si="292"/>
        <v>30</v>
      </c>
      <c r="AL1273" s="96">
        <f t="shared" si="293"/>
        <v>69</v>
      </c>
      <c r="AM1273" s="92"/>
      <c r="AN1273" s="91"/>
      <c r="AO1273" s="91"/>
    </row>
    <row r="1274" spans="1:41" ht="14.5" x14ac:dyDescent="0.25">
      <c r="A1274" s="110" t="s">
        <v>2166</v>
      </c>
      <c r="B1274" s="91" t="s">
        <v>3469</v>
      </c>
      <c r="C1274" s="137" t="s">
        <v>2147</v>
      </c>
      <c r="D1274" s="206" t="s">
        <v>2165</v>
      </c>
      <c r="E1274" s="135" t="s">
        <v>287</v>
      </c>
      <c r="F1274" s="135" t="s">
        <v>0</v>
      </c>
      <c r="G1274" s="58" t="s">
        <v>551</v>
      </c>
      <c r="H1274" s="137">
        <v>64</v>
      </c>
      <c r="I1274" s="137" t="s">
        <v>2116</v>
      </c>
      <c r="J1274" s="137" t="s">
        <v>2117</v>
      </c>
      <c r="K1274" s="206" t="s">
        <v>13</v>
      </c>
      <c r="L1274" s="93" t="s">
        <v>3072</v>
      </c>
      <c r="M1274" s="207" t="s">
        <v>3484</v>
      </c>
      <c r="N1274" s="95" t="s">
        <v>2793</v>
      </c>
      <c r="O1274" s="208">
        <v>4</v>
      </c>
      <c r="P1274" s="109">
        <f>1.38/21*O1274</f>
        <v>0.26285714285714284</v>
      </c>
      <c r="Q1274" s="208" t="s">
        <v>3392</v>
      </c>
      <c r="R1274" s="137">
        <f>980-92</f>
        <v>888</v>
      </c>
      <c r="S1274" s="106"/>
      <c r="T1274" s="141">
        <f t="shared" si="301"/>
        <v>7.8571428571428568</v>
      </c>
      <c r="U1274" s="209">
        <f t="shared" si="296"/>
        <v>241.2742857142857</v>
      </c>
      <c r="V1274" s="100">
        <f t="shared" si="294"/>
        <v>3.769910714285714</v>
      </c>
      <c r="W1274" s="101">
        <f t="shared" si="295"/>
        <v>0.53855867346938768</v>
      </c>
      <c r="X1274" s="95"/>
      <c r="Y1274" s="95"/>
      <c r="Z1274" s="102"/>
      <c r="AA1274" s="103">
        <v>45954</v>
      </c>
      <c r="AB1274" s="118">
        <v>45976</v>
      </c>
      <c r="AC1274" s="103"/>
      <c r="AD1274" s="104">
        <f>IF(ISNA(VLOOKUP(D1274,亚马逊入库配置费!B:F,5,0)),0,VLOOKUP(D1274,亚马逊入库配置费!B:F,5,0))</f>
        <v>0.49</v>
      </c>
      <c r="AE1274" s="104">
        <f t="shared" si="290"/>
        <v>31.36</v>
      </c>
      <c r="AF1274" s="103">
        <v>45993</v>
      </c>
      <c r="AG1274" s="90">
        <f t="shared" si="291"/>
        <v>39</v>
      </c>
      <c r="AH1274" s="103">
        <v>45993</v>
      </c>
      <c r="AI1274" s="103">
        <v>46023</v>
      </c>
      <c r="AJ1274" s="96">
        <v>64</v>
      </c>
      <c r="AK1274" s="91">
        <f t="shared" si="292"/>
        <v>30</v>
      </c>
      <c r="AL1274" s="96">
        <f t="shared" si="293"/>
        <v>69</v>
      </c>
      <c r="AM1274" s="92"/>
      <c r="AN1274" s="91"/>
      <c r="AO1274" s="91"/>
    </row>
    <row r="1275" spans="1:41" ht="14.5" x14ac:dyDescent="0.25">
      <c r="A1275" s="110" t="s">
        <v>2167</v>
      </c>
      <c r="B1275" s="91"/>
      <c r="C1275" s="135" t="s">
        <v>2168</v>
      </c>
      <c r="D1275" s="187" t="s">
        <v>2169</v>
      </c>
      <c r="E1275" s="135" t="s">
        <v>97</v>
      </c>
      <c r="F1275" s="135" t="s">
        <v>0</v>
      </c>
      <c r="G1275" s="58" t="s">
        <v>2170</v>
      </c>
      <c r="H1275" s="135">
        <v>352</v>
      </c>
      <c r="I1275" s="135" t="s">
        <v>89</v>
      </c>
      <c r="J1275" s="135" t="s">
        <v>8</v>
      </c>
      <c r="K1275" s="187" t="s">
        <v>9</v>
      </c>
      <c r="L1275" s="93" t="s">
        <v>2170</v>
      </c>
      <c r="M1275" s="94" t="s">
        <v>3485</v>
      </c>
      <c r="N1275" s="95" t="s">
        <v>2985</v>
      </c>
      <c r="O1275" s="189">
        <v>11</v>
      </c>
      <c r="P1275" s="97">
        <v>167.11538461538501</v>
      </c>
      <c r="Q1275" s="185" t="s">
        <v>1443</v>
      </c>
      <c r="R1275" s="137">
        <v>3.5</v>
      </c>
      <c r="S1275" s="95">
        <v>350</v>
      </c>
      <c r="T1275" s="98">
        <v>23.3333333333333</v>
      </c>
      <c r="U1275" s="186">
        <f t="shared" si="296"/>
        <v>608.23717948718081</v>
      </c>
      <c r="V1275" s="100">
        <f t="shared" si="294"/>
        <v>1.7279465326340364</v>
      </c>
      <c r="W1275" s="101">
        <f t="shared" si="295"/>
        <v>0.2468495046620052</v>
      </c>
      <c r="X1275" s="95"/>
      <c r="Y1275" s="95"/>
      <c r="Z1275" s="102"/>
      <c r="AA1275" s="103">
        <v>45961</v>
      </c>
      <c r="AB1275" s="103">
        <v>45983</v>
      </c>
      <c r="AC1275" s="103"/>
      <c r="AD1275" s="104">
        <f>IF(ISNA(VLOOKUP(D1275,亚马逊入库配置费!B:F,5,0)),0,VLOOKUP(D1275,亚马逊入库配置费!B:F,5,0))</f>
        <v>0.41</v>
      </c>
      <c r="AE1275" s="104">
        <f t="shared" si="290"/>
        <v>144.32</v>
      </c>
      <c r="AF1275" s="103">
        <v>46005</v>
      </c>
      <c r="AG1275" s="90">
        <f t="shared" si="291"/>
        <v>44</v>
      </c>
      <c r="AH1275" s="103">
        <v>46005</v>
      </c>
      <c r="AI1275" s="103">
        <v>46036</v>
      </c>
      <c r="AJ1275" s="96">
        <v>352</v>
      </c>
      <c r="AK1275" s="91">
        <f t="shared" si="292"/>
        <v>31</v>
      </c>
      <c r="AL1275" s="96">
        <f t="shared" si="293"/>
        <v>75</v>
      </c>
      <c r="AM1275" s="92"/>
      <c r="AN1275" s="91"/>
      <c r="AO1275" s="91"/>
    </row>
    <row r="1276" spans="1:41" ht="14.5" x14ac:dyDescent="0.25">
      <c r="A1276" s="110" t="s">
        <v>2171</v>
      </c>
      <c r="B1276" s="91"/>
      <c r="C1276" s="135" t="s">
        <v>2168</v>
      </c>
      <c r="D1276" s="187" t="s">
        <v>2169</v>
      </c>
      <c r="E1276" s="135" t="s">
        <v>97</v>
      </c>
      <c r="F1276" s="135" t="s">
        <v>0</v>
      </c>
      <c r="G1276" s="58" t="s">
        <v>2172</v>
      </c>
      <c r="H1276" s="135">
        <v>480</v>
      </c>
      <c r="I1276" s="135" t="s">
        <v>89</v>
      </c>
      <c r="J1276" s="135" t="s">
        <v>8</v>
      </c>
      <c r="K1276" s="187" t="s">
        <v>9</v>
      </c>
      <c r="L1276" s="93" t="s">
        <v>2172</v>
      </c>
      <c r="M1276" s="94" t="s">
        <v>3486</v>
      </c>
      <c r="N1276" s="95" t="s">
        <v>2985</v>
      </c>
      <c r="O1276" s="189">
        <v>15</v>
      </c>
      <c r="P1276" s="97">
        <v>227.88461538461499</v>
      </c>
      <c r="Q1276" s="185" t="s">
        <v>1443</v>
      </c>
      <c r="R1276" s="137">
        <v>3.5</v>
      </c>
      <c r="S1276" s="106">
        <f>SUMIF(C:C,C1275,T:T)</f>
        <v>350.00000000000034</v>
      </c>
      <c r="T1276" s="98">
        <v>31.818181818181799</v>
      </c>
      <c r="U1276" s="186">
        <f t="shared" si="296"/>
        <v>829.4143356643342</v>
      </c>
      <c r="V1276" s="100">
        <f t="shared" si="294"/>
        <v>1.7279465326340295</v>
      </c>
      <c r="W1276" s="101">
        <f t="shared" si="295"/>
        <v>0.24684950466200423</v>
      </c>
      <c r="X1276" s="95"/>
      <c r="Y1276" s="95"/>
      <c r="Z1276" s="102"/>
      <c r="AA1276" s="103">
        <v>45961</v>
      </c>
      <c r="AB1276" s="103">
        <v>45983</v>
      </c>
      <c r="AC1276" s="103"/>
      <c r="AD1276" s="104">
        <f>IF(ISNA(VLOOKUP(D1276,亚马逊入库配置费!B:F,5,0)),0,VLOOKUP(D1276,亚马逊入库配置费!B:F,5,0))</f>
        <v>0.41</v>
      </c>
      <c r="AE1276" s="104">
        <f t="shared" si="290"/>
        <v>196.79999999999998</v>
      </c>
      <c r="AF1276" s="103">
        <v>46005</v>
      </c>
      <c r="AG1276" s="90">
        <f t="shared" si="291"/>
        <v>44</v>
      </c>
      <c r="AH1276" s="103">
        <v>46005</v>
      </c>
      <c r="AI1276" s="103">
        <v>46036</v>
      </c>
      <c r="AJ1276" s="96">
        <v>480</v>
      </c>
      <c r="AK1276" s="91">
        <f t="shared" si="292"/>
        <v>31</v>
      </c>
      <c r="AL1276" s="96">
        <f t="shared" si="293"/>
        <v>75</v>
      </c>
      <c r="AM1276" s="92"/>
      <c r="AN1276" s="91"/>
      <c r="AO1276" s="91"/>
    </row>
    <row r="1277" spans="1:41" ht="14.5" x14ac:dyDescent="0.25">
      <c r="A1277" s="110" t="s">
        <v>2173</v>
      </c>
      <c r="B1277" s="91"/>
      <c r="C1277" s="135" t="s">
        <v>2168</v>
      </c>
      <c r="D1277" s="187" t="s">
        <v>2174</v>
      </c>
      <c r="E1277" s="135" t="s">
        <v>97</v>
      </c>
      <c r="F1277" s="135" t="s">
        <v>0</v>
      </c>
      <c r="G1277" s="58" t="s">
        <v>1501</v>
      </c>
      <c r="H1277" s="135">
        <v>156</v>
      </c>
      <c r="I1277" s="135" t="s">
        <v>89</v>
      </c>
      <c r="J1277" s="135" t="s">
        <v>8</v>
      </c>
      <c r="K1277" s="187" t="s">
        <v>9</v>
      </c>
      <c r="L1277" s="93" t="s">
        <v>1501</v>
      </c>
      <c r="M1277" s="94" t="s">
        <v>3448</v>
      </c>
      <c r="N1277" s="95" t="s">
        <v>3099</v>
      </c>
      <c r="O1277" s="189">
        <v>13</v>
      </c>
      <c r="P1277" s="97">
        <v>224.30158730158701</v>
      </c>
      <c r="Q1277" s="185" t="s">
        <v>1443</v>
      </c>
      <c r="R1277" s="135">
        <v>4.7</v>
      </c>
      <c r="S1277" s="95"/>
      <c r="T1277" s="98">
        <v>27.575757575757599</v>
      </c>
      <c r="U1277" s="186">
        <f t="shared" si="296"/>
        <v>1081.7932178932165</v>
      </c>
      <c r="V1277" s="100">
        <f t="shared" si="294"/>
        <v>6.9345719095719005</v>
      </c>
      <c r="W1277" s="101">
        <f t="shared" si="295"/>
        <v>0.99065312993884291</v>
      </c>
      <c r="X1277" s="95"/>
      <c r="Y1277" s="95"/>
      <c r="Z1277" s="102"/>
      <c r="AA1277" s="103">
        <v>45961</v>
      </c>
      <c r="AB1277" s="103">
        <v>45983</v>
      </c>
      <c r="AC1277" s="103"/>
      <c r="AD1277" s="104">
        <f>IF(ISNA(VLOOKUP(D1277,亚马逊入库配置费!B:F,5,0)),0,VLOOKUP(D1277,亚马逊入库配置费!B:F,5,0))</f>
        <v>0.49</v>
      </c>
      <c r="AE1277" s="104">
        <f t="shared" si="290"/>
        <v>76.44</v>
      </c>
      <c r="AF1277" s="103">
        <v>46000</v>
      </c>
      <c r="AG1277" s="90">
        <f t="shared" si="291"/>
        <v>39</v>
      </c>
      <c r="AH1277" s="103">
        <v>46000</v>
      </c>
      <c r="AI1277" s="103">
        <v>46032</v>
      </c>
      <c r="AJ1277" s="96">
        <v>156</v>
      </c>
      <c r="AK1277" s="91">
        <f t="shared" si="292"/>
        <v>32</v>
      </c>
      <c r="AL1277" s="96">
        <f t="shared" si="293"/>
        <v>71</v>
      </c>
      <c r="AM1277" s="92"/>
      <c r="AN1277" s="91"/>
      <c r="AO1277" s="91"/>
    </row>
    <row r="1278" spans="1:41" ht="14.5" x14ac:dyDescent="0.25">
      <c r="A1278" s="110" t="s">
        <v>2175</v>
      </c>
      <c r="B1278" s="91"/>
      <c r="C1278" s="135" t="s">
        <v>2168</v>
      </c>
      <c r="D1278" s="187" t="s">
        <v>2174</v>
      </c>
      <c r="E1278" s="135" t="s">
        <v>97</v>
      </c>
      <c r="F1278" s="135" t="s">
        <v>0</v>
      </c>
      <c r="G1278" s="58" t="s">
        <v>1503</v>
      </c>
      <c r="H1278" s="135">
        <v>204</v>
      </c>
      <c r="I1278" s="135" t="s">
        <v>89</v>
      </c>
      <c r="J1278" s="135" t="s">
        <v>8</v>
      </c>
      <c r="K1278" s="187" t="s">
        <v>9</v>
      </c>
      <c r="L1278" s="93" t="s">
        <v>1503</v>
      </c>
      <c r="M1278" s="94" t="s">
        <v>3449</v>
      </c>
      <c r="N1278" s="95" t="s">
        <v>3099</v>
      </c>
      <c r="O1278" s="189">
        <v>17</v>
      </c>
      <c r="P1278" s="97">
        <v>293.31746031746002</v>
      </c>
      <c r="Q1278" s="185" t="s">
        <v>1443</v>
      </c>
      <c r="R1278" s="135">
        <v>4.7</v>
      </c>
      <c r="S1278" s="95"/>
      <c r="T1278" s="98">
        <v>36.060606060606098</v>
      </c>
      <c r="U1278" s="186">
        <f t="shared" si="296"/>
        <v>1414.6526695526682</v>
      </c>
      <c r="V1278" s="100">
        <f t="shared" si="294"/>
        <v>6.9345719095719032</v>
      </c>
      <c r="W1278" s="101">
        <f t="shared" si="295"/>
        <v>0.99065312993884336</v>
      </c>
      <c r="X1278" s="95"/>
      <c r="Y1278" s="95"/>
      <c r="Z1278" s="102"/>
      <c r="AA1278" s="103">
        <v>45961</v>
      </c>
      <c r="AB1278" s="103">
        <v>45983</v>
      </c>
      <c r="AC1278" s="103"/>
      <c r="AD1278" s="104">
        <f>IF(ISNA(VLOOKUP(D1278,亚马逊入库配置费!B:F,5,0)),0,VLOOKUP(D1278,亚马逊入库配置费!B:F,5,0))</f>
        <v>0.49</v>
      </c>
      <c r="AE1278" s="104">
        <f t="shared" si="290"/>
        <v>99.96</v>
      </c>
      <c r="AF1278" s="103">
        <v>46000</v>
      </c>
      <c r="AG1278" s="90">
        <f t="shared" si="291"/>
        <v>39</v>
      </c>
      <c r="AH1278" s="103">
        <v>46000</v>
      </c>
      <c r="AI1278" s="103">
        <v>46032</v>
      </c>
      <c r="AJ1278" s="96">
        <v>204</v>
      </c>
      <c r="AK1278" s="91">
        <f t="shared" si="292"/>
        <v>32</v>
      </c>
      <c r="AL1278" s="96">
        <f t="shared" si="293"/>
        <v>71</v>
      </c>
      <c r="AM1278" s="92"/>
      <c r="AN1278" s="91"/>
      <c r="AO1278" s="91"/>
    </row>
    <row r="1279" spans="1:41" ht="14.5" x14ac:dyDescent="0.25">
      <c r="A1279" s="110" t="s">
        <v>2176</v>
      </c>
      <c r="B1279" s="91"/>
      <c r="C1279" s="135" t="s">
        <v>2168</v>
      </c>
      <c r="D1279" s="187" t="s">
        <v>2174</v>
      </c>
      <c r="E1279" s="135" t="s">
        <v>97</v>
      </c>
      <c r="F1279" s="135" t="s">
        <v>0</v>
      </c>
      <c r="G1279" s="58" t="s">
        <v>2177</v>
      </c>
      <c r="H1279" s="135">
        <v>852</v>
      </c>
      <c r="I1279" s="135" t="s">
        <v>89</v>
      </c>
      <c r="J1279" s="135" t="s">
        <v>8</v>
      </c>
      <c r="K1279" s="187" t="s">
        <v>9</v>
      </c>
      <c r="L1279" s="93" t="s">
        <v>2177</v>
      </c>
      <c r="M1279" s="94" t="s">
        <v>3487</v>
      </c>
      <c r="N1279" s="95" t="s">
        <v>2821</v>
      </c>
      <c r="O1279" s="189">
        <v>71</v>
      </c>
      <c r="P1279" s="97">
        <v>1225.0317460317499</v>
      </c>
      <c r="Q1279" s="185" t="s">
        <v>1443</v>
      </c>
      <c r="R1279" s="135">
        <v>4.7</v>
      </c>
      <c r="S1279" s="95"/>
      <c r="T1279" s="98">
        <v>150.60606060606099</v>
      </c>
      <c r="U1279" s="186">
        <f t="shared" si="296"/>
        <v>5908.2552669552861</v>
      </c>
      <c r="V1279" s="100">
        <f t="shared" si="294"/>
        <v>6.9345719095719316</v>
      </c>
      <c r="W1279" s="101">
        <f t="shared" si="295"/>
        <v>0.99065312993884735</v>
      </c>
      <c r="X1279" s="95"/>
      <c r="Y1279" s="95"/>
      <c r="Z1279" s="102"/>
      <c r="AA1279" s="103">
        <v>45961</v>
      </c>
      <c r="AB1279" s="103">
        <v>45983</v>
      </c>
      <c r="AC1279" s="103"/>
      <c r="AD1279" s="104">
        <f>IF(ISNA(VLOOKUP(D1279,亚马逊入库配置费!B:F,5,0)),0,VLOOKUP(D1279,亚马逊入库配置费!B:F,5,0))</f>
        <v>0.49</v>
      </c>
      <c r="AE1279" s="104">
        <f t="shared" si="290"/>
        <v>417.48</v>
      </c>
      <c r="AF1279" s="103">
        <v>46000</v>
      </c>
      <c r="AG1279" s="90">
        <f t="shared" si="291"/>
        <v>39</v>
      </c>
      <c r="AH1279" s="103">
        <v>46000</v>
      </c>
      <c r="AI1279" s="103">
        <v>46032</v>
      </c>
      <c r="AJ1279" s="96">
        <v>853</v>
      </c>
      <c r="AK1279" s="91">
        <f t="shared" si="292"/>
        <v>32</v>
      </c>
      <c r="AL1279" s="96">
        <f t="shared" si="293"/>
        <v>71</v>
      </c>
      <c r="AM1279" s="92"/>
      <c r="AN1279" s="91"/>
      <c r="AO1279" s="91"/>
    </row>
    <row r="1280" spans="1:41" ht="14.5" x14ac:dyDescent="0.25">
      <c r="A1280" s="110" t="s">
        <v>2178</v>
      </c>
      <c r="B1280" s="91"/>
      <c r="C1280" s="135" t="s">
        <v>2168</v>
      </c>
      <c r="D1280" s="187" t="s">
        <v>2174</v>
      </c>
      <c r="E1280" s="135" t="s">
        <v>97</v>
      </c>
      <c r="F1280" s="135" t="s">
        <v>0</v>
      </c>
      <c r="G1280" s="58" t="s">
        <v>2179</v>
      </c>
      <c r="H1280" s="135">
        <v>300</v>
      </c>
      <c r="I1280" s="135" t="s">
        <v>89</v>
      </c>
      <c r="J1280" s="135" t="s">
        <v>8</v>
      </c>
      <c r="K1280" s="187" t="s">
        <v>9</v>
      </c>
      <c r="L1280" s="93" t="s">
        <v>2179</v>
      </c>
      <c r="M1280" s="94" t="s">
        <v>3488</v>
      </c>
      <c r="N1280" s="95" t="s">
        <v>2821</v>
      </c>
      <c r="O1280" s="189">
        <v>25</v>
      </c>
      <c r="P1280" s="97">
        <v>431.34920634920599</v>
      </c>
      <c r="Q1280" s="185" t="s">
        <v>1443</v>
      </c>
      <c r="R1280" s="135">
        <v>4.7</v>
      </c>
      <c r="S1280" s="95"/>
      <c r="T1280" s="98">
        <v>53.030303030303003</v>
      </c>
      <c r="U1280" s="186">
        <f t="shared" si="296"/>
        <v>2080.3715728715715</v>
      </c>
      <c r="V1280" s="100">
        <f t="shared" si="294"/>
        <v>6.9345719095719049</v>
      </c>
      <c r="W1280" s="101">
        <f t="shared" si="295"/>
        <v>0.99065312993884358</v>
      </c>
      <c r="X1280" s="95"/>
      <c r="Y1280" s="95"/>
      <c r="Z1280" s="102"/>
      <c r="AA1280" s="103">
        <v>45961</v>
      </c>
      <c r="AB1280" s="103">
        <v>45983</v>
      </c>
      <c r="AC1280" s="103"/>
      <c r="AD1280" s="104">
        <f>IF(ISNA(VLOOKUP(D1280,亚马逊入库配置费!B:F,5,0)),0,VLOOKUP(D1280,亚马逊入库配置费!B:F,5,0))</f>
        <v>0.49</v>
      </c>
      <c r="AE1280" s="104">
        <f t="shared" si="290"/>
        <v>147</v>
      </c>
      <c r="AF1280" s="103">
        <v>46000</v>
      </c>
      <c r="AG1280" s="90">
        <f t="shared" si="291"/>
        <v>39</v>
      </c>
      <c r="AH1280" s="103">
        <v>46000</v>
      </c>
      <c r="AI1280" s="103">
        <v>46032</v>
      </c>
      <c r="AJ1280" s="96">
        <v>300</v>
      </c>
      <c r="AK1280" s="91">
        <f t="shared" si="292"/>
        <v>32</v>
      </c>
      <c r="AL1280" s="96">
        <f t="shared" si="293"/>
        <v>71</v>
      </c>
      <c r="AM1280" s="92"/>
      <c r="AN1280" s="91"/>
      <c r="AO1280" s="91"/>
    </row>
    <row r="1281" spans="1:41" ht="14.5" x14ac:dyDescent="0.25">
      <c r="A1281" s="110" t="s">
        <v>2180</v>
      </c>
      <c r="B1281" s="91" t="s">
        <v>2181</v>
      </c>
      <c r="C1281" s="135" t="s">
        <v>2182</v>
      </c>
      <c r="D1281" s="187" t="s">
        <v>2183</v>
      </c>
      <c r="E1281" s="135" t="s">
        <v>97</v>
      </c>
      <c r="F1281" s="135" t="s">
        <v>0</v>
      </c>
      <c r="G1281" s="58" t="s">
        <v>2004</v>
      </c>
      <c r="H1281" s="135">
        <v>200</v>
      </c>
      <c r="I1281" s="135" t="s">
        <v>89</v>
      </c>
      <c r="J1281" s="135" t="s">
        <v>8</v>
      </c>
      <c r="K1281" s="187" t="s">
        <v>13</v>
      </c>
      <c r="L1281" s="93" t="s">
        <v>2004</v>
      </c>
      <c r="M1281" s="94" t="s">
        <v>3466</v>
      </c>
      <c r="N1281" s="95" t="s">
        <v>2870</v>
      </c>
      <c r="O1281" s="189">
        <v>10</v>
      </c>
      <c r="P1281" s="97">
        <v>154.933333333333</v>
      </c>
      <c r="Q1281" s="185" t="s">
        <v>1443</v>
      </c>
      <c r="R1281" s="135">
        <v>4.8</v>
      </c>
      <c r="S1281" s="95">
        <v>0</v>
      </c>
      <c r="T1281" s="98">
        <v>0</v>
      </c>
      <c r="U1281" s="186">
        <f t="shared" si="296"/>
        <v>743.67999999999836</v>
      </c>
      <c r="V1281" s="100">
        <f t="shared" si="294"/>
        <v>3.7183999999999919</v>
      </c>
      <c r="W1281" s="101">
        <f t="shared" si="295"/>
        <v>0.5311999999999989</v>
      </c>
      <c r="X1281" s="95"/>
      <c r="Y1281" s="95"/>
      <c r="Z1281" s="102"/>
      <c r="AA1281" s="103">
        <v>45961</v>
      </c>
      <c r="AB1281" s="103">
        <v>45983</v>
      </c>
      <c r="AC1281" s="103"/>
      <c r="AD1281" s="104">
        <f>IF(ISNA(VLOOKUP(D1281,亚马逊入库配置费!B:F,5,0)),0,VLOOKUP(D1281,亚马逊入库配置费!B:F,5,0))</f>
        <v>0.417441860465116</v>
      </c>
      <c r="AE1281" s="104">
        <f t="shared" si="290"/>
        <v>83.488372093023202</v>
      </c>
      <c r="AF1281" s="103">
        <v>45993</v>
      </c>
      <c r="AG1281" s="90">
        <f t="shared" si="291"/>
        <v>32</v>
      </c>
      <c r="AH1281" s="103">
        <v>45993</v>
      </c>
      <c r="AI1281" s="103">
        <v>46022</v>
      </c>
      <c r="AJ1281" s="96">
        <v>200</v>
      </c>
      <c r="AK1281" s="91">
        <f t="shared" si="292"/>
        <v>29</v>
      </c>
      <c r="AL1281" s="96">
        <f t="shared" si="293"/>
        <v>61</v>
      </c>
      <c r="AM1281" s="92"/>
      <c r="AN1281" s="91"/>
      <c r="AO1281" s="91"/>
    </row>
    <row r="1282" spans="1:41" ht="14.5" x14ac:dyDescent="0.25">
      <c r="A1282" s="110" t="s">
        <v>2184</v>
      </c>
      <c r="B1282" s="91"/>
      <c r="C1282" s="135" t="s">
        <v>2182</v>
      </c>
      <c r="D1282" s="187" t="s">
        <v>2183</v>
      </c>
      <c r="E1282" s="135" t="s">
        <v>97</v>
      </c>
      <c r="F1282" s="135" t="s">
        <v>0</v>
      </c>
      <c r="G1282" s="58" t="s">
        <v>1195</v>
      </c>
      <c r="H1282" s="135">
        <v>510</v>
      </c>
      <c r="I1282" s="135" t="s">
        <v>89</v>
      </c>
      <c r="J1282" s="135" t="s">
        <v>8</v>
      </c>
      <c r="K1282" s="187" t="s">
        <v>13</v>
      </c>
      <c r="L1282" s="93" t="s">
        <v>1195</v>
      </c>
      <c r="M1282" s="94" t="s">
        <v>3433</v>
      </c>
      <c r="N1282" s="95" t="s">
        <v>2870</v>
      </c>
      <c r="O1282" s="189">
        <v>17</v>
      </c>
      <c r="P1282" s="97">
        <v>263.386666666667</v>
      </c>
      <c r="Q1282" s="185" t="s">
        <v>1443</v>
      </c>
      <c r="R1282" s="135">
        <v>4.8</v>
      </c>
      <c r="S1282" s="95"/>
      <c r="T1282" s="98"/>
      <c r="U1282" s="186">
        <f t="shared" si="296"/>
        <v>1264.2560000000014</v>
      </c>
      <c r="V1282" s="100">
        <f t="shared" si="294"/>
        <v>2.4789333333333361</v>
      </c>
      <c r="W1282" s="101">
        <f t="shared" si="295"/>
        <v>0.35413333333333374</v>
      </c>
      <c r="X1282" s="95"/>
      <c r="Y1282" s="95"/>
      <c r="Z1282" s="102"/>
      <c r="AA1282" s="103">
        <v>45961</v>
      </c>
      <c r="AB1282" s="103">
        <v>45980</v>
      </c>
      <c r="AC1282" s="103"/>
      <c r="AD1282" s="104">
        <f>IF(ISNA(VLOOKUP(D1282,亚马逊入库配置费!B:F,5,0)),0,VLOOKUP(D1282,亚马逊入库配置费!B:F,5,0))</f>
        <v>0.417441860465116</v>
      </c>
      <c r="AE1282" s="104">
        <f t="shared" ref="AE1282:AE1345" si="302">H1282*AD1282</f>
        <v>212.89534883720916</v>
      </c>
      <c r="AF1282" s="103">
        <v>45993</v>
      </c>
      <c r="AG1282" s="90">
        <f t="shared" ref="AG1282:AG1345" si="303">AF1282-AA1282</f>
        <v>32</v>
      </c>
      <c r="AH1282" s="103">
        <v>45993</v>
      </c>
      <c r="AI1282" s="103">
        <v>46022</v>
      </c>
      <c r="AJ1282" s="96">
        <v>509</v>
      </c>
      <c r="AK1282" s="91">
        <f t="shared" ref="AK1282:AK1345" si="304">AI1282-AH1282</f>
        <v>29</v>
      </c>
      <c r="AL1282" s="96">
        <f t="shared" si="293"/>
        <v>61</v>
      </c>
      <c r="AM1282" s="92"/>
      <c r="AN1282" s="91"/>
      <c r="AO1282" s="91"/>
    </row>
    <row r="1283" spans="1:41" ht="14.5" x14ac:dyDescent="0.25">
      <c r="A1283" s="110" t="s">
        <v>2185</v>
      </c>
      <c r="B1283" s="91"/>
      <c r="C1283" s="135" t="s">
        <v>2182</v>
      </c>
      <c r="D1283" s="187" t="s">
        <v>2183</v>
      </c>
      <c r="E1283" s="135" t="s">
        <v>97</v>
      </c>
      <c r="F1283" s="135" t="s">
        <v>0</v>
      </c>
      <c r="G1283" s="58" t="s">
        <v>872</v>
      </c>
      <c r="H1283" s="135">
        <v>240</v>
      </c>
      <c r="I1283" s="135" t="s">
        <v>89</v>
      </c>
      <c r="J1283" s="135" t="s">
        <v>8</v>
      </c>
      <c r="K1283" s="187" t="s">
        <v>13</v>
      </c>
      <c r="L1283" s="93" t="s">
        <v>872</v>
      </c>
      <c r="M1283" s="94" t="s">
        <v>3399</v>
      </c>
      <c r="N1283" s="95" t="s">
        <v>2870</v>
      </c>
      <c r="O1283" s="189">
        <v>8</v>
      </c>
      <c r="P1283" s="97">
        <v>123.946666666667</v>
      </c>
      <c r="Q1283" s="185" t="s">
        <v>1443</v>
      </c>
      <c r="R1283" s="135">
        <v>4.8</v>
      </c>
      <c r="S1283" s="95"/>
      <c r="T1283" s="98"/>
      <c r="U1283" s="186">
        <f t="shared" si="296"/>
        <v>594.94400000000155</v>
      </c>
      <c r="V1283" s="100">
        <f t="shared" si="294"/>
        <v>2.4789333333333397</v>
      </c>
      <c r="W1283" s="101">
        <f t="shared" si="295"/>
        <v>0.35413333333333424</v>
      </c>
      <c r="X1283" s="95"/>
      <c r="Y1283" s="95"/>
      <c r="Z1283" s="102"/>
      <c r="AA1283" s="103">
        <v>45961</v>
      </c>
      <c r="AB1283" s="103">
        <v>45980</v>
      </c>
      <c r="AC1283" s="103"/>
      <c r="AD1283" s="104">
        <f>IF(ISNA(VLOOKUP(D1283,亚马逊入库配置费!B:F,5,0)),0,VLOOKUP(D1283,亚马逊入库配置费!B:F,5,0))</f>
        <v>0.417441860465116</v>
      </c>
      <c r="AE1283" s="104">
        <f t="shared" si="302"/>
        <v>100.18604651162784</v>
      </c>
      <c r="AF1283" s="103">
        <v>45993</v>
      </c>
      <c r="AG1283" s="90">
        <f t="shared" si="303"/>
        <v>32</v>
      </c>
      <c r="AH1283" s="103">
        <v>45993</v>
      </c>
      <c r="AI1283" s="103">
        <v>46022</v>
      </c>
      <c r="AJ1283" s="96">
        <v>210</v>
      </c>
      <c r="AK1283" s="91">
        <f t="shared" si="304"/>
        <v>29</v>
      </c>
      <c r="AL1283" s="96">
        <f t="shared" si="293"/>
        <v>61</v>
      </c>
      <c r="AM1283" s="92"/>
      <c r="AN1283" s="91"/>
      <c r="AO1283" s="91"/>
    </row>
    <row r="1284" spans="1:41" ht="14.5" x14ac:dyDescent="0.25">
      <c r="A1284" s="110" t="s">
        <v>2186</v>
      </c>
      <c r="B1284" s="91"/>
      <c r="C1284" s="135" t="s">
        <v>2182</v>
      </c>
      <c r="D1284" s="187" t="s">
        <v>2183</v>
      </c>
      <c r="E1284" s="135" t="s">
        <v>97</v>
      </c>
      <c r="F1284" s="135" t="s">
        <v>0</v>
      </c>
      <c r="G1284" s="58" t="s">
        <v>1409</v>
      </c>
      <c r="H1284" s="135">
        <v>360</v>
      </c>
      <c r="I1284" s="135" t="s">
        <v>89</v>
      </c>
      <c r="J1284" s="135" t="s">
        <v>8</v>
      </c>
      <c r="K1284" s="187" t="s">
        <v>13</v>
      </c>
      <c r="L1284" s="93" t="s">
        <v>1409</v>
      </c>
      <c r="M1284" s="94" t="s">
        <v>3446</v>
      </c>
      <c r="N1284" s="95" t="s">
        <v>2870</v>
      </c>
      <c r="O1284" s="189">
        <v>12</v>
      </c>
      <c r="P1284" s="97">
        <v>185.92</v>
      </c>
      <c r="Q1284" s="185" t="s">
        <v>1443</v>
      </c>
      <c r="R1284" s="135">
        <v>4.8</v>
      </c>
      <c r="S1284" s="95"/>
      <c r="T1284" s="98"/>
      <c r="U1284" s="186">
        <f t="shared" si="296"/>
        <v>892.41599999999994</v>
      </c>
      <c r="V1284" s="100">
        <f t="shared" si="294"/>
        <v>2.478933333333333</v>
      </c>
      <c r="W1284" s="101">
        <f t="shared" si="295"/>
        <v>0.3541333333333333</v>
      </c>
      <c r="X1284" s="95"/>
      <c r="Y1284" s="95"/>
      <c r="Z1284" s="102"/>
      <c r="AA1284" s="103">
        <v>45961</v>
      </c>
      <c r="AB1284" s="103">
        <v>45980</v>
      </c>
      <c r="AC1284" s="103"/>
      <c r="AD1284" s="104">
        <f>IF(ISNA(VLOOKUP(D1284,亚马逊入库配置费!B:F,5,0)),0,VLOOKUP(D1284,亚马逊入库配置费!B:F,5,0))</f>
        <v>0.417441860465116</v>
      </c>
      <c r="AE1284" s="104">
        <f t="shared" si="302"/>
        <v>150.27906976744177</v>
      </c>
      <c r="AF1284" s="103">
        <v>45993</v>
      </c>
      <c r="AG1284" s="90">
        <f t="shared" si="303"/>
        <v>32</v>
      </c>
      <c r="AH1284" s="103">
        <v>45993</v>
      </c>
      <c r="AI1284" s="103">
        <v>46022</v>
      </c>
      <c r="AJ1284" s="96">
        <v>360</v>
      </c>
      <c r="AK1284" s="91">
        <f t="shared" si="304"/>
        <v>29</v>
      </c>
      <c r="AL1284" s="96">
        <f t="shared" ref="AL1284:AL1347" si="305">AG1284+AK1284</f>
        <v>61</v>
      </c>
      <c r="AM1284" s="92"/>
      <c r="AN1284" s="91"/>
      <c r="AO1284" s="91"/>
    </row>
    <row r="1285" spans="1:41" ht="14.5" x14ac:dyDescent="0.25">
      <c r="A1285" s="110" t="s">
        <v>2187</v>
      </c>
      <c r="B1285" s="91"/>
      <c r="C1285" s="135" t="s">
        <v>2182</v>
      </c>
      <c r="D1285" s="187" t="s">
        <v>2183</v>
      </c>
      <c r="E1285" s="135" t="s">
        <v>97</v>
      </c>
      <c r="F1285" s="135" t="s">
        <v>0</v>
      </c>
      <c r="G1285" s="58" t="s">
        <v>1215</v>
      </c>
      <c r="H1285" s="135">
        <v>750</v>
      </c>
      <c r="I1285" s="135" t="s">
        <v>89</v>
      </c>
      <c r="J1285" s="135" t="s">
        <v>8</v>
      </c>
      <c r="K1285" s="187" t="s">
        <v>13</v>
      </c>
      <c r="L1285" s="93" t="s">
        <v>3095</v>
      </c>
      <c r="M1285" s="94" t="s">
        <v>3436</v>
      </c>
      <c r="N1285" s="95" t="s">
        <v>2867</v>
      </c>
      <c r="O1285" s="189">
        <v>25</v>
      </c>
      <c r="P1285" s="97">
        <v>387.33333333333297</v>
      </c>
      <c r="Q1285" s="185" t="s">
        <v>1443</v>
      </c>
      <c r="R1285" s="135">
        <v>4.8</v>
      </c>
      <c r="S1285" s="95"/>
      <c r="T1285" s="98"/>
      <c r="U1285" s="186">
        <f t="shared" si="296"/>
        <v>1859.1999999999982</v>
      </c>
      <c r="V1285" s="100">
        <f t="shared" si="294"/>
        <v>2.4789333333333308</v>
      </c>
      <c r="W1285" s="101">
        <f t="shared" si="295"/>
        <v>0.35413333333333297</v>
      </c>
      <c r="X1285" s="95"/>
      <c r="Y1285" s="95"/>
      <c r="Z1285" s="102"/>
      <c r="AA1285" s="103">
        <v>45961</v>
      </c>
      <c r="AB1285" s="103">
        <v>45980</v>
      </c>
      <c r="AC1285" s="103"/>
      <c r="AD1285" s="104">
        <f>IF(ISNA(VLOOKUP(D1285,亚马逊入库配置费!B:F,5,0)),0,VLOOKUP(D1285,亚马逊入库配置费!B:F,5,0))</f>
        <v>0.417441860465116</v>
      </c>
      <c r="AE1285" s="104">
        <f t="shared" si="302"/>
        <v>313.08139534883702</v>
      </c>
      <c r="AF1285" s="103">
        <v>45993</v>
      </c>
      <c r="AG1285" s="90">
        <f t="shared" si="303"/>
        <v>32</v>
      </c>
      <c r="AH1285" s="103">
        <v>45993</v>
      </c>
      <c r="AI1285" s="103">
        <v>46022</v>
      </c>
      <c r="AJ1285" s="96">
        <v>750</v>
      </c>
      <c r="AK1285" s="91">
        <f t="shared" si="304"/>
        <v>29</v>
      </c>
      <c r="AL1285" s="96">
        <f t="shared" si="305"/>
        <v>61</v>
      </c>
      <c r="AM1285" s="92"/>
      <c r="AN1285" s="91"/>
      <c r="AO1285" s="91"/>
    </row>
    <row r="1286" spans="1:41" ht="14.5" x14ac:dyDescent="0.25">
      <c r="A1286" s="110" t="s">
        <v>2188</v>
      </c>
      <c r="B1286" s="91"/>
      <c r="C1286" s="135" t="s">
        <v>2182</v>
      </c>
      <c r="D1286" s="187" t="s">
        <v>2183</v>
      </c>
      <c r="E1286" s="135" t="s">
        <v>97</v>
      </c>
      <c r="F1286" s="135" t="s">
        <v>0</v>
      </c>
      <c r="G1286" s="58" t="s">
        <v>866</v>
      </c>
      <c r="H1286" s="135">
        <v>90</v>
      </c>
      <c r="I1286" s="135" t="s">
        <v>89</v>
      </c>
      <c r="J1286" s="135" t="s">
        <v>8</v>
      </c>
      <c r="K1286" s="187" t="s">
        <v>13</v>
      </c>
      <c r="L1286" s="93" t="s">
        <v>866</v>
      </c>
      <c r="M1286" s="94" t="s">
        <v>3398</v>
      </c>
      <c r="N1286" s="95" t="s">
        <v>2869</v>
      </c>
      <c r="O1286" s="189">
        <v>3</v>
      </c>
      <c r="P1286" s="97">
        <v>46.48</v>
      </c>
      <c r="Q1286" s="185" t="s">
        <v>1443</v>
      </c>
      <c r="R1286" s="135">
        <v>4.8</v>
      </c>
      <c r="S1286" s="95"/>
      <c r="T1286" s="98"/>
      <c r="U1286" s="186">
        <f t="shared" si="296"/>
        <v>223.10399999999998</v>
      </c>
      <c r="V1286" s="100">
        <f t="shared" si="294"/>
        <v>2.478933333333333</v>
      </c>
      <c r="W1286" s="101">
        <f t="shared" si="295"/>
        <v>0.3541333333333333</v>
      </c>
      <c r="X1286" s="95"/>
      <c r="Y1286" s="95"/>
      <c r="Z1286" s="102"/>
      <c r="AA1286" s="103">
        <v>45961</v>
      </c>
      <c r="AB1286" s="103">
        <v>45980</v>
      </c>
      <c r="AC1286" s="103"/>
      <c r="AD1286" s="104">
        <f>IF(ISNA(VLOOKUP(D1286,亚马逊入库配置费!B:F,5,0)),0,VLOOKUP(D1286,亚马逊入库配置费!B:F,5,0))</f>
        <v>0.417441860465116</v>
      </c>
      <c r="AE1286" s="104">
        <f t="shared" si="302"/>
        <v>37.569767441860442</v>
      </c>
      <c r="AF1286" s="103">
        <v>45993</v>
      </c>
      <c r="AG1286" s="90">
        <f t="shared" si="303"/>
        <v>32</v>
      </c>
      <c r="AH1286" s="103">
        <v>45993</v>
      </c>
      <c r="AI1286" s="103">
        <v>46022</v>
      </c>
      <c r="AJ1286" s="96">
        <v>90</v>
      </c>
      <c r="AK1286" s="91">
        <f t="shared" si="304"/>
        <v>29</v>
      </c>
      <c r="AL1286" s="96">
        <f t="shared" si="305"/>
        <v>61</v>
      </c>
      <c r="AM1286" s="92"/>
      <c r="AN1286" s="91"/>
      <c r="AO1286" s="91"/>
    </row>
    <row r="1287" spans="1:41" ht="14.5" x14ac:dyDescent="0.25">
      <c r="A1287" s="110" t="s">
        <v>2189</v>
      </c>
      <c r="B1287" s="91"/>
      <c r="C1287" s="135" t="s">
        <v>2182</v>
      </c>
      <c r="D1287" s="187" t="s">
        <v>2190</v>
      </c>
      <c r="E1287" s="135" t="s">
        <v>97</v>
      </c>
      <c r="F1287" s="135" t="s">
        <v>0</v>
      </c>
      <c r="G1287" s="58" t="s">
        <v>163</v>
      </c>
      <c r="H1287" s="135">
        <v>1000</v>
      </c>
      <c r="I1287" s="135" t="s">
        <v>89</v>
      </c>
      <c r="J1287" s="135" t="s">
        <v>8</v>
      </c>
      <c r="K1287" s="187" t="s">
        <v>50</v>
      </c>
      <c r="L1287" s="93" t="s">
        <v>2881</v>
      </c>
      <c r="M1287" s="94" t="s">
        <v>3302</v>
      </c>
      <c r="N1287" s="95" t="s">
        <v>2870</v>
      </c>
      <c r="O1287" s="189">
        <v>25</v>
      </c>
      <c r="P1287" s="97">
        <v>337.857142857143</v>
      </c>
      <c r="Q1287" s="185" t="s">
        <v>1443</v>
      </c>
      <c r="R1287" s="135">
        <v>4</v>
      </c>
      <c r="S1287" s="95"/>
      <c r="T1287" s="98"/>
      <c r="U1287" s="186">
        <f t="shared" si="296"/>
        <v>1351.428571428572</v>
      </c>
      <c r="V1287" s="100">
        <f t="shared" si="294"/>
        <v>1.3514285714285721</v>
      </c>
      <c r="W1287" s="101">
        <f t="shared" si="295"/>
        <v>0.19306122448979601</v>
      </c>
      <c r="X1287" s="95"/>
      <c r="Y1287" s="95"/>
      <c r="Z1287" s="102"/>
      <c r="AA1287" s="103">
        <v>45961</v>
      </c>
      <c r="AB1287" s="103">
        <v>45980</v>
      </c>
      <c r="AC1287" s="103"/>
      <c r="AD1287" s="104">
        <f>IF(ISNA(VLOOKUP(D1287,亚马逊入库配置费!B:F,5,0)),0,VLOOKUP(D1287,亚马逊入库配置费!B:F,5,0))</f>
        <v>0.34</v>
      </c>
      <c r="AE1287" s="104">
        <f t="shared" si="302"/>
        <v>340</v>
      </c>
      <c r="AF1287" s="103">
        <v>45985</v>
      </c>
      <c r="AG1287" s="90">
        <f t="shared" si="303"/>
        <v>24</v>
      </c>
      <c r="AH1287" s="103">
        <v>45985</v>
      </c>
      <c r="AI1287" s="103">
        <v>46019</v>
      </c>
      <c r="AJ1287" s="96">
        <v>999</v>
      </c>
      <c r="AK1287" s="91">
        <f t="shared" si="304"/>
        <v>34</v>
      </c>
      <c r="AL1287" s="96">
        <f t="shared" si="305"/>
        <v>58</v>
      </c>
      <c r="AM1287" s="92"/>
      <c r="AN1287" s="91"/>
      <c r="AO1287" s="91"/>
    </row>
    <row r="1288" spans="1:41" ht="14.5" x14ac:dyDescent="0.25">
      <c r="A1288" s="110" t="s">
        <v>2191</v>
      </c>
      <c r="B1288" s="91"/>
      <c r="C1288" s="135" t="s">
        <v>2182</v>
      </c>
      <c r="D1288" s="187" t="s">
        <v>2190</v>
      </c>
      <c r="E1288" s="135" t="s">
        <v>97</v>
      </c>
      <c r="F1288" s="135" t="s">
        <v>0</v>
      </c>
      <c r="G1288" s="58" t="s">
        <v>1213</v>
      </c>
      <c r="H1288" s="135">
        <v>120</v>
      </c>
      <c r="I1288" s="135" t="s">
        <v>89</v>
      </c>
      <c r="J1288" s="135" t="s">
        <v>8</v>
      </c>
      <c r="K1288" s="187" t="s">
        <v>50</v>
      </c>
      <c r="L1288" s="93" t="s">
        <v>1213</v>
      </c>
      <c r="M1288" s="94" t="s">
        <v>3435</v>
      </c>
      <c r="N1288" s="95" t="s">
        <v>2867</v>
      </c>
      <c r="O1288" s="189">
        <v>3</v>
      </c>
      <c r="P1288" s="97">
        <v>40.542857142857102</v>
      </c>
      <c r="Q1288" s="185" t="s">
        <v>1443</v>
      </c>
      <c r="R1288" s="135">
        <v>4</v>
      </c>
      <c r="S1288" s="95"/>
      <c r="T1288" s="98"/>
      <c r="U1288" s="186">
        <f t="shared" si="296"/>
        <v>162.17142857142841</v>
      </c>
      <c r="V1288" s="100">
        <f t="shared" si="294"/>
        <v>1.3514285714285701</v>
      </c>
      <c r="W1288" s="101">
        <f t="shared" si="295"/>
        <v>0.19306122448979574</v>
      </c>
      <c r="X1288" s="95"/>
      <c r="Y1288" s="95"/>
      <c r="Z1288" s="102"/>
      <c r="AA1288" s="103">
        <v>45961</v>
      </c>
      <c r="AB1288" s="103">
        <v>45980</v>
      </c>
      <c r="AC1288" s="103"/>
      <c r="AD1288" s="104">
        <f>IF(ISNA(VLOOKUP(D1288,亚马逊入库配置费!B:F,5,0)),0,VLOOKUP(D1288,亚马逊入库配置费!B:F,5,0))</f>
        <v>0.34</v>
      </c>
      <c r="AE1288" s="104">
        <f t="shared" si="302"/>
        <v>40.800000000000004</v>
      </c>
      <c r="AF1288" s="103">
        <v>45985</v>
      </c>
      <c r="AG1288" s="90">
        <f t="shared" si="303"/>
        <v>24</v>
      </c>
      <c r="AH1288" s="103">
        <v>45985</v>
      </c>
      <c r="AI1288" s="103">
        <v>46019</v>
      </c>
      <c r="AJ1288" s="96">
        <v>121</v>
      </c>
      <c r="AK1288" s="91">
        <f t="shared" si="304"/>
        <v>34</v>
      </c>
      <c r="AL1288" s="96">
        <f t="shared" si="305"/>
        <v>58</v>
      </c>
      <c r="AM1288" s="92"/>
      <c r="AN1288" s="91"/>
      <c r="AO1288" s="91"/>
    </row>
    <row r="1289" spans="1:41" ht="14.5" x14ac:dyDescent="0.25">
      <c r="A1289" s="110" t="s">
        <v>2192</v>
      </c>
      <c r="B1289" s="91"/>
      <c r="C1289" s="135" t="s">
        <v>2182</v>
      </c>
      <c r="D1289" s="187" t="s">
        <v>2190</v>
      </c>
      <c r="E1289" s="135" t="s">
        <v>97</v>
      </c>
      <c r="F1289" s="135" t="s">
        <v>0</v>
      </c>
      <c r="G1289" s="58" t="s">
        <v>2136</v>
      </c>
      <c r="H1289" s="135">
        <v>280</v>
      </c>
      <c r="I1289" s="135" t="s">
        <v>89</v>
      </c>
      <c r="J1289" s="135" t="s">
        <v>8</v>
      </c>
      <c r="K1289" s="187" t="s">
        <v>50</v>
      </c>
      <c r="L1289" s="93" t="s">
        <v>2136</v>
      </c>
      <c r="M1289" s="94" t="s">
        <v>3473</v>
      </c>
      <c r="N1289" s="95" t="s">
        <v>2867</v>
      </c>
      <c r="O1289" s="189">
        <v>7</v>
      </c>
      <c r="P1289" s="97">
        <v>94.6</v>
      </c>
      <c r="Q1289" s="185" t="s">
        <v>1443</v>
      </c>
      <c r="R1289" s="135">
        <v>4</v>
      </c>
      <c r="S1289" s="95"/>
      <c r="T1289" s="98"/>
      <c r="U1289" s="186">
        <f t="shared" si="296"/>
        <v>378.4</v>
      </c>
      <c r="V1289" s="100">
        <f t="shared" si="294"/>
        <v>1.3514285714285714</v>
      </c>
      <c r="W1289" s="101">
        <f t="shared" si="295"/>
        <v>0.19306122448979593</v>
      </c>
      <c r="X1289" s="95"/>
      <c r="Y1289" s="95"/>
      <c r="Z1289" s="102"/>
      <c r="AA1289" s="103">
        <v>45961</v>
      </c>
      <c r="AB1289" s="103">
        <v>45980</v>
      </c>
      <c r="AC1289" s="103"/>
      <c r="AD1289" s="104">
        <f>IF(ISNA(VLOOKUP(D1289,亚马逊入库配置费!B:F,5,0)),0,VLOOKUP(D1289,亚马逊入库配置费!B:F,5,0))</f>
        <v>0.34</v>
      </c>
      <c r="AE1289" s="104">
        <f t="shared" si="302"/>
        <v>95.2</v>
      </c>
      <c r="AF1289" s="103">
        <v>45985</v>
      </c>
      <c r="AG1289" s="90">
        <f t="shared" si="303"/>
        <v>24</v>
      </c>
      <c r="AH1289" s="103">
        <v>45985</v>
      </c>
      <c r="AI1289" s="103">
        <v>46019</v>
      </c>
      <c r="AJ1289" s="96">
        <v>280</v>
      </c>
      <c r="AK1289" s="91">
        <f t="shared" si="304"/>
        <v>34</v>
      </c>
      <c r="AL1289" s="96">
        <f t="shared" si="305"/>
        <v>58</v>
      </c>
      <c r="AM1289" s="92"/>
      <c r="AN1289" s="91"/>
      <c r="AO1289" s="91"/>
    </row>
    <row r="1290" spans="1:41" ht="14.5" x14ac:dyDescent="0.25">
      <c r="A1290" s="110" t="s">
        <v>2193</v>
      </c>
      <c r="B1290" s="91"/>
      <c r="C1290" s="135" t="s">
        <v>2182</v>
      </c>
      <c r="D1290" s="187" t="s">
        <v>2194</v>
      </c>
      <c r="E1290" s="135" t="s">
        <v>1037</v>
      </c>
      <c r="F1290" s="135" t="s">
        <v>0</v>
      </c>
      <c r="G1290" s="58" t="s">
        <v>2195</v>
      </c>
      <c r="H1290" s="135">
        <v>800</v>
      </c>
      <c r="I1290" s="135" t="s">
        <v>89</v>
      </c>
      <c r="J1290" s="135" t="s">
        <v>8</v>
      </c>
      <c r="K1290" s="187" t="s">
        <v>32</v>
      </c>
      <c r="L1290" s="93" t="s">
        <v>2195</v>
      </c>
      <c r="M1290" s="94" t="s">
        <v>3489</v>
      </c>
      <c r="N1290" s="95" t="s">
        <v>3104</v>
      </c>
      <c r="O1290" s="189">
        <v>20</v>
      </c>
      <c r="P1290" s="97">
        <v>269.33333333333297</v>
      </c>
      <c r="Q1290" s="185" t="s">
        <v>1443</v>
      </c>
      <c r="R1290" s="135">
        <v>4</v>
      </c>
      <c r="S1290" s="95"/>
      <c r="T1290" s="98"/>
      <c r="U1290" s="186">
        <f t="shared" si="296"/>
        <v>1077.3333333333319</v>
      </c>
      <c r="V1290" s="100">
        <f t="shared" si="294"/>
        <v>1.3466666666666649</v>
      </c>
      <c r="W1290" s="101">
        <f t="shared" si="295"/>
        <v>0.19238095238095212</v>
      </c>
      <c r="X1290" s="95"/>
      <c r="Y1290" s="95"/>
      <c r="Z1290" s="102"/>
      <c r="AA1290" s="103">
        <v>45961</v>
      </c>
      <c r="AB1290" s="103">
        <v>45980</v>
      </c>
      <c r="AC1290" s="103"/>
      <c r="AD1290" s="104">
        <f>IF(ISNA(VLOOKUP(D1290,亚马逊入库配置费!B:F,5,0)),0,VLOOKUP(D1290,亚马逊入库配置费!B:F,5,0))</f>
        <v>0.34</v>
      </c>
      <c r="AE1290" s="104">
        <f t="shared" si="302"/>
        <v>272</v>
      </c>
      <c r="AF1290" s="103">
        <v>45987</v>
      </c>
      <c r="AG1290" s="90">
        <f t="shared" si="303"/>
        <v>26</v>
      </c>
      <c r="AH1290" s="103">
        <v>45987</v>
      </c>
      <c r="AI1290" s="103">
        <v>46018</v>
      </c>
      <c r="AJ1290" s="96">
        <v>798</v>
      </c>
      <c r="AK1290" s="91">
        <f t="shared" si="304"/>
        <v>31</v>
      </c>
      <c r="AL1290" s="96">
        <f t="shared" si="305"/>
        <v>57</v>
      </c>
      <c r="AM1290" s="92"/>
      <c r="AN1290" s="91"/>
      <c r="AO1290" s="91"/>
    </row>
    <row r="1291" spans="1:41" ht="14.5" x14ac:dyDescent="0.25">
      <c r="A1291" s="110" t="s">
        <v>2196</v>
      </c>
      <c r="B1291" s="91"/>
      <c r="C1291" s="135" t="s">
        <v>2182</v>
      </c>
      <c r="D1291" s="187" t="s">
        <v>2194</v>
      </c>
      <c r="E1291" s="135" t="s">
        <v>1037</v>
      </c>
      <c r="F1291" s="135" t="s">
        <v>0</v>
      </c>
      <c r="G1291" s="58" t="s">
        <v>2197</v>
      </c>
      <c r="H1291" s="135">
        <v>400</v>
      </c>
      <c r="I1291" s="135" t="s">
        <v>89</v>
      </c>
      <c r="J1291" s="135" t="s">
        <v>8</v>
      </c>
      <c r="K1291" s="187" t="s">
        <v>32</v>
      </c>
      <c r="L1291" s="93" t="s">
        <v>2197</v>
      </c>
      <c r="M1291" s="94" t="s">
        <v>3490</v>
      </c>
      <c r="N1291" s="95" t="s">
        <v>3104</v>
      </c>
      <c r="O1291" s="189">
        <v>10</v>
      </c>
      <c r="P1291" s="97">
        <v>134.666666666667</v>
      </c>
      <c r="Q1291" s="185" t="s">
        <v>1443</v>
      </c>
      <c r="R1291" s="135">
        <v>4</v>
      </c>
      <c r="S1291" s="95"/>
      <c r="T1291" s="98"/>
      <c r="U1291" s="186">
        <f t="shared" si="296"/>
        <v>538.66666666666799</v>
      </c>
      <c r="V1291" s="100">
        <f t="shared" si="294"/>
        <v>1.34666666666667</v>
      </c>
      <c r="W1291" s="101">
        <f t="shared" si="295"/>
        <v>0.19238095238095285</v>
      </c>
      <c r="X1291" s="95"/>
      <c r="Y1291" s="95"/>
      <c r="Z1291" s="102"/>
      <c r="AA1291" s="103">
        <v>45961</v>
      </c>
      <c r="AB1291" s="103">
        <v>45980</v>
      </c>
      <c r="AC1291" s="103"/>
      <c r="AD1291" s="104">
        <f>IF(ISNA(VLOOKUP(D1291,亚马逊入库配置费!B:F,5,0)),0,VLOOKUP(D1291,亚马逊入库配置费!B:F,5,0))</f>
        <v>0.34</v>
      </c>
      <c r="AE1291" s="104">
        <f t="shared" si="302"/>
        <v>136</v>
      </c>
      <c r="AF1291" s="103">
        <v>45987</v>
      </c>
      <c r="AG1291" s="90">
        <f t="shared" si="303"/>
        <v>26</v>
      </c>
      <c r="AH1291" s="103">
        <v>45987</v>
      </c>
      <c r="AI1291" s="103">
        <v>46018</v>
      </c>
      <c r="AJ1291" s="96">
        <v>399</v>
      </c>
      <c r="AK1291" s="91">
        <f t="shared" si="304"/>
        <v>31</v>
      </c>
      <c r="AL1291" s="96">
        <f t="shared" si="305"/>
        <v>57</v>
      </c>
      <c r="AM1291" s="92"/>
      <c r="AN1291" s="91"/>
      <c r="AO1291" s="91"/>
    </row>
    <row r="1292" spans="1:41" ht="14.5" x14ac:dyDescent="0.25">
      <c r="A1292" s="110" t="s">
        <v>2198</v>
      </c>
      <c r="B1292" s="91" t="s">
        <v>3469</v>
      </c>
      <c r="C1292" s="137" t="s">
        <v>2199</v>
      </c>
      <c r="D1292" s="206" t="s">
        <v>2200</v>
      </c>
      <c r="E1292" s="135" t="s">
        <v>97</v>
      </c>
      <c r="F1292" s="135" t="s">
        <v>0</v>
      </c>
      <c r="G1292" s="58" t="s">
        <v>2201</v>
      </c>
      <c r="H1292" s="137">
        <v>270</v>
      </c>
      <c r="I1292" s="137" t="s">
        <v>2116</v>
      </c>
      <c r="J1292" s="137" t="s">
        <v>2117</v>
      </c>
      <c r="K1292" s="206" t="s">
        <v>9</v>
      </c>
      <c r="L1292" s="93" t="s">
        <v>2201</v>
      </c>
      <c r="M1292" s="207" t="s">
        <v>3491</v>
      </c>
      <c r="N1292" s="95" t="s">
        <v>3042</v>
      </c>
      <c r="O1292" s="208">
        <v>3</v>
      </c>
      <c r="P1292" s="109">
        <f>1.05/19*O1292</f>
        <v>0.16578947368421054</v>
      </c>
      <c r="Q1292" s="208" t="s">
        <v>3392</v>
      </c>
      <c r="R1292" s="137">
        <f>1260-92</f>
        <v>1168</v>
      </c>
      <c r="S1292" s="106">
        <v>0</v>
      </c>
      <c r="T1292" s="141">
        <v>0</v>
      </c>
      <c r="U1292" s="209">
        <f t="shared" si="296"/>
        <v>193.6421052631579</v>
      </c>
      <c r="V1292" s="100">
        <f t="shared" si="294"/>
        <v>0.71719298245614038</v>
      </c>
      <c r="W1292" s="101">
        <f t="shared" si="295"/>
        <v>0.1024561403508772</v>
      </c>
      <c r="X1292" s="95"/>
      <c r="Y1292" s="95"/>
      <c r="Z1292" s="102"/>
      <c r="AA1292" s="103">
        <v>45961</v>
      </c>
      <c r="AB1292" s="103">
        <v>45980</v>
      </c>
      <c r="AC1292" s="103"/>
      <c r="AD1292" s="104">
        <f>IF(ISNA(VLOOKUP(D1292,亚马逊入库配置费!B:F,5,0)),0,VLOOKUP(D1292,亚马逊入库配置费!B:F,5,0))</f>
        <v>0.34</v>
      </c>
      <c r="AE1292" s="104">
        <f t="shared" si="302"/>
        <v>91.800000000000011</v>
      </c>
      <c r="AF1292" s="103">
        <v>45988</v>
      </c>
      <c r="AG1292" s="90">
        <f t="shared" si="303"/>
        <v>27</v>
      </c>
      <c r="AH1292" s="103">
        <v>45988</v>
      </c>
      <c r="AI1292" s="103">
        <v>46019</v>
      </c>
      <c r="AJ1292" s="96">
        <v>239</v>
      </c>
      <c r="AK1292" s="91">
        <f t="shared" si="304"/>
        <v>31</v>
      </c>
      <c r="AL1292" s="96">
        <f t="shared" si="305"/>
        <v>58</v>
      </c>
      <c r="AM1292" s="92"/>
      <c r="AN1292" s="91"/>
      <c r="AO1292" s="91"/>
    </row>
    <row r="1293" spans="1:41" ht="14.5" x14ac:dyDescent="0.25">
      <c r="A1293" s="110" t="s">
        <v>2202</v>
      </c>
      <c r="B1293" s="91" t="s">
        <v>3469</v>
      </c>
      <c r="C1293" s="137" t="s">
        <v>2199</v>
      </c>
      <c r="D1293" s="206" t="s">
        <v>2200</v>
      </c>
      <c r="E1293" s="135" t="s">
        <v>97</v>
      </c>
      <c r="F1293" s="135" t="s">
        <v>0</v>
      </c>
      <c r="G1293" s="58" t="s">
        <v>2203</v>
      </c>
      <c r="H1293" s="137">
        <v>270</v>
      </c>
      <c r="I1293" s="137" t="s">
        <v>2116</v>
      </c>
      <c r="J1293" s="137" t="s">
        <v>2117</v>
      </c>
      <c r="K1293" s="206" t="s">
        <v>9</v>
      </c>
      <c r="L1293" s="93" t="s">
        <v>2203</v>
      </c>
      <c r="M1293" s="207" t="s">
        <v>3492</v>
      </c>
      <c r="N1293" s="95" t="s">
        <v>3042</v>
      </c>
      <c r="O1293" s="208">
        <v>3</v>
      </c>
      <c r="P1293" s="109">
        <f t="shared" ref="P1293:P1296" si="306">1.05/19*O1293</f>
        <v>0.16578947368421054</v>
      </c>
      <c r="Q1293" s="208" t="s">
        <v>3392</v>
      </c>
      <c r="R1293" s="137">
        <f t="shared" ref="R1293:R1296" si="307">1260-92</f>
        <v>1168</v>
      </c>
      <c r="S1293" s="106"/>
      <c r="T1293" s="141">
        <v>0</v>
      </c>
      <c r="U1293" s="209">
        <f t="shared" si="296"/>
        <v>193.6421052631579</v>
      </c>
      <c r="V1293" s="100">
        <f t="shared" ref="V1293:V1356" si="308">U1293/H1293</f>
        <v>0.71719298245614038</v>
      </c>
      <c r="W1293" s="101">
        <f t="shared" ref="W1293:W1356" si="309">V1293/7</f>
        <v>0.1024561403508772</v>
      </c>
      <c r="X1293" s="95"/>
      <c r="Y1293" s="95"/>
      <c r="Z1293" s="102"/>
      <c r="AA1293" s="103">
        <v>45961</v>
      </c>
      <c r="AB1293" s="103">
        <v>45980</v>
      </c>
      <c r="AC1293" s="103"/>
      <c r="AD1293" s="104">
        <f>IF(ISNA(VLOOKUP(D1293,亚马逊入库配置费!B:F,5,0)),0,VLOOKUP(D1293,亚马逊入库配置费!B:F,5,0))</f>
        <v>0.34</v>
      </c>
      <c r="AE1293" s="104">
        <f t="shared" si="302"/>
        <v>91.800000000000011</v>
      </c>
      <c r="AF1293" s="103">
        <v>45988</v>
      </c>
      <c r="AG1293" s="90">
        <f t="shared" si="303"/>
        <v>27</v>
      </c>
      <c r="AH1293" s="103">
        <v>45988</v>
      </c>
      <c r="AI1293" s="103">
        <v>46019</v>
      </c>
      <c r="AJ1293" s="96">
        <v>271</v>
      </c>
      <c r="AK1293" s="91">
        <f t="shared" si="304"/>
        <v>31</v>
      </c>
      <c r="AL1293" s="96">
        <f t="shared" si="305"/>
        <v>58</v>
      </c>
      <c r="AM1293" s="92"/>
      <c r="AN1293" s="91"/>
      <c r="AO1293" s="91"/>
    </row>
    <row r="1294" spans="1:41" ht="14.5" x14ac:dyDescent="0.25">
      <c r="A1294" s="110" t="s">
        <v>2204</v>
      </c>
      <c r="B1294" s="91" t="s">
        <v>3469</v>
      </c>
      <c r="C1294" s="137" t="s">
        <v>2199</v>
      </c>
      <c r="D1294" s="206" t="s">
        <v>2200</v>
      </c>
      <c r="E1294" s="135" t="s">
        <v>97</v>
      </c>
      <c r="F1294" s="135" t="s">
        <v>0</v>
      </c>
      <c r="G1294" s="58" t="s">
        <v>1052</v>
      </c>
      <c r="H1294" s="137">
        <v>156</v>
      </c>
      <c r="I1294" s="137" t="s">
        <v>2116</v>
      </c>
      <c r="J1294" s="137" t="s">
        <v>2117</v>
      </c>
      <c r="K1294" s="206" t="s">
        <v>9</v>
      </c>
      <c r="L1294" s="93" t="s">
        <v>3089</v>
      </c>
      <c r="M1294" s="207" t="s">
        <v>3493</v>
      </c>
      <c r="N1294" s="95" t="s">
        <v>3042</v>
      </c>
      <c r="O1294" s="208">
        <v>2</v>
      </c>
      <c r="P1294" s="109">
        <f t="shared" si="306"/>
        <v>0.11052631578947369</v>
      </c>
      <c r="Q1294" s="208" t="s">
        <v>3392</v>
      </c>
      <c r="R1294" s="137">
        <f t="shared" si="307"/>
        <v>1168</v>
      </c>
      <c r="S1294" s="106"/>
      <c r="T1294" s="141">
        <v>0</v>
      </c>
      <c r="U1294" s="209">
        <f t="shared" si="296"/>
        <v>129.09473684210528</v>
      </c>
      <c r="V1294" s="100">
        <f t="shared" si="308"/>
        <v>0.82753036437246974</v>
      </c>
      <c r="W1294" s="101">
        <f t="shared" si="309"/>
        <v>0.11821862348178139</v>
      </c>
      <c r="X1294" s="95"/>
      <c r="Y1294" s="95"/>
      <c r="Z1294" s="102"/>
      <c r="AA1294" s="103">
        <v>45961</v>
      </c>
      <c r="AB1294" s="103">
        <v>45980</v>
      </c>
      <c r="AC1294" s="103"/>
      <c r="AD1294" s="104">
        <f>IF(ISNA(VLOOKUP(D1294,亚马逊入库配置费!B:F,5,0)),0,VLOOKUP(D1294,亚马逊入库配置费!B:F,5,0))</f>
        <v>0.34</v>
      </c>
      <c r="AE1294" s="104">
        <f t="shared" si="302"/>
        <v>53.040000000000006</v>
      </c>
      <c r="AF1294" s="103">
        <v>45988</v>
      </c>
      <c r="AG1294" s="90">
        <f t="shared" si="303"/>
        <v>27</v>
      </c>
      <c r="AH1294" s="103">
        <v>45988</v>
      </c>
      <c r="AI1294" s="103">
        <v>46019</v>
      </c>
      <c r="AJ1294" s="96">
        <v>143</v>
      </c>
      <c r="AK1294" s="91">
        <f t="shared" si="304"/>
        <v>31</v>
      </c>
      <c r="AL1294" s="96">
        <f t="shared" si="305"/>
        <v>58</v>
      </c>
      <c r="AM1294" s="92"/>
      <c r="AN1294" s="91"/>
      <c r="AO1294" s="91"/>
    </row>
    <row r="1295" spans="1:41" ht="14.5" x14ac:dyDescent="0.25">
      <c r="A1295" s="110" t="s">
        <v>2205</v>
      </c>
      <c r="B1295" s="91" t="s">
        <v>3469</v>
      </c>
      <c r="C1295" s="137" t="s">
        <v>2199</v>
      </c>
      <c r="D1295" s="206" t="s">
        <v>2200</v>
      </c>
      <c r="E1295" s="135" t="s">
        <v>97</v>
      </c>
      <c r="F1295" s="135" t="s">
        <v>0</v>
      </c>
      <c r="G1295" s="58" t="s">
        <v>316</v>
      </c>
      <c r="H1295" s="137">
        <v>720</v>
      </c>
      <c r="I1295" s="137" t="s">
        <v>2116</v>
      </c>
      <c r="J1295" s="137" t="s">
        <v>2117</v>
      </c>
      <c r="K1295" s="206" t="s">
        <v>9</v>
      </c>
      <c r="L1295" s="93" t="s">
        <v>3046</v>
      </c>
      <c r="M1295" s="207" t="s">
        <v>3494</v>
      </c>
      <c r="N1295" s="95" t="s">
        <v>3042</v>
      </c>
      <c r="O1295" s="208">
        <v>8</v>
      </c>
      <c r="P1295" s="109">
        <f t="shared" si="306"/>
        <v>0.44210526315789478</v>
      </c>
      <c r="Q1295" s="208" t="s">
        <v>3392</v>
      </c>
      <c r="R1295" s="137">
        <f t="shared" si="307"/>
        <v>1168</v>
      </c>
      <c r="S1295" s="106"/>
      <c r="T1295" s="141">
        <v>0</v>
      </c>
      <c r="U1295" s="209">
        <f t="shared" si="296"/>
        <v>516.37894736842111</v>
      </c>
      <c r="V1295" s="100">
        <f t="shared" si="308"/>
        <v>0.71719298245614038</v>
      </c>
      <c r="W1295" s="101">
        <f t="shared" si="309"/>
        <v>0.1024561403508772</v>
      </c>
      <c r="X1295" s="95"/>
      <c r="Y1295" s="95"/>
      <c r="Z1295" s="102"/>
      <c r="AA1295" s="103">
        <v>45961</v>
      </c>
      <c r="AB1295" s="103">
        <v>45980</v>
      </c>
      <c r="AC1295" s="103"/>
      <c r="AD1295" s="104">
        <f>IF(ISNA(VLOOKUP(D1295,亚马逊入库配置费!B:F,5,0)),0,VLOOKUP(D1295,亚马逊入库配置费!B:F,5,0))</f>
        <v>0.34</v>
      </c>
      <c r="AE1295" s="104">
        <f t="shared" si="302"/>
        <v>244.8</v>
      </c>
      <c r="AF1295" s="103">
        <v>45988</v>
      </c>
      <c r="AG1295" s="90">
        <f t="shared" si="303"/>
        <v>27</v>
      </c>
      <c r="AH1295" s="103">
        <v>45988</v>
      </c>
      <c r="AI1295" s="103">
        <v>46019</v>
      </c>
      <c r="AJ1295" s="96">
        <v>718</v>
      </c>
      <c r="AK1295" s="91">
        <f t="shared" si="304"/>
        <v>31</v>
      </c>
      <c r="AL1295" s="96">
        <f t="shared" si="305"/>
        <v>58</v>
      </c>
      <c r="AM1295" s="92"/>
      <c r="AN1295" s="91"/>
      <c r="AO1295" s="91"/>
    </row>
    <row r="1296" spans="1:41" ht="14.5" x14ac:dyDescent="0.25">
      <c r="A1296" s="110" t="s">
        <v>2206</v>
      </c>
      <c r="B1296" s="91" t="s">
        <v>3469</v>
      </c>
      <c r="C1296" s="137" t="s">
        <v>2199</v>
      </c>
      <c r="D1296" s="206" t="s">
        <v>2200</v>
      </c>
      <c r="E1296" s="135" t="s">
        <v>97</v>
      </c>
      <c r="F1296" s="135" t="s">
        <v>0</v>
      </c>
      <c r="G1296" s="58" t="s">
        <v>2207</v>
      </c>
      <c r="H1296" s="137">
        <v>270</v>
      </c>
      <c r="I1296" s="137" t="s">
        <v>2116</v>
      </c>
      <c r="J1296" s="137" t="s">
        <v>2117</v>
      </c>
      <c r="K1296" s="206" t="s">
        <v>9</v>
      </c>
      <c r="L1296" s="93" t="s">
        <v>2207</v>
      </c>
      <c r="M1296" s="207" t="s">
        <v>3495</v>
      </c>
      <c r="N1296" s="95" t="s">
        <v>3042</v>
      </c>
      <c r="O1296" s="208">
        <v>3</v>
      </c>
      <c r="P1296" s="109">
        <f t="shared" si="306"/>
        <v>0.16578947368421054</v>
      </c>
      <c r="Q1296" s="208" t="s">
        <v>3392</v>
      </c>
      <c r="R1296" s="137">
        <f t="shared" si="307"/>
        <v>1168</v>
      </c>
      <c r="S1296" s="106"/>
      <c r="T1296" s="141">
        <v>0</v>
      </c>
      <c r="U1296" s="209">
        <f t="shared" si="296"/>
        <v>193.6421052631579</v>
      </c>
      <c r="V1296" s="100">
        <f t="shared" si="308"/>
        <v>0.71719298245614038</v>
      </c>
      <c r="W1296" s="101">
        <f t="shared" si="309"/>
        <v>0.1024561403508772</v>
      </c>
      <c r="X1296" s="95"/>
      <c r="Y1296" s="95"/>
      <c r="Z1296" s="102"/>
      <c r="AA1296" s="103">
        <v>45961</v>
      </c>
      <c r="AB1296" s="103">
        <v>45980</v>
      </c>
      <c r="AC1296" s="103"/>
      <c r="AD1296" s="104">
        <f>IF(ISNA(VLOOKUP(D1296,亚马逊入库配置费!B:F,5,0)),0,VLOOKUP(D1296,亚马逊入库配置费!B:F,5,0))</f>
        <v>0.34</v>
      </c>
      <c r="AE1296" s="104">
        <f t="shared" si="302"/>
        <v>91.800000000000011</v>
      </c>
      <c r="AF1296" s="103">
        <v>45988</v>
      </c>
      <c r="AG1296" s="90">
        <f t="shared" si="303"/>
        <v>27</v>
      </c>
      <c r="AH1296" s="103">
        <v>45988</v>
      </c>
      <c r="AI1296" s="103">
        <v>46019</v>
      </c>
      <c r="AJ1296" s="96">
        <v>270</v>
      </c>
      <c r="AK1296" s="91">
        <f t="shared" si="304"/>
        <v>31</v>
      </c>
      <c r="AL1296" s="96">
        <f t="shared" si="305"/>
        <v>58</v>
      </c>
      <c r="AM1296" s="92"/>
      <c r="AN1296" s="91"/>
      <c r="AO1296" s="91"/>
    </row>
    <row r="1297" spans="1:41" ht="14.5" x14ac:dyDescent="0.25">
      <c r="A1297" s="110" t="s">
        <v>2208</v>
      </c>
      <c r="B1297" s="91"/>
      <c r="C1297" s="135" t="s">
        <v>2168</v>
      </c>
      <c r="D1297" s="187" t="s">
        <v>2209</v>
      </c>
      <c r="E1297" s="135" t="s">
        <v>115</v>
      </c>
      <c r="F1297" s="135" t="s">
        <v>0</v>
      </c>
      <c r="G1297" s="58" t="s">
        <v>594</v>
      </c>
      <c r="H1297" s="135">
        <v>252</v>
      </c>
      <c r="I1297" s="135" t="s">
        <v>89</v>
      </c>
      <c r="J1297" s="135" t="s">
        <v>8</v>
      </c>
      <c r="K1297" s="187" t="s">
        <v>9</v>
      </c>
      <c r="L1297" s="93" t="s">
        <v>2694</v>
      </c>
      <c r="M1297" s="94" t="s">
        <v>3214</v>
      </c>
      <c r="N1297" s="95" t="s">
        <v>2822</v>
      </c>
      <c r="O1297" s="189">
        <v>7</v>
      </c>
      <c r="P1297" s="97">
        <v>153</v>
      </c>
      <c r="Q1297" s="185" t="s">
        <v>1443</v>
      </c>
      <c r="R1297" s="135">
        <v>5.3</v>
      </c>
      <c r="S1297" s="95"/>
      <c r="T1297" s="98">
        <v>14.8484848484848</v>
      </c>
      <c r="U1297" s="186">
        <f t="shared" si="296"/>
        <v>825.74848484848474</v>
      </c>
      <c r="V1297" s="100">
        <f t="shared" si="308"/>
        <v>3.2767797017797013</v>
      </c>
      <c r="W1297" s="101">
        <f t="shared" si="309"/>
        <v>0.46811138596852875</v>
      </c>
      <c r="X1297" s="95"/>
      <c r="Y1297" s="95"/>
      <c r="Z1297" s="102"/>
      <c r="AA1297" s="103">
        <v>45961</v>
      </c>
      <c r="AB1297" s="103">
        <v>45983</v>
      </c>
      <c r="AC1297" s="103"/>
      <c r="AD1297" s="104">
        <f>IF(ISNA(VLOOKUP(D1297,亚马逊入库配置费!B:F,5,0)),0,VLOOKUP(D1297,亚马逊入库配置费!B:F,5,0))</f>
        <v>0.41</v>
      </c>
      <c r="AE1297" s="104">
        <f t="shared" si="302"/>
        <v>103.32</v>
      </c>
      <c r="AF1297" s="103">
        <v>46000</v>
      </c>
      <c r="AG1297" s="90">
        <f t="shared" si="303"/>
        <v>39</v>
      </c>
      <c r="AH1297" s="103">
        <v>46000</v>
      </c>
      <c r="AI1297" s="103">
        <v>46030</v>
      </c>
      <c r="AJ1297" s="96">
        <v>288</v>
      </c>
      <c r="AK1297" s="91">
        <f t="shared" si="304"/>
        <v>30</v>
      </c>
      <c r="AL1297" s="96">
        <f t="shared" si="305"/>
        <v>69</v>
      </c>
      <c r="AM1297" s="92"/>
      <c r="AN1297" s="91"/>
      <c r="AO1297" s="91"/>
    </row>
    <row r="1298" spans="1:41" ht="14.5" x14ac:dyDescent="0.25">
      <c r="A1298" s="110" t="s">
        <v>2210</v>
      </c>
      <c r="B1298" s="91"/>
      <c r="C1298" s="135" t="s">
        <v>2168</v>
      </c>
      <c r="D1298" s="187" t="s">
        <v>2211</v>
      </c>
      <c r="E1298" s="135" t="s">
        <v>115</v>
      </c>
      <c r="F1298" s="135" t="s">
        <v>0</v>
      </c>
      <c r="G1298" s="58" t="s">
        <v>453</v>
      </c>
      <c r="H1298" s="135">
        <v>350</v>
      </c>
      <c r="I1298" s="135" t="s">
        <v>89</v>
      </c>
      <c r="J1298" s="135" t="s">
        <v>8</v>
      </c>
      <c r="K1298" s="187" t="s">
        <v>13</v>
      </c>
      <c r="L1298" s="93" t="s">
        <v>3058</v>
      </c>
      <c r="M1298" s="94" t="s">
        <v>3350</v>
      </c>
      <c r="N1298" s="95" t="s">
        <v>2865</v>
      </c>
      <c r="O1298" s="189">
        <v>5</v>
      </c>
      <c r="P1298" s="97">
        <v>96.6666666666667</v>
      </c>
      <c r="Q1298" s="185" t="s">
        <v>1443</v>
      </c>
      <c r="R1298" s="135">
        <v>5.3</v>
      </c>
      <c r="S1298" s="95"/>
      <c r="T1298" s="98">
        <v>10.6060606060606</v>
      </c>
      <c r="U1298" s="186">
        <f t="shared" si="296"/>
        <v>522.93939393939411</v>
      </c>
      <c r="V1298" s="100">
        <f t="shared" si="308"/>
        <v>1.4941125541125546</v>
      </c>
      <c r="W1298" s="101">
        <f t="shared" si="309"/>
        <v>0.21344465058750781</v>
      </c>
      <c r="X1298" s="95"/>
      <c r="Y1298" s="95"/>
      <c r="Z1298" s="102"/>
      <c r="AA1298" s="103">
        <v>45961</v>
      </c>
      <c r="AB1298" s="103">
        <v>45983</v>
      </c>
      <c r="AC1298" s="103"/>
      <c r="AD1298" s="104">
        <f>IF(ISNA(VLOOKUP(D1298,亚马逊入库配置费!B:F,5,0)),0,VLOOKUP(D1298,亚马逊入库配置费!B:F,5,0))</f>
        <v>0.34</v>
      </c>
      <c r="AE1298" s="104">
        <f t="shared" si="302"/>
        <v>119.00000000000001</v>
      </c>
      <c r="AF1298" s="103">
        <v>45999</v>
      </c>
      <c r="AG1298" s="90">
        <f t="shared" si="303"/>
        <v>38</v>
      </c>
      <c r="AH1298" s="103">
        <v>45999</v>
      </c>
      <c r="AI1298" s="103">
        <v>46026</v>
      </c>
      <c r="AJ1298" s="96">
        <v>319</v>
      </c>
      <c r="AK1298" s="91">
        <f t="shared" si="304"/>
        <v>27</v>
      </c>
      <c r="AL1298" s="96">
        <f t="shared" si="305"/>
        <v>65</v>
      </c>
      <c r="AM1298" s="92"/>
      <c r="AN1298" s="91"/>
      <c r="AO1298" s="91"/>
    </row>
    <row r="1299" spans="1:41" ht="14.5" x14ac:dyDescent="0.25">
      <c r="A1299" s="110" t="s">
        <v>2212</v>
      </c>
      <c r="B1299" s="91"/>
      <c r="C1299" s="135" t="s">
        <v>2168</v>
      </c>
      <c r="D1299" s="187" t="s">
        <v>2211</v>
      </c>
      <c r="E1299" s="135" t="s">
        <v>115</v>
      </c>
      <c r="F1299" s="135" t="s">
        <v>0</v>
      </c>
      <c r="G1299" s="58" t="s">
        <v>453</v>
      </c>
      <c r="H1299" s="135">
        <v>42</v>
      </c>
      <c r="I1299" s="135" t="s">
        <v>89</v>
      </c>
      <c r="J1299" s="135" t="s">
        <v>8</v>
      </c>
      <c r="K1299" s="187" t="s">
        <v>13</v>
      </c>
      <c r="L1299" s="93" t="s">
        <v>3058</v>
      </c>
      <c r="M1299" s="94" t="s">
        <v>3350</v>
      </c>
      <c r="N1299" s="95" t="s">
        <v>2865</v>
      </c>
      <c r="O1299" s="189">
        <v>0.6</v>
      </c>
      <c r="P1299" s="97">
        <v>11.6</v>
      </c>
      <c r="Q1299" s="185" t="s">
        <v>1443</v>
      </c>
      <c r="R1299" s="135">
        <v>5.3</v>
      </c>
      <c r="S1299" s="95"/>
      <c r="T1299" s="98">
        <v>1.27272727272727</v>
      </c>
      <c r="U1299" s="186">
        <f t="shared" si="296"/>
        <v>62.75272727272727</v>
      </c>
      <c r="V1299" s="100">
        <f t="shared" si="308"/>
        <v>1.4941125541125539</v>
      </c>
      <c r="W1299" s="101">
        <f t="shared" si="309"/>
        <v>0.21344465058750769</v>
      </c>
      <c r="X1299" s="95"/>
      <c r="Y1299" s="95"/>
      <c r="Z1299" s="102"/>
      <c r="AA1299" s="103">
        <v>45961</v>
      </c>
      <c r="AB1299" s="103">
        <v>45983</v>
      </c>
      <c r="AC1299" s="103"/>
      <c r="AD1299" s="104">
        <f>IF(ISNA(VLOOKUP(D1299,亚马逊入库配置费!B:F,5,0)),0,VLOOKUP(D1299,亚马逊入库配置费!B:F,5,0))</f>
        <v>0.34</v>
      </c>
      <c r="AE1299" s="104">
        <f t="shared" si="302"/>
        <v>14.280000000000001</v>
      </c>
      <c r="AF1299" s="103">
        <v>45999</v>
      </c>
      <c r="AG1299" s="90">
        <f>AF1299-AA1299</f>
        <v>38</v>
      </c>
      <c r="AH1299" s="103">
        <v>45999</v>
      </c>
      <c r="AI1299" s="103">
        <v>46026</v>
      </c>
      <c r="AJ1299" s="96">
        <v>42</v>
      </c>
      <c r="AK1299" s="91">
        <f t="shared" si="304"/>
        <v>27</v>
      </c>
      <c r="AL1299" s="96">
        <f t="shared" si="305"/>
        <v>65</v>
      </c>
      <c r="AM1299" s="92"/>
      <c r="AN1299" s="91"/>
      <c r="AO1299" s="91"/>
    </row>
    <row r="1300" spans="1:41" ht="14.5" x14ac:dyDescent="0.25">
      <c r="A1300" s="110" t="s">
        <v>2213</v>
      </c>
      <c r="B1300" s="91"/>
      <c r="C1300" s="135" t="s">
        <v>2168</v>
      </c>
      <c r="D1300" s="187" t="s">
        <v>2211</v>
      </c>
      <c r="E1300" s="135" t="s">
        <v>115</v>
      </c>
      <c r="F1300" s="135" t="s">
        <v>0</v>
      </c>
      <c r="G1300" s="58" t="s">
        <v>448</v>
      </c>
      <c r="H1300" s="135">
        <v>28</v>
      </c>
      <c r="I1300" s="135" t="s">
        <v>89</v>
      </c>
      <c r="J1300" s="135" t="s">
        <v>8</v>
      </c>
      <c r="K1300" s="187" t="s">
        <v>13</v>
      </c>
      <c r="L1300" s="93" t="s">
        <v>3056</v>
      </c>
      <c r="M1300" s="94" t="s">
        <v>3348</v>
      </c>
      <c r="N1300" s="95" t="s">
        <v>2865</v>
      </c>
      <c r="O1300" s="189">
        <v>0.4</v>
      </c>
      <c r="P1300" s="97">
        <v>7.7333333333333298</v>
      </c>
      <c r="Q1300" s="185" t="s">
        <v>1443</v>
      </c>
      <c r="R1300" s="135">
        <v>5.3</v>
      </c>
      <c r="S1300" s="95"/>
      <c r="T1300" s="98">
        <v>0.84848484848484895</v>
      </c>
      <c r="U1300" s="186">
        <f t="shared" si="296"/>
        <v>41.835151515151495</v>
      </c>
      <c r="V1300" s="100">
        <f t="shared" si="308"/>
        <v>1.4941125541125533</v>
      </c>
      <c r="W1300" s="101">
        <f t="shared" si="309"/>
        <v>0.21344465058750761</v>
      </c>
      <c r="X1300" s="95"/>
      <c r="Y1300" s="95"/>
      <c r="Z1300" s="102"/>
      <c r="AA1300" s="103">
        <v>45961</v>
      </c>
      <c r="AB1300" s="103">
        <v>45983</v>
      </c>
      <c r="AC1300" s="103"/>
      <c r="AD1300" s="104">
        <f>IF(ISNA(VLOOKUP(D1300,亚马逊入库配置费!B:F,5,0)),0,VLOOKUP(D1300,亚马逊入库配置费!B:F,5,0))</f>
        <v>0.34</v>
      </c>
      <c r="AE1300" s="104">
        <f t="shared" si="302"/>
        <v>9.5200000000000014</v>
      </c>
      <c r="AF1300" s="103">
        <v>45999</v>
      </c>
      <c r="AG1300" s="90">
        <f>AF1300-AA1300</f>
        <v>38</v>
      </c>
      <c r="AH1300" s="103">
        <v>45999</v>
      </c>
      <c r="AI1300" s="103">
        <v>46026</v>
      </c>
      <c r="AJ1300" s="96">
        <v>27</v>
      </c>
      <c r="AK1300" s="91">
        <f t="shared" si="304"/>
        <v>27</v>
      </c>
      <c r="AL1300" s="96">
        <f t="shared" si="305"/>
        <v>65</v>
      </c>
      <c r="AM1300" s="92"/>
      <c r="AN1300" s="91"/>
      <c r="AO1300" s="91"/>
    </row>
    <row r="1301" spans="1:41" ht="14.5" x14ac:dyDescent="0.25">
      <c r="A1301" s="110" t="s">
        <v>2214</v>
      </c>
      <c r="B1301" s="91"/>
      <c r="C1301" s="135" t="s">
        <v>2215</v>
      </c>
      <c r="D1301" s="187" t="s">
        <v>2216</v>
      </c>
      <c r="E1301" s="135" t="s">
        <v>97</v>
      </c>
      <c r="F1301" s="135" t="s">
        <v>0</v>
      </c>
      <c r="G1301" s="58" t="s">
        <v>88</v>
      </c>
      <c r="H1301" s="135">
        <v>180</v>
      </c>
      <c r="I1301" s="135" t="s">
        <v>207</v>
      </c>
      <c r="J1301" s="135" t="s">
        <v>8</v>
      </c>
      <c r="K1301" s="187" t="s">
        <v>9</v>
      </c>
      <c r="L1301" s="93" t="s">
        <v>3014</v>
      </c>
      <c r="M1301" s="94" t="s">
        <v>3286</v>
      </c>
      <c r="N1301" s="95" t="s">
        <v>2821</v>
      </c>
      <c r="O1301" s="189">
        <v>15</v>
      </c>
      <c r="P1301" s="97">
        <v>236.27844827586199</v>
      </c>
      <c r="Q1301" s="189" t="s">
        <v>16</v>
      </c>
      <c r="R1301" s="135">
        <v>4.7</v>
      </c>
      <c r="S1301" s="95">
        <v>350</v>
      </c>
      <c r="T1301" s="98">
        <v>40.697674418604599</v>
      </c>
      <c r="U1301" s="186">
        <f t="shared" si="296"/>
        <v>1151.2063813151558</v>
      </c>
      <c r="V1301" s="100">
        <f t="shared" si="308"/>
        <v>6.3955910073064208</v>
      </c>
      <c r="W1301" s="101">
        <f t="shared" si="309"/>
        <v>0.91365585818663153</v>
      </c>
      <c r="X1301" s="95"/>
      <c r="Y1301" s="95"/>
      <c r="Z1301" s="102"/>
      <c r="AA1301" s="103">
        <v>45968</v>
      </c>
      <c r="AB1301" s="103">
        <v>45989</v>
      </c>
      <c r="AC1301" s="103"/>
      <c r="AD1301" s="104">
        <f>IF(ISNA(VLOOKUP(D1301,亚马逊入库配置费!B:F,5,0)),0,VLOOKUP(D1301,亚马逊入库配置费!B:F,5,0))</f>
        <v>0.49</v>
      </c>
      <c r="AE1301" s="104">
        <f t="shared" si="302"/>
        <v>88.2</v>
      </c>
      <c r="AF1301" s="103">
        <v>46000</v>
      </c>
      <c r="AG1301" s="90">
        <f t="shared" si="303"/>
        <v>32</v>
      </c>
      <c r="AH1301" s="103">
        <v>46000</v>
      </c>
      <c r="AI1301" s="103">
        <v>46035</v>
      </c>
      <c r="AJ1301" s="96">
        <v>180</v>
      </c>
      <c r="AK1301" s="91">
        <f t="shared" si="304"/>
        <v>35</v>
      </c>
      <c r="AL1301" s="96">
        <f t="shared" si="305"/>
        <v>67</v>
      </c>
      <c r="AM1301" s="92"/>
      <c r="AN1301" s="91"/>
      <c r="AO1301" s="91"/>
    </row>
    <row r="1302" spans="1:41" ht="14.5" x14ac:dyDescent="0.25">
      <c r="A1302" s="110" t="s">
        <v>2217</v>
      </c>
      <c r="B1302" s="91"/>
      <c r="C1302" s="135" t="s">
        <v>2215</v>
      </c>
      <c r="D1302" s="187" t="s">
        <v>2216</v>
      </c>
      <c r="E1302" s="135" t="s">
        <v>97</v>
      </c>
      <c r="F1302" s="135" t="s">
        <v>0</v>
      </c>
      <c r="G1302" s="58" t="s">
        <v>93</v>
      </c>
      <c r="H1302" s="135">
        <v>516</v>
      </c>
      <c r="I1302" s="135" t="s">
        <v>207</v>
      </c>
      <c r="J1302" s="135" t="s">
        <v>8</v>
      </c>
      <c r="K1302" s="187" t="s">
        <v>9</v>
      </c>
      <c r="L1302" s="93" t="s">
        <v>3015</v>
      </c>
      <c r="M1302" s="94" t="s">
        <v>3288</v>
      </c>
      <c r="N1302" s="95" t="s">
        <v>2821</v>
      </c>
      <c r="O1302" s="189">
        <v>43</v>
      </c>
      <c r="P1302" s="97">
        <v>677.33155172413797</v>
      </c>
      <c r="Q1302" s="189" t="s">
        <v>16</v>
      </c>
      <c r="R1302" s="135">
        <v>4.7</v>
      </c>
      <c r="S1302" s="106">
        <f>SUMIF(C:C,C1301,T:T)</f>
        <v>350.00000000000068</v>
      </c>
      <c r="T1302" s="98">
        <v>116.666666666667</v>
      </c>
      <c r="U1302" s="186">
        <f t="shared" si="296"/>
        <v>3300.1249597701153</v>
      </c>
      <c r="V1302" s="100">
        <f t="shared" si="308"/>
        <v>6.3955910073064253</v>
      </c>
      <c r="W1302" s="101">
        <f t="shared" si="309"/>
        <v>0.9136558581866322</v>
      </c>
      <c r="X1302" s="95"/>
      <c r="Y1302" s="95"/>
      <c r="Z1302" s="102"/>
      <c r="AA1302" s="103">
        <v>45968</v>
      </c>
      <c r="AB1302" s="103">
        <v>45989</v>
      </c>
      <c r="AC1302" s="103"/>
      <c r="AD1302" s="104">
        <f>IF(ISNA(VLOOKUP(D1302,亚马逊入库配置费!B:F,5,0)),0,VLOOKUP(D1302,亚马逊入库配置费!B:F,5,0))</f>
        <v>0.49</v>
      </c>
      <c r="AE1302" s="104">
        <f t="shared" si="302"/>
        <v>252.84</v>
      </c>
      <c r="AF1302" s="103">
        <v>46000</v>
      </c>
      <c r="AG1302" s="90">
        <f t="shared" si="303"/>
        <v>32</v>
      </c>
      <c r="AH1302" s="103">
        <v>46000</v>
      </c>
      <c r="AI1302" s="103">
        <v>46035</v>
      </c>
      <c r="AJ1302" s="96">
        <v>516</v>
      </c>
      <c r="AK1302" s="91">
        <f t="shared" si="304"/>
        <v>35</v>
      </c>
      <c r="AL1302" s="96">
        <f t="shared" si="305"/>
        <v>67</v>
      </c>
      <c r="AM1302" s="92"/>
      <c r="AN1302" s="91"/>
      <c r="AO1302" s="91"/>
    </row>
    <row r="1303" spans="1:41" ht="14.5" x14ac:dyDescent="0.25">
      <c r="A1303" s="110" t="s">
        <v>2218</v>
      </c>
      <c r="B1303" s="91"/>
      <c r="C1303" s="135" t="s">
        <v>2215</v>
      </c>
      <c r="D1303" s="187" t="s">
        <v>2219</v>
      </c>
      <c r="E1303" s="135" t="s">
        <v>97</v>
      </c>
      <c r="F1303" s="135" t="s">
        <v>0</v>
      </c>
      <c r="G1303" s="58" t="s">
        <v>2179</v>
      </c>
      <c r="H1303" s="135">
        <v>552</v>
      </c>
      <c r="I1303" s="135" t="s">
        <v>207</v>
      </c>
      <c r="J1303" s="135" t="s">
        <v>8</v>
      </c>
      <c r="K1303" s="187" t="s">
        <v>9</v>
      </c>
      <c r="L1303" s="93" t="s">
        <v>2179</v>
      </c>
      <c r="M1303" s="94" t="s">
        <v>3488</v>
      </c>
      <c r="N1303" s="95" t="s">
        <v>2821</v>
      </c>
      <c r="O1303" s="189">
        <v>46</v>
      </c>
      <c r="P1303" s="97">
        <v>724.59</v>
      </c>
      <c r="Q1303" s="189" t="s">
        <v>16</v>
      </c>
      <c r="R1303" s="135">
        <v>4.7</v>
      </c>
      <c r="S1303" s="95"/>
      <c r="T1303" s="98">
        <v>124.806201550388</v>
      </c>
      <c r="U1303" s="186">
        <f t="shared" si="296"/>
        <v>3530.3792015503882</v>
      </c>
      <c r="V1303" s="100">
        <f t="shared" si="308"/>
        <v>6.3956144955622971</v>
      </c>
      <c r="W1303" s="101">
        <f t="shared" si="309"/>
        <v>0.91365921365175673</v>
      </c>
      <c r="X1303" s="95"/>
      <c r="Y1303" s="95"/>
      <c r="Z1303" s="102"/>
      <c r="AA1303" s="103">
        <v>45968</v>
      </c>
      <c r="AB1303" s="103">
        <v>45989</v>
      </c>
      <c r="AC1303" s="103"/>
      <c r="AD1303" s="104">
        <f>IF(ISNA(VLOOKUP(D1303,亚马逊入库配置费!B:F,5,0)),0,VLOOKUP(D1303,亚马逊入库配置费!B:F,5,0))</f>
        <v>0.49</v>
      </c>
      <c r="AE1303" s="104">
        <f t="shared" si="302"/>
        <v>270.48</v>
      </c>
      <c r="AF1303" s="103">
        <v>46002</v>
      </c>
      <c r="AG1303" s="90">
        <f t="shared" si="303"/>
        <v>34</v>
      </c>
      <c r="AH1303" s="103">
        <v>46002</v>
      </c>
      <c r="AI1303" s="103">
        <v>46037</v>
      </c>
      <c r="AJ1303" s="96">
        <v>552</v>
      </c>
      <c r="AK1303" s="91">
        <f t="shared" si="304"/>
        <v>35</v>
      </c>
      <c r="AL1303" s="96">
        <f t="shared" si="305"/>
        <v>69</v>
      </c>
      <c r="AM1303" s="92"/>
      <c r="AN1303" s="91"/>
      <c r="AO1303" s="91"/>
    </row>
    <row r="1304" spans="1:41" ht="14.5" x14ac:dyDescent="0.25">
      <c r="A1304" s="110" t="s">
        <v>2220</v>
      </c>
      <c r="B1304" s="91"/>
      <c r="C1304" s="135" t="s">
        <v>2215</v>
      </c>
      <c r="D1304" s="187" t="s">
        <v>2221</v>
      </c>
      <c r="E1304" s="135" t="s">
        <v>97</v>
      </c>
      <c r="F1304" s="135" t="s">
        <v>0</v>
      </c>
      <c r="G1304" s="58" t="s">
        <v>2172</v>
      </c>
      <c r="H1304" s="135">
        <v>800</v>
      </c>
      <c r="I1304" s="135" t="s">
        <v>207</v>
      </c>
      <c r="J1304" s="135" t="s">
        <v>8</v>
      </c>
      <c r="K1304" s="187" t="s">
        <v>9</v>
      </c>
      <c r="L1304" s="93" t="s">
        <v>2172</v>
      </c>
      <c r="M1304" s="94" t="s">
        <v>3486</v>
      </c>
      <c r="N1304" s="95" t="s">
        <v>2985</v>
      </c>
      <c r="O1304" s="189">
        <v>25</v>
      </c>
      <c r="P1304" s="97">
        <v>393.8</v>
      </c>
      <c r="Q1304" s="189" t="s">
        <v>16</v>
      </c>
      <c r="R1304" s="135">
        <v>4.7</v>
      </c>
      <c r="S1304" s="95"/>
      <c r="T1304" s="98">
        <v>67.829457364341096</v>
      </c>
      <c r="U1304" s="186">
        <f t="shared" si="296"/>
        <v>1918.6894573643413</v>
      </c>
      <c r="V1304" s="100">
        <f t="shared" si="308"/>
        <v>2.3983618217054268</v>
      </c>
      <c r="W1304" s="101">
        <f t="shared" si="309"/>
        <v>0.34262311738648954</v>
      </c>
      <c r="X1304" s="95"/>
      <c r="Y1304" s="95"/>
      <c r="Z1304" s="102"/>
      <c r="AA1304" s="103">
        <v>45968</v>
      </c>
      <c r="AB1304" s="103">
        <v>45989</v>
      </c>
      <c r="AC1304" s="103"/>
      <c r="AD1304" s="104">
        <f>IF(ISNA(VLOOKUP(D1304,亚马逊入库配置费!B:F,5,0)),0,VLOOKUP(D1304,亚马逊入库配置费!B:F,5,0))</f>
        <v>0.41</v>
      </c>
      <c r="AE1304" s="104">
        <f t="shared" si="302"/>
        <v>328</v>
      </c>
      <c r="AF1304" s="103">
        <v>46002</v>
      </c>
      <c r="AG1304" s="90">
        <f t="shared" si="303"/>
        <v>34</v>
      </c>
      <c r="AH1304" s="103">
        <v>46002</v>
      </c>
      <c r="AI1304" s="103">
        <v>46034</v>
      </c>
      <c r="AJ1304" s="96">
        <v>800</v>
      </c>
      <c r="AK1304" s="91">
        <f t="shared" si="304"/>
        <v>32</v>
      </c>
      <c r="AL1304" s="96">
        <f t="shared" si="305"/>
        <v>66</v>
      </c>
      <c r="AM1304" s="92"/>
      <c r="AN1304" s="91"/>
      <c r="AO1304" s="91"/>
    </row>
    <row r="1305" spans="1:41" ht="14.5" x14ac:dyDescent="0.25">
      <c r="A1305" s="110" t="s">
        <v>2222</v>
      </c>
      <c r="B1305" s="91"/>
      <c r="C1305" s="135" t="s">
        <v>2223</v>
      </c>
      <c r="D1305" s="187" t="s">
        <v>2224</v>
      </c>
      <c r="E1305" s="135" t="s">
        <v>97</v>
      </c>
      <c r="F1305" s="135" t="s">
        <v>0</v>
      </c>
      <c r="G1305" s="58" t="s">
        <v>228</v>
      </c>
      <c r="H1305" s="135">
        <v>280</v>
      </c>
      <c r="I1305" s="135" t="s">
        <v>89</v>
      </c>
      <c r="J1305" s="135" t="s">
        <v>8</v>
      </c>
      <c r="K1305" s="187" t="s">
        <v>9</v>
      </c>
      <c r="L1305" s="93" t="s">
        <v>3036</v>
      </c>
      <c r="M1305" s="94" t="s">
        <v>3315</v>
      </c>
      <c r="N1305" s="95" t="s">
        <v>2870</v>
      </c>
      <c r="O1305" s="189">
        <v>14</v>
      </c>
      <c r="P1305" s="97">
        <v>187.76470588235301</v>
      </c>
      <c r="Q1305" s="189" t="s">
        <v>16</v>
      </c>
      <c r="R1305" s="135">
        <v>3.5</v>
      </c>
      <c r="S1305" s="95">
        <v>350</v>
      </c>
      <c r="T1305" s="98">
        <v>14.803625377643501</v>
      </c>
      <c r="U1305" s="186">
        <f t="shared" si="296"/>
        <v>671.98009596587906</v>
      </c>
      <c r="V1305" s="100">
        <f t="shared" si="308"/>
        <v>2.3999289141638536</v>
      </c>
      <c r="W1305" s="101">
        <f t="shared" si="309"/>
        <v>0.34284698773769334</v>
      </c>
      <c r="X1305" s="95"/>
      <c r="Y1305" s="95"/>
      <c r="Z1305" s="102"/>
      <c r="AA1305" s="103">
        <v>45968</v>
      </c>
      <c r="AB1305" s="103">
        <v>45991</v>
      </c>
      <c r="AC1305" s="103"/>
      <c r="AD1305" s="104">
        <f>IF(ISNA(VLOOKUP(D1305,亚马逊入库配置费!B:F,5,0)),0,VLOOKUP(D1305,亚马逊入库配置费!B:F,5,0))</f>
        <v>0.35814814814814799</v>
      </c>
      <c r="AE1305" s="104">
        <f t="shared" si="302"/>
        <v>100.28148148148144</v>
      </c>
      <c r="AF1305" s="103">
        <v>46005</v>
      </c>
      <c r="AG1305" s="90">
        <f t="shared" si="303"/>
        <v>37</v>
      </c>
      <c r="AH1305" s="103">
        <v>46005</v>
      </c>
      <c r="AI1305" s="103">
        <v>46038</v>
      </c>
      <c r="AJ1305" s="96">
        <v>280</v>
      </c>
      <c r="AK1305" s="91">
        <f t="shared" si="304"/>
        <v>33</v>
      </c>
      <c r="AL1305" s="96">
        <f t="shared" si="305"/>
        <v>70</v>
      </c>
      <c r="AM1305" s="92"/>
      <c r="AN1305" s="91"/>
      <c r="AO1305" s="91"/>
    </row>
    <row r="1306" spans="1:41" ht="14.5" x14ac:dyDescent="0.25">
      <c r="A1306" s="110" t="s">
        <v>2225</v>
      </c>
      <c r="B1306" s="91"/>
      <c r="C1306" s="135" t="s">
        <v>2223</v>
      </c>
      <c r="D1306" s="187" t="s">
        <v>2224</v>
      </c>
      <c r="E1306" s="135" t="s">
        <v>97</v>
      </c>
      <c r="F1306" s="135" t="s">
        <v>0</v>
      </c>
      <c r="G1306" s="58" t="s">
        <v>163</v>
      </c>
      <c r="H1306" s="135">
        <v>800</v>
      </c>
      <c r="I1306" s="135" t="s">
        <v>89</v>
      </c>
      <c r="J1306" s="135" t="s">
        <v>8</v>
      </c>
      <c r="K1306" s="187" t="s">
        <v>9</v>
      </c>
      <c r="L1306" s="93" t="s">
        <v>2881</v>
      </c>
      <c r="M1306" s="94" t="s">
        <v>3302</v>
      </c>
      <c r="N1306" s="95" t="s">
        <v>2870</v>
      </c>
      <c r="O1306" s="189">
        <v>20</v>
      </c>
      <c r="P1306" s="97">
        <v>268.23529411764702</v>
      </c>
      <c r="Q1306" s="189" t="s">
        <v>16</v>
      </c>
      <c r="R1306" s="135">
        <v>3.5</v>
      </c>
      <c r="S1306" s="106">
        <f>SUMIF(C:C,C1305,T:T)</f>
        <v>349.99999999999949</v>
      </c>
      <c r="T1306" s="98">
        <v>21.1480362537764</v>
      </c>
      <c r="U1306" s="186">
        <f t="shared" si="296"/>
        <v>959.97156566554088</v>
      </c>
      <c r="V1306" s="100">
        <f t="shared" si="308"/>
        <v>1.1999644570819261</v>
      </c>
      <c r="W1306" s="101">
        <f t="shared" si="309"/>
        <v>0.17142349386884659</v>
      </c>
      <c r="X1306" s="95"/>
      <c r="Y1306" s="95"/>
      <c r="Z1306" s="102"/>
      <c r="AA1306" s="103">
        <v>45968</v>
      </c>
      <c r="AB1306" s="103">
        <v>45991</v>
      </c>
      <c r="AC1306" s="103"/>
      <c r="AD1306" s="104">
        <f>IF(ISNA(VLOOKUP(D1306,亚马逊入库配置费!B:F,5,0)),0,VLOOKUP(D1306,亚马逊入库配置费!B:F,5,0))</f>
        <v>0.35814814814814799</v>
      </c>
      <c r="AE1306" s="104">
        <f t="shared" si="302"/>
        <v>286.51851851851842</v>
      </c>
      <c r="AF1306" s="103">
        <v>46005</v>
      </c>
      <c r="AG1306" s="90">
        <f t="shared" si="303"/>
        <v>37</v>
      </c>
      <c r="AH1306" s="103">
        <v>46005</v>
      </c>
      <c r="AI1306" s="103">
        <v>46038</v>
      </c>
      <c r="AJ1306" s="96">
        <v>799</v>
      </c>
      <c r="AK1306" s="91">
        <f t="shared" si="304"/>
        <v>33</v>
      </c>
      <c r="AL1306" s="96">
        <f t="shared" si="305"/>
        <v>70</v>
      </c>
      <c r="AM1306" s="92"/>
      <c r="AN1306" s="91"/>
      <c r="AO1306" s="91"/>
    </row>
    <row r="1307" spans="1:41" ht="14.5" x14ac:dyDescent="0.25">
      <c r="A1307" s="110" t="s">
        <v>2226</v>
      </c>
      <c r="B1307" s="91"/>
      <c r="C1307" s="135" t="s">
        <v>2223</v>
      </c>
      <c r="D1307" s="187" t="s">
        <v>2227</v>
      </c>
      <c r="E1307" s="135" t="s">
        <v>97</v>
      </c>
      <c r="F1307" s="135" t="s">
        <v>0</v>
      </c>
      <c r="G1307" s="58" t="s">
        <v>2228</v>
      </c>
      <c r="H1307" s="135">
        <v>1200</v>
      </c>
      <c r="I1307" s="135" t="s">
        <v>89</v>
      </c>
      <c r="J1307" s="135" t="s">
        <v>8</v>
      </c>
      <c r="K1307" s="187" t="s">
        <v>50</v>
      </c>
      <c r="L1307" s="93" t="s">
        <v>2228</v>
      </c>
      <c r="M1307" s="94" t="s">
        <v>3496</v>
      </c>
      <c r="N1307" s="95" t="s">
        <v>2870</v>
      </c>
      <c r="O1307" s="189">
        <v>40</v>
      </c>
      <c r="P1307" s="97">
        <v>581.39130434782601</v>
      </c>
      <c r="Q1307" s="189" t="s">
        <v>16</v>
      </c>
      <c r="R1307" s="135">
        <v>4.7</v>
      </c>
      <c r="S1307" s="95"/>
      <c r="T1307" s="98">
        <v>42.2960725075528</v>
      </c>
      <c r="U1307" s="186">
        <f t="shared" si="296"/>
        <v>2774.8352029423349</v>
      </c>
      <c r="V1307" s="100">
        <f t="shared" si="308"/>
        <v>2.3123626691186123</v>
      </c>
      <c r="W1307" s="101">
        <f t="shared" si="309"/>
        <v>0.33033752415980178</v>
      </c>
      <c r="X1307" s="95"/>
      <c r="Y1307" s="95"/>
      <c r="Z1307" s="102"/>
      <c r="AA1307" s="103">
        <v>45968</v>
      </c>
      <c r="AB1307" s="103">
        <v>45991</v>
      </c>
      <c r="AC1307" s="103"/>
      <c r="AD1307" s="104">
        <f>IF(ISNA(VLOOKUP(D1307,亚马逊入库配置费!B:F,5,0)),0,VLOOKUP(D1307,亚马逊入库配置费!B:F,5,0))</f>
        <v>0.41</v>
      </c>
      <c r="AE1307" s="104">
        <f t="shared" si="302"/>
        <v>491.99999999999994</v>
      </c>
      <c r="AF1307" s="103">
        <v>46005</v>
      </c>
      <c r="AG1307" s="90">
        <f t="shared" si="303"/>
        <v>37</v>
      </c>
      <c r="AH1307" s="103">
        <v>46005</v>
      </c>
      <c r="AI1307" s="103">
        <v>46042</v>
      </c>
      <c r="AJ1307" s="96">
        <v>1169</v>
      </c>
      <c r="AK1307" s="91">
        <f t="shared" si="304"/>
        <v>37</v>
      </c>
      <c r="AL1307" s="96">
        <f t="shared" si="305"/>
        <v>74</v>
      </c>
      <c r="AM1307" s="92"/>
      <c r="AN1307" s="91"/>
      <c r="AO1307" s="91"/>
    </row>
    <row r="1308" spans="1:41" ht="14.5" x14ac:dyDescent="0.25">
      <c r="A1308" s="110" t="s">
        <v>2229</v>
      </c>
      <c r="B1308" s="91"/>
      <c r="C1308" s="135" t="s">
        <v>2223</v>
      </c>
      <c r="D1308" s="187" t="s">
        <v>2227</v>
      </c>
      <c r="E1308" s="135" t="s">
        <v>97</v>
      </c>
      <c r="F1308" s="135" t="s">
        <v>0</v>
      </c>
      <c r="G1308" s="58" t="s">
        <v>2230</v>
      </c>
      <c r="H1308" s="135">
        <v>600</v>
      </c>
      <c r="I1308" s="135" t="s">
        <v>89</v>
      </c>
      <c r="J1308" s="135" t="s">
        <v>8</v>
      </c>
      <c r="K1308" s="187" t="s">
        <v>50</v>
      </c>
      <c r="L1308" s="93" t="s">
        <v>2230</v>
      </c>
      <c r="M1308" s="94" t="s">
        <v>3497</v>
      </c>
      <c r="N1308" s="95" t="s">
        <v>2870</v>
      </c>
      <c r="O1308" s="189">
        <v>20</v>
      </c>
      <c r="P1308" s="97">
        <v>290.695652173913</v>
      </c>
      <c r="Q1308" s="189" t="s">
        <v>16</v>
      </c>
      <c r="R1308" s="135">
        <v>4.7</v>
      </c>
      <c r="S1308" s="95"/>
      <c r="T1308" s="98">
        <v>21.1480362537764</v>
      </c>
      <c r="U1308" s="186">
        <f t="shared" si="296"/>
        <v>1387.4176014711675</v>
      </c>
      <c r="V1308" s="100">
        <f t="shared" si="308"/>
        <v>2.3123626691186123</v>
      </c>
      <c r="W1308" s="101">
        <f t="shared" si="309"/>
        <v>0.33033752415980178</v>
      </c>
      <c r="X1308" s="95"/>
      <c r="Y1308" s="95"/>
      <c r="Z1308" s="102"/>
      <c r="AA1308" s="103">
        <v>45968</v>
      </c>
      <c r="AB1308" s="103">
        <v>45991</v>
      </c>
      <c r="AC1308" s="103"/>
      <c r="AD1308" s="104">
        <f>IF(ISNA(VLOOKUP(D1308,亚马逊入库配置费!B:F,5,0)),0,VLOOKUP(D1308,亚马逊入库配置费!B:F,5,0))</f>
        <v>0.41</v>
      </c>
      <c r="AE1308" s="104">
        <f t="shared" si="302"/>
        <v>245.99999999999997</v>
      </c>
      <c r="AF1308" s="103">
        <v>46005</v>
      </c>
      <c r="AG1308" s="90">
        <f t="shared" si="303"/>
        <v>37</v>
      </c>
      <c r="AH1308" s="103">
        <v>46005</v>
      </c>
      <c r="AI1308" s="103">
        <v>46042</v>
      </c>
      <c r="AJ1308" s="96">
        <v>600</v>
      </c>
      <c r="AK1308" s="91">
        <f t="shared" si="304"/>
        <v>37</v>
      </c>
      <c r="AL1308" s="96">
        <f t="shared" si="305"/>
        <v>74</v>
      </c>
      <c r="AM1308" s="92"/>
      <c r="AN1308" s="91"/>
      <c r="AO1308" s="91"/>
    </row>
    <row r="1309" spans="1:41" ht="14.5" x14ac:dyDescent="0.25">
      <c r="A1309" s="110" t="s">
        <v>2231</v>
      </c>
      <c r="B1309" s="91"/>
      <c r="C1309" s="135" t="s">
        <v>2223</v>
      </c>
      <c r="D1309" s="187" t="s">
        <v>2227</v>
      </c>
      <c r="E1309" s="135" t="s">
        <v>97</v>
      </c>
      <c r="F1309" s="135" t="s">
        <v>0</v>
      </c>
      <c r="G1309" s="58" t="s">
        <v>2232</v>
      </c>
      <c r="H1309" s="135">
        <v>600</v>
      </c>
      <c r="I1309" s="135" t="s">
        <v>89</v>
      </c>
      <c r="J1309" s="135" t="s">
        <v>8</v>
      </c>
      <c r="K1309" s="187" t="s">
        <v>50</v>
      </c>
      <c r="L1309" s="93" t="s">
        <v>2232</v>
      </c>
      <c r="M1309" s="94" t="s">
        <v>3498</v>
      </c>
      <c r="N1309" s="95" t="s">
        <v>2870</v>
      </c>
      <c r="O1309" s="189">
        <v>20</v>
      </c>
      <c r="P1309" s="97">
        <v>290.695652173913</v>
      </c>
      <c r="Q1309" s="189" t="s">
        <v>16</v>
      </c>
      <c r="R1309" s="135">
        <v>4.7</v>
      </c>
      <c r="S1309" s="95"/>
      <c r="T1309" s="98">
        <v>21.1480362537764</v>
      </c>
      <c r="U1309" s="186">
        <f t="shared" ref="U1309:U1372" si="310">R1309*P1309+T1309</f>
        <v>1387.4176014711675</v>
      </c>
      <c r="V1309" s="100">
        <f t="shared" si="308"/>
        <v>2.3123626691186123</v>
      </c>
      <c r="W1309" s="101">
        <f t="shared" si="309"/>
        <v>0.33033752415980178</v>
      </c>
      <c r="X1309" s="95"/>
      <c r="Y1309" s="95"/>
      <c r="Z1309" s="102"/>
      <c r="AA1309" s="103">
        <v>45968</v>
      </c>
      <c r="AB1309" s="103">
        <v>45991</v>
      </c>
      <c r="AC1309" s="103"/>
      <c r="AD1309" s="104">
        <f>IF(ISNA(VLOOKUP(D1309,亚马逊入库配置费!B:F,5,0)),0,VLOOKUP(D1309,亚马逊入库配置费!B:F,5,0))</f>
        <v>0.41</v>
      </c>
      <c r="AE1309" s="104">
        <f t="shared" si="302"/>
        <v>245.99999999999997</v>
      </c>
      <c r="AF1309" s="103">
        <v>46005</v>
      </c>
      <c r="AG1309" s="90">
        <f t="shared" si="303"/>
        <v>37</v>
      </c>
      <c r="AH1309" s="103">
        <v>46005</v>
      </c>
      <c r="AI1309" s="103">
        <v>46042</v>
      </c>
      <c r="AJ1309" s="96">
        <v>598</v>
      </c>
      <c r="AK1309" s="91">
        <f t="shared" si="304"/>
        <v>37</v>
      </c>
      <c r="AL1309" s="96">
        <f t="shared" si="305"/>
        <v>74</v>
      </c>
      <c r="AM1309" s="92"/>
      <c r="AN1309" s="91"/>
      <c r="AO1309" s="91"/>
    </row>
    <row r="1310" spans="1:41" ht="14.5" x14ac:dyDescent="0.25">
      <c r="A1310" s="110" t="s">
        <v>2233</v>
      </c>
      <c r="B1310" s="91"/>
      <c r="C1310" s="135" t="s">
        <v>2223</v>
      </c>
      <c r="D1310" s="187" t="s">
        <v>2227</v>
      </c>
      <c r="E1310" s="135" t="s">
        <v>97</v>
      </c>
      <c r="F1310" s="135" t="s">
        <v>0</v>
      </c>
      <c r="G1310" s="58" t="s">
        <v>872</v>
      </c>
      <c r="H1310" s="135">
        <v>300</v>
      </c>
      <c r="I1310" s="135" t="s">
        <v>89</v>
      </c>
      <c r="J1310" s="135" t="s">
        <v>8</v>
      </c>
      <c r="K1310" s="187" t="s">
        <v>50</v>
      </c>
      <c r="L1310" s="93" t="s">
        <v>872</v>
      </c>
      <c r="M1310" s="94" t="s">
        <v>3399</v>
      </c>
      <c r="N1310" s="95" t="s">
        <v>2870</v>
      </c>
      <c r="O1310" s="189">
        <v>10</v>
      </c>
      <c r="P1310" s="97">
        <v>145.34782608695701</v>
      </c>
      <c r="Q1310" s="189" t="s">
        <v>16</v>
      </c>
      <c r="R1310" s="135">
        <v>4.7</v>
      </c>
      <c r="S1310" s="95"/>
      <c r="T1310" s="98">
        <v>10.5740181268882</v>
      </c>
      <c r="U1310" s="186">
        <f t="shared" si="310"/>
        <v>693.70880073558612</v>
      </c>
      <c r="V1310" s="100">
        <f t="shared" si="308"/>
        <v>2.3123626691186203</v>
      </c>
      <c r="W1310" s="101">
        <f t="shared" si="309"/>
        <v>0.33033752415980289</v>
      </c>
      <c r="X1310" s="95"/>
      <c r="Y1310" s="95"/>
      <c r="Z1310" s="102"/>
      <c r="AA1310" s="103">
        <v>45968</v>
      </c>
      <c r="AB1310" s="103">
        <v>45991</v>
      </c>
      <c r="AC1310" s="103"/>
      <c r="AD1310" s="104">
        <f>IF(ISNA(VLOOKUP(D1310,亚马逊入库配置费!B:F,5,0)),0,VLOOKUP(D1310,亚马逊入库配置费!B:F,5,0))</f>
        <v>0.41</v>
      </c>
      <c r="AE1310" s="104">
        <f t="shared" si="302"/>
        <v>122.99999999999999</v>
      </c>
      <c r="AF1310" s="103">
        <v>46005</v>
      </c>
      <c r="AG1310" s="90">
        <f t="shared" si="303"/>
        <v>37</v>
      </c>
      <c r="AH1310" s="103">
        <v>46005</v>
      </c>
      <c r="AI1310" s="103">
        <v>46042</v>
      </c>
      <c r="AJ1310" s="96">
        <v>298</v>
      </c>
      <c r="AK1310" s="91">
        <f t="shared" si="304"/>
        <v>37</v>
      </c>
      <c r="AL1310" s="96">
        <f t="shared" si="305"/>
        <v>74</v>
      </c>
      <c r="AM1310" s="92"/>
      <c r="AN1310" s="91"/>
      <c r="AO1310" s="91"/>
    </row>
    <row r="1311" spans="1:41" ht="14.5" x14ac:dyDescent="0.25">
      <c r="A1311" s="110" t="s">
        <v>2234</v>
      </c>
      <c r="B1311" s="91"/>
      <c r="C1311" s="135" t="s">
        <v>2223</v>
      </c>
      <c r="D1311" s="187" t="s">
        <v>2227</v>
      </c>
      <c r="E1311" s="135" t="s">
        <v>97</v>
      </c>
      <c r="F1311" s="135" t="s">
        <v>0</v>
      </c>
      <c r="G1311" s="58" t="s">
        <v>2235</v>
      </c>
      <c r="H1311" s="135">
        <v>480</v>
      </c>
      <c r="I1311" s="135" t="s">
        <v>89</v>
      </c>
      <c r="J1311" s="135" t="s">
        <v>8</v>
      </c>
      <c r="K1311" s="187" t="s">
        <v>50</v>
      </c>
      <c r="L1311" s="93" t="s">
        <v>2235</v>
      </c>
      <c r="M1311" s="94" t="s">
        <v>3499</v>
      </c>
      <c r="N1311" s="95" t="s">
        <v>2870</v>
      </c>
      <c r="O1311" s="189">
        <v>16</v>
      </c>
      <c r="P1311" s="97">
        <v>232.55652173913001</v>
      </c>
      <c r="Q1311" s="189" t="s">
        <v>16</v>
      </c>
      <c r="R1311" s="135">
        <v>4.7</v>
      </c>
      <c r="S1311" s="95"/>
      <c r="T1311" s="98">
        <v>16.9184290030211</v>
      </c>
      <c r="U1311" s="186">
        <f t="shared" si="310"/>
        <v>1109.9340811769323</v>
      </c>
      <c r="V1311" s="100">
        <f t="shared" si="308"/>
        <v>2.3123626691186088</v>
      </c>
      <c r="W1311" s="101">
        <f t="shared" si="309"/>
        <v>0.33033752415980128</v>
      </c>
      <c r="X1311" s="95"/>
      <c r="Y1311" s="95"/>
      <c r="Z1311" s="102"/>
      <c r="AA1311" s="103">
        <v>45968</v>
      </c>
      <c r="AB1311" s="103">
        <v>45991</v>
      </c>
      <c r="AC1311" s="103"/>
      <c r="AD1311" s="104">
        <f>IF(ISNA(VLOOKUP(D1311,亚马逊入库配置费!B:F,5,0)),0,VLOOKUP(D1311,亚马逊入库配置费!B:F,5,0))</f>
        <v>0.41</v>
      </c>
      <c r="AE1311" s="104">
        <f t="shared" si="302"/>
        <v>196.79999999999998</v>
      </c>
      <c r="AF1311" s="103">
        <v>46005</v>
      </c>
      <c r="AG1311" s="90">
        <f t="shared" si="303"/>
        <v>37</v>
      </c>
      <c r="AH1311" s="103">
        <v>46005</v>
      </c>
      <c r="AI1311" s="103">
        <v>46042</v>
      </c>
      <c r="AJ1311" s="96">
        <v>476</v>
      </c>
      <c r="AK1311" s="91">
        <f t="shared" si="304"/>
        <v>37</v>
      </c>
      <c r="AL1311" s="96">
        <f t="shared" si="305"/>
        <v>74</v>
      </c>
      <c r="AM1311" s="92"/>
      <c r="AN1311" s="91"/>
      <c r="AO1311" s="91"/>
    </row>
    <row r="1312" spans="1:41" ht="14.5" x14ac:dyDescent="0.25">
      <c r="A1312" s="110" t="s">
        <v>2236</v>
      </c>
      <c r="B1312" s="91"/>
      <c r="C1312" s="135" t="s">
        <v>2223</v>
      </c>
      <c r="D1312" s="187" t="s">
        <v>2227</v>
      </c>
      <c r="E1312" s="135" t="s">
        <v>97</v>
      </c>
      <c r="F1312" s="135" t="s">
        <v>0</v>
      </c>
      <c r="G1312" s="58" t="s">
        <v>1198</v>
      </c>
      <c r="H1312" s="135">
        <v>150</v>
      </c>
      <c r="I1312" s="135" t="s">
        <v>89</v>
      </c>
      <c r="J1312" s="135" t="s">
        <v>8</v>
      </c>
      <c r="K1312" s="187" t="s">
        <v>50</v>
      </c>
      <c r="L1312" s="93" t="s">
        <v>1198</v>
      </c>
      <c r="M1312" s="94" t="s">
        <v>3434</v>
      </c>
      <c r="N1312" s="95" t="s">
        <v>2870</v>
      </c>
      <c r="O1312" s="189">
        <v>5</v>
      </c>
      <c r="P1312" s="97">
        <v>72.673913043478294</v>
      </c>
      <c r="Q1312" s="189" t="s">
        <v>16</v>
      </c>
      <c r="R1312" s="135">
        <v>4.7</v>
      </c>
      <c r="S1312" s="95"/>
      <c r="T1312" s="98">
        <v>5.2870090634441</v>
      </c>
      <c r="U1312" s="186">
        <f t="shared" si="310"/>
        <v>346.8544003677921</v>
      </c>
      <c r="V1312" s="100">
        <f t="shared" si="308"/>
        <v>2.3123626691186141</v>
      </c>
      <c r="W1312" s="101">
        <f t="shared" si="309"/>
        <v>0.330337524159802</v>
      </c>
      <c r="X1312" s="95"/>
      <c r="Y1312" s="95"/>
      <c r="Z1312" s="102"/>
      <c r="AA1312" s="103">
        <v>45968</v>
      </c>
      <c r="AB1312" s="103">
        <v>45991</v>
      </c>
      <c r="AC1312" s="103"/>
      <c r="AD1312" s="104">
        <f>IF(ISNA(VLOOKUP(D1312,亚马逊入库配置费!B:F,5,0)),0,VLOOKUP(D1312,亚马逊入库配置费!B:F,5,0))</f>
        <v>0.41</v>
      </c>
      <c r="AE1312" s="104">
        <f t="shared" si="302"/>
        <v>61.499999999999993</v>
      </c>
      <c r="AF1312" s="103">
        <v>46005</v>
      </c>
      <c r="AG1312" s="90">
        <f t="shared" si="303"/>
        <v>37</v>
      </c>
      <c r="AH1312" s="103">
        <v>46005</v>
      </c>
      <c r="AI1312" s="103">
        <v>46042</v>
      </c>
      <c r="AJ1312" s="96">
        <v>151</v>
      </c>
      <c r="AK1312" s="91">
        <f t="shared" si="304"/>
        <v>37</v>
      </c>
      <c r="AL1312" s="96">
        <f t="shared" si="305"/>
        <v>74</v>
      </c>
      <c r="AM1312" s="92"/>
      <c r="AN1312" s="91"/>
      <c r="AO1312" s="91"/>
    </row>
    <row r="1313" spans="1:41" ht="14.5" x14ac:dyDescent="0.25">
      <c r="A1313" s="110" t="s">
        <v>2237</v>
      </c>
      <c r="B1313" s="91"/>
      <c r="C1313" s="135" t="s">
        <v>2223</v>
      </c>
      <c r="D1313" s="187" t="s">
        <v>2227</v>
      </c>
      <c r="E1313" s="135" t="s">
        <v>97</v>
      </c>
      <c r="F1313" s="135" t="s">
        <v>0</v>
      </c>
      <c r="G1313" s="58" t="s">
        <v>2238</v>
      </c>
      <c r="H1313" s="135">
        <v>480</v>
      </c>
      <c r="I1313" s="135" t="s">
        <v>89</v>
      </c>
      <c r="J1313" s="135" t="s">
        <v>8</v>
      </c>
      <c r="K1313" s="187" t="s">
        <v>50</v>
      </c>
      <c r="L1313" s="93" t="s">
        <v>2238</v>
      </c>
      <c r="M1313" s="94" t="s">
        <v>3500</v>
      </c>
      <c r="N1313" s="95" t="s">
        <v>2870</v>
      </c>
      <c r="O1313" s="189">
        <v>16</v>
      </c>
      <c r="P1313" s="97">
        <v>232.55652173913001</v>
      </c>
      <c r="Q1313" s="189" t="s">
        <v>16</v>
      </c>
      <c r="R1313" s="135">
        <v>4.7</v>
      </c>
      <c r="S1313" s="95"/>
      <c r="T1313" s="98">
        <v>16.9184290030211</v>
      </c>
      <c r="U1313" s="186">
        <f t="shared" si="310"/>
        <v>1109.9340811769323</v>
      </c>
      <c r="V1313" s="100">
        <f t="shared" si="308"/>
        <v>2.3123626691186088</v>
      </c>
      <c r="W1313" s="101">
        <f t="shared" si="309"/>
        <v>0.33033752415980128</v>
      </c>
      <c r="X1313" s="95"/>
      <c r="Y1313" s="95"/>
      <c r="Z1313" s="102"/>
      <c r="AA1313" s="103">
        <v>45968</v>
      </c>
      <c r="AB1313" s="103">
        <v>45991</v>
      </c>
      <c r="AC1313" s="103"/>
      <c r="AD1313" s="104">
        <f>IF(ISNA(VLOOKUP(D1313,亚马逊入库配置费!B:F,5,0)),0,VLOOKUP(D1313,亚马逊入库配置费!B:F,5,0))</f>
        <v>0.41</v>
      </c>
      <c r="AE1313" s="104">
        <f t="shared" si="302"/>
        <v>196.79999999999998</v>
      </c>
      <c r="AF1313" s="103">
        <v>46005</v>
      </c>
      <c r="AG1313" s="90">
        <f t="shared" si="303"/>
        <v>37</v>
      </c>
      <c r="AH1313" s="103">
        <v>46005</v>
      </c>
      <c r="AI1313" s="103">
        <v>46042</v>
      </c>
      <c r="AJ1313" s="96">
        <v>480</v>
      </c>
      <c r="AK1313" s="91">
        <f t="shared" si="304"/>
        <v>37</v>
      </c>
      <c r="AL1313" s="96">
        <f t="shared" si="305"/>
        <v>74</v>
      </c>
      <c r="AM1313" s="92"/>
      <c r="AN1313" s="91"/>
      <c r="AO1313" s="91"/>
    </row>
    <row r="1314" spans="1:41" ht="14.5" x14ac:dyDescent="0.25">
      <c r="A1314" s="110" t="s">
        <v>2239</v>
      </c>
      <c r="B1314" s="91"/>
      <c r="C1314" s="135" t="s">
        <v>2223</v>
      </c>
      <c r="D1314" s="187" t="s">
        <v>2227</v>
      </c>
      <c r="E1314" s="135" t="s">
        <v>97</v>
      </c>
      <c r="F1314" s="135" t="s">
        <v>0</v>
      </c>
      <c r="G1314" s="58" t="s">
        <v>2240</v>
      </c>
      <c r="H1314" s="135">
        <v>480</v>
      </c>
      <c r="I1314" s="135" t="s">
        <v>89</v>
      </c>
      <c r="J1314" s="135" t="s">
        <v>8</v>
      </c>
      <c r="K1314" s="187" t="s">
        <v>50</v>
      </c>
      <c r="L1314" s="93" t="s">
        <v>2240</v>
      </c>
      <c r="M1314" s="94" t="s">
        <v>3501</v>
      </c>
      <c r="N1314" s="95" t="s">
        <v>2870</v>
      </c>
      <c r="O1314" s="189">
        <v>16</v>
      </c>
      <c r="P1314" s="97">
        <v>232.55652173913001</v>
      </c>
      <c r="Q1314" s="189" t="s">
        <v>16</v>
      </c>
      <c r="R1314" s="135">
        <v>4.7</v>
      </c>
      <c r="S1314" s="95"/>
      <c r="T1314" s="98">
        <v>16.9184290030211</v>
      </c>
      <c r="U1314" s="186">
        <f t="shared" si="310"/>
        <v>1109.9340811769323</v>
      </c>
      <c r="V1314" s="100">
        <f t="shared" si="308"/>
        <v>2.3123626691186088</v>
      </c>
      <c r="W1314" s="101">
        <f t="shared" si="309"/>
        <v>0.33033752415980128</v>
      </c>
      <c r="X1314" s="95"/>
      <c r="Y1314" s="95"/>
      <c r="Z1314" s="102"/>
      <c r="AA1314" s="103">
        <v>45968</v>
      </c>
      <c r="AB1314" s="103">
        <v>45991</v>
      </c>
      <c r="AC1314" s="103"/>
      <c r="AD1314" s="104">
        <f>IF(ISNA(VLOOKUP(D1314,亚马逊入库配置费!B:F,5,0)),0,VLOOKUP(D1314,亚马逊入库配置费!B:F,5,0))</f>
        <v>0.41</v>
      </c>
      <c r="AE1314" s="104">
        <f t="shared" si="302"/>
        <v>196.79999999999998</v>
      </c>
      <c r="AF1314" s="103">
        <v>46005</v>
      </c>
      <c r="AG1314" s="90">
        <f t="shared" si="303"/>
        <v>37</v>
      </c>
      <c r="AH1314" s="103">
        <v>46005</v>
      </c>
      <c r="AI1314" s="103">
        <v>46042</v>
      </c>
      <c r="AJ1314" s="96">
        <v>505</v>
      </c>
      <c r="AK1314" s="91">
        <f t="shared" si="304"/>
        <v>37</v>
      </c>
      <c r="AL1314" s="96">
        <f t="shared" si="305"/>
        <v>74</v>
      </c>
      <c r="AM1314" s="92"/>
      <c r="AN1314" s="91"/>
      <c r="AO1314" s="91"/>
    </row>
    <row r="1315" spans="1:41" ht="14.5" x14ac:dyDescent="0.25">
      <c r="A1315" s="110" t="s">
        <v>2241</v>
      </c>
      <c r="B1315" s="91"/>
      <c r="C1315" s="135" t="s">
        <v>2223</v>
      </c>
      <c r="D1315" s="187" t="s">
        <v>2227</v>
      </c>
      <c r="E1315" s="135" t="s">
        <v>97</v>
      </c>
      <c r="F1315" s="135" t="s">
        <v>0</v>
      </c>
      <c r="G1315" s="58" t="s">
        <v>2242</v>
      </c>
      <c r="H1315" s="135">
        <v>600</v>
      </c>
      <c r="I1315" s="135" t="s">
        <v>89</v>
      </c>
      <c r="J1315" s="135" t="s">
        <v>8</v>
      </c>
      <c r="K1315" s="187" t="s">
        <v>50</v>
      </c>
      <c r="L1315" s="93" t="s">
        <v>2242</v>
      </c>
      <c r="M1315" s="94" t="s">
        <v>3502</v>
      </c>
      <c r="N1315" s="95" t="s">
        <v>2867</v>
      </c>
      <c r="O1315" s="189">
        <v>20</v>
      </c>
      <c r="P1315" s="97">
        <v>290.695652173913</v>
      </c>
      <c r="Q1315" s="189" t="s">
        <v>16</v>
      </c>
      <c r="R1315" s="135">
        <v>4.7</v>
      </c>
      <c r="S1315" s="95"/>
      <c r="T1315" s="98">
        <v>21.1480362537764</v>
      </c>
      <c r="U1315" s="186">
        <f t="shared" si="310"/>
        <v>1387.4176014711675</v>
      </c>
      <c r="V1315" s="100">
        <f t="shared" si="308"/>
        <v>2.3123626691186123</v>
      </c>
      <c r="W1315" s="101">
        <f t="shared" si="309"/>
        <v>0.33033752415980178</v>
      </c>
      <c r="X1315" s="95"/>
      <c r="Y1315" s="95"/>
      <c r="Z1315" s="102"/>
      <c r="AA1315" s="103">
        <v>45968</v>
      </c>
      <c r="AB1315" s="103">
        <v>45991</v>
      </c>
      <c r="AC1315" s="103"/>
      <c r="AD1315" s="104">
        <f>IF(ISNA(VLOOKUP(D1315,亚马逊入库配置费!B:F,5,0)),0,VLOOKUP(D1315,亚马逊入库配置费!B:F,5,0))</f>
        <v>0.41</v>
      </c>
      <c r="AE1315" s="104">
        <f t="shared" si="302"/>
        <v>245.99999999999997</v>
      </c>
      <c r="AF1315" s="103">
        <v>46005</v>
      </c>
      <c r="AG1315" s="90">
        <f t="shared" si="303"/>
        <v>37</v>
      </c>
      <c r="AH1315" s="103">
        <v>46005</v>
      </c>
      <c r="AI1315" s="103">
        <v>46042</v>
      </c>
      <c r="AJ1315" s="96">
        <v>624</v>
      </c>
      <c r="AK1315" s="91">
        <f t="shared" si="304"/>
        <v>37</v>
      </c>
      <c r="AL1315" s="96">
        <f t="shared" si="305"/>
        <v>74</v>
      </c>
      <c r="AM1315" s="92"/>
      <c r="AN1315" s="91"/>
      <c r="AO1315" s="91"/>
    </row>
    <row r="1316" spans="1:41" ht="14.5" x14ac:dyDescent="0.25">
      <c r="A1316" s="110" t="s">
        <v>2243</v>
      </c>
      <c r="B1316" s="91"/>
      <c r="C1316" s="135" t="s">
        <v>2223</v>
      </c>
      <c r="D1316" s="187" t="s">
        <v>2227</v>
      </c>
      <c r="E1316" s="135" t="s">
        <v>97</v>
      </c>
      <c r="F1316" s="135" t="s">
        <v>0</v>
      </c>
      <c r="G1316" s="58" t="s">
        <v>1215</v>
      </c>
      <c r="H1316" s="135">
        <v>330</v>
      </c>
      <c r="I1316" s="135" t="s">
        <v>89</v>
      </c>
      <c r="J1316" s="135" t="s">
        <v>8</v>
      </c>
      <c r="K1316" s="187" t="s">
        <v>50</v>
      </c>
      <c r="L1316" s="93" t="s">
        <v>3095</v>
      </c>
      <c r="M1316" s="94" t="s">
        <v>3436</v>
      </c>
      <c r="N1316" s="95" t="s">
        <v>2867</v>
      </c>
      <c r="O1316" s="189">
        <v>11</v>
      </c>
      <c r="P1316" s="97">
        <v>159.88260869565201</v>
      </c>
      <c r="Q1316" s="189" t="s">
        <v>16</v>
      </c>
      <c r="R1316" s="135">
        <v>4.7</v>
      </c>
      <c r="S1316" s="95"/>
      <c r="T1316" s="98">
        <v>11.631419939577</v>
      </c>
      <c r="U1316" s="186">
        <f t="shared" si="310"/>
        <v>763.07968080914145</v>
      </c>
      <c r="V1316" s="100">
        <f t="shared" si="308"/>
        <v>2.3123626691186105</v>
      </c>
      <c r="W1316" s="101">
        <f t="shared" si="309"/>
        <v>0.3303375241598015</v>
      </c>
      <c r="X1316" s="95"/>
      <c r="Y1316" s="95"/>
      <c r="Z1316" s="102"/>
      <c r="AA1316" s="103">
        <v>45968</v>
      </c>
      <c r="AB1316" s="103">
        <v>45991</v>
      </c>
      <c r="AC1316" s="103"/>
      <c r="AD1316" s="104">
        <f>IF(ISNA(VLOOKUP(D1316,亚马逊入库配置费!B:F,5,0)),0,VLOOKUP(D1316,亚马逊入库配置费!B:F,5,0))</f>
        <v>0.41</v>
      </c>
      <c r="AE1316" s="104">
        <f t="shared" si="302"/>
        <v>135.29999999999998</v>
      </c>
      <c r="AF1316" s="103">
        <v>46005</v>
      </c>
      <c r="AG1316" s="90">
        <f t="shared" si="303"/>
        <v>37</v>
      </c>
      <c r="AH1316" s="103">
        <v>46005</v>
      </c>
      <c r="AI1316" s="103">
        <v>46042</v>
      </c>
      <c r="AJ1316" s="96">
        <v>360</v>
      </c>
      <c r="AK1316" s="91">
        <f t="shared" si="304"/>
        <v>37</v>
      </c>
      <c r="AL1316" s="96">
        <f t="shared" si="305"/>
        <v>74</v>
      </c>
      <c r="AM1316" s="92"/>
      <c r="AN1316" s="91"/>
      <c r="AO1316" s="91"/>
    </row>
    <row r="1317" spans="1:41" ht="14.5" x14ac:dyDescent="0.25">
      <c r="A1317" s="110" t="s">
        <v>2244</v>
      </c>
      <c r="B1317" s="91"/>
      <c r="C1317" s="135" t="s">
        <v>2223</v>
      </c>
      <c r="D1317" s="187" t="s">
        <v>2227</v>
      </c>
      <c r="E1317" s="135" t="s">
        <v>97</v>
      </c>
      <c r="F1317" s="135" t="s">
        <v>0</v>
      </c>
      <c r="G1317" s="58" t="s">
        <v>2245</v>
      </c>
      <c r="H1317" s="135">
        <v>300</v>
      </c>
      <c r="I1317" s="135" t="s">
        <v>89</v>
      </c>
      <c r="J1317" s="135" t="s">
        <v>8</v>
      </c>
      <c r="K1317" s="187" t="s">
        <v>50</v>
      </c>
      <c r="L1317" s="93" t="s">
        <v>2245</v>
      </c>
      <c r="M1317" s="94" t="s">
        <v>3503</v>
      </c>
      <c r="N1317" s="95" t="s">
        <v>2867</v>
      </c>
      <c r="O1317" s="189">
        <v>10</v>
      </c>
      <c r="P1317" s="97">
        <v>145.34782608695701</v>
      </c>
      <c r="Q1317" s="189" t="s">
        <v>16</v>
      </c>
      <c r="R1317" s="135">
        <v>4.7</v>
      </c>
      <c r="S1317" s="95"/>
      <c r="T1317" s="98">
        <v>10.5740181268882</v>
      </c>
      <c r="U1317" s="186">
        <f t="shared" si="310"/>
        <v>693.70880073558612</v>
      </c>
      <c r="V1317" s="100">
        <f t="shared" si="308"/>
        <v>2.3123626691186203</v>
      </c>
      <c r="W1317" s="101">
        <f t="shared" si="309"/>
        <v>0.33033752415980289</v>
      </c>
      <c r="X1317" s="95"/>
      <c r="Y1317" s="95"/>
      <c r="Z1317" s="102"/>
      <c r="AA1317" s="103">
        <v>45968</v>
      </c>
      <c r="AB1317" s="103">
        <v>45991</v>
      </c>
      <c r="AC1317" s="103"/>
      <c r="AD1317" s="104">
        <f>IF(ISNA(VLOOKUP(D1317,亚马逊入库配置费!B:F,5,0)),0,VLOOKUP(D1317,亚马逊入库配置费!B:F,5,0))</f>
        <v>0.41</v>
      </c>
      <c r="AE1317" s="104">
        <f t="shared" si="302"/>
        <v>122.99999999999999</v>
      </c>
      <c r="AF1317" s="103">
        <v>46005</v>
      </c>
      <c r="AG1317" s="90">
        <f t="shared" si="303"/>
        <v>37</v>
      </c>
      <c r="AH1317" s="103">
        <v>46005</v>
      </c>
      <c r="AI1317" s="103">
        <v>46042</v>
      </c>
      <c r="AJ1317" s="96">
        <v>300</v>
      </c>
      <c r="AK1317" s="91">
        <f t="shared" si="304"/>
        <v>37</v>
      </c>
      <c r="AL1317" s="96">
        <f t="shared" si="305"/>
        <v>74</v>
      </c>
      <c r="AM1317" s="92"/>
      <c r="AN1317" s="91"/>
      <c r="AO1317" s="91"/>
    </row>
    <row r="1318" spans="1:41" ht="14.5" x14ac:dyDescent="0.25">
      <c r="A1318" s="110" t="s">
        <v>2246</v>
      </c>
      <c r="B1318" s="91"/>
      <c r="C1318" s="135" t="s">
        <v>2223</v>
      </c>
      <c r="D1318" s="187" t="s">
        <v>2227</v>
      </c>
      <c r="E1318" s="135" t="s">
        <v>97</v>
      </c>
      <c r="F1318" s="135" t="s">
        <v>0</v>
      </c>
      <c r="G1318" s="58" t="s">
        <v>2247</v>
      </c>
      <c r="H1318" s="135">
        <v>990</v>
      </c>
      <c r="I1318" s="135" t="s">
        <v>89</v>
      </c>
      <c r="J1318" s="135" t="s">
        <v>8</v>
      </c>
      <c r="K1318" s="187" t="s">
        <v>50</v>
      </c>
      <c r="L1318" s="93" t="s">
        <v>2247</v>
      </c>
      <c r="M1318" s="94" t="s">
        <v>3504</v>
      </c>
      <c r="N1318" s="95" t="s">
        <v>2867</v>
      </c>
      <c r="O1318" s="189">
        <v>33</v>
      </c>
      <c r="P1318" s="97">
        <v>479.64782608695702</v>
      </c>
      <c r="Q1318" s="189" t="s">
        <v>16</v>
      </c>
      <c r="R1318" s="135">
        <v>4.7</v>
      </c>
      <c r="S1318" s="95"/>
      <c r="T1318" s="98">
        <v>34.894259818731101</v>
      </c>
      <c r="U1318" s="186">
        <f t="shared" si="310"/>
        <v>2289.239042427429</v>
      </c>
      <c r="V1318" s="100">
        <f t="shared" si="308"/>
        <v>2.312362669118615</v>
      </c>
      <c r="W1318" s="101">
        <f t="shared" si="309"/>
        <v>0.33033752415980216</v>
      </c>
      <c r="X1318" s="95"/>
      <c r="Y1318" s="95"/>
      <c r="Z1318" s="102"/>
      <c r="AA1318" s="103">
        <v>45968</v>
      </c>
      <c r="AB1318" s="103">
        <v>45991</v>
      </c>
      <c r="AC1318" s="103"/>
      <c r="AD1318" s="104">
        <f>IF(ISNA(VLOOKUP(D1318,亚马逊入库配置费!B:F,5,0)),0,VLOOKUP(D1318,亚马逊入库配置费!B:F,5,0))</f>
        <v>0.41</v>
      </c>
      <c r="AE1318" s="104">
        <f t="shared" si="302"/>
        <v>405.9</v>
      </c>
      <c r="AF1318" s="103">
        <v>46005</v>
      </c>
      <c r="AG1318" s="90">
        <f t="shared" si="303"/>
        <v>37</v>
      </c>
      <c r="AH1318" s="103">
        <v>46005</v>
      </c>
      <c r="AI1318" s="103">
        <v>46042</v>
      </c>
      <c r="AJ1318" s="96">
        <v>968</v>
      </c>
      <c r="AK1318" s="91">
        <f t="shared" si="304"/>
        <v>37</v>
      </c>
      <c r="AL1318" s="96">
        <f t="shared" si="305"/>
        <v>74</v>
      </c>
      <c r="AM1318" s="92"/>
      <c r="AN1318" s="91"/>
      <c r="AO1318" s="91"/>
    </row>
    <row r="1319" spans="1:41" ht="14.5" x14ac:dyDescent="0.25">
      <c r="A1319" s="110" t="s">
        <v>2248</v>
      </c>
      <c r="B1319" s="91"/>
      <c r="C1319" s="135" t="s">
        <v>2223</v>
      </c>
      <c r="D1319" s="187" t="s">
        <v>2227</v>
      </c>
      <c r="E1319" s="135" t="s">
        <v>97</v>
      </c>
      <c r="F1319" s="135" t="s">
        <v>0</v>
      </c>
      <c r="G1319" s="58" t="s">
        <v>1902</v>
      </c>
      <c r="H1319" s="135">
        <v>390</v>
      </c>
      <c r="I1319" s="135" t="s">
        <v>89</v>
      </c>
      <c r="J1319" s="135" t="s">
        <v>8</v>
      </c>
      <c r="K1319" s="187" t="s">
        <v>50</v>
      </c>
      <c r="L1319" s="93" t="s">
        <v>1902</v>
      </c>
      <c r="M1319" s="94" t="s">
        <v>3457</v>
      </c>
      <c r="N1319" s="95" t="s">
        <v>2867</v>
      </c>
      <c r="O1319" s="189">
        <v>13</v>
      </c>
      <c r="P1319" s="97">
        <v>188.952173913043</v>
      </c>
      <c r="Q1319" s="189" t="s">
        <v>16</v>
      </c>
      <c r="R1319" s="135">
        <v>4.7</v>
      </c>
      <c r="S1319" s="95"/>
      <c r="T1319" s="98">
        <v>13.7462235649547</v>
      </c>
      <c r="U1319" s="186">
        <f t="shared" si="310"/>
        <v>901.82144095625677</v>
      </c>
      <c r="V1319" s="100">
        <f t="shared" si="308"/>
        <v>2.312362669118607</v>
      </c>
      <c r="W1319" s="101">
        <f t="shared" si="309"/>
        <v>0.330337524159801</v>
      </c>
      <c r="X1319" s="95"/>
      <c r="Y1319" s="95"/>
      <c r="Z1319" s="102"/>
      <c r="AA1319" s="103">
        <v>45968</v>
      </c>
      <c r="AB1319" s="103">
        <v>45991</v>
      </c>
      <c r="AC1319" s="103"/>
      <c r="AD1319" s="104">
        <f>IF(ISNA(VLOOKUP(D1319,亚马逊入库配置费!B:F,5,0)),0,VLOOKUP(D1319,亚马逊入库配置费!B:F,5,0))</f>
        <v>0.41</v>
      </c>
      <c r="AE1319" s="104">
        <f t="shared" si="302"/>
        <v>159.89999999999998</v>
      </c>
      <c r="AF1319" s="103">
        <v>46005</v>
      </c>
      <c r="AG1319" s="90">
        <f t="shared" si="303"/>
        <v>37</v>
      </c>
      <c r="AH1319" s="103">
        <v>46005</v>
      </c>
      <c r="AI1319" s="103">
        <v>46042</v>
      </c>
      <c r="AJ1319" s="96">
        <v>389</v>
      </c>
      <c r="AK1319" s="91">
        <f t="shared" si="304"/>
        <v>37</v>
      </c>
      <c r="AL1319" s="96">
        <f t="shared" si="305"/>
        <v>74</v>
      </c>
      <c r="AM1319" s="92"/>
      <c r="AN1319" s="91"/>
      <c r="AO1319" s="91"/>
    </row>
    <row r="1320" spans="1:41" ht="14.5" x14ac:dyDescent="0.25">
      <c r="A1320" s="110" t="s">
        <v>2249</v>
      </c>
      <c r="B1320" s="91"/>
      <c r="C1320" s="135" t="s">
        <v>2223</v>
      </c>
      <c r="D1320" s="187" t="s">
        <v>2250</v>
      </c>
      <c r="E1320" s="135" t="s">
        <v>97</v>
      </c>
      <c r="F1320" s="135" t="s">
        <v>0</v>
      </c>
      <c r="G1320" s="58" t="s">
        <v>2251</v>
      </c>
      <c r="H1320" s="135">
        <v>810</v>
      </c>
      <c r="I1320" s="135" t="s">
        <v>89</v>
      </c>
      <c r="J1320" s="135" t="s">
        <v>8</v>
      </c>
      <c r="K1320" s="187" t="s">
        <v>17</v>
      </c>
      <c r="L1320" s="93" t="s">
        <v>2251</v>
      </c>
      <c r="M1320" s="94" t="s">
        <v>3505</v>
      </c>
      <c r="N1320" s="95" t="s">
        <v>2867</v>
      </c>
      <c r="O1320" s="189">
        <v>27</v>
      </c>
      <c r="P1320" s="97">
        <v>394</v>
      </c>
      <c r="Q1320" s="189" t="s">
        <v>16</v>
      </c>
      <c r="R1320" s="135">
        <v>5.7</v>
      </c>
      <c r="S1320" s="95"/>
      <c r="T1320" s="98">
        <v>28.549848942598199</v>
      </c>
      <c r="U1320" s="186">
        <f t="shared" si="310"/>
        <v>2274.3498489425983</v>
      </c>
      <c r="V1320" s="100">
        <f t="shared" si="308"/>
        <v>2.8078393196822202</v>
      </c>
      <c r="W1320" s="101">
        <f t="shared" si="309"/>
        <v>0.40111990281174575</v>
      </c>
      <c r="X1320" s="95"/>
      <c r="Y1320" s="95"/>
      <c r="Z1320" s="102"/>
      <c r="AA1320" s="103">
        <v>45968</v>
      </c>
      <c r="AB1320" s="103">
        <v>45991</v>
      </c>
      <c r="AC1320" s="103"/>
      <c r="AD1320" s="104">
        <f>IF(ISNA(VLOOKUP(D1320,亚马逊入库配置费!B:F,5,0)),0,VLOOKUP(D1320,亚马逊入库配置费!B:F,5,0))</f>
        <v>0.41</v>
      </c>
      <c r="AE1320" s="104">
        <f t="shared" si="302"/>
        <v>332.09999999999997</v>
      </c>
      <c r="AF1320" s="103">
        <v>46010</v>
      </c>
      <c r="AG1320" s="90">
        <f t="shared" si="303"/>
        <v>42</v>
      </c>
      <c r="AH1320" s="103">
        <v>46010</v>
      </c>
      <c r="AI1320" s="103">
        <v>46042</v>
      </c>
      <c r="AJ1320" s="96">
        <v>810</v>
      </c>
      <c r="AK1320" s="91">
        <f t="shared" si="304"/>
        <v>32</v>
      </c>
      <c r="AL1320" s="96">
        <f t="shared" si="305"/>
        <v>74</v>
      </c>
      <c r="AM1320" s="92"/>
      <c r="AN1320" s="91"/>
      <c r="AO1320" s="91"/>
    </row>
    <row r="1321" spans="1:41" ht="14.5" x14ac:dyDescent="0.25">
      <c r="A1321" s="110" t="s">
        <v>2252</v>
      </c>
      <c r="B1321" s="91"/>
      <c r="C1321" s="135" t="s">
        <v>2223</v>
      </c>
      <c r="D1321" s="187" t="s">
        <v>2253</v>
      </c>
      <c r="E1321" s="135" t="s">
        <v>287</v>
      </c>
      <c r="F1321" s="135" t="s">
        <v>0</v>
      </c>
      <c r="G1321" s="58" t="s">
        <v>284</v>
      </c>
      <c r="H1321" s="135">
        <v>640</v>
      </c>
      <c r="I1321" s="135" t="s">
        <v>89</v>
      </c>
      <c r="J1321" s="135" t="s">
        <v>8</v>
      </c>
      <c r="K1321" s="187" t="s">
        <v>10</v>
      </c>
      <c r="L1321" s="93" t="s">
        <v>3039</v>
      </c>
      <c r="M1321" s="94" t="s">
        <v>3323</v>
      </c>
      <c r="N1321" s="95" t="s">
        <v>2915</v>
      </c>
      <c r="O1321" s="189">
        <v>40</v>
      </c>
      <c r="P1321" s="97">
        <v>589</v>
      </c>
      <c r="Q1321" s="189" t="s">
        <v>16</v>
      </c>
      <c r="R1321" s="135">
        <v>4.3</v>
      </c>
      <c r="S1321" s="95"/>
      <c r="T1321" s="98">
        <v>42.2960725075528</v>
      </c>
      <c r="U1321" s="186">
        <f t="shared" si="310"/>
        <v>2574.9960725075525</v>
      </c>
      <c r="V1321" s="100">
        <f t="shared" si="308"/>
        <v>4.0234313632930512</v>
      </c>
      <c r="W1321" s="101">
        <f t="shared" si="309"/>
        <v>0.57477590904186449</v>
      </c>
      <c r="X1321" s="95"/>
      <c r="Y1321" s="95"/>
      <c r="Z1321" s="102"/>
      <c r="AA1321" s="103">
        <v>45968</v>
      </c>
      <c r="AB1321" s="103">
        <v>45991</v>
      </c>
      <c r="AC1321" s="103"/>
      <c r="AD1321" s="104">
        <f>IF(ISNA(VLOOKUP(D1321,亚马逊入库配置费!B:F,5,0)),0,VLOOKUP(D1321,亚马逊入库配置费!B:F,5,0))</f>
        <v>0.49</v>
      </c>
      <c r="AE1321" s="104">
        <f t="shared" si="302"/>
        <v>313.60000000000002</v>
      </c>
      <c r="AF1321" s="103">
        <v>45999</v>
      </c>
      <c r="AG1321" s="90">
        <f t="shared" si="303"/>
        <v>31</v>
      </c>
      <c r="AH1321" s="103">
        <v>45999</v>
      </c>
      <c r="AI1321" s="103">
        <v>46030</v>
      </c>
      <c r="AJ1321" s="96">
        <v>614</v>
      </c>
      <c r="AK1321" s="91">
        <f t="shared" si="304"/>
        <v>31</v>
      </c>
      <c r="AL1321" s="96">
        <f t="shared" si="305"/>
        <v>62</v>
      </c>
      <c r="AM1321" s="92"/>
      <c r="AN1321" s="91"/>
      <c r="AO1321" s="91"/>
    </row>
    <row r="1322" spans="1:41" ht="14.5" x14ac:dyDescent="0.25">
      <c r="A1322" s="210" t="s">
        <v>2254</v>
      </c>
      <c r="B1322" s="211"/>
      <c r="C1322" s="211" t="s">
        <v>2255</v>
      </c>
      <c r="D1322" s="212" t="s">
        <v>2256</v>
      </c>
      <c r="E1322" s="211" t="s">
        <v>86</v>
      </c>
      <c r="F1322" s="211" t="s">
        <v>87</v>
      </c>
      <c r="G1322" s="213" t="s">
        <v>163</v>
      </c>
      <c r="H1322" s="211">
        <v>280</v>
      </c>
      <c r="I1322" s="211" t="s">
        <v>89</v>
      </c>
      <c r="J1322" s="211" t="s">
        <v>90</v>
      </c>
      <c r="K1322" s="212" t="s">
        <v>431</v>
      </c>
      <c r="L1322" s="214" t="s">
        <v>2881</v>
      </c>
      <c r="M1322" s="215" t="s">
        <v>3302</v>
      </c>
      <c r="N1322" s="211" t="s">
        <v>2870</v>
      </c>
      <c r="O1322" s="216">
        <v>7</v>
      </c>
      <c r="P1322" s="217">
        <v>93.45</v>
      </c>
      <c r="Q1322" s="216" t="s">
        <v>16</v>
      </c>
      <c r="R1322" s="211">
        <v>6</v>
      </c>
      <c r="S1322" s="211">
        <v>350</v>
      </c>
      <c r="T1322" s="218">
        <v>122.5</v>
      </c>
      <c r="U1322" s="219">
        <f t="shared" si="310"/>
        <v>683.2</v>
      </c>
      <c r="V1322" s="220">
        <f t="shared" si="308"/>
        <v>2.44</v>
      </c>
      <c r="W1322" s="221">
        <f t="shared" si="309"/>
        <v>0.34857142857142859</v>
      </c>
      <c r="X1322" s="211"/>
      <c r="Y1322" s="211"/>
      <c r="Z1322" s="218"/>
      <c r="AA1322" s="222">
        <v>45975</v>
      </c>
      <c r="AB1322" s="222">
        <v>46014</v>
      </c>
      <c r="AC1322" s="222"/>
      <c r="AD1322" s="223">
        <f>IF(ISNA(VLOOKUP(D1322,亚马逊入库配置费!B:F,5,0)),0,VLOOKUP(D1322,亚马逊入库配置费!B:F,5,0))</f>
        <v>0</v>
      </c>
      <c r="AE1322" s="223">
        <f t="shared" si="302"/>
        <v>0</v>
      </c>
      <c r="AF1322" s="222">
        <v>46026</v>
      </c>
      <c r="AG1322" s="224">
        <f t="shared" si="303"/>
        <v>51</v>
      </c>
      <c r="AH1322" s="222">
        <v>46026</v>
      </c>
      <c r="AI1322" s="222">
        <v>46044</v>
      </c>
      <c r="AJ1322" s="216">
        <v>280</v>
      </c>
      <c r="AK1322" s="211">
        <f t="shared" si="304"/>
        <v>18</v>
      </c>
      <c r="AL1322" s="216">
        <f t="shared" si="305"/>
        <v>69</v>
      </c>
      <c r="AM1322" s="212"/>
      <c r="AN1322" s="211"/>
      <c r="AO1322" s="211"/>
    </row>
    <row r="1323" spans="1:41" ht="14.5" x14ac:dyDescent="0.25">
      <c r="A1323" s="210" t="s">
        <v>2257</v>
      </c>
      <c r="B1323" s="211"/>
      <c r="C1323" s="211" t="s">
        <v>2255</v>
      </c>
      <c r="D1323" s="212" t="s">
        <v>2256</v>
      </c>
      <c r="E1323" s="211" t="s">
        <v>86</v>
      </c>
      <c r="F1323" s="211" t="s">
        <v>87</v>
      </c>
      <c r="G1323" s="213" t="s">
        <v>872</v>
      </c>
      <c r="H1323" s="211">
        <v>300</v>
      </c>
      <c r="I1323" s="211" t="s">
        <v>89</v>
      </c>
      <c r="J1323" s="211" t="s">
        <v>90</v>
      </c>
      <c r="K1323" s="212" t="s">
        <v>431</v>
      </c>
      <c r="L1323" s="214" t="s">
        <v>872</v>
      </c>
      <c r="M1323" s="215" t="s">
        <v>3399</v>
      </c>
      <c r="N1323" s="211" t="s">
        <v>2870</v>
      </c>
      <c r="O1323" s="216">
        <v>10</v>
      </c>
      <c r="P1323" s="217">
        <v>133.5</v>
      </c>
      <c r="Q1323" s="216" t="s">
        <v>16</v>
      </c>
      <c r="R1323" s="211">
        <v>6</v>
      </c>
      <c r="S1323" s="225">
        <f>SUMIF(C:C,C1322,T:T)</f>
        <v>350</v>
      </c>
      <c r="T1323" s="218">
        <v>175</v>
      </c>
      <c r="U1323" s="219">
        <f t="shared" si="310"/>
        <v>976</v>
      </c>
      <c r="V1323" s="220">
        <f t="shared" si="308"/>
        <v>3.2533333333333334</v>
      </c>
      <c r="W1323" s="221">
        <f t="shared" si="309"/>
        <v>0.46476190476190476</v>
      </c>
      <c r="X1323" s="211"/>
      <c r="Y1323" s="211"/>
      <c r="Z1323" s="218"/>
      <c r="AA1323" s="222">
        <v>45975</v>
      </c>
      <c r="AB1323" s="222">
        <v>46014</v>
      </c>
      <c r="AC1323" s="222"/>
      <c r="AD1323" s="223">
        <f>IF(ISNA(VLOOKUP(D1323,亚马逊入库配置费!B:F,5,0)),0,VLOOKUP(D1323,亚马逊入库配置费!B:F,5,0))</f>
        <v>0</v>
      </c>
      <c r="AE1323" s="223">
        <f t="shared" si="302"/>
        <v>0</v>
      </c>
      <c r="AF1323" s="222">
        <v>46026</v>
      </c>
      <c r="AG1323" s="224">
        <f t="shared" si="303"/>
        <v>51</v>
      </c>
      <c r="AH1323" s="222">
        <v>46026</v>
      </c>
      <c r="AI1323" s="222">
        <v>46044</v>
      </c>
      <c r="AJ1323" s="216">
        <v>300</v>
      </c>
      <c r="AK1323" s="211">
        <f t="shared" si="304"/>
        <v>18</v>
      </c>
      <c r="AL1323" s="216">
        <f t="shared" si="305"/>
        <v>69</v>
      </c>
      <c r="AM1323" s="212"/>
      <c r="AN1323" s="211"/>
      <c r="AO1323" s="211"/>
    </row>
    <row r="1324" spans="1:41" ht="14.5" x14ac:dyDescent="0.25">
      <c r="A1324" s="210" t="s">
        <v>2258</v>
      </c>
      <c r="B1324" s="211"/>
      <c r="C1324" s="211" t="s">
        <v>2255</v>
      </c>
      <c r="D1324" s="212" t="s">
        <v>2256</v>
      </c>
      <c r="E1324" s="211" t="s">
        <v>86</v>
      </c>
      <c r="F1324" s="211" t="s">
        <v>87</v>
      </c>
      <c r="G1324" s="213" t="s">
        <v>213</v>
      </c>
      <c r="H1324" s="211">
        <v>30</v>
      </c>
      <c r="I1324" s="211" t="s">
        <v>89</v>
      </c>
      <c r="J1324" s="211" t="s">
        <v>90</v>
      </c>
      <c r="K1324" s="212" t="s">
        <v>431</v>
      </c>
      <c r="L1324" s="214" t="s">
        <v>3035</v>
      </c>
      <c r="M1324" s="215" t="s">
        <v>3313</v>
      </c>
      <c r="N1324" s="211" t="s">
        <v>2869</v>
      </c>
      <c r="O1324" s="216">
        <v>1</v>
      </c>
      <c r="P1324" s="217">
        <v>13.35</v>
      </c>
      <c r="Q1324" s="216" t="s">
        <v>16</v>
      </c>
      <c r="R1324" s="211">
        <v>6</v>
      </c>
      <c r="S1324" s="211"/>
      <c r="T1324" s="218">
        <v>17.5</v>
      </c>
      <c r="U1324" s="219">
        <f t="shared" si="310"/>
        <v>97.6</v>
      </c>
      <c r="V1324" s="220">
        <f t="shared" si="308"/>
        <v>3.253333333333333</v>
      </c>
      <c r="W1324" s="221">
        <f t="shared" si="309"/>
        <v>0.46476190476190471</v>
      </c>
      <c r="X1324" s="211"/>
      <c r="Y1324" s="211"/>
      <c r="Z1324" s="218"/>
      <c r="AA1324" s="222">
        <v>45975</v>
      </c>
      <c r="AB1324" s="222">
        <v>46014</v>
      </c>
      <c r="AC1324" s="222"/>
      <c r="AD1324" s="223">
        <f>IF(ISNA(VLOOKUP(D1324,亚马逊入库配置费!B:F,5,0)),0,VLOOKUP(D1324,亚马逊入库配置费!B:F,5,0))</f>
        <v>0</v>
      </c>
      <c r="AE1324" s="223">
        <f t="shared" si="302"/>
        <v>0</v>
      </c>
      <c r="AF1324" s="222">
        <v>46026</v>
      </c>
      <c r="AG1324" s="224">
        <f t="shared" si="303"/>
        <v>51</v>
      </c>
      <c r="AH1324" s="222">
        <v>46026</v>
      </c>
      <c r="AI1324" s="222">
        <v>46044</v>
      </c>
      <c r="AJ1324" s="216">
        <v>30</v>
      </c>
      <c r="AK1324" s="211">
        <f t="shared" si="304"/>
        <v>18</v>
      </c>
      <c r="AL1324" s="216">
        <f t="shared" si="305"/>
        <v>69</v>
      </c>
      <c r="AM1324" s="212"/>
      <c r="AN1324" s="211"/>
      <c r="AO1324" s="211"/>
    </row>
    <row r="1325" spans="1:41" ht="14.5" x14ac:dyDescent="0.25">
      <c r="A1325" s="210" t="s">
        <v>2259</v>
      </c>
      <c r="B1325" s="211"/>
      <c r="C1325" s="211" t="s">
        <v>2255</v>
      </c>
      <c r="D1325" s="212" t="s">
        <v>2256</v>
      </c>
      <c r="E1325" s="211" t="s">
        <v>86</v>
      </c>
      <c r="F1325" s="211" t="s">
        <v>87</v>
      </c>
      <c r="G1325" s="213" t="s">
        <v>608</v>
      </c>
      <c r="H1325" s="211">
        <v>60</v>
      </c>
      <c r="I1325" s="211" t="s">
        <v>89</v>
      </c>
      <c r="J1325" s="211" t="s">
        <v>90</v>
      </c>
      <c r="K1325" s="212" t="s">
        <v>431</v>
      </c>
      <c r="L1325" s="214" t="s">
        <v>3076</v>
      </c>
      <c r="M1325" s="215" t="s">
        <v>3377</v>
      </c>
      <c r="N1325" s="211" t="s">
        <v>2869</v>
      </c>
      <c r="O1325" s="216">
        <v>2</v>
      </c>
      <c r="P1325" s="217">
        <v>26.7</v>
      </c>
      <c r="Q1325" s="216" t="s">
        <v>16</v>
      </c>
      <c r="R1325" s="211">
        <v>6</v>
      </c>
      <c r="S1325" s="211"/>
      <c r="T1325" s="218">
        <v>35</v>
      </c>
      <c r="U1325" s="219">
        <f t="shared" si="310"/>
        <v>195.2</v>
      </c>
      <c r="V1325" s="220">
        <f t="shared" si="308"/>
        <v>3.253333333333333</v>
      </c>
      <c r="W1325" s="221">
        <f t="shared" si="309"/>
        <v>0.46476190476190471</v>
      </c>
      <c r="X1325" s="211"/>
      <c r="Y1325" s="211"/>
      <c r="Z1325" s="218"/>
      <c r="AA1325" s="222">
        <v>45975</v>
      </c>
      <c r="AB1325" s="222">
        <v>46014</v>
      </c>
      <c r="AC1325" s="222"/>
      <c r="AD1325" s="223">
        <f>IF(ISNA(VLOOKUP(D1325,亚马逊入库配置费!B:F,5,0)),0,VLOOKUP(D1325,亚马逊入库配置费!B:F,5,0))</f>
        <v>0</v>
      </c>
      <c r="AE1325" s="223">
        <f t="shared" si="302"/>
        <v>0</v>
      </c>
      <c r="AF1325" s="222">
        <v>46026</v>
      </c>
      <c r="AG1325" s="224">
        <f t="shared" si="303"/>
        <v>51</v>
      </c>
      <c r="AH1325" s="222">
        <v>46026</v>
      </c>
      <c r="AI1325" s="222">
        <v>46044</v>
      </c>
      <c r="AJ1325" s="216">
        <v>60</v>
      </c>
      <c r="AK1325" s="211">
        <f t="shared" si="304"/>
        <v>18</v>
      </c>
      <c r="AL1325" s="216">
        <f t="shared" si="305"/>
        <v>69</v>
      </c>
      <c r="AM1325" s="212"/>
      <c r="AN1325" s="211"/>
      <c r="AO1325" s="211"/>
    </row>
    <row r="1326" spans="1:41" ht="14.5" x14ac:dyDescent="0.25">
      <c r="A1326" s="110" t="s">
        <v>2260</v>
      </c>
      <c r="B1326" s="91"/>
      <c r="C1326" s="135" t="s">
        <v>2261</v>
      </c>
      <c r="D1326" s="187" t="s">
        <v>2262</v>
      </c>
      <c r="E1326" s="135" t="s">
        <v>97</v>
      </c>
      <c r="F1326" s="135" t="s">
        <v>0</v>
      </c>
      <c r="G1326" s="58" t="s">
        <v>1215</v>
      </c>
      <c r="H1326" s="135">
        <v>480</v>
      </c>
      <c r="I1326" s="135" t="s">
        <v>207</v>
      </c>
      <c r="J1326" s="135" t="s">
        <v>8</v>
      </c>
      <c r="K1326" s="187" t="s">
        <v>44</v>
      </c>
      <c r="L1326" s="93" t="s">
        <v>3095</v>
      </c>
      <c r="M1326" s="94" t="s">
        <v>3436</v>
      </c>
      <c r="N1326" s="95" t="s">
        <v>2867</v>
      </c>
      <c r="O1326" s="189">
        <v>16</v>
      </c>
      <c r="P1326" s="153">
        <v>242.33931034482799</v>
      </c>
      <c r="Q1326" s="189" t="s">
        <v>16</v>
      </c>
      <c r="R1326" s="135">
        <v>3.7</v>
      </c>
      <c r="S1326" s="95">
        <v>350</v>
      </c>
      <c r="T1326" s="98">
        <v>116.666666666667</v>
      </c>
      <c r="U1326" s="186">
        <f t="shared" si="310"/>
        <v>1013.3221149425306</v>
      </c>
      <c r="V1326" s="100">
        <f t="shared" si="308"/>
        <v>2.1110877394636054</v>
      </c>
      <c r="W1326" s="101">
        <f t="shared" si="309"/>
        <v>0.30158396278051508</v>
      </c>
      <c r="X1326" s="95"/>
      <c r="Y1326" s="95"/>
      <c r="Z1326" s="102"/>
      <c r="AA1326" s="103">
        <v>45975</v>
      </c>
      <c r="AB1326" s="103">
        <v>46000</v>
      </c>
      <c r="AC1326" s="103"/>
      <c r="AD1326" s="104">
        <f>IF(ISNA(VLOOKUP(D1326,亚马逊入库配置费!B:F,5,0)),0,VLOOKUP(D1326,亚马逊入库配置费!B:F,5,0))</f>
        <v>0.41</v>
      </c>
      <c r="AE1326" s="104">
        <f t="shared" si="302"/>
        <v>196.79999999999998</v>
      </c>
      <c r="AF1326" s="103">
        <v>46012</v>
      </c>
      <c r="AG1326" s="90">
        <f t="shared" si="303"/>
        <v>37</v>
      </c>
      <c r="AH1326" s="103">
        <v>46012</v>
      </c>
      <c r="AI1326" s="103">
        <v>46043</v>
      </c>
      <c r="AJ1326" s="96">
        <v>476</v>
      </c>
      <c r="AK1326" s="91">
        <f t="shared" si="304"/>
        <v>31</v>
      </c>
      <c r="AL1326" s="96">
        <f t="shared" si="305"/>
        <v>68</v>
      </c>
      <c r="AM1326" s="92"/>
      <c r="AN1326" s="91"/>
      <c r="AO1326" s="91"/>
    </row>
    <row r="1327" spans="1:41" ht="14.5" x14ac:dyDescent="0.25">
      <c r="A1327" s="110" t="s">
        <v>2263</v>
      </c>
      <c r="B1327" s="91"/>
      <c r="C1327" s="135" t="s">
        <v>2261</v>
      </c>
      <c r="D1327" s="187" t="s">
        <v>2262</v>
      </c>
      <c r="E1327" s="135" t="s">
        <v>97</v>
      </c>
      <c r="F1327" s="135" t="s">
        <v>0</v>
      </c>
      <c r="G1327" s="58" t="s">
        <v>2264</v>
      </c>
      <c r="H1327" s="135">
        <v>390</v>
      </c>
      <c r="I1327" s="135" t="s">
        <v>207</v>
      </c>
      <c r="J1327" s="135" t="s">
        <v>8</v>
      </c>
      <c r="K1327" s="187" t="s">
        <v>44</v>
      </c>
      <c r="L1327" s="93" t="s">
        <v>2264</v>
      </c>
      <c r="M1327" s="94" t="s">
        <v>3506</v>
      </c>
      <c r="N1327" s="95" t="s">
        <v>2869</v>
      </c>
      <c r="O1327" s="189">
        <v>13</v>
      </c>
      <c r="P1327" s="153">
        <v>196.90068965517199</v>
      </c>
      <c r="Q1327" s="189" t="s">
        <v>16</v>
      </c>
      <c r="R1327" s="135">
        <v>3.7</v>
      </c>
      <c r="S1327" s="106">
        <f>SUMIF(C:C,C1326,T:T)</f>
        <v>350.0000000000004</v>
      </c>
      <c r="T1327" s="98">
        <v>94.7916666666667</v>
      </c>
      <c r="U1327" s="186">
        <f t="shared" si="310"/>
        <v>823.32421839080314</v>
      </c>
      <c r="V1327" s="100">
        <f t="shared" si="308"/>
        <v>2.1110877394635978</v>
      </c>
      <c r="W1327" s="101">
        <f t="shared" si="309"/>
        <v>0.30158396278051397</v>
      </c>
      <c r="X1327" s="95"/>
      <c r="Y1327" s="95"/>
      <c r="Z1327" s="102"/>
      <c r="AA1327" s="103">
        <v>45975</v>
      </c>
      <c r="AB1327" s="103">
        <v>46000</v>
      </c>
      <c r="AC1327" s="103"/>
      <c r="AD1327" s="104">
        <f>IF(ISNA(VLOOKUP(D1327,亚马逊入库配置费!B:F,5,0)),0,VLOOKUP(D1327,亚马逊入库配置费!B:F,5,0))</f>
        <v>0.41</v>
      </c>
      <c r="AE1327" s="104">
        <f t="shared" si="302"/>
        <v>159.89999999999998</v>
      </c>
      <c r="AF1327" s="103">
        <v>46012</v>
      </c>
      <c r="AG1327" s="90">
        <f t="shared" si="303"/>
        <v>37</v>
      </c>
      <c r="AH1327" s="103">
        <v>46012</v>
      </c>
      <c r="AI1327" s="103">
        <v>46043</v>
      </c>
      <c r="AJ1327" s="96">
        <v>390</v>
      </c>
      <c r="AK1327" s="91">
        <f t="shared" si="304"/>
        <v>31</v>
      </c>
      <c r="AL1327" s="96">
        <f t="shared" si="305"/>
        <v>68</v>
      </c>
      <c r="AM1327" s="92"/>
      <c r="AN1327" s="91"/>
      <c r="AO1327" s="91"/>
    </row>
    <row r="1328" spans="1:41" ht="14.5" x14ac:dyDescent="0.25">
      <c r="A1328" s="110" t="s">
        <v>2265</v>
      </c>
      <c r="B1328" s="91"/>
      <c r="C1328" s="135" t="s">
        <v>2261</v>
      </c>
      <c r="D1328" s="187" t="s">
        <v>2266</v>
      </c>
      <c r="E1328" s="135" t="s">
        <v>97</v>
      </c>
      <c r="F1328" s="135" t="s">
        <v>0</v>
      </c>
      <c r="G1328" s="58" t="s">
        <v>1217</v>
      </c>
      <c r="H1328" s="135">
        <v>140</v>
      </c>
      <c r="I1328" s="135" t="s">
        <v>207</v>
      </c>
      <c r="J1328" s="135" t="s">
        <v>8</v>
      </c>
      <c r="K1328" s="187" t="s">
        <v>32</v>
      </c>
      <c r="L1328" s="93" t="s">
        <v>1217</v>
      </c>
      <c r="M1328" s="94" t="s">
        <v>3437</v>
      </c>
      <c r="N1328" s="95" t="s">
        <v>2867</v>
      </c>
      <c r="O1328" s="189">
        <v>7</v>
      </c>
      <c r="P1328" s="153">
        <v>93</v>
      </c>
      <c r="Q1328" s="189" t="s">
        <v>16</v>
      </c>
      <c r="R1328" s="135">
        <v>4.3</v>
      </c>
      <c r="S1328" s="95"/>
      <c r="T1328" s="98">
        <v>51.0416666666667</v>
      </c>
      <c r="U1328" s="186">
        <f t="shared" si="310"/>
        <v>450.94166666666666</v>
      </c>
      <c r="V1328" s="100">
        <f t="shared" si="308"/>
        <v>3.2210119047619048</v>
      </c>
      <c r="W1328" s="101">
        <f t="shared" si="309"/>
        <v>0.46014455782312924</v>
      </c>
      <c r="X1328" s="95"/>
      <c r="Y1328" s="95"/>
      <c r="Z1328" s="102"/>
      <c r="AA1328" s="103">
        <v>45975</v>
      </c>
      <c r="AB1328" s="103">
        <v>46000</v>
      </c>
      <c r="AC1328" s="103"/>
      <c r="AD1328" s="104">
        <f>IF(ISNA(VLOOKUP(D1328,亚马逊入库配置费!B:F,5,0)),0,VLOOKUP(D1328,亚马逊入库配置费!B:F,5,0))</f>
        <v>0.41</v>
      </c>
      <c r="AE1328" s="104">
        <f t="shared" si="302"/>
        <v>57.4</v>
      </c>
      <c r="AF1328" s="103">
        <v>46011</v>
      </c>
      <c r="AG1328" s="90">
        <f t="shared" si="303"/>
        <v>36</v>
      </c>
      <c r="AH1328" s="103">
        <v>46011</v>
      </c>
      <c r="AI1328" s="103">
        <v>46040</v>
      </c>
      <c r="AJ1328" s="96">
        <v>139</v>
      </c>
      <c r="AK1328" s="91">
        <f t="shared" si="304"/>
        <v>29</v>
      </c>
      <c r="AL1328" s="96">
        <f t="shared" si="305"/>
        <v>65</v>
      </c>
      <c r="AM1328" s="92"/>
      <c r="AN1328" s="91"/>
      <c r="AO1328" s="91"/>
    </row>
    <row r="1329" spans="1:41" ht="14.5" x14ac:dyDescent="0.25">
      <c r="A1329" s="110" t="s">
        <v>2267</v>
      </c>
      <c r="B1329" s="91"/>
      <c r="C1329" s="135" t="s">
        <v>2261</v>
      </c>
      <c r="D1329" s="187" t="s">
        <v>2268</v>
      </c>
      <c r="E1329" s="135" t="s">
        <v>115</v>
      </c>
      <c r="F1329" s="135" t="s">
        <v>0</v>
      </c>
      <c r="G1329" s="58" t="s">
        <v>209</v>
      </c>
      <c r="H1329" s="135">
        <v>128</v>
      </c>
      <c r="I1329" s="135" t="s">
        <v>207</v>
      </c>
      <c r="J1329" s="135" t="s">
        <v>8</v>
      </c>
      <c r="K1329" s="187" t="s">
        <v>44</v>
      </c>
      <c r="L1329" s="93" t="s">
        <v>3033</v>
      </c>
      <c r="M1329" s="94" t="s">
        <v>3311</v>
      </c>
      <c r="N1329" s="95" t="s">
        <v>2869</v>
      </c>
      <c r="O1329" s="189">
        <v>8</v>
      </c>
      <c r="P1329" s="153">
        <v>121.17333333333301</v>
      </c>
      <c r="Q1329" s="189" t="s">
        <v>16</v>
      </c>
      <c r="R1329" s="135">
        <v>3.7</v>
      </c>
      <c r="S1329" s="95"/>
      <c r="T1329" s="98">
        <v>58.3333333333333</v>
      </c>
      <c r="U1329" s="186">
        <f t="shared" si="310"/>
        <v>506.67466666666547</v>
      </c>
      <c r="V1329" s="100">
        <f t="shared" si="308"/>
        <v>3.958395833333324</v>
      </c>
      <c r="W1329" s="101">
        <f t="shared" si="309"/>
        <v>0.56548511904761767</v>
      </c>
      <c r="X1329" s="95"/>
      <c r="Y1329" s="95"/>
      <c r="Z1329" s="102"/>
      <c r="AA1329" s="103">
        <v>45975</v>
      </c>
      <c r="AB1329" s="103">
        <v>46000</v>
      </c>
      <c r="AC1329" s="103"/>
      <c r="AD1329" s="104">
        <f>IF(ISNA(VLOOKUP(D1329,亚马逊入库配置费!B:F,5,0)),0,VLOOKUP(D1329,亚马逊入库配置费!B:F,5,0))</f>
        <v>0.451290322580645</v>
      </c>
      <c r="AE1329" s="104">
        <f t="shared" si="302"/>
        <v>57.76516129032256</v>
      </c>
      <c r="AF1329" s="103">
        <v>46012</v>
      </c>
      <c r="AG1329" s="90">
        <f t="shared" si="303"/>
        <v>37</v>
      </c>
      <c r="AH1329" s="103">
        <v>46012</v>
      </c>
      <c r="AI1329" s="103">
        <v>46042</v>
      </c>
      <c r="AJ1329" s="96">
        <v>128</v>
      </c>
      <c r="AK1329" s="91">
        <f t="shared" si="304"/>
        <v>30</v>
      </c>
      <c r="AL1329" s="96">
        <f t="shared" si="305"/>
        <v>67</v>
      </c>
      <c r="AM1329" s="92"/>
      <c r="AN1329" s="91"/>
      <c r="AO1329" s="91"/>
    </row>
    <row r="1330" spans="1:41" ht="14.5" x14ac:dyDescent="0.25">
      <c r="A1330" s="110" t="s">
        <v>2269</v>
      </c>
      <c r="B1330" s="91"/>
      <c r="C1330" s="135" t="s">
        <v>2261</v>
      </c>
      <c r="D1330" s="187" t="s">
        <v>2268</v>
      </c>
      <c r="E1330" s="135" t="s">
        <v>115</v>
      </c>
      <c r="F1330" s="135" t="s">
        <v>0</v>
      </c>
      <c r="G1330" s="58" t="s">
        <v>606</v>
      </c>
      <c r="H1330" s="135">
        <v>120</v>
      </c>
      <c r="I1330" s="135" t="s">
        <v>207</v>
      </c>
      <c r="J1330" s="135" t="s">
        <v>8</v>
      </c>
      <c r="K1330" s="187" t="s">
        <v>44</v>
      </c>
      <c r="L1330" s="93" t="s">
        <v>3075</v>
      </c>
      <c r="M1330" s="94" t="s">
        <v>3376</v>
      </c>
      <c r="N1330" s="95" t="s">
        <v>2869</v>
      </c>
      <c r="O1330" s="189">
        <v>4</v>
      </c>
      <c r="P1330" s="153">
        <v>60.586666666666702</v>
      </c>
      <c r="Q1330" s="189" t="s">
        <v>16</v>
      </c>
      <c r="R1330" s="135">
        <v>3.7</v>
      </c>
      <c r="S1330" s="95"/>
      <c r="T1330" s="98">
        <v>29.1666666666667</v>
      </c>
      <c r="U1330" s="186">
        <f t="shared" si="310"/>
        <v>253.3373333333335</v>
      </c>
      <c r="V1330" s="100">
        <f t="shared" si="308"/>
        <v>2.111144444444446</v>
      </c>
      <c r="W1330" s="101">
        <f t="shared" si="309"/>
        <v>0.30159206349206374</v>
      </c>
      <c r="X1330" s="95"/>
      <c r="Y1330" s="95"/>
      <c r="Z1330" s="102"/>
      <c r="AA1330" s="103">
        <v>45975</v>
      </c>
      <c r="AB1330" s="103">
        <v>46000</v>
      </c>
      <c r="AC1330" s="103"/>
      <c r="AD1330" s="104">
        <f>IF(ISNA(VLOOKUP(D1330,亚马逊入库配置费!B:F,5,0)),0,VLOOKUP(D1330,亚马逊入库配置费!B:F,5,0))</f>
        <v>0.451290322580645</v>
      </c>
      <c r="AE1330" s="104">
        <f t="shared" si="302"/>
        <v>54.154838709677399</v>
      </c>
      <c r="AF1330" s="103">
        <v>46012</v>
      </c>
      <c r="AG1330" s="90">
        <f t="shared" si="303"/>
        <v>37</v>
      </c>
      <c r="AH1330" s="103">
        <v>46012</v>
      </c>
      <c r="AI1330" s="103">
        <v>46042</v>
      </c>
      <c r="AJ1330" s="96">
        <v>120</v>
      </c>
      <c r="AK1330" s="91">
        <f t="shared" si="304"/>
        <v>30</v>
      </c>
      <c r="AL1330" s="96">
        <f t="shared" si="305"/>
        <v>67</v>
      </c>
      <c r="AM1330" s="92"/>
      <c r="AN1330" s="91"/>
      <c r="AO1330" s="91"/>
    </row>
    <row r="1331" spans="1:41" ht="14.5" x14ac:dyDescent="0.25">
      <c r="A1331" s="110" t="s">
        <v>2270</v>
      </c>
      <c r="B1331" s="91"/>
      <c r="C1331" s="135" t="s">
        <v>2271</v>
      </c>
      <c r="D1331" s="187" t="s">
        <v>2272</v>
      </c>
      <c r="E1331" s="135" t="s">
        <v>270</v>
      </c>
      <c r="F1331" s="135" t="s">
        <v>271</v>
      </c>
      <c r="G1331" s="58" t="s">
        <v>163</v>
      </c>
      <c r="H1331" s="135">
        <v>280</v>
      </c>
      <c r="I1331" s="135" t="s">
        <v>1097</v>
      </c>
      <c r="J1331" s="135" t="s">
        <v>2273</v>
      </c>
      <c r="K1331" s="187" t="s">
        <v>273</v>
      </c>
      <c r="L1331" s="93" t="s">
        <v>2881</v>
      </c>
      <c r="M1331" s="94" t="s">
        <v>3302</v>
      </c>
      <c r="N1331" s="95" t="s">
        <v>2870</v>
      </c>
      <c r="O1331" s="189">
        <v>7</v>
      </c>
      <c r="P1331" s="153">
        <f>0.68/15*O1331</f>
        <v>0.31733333333333336</v>
      </c>
      <c r="Q1331" s="189" t="s">
        <v>3264</v>
      </c>
      <c r="R1331" s="135">
        <v>750</v>
      </c>
      <c r="S1331" s="95">
        <v>450</v>
      </c>
      <c r="T1331" s="98">
        <v>210</v>
      </c>
      <c r="U1331" s="186">
        <f t="shared" si="310"/>
        <v>448</v>
      </c>
      <c r="V1331" s="100">
        <f t="shared" si="308"/>
        <v>1.6</v>
      </c>
      <c r="W1331" s="101">
        <f t="shared" si="309"/>
        <v>0.22857142857142859</v>
      </c>
      <c r="X1331" s="95"/>
      <c r="Y1331" s="95"/>
      <c r="Z1331" s="102"/>
      <c r="AA1331" s="103">
        <v>45975</v>
      </c>
      <c r="AB1331" s="103">
        <v>45999</v>
      </c>
      <c r="AC1331" s="103"/>
      <c r="AD1331" s="104">
        <f>IF(ISNA(VLOOKUP(D1331,亚马逊入库配置费!B:F,5,0)),0,VLOOKUP(D1331,亚马逊入库配置费!B:F,5,0))</f>
        <v>0</v>
      </c>
      <c r="AE1331" s="104">
        <f t="shared" si="302"/>
        <v>0</v>
      </c>
      <c r="AF1331" s="103">
        <v>46006</v>
      </c>
      <c r="AG1331" s="90">
        <f t="shared" si="303"/>
        <v>31</v>
      </c>
      <c r="AH1331" s="103">
        <v>46006</v>
      </c>
      <c r="AI1331" s="103">
        <v>46022</v>
      </c>
      <c r="AJ1331" s="96">
        <v>280</v>
      </c>
      <c r="AK1331" s="91">
        <f t="shared" si="304"/>
        <v>16</v>
      </c>
      <c r="AL1331" s="96">
        <f t="shared" si="305"/>
        <v>47</v>
      </c>
      <c r="AM1331" s="92"/>
      <c r="AN1331" s="91"/>
      <c r="AO1331" s="91"/>
    </row>
    <row r="1332" spans="1:41" ht="14.5" x14ac:dyDescent="0.25">
      <c r="A1332" s="110" t="s">
        <v>2274</v>
      </c>
      <c r="B1332" s="91"/>
      <c r="C1332" s="135" t="s">
        <v>2271</v>
      </c>
      <c r="D1332" s="187" t="s">
        <v>2272</v>
      </c>
      <c r="E1332" s="135" t="s">
        <v>270</v>
      </c>
      <c r="F1332" s="135" t="s">
        <v>271</v>
      </c>
      <c r="G1332" s="58" t="s">
        <v>165</v>
      </c>
      <c r="H1332" s="135">
        <v>200</v>
      </c>
      <c r="I1332" s="135" t="s">
        <v>1097</v>
      </c>
      <c r="J1332" s="135" t="s">
        <v>2273</v>
      </c>
      <c r="K1332" s="187" t="s">
        <v>273</v>
      </c>
      <c r="L1332" s="93" t="s">
        <v>2880</v>
      </c>
      <c r="M1332" s="94" t="s">
        <v>3209</v>
      </c>
      <c r="N1332" s="95" t="s">
        <v>2870</v>
      </c>
      <c r="O1332" s="189">
        <v>5</v>
      </c>
      <c r="P1332" s="153">
        <f t="shared" ref="P1332:P1333" si="311">0.68/15*O1332</f>
        <v>0.22666666666666668</v>
      </c>
      <c r="Q1332" s="189" t="s">
        <v>3264</v>
      </c>
      <c r="R1332" s="135">
        <v>750</v>
      </c>
      <c r="S1332" s="106">
        <f>SUMIF(C:C,C1331,T:T)</f>
        <v>450</v>
      </c>
      <c r="T1332" s="98">
        <v>150</v>
      </c>
      <c r="U1332" s="186">
        <f t="shared" si="310"/>
        <v>320</v>
      </c>
      <c r="V1332" s="100">
        <f t="shared" si="308"/>
        <v>1.6</v>
      </c>
      <c r="W1332" s="101">
        <f t="shared" si="309"/>
        <v>0.22857142857142859</v>
      </c>
      <c r="X1332" s="95"/>
      <c r="Y1332" s="95"/>
      <c r="Z1332" s="102"/>
      <c r="AA1332" s="103">
        <v>45975</v>
      </c>
      <c r="AB1332" s="103">
        <v>45999</v>
      </c>
      <c r="AC1332" s="103"/>
      <c r="AD1332" s="104">
        <f>IF(ISNA(VLOOKUP(D1332,亚马逊入库配置费!B:F,5,0)),0,VLOOKUP(D1332,亚马逊入库配置费!B:F,5,0))</f>
        <v>0</v>
      </c>
      <c r="AE1332" s="104">
        <f t="shared" si="302"/>
        <v>0</v>
      </c>
      <c r="AF1332" s="103">
        <v>46006</v>
      </c>
      <c r="AG1332" s="90">
        <f t="shared" si="303"/>
        <v>31</v>
      </c>
      <c r="AH1332" s="103">
        <v>46006</v>
      </c>
      <c r="AI1332" s="103">
        <v>46022</v>
      </c>
      <c r="AJ1332" s="96">
        <v>200</v>
      </c>
      <c r="AK1332" s="91">
        <f t="shared" si="304"/>
        <v>16</v>
      </c>
      <c r="AL1332" s="96">
        <f t="shared" si="305"/>
        <v>47</v>
      </c>
      <c r="AM1332" s="92"/>
      <c r="AN1332" s="91"/>
      <c r="AO1332" s="91"/>
    </row>
    <row r="1333" spans="1:41" ht="14.5" x14ac:dyDescent="0.25">
      <c r="A1333" s="110" t="s">
        <v>2275</v>
      </c>
      <c r="B1333" s="91"/>
      <c r="C1333" s="135" t="s">
        <v>2271</v>
      </c>
      <c r="D1333" s="187" t="s">
        <v>2272</v>
      </c>
      <c r="E1333" s="135" t="s">
        <v>270</v>
      </c>
      <c r="F1333" s="135" t="s">
        <v>271</v>
      </c>
      <c r="G1333" s="58" t="s">
        <v>211</v>
      </c>
      <c r="H1333" s="135">
        <v>90</v>
      </c>
      <c r="I1333" s="135" t="s">
        <v>1097</v>
      </c>
      <c r="J1333" s="135" t="s">
        <v>2273</v>
      </c>
      <c r="K1333" s="187" t="s">
        <v>273</v>
      </c>
      <c r="L1333" s="93" t="s">
        <v>3034</v>
      </c>
      <c r="M1333" s="94" t="s">
        <v>3312</v>
      </c>
      <c r="N1333" s="95" t="s">
        <v>2869</v>
      </c>
      <c r="O1333" s="189">
        <v>3</v>
      </c>
      <c r="P1333" s="153">
        <f t="shared" si="311"/>
        <v>0.13600000000000001</v>
      </c>
      <c r="Q1333" s="189" t="s">
        <v>3264</v>
      </c>
      <c r="R1333" s="135">
        <v>750</v>
      </c>
      <c r="S1333" s="95"/>
      <c r="T1333" s="98">
        <v>90</v>
      </c>
      <c r="U1333" s="186">
        <f t="shared" si="310"/>
        <v>192</v>
      </c>
      <c r="V1333" s="100">
        <f t="shared" si="308"/>
        <v>2.1333333333333333</v>
      </c>
      <c r="W1333" s="101">
        <f t="shared" si="309"/>
        <v>0.30476190476190473</v>
      </c>
      <c r="X1333" s="95"/>
      <c r="Y1333" s="95"/>
      <c r="Z1333" s="102"/>
      <c r="AA1333" s="103">
        <v>45975</v>
      </c>
      <c r="AB1333" s="103">
        <v>45999</v>
      </c>
      <c r="AC1333" s="103"/>
      <c r="AD1333" s="104">
        <f>IF(ISNA(VLOOKUP(D1333,亚马逊入库配置费!B:F,5,0)),0,VLOOKUP(D1333,亚马逊入库配置费!B:F,5,0))</f>
        <v>0</v>
      </c>
      <c r="AE1333" s="104">
        <f t="shared" si="302"/>
        <v>0</v>
      </c>
      <c r="AF1333" s="103">
        <v>46006</v>
      </c>
      <c r="AG1333" s="90">
        <f t="shared" si="303"/>
        <v>31</v>
      </c>
      <c r="AH1333" s="103">
        <v>46006</v>
      </c>
      <c r="AI1333" s="103">
        <v>46022</v>
      </c>
      <c r="AJ1333" s="96">
        <v>90</v>
      </c>
      <c r="AK1333" s="91">
        <f t="shared" si="304"/>
        <v>16</v>
      </c>
      <c r="AL1333" s="96">
        <f t="shared" si="305"/>
        <v>47</v>
      </c>
      <c r="AM1333" s="92"/>
      <c r="AN1333" s="91"/>
      <c r="AO1333" s="91"/>
    </row>
    <row r="1334" spans="1:41" ht="14.5" x14ac:dyDescent="0.25">
      <c r="A1334" s="110" t="s">
        <v>2276</v>
      </c>
      <c r="B1334" s="91"/>
      <c r="C1334" s="135" t="s">
        <v>2277</v>
      </c>
      <c r="D1334" s="187" t="s">
        <v>2278</v>
      </c>
      <c r="E1334" s="135" t="s">
        <v>1072</v>
      </c>
      <c r="F1334" s="135" t="s">
        <v>1073</v>
      </c>
      <c r="G1334" s="58" t="s">
        <v>2279</v>
      </c>
      <c r="H1334" s="135">
        <v>150</v>
      </c>
      <c r="I1334" s="135" t="s">
        <v>1074</v>
      </c>
      <c r="J1334" s="135" t="s">
        <v>2102</v>
      </c>
      <c r="K1334" s="187" t="s">
        <v>1075</v>
      </c>
      <c r="L1334" s="93" t="s">
        <v>2279</v>
      </c>
      <c r="M1334" s="94" t="s">
        <v>3507</v>
      </c>
      <c r="N1334" s="95" t="s">
        <v>2971</v>
      </c>
      <c r="O1334" s="189">
        <v>5</v>
      </c>
      <c r="P1334" s="153">
        <f>123/8*O1334</f>
        <v>76.875</v>
      </c>
      <c r="Q1334" s="189" t="s">
        <v>16</v>
      </c>
      <c r="R1334" s="135">
        <v>7</v>
      </c>
      <c r="S1334" s="95">
        <v>350</v>
      </c>
      <c r="T1334" s="98">
        <v>218.75</v>
      </c>
      <c r="U1334" s="186">
        <f t="shared" si="310"/>
        <v>756.875</v>
      </c>
      <c r="V1334" s="100">
        <f t="shared" si="308"/>
        <v>5.0458333333333334</v>
      </c>
      <c r="W1334" s="101">
        <f t="shared" si="309"/>
        <v>0.72083333333333333</v>
      </c>
      <c r="X1334" s="95"/>
      <c r="Y1334" s="95"/>
      <c r="Z1334" s="102"/>
      <c r="AA1334" s="103">
        <v>45975</v>
      </c>
      <c r="AB1334" s="103">
        <v>46010</v>
      </c>
      <c r="AC1334" s="103"/>
      <c r="AD1334" s="104">
        <f>IF(ISNA(VLOOKUP(D1334,亚马逊入库配置费!B:F,5,0)),0,VLOOKUP(D1334,亚马逊入库配置费!B:F,5,0))</f>
        <v>0</v>
      </c>
      <c r="AE1334" s="104">
        <f t="shared" si="302"/>
        <v>0</v>
      </c>
      <c r="AF1334" s="103">
        <v>46027</v>
      </c>
      <c r="AG1334" s="90">
        <f t="shared" si="303"/>
        <v>52</v>
      </c>
      <c r="AH1334" s="103">
        <v>46027</v>
      </c>
      <c r="AI1334" s="103">
        <v>46041</v>
      </c>
      <c r="AJ1334" s="96">
        <v>150</v>
      </c>
      <c r="AK1334" s="91">
        <f t="shared" si="304"/>
        <v>14</v>
      </c>
      <c r="AL1334" s="96">
        <f t="shared" si="305"/>
        <v>66</v>
      </c>
      <c r="AM1334" s="92"/>
      <c r="AN1334" s="91"/>
      <c r="AO1334" s="91"/>
    </row>
    <row r="1335" spans="1:41" ht="14.5" x14ac:dyDescent="0.25">
      <c r="A1335" s="110" t="s">
        <v>2280</v>
      </c>
      <c r="B1335" s="91"/>
      <c r="C1335" s="135" t="s">
        <v>2277</v>
      </c>
      <c r="D1335" s="187" t="s">
        <v>2278</v>
      </c>
      <c r="E1335" s="135" t="s">
        <v>1072</v>
      </c>
      <c r="F1335" s="135" t="s">
        <v>1073</v>
      </c>
      <c r="G1335" s="58" t="s">
        <v>2281</v>
      </c>
      <c r="H1335" s="135">
        <v>90</v>
      </c>
      <c r="I1335" s="135" t="s">
        <v>1074</v>
      </c>
      <c r="J1335" s="135" t="s">
        <v>2102</v>
      </c>
      <c r="K1335" s="187" t="s">
        <v>1075</v>
      </c>
      <c r="L1335" s="93" t="s">
        <v>2281</v>
      </c>
      <c r="M1335" s="94" t="s">
        <v>3508</v>
      </c>
      <c r="N1335" s="95" t="s">
        <v>2971</v>
      </c>
      <c r="O1335" s="189">
        <v>3</v>
      </c>
      <c r="P1335" s="153">
        <f>123/8*O1335</f>
        <v>46.125</v>
      </c>
      <c r="Q1335" s="189" t="s">
        <v>16</v>
      </c>
      <c r="R1335" s="135">
        <v>7</v>
      </c>
      <c r="S1335" s="106">
        <f>SUMIF(C:C,C1334,T:T)</f>
        <v>350</v>
      </c>
      <c r="T1335" s="98">
        <v>131.25</v>
      </c>
      <c r="U1335" s="186">
        <f t="shared" si="310"/>
        <v>454.125</v>
      </c>
      <c r="V1335" s="100">
        <f t="shared" si="308"/>
        <v>5.0458333333333334</v>
      </c>
      <c r="W1335" s="101">
        <f t="shared" si="309"/>
        <v>0.72083333333333333</v>
      </c>
      <c r="X1335" s="95"/>
      <c r="Y1335" s="95"/>
      <c r="Z1335" s="102"/>
      <c r="AA1335" s="103">
        <v>45975</v>
      </c>
      <c r="AB1335" s="103">
        <v>46010</v>
      </c>
      <c r="AC1335" s="103"/>
      <c r="AD1335" s="104">
        <f>IF(ISNA(VLOOKUP(D1335,亚马逊入库配置费!B:F,5,0)),0,VLOOKUP(D1335,亚马逊入库配置费!B:F,5,0))</f>
        <v>0</v>
      </c>
      <c r="AE1335" s="104">
        <f t="shared" si="302"/>
        <v>0</v>
      </c>
      <c r="AF1335" s="103">
        <v>46027</v>
      </c>
      <c r="AG1335" s="90">
        <f t="shared" si="303"/>
        <v>52</v>
      </c>
      <c r="AH1335" s="103">
        <v>46027</v>
      </c>
      <c r="AI1335" s="103">
        <v>46041</v>
      </c>
      <c r="AJ1335" s="96">
        <v>90</v>
      </c>
      <c r="AK1335" s="91">
        <f t="shared" si="304"/>
        <v>14</v>
      </c>
      <c r="AL1335" s="96">
        <f t="shared" si="305"/>
        <v>66</v>
      </c>
      <c r="AM1335" s="92"/>
      <c r="AN1335" s="91"/>
      <c r="AO1335" s="91"/>
    </row>
    <row r="1336" spans="1:41" ht="14.5" x14ac:dyDescent="0.25">
      <c r="A1336" s="210" t="s">
        <v>2282</v>
      </c>
      <c r="B1336" s="211"/>
      <c r="C1336" s="211" t="s">
        <v>2283</v>
      </c>
      <c r="D1336" s="212" t="s">
        <v>2284</v>
      </c>
      <c r="E1336" s="211" t="s">
        <v>1164</v>
      </c>
      <c r="F1336" s="211" t="s">
        <v>1165</v>
      </c>
      <c r="G1336" s="213" t="s">
        <v>163</v>
      </c>
      <c r="H1336" s="211">
        <v>320</v>
      </c>
      <c r="I1336" s="211" t="s">
        <v>89</v>
      </c>
      <c r="J1336" s="211" t="s">
        <v>2064</v>
      </c>
      <c r="K1336" s="212" t="s">
        <v>1167</v>
      </c>
      <c r="L1336" s="214" t="s">
        <v>2881</v>
      </c>
      <c r="M1336" s="215" t="s">
        <v>3302</v>
      </c>
      <c r="N1336" s="211" t="s">
        <v>2870</v>
      </c>
      <c r="O1336" s="216">
        <v>8</v>
      </c>
      <c r="P1336" s="217">
        <v>108.444444444444</v>
      </c>
      <c r="Q1336" s="216" t="s">
        <v>16</v>
      </c>
      <c r="R1336" s="211">
        <v>7.3</v>
      </c>
      <c r="S1336" s="211">
        <v>350</v>
      </c>
      <c r="T1336" s="218">
        <v>311.11111111111097</v>
      </c>
      <c r="U1336" s="219">
        <f t="shared" si="310"/>
        <v>1102.7555555555523</v>
      </c>
      <c r="V1336" s="220">
        <f t="shared" si="308"/>
        <v>3.4461111111111009</v>
      </c>
      <c r="W1336" s="221">
        <f t="shared" si="309"/>
        <v>0.49230158730158585</v>
      </c>
      <c r="X1336" s="211"/>
      <c r="Y1336" s="211"/>
      <c r="Z1336" s="218"/>
      <c r="AA1336" s="222">
        <v>45975</v>
      </c>
      <c r="AB1336" s="222">
        <v>46021</v>
      </c>
      <c r="AC1336" s="222"/>
      <c r="AD1336" s="223">
        <f>IF(ISNA(VLOOKUP(D1336,亚马逊入库配置费!B:F,5,0)),0,VLOOKUP(D1336,亚马逊入库配置费!B:F,5,0))</f>
        <v>0</v>
      </c>
      <c r="AE1336" s="223">
        <f t="shared" si="302"/>
        <v>0</v>
      </c>
      <c r="AF1336" s="222">
        <v>46042</v>
      </c>
      <c r="AG1336" s="224">
        <f t="shared" si="303"/>
        <v>67</v>
      </c>
      <c r="AH1336" s="222">
        <v>46042</v>
      </c>
      <c r="AI1336" s="222">
        <v>46057</v>
      </c>
      <c r="AJ1336" s="216">
        <v>320</v>
      </c>
      <c r="AK1336" s="211">
        <f t="shared" si="304"/>
        <v>15</v>
      </c>
      <c r="AL1336" s="216">
        <f t="shared" si="305"/>
        <v>82</v>
      </c>
      <c r="AM1336" s="212"/>
      <c r="AN1336" s="211"/>
      <c r="AO1336" s="211"/>
    </row>
    <row r="1337" spans="1:41" ht="14.5" x14ac:dyDescent="0.25">
      <c r="A1337" s="210" t="s">
        <v>2285</v>
      </c>
      <c r="B1337" s="211"/>
      <c r="C1337" s="211" t="s">
        <v>2283</v>
      </c>
      <c r="D1337" s="212" t="s">
        <v>2284</v>
      </c>
      <c r="E1337" s="211" t="s">
        <v>1164</v>
      </c>
      <c r="F1337" s="211" t="s">
        <v>1165</v>
      </c>
      <c r="G1337" s="213" t="s">
        <v>352</v>
      </c>
      <c r="H1337" s="211">
        <v>40</v>
      </c>
      <c r="I1337" s="211" t="s">
        <v>89</v>
      </c>
      <c r="J1337" s="211" t="s">
        <v>2064</v>
      </c>
      <c r="K1337" s="212" t="s">
        <v>1167</v>
      </c>
      <c r="L1337" s="214" t="s">
        <v>3049</v>
      </c>
      <c r="M1337" s="215" t="s">
        <v>3336</v>
      </c>
      <c r="N1337" s="211" t="s">
        <v>2870</v>
      </c>
      <c r="O1337" s="216">
        <v>1</v>
      </c>
      <c r="P1337" s="217">
        <v>13.5555555555556</v>
      </c>
      <c r="Q1337" s="216" t="s">
        <v>16</v>
      </c>
      <c r="R1337" s="211">
        <v>7.3</v>
      </c>
      <c r="S1337" s="225">
        <f>SUMIF(C:C,C1336,T:T)</f>
        <v>349.99999999999989</v>
      </c>
      <c r="T1337" s="218">
        <v>38.8888888888889</v>
      </c>
      <c r="U1337" s="219">
        <f t="shared" si="310"/>
        <v>137.84444444444478</v>
      </c>
      <c r="V1337" s="220">
        <f t="shared" si="308"/>
        <v>3.4461111111111196</v>
      </c>
      <c r="W1337" s="221">
        <f t="shared" si="309"/>
        <v>0.49230158730158852</v>
      </c>
      <c r="X1337" s="211"/>
      <c r="Y1337" s="211"/>
      <c r="Z1337" s="218"/>
      <c r="AA1337" s="222">
        <v>45975</v>
      </c>
      <c r="AB1337" s="222">
        <v>46021</v>
      </c>
      <c r="AC1337" s="222"/>
      <c r="AD1337" s="223">
        <f>IF(ISNA(VLOOKUP(D1337,亚马逊入库配置费!B:F,5,0)),0,VLOOKUP(D1337,亚马逊入库配置费!B:F,5,0))</f>
        <v>0</v>
      </c>
      <c r="AE1337" s="223">
        <f t="shared" si="302"/>
        <v>0</v>
      </c>
      <c r="AF1337" s="222">
        <v>46042</v>
      </c>
      <c r="AG1337" s="224">
        <f t="shared" si="303"/>
        <v>67</v>
      </c>
      <c r="AH1337" s="222">
        <v>46042</v>
      </c>
      <c r="AI1337" s="222">
        <v>46057</v>
      </c>
      <c r="AJ1337" s="216">
        <v>40</v>
      </c>
      <c r="AK1337" s="211">
        <f t="shared" si="304"/>
        <v>15</v>
      </c>
      <c r="AL1337" s="216">
        <f t="shared" si="305"/>
        <v>82</v>
      </c>
      <c r="AM1337" s="212"/>
      <c r="AN1337" s="211"/>
      <c r="AO1337" s="211"/>
    </row>
    <row r="1338" spans="1:41" ht="14.5" x14ac:dyDescent="0.25">
      <c r="A1338" s="210" t="s">
        <v>2286</v>
      </c>
      <c r="B1338" s="211"/>
      <c r="C1338" s="211" t="s">
        <v>2287</v>
      </c>
      <c r="D1338" s="212" t="s">
        <v>2288</v>
      </c>
      <c r="E1338" s="211" t="s">
        <v>97</v>
      </c>
      <c r="F1338" s="211" t="s">
        <v>0</v>
      </c>
      <c r="G1338" s="213" t="s">
        <v>1332</v>
      </c>
      <c r="H1338" s="211">
        <v>300</v>
      </c>
      <c r="I1338" s="211" t="s">
        <v>89</v>
      </c>
      <c r="J1338" s="211" t="s">
        <v>8</v>
      </c>
      <c r="K1338" s="212" t="s">
        <v>9</v>
      </c>
      <c r="L1338" s="214" t="s">
        <v>1332</v>
      </c>
      <c r="M1338" s="215" t="s">
        <v>3443</v>
      </c>
      <c r="N1338" s="211" t="s">
        <v>3099</v>
      </c>
      <c r="O1338" s="216">
        <v>25</v>
      </c>
      <c r="P1338" s="217">
        <v>360</v>
      </c>
      <c r="Q1338" s="216" t="s">
        <v>16</v>
      </c>
      <c r="R1338" s="211">
        <v>4.8</v>
      </c>
      <c r="S1338" s="211">
        <v>350</v>
      </c>
      <c r="T1338" s="218">
        <v>148.305084745763</v>
      </c>
      <c r="U1338" s="219">
        <f t="shared" si="310"/>
        <v>1876.305084745763</v>
      </c>
      <c r="V1338" s="220">
        <f t="shared" si="308"/>
        <v>6.254350282485877</v>
      </c>
      <c r="W1338" s="221">
        <f t="shared" si="309"/>
        <v>0.8934786117836967</v>
      </c>
      <c r="X1338" s="211"/>
      <c r="Y1338" s="211"/>
      <c r="Z1338" s="218"/>
      <c r="AA1338" s="222">
        <v>45975</v>
      </c>
      <c r="AB1338" s="222">
        <v>45995</v>
      </c>
      <c r="AC1338" s="222"/>
      <c r="AD1338" s="223">
        <f>IF(ISNA(VLOOKUP(D1338,亚马逊入库配置费!B:F,5,0)),0,VLOOKUP(D1338,亚马逊入库配置费!B:F,5,0))</f>
        <v>0.42079545454545503</v>
      </c>
      <c r="AE1338" s="223">
        <f t="shared" si="302"/>
        <v>126.2386363636365</v>
      </c>
      <c r="AF1338" s="222">
        <v>46006</v>
      </c>
      <c r="AG1338" s="224">
        <f t="shared" si="303"/>
        <v>31</v>
      </c>
      <c r="AH1338" s="222">
        <v>46006</v>
      </c>
      <c r="AI1338" s="222">
        <v>46037</v>
      </c>
      <c r="AJ1338" s="216">
        <v>300</v>
      </c>
      <c r="AK1338" s="211">
        <f t="shared" si="304"/>
        <v>31</v>
      </c>
      <c r="AL1338" s="216">
        <f t="shared" si="305"/>
        <v>62</v>
      </c>
      <c r="AM1338" s="212"/>
      <c r="AN1338" s="211"/>
      <c r="AO1338" s="211"/>
    </row>
    <row r="1339" spans="1:41" ht="14.5" x14ac:dyDescent="0.25">
      <c r="A1339" s="210" t="s">
        <v>2289</v>
      </c>
      <c r="B1339" s="211"/>
      <c r="C1339" s="211" t="s">
        <v>2287</v>
      </c>
      <c r="D1339" s="212" t="s">
        <v>2288</v>
      </c>
      <c r="E1339" s="211" t="s">
        <v>97</v>
      </c>
      <c r="F1339" s="211" t="s">
        <v>0</v>
      </c>
      <c r="G1339" s="213" t="s">
        <v>2170</v>
      </c>
      <c r="H1339" s="211">
        <v>576</v>
      </c>
      <c r="I1339" s="211" t="s">
        <v>89</v>
      </c>
      <c r="J1339" s="211" t="s">
        <v>8</v>
      </c>
      <c r="K1339" s="212" t="s">
        <v>9</v>
      </c>
      <c r="L1339" s="214" t="s">
        <v>2170</v>
      </c>
      <c r="M1339" s="215" t="s">
        <v>3485</v>
      </c>
      <c r="N1339" s="211" t="s">
        <v>2985</v>
      </c>
      <c r="O1339" s="216">
        <v>18</v>
      </c>
      <c r="P1339" s="217">
        <v>259.2</v>
      </c>
      <c r="Q1339" s="216" t="s">
        <v>16</v>
      </c>
      <c r="R1339" s="211">
        <v>4.8</v>
      </c>
      <c r="S1339" s="225">
        <f>SUMIF(C:C,C1338,T:T)</f>
        <v>350.00000000000011</v>
      </c>
      <c r="T1339" s="218">
        <v>106.77966101694901</v>
      </c>
      <c r="U1339" s="219">
        <f t="shared" si="310"/>
        <v>1350.9396610169488</v>
      </c>
      <c r="V1339" s="220">
        <f t="shared" si="308"/>
        <v>2.3453813559322025</v>
      </c>
      <c r="W1339" s="221">
        <f t="shared" si="309"/>
        <v>0.33505447941888605</v>
      </c>
      <c r="X1339" s="211"/>
      <c r="Y1339" s="211"/>
      <c r="Z1339" s="218"/>
      <c r="AA1339" s="222">
        <v>45975</v>
      </c>
      <c r="AB1339" s="222">
        <v>45995</v>
      </c>
      <c r="AC1339" s="222"/>
      <c r="AD1339" s="223">
        <f>IF(ISNA(VLOOKUP(D1339,亚马逊入库配置费!B:F,5,0)),0,VLOOKUP(D1339,亚马逊入库配置费!B:F,5,0))</f>
        <v>0.42079545454545503</v>
      </c>
      <c r="AE1339" s="223">
        <f t="shared" si="302"/>
        <v>242.3781818181821</v>
      </c>
      <c r="AF1339" s="222">
        <v>46006</v>
      </c>
      <c r="AG1339" s="224">
        <f t="shared" si="303"/>
        <v>31</v>
      </c>
      <c r="AH1339" s="222">
        <v>46006</v>
      </c>
      <c r="AI1339" s="222">
        <v>46037</v>
      </c>
      <c r="AJ1339" s="216">
        <v>576</v>
      </c>
      <c r="AK1339" s="211">
        <f t="shared" si="304"/>
        <v>31</v>
      </c>
      <c r="AL1339" s="216">
        <f t="shared" si="305"/>
        <v>62</v>
      </c>
      <c r="AM1339" s="212"/>
      <c r="AN1339" s="211"/>
      <c r="AO1339" s="211"/>
    </row>
    <row r="1340" spans="1:41" ht="14.5" x14ac:dyDescent="0.25">
      <c r="A1340" s="210" t="s">
        <v>2290</v>
      </c>
      <c r="B1340" s="211"/>
      <c r="C1340" s="211" t="s">
        <v>2287</v>
      </c>
      <c r="D1340" s="212" t="s">
        <v>2288</v>
      </c>
      <c r="E1340" s="211" t="s">
        <v>97</v>
      </c>
      <c r="F1340" s="211" t="s">
        <v>0</v>
      </c>
      <c r="G1340" s="213" t="s">
        <v>100</v>
      </c>
      <c r="H1340" s="211">
        <v>180</v>
      </c>
      <c r="I1340" s="211" t="s">
        <v>89</v>
      </c>
      <c r="J1340" s="211" t="s">
        <v>8</v>
      </c>
      <c r="K1340" s="212" t="s">
        <v>9</v>
      </c>
      <c r="L1340" s="214" t="s">
        <v>2819</v>
      </c>
      <c r="M1340" s="215" t="s">
        <v>3290</v>
      </c>
      <c r="N1340" s="211" t="s">
        <v>3016</v>
      </c>
      <c r="O1340" s="216">
        <v>2</v>
      </c>
      <c r="P1340" s="217">
        <v>28.8</v>
      </c>
      <c r="Q1340" s="216" t="s">
        <v>16</v>
      </c>
      <c r="R1340" s="211">
        <v>4.8</v>
      </c>
      <c r="S1340" s="211"/>
      <c r="T1340" s="218">
        <v>11.864406779661</v>
      </c>
      <c r="U1340" s="219">
        <f t="shared" si="310"/>
        <v>150.10440677966102</v>
      </c>
      <c r="V1340" s="220">
        <f t="shared" si="308"/>
        <v>0.8339133709981168</v>
      </c>
      <c r="W1340" s="221">
        <f t="shared" si="309"/>
        <v>0.11913048157115955</v>
      </c>
      <c r="X1340" s="211"/>
      <c r="Y1340" s="211"/>
      <c r="Z1340" s="218"/>
      <c r="AA1340" s="222">
        <v>45975</v>
      </c>
      <c r="AB1340" s="222">
        <v>45995</v>
      </c>
      <c r="AC1340" s="222"/>
      <c r="AD1340" s="223">
        <f>IF(ISNA(VLOOKUP(D1340,亚马逊入库配置费!B:F,5,0)),0,VLOOKUP(D1340,亚马逊入库配置费!B:F,5,0))</f>
        <v>0.42079545454545503</v>
      </c>
      <c r="AE1340" s="223">
        <f t="shared" si="302"/>
        <v>75.74318181818191</v>
      </c>
      <c r="AF1340" s="222">
        <v>46006</v>
      </c>
      <c r="AG1340" s="224">
        <f t="shared" si="303"/>
        <v>31</v>
      </c>
      <c r="AH1340" s="222">
        <v>46006</v>
      </c>
      <c r="AI1340" s="222">
        <v>46037</v>
      </c>
      <c r="AJ1340" s="216">
        <v>176</v>
      </c>
      <c r="AK1340" s="211">
        <f t="shared" si="304"/>
        <v>31</v>
      </c>
      <c r="AL1340" s="216">
        <f t="shared" si="305"/>
        <v>62</v>
      </c>
      <c r="AM1340" s="212"/>
      <c r="AN1340" s="211"/>
      <c r="AO1340" s="211"/>
    </row>
    <row r="1341" spans="1:41" ht="14.5" x14ac:dyDescent="0.25">
      <c r="A1341" s="210" t="s">
        <v>2291</v>
      </c>
      <c r="B1341" s="211"/>
      <c r="C1341" s="211" t="s">
        <v>2287</v>
      </c>
      <c r="D1341" s="212" t="s">
        <v>2292</v>
      </c>
      <c r="E1341" s="211" t="s">
        <v>97</v>
      </c>
      <c r="F1341" s="211" t="s">
        <v>0</v>
      </c>
      <c r="G1341" s="213" t="s">
        <v>2179</v>
      </c>
      <c r="H1341" s="211">
        <v>168</v>
      </c>
      <c r="I1341" s="211" t="s">
        <v>89</v>
      </c>
      <c r="J1341" s="211" t="s">
        <v>8</v>
      </c>
      <c r="K1341" s="212" t="s">
        <v>15</v>
      </c>
      <c r="L1341" s="214" t="s">
        <v>2179</v>
      </c>
      <c r="M1341" s="215" t="s">
        <v>3488</v>
      </c>
      <c r="N1341" s="211" t="s">
        <v>2821</v>
      </c>
      <c r="O1341" s="216">
        <v>14</v>
      </c>
      <c r="P1341" s="217">
        <v>240</v>
      </c>
      <c r="Q1341" s="216" t="s">
        <v>16</v>
      </c>
      <c r="R1341" s="211">
        <v>4.5</v>
      </c>
      <c r="S1341" s="211"/>
      <c r="T1341" s="218">
        <v>83.0508474576271</v>
      </c>
      <c r="U1341" s="219">
        <f t="shared" si="310"/>
        <v>1163.050847457627</v>
      </c>
      <c r="V1341" s="220">
        <f t="shared" si="308"/>
        <v>6.9229217110573034</v>
      </c>
      <c r="W1341" s="221">
        <f t="shared" si="309"/>
        <v>0.98898881586532905</v>
      </c>
      <c r="X1341" s="211"/>
      <c r="Y1341" s="211"/>
      <c r="Z1341" s="218"/>
      <c r="AA1341" s="222">
        <v>45975</v>
      </c>
      <c r="AB1341" s="222">
        <v>45995</v>
      </c>
      <c r="AC1341" s="222"/>
      <c r="AD1341" s="223">
        <f>IF(ISNA(VLOOKUP(D1341,亚马逊入库配置费!B:F,5,0)),0,VLOOKUP(D1341,亚马逊入库配置费!B:F,5,0))</f>
        <v>0.49</v>
      </c>
      <c r="AE1341" s="223">
        <f t="shared" si="302"/>
        <v>82.32</v>
      </c>
      <c r="AF1341" s="222">
        <v>46006</v>
      </c>
      <c r="AG1341" s="224">
        <f t="shared" si="303"/>
        <v>31</v>
      </c>
      <c r="AH1341" s="222">
        <v>46006</v>
      </c>
      <c r="AI1341" s="222">
        <v>46035</v>
      </c>
      <c r="AJ1341" s="216">
        <v>168</v>
      </c>
      <c r="AK1341" s="211">
        <f t="shared" si="304"/>
        <v>29</v>
      </c>
      <c r="AL1341" s="216">
        <f t="shared" si="305"/>
        <v>60</v>
      </c>
      <c r="AM1341" s="212"/>
      <c r="AN1341" s="211"/>
      <c r="AO1341" s="211"/>
    </row>
    <row r="1342" spans="1:41" ht="14.5" x14ac:dyDescent="0.25">
      <c r="A1342" s="110" t="s">
        <v>2293</v>
      </c>
      <c r="B1342" s="91"/>
      <c r="C1342" s="135" t="s">
        <v>1782</v>
      </c>
      <c r="D1342" s="187" t="s">
        <v>2294</v>
      </c>
      <c r="E1342" s="135" t="s">
        <v>115</v>
      </c>
      <c r="F1342" s="135" t="s">
        <v>0</v>
      </c>
      <c r="G1342" s="58" t="s">
        <v>2295</v>
      </c>
      <c r="H1342" s="135">
        <v>384</v>
      </c>
      <c r="I1342" s="135" t="s">
        <v>306</v>
      </c>
      <c r="J1342" s="135" t="s">
        <v>8</v>
      </c>
      <c r="K1342" s="187" t="s">
        <v>46</v>
      </c>
      <c r="L1342" s="93" t="s">
        <v>2295</v>
      </c>
      <c r="M1342" s="94" t="s">
        <v>3248</v>
      </c>
      <c r="N1342" s="95" t="s">
        <v>3105</v>
      </c>
      <c r="O1342" s="189">
        <v>6</v>
      </c>
      <c r="P1342" s="153">
        <f>116/8*O1342</f>
        <v>87</v>
      </c>
      <c r="Q1342" s="189" t="s">
        <v>16</v>
      </c>
      <c r="R1342" s="135">
        <v>5.5</v>
      </c>
      <c r="S1342" s="95">
        <v>0</v>
      </c>
      <c r="T1342" s="98">
        <v>0</v>
      </c>
      <c r="U1342" s="186">
        <f t="shared" si="310"/>
        <v>478.5</v>
      </c>
      <c r="V1342" s="100">
        <f t="shared" si="308"/>
        <v>1.24609375</v>
      </c>
      <c r="W1342" s="101">
        <f t="shared" si="309"/>
        <v>0.17801339285714285</v>
      </c>
      <c r="X1342" s="95"/>
      <c r="Y1342" s="95"/>
      <c r="Z1342" s="102"/>
      <c r="AA1342" s="103">
        <v>45975</v>
      </c>
      <c r="AB1342" s="103">
        <v>45996</v>
      </c>
      <c r="AC1342" s="103"/>
      <c r="AD1342" s="104">
        <f>IF(ISNA(VLOOKUP(D1342,亚马逊入库配置费!B:F,5,0)),0,VLOOKUP(D1342,亚马逊入库配置费!B:F,5,0))</f>
        <v>0.34</v>
      </c>
      <c r="AE1342" s="104">
        <f t="shared" si="302"/>
        <v>130.56</v>
      </c>
      <c r="AF1342" s="103">
        <v>46005</v>
      </c>
      <c r="AG1342" s="90">
        <f t="shared" si="303"/>
        <v>30</v>
      </c>
      <c r="AH1342" s="103">
        <v>46005</v>
      </c>
      <c r="AI1342" s="103">
        <v>46009</v>
      </c>
      <c r="AJ1342" s="96">
        <v>384</v>
      </c>
      <c r="AK1342" s="91">
        <f t="shared" si="304"/>
        <v>4</v>
      </c>
      <c r="AL1342" s="96">
        <f t="shared" si="305"/>
        <v>34</v>
      </c>
      <c r="AM1342" s="92"/>
      <c r="AN1342" s="91"/>
      <c r="AO1342" s="91"/>
    </row>
    <row r="1343" spans="1:41" ht="14.5" x14ac:dyDescent="0.25">
      <c r="A1343" s="110" t="s">
        <v>2296</v>
      </c>
      <c r="B1343" s="91"/>
      <c r="C1343" s="135" t="s">
        <v>1782</v>
      </c>
      <c r="D1343" s="187" t="s">
        <v>2294</v>
      </c>
      <c r="E1343" s="135" t="s">
        <v>115</v>
      </c>
      <c r="F1343" s="135" t="s">
        <v>0</v>
      </c>
      <c r="G1343" s="58" t="s">
        <v>2297</v>
      </c>
      <c r="H1343" s="135">
        <v>128</v>
      </c>
      <c r="I1343" s="135" t="s">
        <v>306</v>
      </c>
      <c r="J1343" s="135" t="s">
        <v>8</v>
      </c>
      <c r="K1343" s="187" t="s">
        <v>46</v>
      </c>
      <c r="L1343" s="93" t="s">
        <v>2297</v>
      </c>
      <c r="M1343" s="94" t="s">
        <v>3509</v>
      </c>
      <c r="N1343" s="95" t="s">
        <v>2988</v>
      </c>
      <c r="O1343" s="189">
        <v>2</v>
      </c>
      <c r="P1343" s="153">
        <f>116/8*O1343</f>
        <v>29</v>
      </c>
      <c r="Q1343" s="189" t="s">
        <v>16</v>
      </c>
      <c r="R1343" s="135">
        <v>5.5</v>
      </c>
      <c r="S1343" s="95"/>
      <c r="T1343" s="98">
        <v>0</v>
      </c>
      <c r="U1343" s="186">
        <f t="shared" si="310"/>
        <v>159.5</v>
      </c>
      <c r="V1343" s="100">
        <f t="shared" si="308"/>
        <v>1.24609375</v>
      </c>
      <c r="W1343" s="101">
        <f t="shared" si="309"/>
        <v>0.17801339285714285</v>
      </c>
      <c r="X1343" s="95"/>
      <c r="Y1343" s="95"/>
      <c r="Z1343" s="102"/>
      <c r="AA1343" s="103">
        <v>45975</v>
      </c>
      <c r="AB1343" s="103">
        <v>45996</v>
      </c>
      <c r="AC1343" s="103"/>
      <c r="AD1343" s="104">
        <f>IF(ISNA(VLOOKUP(D1343,亚马逊入库配置费!B:F,5,0)),0,VLOOKUP(D1343,亚马逊入库配置费!B:F,5,0))</f>
        <v>0.34</v>
      </c>
      <c r="AE1343" s="104">
        <f t="shared" si="302"/>
        <v>43.52</v>
      </c>
      <c r="AF1343" s="103">
        <v>46005</v>
      </c>
      <c r="AG1343" s="90">
        <f t="shared" si="303"/>
        <v>30</v>
      </c>
      <c r="AH1343" s="103">
        <v>46005</v>
      </c>
      <c r="AI1343" s="103">
        <v>46009</v>
      </c>
      <c r="AJ1343" s="96">
        <v>128</v>
      </c>
      <c r="AK1343" s="91">
        <f t="shared" si="304"/>
        <v>4</v>
      </c>
      <c r="AL1343" s="96">
        <f t="shared" si="305"/>
        <v>34</v>
      </c>
      <c r="AM1343" s="92"/>
      <c r="AN1343" s="91"/>
      <c r="AO1343" s="91"/>
    </row>
    <row r="1344" spans="1:41" ht="14.5" x14ac:dyDescent="0.25">
      <c r="A1344" s="110" t="s">
        <v>2298</v>
      </c>
      <c r="B1344" s="91"/>
      <c r="C1344" s="135" t="s">
        <v>1782</v>
      </c>
      <c r="D1344" s="187" t="s">
        <v>2299</v>
      </c>
      <c r="E1344" s="135" t="s">
        <v>115</v>
      </c>
      <c r="F1344" s="135" t="s">
        <v>0</v>
      </c>
      <c r="G1344" s="58" t="s">
        <v>2201</v>
      </c>
      <c r="H1344" s="135">
        <v>90</v>
      </c>
      <c r="I1344" s="135" t="s">
        <v>1767</v>
      </c>
      <c r="J1344" s="135" t="s">
        <v>8</v>
      </c>
      <c r="K1344" s="187" t="s">
        <v>9</v>
      </c>
      <c r="L1344" s="93" t="s">
        <v>2201</v>
      </c>
      <c r="M1344" s="94" t="s">
        <v>3510</v>
      </c>
      <c r="N1344" s="95" t="s">
        <v>3042</v>
      </c>
      <c r="O1344" s="189">
        <v>1</v>
      </c>
      <c r="P1344" s="153">
        <f>1.06/19*O1344</f>
        <v>5.5789473684210528E-2</v>
      </c>
      <c r="Q1344" s="189" t="s">
        <v>3264</v>
      </c>
      <c r="R1344" s="135">
        <v>1150</v>
      </c>
      <c r="S1344" s="95"/>
      <c r="T1344" s="98">
        <v>0</v>
      </c>
      <c r="U1344" s="186">
        <f t="shared" si="310"/>
        <v>64.15789473684211</v>
      </c>
      <c r="V1344" s="100">
        <f t="shared" si="308"/>
        <v>0.71286549707602342</v>
      </c>
      <c r="W1344" s="101">
        <f t="shared" si="309"/>
        <v>0.10183792815371763</v>
      </c>
      <c r="X1344" s="95"/>
      <c r="Y1344" s="95"/>
      <c r="Z1344" s="102"/>
      <c r="AA1344" s="103">
        <v>45975</v>
      </c>
      <c r="AB1344" s="103">
        <v>45994</v>
      </c>
      <c r="AC1344" s="103"/>
      <c r="AD1344" s="104">
        <f>IF(ISNA(VLOOKUP(D1344,亚马逊入库配置费!B:F,5,0)),0,VLOOKUP(D1344,亚马逊入库配置费!B:F,5,0))</f>
        <v>0.34</v>
      </c>
      <c r="AE1344" s="104">
        <f t="shared" si="302"/>
        <v>30.6</v>
      </c>
      <c r="AF1344" s="103">
        <v>46005</v>
      </c>
      <c r="AG1344" s="90">
        <f t="shared" si="303"/>
        <v>30</v>
      </c>
      <c r="AH1344" s="103">
        <v>46005</v>
      </c>
      <c r="AI1344" s="103">
        <v>46035</v>
      </c>
      <c r="AJ1344" s="96">
        <v>90</v>
      </c>
      <c r="AK1344" s="91">
        <f t="shared" si="304"/>
        <v>30</v>
      </c>
      <c r="AL1344" s="96">
        <f t="shared" si="305"/>
        <v>60</v>
      </c>
      <c r="AM1344" s="92"/>
      <c r="AN1344" s="91"/>
      <c r="AO1344" s="91"/>
    </row>
    <row r="1345" spans="1:41" ht="14.5" x14ac:dyDescent="0.25">
      <c r="A1345" s="110" t="s">
        <v>2300</v>
      </c>
      <c r="B1345" s="91"/>
      <c r="C1345" s="135" t="s">
        <v>1782</v>
      </c>
      <c r="D1345" s="187" t="s">
        <v>2299</v>
      </c>
      <c r="E1345" s="135" t="s">
        <v>115</v>
      </c>
      <c r="F1345" s="135" t="s">
        <v>0</v>
      </c>
      <c r="G1345" s="58" t="s">
        <v>2203</v>
      </c>
      <c r="H1345" s="135">
        <v>90</v>
      </c>
      <c r="I1345" s="135" t="s">
        <v>1767</v>
      </c>
      <c r="J1345" s="135" t="s">
        <v>8</v>
      </c>
      <c r="K1345" s="187" t="s">
        <v>9</v>
      </c>
      <c r="L1345" s="93" t="s">
        <v>2203</v>
      </c>
      <c r="M1345" s="94" t="s">
        <v>3511</v>
      </c>
      <c r="N1345" s="95" t="s">
        <v>3042</v>
      </c>
      <c r="O1345" s="189">
        <v>1</v>
      </c>
      <c r="P1345" s="153">
        <f t="shared" ref="P1345:P1352" si="312">1.06/19*O1345</f>
        <v>5.5789473684210528E-2</v>
      </c>
      <c r="Q1345" s="189" t="s">
        <v>3264</v>
      </c>
      <c r="R1345" s="135">
        <v>1150</v>
      </c>
      <c r="S1345" s="95"/>
      <c r="T1345" s="98">
        <v>0</v>
      </c>
      <c r="U1345" s="186">
        <f t="shared" si="310"/>
        <v>64.15789473684211</v>
      </c>
      <c r="V1345" s="100">
        <f t="shared" si="308"/>
        <v>0.71286549707602342</v>
      </c>
      <c r="W1345" s="101">
        <f t="shared" si="309"/>
        <v>0.10183792815371763</v>
      </c>
      <c r="X1345" s="95"/>
      <c r="Y1345" s="95"/>
      <c r="Z1345" s="102"/>
      <c r="AA1345" s="103">
        <v>45975</v>
      </c>
      <c r="AB1345" s="103">
        <v>45994</v>
      </c>
      <c r="AC1345" s="103"/>
      <c r="AD1345" s="104">
        <f>IF(ISNA(VLOOKUP(D1345,亚马逊入库配置费!B:F,5,0)),0,VLOOKUP(D1345,亚马逊入库配置费!B:F,5,0))</f>
        <v>0.34</v>
      </c>
      <c r="AE1345" s="104">
        <f t="shared" si="302"/>
        <v>30.6</v>
      </c>
      <c r="AF1345" s="103">
        <v>46005</v>
      </c>
      <c r="AG1345" s="90">
        <f t="shared" si="303"/>
        <v>30</v>
      </c>
      <c r="AH1345" s="103">
        <v>46005</v>
      </c>
      <c r="AI1345" s="103">
        <v>46035</v>
      </c>
      <c r="AJ1345" s="96">
        <v>89</v>
      </c>
      <c r="AK1345" s="91">
        <f t="shared" si="304"/>
        <v>30</v>
      </c>
      <c r="AL1345" s="96">
        <f t="shared" si="305"/>
        <v>60</v>
      </c>
      <c r="AM1345" s="92"/>
      <c r="AN1345" s="91"/>
      <c r="AO1345" s="91"/>
    </row>
    <row r="1346" spans="1:41" ht="14.5" x14ac:dyDescent="0.25">
      <c r="A1346" s="110" t="s">
        <v>2301</v>
      </c>
      <c r="B1346" s="91"/>
      <c r="C1346" s="135" t="s">
        <v>1782</v>
      </c>
      <c r="D1346" s="187" t="s">
        <v>2299</v>
      </c>
      <c r="E1346" s="135" t="s">
        <v>115</v>
      </c>
      <c r="F1346" s="135" t="s">
        <v>0</v>
      </c>
      <c r="G1346" s="58" t="s">
        <v>1061</v>
      </c>
      <c r="H1346" s="135">
        <v>90</v>
      </c>
      <c r="I1346" s="135" t="s">
        <v>1767</v>
      </c>
      <c r="J1346" s="135" t="s">
        <v>8</v>
      </c>
      <c r="K1346" s="187" t="s">
        <v>9</v>
      </c>
      <c r="L1346" s="93" t="s">
        <v>3093</v>
      </c>
      <c r="M1346" s="94" t="s">
        <v>3427</v>
      </c>
      <c r="N1346" s="95" t="s">
        <v>3042</v>
      </c>
      <c r="O1346" s="189">
        <v>1</v>
      </c>
      <c r="P1346" s="153">
        <f t="shared" si="312"/>
        <v>5.5789473684210528E-2</v>
      </c>
      <c r="Q1346" s="189" t="s">
        <v>3264</v>
      </c>
      <c r="R1346" s="135">
        <v>1150</v>
      </c>
      <c r="S1346" s="95"/>
      <c r="T1346" s="98">
        <v>0</v>
      </c>
      <c r="U1346" s="186">
        <f t="shared" si="310"/>
        <v>64.15789473684211</v>
      </c>
      <c r="V1346" s="100">
        <f t="shared" si="308"/>
        <v>0.71286549707602342</v>
      </c>
      <c r="W1346" s="101">
        <f t="shared" si="309"/>
        <v>0.10183792815371763</v>
      </c>
      <c r="X1346" s="95"/>
      <c r="Y1346" s="95"/>
      <c r="Z1346" s="102"/>
      <c r="AA1346" s="103">
        <v>45975</v>
      </c>
      <c r="AB1346" s="103">
        <v>45994</v>
      </c>
      <c r="AC1346" s="103"/>
      <c r="AD1346" s="104">
        <f>IF(ISNA(VLOOKUP(D1346,亚马逊入库配置费!B:F,5,0)),0,VLOOKUP(D1346,亚马逊入库配置费!B:F,5,0))</f>
        <v>0.34</v>
      </c>
      <c r="AE1346" s="104">
        <f t="shared" ref="AE1346:AE1409" si="313">H1346*AD1346</f>
        <v>30.6</v>
      </c>
      <c r="AF1346" s="103">
        <v>46005</v>
      </c>
      <c r="AG1346" s="90">
        <f t="shared" ref="AG1346:AG1409" si="314">AF1346-AA1346</f>
        <v>30</v>
      </c>
      <c r="AH1346" s="103">
        <v>46005</v>
      </c>
      <c r="AI1346" s="103">
        <v>46035</v>
      </c>
      <c r="AJ1346" s="96">
        <v>90</v>
      </c>
      <c r="AK1346" s="91">
        <f t="shared" ref="AK1346:AK1409" si="315">AI1346-AH1346</f>
        <v>30</v>
      </c>
      <c r="AL1346" s="96">
        <f t="shared" si="305"/>
        <v>60</v>
      </c>
      <c r="AM1346" s="92"/>
      <c r="AN1346" s="91"/>
      <c r="AO1346" s="91"/>
    </row>
    <row r="1347" spans="1:41" ht="14.5" x14ac:dyDescent="0.25">
      <c r="A1347" s="110" t="s">
        <v>2302</v>
      </c>
      <c r="B1347" s="91"/>
      <c r="C1347" s="135" t="s">
        <v>1782</v>
      </c>
      <c r="D1347" s="187" t="s">
        <v>2299</v>
      </c>
      <c r="E1347" s="135" t="s">
        <v>115</v>
      </c>
      <c r="F1347" s="135" t="s">
        <v>0</v>
      </c>
      <c r="G1347" s="58" t="s">
        <v>2207</v>
      </c>
      <c r="H1347" s="135">
        <v>90</v>
      </c>
      <c r="I1347" s="135" t="s">
        <v>1767</v>
      </c>
      <c r="J1347" s="135" t="s">
        <v>8</v>
      </c>
      <c r="K1347" s="187" t="s">
        <v>9</v>
      </c>
      <c r="L1347" s="93" t="s">
        <v>2207</v>
      </c>
      <c r="M1347" s="94" t="s">
        <v>3512</v>
      </c>
      <c r="N1347" s="95" t="s">
        <v>3042</v>
      </c>
      <c r="O1347" s="189">
        <v>1</v>
      </c>
      <c r="P1347" s="153">
        <f t="shared" si="312"/>
        <v>5.5789473684210528E-2</v>
      </c>
      <c r="Q1347" s="189" t="s">
        <v>3264</v>
      </c>
      <c r="R1347" s="135">
        <v>1150</v>
      </c>
      <c r="S1347" s="95"/>
      <c r="T1347" s="98">
        <v>0</v>
      </c>
      <c r="U1347" s="186">
        <f t="shared" si="310"/>
        <v>64.15789473684211</v>
      </c>
      <c r="V1347" s="100">
        <f t="shared" si="308"/>
        <v>0.71286549707602342</v>
      </c>
      <c r="W1347" s="101">
        <f t="shared" si="309"/>
        <v>0.10183792815371763</v>
      </c>
      <c r="X1347" s="95"/>
      <c r="Y1347" s="95"/>
      <c r="Z1347" s="102"/>
      <c r="AA1347" s="103">
        <v>45975</v>
      </c>
      <c r="AB1347" s="103">
        <v>45994</v>
      </c>
      <c r="AC1347" s="103"/>
      <c r="AD1347" s="104">
        <f>IF(ISNA(VLOOKUP(D1347,亚马逊入库配置费!B:F,5,0)),0,VLOOKUP(D1347,亚马逊入库配置费!B:F,5,0))</f>
        <v>0.34</v>
      </c>
      <c r="AE1347" s="104">
        <f t="shared" si="313"/>
        <v>30.6</v>
      </c>
      <c r="AF1347" s="103">
        <v>46005</v>
      </c>
      <c r="AG1347" s="90">
        <f t="shared" si="314"/>
        <v>30</v>
      </c>
      <c r="AH1347" s="103">
        <v>46005</v>
      </c>
      <c r="AI1347" s="103">
        <v>46035</v>
      </c>
      <c r="AJ1347" s="96">
        <v>90</v>
      </c>
      <c r="AK1347" s="91">
        <f t="shared" si="315"/>
        <v>30</v>
      </c>
      <c r="AL1347" s="96">
        <f t="shared" si="305"/>
        <v>60</v>
      </c>
      <c r="AM1347" s="92"/>
      <c r="AN1347" s="91"/>
      <c r="AO1347" s="91"/>
    </row>
    <row r="1348" spans="1:41" ht="14.5" x14ac:dyDescent="0.25">
      <c r="A1348" s="110" t="s">
        <v>2303</v>
      </c>
      <c r="B1348" s="91"/>
      <c r="C1348" s="135" t="s">
        <v>1782</v>
      </c>
      <c r="D1348" s="187" t="s">
        <v>2304</v>
      </c>
      <c r="E1348" s="135" t="s">
        <v>97</v>
      </c>
      <c r="F1348" s="135" t="s">
        <v>0</v>
      </c>
      <c r="G1348" s="58" t="s">
        <v>1052</v>
      </c>
      <c r="H1348" s="135">
        <v>312</v>
      </c>
      <c r="I1348" s="135" t="s">
        <v>1767</v>
      </c>
      <c r="J1348" s="135" t="s">
        <v>8</v>
      </c>
      <c r="K1348" s="187" t="s">
        <v>9</v>
      </c>
      <c r="L1348" s="93" t="s">
        <v>3089</v>
      </c>
      <c r="M1348" s="94" t="s">
        <v>3423</v>
      </c>
      <c r="N1348" s="95" t="s">
        <v>3042</v>
      </c>
      <c r="O1348" s="189">
        <v>4</v>
      </c>
      <c r="P1348" s="153">
        <f t="shared" si="312"/>
        <v>0.22315789473684211</v>
      </c>
      <c r="Q1348" s="189" t="s">
        <v>3264</v>
      </c>
      <c r="R1348" s="135">
        <v>1150</v>
      </c>
      <c r="S1348" s="95"/>
      <c r="T1348" s="98">
        <v>0</v>
      </c>
      <c r="U1348" s="186">
        <f t="shared" si="310"/>
        <v>256.63157894736844</v>
      </c>
      <c r="V1348" s="100">
        <f t="shared" si="308"/>
        <v>0.82253711201079627</v>
      </c>
      <c r="W1348" s="101">
        <f t="shared" si="309"/>
        <v>0.11750530171582804</v>
      </c>
      <c r="X1348" s="95"/>
      <c r="Y1348" s="95"/>
      <c r="Z1348" s="102"/>
      <c r="AA1348" s="103">
        <v>45975</v>
      </c>
      <c r="AB1348" s="103">
        <v>45994</v>
      </c>
      <c r="AC1348" s="103"/>
      <c r="AD1348" s="104">
        <f>IF(ISNA(VLOOKUP(D1348,亚马逊入库配置费!B:F,5,0)),0,VLOOKUP(D1348,亚马逊入库配置费!B:F,5,0))</f>
        <v>0.34</v>
      </c>
      <c r="AE1348" s="104">
        <f t="shared" si="313"/>
        <v>106.08000000000001</v>
      </c>
      <c r="AF1348" s="103">
        <v>46005</v>
      </c>
      <c r="AG1348" s="90">
        <f t="shared" si="314"/>
        <v>30</v>
      </c>
      <c r="AH1348" s="103">
        <v>46005</v>
      </c>
      <c r="AI1348" s="103">
        <v>46036</v>
      </c>
      <c r="AJ1348" s="96">
        <v>313</v>
      </c>
      <c r="AK1348" s="91">
        <f t="shared" si="315"/>
        <v>31</v>
      </c>
      <c r="AL1348" s="96">
        <f t="shared" ref="AL1348:AL1396" si="316">AG1348+AK1348</f>
        <v>61</v>
      </c>
      <c r="AM1348" s="92"/>
      <c r="AN1348" s="91"/>
      <c r="AO1348" s="91"/>
    </row>
    <row r="1349" spans="1:41" ht="14.5" x14ac:dyDescent="0.25">
      <c r="A1349" s="110" t="s">
        <v>2305</v>
      </c>
      <c r="B1349" s="91"/>
      <c r="C1349" s="135" t="s">
        <v>1782</v>
      </c>
      <c r="D1349" s="187" t="s">
        <v>2306</v>
      </c>
      <c r="E1349" s="135" t="s">
        <v>97</v>
      </c>
      <c r="F1349" s="135" t="s">
        <v>0</v>
      </c>
      <c r="G1349" s="58" t="s">
        <v>2201</v>
      </c>
      <c r="H1349" s="135">
        <v>90</v>
      </c>
      <c r="I1349" s="135" t="s">
        <v>1767</v>
      </c>
      <c r="J1349" s="135" t="s">
        <v>8</v>
      </c>
      <c r="K1349" s="187" t="s">
        <v>9</v>
      </c>
      <c r="L1349" s="93" t="s">
        <v>2201</v>
      </c>
      <c r="M1349" s="94" t="s">
        <v>3510</v>
      </c>
      <c r="N1349" s="95" t="s">
        <v>3042</v>
      </c>
      <c r="O1349" s="189">
        <v>1</v>
      </c>
      <c r="P1349" s="153">
        <f t="shared" si="312"/>
        <v>5.5789473684210528E-2</v>
      </c>
      <c r="Q1349" s="189" t="s">
        <v>3264</v>
      </c>
      <c r="R1349" s="135">
        <v>1150</v>
      </c>
      <c r="S1349" s="95"/>
      <c r="T1349" s="98">
        <v>0</v>
      </c>
      <c r="U1349" s="186">
        <f t="shared" si="310"/>
        <v>64.15789473684211</v>
      </c>
      <c r="V1349" s="100">
        <f t="shared" si="308"/>
        <v>0.71286549707602342</v>
      </c>
      <c r="W1349" s="101">
        <f t="shared" si="309"/>
        <v>0.10183792815371763</v>
      </c>
      <c r="X1349" s="95"/>
      <c r="Y1349" s="95"/>
      <c r="Z1349" s="102"/>
      <c r="AA1349" s="103">
        <v>45975</v>
      </c>
      <c r="AB1349" s="103">
        <v>45994</v>
      </c>
      <c r="AC1349" s="103"/>
      <c r="AD1349" s="104">
        <f>IF(ISNA(VLOOKUP(D1349,亚马逊入库配置费!B:F,5,0)),0,VLOOKUP(D1349,亚马逊入库配置费!B:F,5,0))</f>
        <v>0.34</v>
      </c>
      <c r="AE1349" s="104">
        <f t="shared" si="313"/>
        <v>30.6</v>
      </c>
      <c r="AF1349" s="103">
        <v>46005</v>
      </c>
      <c r="AG1349" s="90">
        <f t="shared" si="314"/>
        <v>30</v>
      </c>
      <c r="AH1349" s="103">
        <v>46005</v>
      </c>
      <c r="AI1349" s="103">
        <v>46034</v>
      </c>
      <c r="AJ1349" s="96">
        <v>90</v>
      </c>
      <c r="AK1349" s="91">
        <f t="shared" si="315"/>
        <v>29</v>
      </c>
      <c r="AL1349" s="96">
        <f t="shared" si="316"/>
        <v>59</v>
      </c>
      <c r="AM1349" s="92"/>
      <c r="AN1349" s="91"/>
      <c r="AO1349" s="91"/>
    </row>
    <row r="1350" spans="1:41" ht="14.5" x14ac:dyDescent="0.25">
      <c r="A1350" s="110" t="s">
        <v>2307</v>
      </c>
      <c r="B1350" s="91"/>
      <c r="C1350" s="135" t="s">
        <v>1782</v>
      </c>
      <c r="D1350" s="187" t="s">
        <v>2306</v>
      </c>
      <c r="E1350" s="135" t="s">
        <v>97</v>
      </c>
      <c r="F1350" s="135" t="s">
        <v>0</v>
      </c>
      <c r="G1350" s="58" t="s">
        <v>2203</v>
      </c>
      <c r="H1350" s="135">
        <v>90</v>
      </c>
      <c r="I1350" s="135" t="s">
        <v>1767</v>
      </c>
      <c r="J1350" s="135" t="s">
        <v>8</v>
      </c>
      <c r="K1350" s="187" t="s">
        <v>9</v>
      </c>
      <c r="L1350" s="93" t="s">
        <v>2203</v>
      </c>
      <c r="M1350" s="94" t="s">
        <v>3511</v>
      </c>
      <c r="N1350" s="95" t="s">
        <v>3042</v>
      </c>
      <c r="O1350" s="189">
        <v>1</v>
      </c>
      <c r="P1350" s="153">
        <f t="shared" si="312"/>
        <v>5.5789473684210528E-2</v>
      </c>
      <c r="Q1350" s="189" t="s">
        <v>3264</v>
      </c>
      <c r="R1350" s="135">
        <v>1150</v>
      </c>
      <c r="S1350" s="95"/>
      <c r="T1350" s="98">
        <v>0</v>
      </c>
      <c r="U1350" s="186">
        <f t="shared" si="310"/>
        <v>64.15789473684211</v>
      </c>
      <c r="V1350" s="100">
        <f t="shared" si="308"/>
        <v>0.71286549707602342</v>
      </c>
      <c r="W1350" s="101">
        <f t="shared" si="309"/>
        <v>0.10183792815371763</v>
      </c>
      <c r="X1350" s="95"/>
      <c r="Y1350" s="95"/>
      <c r="Z1350" s="102"/>
      <c r="AA1350" s="103">
        <v>45975</v>
      </c>
      <c r="AB1350" s="103">
        <v>45994</v>
      </c>
      <c r="AC1350" s="103"/>
      <c r="AD1350" s="104">
        <f>IF(ISNA(VLOOKUP(D1350,亚马逊入库配置费!B:F,5,0)),0,VLOOKUP(D1350,亚马逊入库配置费!B:F,5,0))</f>
        <v>0.34</v>
      </c>
      <c r="AE1350" s="104">
        <f t="shared" si="313"/>
        <v>30.6</v>
      </c>
      <c r="AF1350" s="103">
        <v>46005</v>
      </c>
      <c r="AG1350" s="90">
        <f t="shared" si="314"/>
        <v>30</v>
      </c>
      <c r="AH1350" s="103">
        <v>46005</v>
      </c>
      <c r="AI1350" s="103">
        <v>46034</v>
      </c>
      <c r="AJ1350" s="96">
        <v>91</v>
      </c>
      <c r="AK1350" s="91">
        <f t="shared" si="315"/>
        <v>29</v>
      </c>
      <c r="AL1350" s="96">
        <f t="shared" si="316"/>
        <v>59</v>
      </c>
      <c r="AM1350" s="92"/>
      <c r="AN1350" s="91"/>
      <c r="AO1350" s="91"/>
    </row>
    <row r="1351" spans="1:41" ht="14.5" x14ac:dyDescent="0.25">
      <c r="A1351" s="110" t="s">
        <v>2308</v>
      </c>
      <c r="B1351" s="91"/>
      <c r="C1351" s="135" t="s">
        <v>1782</v>
      </c>
      <c r="D1351" s="187" t="s">
        <v>2306</v>
      </c>
      <c r="E1351" s="135" t="s">
        <v>97</v>
      </c>
      <c r="F1351" s="135" t="s">
        <v>0</v>
      </c>
      <c r="G1351" s="58" t="s">
        <v>316</v>
      </c>
      <c r="H1351" s="135">
        <v>720</v>
      </c>
      <c r="I1351" s="135" t="s">
        <v>1767</v>
      </c>
      <c r="J1351" s="135" t="s">
        <v>8</v>
      </c>
      <c r="K1351" s="187" t="s">
        <v>9</v>
      </c>
      <c r="L1351" s="93" t="s">
        <v>3046</v>
      </c>
      <c r="M1351" s="94" t="s">
        <v>3333</v>
      </c>
      <c r="N1351" s="95" t="s">
        <v>3042</v>
      </c>
      <c r="O1351" s="189">
        <v>8</v>
      </c>
      <c r="P1351" s="153">
        <f t="shared" si="312"/>
        <v>0.44631578947368422</v>
      </c>
      <c r="Q1351" s="189" t="s">
        <v>3264</v>
      </c>
      <c r="R1351" s="135">
        <v>1150</v>
      </c>
      <c r="S1351" s="95"/>
      <c r="T1351" s="98">
        <v>0</v>
      </c>
      <c r="U1351" s="186">
        <f t="shared" si="310"/>
        <v>513.26315789473688</v>
      </c>
      <c r="V1351" s="100">
        <f t="shared" si="308"/>
        <v>0.71286549707602342</v>
      </c>
      <c r="W1351" s="101">
        <f t="shared" si="309"/>
        <v>0.10183792815371763</v>
      </c>
      <c r="X1351" s="95"/>
      <c r="Y1351" s="95"/>
      <c r="Z1351" s="102"/>
      <c r="AA1351" s="103">
        <v>45975</v>
      </c>
      <c r="AB1351" s="103">
        <v>45994</v>
      </c>
      <c r="AC1351" s="103"/>
      <c r="AD1351" s="104">
        <f>IF(ISNA(VLOOKUP(D1351,亚马逊入库配置费!B:F,5,0)),0,VLOOKUP(D1351,亚马逊入库配置费!B:F,5,0))</f>
        <v>0.34</v>
      </c>
      <c r="AE1351" s="104">
        <f t="shared" si="313"/>
        <v>244.8</v>
      </c>
      <c r="AF1351" s="103">
        <v>46005</v>
      </c>
      <c r="AG1351" s="90">
        <f t="shared" si="314"/>
        <v>30</v>
      </c>
      <c r="AH1351" s="103">
        <v>46005</v>
      </c>
      <c r="AI1351" s="103">
        <v>46034</v>
      </c>
      <c r="AJ1351" s="96">
        <v>718</v>
      </c>
      <c r="AK1351" s="91">
        <f t="shared" si="315"/>
        <v>29</v>
      </c>
      <c r="AL1351" s="96">
        <f t="shared" si="316"/>
        <v>59</v>
      </c>
      <c r="AM1351" s="92"/>
      <c r="AN1351" s="91"/>
      <c r="AO1351" s="91"/>
    </row>
    <row r="1352" spans="1:41" ht="14.5" x14ac:dyDescent="0.25">
      <c r="A1352" s="110" t="s">
        <v>2309</v>
      </c>
      <c r="B1352" s="91"/>
      <c r="C1352" s="135" t="s">
        <v>1782</v>
      </c>
      <c r="D1352" s="187" t="s">
        <v>2306</v>
      </c>
      <c r="E1352" s="135" t="s">
        <v>97</v>
      </c>
      <c r="F1352" s="135" t="s">
        <v>0</v>
      </c>
      <c r="G1352" s="58" t="s">
        <v>2207</v>
      </c>
      <c r="H1352" s="135">
        <v>90</v>
      </c>
      <c r="I1352" s="135" t="s">
        <v>1767</v>
      </c>
      <c r="J1352" s="135" t="s">
        <v>8</v>
      </c>
      <c r="K1352" s="187" t="s">
        <v>9</v>
      </c>
      <c r="L1352" s="93" t="s">
        <v>2207</v>
      </c>
      <c r="M1352" s="94" t="s">
        <v>3512</v>
      </c>
      <c r="N1352" s="95" t="s">
        <v>3042</v>
      </c>
      <c r="O1352" s="189">
        <v>1</v>
      </c>
      <c r="P1352" s="153">
        <f t="shared" si="312"/>
        <v>5.5789473684210528E-2</v>
      </c>
      <c r="Q1352" s="189" t="s">
        <v>3264</v>
      </c>
      <c r="R1352" s="135">
        <v>1150</v>
      </c>
      <c r="S1352" s="95"/>
      <c r="T1352" s="98">
        <v>0</v>
      </c>
      <c r="U1352" s="186">
        <f t="shared" si="310"/>
        <v>64.15789473684211</v>
      </c>
      <c r="V1352" s="100">
        <f t="shared" si="308"/>
        <v>0.71286549707602342</v>
      </c>
      <c r="W1352" s="101">
        <f t="shared" si="309"/>
        <v>0.10183792815371763</v>
      </c>
      <c r="X1352" s="95"/>
      <c r="Y1352" s="95"/>
      <c r="Z1352" s="102"/>
      <c r="AA1352" s="103">
        <v>45975</v>
      </c>
      <c r="AB1352" s="103">
        <v>45994</v>
      </c>
      <c r="AC1352" s="103"/>
      <c r="AD1352" s="104">
        <f>IF(ISNA(VLOOKUP(D1352,亚马逊入库配置费!B:F,5,0)),0,VLOOKUP(D1352,亚马逊入库配置费!B:F,5,0))</f>
        <v>0.34</v>
      </c>
      <c r="AE1352" s="104">
        <f t="shared" si="313"/>
        <v>30.6</v>
      </c>
      <c r="AF1352" s="103">
        <v>46005</v>
      </c>
      <c r="AG1352" s="90">
        <f t="shared" si="314"/>
        <v>30</v>
      </c>
      <c r="AH1352" s="103">
        <v>46005</v>
      </c>
      <c r="AI1352" s="103">
        <v>46034</v>
      </c>
      <c r="AJ1352" s="96">
        <v>90</v>
      </c>
      <c r="AK1352" s="91">
        <f t="shared" si="315"/>
        <v>29</v>
      </c>
      <c r="AL1352" s="96">
        <f t="shared" si="316"/>
        <v>59</v>
      </c>
      <c r="AM1352" s="92"/>
      <c r="AN1352" s="91"/>
      <c r="AO1352" s="91"/>
    </row>
    <row r="1353" spans="1:41" ht="14.5" x14ac:dyDescent="0.25">
      <c r="A1353" s="210" t="s">
        <v>2310</v>
      </c>
      <c r="B1353" s="211"/>
      <c r="C1353" s="211" t="s">
        <v>2311</v>
      </c>
      <c r="D1353" s="212" t="s">
        <v>2312</v>
      </c>
      <c r="E1353" s="211" t="s">
        <v>254</v>
      </c>
      <c r="F1353" s="211" t="s">
        <v>255</v>
      </c>
      <c r="G1353" s="213" t="s">
        <v>853</v>
      </c>
      <c r="H1353" s="211">
        <v>40</v>
      </c>
      <c r="I1353" s="211" t="s">
        <v>89</v>
      </c>
      <c r="J1353" s="211" t="s">
        <v>2313</v>
      </c>
      <c r="K1353" s="212" t="s">
        <v>475</v>
      </c>
      <c r="L1353" s="214" t="s">
        <v>853</v>
      </c>
      <c r="M1353" s="215" t="s">
        <v>3396</v>
      </c>
      <c r="N1353" s="211" t="s">
        <v>2870</v>
      </c>
      <c r="O1353" s="216">
        <v>1</v>
      </c>
      <c r="P1353" s="226">
        <v>13</v>
      </c>
      <c r="Q1353" s="216" t="s">
        <v>16</v>
      </c>
      <c r="R1353" s="211">
        <v>5.2</v>
      </c>
      <c r="S1353" s="211">
        <v>700</v>
      </c>
      <c r="T1353" s="218">
        <v>77.7777777777778</v>
      </c>
      <c r="U1353" s="219">
        <f t="shared" si="310"/>
        <v>145.37777777777779</v>
      </c>
      <c r="V1353" s="220">
        <f t="shared" si="308"/>
        <v>3.634444444444445</v>
      </c>
      <c r="W1353" s="221">
        <f t="shared" si="309"/>
        <v>0.51920634920634934</v>
      </c>
      <c r="X1353" s="211">
        <v>409.36</v>
      </c>
      <c r="Y1353" s="211">
        <v>45.484444444444449</v>
      </c>
      <c r="Z1353" s="218" t="s">
        <v>3513</v>
      </c>
      <c r="AA1353" s="222">
        <v>45982</v>
      </c>
      <c r="AB1353" s="222">
        <v>46019</v>
      </c>
      <c r="AC1353" s="222"/>
      <c r="AD1353" s="223">
        <f>IF(ISNA(VLOOKUP(D1353,亚马逊入库配置费!B:F,5,0)),0,VLOOKUP(D1353,亚马逊入库配置费!B:F,5,0))</f>
        <v>0</v>
      </c>
      <c r="AE1353" s="223">
        <f t="shared" si="313"/>
        <v>0</v>
      </c>
      <c r="AF1353" s="222">
        <v>46028</v>
      </c>
      <c r="AG1353" s="224">
        <f t="shared" si="314"/>
        <v>46</v>
      </c>
      <c r="AH1353" s="222">
        <v>46028</v>
      </c>
      <c r="AI1353" s="222">
        <v>46047</v>
      </c>
      <c r="AJ1353" s="216">
        <v>40</v>
      </c>
      <c r="AK1353" s="211">
        <f t="shared" si="315"/>
        <v>19</v>
      </c>
      <c r="AL1353" s="216">
        <f t="shared" si="316"/>
        <v>65</v>
      </c>
      <c r="AM1353" s="212"/>
      <c r="AN1353" s="211"/>
      <c r="AO1353" s="211"/>
    </row>
    <row r="1354" spans="1:41" ht="14.5" x14ac:dyDescent="0.25">
      <c r="A1354" s="210" t="s">
        <v>2314</v>
      </c>
      <c r="B1354" s="211"/>
      <c r="C1354" s="211" t="s">
        <v>2311</v>
      </c>
      <c r="D1354" s="212" t="s">
        <v>2312</v>
      </c>
      <c r="E1354" s="211" t="s">
        <v>254</v>
      </c>
      <c r="F1354" s="211" t="s">
        <v>255</v>
      </c>
      <c r="G1354" s="213" t="s">
        <v>165</v>
      </c>
      <c r="H1354" s="211">
        <v>120</v>
      </c>
      <c r="I1354" s="211" t="s">
        <v>89</v>
      </c>
      <c r="J1354" s="211" t="s">
        <v>2313</v>
      </c>
      <c r="K1354" s="212" t="s">
        <v>475</v>
      </c>
      <c r="L1354" s="214" t="s">
        <v>2880</v>
      </c>
      <c r="M1354" s="215" t="s">
        <v>3209</v>
      </c>
      <c r="N1354" s="211" t="s">
        <v>2870</v>
      </c>
      <c r="O1354" s="216">
        <v>3</v>
      </c>
      <c r="P1354" s="226">
        <v>39</v>
      </c>
      <c r="Q1354" s="216" t="s">
        <v>16</v>
      </c>
      <c r="R1354" s="211">
        <v>5.2</v>
      </c>
      <c r="S1354" s="225">
        <f>SUMIF(C:C,C1353,T:T)</f>
        <v>700.00000000000057</v>
      </c>
      <c r="T1354" s="218">
        <v>233.333333333333</v>
      </c>
      <c r="U1354" s="219">
        <f t="shared" si="310"/>
        <v>436.13333333333298</v>
      </c>
      <c r="V1354" s="220">
        <f t="shared" si="308"/>
        <v>3.6344444444444415</v>
      </c>
      <c r="W1354" s="221">
        <f t="shared" si="309"/>
        <v>0.51920634920634878</v>
      </c>
      <c r="X1354" s="211"/>
      <c r="Y1354" s="211">
        <v>136.45333333333335</v>
      </c>
      <c r="Z1354" s="218" t="s">
        <v>3513</v>
      </c>
      <c r="AA1354" s="222">
        <v>45982</v>
      </c>
      <c r="AB1354" s="222">
        <v>46019</v>
      </c>
      <c r="AC1354" s="222"/>
      <c r="AD1354" s="223">
        <f>IF(ISNA(VLOOKUP(D1354,亚马逊入库配置费!B:F,5,0)),0,VLOOKUP(D1354,亚马逊入库配置费!B:F,5,0))</f>
        <v>0</v>
      </c>
      <c r="AE1354" s="223">
        <f t="shared" si="313"/>
        <v>0</v>
      </c>
      <c r="AF1354" s="222">
        <v>46028</v>
      </c>
      <c r="AG1354" s="224">
        <f t="shared" si="314"/>
        <v>46</v>
      </c>
      <c r="AH1354" s="222">
        <v>46028</v>
      </c>
      <c r="AI1354" s="222">
        <v>46047</v>
      </c>
      <c r="AJ1354" s="216">
        <v>120</v>
      </c>
      <c r="AK1354" s="211">
        <f t="shared" si="315"/>
        <v>19</v>
      </c>
      <c r="AL1354" s="216">
        <f t="shared" si="316"/>
        <v>65</v>
      </c>
      <c r="AM1354" s="212"/>
      <c r="AN1354" s="211"/>
      <c r="AO1354" s="211"/>
    </row>
    <row r="1355" spans="1:41" ht="14.5" x14ac:dyDescent="0.25">
      <c r="A1355" s="210" t="s">
        <v>2315</v>
      </c>
      <c r="B1355" s="211"/>
      <c r="C1355" s="211" t="s">
        <v>2311</v>
      </c>
      <c r="D1355" s="212" t="s">
        <v>2312</v>
      </c>
      <c r="E1355" s="211" t="s">
        <v>254</v>
      </c>
      <c r="F1355" s="211" t="s">
        <v>255</v>
      </c>
      <c r="G1355" s="213" t="s">
        <v>786</v>
      </c>
      <c r="H1355" s="211">
        <v>40</v>
      </c>
      <c r="I1355" s="211" t="s">
        <v>89</v>
      </c>
      <c r="J1355" s="211" t="s">
        <v>2313</v>
      </c>
      <c r="K1355" s="212" t="s">
        <v>475</v>
      </c>
      <c r="L1355" s="214" t="s">
        <v>786</v>
      </c>
      <c r="M1355" s="215" t="s">
        <v>3395</v>
      </c>
      <c r="N1355" s="211" t="s">
        <v>2870</v>
      </c>
      <c r="O1355" s="216">
        <v>1</v>
      </c>
      <c r="P1355" s="226">
        <v>13</v>
      </c>
      <c r="Q1355" s="216" t="s">
        <v>16</v>
      </c>
      <c r="R1355" s="211">
        <v>5.2</v>
      </c>
      <c r="S1355" s="211"/>
      <c r="T1355" s="218">
        <v>77.7777777777778</v>
      </c>
      <c r="U1355" s="219">
        <f t="shared" si="310"/>
        <v>145.37777777777779</v>
      </c>
      <c r="V1355" s="220">
        <f t="shared" si="308"/>
        <v>3.634444444444445</v>
      </c>
      <c r="W1355" s="221">
        <f t="shared" si="309"/>
        <v>0.51920634920634934</v>
      </c>
      <c r="X1355" s="211"/>
      <c r="Y1355" s="211">
        <v>45.484444444444449</v>
      </c>
      <c r="Z1355" s="218" t="s">
        <v>3513</v>
      </c>
      <c r="AA1355" s="222">
        <v>45982</v>
      </c>
      <c r="AB1355" s="222">
        <v>46019</v>
      </c>
      <c r="AC1355" s="222"/>
      <c r="AD1355" s="223">
        <f>IF(ISNA(VLOOKUP(D1355,亚马逊入库配置费!B:F,5,0)),0,VLOOKUP(D1355,亚马逊入库配置费!B:F,5,0))</f>
        <v>0</v>
      </c>
      <c r="AE1355" s="223">
        <f t="shared" si="313"/>
        <v>0</v>
      </c>
      <c r="AF1355" s="222">
        <v>46028</v>
      </c>
      <c r="AG1355" s="224">
        <f t="shared" si="314"/>
        <v>46</v>
      </c>
      <c r="AH1355" s="222">
        <v>46028</v>
      </c>
      <c r="AI1355" s="222">
        <v>46047</v>
      </c>
      <c r="AJ1355" s="216">
        <v>40</v>
      </c>
      <c r="AK1355" s="211">
        <f t="shared" si="315"/>
        <v>19</v>
      </c>
      <c r="AL1355" s="216">
        <f t="shared" si="316"/>
        <v>65</v>
      </c>
      <c r="AM1355" s="212"/>
      <c r="AN1355" s="211"/>
      <c r="AO1355" s="211"/>
    </row>
    <row r="1356" spans="1:41" ht="14.5" x14ac:dyDescent="0.25">
      <c r="A1356" s="210" t="s">
        <v>2316</v>
      </c>
      <c r="B1356" s="211"/>
      <c r="C1356" s="211" t="s">
        <v>2311</v>
      </c>
      <c r="D1356" s="212" t="s">
        <v>2312</v>
      </c>
      <c r="E1356" s="211" t="s">
        <v>254</v>
      </c>
      <c r="F1356" s="211" t="s">
        <v>255</v>
      </c>
      <c r="G1356" s="213" t="s">
        <v>213</v>
      </c>
      <c r="H1356" s="211">
        <v>60</v>
      </c>
      <c r="I1356" s="211" t="s">
        <v>89</v>
      </c>
      <c r="J1356" s="211" t="s">
        <v>2313</v>
      </c>
      <c r="K1356" s="212" t="s">
        <v>475</v>
      </c>
      <c r="L1356" s="214" t="s">
        <v>3035</v>
      </c>
      <c r="M1356" s="215" t="s">
        <v>3313</v>
      </c>
      <c r="N1356" s="211" t="s">
        <v>2869</v>
      </c>
      <c r="O1356" s="216">
        <v>2</v>
      </c>
      <c r="P1356" s="226">
        <v>26</v>
      </c>
      <c r="Q1356" s="216" t="s">
        <v>16</v>
      </c>
      <c r="R1356" s="211">
        <v>5.2</v>
      </c>
      <c r="S1356" s="211"/>
      <c r="T1356" s="218">
        <v>155.555555555556</v>
      </c>
      <c r="U1356" s="219">
        <f t="shared" si="310"/>
        <v>290.75555555555604</v>
      </c>
      <c r="V1356" s="220">
        <f t="shared" si="308"/>
        <v>4.8459259259259344</v>
      </c>
      <c r="W1356" s="221">
        <f t="shared" si="309"/>
        <v>0.69227513227513349</v>
      </c>
      <c r="X1356" s="211"/>
      <c r="Y1356" s="211">
        <v>90.968888888888898</v>
      </c>
      <c r="Z1356" s="218" t="s">
        <v>3513</v>
      </c>
      <c r="AA1356" s="222">
        <v>45982</v>
      </c>
      <c r="AB1356" s="222">
        <v>46019</v>
      </c>
      <c r="AC1356" s="222"/>
      <c r="AD1356" s="223">
        <f>IF(ISNA(VLOOKUP(D1356,亚马逊入库配置费!B:F,5,0)),0,VLOOKUP(D1356,亚马逊入库配置费!B:F,5,0))</f>
        <v>0</v>
      </c>
      <c r="AE1356" s="223">
        <f t="shared" si="313"/>
        <v>0</v>
      </c>
      <c r="AF1356" s="222">
        <v>46028</v>
      </c>
      <c r="AG1356" s="224">
        <f t="shared" si="314"/>
        <v>46</v>
      </c>
      <c r="AH1356" s="222">
        <v>46028</v>
      </c>
      <c r="AI1356" s="222">
        <v>46047</v>
      </c>
      <c r="AJ1356" s="216">
        <v>60</v>
      </c>
      <c r="AK1356" s="211">
        <f t="shared" si="315"/>
        <v>19</v>
      </c>
      <c r="AL1356" s="216">
        <f t="shared" si="316"/>
        <v>65</v>
      </c>
      <c r="AM1356" s="212"/>
      <c r="AN1356" s="211"/>
      <c r="AO1356" s="211"/>
    </row>
    <row r="1357" spans="1:41" ht="14.5" x14ac:dyDescent="0.25">
      <c r="A1357" s="210" t="s">
        <v>2317</v>
      </c>
      <c r="B1357" s="211"/>
      <c r="C1357" s="211" t="s">
        <v>2311</v>
      </c>
      <c r="D1357" s="212" t="s">
        <v>2312</v>
      </c>
      <c r="E1357" s="211" t="s">
        <v>254</v>
      </c>
      <c r="F1357" s="211" t="s">
        <v>255</v>
      </c>
      <c r="G1357" s="213" t="s">
        <v>608</v>
      </c>
      <c r="H1357" s="211">
        <v>60</v>
      </c>
      <c r="I1357" s="211" t="s">
        <v>89</v>
      </c>
      <c r="J1357" s="211" t="s">
        <v>2313</v>
      </c>
      <c r="K1357" s="212" t="s">
        <v>475</v>
      </c>
      <c r="L1357" s="214" t="s">
        <v>3076</v>
      </c>
      <c r="M1357" s="215" t="s">
        <v>3377</v>
      </c>
      <c r="N1357" s="211" t="s">
        <v>2869</v>
      </c>
      <c r="O1357" s="216">
        <v>2</v>
      </c>
      <c r="P1357" s="226">
        <v>26</v>
      </c>
      <c r="Q1357" s="216" t="s">
        <v>16</v>
      </c>
      <c r="R1357" s="211">
        <v>5.2</v>
      </c>
      <c r="S1357" s="211"/>
      <c r="T1357" s="218">
        <v>155.555555555556</v>
      </c>
      <c r="U1357" s="219">
        <f t="shared" si="310"/>
        <v>290.75555555555604</v>
      </c>
      <c r="V1357" s="220">
        <f t="shared" ref="V1357:V1420" si="317">U1357/H1357</f>
        <v>4.8459259259259344</v>
      </c>
      <c r="W1357" s="221">
        <f t="shared" ref="W1357:W1420" si="318">V1357/7</f>
        <v>0.69227513227513349</v>
      </c>
      <c r="X1357" s="211"/>
      <c r="Y1357" s="211">
        <v>90.968888888888898</v>
      </c>
      <c r="Z1357" s="218" t="s">
        <v>3513</v>
      </c>
      <c r="AA1357" s="222">
        <v>45982</v>
      </c>
      <c r="AB1357" s="222">
        <v>46019</v>
      </c>
      <c r="AC1357" s="222"/>
      <c r="AD1357" s="223">
        <f>IF(ISNA(VLOOKUP(D1357,亚马逊入库配置费!B:F,5,0)),0,VLOOKUP(D1357,亚马逊入库配置费!B:F,5,0))</f>
        <v>0</v>
      </c>
      <c r="AE1357" s="223">
        <f t="shared" si="313"/>
        <v>0</v>
      </c>
      <c r="AF1357" s="222">
        <v>46028</v>
      </c>
      <c r="AG1357" s="224">
        <f t="shared" si="314"/>
        <v>46</v>
      </c>
      <c r="AH1357" s="222">
        <v>46028</v>
      </c>
      <c r="AI1357" s="222">
        <v>46047</v>
      </c>
      <c r="AJ1357" s="216">
        <v>60</v>
      </c>
      <c r="AK1357" s="211">
        <f t="shared" si="315"/>
        <v>19</v>
      </c>
      <c r="AL1357" s="216">
        <f t="shared" si="316"/>
        <v>65</v>
      </c>
      <c r="AM1357" s="212"/>
      <c r="AN1357" s="211"/>
      <c r="AO1357" s="211"/>
    </row>
    <row r="1358" spans="1:41" ht="14.5" x14ac:dyDescent="0.25">
      <c r="A1358" s="210" t="s">
        <v>2318</v>
      </c>
      <c r="B1358" s="211"/>
      <c r="C1358" s="211" t="s">
        <v>2319</v>
      </c>
      <c r="D1358" s="212" t="s">
        <v>2320</v>
      </c>
      <c r="E1358" s="211" t="s">
        <v>97</v>
      </c>
      <c r="F1358" s="211" t="s">
        <v>0</v>
      </c>
      <c r="G1358" s="213" t="s">
        <v>872</v>
      </c>
      <c r="H1358" s="211">
        <v>540</v>
      </c>
      <c r="I1358" s="211" t="s">
        <v>89</v>
      </c>
      <c r="J1358" s="211" t="s">
        <v>8</v>
      </c>
      <c r="K1358" s="212" t="s">
        <v>10</v>
      </c>
      <c r="L1358" s="214" t="s">
        <v>872</v>
      </c>
      <c r="M1358" s="215" t="s">
        <v>3399</v>
      </c>
      <c r="N1358" s="211" t="s">
        <v>2870</v>
      </c>
      <c r="O1358" s="216">
        <v>18</v>
      </c>
      <c r="P1358" s="226">
        <v>277.681034482759</v>
      </c>
      <c r="Q1358" s="216" t="s">
        <v>16</v>
      </c>
      <c r="R1358" s="211">
        <v>3.7</v>
      </c>
      <c r="S1358" s="211">
        <v>350</v>
      </c>
      <c r="T1358" s="218">
        <v>31.818181818181799</v>
      </c>
      <c r="U1358" s="219">
        <f t="shared" si="310"/>
        <v>1059.2380094043901</v>
      </c>
      <c r="V1358" s="220">
        <f t="shared" si="317"/>
        <v>1.9615518692673892</v>
      </c>
      <c r="W1358" s="221">
        <f t="shared" si="318"/>
        <v>0.28022169560962701</v>
      </c>
      <c r="X1358" s="211"/>
      <c r="Y1358" s="211"/>
      <c r="Z1358" s="218"/>
      <c r="AA1358" s="222">
        <v>45982</v>
      </c>
      <c r="AB1358" s="222">
        <v>46005</v>
      </c>
      <c r="AC1358" s="222"/>
      <c r="AD1358" s="223">
        <f>IF(ISNA(VLOOKUP(D1358,亚马逊入库配置费!B:F,5,0)),0,VLOOKUP(D1358,亚马逊入库配置费!B:F,5,0))</f>
        <v>0.41</v>
      </c>
      <c r="AE1358" s="223">
        <f t="shared" si="313"/>
        <v>221.39999999999998</v>
      </c>
      <c r="AF1358" s="222">
        <v>46009</v>
      </c>
      <c r="AG1358" s="224">
        <f t="shared" si="314"/>
        <v>27</v>
      </c>
      <c r="AH1358" s="222">
        <v>46009</v>
      </c>
      <c r="AI1358" s="222">
        <v>46042</v>
      </c>
      <c r="AJ1358" s="216">
        <v>538</v>
      </c>
      <c r="AK1358" s="211">
        <f t="shared" si="315"/>
        <v>33</v>
      </c>
      <c r="AL1358" s="216">
        <f t="shared" si="316"/>
        <v>60</v>
      </c>
      <c r="AM1358" s="212"/>
      <c r="AN1358" s="211"/>
      <c r="AO1358" s="211"/>
    </row>
    <row r="1359" spans="1:41" ht="14.5" x14ac:dyDescent="0.25">
      <c r="A1359" s="210" t="s">
        <v>2321</v>
      </c>
      <c r="B1359" s="211"/>
      <c r="C1359" s="211" t="s">
        <v>2319</v>
      </c>
      <c r="D1359" s="212" t="s">
        <v>2320</v>
      </c>
      <c r="E1359" s="211" t="s">
        <v>97</v>
      </c>
      <c r="F1359" s="211" t="s">
        <v>0</v>
      </c>
      <c r="G1359" s="213" t="s">
        <v>1215</v>
      </c>
      <c r="H1359" s="211">
        <v>1200</v>
      </c>
      <c r="I1359" s="211" t="s">
        <v>89</v>
      </c>
      <c r="J1359" s="211" t="s">
        <v>8</v>
      </c>
      <c r="K1359" s="212" t="s">
        <v>10</v>
      </c>
      <c r="L1359" s="214" t="s">
        <v>3095</v>
      </c>
      <c r="M1359" s="215" t="s">
        <v>3436</v>
      </c>
      <c r="N1359" s="211" t="s">
        <v>2867</v>
      </c>
      <c r="O1359" s="216">
        <v>40</v>
      </c>
      <c r="P1359" s="226">
        <v>617.06896551724105</v>
      </c>
      <c r="Q1359" s="216" t="s">
        <v>16</v>
      </c>
      <c r="R1359" s="211">
        <v>3.7</v>
      </c>
      <c r="S1359" s="225">
        <f>SUMIF(C:C,C1358,T:T)</f>
        <v>349.99999999999994</v>
      </c>
      <c r="T1359" s="218">
        <v>70.707070707070699</v>
      </c>
      <c r="U1359" s="219">
        <f t="shared" si="310"/>
        <v>2353.8622431208628</v>
      </c>
      <c r="V1359" s="220">
        <f t="shared" si="317"/>
        <v>1.9615518692673857</v>
      </c>
      <c r="W1359" s="221">
        <f t="shared" si="318"/>
        <v>0.28022169560962651</v>
      </c>
      <c r="X1359" s="211"/>
      <c r="Y1359" s="211"/>
      <c r="Z1359" s="218"/>
      <c r="AA1359" s="222">
        <v>45982</v>
      </c>
      <c r="AB1359" s="222">
        <v>46005</v>
      </c>
      <c r="AC1359" s="222"/>
      <c r="AD1359" s="223">
        <f>IF(ISNA(VLOOKUP(D1359,亚马逊入库配置费!B:F,5,0)),0,VLOOKUP(D1359,亚马逊入库配置费!B:F,5,0))</f>
        <v>0.41</v>
      </c>
      <c r="AE1359" s="223">
        <f t="shared" si="313"/>
        <v>491.99999999999994</v>
      </c>
      <c r="AF1359" s="222">
        <v>46009</v>
      </c>
      <c r="AG1359" s="224">
        <f t="shared" si="314"/>
        <v>27</v>
      </c>
      <c r="AH1359" s="222">
        <v>46009</v>
      </c>
      <c r="AI1359" s="222">
        <v>46042</v>
      </c>
      <c r="AJ1359" s="216">
        <v>1200</v>
      </c>
      <c r="AK1359" s="211">
        <f t="shared" si="315"/>
        <v>33</v>
      </c>
      <c r="AL1359" s="216">
        <f t="shared" si="316"/>
        <v>60</v>
      </c>
      <c r="AM1359" s="212"/>
      <c r="AN1359" s="211"/>
      <c r="AO1359" s="211"/>
    </row>
    <row r="1360" spans="1:41" ht="14.5" x14ac:dyDescent="0.25">
      <c r="A1360" s="110" t="s">
        <v>2322</v>
      </c>
      <c r="B1360" s="91"/>
      <c r="C1360" s="91" t="s">
        <v>2323</v>
      </c>
      <c r="D1360" s="92" t="s">
        <v>2324</v>
      </c>
      <c r="E1360" s="91" t="s">
        <v>115</v>
      </c>
      <c r="F1360" s="91" t="s">
        <v>0</v>
      </c>
      <c r="G1360" s="56" t="s">
        <v>2242</v>
      </c>
      <c r="H1360" s="91">
        <v>390</v>
      </c>
      <c r="I1360" s="91" t="s">
        <v>207</v>
      </c>
      <c r="J1360" s="91" t="s">
        <v>8</v>
      </c>
      <c r="K1360" s="92" t="s">
        <v>15</v>
      </c>
      <c r="L1360" s="93" t="s">
        <v>2242</v>
      </c>
      <c r="M1360" s="94" t="s">
        <v>3502</v>
      </c>
      <c r="N1360" s="95" t="s">
        <v>2867</v>
      </c>
      <c r="O1360" s="96">
        <v>13</v>
      </c>
      <c r="P1360" s="97">
        <v>194.643835616438</v>
      </c>
      <c r="Q1360" s="96" t="s">
        <v>16</v>
      </c>
      <c r="R1360" s="91">
        <v>4</v>
      </c>
      <c r="S1360" s="95">
        <v>350</v>
      </c>
      <c r="T1360" s="98">
        <v>28.260869565217401</v>
      </c>
      <c r="U1360" s="99">
        <f t="shared" si="310"/>
        <v>806.83621203096936</v>
      </c>
      <c r="V1360" s="100">
        <f t="shared" si="317"/>
        <v>2.0688108000794085</v>
      </c>
      <c r="W1360" s="101">
        <f t="shared" si="318"/>
        <v>0.29554440001134408</v>
      </c>
      <c r="X1360" s="95"/>
      <c r="Y1360" s="95"/>
      <c r="Z1360" s="102"/>
      <c r="AA1360" s="103">
        <v>45982</v>
      </c>
      <c r="AB1360" s="103">
        <v>46003</v>
      </c>
      <c r="AC1360" s="103"/>
      <c r="AD1360" s="104">
        <f>IF(ISNA(VLOOKUP(D1360,亚马逊入库配置费!B:F,5,0)),0,VLOOKUP(D1360,亚马逊入库配置费!B:F,5,0))</f>
        <v>0.45109589041095899</v>
      </c>
      <c r="AE1360" s="104">
        <f t="shared" si="313"/>
        <v>175.92739726027401</v>
      </c>
      <c r="AF1360" s="103">
        <v>46013</v>
      </c>
      <c r="AG1360" s="90">
        <f t="shared" si="314"/>
        <v>31</v>
      </c>
      <c r="AH1360" s="103">
        <v>46013</v>
      </c>
      <c r="AI1360" s="103">
        <v>46044</v>
      </c>
      <c r="AJ1360" s="96">
        <v>390</v>
      </c>
      <c r="AK1360" s="91">
        <f t="shared" si="315"/>
        <v>31</v>
      </c>
      <c r="AL1360" s="96">
        <f t="shared" si="316"/>
        <v>62</v>
      </c>
      <c r="AM1360" s="92"/>
      <c r="AN1360" s="91"/>
      <c r="AO1360" s="91"/>
    </row>
    <row r="1361" spans="1:41" ht="14.5" x14ac:dyDescent="0.25">
      <c r="A1361" s="110" t="s">
        <v>2325</v>
      </c>
      <c r="B1361" s="91"/>
      <c r="C1361" s="91" t="s">
        <v>2323</v>
      </c>
      <c r="D1361" s="92" t="s">
        <v>2324</v>
      </c>
      <c r="E1361" s="91" t="s">
        <v>115</v>
      </c>
      <c r="F1361" s="91" t="s">
        <v>0</v>
      </c>
      <c r="G1361" s="56" t="s">
        <v>2251</v>
      </c>
      <c r="H1361" s="91">
        <v>1170</v>
      </c>
      <c r="I1361" s="91" t="s">
        <v>207</v>
      </c>
      <c r="J1361" s="91" t="s">
        <v>8</v>
      </c>
      <c r="K1361" s="92" t="s">
        <v>15</v>
      </c>
      <c r="L1361" s="93" t="s">
        <v>2251</v>
      </c>
      <c r="M1361" s="94" t="s">
        <v>3505</v>
      </c>
      <c r="N1361" s="95" t="s">
        <v>2867</v>
      </c>
      <c r="O1361" s="96">
        <v>39</v>
      </c>
      <c r="P1361" s="97">
        <v>583.93150684931504</v>
      </c>
      <c r="Q1361" s="96" t="s">
        <v>16</v>
      </c>
      <c r="R1361" s="91">
        <v>4</v>
      </c>
      <c r="S1361" s="106">
        <f>SUMIF(C:C,C1360,T:T)</f>
        <v>350.00000000000011</v>
      </c>
      <c r="T1361" s="98">
        <v>84.7826086956522</v>
      </c>
      <c r="U1361" s="99">
        <f t="shared" si="310"/>
        <v>2420.5086360929122</v>
      </c>
      <c r="V1361" s="100">
        <f t="shared" si="317"/>
        <v>2.0688108000794121</v>
      </c>
      <c r="W1361" s="101">
        <f t="shared" si="318"/>
        <v>0.29554440001134458</v>
      </c>
      <c r="X1361" s="95"/>
      <c r="Y1361" s="95"/>
      <c r="Z1361" s="102"/>
      <c r="AA1361" s="103">
        <v>45982</v>
      </c>
      <c r="AB1361" s="103">
        <v>46003</v>
      </c>
      <c r="AC1361" s="103"/>
      <c r="AD1361" s="104">
        <f>IF(ISNA(VLOOKUP(D1361,亚马逊入库配置费!B:F,5,0)),0,VLOOKUP(D1361,亚马逊入库配置费!B:F,5,0))</f>
        <v>0.45109589041095899</v>
      </c>
      <c r="AE1361" s="104">
        <f t="shared" si="313"/>
        <v>527.78219178082202</v>
      </c>
      <c r="AF1361" s="103">
        <v>46013</v>
      </c>
      <c r="AG1361" s="90">
        <f t="shared" si="314"/>
        <v>31</v>
      </c>
      <c r="AH1361" s="103">
        <v>46013</v>
      </c>
      <c r="AI1361" s="103">
        <v>46044</v>
      </c>
      <c r="AJ1361" s="96">
        <v>1170</v>
      </c>
      <c r="AK1361" s="91">
        <f t="shared" si="315"/>
        <v>31</v>
      </c>
      <c r="AL1361" s="96">
        <f t="shared" si="316"/>
        <v>62</v>
      </c>
      <c r="AM1361" s="92"/>
      <c r="AN1361" s="91"/>
      <c r="AO1361" s="91"/>
    </row>
    <row r="1362" spans="1:41" ht="14.5" x14ac:dyDescent="0.25">
      <c r="A1362" s="110" t="s">
        <v>2326</v>
      </c>
      <c r="B1362" s="91"/>
      <c r="C1362" s="91" t="s">
        <v>2323</v>
      </c>
      <c r="D1362" s="92" t="s">
        <v>2324</v>
      </c>
      <c r="E1362" s="91" t="s">
        <v>115</v>
      </c>
      <c r="F1362" s="91" t="s">
        <v>0</v>
      </c>
      <c r="G1362" s="56" t="s">
        <v>2245</v>
      </c>
      <c r="H1362" s="91">
        <v>180</v>
      </c>
      <c r="I1362" s="91" t="s">
        <v>207</v>
      </c>
      <c r="J1362" s="91" t="s">
        <v>8</v>
      </c>
      <c r="K1362" s="92" t="s">
        <v>15</v>
      </c>
      <c r="L1362" s="93" t="s">
        <v>2245</v>
      </c>
      <c r="M1362" s="94" t="s">
        <v>3503</v>
      </c>
      <c r="N1362" s="95" t="s">
        <v>2867</v>
      </c>
      <c r="O1362" s="96">
        <v>6</v>
      </c>
      <c r="P1362" s="97">
        <v>89.835616438356197</v>
      </c>
      <c r="Q1362" s="96" t="s">
        <v>16</v>
      </c>
      <c r="R1362" s="91">
        <v>4</v>
      </c>
      <c r="S1362" s="95"/>
      <c r="T1362" s="98">
        <v>13.0434782608696</v>
      </c>
      <c r="U1362" s="99">
        <f t="shared" si="310"/>
        <v>372.38594401429441</v>
      </c>
      <c r="V1362" s="100">
        <f t="shared" si="317"/>
        <v>2.0688108000794134</v>
      </c>
      <c r="W1362" s="101">
        <f t="shared" si="318"/>
        <v>0.2955444000113448</v>
      </c>
      <c r="X1362" s="95"/>
      <c r="Y1362" s="95"/>
      <c r="Z1362" s="102"/>
      <c r="AA1362" s="103">
        <v>45982</v>
      </c>
      <c r="AB1362" s="103">
        <v>46003</v>
      </c>
      <c r="AC1362" s="103"/>
      <c r="AD1362" s="104">
        <f>IF(ISNA(VLOOKUP(D1362,亚马逊入库配置费!B:F,5,0)),0,VLOOKUP(D1362,亚马逊入库配置费!B:F,5,0))</f>
        <v>0.45109589041095899</v>
      </c>
      <c r="AE1362" s="104">
        <f t="shared" si="313"/>
        <v>81.197260273972617</v>
      </c>
      <c r="AF1362" s="103">
        <v>46013</v>
      </c>
      <c r="AG1362" s="90">
        <f t="shared" si="314"/>
        <v>31</v>
      </c>
      <c r="AH1362" s="103">
        <v>46013</v>
      </c>
      <c r="AI1362" s="103">
        <v>46044</v>
      </c>
      <c r="AJ1362" s="96">
        <v>180</v>
      </c>
      <c r="AK1362" s="91">
        <f t="shared" si="315"/>
        <v>31</v>
      </c>
      <c r="AL1362" s="96">
        <f t="shared" si="316"/>
        <v>62</v>
      </c>
      <c r="AM1362" s="92"/>
      <c r="AN1362" s="91"/>
      <c r="AO1362" s="91"/>
    </row>
    <row r="1363" spans="1:41" ht="14.5" x14ac:dyDescent="0.25">
      <c r="A1363" s="110" t="s">
        <v>2327</v>
      </c>
      <c r="B1363" s="91"/>
      <c r="C1363" s="91" t="s">
        <v>2323</v>
      </c>
      <c r="D1363" s="92" t="s">
        <v>2324</v>
      </c>
      <c r="E1363" s="91" t="s">
        <v>115</v>
      </c>
      <c r="F1363" s="91" t="s">
        <v>0</v>
      </c>
      <c r="G1363" s="56" t="s">
        <v>1902</v>
      </c>
      <c r="H1363" s="91">
        <v>240</v>
      </c>
      <c r="I1363" s="91" t="s">
        <v>207</v>
      </c>
      <c r="J1363" s="91" t="s">
        <v>8</v>
      </c>
      <c r="K1363" s="92" t="s">
        <v>15</v>
      </c>
      <c r="L1363" s="93" t="s">
        <v>1902</v>
      </c>
      <c r="M1363" s="94" t="s">
        <v>3457</v>
      </c>
      <c r="N1363" s="95" t="s">
        <v>2867</v>
      </c>
      <c r="O1363" s="96">
        <v>8</v>
      </c>
      <c r="P1363" s="97">
        <v>119.780821917808</v>
      </c>
      <c r="Q1363" s="96" t="s">
        <v>16</v>
      </c>
      <c r="R1363" s="91">
        <v>4</v>
      </c>
      <c r="S1363" s="95"/>
      <c r="T1363" s="98">
        <v>17.3913043478261</v>
      </c>
      <c r="U1363" s="99">
        <f t="shared" si="310"/>
        <v>496.51459201905811</v>
      </c>
      <c r="V1363" s="100">
        <f t="shared" si="317"/>
        <v>2.068810800079409</v>
      </c>
      <c r="W1363" s="101">
        <f t="shared" si="318"/>
        <v>0.29554440001134413</v>
      </c>
      <c r="X1363" s="95"/>
      <c r="Y1363" s="95"/>
      <c r="Z1363" s="102"/>
      <c r="AA1363" s="103">
        <v>45982</v>
      </c>
      <c r="AB1363" s="103">
        <v>46003</v>
      </c>
      <c r="AC1363" s="103"/>
      <c r="AD1363" s="104">
        <f>IF(ISNA(VLOOKUP(D1363,亚马逊入库配置费!B:F,5,0)),0,VLOOKUP(D1363,亚马逊入库配置费!B:F,5,0))</f>
        <v>0.45109589041095899</v>
      </c>
      <c r="AE1363" s="104">
        <f t="shared" si="313"/>
        <v>108.26301369863016</v>
      </c>
      <c r="AF1363" s="103">
        <v>46013</v>
      </c>
      <c r="AG1363" s="90">
        <f t="shared" si="314"/>
        <v>31</v>
      </c>
      <c r="AH1363" s="103">
        <v>46013</v>
      </c>
      <c r="AI1363" s="103">
        <v>46044</v>
      </c>
      <c r="AJ1363" s="96">
        <v>241</v>
      </c>
      <c r="AK1363" s="91">
        <f t="shared" si="315"/>
        <v>31</v>
      </c>
      <c r="AL1363" s="96">
        <f t="shared" si="316"/>
        <v>62</v>
      </c>
      <c r="AM1363" s="92"/>
      <c r="AN1363" s="91"/>
      <c r="AO1363" s="91"/>
    </row>
    <row r="1364" spans="1:41" ht="14.5" x14ac:dyDescent="0.25">
      <c r="A1364" s="110" t="s">
        <v>2328</v>
      </c>
      <c r="B1364" s="91"/>
      <c r="C1364" s="91" t="s">
        <v>2323</v>
      </c>
      <c r="D1364" s="92" t="s">
        <v>2324</v>
      </c>
      <c r="E1364" s="91" t="s">
        <v>115</v>
      </c>
      <c r="F1364" s="91" t="s">
        <v>0</v>
      </c>
      <c r="G1364" s="56" t="s">
        <v>2264</v>
      </c>
      <c r="H1364" s="91">
        <v>210</v>
      </c>
      <c r="I1364" s="91" t="s">
        <v>207</v>
      </c>
      <c r="J1364" s="91" t="s">
        <v>8</v>
      </c>
      <c r="K1364" s="92" t="s">
        <v>15</v>
      </c>
      <c r="L1364" s="93" t="s">
        <v>2264</v>
      </c>
      <c r="M1364" s="94" t="s">
        <v>3506</v>
      </c>
      <c r="N1364" s="95" t="s">
        <v>2869</v>
      </c>
      <c r="O1364" s="96">
        <v>7</v>
      </c>
      <c r="P1364" s="97">
        <v>104.808219178082</v>
      </c>
      <c r="Q1364" s="96" t="s">
        <v>16</v>
      </c>
      <c r="R1364" s="91">
        <v>4</v>
      </c>
      <c r="S1364" s="95"/>
      <c r="T1364" s="98">
        <v>15.2173913043478</v>
      </c>
      <c r="U1364" s="99">
        <f t="shared" si="310"/>
        <v>434.45026801667581</v>
      </c>
      <c r="V1364" s="100">
        <f t="shared" si="317"/>
        <v>2.0688108000794085</v>
      </c>
      <c r="W1364" s="101">
        <f t="shared" si="318"/>
        <v>0.29554440001134408</v>
      </c>
      <c r="X1364" s="95"/>
      <c r="Y1364" s="95"/>
      <c r="Z1364" s="102"/>
      <c r="AA1364" s="103">
        <v>45982</v>
      </c>
      <c r="AB1364" s="103">
        <v>46003</v>
      </c>
      <c r="AC1364" s="103"/>
      <c r="AD1364" s="104">
        <f>IF(ISNA(VLOOKUP(D1364,亚马逊入库配置费!B:F,5,0)),0,VLOOKUP(D1364,亚马逊入库配置费!B:F,5,0))</f>
        <v>0.45109589041095899</v>
      </c>
      <c r="AE1364" s="104">
        <f t="shared" si="313"/>
        <v>94.730136986301389</v>
      </c>
      <c r="AF1364" s="103">
        <v>46013</v>
      </c>
      <c r="AG1364" s="90">
        <f t="shared" si="314"/>
        <v>31</v>
      </c>
      <c r="AH1364" s="103">
        <v>46013</v>
      </c>
      <c r="AI1364" s="103">
        <v>46044</v>
      </c>
      <c r="AJ1364" s="96">
        <v>210</v>
      </c>
      <c r="AK1364" s="91">
        <f t="shared" si="315"/>
        <v>31</v>
      </c>
      <c r="AL1364" s="96">
        <f t="shared" si="316"/>
        <v>62</v>
      </c>
      <c r="AM1364" s="92"/>
      <c r="AN1364" s="91"/>
      <c r="AO1364" s="91"/>
    </row>
    <row r="1365" spans="1:41" ht="14.5" x14ac:dyDescent="0.25">
      <c r="A1365" s="210" t="s">
        <v>2329</v>
      </c>
      <c r="B1365" s="211"/>
      <c r="C1365" s="211" t="s">
        <v>2319</v>
      </c>
      <c r="D1365" s="212" t="s">
        <v>2330</v>
      </c>
      <c r="E1365" s="211" t="s">
        <v>2331</v>
      </c>
      <c r="F1365" s="211" t="s">
        <v>0</v>
      </c>
      <c r="G1365" s="213" t="s">
        <v>961</v>
      </c>
      <c r="H1365" s="211">
        <v>60</v>
      </c>
      <c r="I1365" s="211" t="s">
        <v>89</v>
      </c>
      <c r="J1365" s="211" t="s">
        <v>8</v>
      </c>
      <c r="K1365" s="212" t="s">
        <v>50</v>
      </c>
      <c r="L1365" s="214" t="s">
        <v>961</v>
      </c>
      <c r="M1365" s="215" t="s">
        <v>3409</v>
      </c>
      <c r="N1365" s="211" t="s">
        <v>3086</v>
      </c>
      <c r="O1365" s="216">
        <v>2</v>
      </c>
      <c r="P1365" s="226">
        <v>30</v>
      </c>
      <c r="Q1365" s="216" t="s">
        <v>16</v>
      </c>
      <c r="R1365" s="211">
        <v>4</v>
      </c>
      <c r="S1365" s="211"/>
      <c r="T1365" s="218">
        <v>3.5353535353535301</v>
      </c>
      <c r="U1365" s="219">
        <f t="shared" si="310"/>
        <v>123.53535353535354</v>
      </c>
      <c r="V1365" s="220">
        <f t="shared" si="317"/>
        <v>2.0589225589225588</v>
      </c>
      <c r="W1365" s="221">
        <f t="shared" si="318"/>
        <v>0.29413179413179413</v>
      </c>
      <c r="X1365" s="211"/>
      <c r="Y1365" s="211"/>
      <c r="Z1365" s="218"/>
      <c r="AA1365" s="222">
        <v>45982</v>
      </c>
      <c r="AB1365" s="222">
        <v>46005</v>
      </c>
      <c r="AC1365" s="222"/>
      <c r="AD1365" s="223">
        <f>IF(ISNA(VLOOKUP(D1365,亚马逊入库配置费!B:F,5,0)),0,VLOOKUP(D1365,亚马逊入库配置费!B:F,5,0))</f>
        <v>0.41</v>
      </c>
      <c r="AE1365" s="223">
        <f t="shared" si="313"/>
        <v>24.599999999999998</v>
      </c>
      <c r="AF1365" s="222">
        <v>46021</v>
      </c>
      <c r="AG1365" s="224">
        <f t="shared" si="314"/>
        <v>39</v>
      </c>
      <c r="AH1365" s="222">
        <v>46021</v>
      </c>
      <c r="AI1365" s="222">
        <v>46036</v>
      </c>
      <c r="AJ1365" s="216">
        <v>60</v>
      </c>
      <c r="AK1365" s="211">
        <f t="shared" si="315"/>
        <v>15</v>
      </c>
      <c r="AL1365" s="216">
        <f t="shared" si="316"/>
        <v>54</v>
      </c>
      <c r="AM1365" s="212"/>
      <c r="AN1365" s="211"/>
      <c r="AO1365" s="211"/>
    </row>
    <row r="1366" spans="1:41" s="461" customFormat="1" ht="14.5" x14ac:dyDescent="0.25">
      <c r="A1366" s="460" t="s">
        <v>2332</v>
      </c>
      <c r="B1366" s="422"/>
      <c r="C1366" s="422" t="s">
        <v>2333</v>
      </c>
      <c r="D1366" s="423" t="s">
        <v>2334</v>
      </c>
      <c r="E1366" s="422" t="s">
        <v>1164</v>
      </c>
      <c r="F1366" s="422" t="s">
        <v>1165</v>
      </c>
      <c r="G1366" s="424" t="s">
        <v>2279</v>
      </c>
      <c r="H1366" s="422">
        <v>210</v>
      </c>
      <c r="I1366" s="422" t="s">
        <v>89</v>
      </c>
      <c r="J1366" s="422" t="s">
        <v>2064</v>
      </c>
      <c r="K1366" s="423" t="s">
        <v>1167</v>
      </c>
      <c r="L1366" s="425" t="s">
        <v>2279</v>
      </c>
      <c r="M1366" s="426" t="s">
        <v>3507</v>
      </c>
      <c r="N1366" s="422" t="s">
        <v>2971</v>
      </c>
      <c r="O1366" s="427">
        <v>7</v>
      </c>
      <c r="P1366" s="456">
        <v>106.90909090909101</v>
      </c>
      <c r="Q1366" s="427" t="s">
        <v>16</v>
      </c>
      <c r="R1366" s="422">
        <v>7.3</v>
      </c>
      <c r="S1366" s="422">
        <v>350</v>
      </c>
      <c r="T1366" s="428">
        <v>222.727272727273</v>
      </c>
      <c r="U1366" s="429">
        <f t="shared" si="310"/>
        <v>1003.1636363636374</v>
      </c>
      <c r="V1366" s="430">
        <f t="shared" si="317"/>
        <v>4.7769696969697018</v>
      </c>
      <c r="W1366" s="431">
        <f t="shared" si="318"/>
        <v>0.68242424242424315</v>
      </c>
      <c r="X1366" s="422"/>
      <c r="Y1366" s="422"/>
      <c r="Z1366" s="428"/>
      <c r="AA1366" s="432">
        <v>45982</v>
      </c>
      <c r="AB1366" s="432">
        <v>46032</v>
      </c>
      <c r="AC1366" s="432"/>
      <c r="AD1366" s="433">
        <f>IF(ISNA(VLOOKUP(D1366,亚马逊入库配置费!B:F,5,0)),0,VLOOKUP(D1366,亚马逊入库配置费!B:F,5,0))</f>
        <v>0</v>
      </c>
      <c r="AE1366" s="433">
        <f t="shared" si="313"/>
        <v>0</v>
      </c>
      <c r="AF1366" s="432">
        <v>46052</v>
      </c>
      <c r="AG1366" s="421">
        <f t="shared" si="314"/>
        <v>70</v>
      </c>
      <c r="AH1366" s="432">
        <v>46052</v>
      </c>
      <c r="AI1366" s="432">
        <v>46066</v>
      </c>
      <c r="AJ1366" s="427">
        <v>120</v>
      </c>
      <c r="AK1366" s="422">
        <f t="shared" si="315"/>
        <v>14</v>
      </c>
      <c r="AL1366" s="427">
        <f t="shared" si="316"/>
        <v>84</v>
      </c>
      <c r="AM1366" s="423"/>
      <c r="AN1366" s="422"/>
      <c r="AO1366" s="422"/>
    </row>
    <row r="1367" spans="1:41" s="461" customFormat="1" ht="14.5" x14ac:dyDescent="0.25">
      <c r="A1367" s="460" t="s">
        <v>2335</v>
      </c>
      <c r="B1367" s="422"/>
      <c r="C1367" s="422" t="s">
        <v>2333</v>
      </c>
      <c r="D1367" s="423" t="s">
        <v>2334</v>
      </c>
      <c r="E1367" s="422" t="s">
        <v>1164</v>
      </c>
      <c r="F1367" s="422" t="s">
        <v>1165</v>
      </c>
      <c r="G1367" s="424" t="s">
        <v>2281</v>
      </c>
      <c r="H1367" s="422">
        <v>120</v>
      </c>
      <c r="I1367" s="422" t="s">
        <v>89</v>
      </c>
      <c r="J1367" s="422" t="s">
        <v>2064</v>
      </c>
      <c r="K1367" s="423" t="s">
        <v>1167</v>
      </c>
      <c r="L1367" s="425" t="s">
        <v>2281</v>
      </c>
      <c r="M1367" s="426" t="s">
        <v>3508</v>
      </c>
      <c r="N1367" s="422" t="s">
        <v>2971</v>
      </c>
      <c r="O1367" s="427">
        <v>4</v>
      </c>
      <c r="P1367" s="456">
        <v>61.090909090909101</v>
      </c>
      <c r="Q1367" s="427" t="s">
        <v>16</v>
      </c>
      <c r="R1367" s="422">
        <v>7.3</v>
      </c>
      <c r="S1367" s="436">
        <f>SUMIF(C:C,C1366,T:T)</f>
        <v>350</v>
      </c>
      <c r="T1367" s="428">
        <v>127.272727272727</v>
      </c>
      <c r="U1367" s="429">
        <f t="shared" si="310"/>
        <v>573.23636363636342</v>
      </c>
      <c r="V1367" s="430">
        <f t="shared" si="317"/>
        <v>4.7769696969696955</v>
      </c>
      <c r="W1367" s="431">
        <f t="shared" si="318"/>
        <v>0.68242424242424227</v>
      </c>
      <c r="X1367" s="422"/>
      <c r="Y1367" s="422"/>
      <c r="Z1367" s="428"/>
      <c r="AA1367" s="432">
        <v>45982</v>
      </c>
      <c r="AB1367" s="432">
        <v>46032</v>
      </c>
      <c r="AC1367" s="432"/>
      <c r="AD1367" s="433">
        <f>IF(ISNA(VLOOKUP(D1367,亚马逊入库配置费!B:F,5,0)),0,VLOOKUP(D1367,亚马逊入库配置费!B:F,5,0))</f>
        <v>0</v>
      </c>
      <c r="AE1367" s="433">
        <f t="shared" si="313"/>
        <v>0</v>
      </c>
      <c r="AF1367" s="432">
        <v>46052</v>
      </c>
      <c r="AG1367" s="421">
        <f t="shared" si="314"/>
        <v>70</v>
      </c>
      <c r="AH1367" s="432">
        <v>46052</v>
      </c>
      <c r="AI1367" s="432">
        <v>46066</v>
      </c>
      <c r="AJ1367" s="427">
        <v>210</v>
      </c>
      <c r="AK1367" s="422">
        <f t="shared" si="315"/>
        <v>14</v>
      </c>
      <c r="AL1367" s="427">
        <f t="shared" si="316"/>
        <v>84</v>
      </c>
      <c r="AM1367" s="423"/>
      <c r="AN1367" s="422"/>
      <c r="AO1367" s="422"/>
    </row>
    <row r="1368" spans="1:41" ht="14.5" x14ac:dyDescent="0.25">
      <c r="A1368" s="210" t="s">
        <v>2336</v>
      </c>
      <c r="B1368" s="211"/>
      <c r="C1368" s="211" t="s">
        <v>2319</v>
      </c>
      <c r="D1368" s="212" t="s">
        <v>2337</v>
      </c>
      <c r="E1368" s="211" t="s">
        <v>97</v>
      </c>
      <c r="F1368" s="211" t="s">
        <v>0</v>
      </c>
      <c r="G1368" s="213" t="s">
        <v>2230</v>
      </c>
      <c r="H1368" s="211">
        <v>300</v>
      </c>
      <c r="I1368" s="211" t="s">
        <v>89</v>
      </c>
      <c r="J1368" s="211" t="s">
        <v>8</v>
      </c>
      <c r="K1368" s="212" t="s">
        <v>10</v>
      </c>
      <c r="L1368" s="214" t="s">
        <v>2230</v>
      </c>
      <c r="M1368" s="215" t="s">
        <v>3497</v>
      </c>
      <c r="N1368" s="211" t="s">
        <v>2870</v>
      </c>
      <c r="O1368" s="216">
        <v>10</v>
      </c>
      <c r="P1368" s="226">
        <v>154.26666666666699</v>
      </c>
      <c r="Q1368" s="216" t="s">
        <v>16</v>
      </c>
      <c r="R1368" s="211">
        <v>3.7</v>
      </c>
      <c r="S1368" s="211"/>
      <c r="T1368" s="218">
        <v>17.6767676767677</v>
      </c>
      <c r="U1368" s="219">
        <f t="shared" si="310"/>
        <v>588.46343434343555</v>
      </c>
      <c r="V1368" s="220">
        <f t="shared" si="317"/>
        <v>1.9615447811447853</v>
      </c>
      <c r="W1368" s="221">
        <f t="shared" si="318"/>
        <v>0.28022068302068359</v>
      </c>
      <c r="X1368" s="211"/>
      <c r="Y1368" s="211"/>
      <c r="Z1368" s="218"/>
      <c r="AA1368" s="222">
        <v>45982</v>
      </c>
      <c r="AB1368" s="222">
        <v>46005</v>
      </c>
      <c r="AC1368" s="222"/>
      <c r="AD1368" s="223">
        <f>IF(ISNA(VLOOKUP(D1368,亚马逊入库配置费!B:F,5,0)),0,VLOOKUP(D1368,亚马逊入库配置费!B:F,5,0))</f>
        <v>0.41</v>
      </c>
      <c r="AE1368" s="223">
        <f t="shared" si="313"/>
        <v>122.99999999999999</v>
      </c>
      <c r="AF1368" s="222">
        <v>46009</v>
      </c>
      <c r="AG1368" s="224">
        <f t="shared" si="314"/>
        <v>27</v>
      </c>
      <c r="AH1368" s="222">
        <v>46009</v>
      </c>
      <c r="AI1368" s="222">
        <v>46040</v>
      </c>
      <c r="AJ1368" s="216">
        <v>301</v>
      </c>
      <c r="AK1368" s="211">
        <f t="shared" si="315"/>
        <v>31</v>
      </c>
      <c r="AL1368" s="216">
        <f t="shared" si="316"/>
        <v>58</v>
      </c>
      <c r="AM1368" s="212"/>
      <c r="AN1368" s="211"/>
      <c r="AO1368" s="211"/>
    </row>
    <row r="1369" spans="1:41" ht="14.5" x14ac:dyDescent="0.25">
      <c r="A1369" s="210" t="s">
        <v>2338</v>
      </c>
      <c r="B1369" s="211"/>
      <c r="C1369" s="211" t="s">
        <v>2319</v>
      </c>
      <c r="D1369" s="212" t="s">
        <v>2337</v>
      </c>
      <c r="E1369" s="211" t="s">
        <v>97</v>
      </c>
      <c r="F1369" s="211" t="s">
        <v>0</v>
      </c>
      <c r="G1369" s="213" t="s">
        <v>2232</v>
      </c>
      <c r="H1369" s="211">
        <v>300</v>
      </c>
      <c r="I1369" s="211" t="s">
        <v>89</v>
      </c>
      <c r="J1369" s="211" t="s">
        <v>8</v>
      </c>
      <c r="K1369" s="212" t="s">
        <v>10</v>
      </c>
      <c r="L1369" s="214" t="s">
        <v>2232</v>
      </c>
      <c r="M1369" s="215" t="s">
        <v>3498</v>
      </c>
      <c r="N1369" s="211" t="s">
        <v>2870</v>
      </c>
      <c r="O1369" s="216">
        <v>10</v>
      </c>
      <c r="P1369" s="226">
        <v>154.26666666666699</v>
      </c>
      <c r="Q1369" s="216" t="s">
        <v>16</v>
      </c>
      <c r="R1369" s="211">
        <v>3.7</v>
      </c>
      <c r="S1369" s="211"/>
      <c r="T1369" s="218">
        <v>17.6767676767677</v>
      </c>
      <c r="U1369" s="219">
        <f t="shared" si="310"/>
        <v>588.46343434343555</v>
      </c>
      <c r="V1369" s="220">
        <f t="shared" si="317"/>
        <v>1.9615447811447853</v>
      </c>
      <c r="W1369" s="221">
        <f t="shared" si="318"/>
        <v>0.28022068302068359</v>
      </c>
      <c r="X1369" s="211"/>
      <c r="Y1369" s="211"/>
      <c r="Z1369" s="218"/>
      <c r="AA1369" s="222">
        <v>45982</v>
      </c>
      <c r="AB1369" s="222">
        <v>46005</v>
      </c>
      <c r="AC1369" s="222"/>
      <c r="AD1369" s="223">
        <f>IF(ISNA(VLOOKUP(D1369,亚马逊入库配置费!B:F,5,0)),0,VLOOKUP(D1369,亚马逊入库配置费!B:F,5,0))</f>
        <v>0.41</v>
      </c>
      <c r="AE1369" s="223">
        <f t="shared" si="313"/>
        <v>122.99999999999999</v>
      </c>
      <c r="AF1369" s="222">
        <v>46009</v>
      </c>
      <c r="AG1369" s="224">
        <f t="shared" si="314"/>
        <v>27</v>
      </c>
      <c r="AH1369" s="222">
        <v>46009</v>
      </c>
      <c r="AI1369" s="222">
        <v>46040</v>
      </c>
      <c r="AJ1369" s="216">
        <v>298</v>
      </c>
      <c r="AK1369" s="211">
        <f t="shared" si="315"/>
        <v>31</v>
      </c>
      <c r="AL1369" s="216">
        <f t="shared" si="316"/>
        <v>58</v>
      </c>
      <c r="AM1369" s="212"/>
      <c r="AN1369" s="211"/>
      <c r="AO1369" s="211"/>
    </row>
    <row r="1370" spans="1:41" ht="14.5" x14ac:dyDescent="0.25">
      <c r="A1370" s="210" t="s">
        <v>2339</v>
      </c>
      <c r="B1370" s="211"/>
      <c r="C1370" s="211" t="s">
        <v>2319</v>
      </c>
      <c r="D1370" s="212" t="s">
        <v>2337</v>
      </c>
      <c r="E1370" s="211" t="s">
        <v>97</v>
      </c>
      <c r="F1370" s="211" t="s">
        <v>0</v>
      </c>
      <c r="G1370" s="213" t="s">
        <v>2340</v>
      </c>
      <c r="H1370" s="211">
        <v>300</v>
      </c>
      <c r="I1370" s="211" t="s">
        <v>89</v>
      </c>
      <c r="J1370" s="211" t="s">
        <v>8</v>
      </c>
      <c r="K1370" s="212" t="s">
        <v>10</v>
      </c>
      <c r="L1370" s="214" t="s">
        <v>2340</v>
      </c>
      <c r="M1370" s="215" t="s">
        <v>3514</v>
      </c>
      <c r="N1370" s="211" t="s">
        <v>2971</v>
      </c>
      <c r="O1370" s="216">
        <v>10</v>
      </c>
      <c r="P1370" s="226">
        <v>154.26666666666699</v>
      </c>
      <c r="Q1370" s="216" t="s">
        <v>16</v>
      </c>
      <c r="R1370" s="211">
        <v>3.7</v>
      </c>
      <c r="S1370" s="211"/>
      <c r="T1370" s="218">
        <v>17.6767676767677</v>
      </c>
      <c r="U1370" s="219">
        <f t="shared" si="310"/>
        <v>588.46343434343555</v>
      </c>
      <c r="V1370" s="220">
        <f t="shared" si="317"/>
        <v>1.9615447811447853</v>
      </c>
      <c r="W1370" s="221">
        <f t="shared" si="318"/>
        <v>0.28022068302068359</v>
      </c>
      <c r="X1370" s="211"/>
      <c r="Y1370" s="211"/>
      <c r="Z1370" s="218"/>
      <c r="AA1370" s="222">
        <v>45982</v>
      </c>
      <c r="AB1370" s="222">
        <v>46005</v>
      </c>
      <c r="AC1370" s="222"/>
      <c r="AD1370" s="223">
        <f>IF(ISNA(VLOOKUP(D1370,亚马逊入库配置费!B:F,5,0)),0,VLOOKUP(D1370,亚马逊入库配置费!B:F,5,0))</f>
        <v>0.41</v>
      </c>
      <c r="AE1370" s="223">
        <f t="shared" si="313"/>
        <v>122.99999999999999</v>
      </c>
      <c r="AF1370" s="222">
        <v>46009</v>
      </c>
      <c r="AG1370" s="224">
        <f t="shared" si="314"/>
        <v>27</v>
      </c>
      <c r="AH1370" s="222">
        <v>46009</v>
      </c>
      <c r="AI1370" s="222">
        <v>46040</v>
      </c>
      <c r="AJ1370" s="216">
        <v>300</v>
      </c>
      <c r="AK1370" s="211">
        <f t="shared" si="315"/>
        <v>31</v>
      </c>
      <c r="AL1370" s="216">
        <f t="shared" si="316"/>
        <v>58</v>
      </c>
      <c r="AM1370" s="212"/>
      <c r="AN1370" s="211"/>
      <c r="AO1370" s="211"/>
    </row>
    <row r="1371" spans="1:41" ht="14.5" x14ac:dyDescent="0.25">
      <c r="A1371" s="210" t="s">
        <v>2341</v>
      </c>
      <c r="B1371" s="211"/>
      <c r="C1371" s="211" t="s">
        <v>2319</v>
      </c>
      <c r="D1371" s="212" t="s">
        <v>2337</v>
      </c>
      <c r="E1371" s="211" t="s">
        <v>97</v>
      </c>
      <c r="F1371" s="211" t="s">
        <v>0</v>
      </c>
      <c r="G1371" s="213" t="s">
        <v>2342</v>
      </c>
      <c r="H1371" s="211">
        <v>180</v>
      </c>
      <c r="I1371" s="211" t="s">
        <v>89</v>
      </c>
      <c r="J1371" s="211" t="s">
        <v>8</v>
      </c>
      <c r="K1371" s="212" t="s">
        <v>10</v>
      </c>
      <c r="L1371" s="214" t="s">
        <v>2342</v>
      </c>
      <c r="M1371" s="215" t="s">
        <v>3515</v>
      </c>
      <c r="N1371" s="211" t="s">
        <v>2971</v>
      </c>
      <c r="O1371" s="216">
        <v>6</v>
      </c>
      <c r="P1371" s="226">
        <v>92.56</v>
      </c>
      <c r="Q1371" s="216" t="s">
        <v>16</v>
      </c>
      <c r="R1371" s="211">
        <v>3.7</v>
      </c>
      <c r="S1371" s="211"/>
      <c r="T1371" s="218">
        <v>10.6060606060606</v>
      </c>
      <c r="U1371" s="219">
        <f t="shared" si="310"/>
        <v>353.07806060606066</v>
      </c>
      <c r="V1371" s="220">
        <f t="shared" si="317"/>
        <v>1.9615447811447815</v>
      </c>
      <c r="W1371" s="221">
        <f t="shared" si="318"/>
        <v>0.28022068302068309</v>
      </c>
      <c r="X1371" s="211"/>
      <c r="Y1371" s="211"/>
      <c r="Z1371" s="218"/>
      <c r="AA1371" s="222">
        <v>45982</v>
      </c>
      <c r="AB1371" s="222">
        <v>46005</v>
      </c>
      <c r="AC1371" s="222"/>
      <c r="AD1371" s="223">
        <f>IF(ISNA(VLOOKUP(D1371,亚马逊入库配置费!B:F,5,0)),0,VLOOKUP(D1371,亚马逊入库配置费!B:F,5,0))</f>
        <v>0.41</v>
      </c>
      <c r="AE1371" s="223">
        <f t="shared" si="313"/>
        <v>73.8</v>
      </c>
      <c r="AF1371" s="222">
        <v>46009</v>
      </c>
      <c r="AG1371" s="224">
        <f t="shared" si="314"/>
        <v>27</v>
      </c>
      <c r="AH1371" s="222">
        <v>46009</v>
      </c>
      <c r="AI1371" s="222">
        <v>46040</v>
      </c>
      <c r="AJ1371" s="216">
        <v>179</v>
      </c>
      <c r="AK1371" s="211">
        <f t="shared" si="315"/>
        <v>31</v>
      </c>
      <c r="AL1371" s="216">
        <f t="shared" si="316"/>
        <v>58</v>
      </c>
      <c r="AM1371" s="212"/>
      <c r="AN1371" s="211"/>
      <c r="AO1371" s="211"/>
    </row>
    <row r="1372" spans="1:41" ht="14.5" x14ac:dyDescent="0.25">
      <c r="A1372" s="210" t="s">
        <v>2343</v>
      </c>
      <c r="B1372" s="211"/>
      <c r="C1372" s="211" t="s">
        <v>2319</v>
      </c>
      <c r="D1372" s="212" t="s">
        <v>2344</v>
      </c>
      <c r="E1372" s="211" t="s">
        <v>97</v>
      </c>
      <c r="F1372" s="211" t="s">
        <v>0</v>
      </c>
      <c r="G1372" s="213" t="s">
        <v>2279</v>
      </c>
      <c r="H1372" s="211">
        <v>600</v>
      </c>
      <c r="I1372" s="211" t="s">
        <v>89</v>
      </c>
      <c r="J1372" s="211" t="s">
        <v>8</v>
      </c>
      <c r="K1372" s="212" t="s">
        <v>10</v>
      </c>
      <c r="L1372" s="214" t="s">
        <v>2279</v>
      </c>
      <c r="M1372" s="215" t="s">
        <v>3507</v>
      </c>
      <c r="N1372" s="211" t="s">
        <v>2971</v>
      </c>
      <c r="O1372" s="216">
        <v>20</v>
      </c>
      <c r="P1372" s="226">
        <v>308.53333333333302</v>
      </c>
      <c r="Q1372" s="216" t="s">
        <v>16</v>
      </c>
      <c r="R1372" s="211">
        <v>3.7</v>
      </c>
      <c r="S1372" s="211"/>
      <c r="T1372" s="218">
        <v>35.3535353535353</v>
      </c>
      <c r="U1372" s="219">
        <f t="shared" si="310"/>
        <v>1176.9268686868675</v>
      </c>
      <c r="V1372" s="220">
        <f t="shared" si="317"/>
        <v>1.961544781144779</v>
      </c>
      <c r="W1372" s="221">
        <f t="shared" si="318"/>
        <v>0.2802206830206827</v>
      </c>
      <c r="X1372" s="211"/>
      <c r="Y1372" s="211"/>
      <c r="Z1372" s="218"/>
      <c r="AA1372" s="222">
        <v>45982</v>
      </c>
      <c r="AB1372" s="222">
        <v>46005</v>
      </c>
      <c r="AC1372" s="222"/>
      <c r="AD1372" s="223">
        <f>IF(ISNA(VLOOKUP(D1372,亚马逊入库配置费!B:F,5,0)),0,VLOOKUP(D1372,亚马逊入库配置费!B:F,5,0))</f>
        <v>0.41</v>
      </c>
      <c r="AE1372" s="223">
        <f t="shared" si="313"/>
        <v>245.99999999999997</v>
      </c>
      <c r="AF1372" s="222">
        <v>46010</v>
      </c>
      <c r="AG1372" s="224">
        <f t="shared" si="314"/>
        <v>28</v>
      </c>
      <c r="AH1372" s="222">
        <v>46010</v>
      </c>
      <c r="AI1372" s="222">
        <v>46041</v>
      </c>
      <c r="AJ1372" s="216">
        <v>601</v>
      </c>
      <c r="AK1372" s="211">
        <f t="shared" si="315"/>
        <v>31</v>
      </c>
      <c r="AL1372" s="216">
        <f t="shared" si="316"/>
        <v>59</v>
      </c>
      <c r="AM1372" s="212"/>
      <c r="AN1372" s="211"/>
      <c r="AO1372" s="211"/>
    </row>
    <row r="1373" spans="1:41" ht="14.5" x14ac:dyDescent="0.25">
      <c r="A1373" s="210" t="s">
        <v>2345</v>
      </c>
      <c r="B1373" s="211"/>
      <c r="C1373" s="211" t="s">
        <v>2319</v>
      </c>
      <c r="D1373" s="212" t="s">
        <v>2344</v>
      </c>
      <c r="E1373" s="211" t="s">
        <v>97</v>
      </c>
      <c r="F1373" s="211" t="s">
        <v>0</v>
      </c>
      <c r="G1373" s="213" t="s">
        <v>2281</v>
      </c>
      <c r="H1373" s="211">
        <v>480</v>
      </c>
      <c r="I1373" s="211" t="s">
        <v>89</v>
      </c>
      <c r="J1373" s="211" t="s">
        <v>8</v>
      </c>
      <c r="K1373" s="212" t="s">
        <v>10</v>
      </c>
      <c r="L1373" s="214" t="s">
        <v>2281</v>
      </c>
      <c r="M1373" s="215" t="s">
        <v>3508</v>
      </c>
      <c r="N1373" s="211" t="s">
        <v>2971</v>
      </c>
      <c r="O1373" s="216">
        <v>16</v>
      </c>
      <c r="P1373" s="226">
        <v>246.82666666666699</v>
      </c>
      <c r="Q1373" s="216" t="s">
        <v>16</v>
      </c>
      <c r="R1373" s="211">
        <v>3.7</v>
      </c>
      <c r="S1373" s="211"/>
      <c r="T1373" s="218">
        <v>28.282828282828302</v>
      </c>
      <c r="U1373" s="219">
        <f t="shared" ref="U1373:U1436" si="319">R1373*P1373+T1373</f>
        <v>941.54149494949627</v>
      </c>
      <c r="V1373" s="220">
        <f t="shared" si="317"/>
        <v>1.9615447811447839</v>
      </c>
      <c r="W1373" s="221">
        <f t="shared" si="318"/>
        <v>0.28022068302068343</v>
      </c>
      <c r="X1373" s="211"/>
      <c r="Y1373" s="211"/>
      <c r="Z1373" s="218"/>
      <c r="AA1373" s="222">
        <v>45982</v>
      </c>
      <c r="AB1373" s="222">
        <v>46005</v>
      </c>
      <c r="AC1373" s="222"/>
      <c r="AD1373" s="223">
        <f>IF(ISNA(VLOOKUP(D1373,亚马逊入库配置费!B:F,5,0)),0,VLOOKUP(D1373,亚马逊入库配置费!B:F,5,0))</f>
        <v>0.41</v>
      </c>
      <c r="AE1373" s="223">
        <f t="shared" si="313"/>
        <v>196.79999999999998</v>
      </c>
      <c r="AF1373" s="222">
        <v>46010</v>
      </c>
      <c r="AG1373" s="224">
        <f t="shared" si="314"/>
        <v>28</v>
      </c>
      <c r="AH1373" s="222">
        <v>46010</v>
      </c>
      <c r="AI1373" s="222">
        <v>46041</v>
      </c>
      <c r="AJ1373" s="216">
        <v>478</v>
      </c>
      <c r="AK1373" s="211">
        <f t="shared" si="315"/>
        <v>31</v>
      </c>
      <c r="AL1373" s="216">
        <f t="shared" si="316"/>
        <v>59</v>
      </c>
      <c r="AM1373" s="212"/>
      <c r="AN1373" s="211"/>
      <c r="AO1373" s="211"/>
    </row>
    <row r="1374" spans="1:41" ht="14.5" x14ac:dyDescent="0.25">
      <c r="A1374" s="210" t="s">
        <v>2346</v>
      </c>
      <c r="B1374" s="211"/>
      <c r="C1374" s="211" t="s">
        <v>2319</v>
      </c>
      <c r="D1374" s="212" t="s">
        <v>2347</v>
      </c>
      <c r="E1374" s="211" t="s">
        <v>115</v>
      </c>
      <c r="F1374" s="211" t="s">
        <v>0</v>
      </c>
      <c r="G1374" s="213" t="s">
        <v>2195</v>
      </c>
      <c r="H1374" s="211">
        <v>400</v>
      </c>
      <c r="I1374" s="211" t="s">
        <v>89</v>
      </c>
      <c r="J1374" s="211" t="s">
        <v>8</v>
      </c>
      <c r="K1374" s="212" t="s">
        <v>10</v>
      </c>
      <c r="L1374" s="214" t="s">
        <v>2195</v>
      </c>
      <c r="M1374" s="215" t="s">
        <v>3489</v>
      </c>
      <c r="N1374" s="211" t="s">
        <v>3104</v>
      </c>
      <c r="O1374" s="216">
        <v>10</v>
      </c>
      <c r="P1374" s="226">
        <v>154.26499999999999</v>
      </c>
      <c r="Q1374" s="216" t="s">
        <v>16</v>
      </c>
      <c r="R1374" s="211">
        <v>3.7</v>
      </c>
      <c r="S1374" s="211"/>
      <c r="T1374" s="218">
        <v>17.6767676767677</v>
      </c>
      <c r="U1374" s="219">
        <f t="shared" si="319"/>
        <v>588.45726767676763</v>
      </c>
      <c r="V1374" s="220">
        <f t="shared" si="317"/>
        <v>1.471143169191919</v>
      </c>
      <c r="W1374" s="221">
        <f t="shared" si="318"/>
        <v>0.21016330988455986</v>
      </c>
      <c r="X1374" s="211"/>
      <c r="Y1374" s="211"/>
      <c r="Z1374" s="218"/>
      <c r="AA1374" s="222">
        <v>45982</v>
      </c>
      <c r="AB1374" s="222">
        <v>46005</v>
      </c>
      <c r="AC1374" s="222"/>
      <c r="AD1374" s="223">
        <f>IF(ISNA(VLOOKUP(D1374,亚马逊入库配置费!B:F,5,0)),0,VLOOKUP(D1374,亚马逊入库配置费!B:F,5,0))</f>
        <v>0.34</v>
      </c>
      <c r="AE1374" s="223">
        <f t="shared" si="313"/>
        <v>136</v>
      </c>
      <c r="AF1374" s="222">
        <v>46010</v>
      </c>
      <c r="AG1374" s="224">
        <f t="shared" si="314"/>
        <v>28</v>
      </c>
      <c r="AH1374" s="222">
        <v>46010</v>
      </c>
      <c r="AI1374" s="222">
        <v>46040</v>
      </c>
      <c r="AJ1374" s="216">
        <v>399</v>
      </c>
      <c r="AK1374" s="211">
        <f t="shared" si="315"/>
        <v>30</v>
      </c>
      <c r="AL1374" s="216">
        <f t="shared" si="316"/>
        <v>58</v>
      </c>
      <c r="AM1374" s="212"/>
      <c r="AN1374" s="211"/>
      <c r="AO1374" s="211"/>
    </row>
    <row r="1375" spans="1:41" ht="14.5" x14ac:dyDescent="0.25">
      <c r="A1375" s="210" t="s">
        <v>2348</v>
      </c>
      <c r="B1375" s="211"/>
      <c r="C1375" s="211" t="s">
        <v>2319</v>
      </c>
      <c r="D1375" s="212" t="s">
        <v>2347</v>
      </c>
      <c r="E1375" s="211" t="s">
        <v>115</v>
      </c>
      <c r="F1375" s="211" t="s">
        <v>0</v>
      </c>
      <c r="G1375" s="213" t="s">
        <v>2197</v>
      </c>
      <c r="H1375" s="211">
        <v>400</v>
      </c>
      <c r="I1375" s="211" t="s">
        <v>89</v>
      </c>
      <c r="J1375" s="211" t="s">
        <v>8</v>
      </c>
      <c r="K1375" s="212" t="s">
        <v>10</v>
      </c>
      <c r="L1375" s="214" t="s">
        <v>2197</v>
      </c>
      <c r="M1375" s="215" t="s">
        <v>3490</v>
      </c>
      <c r="N1375" s="211" t="s">
        <v>3104</v>
      </c>
      <c r="O1375" s="216">
        <v>10</v>
      </c>
      <c r="P1375" s="226">
        <v>154.26499999999999</v>
      </c>
      <c r="Q1375" s="216" t="s">
        <v>16</v>
      </c>
      <c r="R1375" s="211">
        <v>3.7</v>
      </c>
      <c r="S1375" s="211"/>
      <c r="T1375" s="218">
        <v>17.6767676767677</v>
      </c>
      <c r="U1375" s="219">
        <f t="shared" si="319"/>
        <v>588.45726767676763</v>
      </c>
      <c r="V1375" s="220">
        <f t="shared" si="317"/>
        <v>1.471143169191919</v>
      </c>
      <c r="W1375" s="221">
        <f t="shared" si="318"/>
        <v>0.21016330988455986</v>
      </c>
      <c r="X1375" s="211"/>
      <c r="Y1375" s="211"/>
      <c r="Z1375" s="218"/>
      <c r="AA1375" s="222">
        <v>45982</v>
      </c>
      <c r="AB1375" s="222">
        <v>46005</v>
      </c>
      <c r="AC1375" s="222"/>
      <c r="AD1375" s="223">
        <f>IF(ISNA(VLOOKUP(D1375,亚马逊入库配置费!B:F,5,0)),0,VLOOKUP(D1375,亚马逊入库配置费!B:F,5,0))</f>
        <v>0.34</v>
      </c>
      <c r="AE1375" s="223">
        <f t="shared" si="313"/>
        <v>136</v>
      </c>
      <c r="AF1375" s="222">
        <v>46010</v>
      </c>
      <c r="AG1375" s="224">
        <f t="shared" si="314"/>
        <v>28</v>
      </c>
      <c r="AH1375" s="222">
        <v>46010</v>
      </c>
      <c r="AI1375" s="222">
        <v>46040</v>
      </c>
      <c r="AJ1375" s="216">
        <v>398</v>
      </c>
      <c r="AK1375" s="211">
        <f t="shared" si="315"/>
        <v>30</v>
      </c>
      <c r="AL1375" s="216">
        <f t="shared" si="316"/>
        <v>58</v>
      </c>
      <c r="AM1375" s="212"/>
      <c r="AN1375" s="211"/>
      <c r="AO1375" s="211"/>
    </row>
    <row r="1376" spans="1:41" ht="14.5" x14ac:dyDescent="0.25">
      <c r="A1376" s="110" t="s">
        <v>2349</v>
      </c>
      <c r="B1376" s="91"/>
      <c r="C1376" s="91" t="s">
        <v>2323</v>
      </c>
      <c r="D1376" s="92" t="s">
        <v>2350</v>
      </c>
      <c r="E1376" s="91" t="s">
        <v>97</v>
      </c>
      <c r="F1376" s="91" t="s">
        <v>0</v>
      </c>
      <c r="G1376" s="56" t="s">
        <v>2170</v>
      </c>
      <c r="H1376" s="91">
        <v>160</v>
      </c>
      <c r="I1376" s="91" t="s">
        <v>207</v>
      </c>
      <c r="J1376" s="91" t="s">
        <v>8</v>
      </c>
      <c r="K1376" s="92" t="s">
        <v>10</v>
      </c>
      <c r="L1376" s="93" t="s">
        <v>2170</v>
      </c>
      <c r="M1376" s="94" t="s">
        <v>3485</v>
      </c>
      <c r="N1376" s="95" t="s">
        <v>2985</v>
      </c>
      <c r="O1376" s="96">
        <v>5</v>
      </c>
      <c r="P1376" s="97">
        <v>83.351666666666702</v>
      </c>
      <c r="Q1376" s="96" t="s">
        <v>16</v>
      </c>
      <c r="R1376" s="91">
        <v>4</v>
      </c>
      <c r="S1376" s="95"/>
      <c r="T1376" s="98">
        <v>10.869565217391299</v>
      </c>
      <c r="U1376" s="99">
        <f t="shared" si="319"/>
        <v>344.27623188405812</v>
      </c>
      <c r="V1376" s="100">
        <f t="shared" si="317"/>
        <v>2.1517264492753632</v>
      </c>
      <c r="W1376" s="101">
        <f t="shared" si="318"/>
        <v>0.30738949275362332</v>
      </c>
      <c r="X1376" s="95"/>
      <c r="Y1376" s="95"/>
      <c r="Z1376" s="102"/>
      <c r="AA1376" s="103">
        <v>45982</v>
      </c>
      <c r="AB1376" s="103">
        <v>46003</v>
      </c>
      <c r="AC1376" s="103"/>
      <c r="AD1376" s="104">
        <f>IF(ISNA(VLOOKUP(D1376,亚马逊入库配置费!B:F,5,0)),0,VLOOKUP(D1376,亚马逊入库配置费!B:F,5,0))</f>
        <v>0.39828996282527901</v>
      </c>
      <c r="AE1376" s="104">
        <f t="shared" si="313"/>
        <v>63.72639405204464</v>
      </c>
      <c r="AF1376" s="103">
        <v>46011</v>
      </c>
      <c r="AG1376" s="90">
        <f t="shared" si="314"/>
        <v>29</v>
      </c>
      <c r="AH1376" s="103">
        <v>46011</v>
      </c>
      <c r="AI1376" s="103">
        <v>46043</v>
      </c>
      <c r="AJ1376" s="96">
        <v>160</v>
      </c>
      <c r="AK1376" s="91">
        <f t="shared" si="315"/>
        <v>32</v>
      </c>
      <c r="AL1376" s="96">
        <f t="shared" si="316"/>
        <v>61</v>
      </c>
      <c r="AM1376" s="92"/>
      <c r="AN1376" s="91"/>
      <c r="AO1376" s="91"/>
    </row>
    <row r="1377" spans="1:41" ht="14.5" x14ac:dyDescent="0.25">
      <c r="A1377" s="110" t="s">
        <v>2351</v>
      </c>
      <c r="B1377" s="91"/>
      <c r="C1377" s="91" t="s">
        <v>2323</v>
      </c>
      <c r="D1377" s="92" t="s">
        <v>2350</v>
      </c>
      <c r="E1377" s="91" t="s">
        <v>97</v>
      </c>
      <c r="F1377" s="91" t="s">
        <v>0</v>
      </c>
      <c r="G1377" s="56" t="s">
        <v>2172</v>
      </c>
      <c r="H1377" s="91">
        <v>736</v>
      </c>
      <c r="I1377" s="91" t="s">
        <v>207</v>
      </c>
      <c r="J1377" s="91" t="s">
        <v>8</v>
      </c>
      <c r="K1377" s="92" t="s">
        <v>10</v>
      </c>
      <c r="L1377" s="93" t="s">
        <v>2172</v>
      </c>
      <c r="M1377" s="94" t="s">
        <v>3486</v>
      </c>
      <c r="N1377" s="95" t="s">
        <v>2985</v>
      </c>
      <c r="O1377" s="96">
        <v>23</v>
      </c>
      <c r="P1377" s="97">
        <v>383.417666666667</v>
      </c>
      <c r="Q1377" s="96" t="s">
        <v>16</v>
      </c>
      <c r="R1377" s="91">
        <v>4</v>
      </c>
      <c r="S1377" s="95"/>
      <c r="T1377" s="98">
        <v>50</v>
      </c>
      <c r="U1377" s="99">
        <f t="shared" si="319"/>
        <v>1583.670666666668</v>
      </c>
      <c r="V1377" s="100">
        <f t="shared" si="317"/>
        <v>2.1517264492753641</v>
      </c>
      <c r="W1377" s="101">
        <f t="shared" si="318"/>
        <v>0.30738949275362343</v>
      </c>
      <c r="X1377" s="95"/>
      <c r="Y1377" s="95"/>
      <c r="Z1377" s="102"/>
      <c r="AA1377" s="103">
        <v>45982</v>
      </c>
      <c r="AB1377" s="103">
        <v>46003</v>
      </c>
      <c r="AC1377" s="103"/>
      <c r="AD1377" s="104">
        <f>IF(ISNA(VLOOKUP(D1377,亚马逊入库配置费!B:F,5,0)),0,VLOOKUP(D1377,亚马逊入库配置费!B:F,5,0))</f>
        <v>0.39828996282527901</v>
      </c>
      <c r="AE1377" s="104">
        <f t="shared" si="313"/>
        <v>293.14141263940536</v>
      </c>
      <c r="AF1377" s="103">
        <v>46011</v>
      </c>
      <c r="AG1377" s="90">
        <f t="shared" si="314"/>
        <v>29</v>
      </c>
      <c r="AH1377" s="103">
        <v>46011</v>
      </c>
      <c r="AI1377" s="103">
        <v>46043</v>
      </c>
      <c r="AJ1377" s="96">
        <v>736</v>
      </c>
      <c r="AK1377" s="91">
        <f t="shared" si="315"/>
        <v>32</v>
      </c>
      <c r="AL1377" s="96">
        <f t="shared" si="316"/>
        <v>61</v>
      </c>
      <c r="AM1377" s="92"/>
      <c r="AN1377" s="91"/>
      <c r="AO1377" s="91"/>
    </row>
    <row r="1378" spans="1:41" ht="14.5" x14ac:dyDescent="0.25">
      <c r="A1378" s="110" t="s">
        <v>2352</v>
      </c>
      <c r="B1378" s="91"/>
      <c r="C1378" s="91" t="s">
        <v>2323</v>
      </c>
      <c r="D1378" s="92" t="s">
        <v>2350</v>
      </c>
      <c r="E1378" s="91" t="s">
        <v>97</v>
      </c>
      <c r="F1378" s="91" t="s">
        <v>0</v>
      </c>
      <c r="G1378" s="56" t="s">
        <v>98</v>
      </c>
      <c r="H1378" s="91">
        <v>180</v>
      </c>
      <c r="I1378" s="91" t="s">
        <v>207</v>
      </c>
      <c r="J1378" s="91" t="s">
        <v>8</v>
      </c>
      <c r="K1378" s="92" t="s">
        <v>10</v>
      </c>
      <c r="L1378" s="93" t="s">
        <v>2820</v>
      </c>
      <c r="M1378" s="94" t="s">
        <v>3289</v>
      </c>
      <c r="N1378" s="95" t="s">
        <v>3016</v>
      </c>
      <c r="O1378" s="96">
        <v>2</v>
      </c>
      <c r="P1378" s="97">
        <v>33.340666666666699</v>
      </c>
      <c r="Q1378" s="96" t="s">
        <v>16</v>
      </c>
      <c r="R1378" s="91">
        <v>4</v>
      </c>
      <c r="S1378" s="95"/>
      <c r="T1378" s="98">
        <v>4.3478260869565197</v>
      </c>
      <c r="U1378" s="99">
        <f t="shared" si="319"/>
        <v>137.71049275362333</v>
      </c>
      <c r="V1378" s="100">
        <f t="shared" si="317"/>
        <v>0.76505829307568518</v>
      </c>
      <c r="W1378" s="101">
        <f t="shared" si="318"/>
        <v>0.10929404186795502</v>
      </c>
      <c r="X1378" s="95"/>
      <c r="Y1378" s="95"/>
      <c r="Z1378" s="102"/>
      <c r="AA1378" s="103">
        <v>45982</v>
      </c>
      <c r="AB1378" s="103">
        <v>46003</v>
      </c>
      <c r="AC1378" s="103"/>
      <c r="AD1378" s="104">
        <f>IF(ISNA(VLOOKUP(D1378,亚马逊入库配置费!B:F,5,0)),0,VLOOKUP(D1378,亚马逊入库配置费!B:F,5,0))</f>
        <v>0.39828996282527901</v>
      </c>
      <c r="AE1378" s="104">
        <f t="shared" si="313"/>
        <v>71.692193308550216</v>
      </c>
      <c r="AF1378" s="103">
        <v>46011</v>
      </c>
      <c r="AG1378" s="90">
        <f t="shared" si="314"/>
        <v>29</v>
      </c>
      <c r="AH1378" s="103">
        <v>46011</v>
      </c>
      <c r="AI1378" s="103">
        <v>46043</v>
      </c>
      <c r="AJ1378" s="96">
        <v>180</v>
      </c>
      <c r="AK1378" s="91">
        <f t="shared" si="315"/>
        <v>32</v>
      </c>
      <c r="AL1378" s="96">
        <f t="shared" si="316"/>
        <v>61</v>
      </c>
      <c r="AM1378" s="92"/>
      <c r="AN1378" s="91"/>
      <c r="AO1378" s="91"/>
    </row>
    <row r="1379" spans="1:41" ht="14.5" x14ac:dyDescent="0.25">
      <c r="A1379" s="110" t="s">
        <v>2353</v>
      </c>
      <c r="B1379" s="91"/>
      <c r="C1379" s="91" t="s">
        <v>2323</v>
      </c>
      <c r="D1379" s="92" t="s">
        <v>2354</v>
      </c>
      <c r="E1379" s="91" t="s">
        <v>97</v>
      </c>
      <c r="F1379" s="91" t="s">
        <v>0</v>
      </c>
      <c r="G1379" s="56" t="s">
        <v>2355</v>
      </c>
      <c r="H1379" s="91">
        <v>228</v>
      </c>
      <c r="I1379" s="91" t="s">
        <v>207</v>
      </c>
      <c r="J1379" s="91" t="s">
        <v>8</v>
      </c>
      <c r="K1379" s="92" t="s">
        <v>10</v>
      </c>
      <c r="L1379" s="93" t="s">
        <v>2355</v>
      </c>
      <c r="M1379" s="94" t="s">
        <v>3516</v>
      </c>
      <c r="N1379" s="95" t="s">
        <v>3099</v>
      </c>
      <c r="O1379" s="96">
        <v>19</v>
      </c>
      <c r="P1379" s="97">
        <v>316.73982758620701</v>
      </c>
      <c r="Q1379" s="96" t="s">
        <v>16</v>
      </c>
      <c r="R1379" s="91">
        <v>4</v>
      </c>
      <c r="S1379" s="95"/>
      <c r="T1379" s="98">
        <v>41.304347826087003</v>
      </c>
      <c r="U1379" s="99">
        <f t="shared" si="319"/>
        <v>1308.2636581709151</v>
      </c>
      <c r="V1379" s="100">
        <f t="shared" si="317"/>
        <v>5.7379985007496277</v>
      </c>
      <c r="W1379" s="101">
        <f t="shared" si="318"/>
        <v>0.81971407153566112</v>
      </c>
      <c r="X1379" s="95"/>
      <c r="Y1379" s="95"/>
      <c r="Z1379" s="102"/>
      <c r="AA1379" s="103">
        <v>45982</v>
      </c>
      <c r="AB1379" s="103">
        <v>46003</v>
      </c>
      <c r="AC1379" s="103"/>
      <c r="AD1379" s="104">
        <f>IF(ISNA(VLOOKUP(D1379,亚马逊入库配置费!B:F,5,0)),0,VLOOKUP(D1379,亚马逊入库配置费!B:F,5,0))</f>
        <v>0.49</v>
      </c>
      <c r="AE1379" s="104">
        <f t="shared" si="313"/>
        <v>111.72</v>
      </c>
      <c r="AF1379" s="103">
        <v>46011</v>
      </c>
      <c r="AG1379" s="90">
        <f t="shared" si="314"/>
        <v>29</v>
      </c>
      <c r="AH1379" s="103">
        <v>46011</v>
      </c>
      <c r="AI1379" s="103">
        <v>46044</v>
      </c>
      <c r="AJ1379" s="96">
        <v>228</v>
      </c>
      <c r="AK1379" s="91">
        <f t="shared" si="315"/>
        <v>33</v>
      </c>
      <c r="AL1379" s="96">
        <f t="shared" si="316"/>
        <v>62</v>
      </c>
      <c r="AM1379" s="92"/>
      <c r="AN1379" s="91"/>
      <c r="AO1379" s="91"/>
    </row>
    <row r="1380" spans="1:41" ht="14.5" x14ac:dyDescent="0.25">
      <c r="A1380" s="110" t="s">
        <v>2356</v>
      </c>
      <c r="B1380" s="91"/>
      <c r="C1380" s="91" t="s">
        <v>2323</v>
      </c>
      <c r="D1380" s="92" t="s">
        <v>2354</v>
      </c>
      <c r="E1380" s="91" t="s">
        <v>97</v>
      </c>
      <c r="F1380" s="91" t="s">
        <v>0</v>
      </c>
      <c r="G1380" s="56" t="s">
        <v>2357</v>
      </c>
      <c r="H1380" s="91">
        <v>240</v>
      </c>
      <c r="I1380" s="91" t="s">
        <v>207</v>
      </c>
      <c r="J1380" s="91" t="s">
        <v>8</v>
      </c>
      <c r="K1380" s="92" t="s">
        <v>10</v>
      </c>
      <c r="L1380" s="93" t="s">
        <v>2357</v>
      </c>
      <c r="M1380" s="94" t="s">
        <v>3517</v>
      </c>
      <c r="N1380" s="95" t="s">
        <v>3099</v>
      </c>
      <c r="O1380" s="96">
        <v>20</v>
      </c>
      <c r="P1380" s="97">
        <v>333.41034482758602</v>
      </c>
      <c r="Q1380" s="96" t="s">
        <v>16</v>
      </c>
      <c r="R1380" s="91">
        <v>4</v>
      </c>
      <c r="S1380" s="95"/>
      <c r="T1380" s="98">
        <v>43.478260869565197</v>
      </c>
      <c r="U1380" s="99">
        <f t="shared" si="319"/>
        <v>1377.1196401799093</v>
      </c>
      <c r="V1380" s="100">
        <f t="shared" si="317"/>
        <v>5.7379985007496224</v>
      </c>
      <c r="W1380" s="101">
        <f t="shared" si="318"/>
        <v>0.81971407153566034</v>
      </c>
      <c r="X1380" s="95"/>
      <c r="Y1380" s="95"/>
      <c r="Z1380" s="102"/>
      <c r="AA1380" s="103">
        <v>45982</v>
      </c>
      <c r="AB1380" s="103">
        <v>46003</v>
      </c>
      <c r="AC1380" s="103"/>
      <c r="AD1380" s="104">
        <f>IF(ISNA(VLOOKUP(D1380,亚马逊入库配置费!B:F,5,0)),0,VLOOKUP(D1380,亚马逊入库配置费!B:F,5,0))</f>
        <v>0.49</v>
      </c>
      <c r="AE1380" s="104">
        <f t="shared" si="313"/>
        <v>117.6</v>
      </c>
      <c r="AF1380" s="103">
        <v>46011</v>
      </c>
      <c r="AG1380" s="90">
        <f t="shared" si="314"/>
        <v>29</v>
      </c>
      <c r="AH1380" s="103">
        <v>46011</v>
      </c>
      <c r="AI1380" s="103">
        <v>46044</v>
      </c>
      <c r="AJ1380" s="96">
        <v>240</v>
      </c>
      <c r="AK1380" s="91">
        <f t="shared" si="315"/>
        <v>33</v>
      </c>
      <c r="AL1380" s="96">
        <f t="shared" si="316"/>
        <v>62</v>
      </c>
      <c r="AM1380" s="92"/>
      <c r="AN1380" s="91"/>
      <c r="AO1380" s="91"/>
    </row>
    <row r="1381" spans="1:41" ht="14.5" x14ac:dyDescent="0.25">
      <c r="A1381" s="110" t="s">
        <v>2358</v>
      </c>
      <c r="B1381" s="91"/>
      <c r="C1381" s="91" t="s">
        <v>2323</v>
      </c>
      <c r="D1381" s="92" t="s">
        <v>2354</v>
      </c>
      <c r="E1381" s="91" t="s">
        <v>97</v>
      </c>
      <c r="F1381" s="91" t="s">
        <v>0</v>
      </c>
      <c r="G1381" s="56" t="s">
        <v>2177</v>
      </c>
      <c r="H1381" s="91">
        <v>48</v>
      </c>
      <c r="I1381" s="91" t="s">
        <v>207</v>
      </c>
      <c r="J1381" s="91" t="s">
        <v>8</v>
      </c>
      <c r="K1381" s="92" t="s">
        <v>10</v>
      </c>
      <c r="L1381" s="93" t="s">
        <v>2177</v>
      </c>
      <c r="M1381" s="94" t="s">
        <v>3487</v>
      </c>
      <c r="N1381" s="95" t="s">
        <v>2821</v>
      </c>
      <c r="O1381" s="96">
        <v>4</v>
      </c>
      <c r="P1381" s="97">
        <v>66.682068965517203</v>
      </c>
      <c r="Q1381" s="96" t="s">
        <v>16</v>
      </c>
      <c r="R1381" s="91">
        <v>4</v>
      </c>
      <c r="S1381" s="95"/>
      <c r="T1381" s="98">
        <v>8.6956521739130395</v>
      </c>
      <c r="U1381" s="99">
        <f t="shared" si="319"/>
        <v>275.42392803598187</v>
      </c>
      <c r="V1381" s="100">
        <f t="shared" si="317"/>
        <v>5.7379985007496224</v>
      </c>
      <c r="W1381" s="101">
        <f t="shared" si="318"/>
        <v>0.81971407153566034</v>
      </c>
      <c r="X1381" s="95"/>
      <c r="Y1381" s="95"/>
      <c r="Z1381" s="102"/>
      <c r="AA1381" s="103">
        <v>45982</v>
      </c>
      <c r="AB1381" s="103">
        <v>46003</v>
      </c>
      <c r="AC1381" s="103"/>
      <c r="AD1381" s="104">
        <f>IF(ISNA(VLOOKUP(D1381,亚马逊入库配置费!B:F,5,0)),0,VLOOKUP(D1381,亚马逊入库配置费!B:F,5,0))</f>
        <v>0.49</v>
      </c>
      <c r="AE1381" s="104">
        <f t="shared" si="313"/>
        <v>23.52</v>
      </c>
      <c r="AF1381" s="103">
        <v>46011</v>
      </c>
      <c r="AG1381" s="90">
        <f t="shared" si="314"/>
        <v>29</v>
      </c>
      <c r="AH1381" s="103">
        <v>46011</v>
      </c>
      <c r="AI1381" s="103">
        <v>46044</v>
      </c>
      <c r="AJ1381" s="96">
        <v>48</v>
      </c>
      <c r="AK1381" s="91">
        <f t="shared" si="315"/>
        <v>33</v>
      </c>
      <c r="AL1381" s="96">
        <f t="shared" si="316"/>
        <v>62</v>
      </c>
      <c r="AM1381" s="92"/>
      <c r="AN1381" s="91"/>
      <c r="AO1381" s="91"/>
    </row>
    <row r="1382" spans="1:41" ht="14.5" x14ac:dyDescent="0.25">
      <c r="A1382" s="110" t="s">
        <v>2359</v>
      </c>
      <c r="B1382" s="91"/>
      <c r="C1382" s="91" t="s">
        <v>2323</v>
      </c>
      <c r="D1382" s="92" t="s">
        <v>2354</v>
      </c>
      <c r="E1382" s="91" t="s">
        <v>97</v>
      </c>
      <c r="F1382" s="91" t="s">
        <v>0</v>
      </c>
      <c r="G1382" s="56" t="s">
        <v>2179</v>
      </c>
      <c r="H1382" s="91">
        <v>180</v>
      </c>
      <c r="I1382" s="91" t="s">
        <v>207</v>
      </c>
      <c r="J1382" s="91" t="s">
        <v>8</v>
      </c>
      <c r="K1382" s="92" t="s">
        <v>10</v>
      </c>
      <c r="L1382" s="93" t="s">
        <v>2179</v>
      </c>
      <c r="M1382" s="94" t="s">
        <v>3488</v>
      </c>
      <c r="N1382" s="95" t="s">
        <v>2821</v>
      </c>
      <c r="O1382" s="96">
        <v>15</v>
      </c>
      <c r="P1382" s="97">
        <v>250.05775862069001</v>
      </c>
      <c r="Q1382" s="96" t="s">
        <v>16</v>
      </c>
      <c r="R1382" s="91">
        <v>4</v>
      </c>
      <c r="S1382" s="95"/>
      <c r="T1382" s="98">
        <v>32.6086956521739</v>
      </c>
      <c r="U1382" s="99">
        <f t="shared" si="319"/>
        <v>1032.8397301349339</v>
      </c>
      <c r="V1382" s="100">
        <f t="shared" si="317"/>
        <v>5.737998500749633</v>
      </c>
      <c r="W1382" s="101">
        <f t="shared" si="318"/>
        <v>0.81971407153566189</v>
      </c>
      <c r="X1382" s="95"/>
      <c r="Y1382" s="95"/>
      <c r="Z1382" s="102"/>
      <c r="AA1382" s="103">
        <v>45982</v>
      </c>
      <c r="AB1382" s="103">
        <v>46003</v>
      </c>
      <c r="AC1382" s="103"/>
      <c r="AD1382" s="104">
        <f>IF(ISNA(VLOOKUP(D1382,亚马逊入库配置费!B:F,5,0)),0,VLOOKUP(D1382,亚马逊入库配置费!B:F,5,0))</f>
        <v>0.49</v>
      </c>
      <c r="AE1382" s="104">
        <f t="shared" si="313"/>
        <v>88.2</v>
      </c>
      <c r="AF1382" s="103">
        <v>46011</v>
      </c>
      <c r="AG1382" s="90">
        <f t="shared" si="314"/>
        <v>29</v>
      </c>
      <c r="AH1382" s="103">
        <v>46011</v>
      </c>
      <c r="AI1382" s="103">
        <v>46044</v>
      </c>
      <c r="AJ1382" s="96">
        <v>180</v>
      </c>
      <c r="AK1382" s="91">
        <f t="shared" si="315"/>
        <v>33</v>
      </c>
      <c r="AL1382" s="96">
        <f t="shared" si="316"/>
        <v>62</v>
      </c>
      <c r="AM1382" s="92"/>
      <c r="AN1382" s="91"/>
      <c r="AO1382" s="91"/>
    </row>
    <row r="1383" spans="1:41" ht="14.5" x14ac:dyDescent="0.25">
      <c r="A1383" s="210" t="s">
        <v>2360</v>
      </c>
      <c r="B1383" s="211"/>
      <c r="C1383" s="211" t="s">
        <v>2319</v>
      </c>
      <c r="D1383" s="212" t="s">
        <v>2361</v>
      </c>
      <c r="E1383" s="211" t="s">
        <v>287</v>
      </c>
      <c r="F1383" s="211" t="s">
        <v>0</v>
      </c>
      <c r="G1383" s="213" t="s">
        <v>284</v>
      </c>
      <c r="H1383" s="211">
        <v>320</v>
      </c>
      <c r="I1383" s="211" t="s">
        <v>89</v>
      </c>
      <c r="J1383" s="211" t="s">
        <v>8</v>
      </c>
      <c r="K1383" s="212" t="s">
        <v>32</v>
      </c>
      <c r="L1383" s="214" t="s">
        <v>3039</v>
      </c>
      <c r="M1383" s="215" t="s">
        <v>3323</v>
      </c>
      <c r="N1383" s="211" t="s">
        <v>2915</v>
      </c>
      <c r="O1383" s="216">
        <v>20</v>
      </c>
      <c r="P1383" s="226">
        <v>295</v>
      </c>
      <c r="Q1383" s="216" t="s">
        <v>16</v>
      </c>
      <c r="R1383" s="211">
        <v>3.8</v>
      </c>
      <c r="S1383" s="211"/>
      <c r="T1383" s="218">
        <v>35.3535353535353</v>
      </c>
      <c r="U1383" s="219">
        <f t="shared" si="319"/>
        <v>1156.3535353535353</v>
      </c>
      <c r="V1383" s="220">
        <f t="shared" si="317"/>
        <v>3.6136047979797978</v>
      </c>
      <c r="W1383" s="221">
        <f t="shared" si="318"/>
        <v>0.5162292568542568</v>
      </c>
      <c r="X1383" s="211"/>
      <c r="Y1383" s="211"/>
      <c r="Z1383" s="218"/>
      <c r="AA1383" s="222">
        <v>45982</v>
      </c>
      <c r="AB1383" s="222">
        <v>46005</v>
      </c>
      <c r="AC1383" s="222"/>
      <c r="AD1383" s="223">
        <f>IF(ISNA(VLOOKUP(D1383,亚马逊入库配置费!B:F,5,0)),0,VLOOKUP(D1383,亚马逊入库配置费!B:F,5,0))</f>
        <v>0.49</v>
      </c>
      <c r="AE1383" s="223">
        <f t="shared" si="313"/>
        <v>156.80000000000001</v>
      </c>
      <c r="AF1383" s="222">
        <v>46021</v>
      </c>
      <c r="AG1383" s="224">
        <f t="shared" si="314"/>
        <v>39</v>
      </c>
      <c r="AH1383" s="222">
        <v>46021</v>
      </c>
      <c r="AI1383" s="222">
        <v>46049</v>
      </c>
      <c r="AJ1383" s="216">
        <v>321</v>
      </c>
      <c r="AK1383" s="211">
        <f t="shared" si="315"/>
        <v>28</v>
      </c>
      <c r="AL1383" s="216">
        <f t="shared" si="316"/>
        <v>67</v>
      </c>
      <c r="AM1383" s="212"/>
      <c r="AN1383" s="211"/>
      <c r="AO1383" s="211"/>
    </row>
    <row r="1384" spans="1:41" ht="14.5" x14ac:dyDescent="0.25">
      <c r="A1384" s="210" t="s">
        <v>2362</v>
      </c>
      <c r="B1384" s="211"/>
      <c r="C1384" s="211" t="s">
        <v>2319</v>
      </c>
      <c r="D1384" s="212" t="s">
        <v>2363</v>
      </c>
      <c r="E1384" s="211" t="s">
        <v>287</v>
      </c>
      <c r="F1384" s="211" t="s">
        <v>0</v>
      </c>
      <c r="G1384" s="213" t="s">
        <v>663</v>
      </c>
      <c r="H1384" s="211">
        <v>240</v>
      </c>
      <c r="I1384" s="211" t="s">
        <v>89</v>
      </c>
      <c r="J1384" s="211" t="s">
        <v>8</v>
      </c>
      <c r="K1384" s="212" t="s">
        <v>15</v>
      </c>
      <c r="L1384" s="214" t="s">
        <v>3080</v>
      </c>
      <c r="M1384" s="215" t="s">
        <v>3383</v>
      </c>
      <c r="N1384" s="211" t="s">
        <v>2915</v>
      </c>
      <c r="O1384" s="216">
        <v>15</v>
      </c>
      <c r="P1384" s="226">
        <v>218.07692307692301</v>
      </c>
      <c r="Q1384" s="216" t="s">
        <v>16</v>
      </c>
      <c r="R1384" s="211">
        <v>3.8</v>
      </c>
      <c r="S1384" s="211"/>
      <c r="T1384" s="218">
        <v>26.515151515151501</v>
      </c>
      <c r="U1384" s="219">
        <f t="shared" si="319"/>
        <v>855.2074592074589</v>
      </c>
      <c r="V1384" s="220">
        <f t="shared" si="317"/>
        <v>3.563364413364412</v>
      </c>
      <c r="W1384" s="221">
        <f t="shared" si="318"/>
        <v>0.50905205905205886</v>
      </c>
      <c r="X1384" s="211"/>
      <c r="Y1384" s="211"/>
      <c r="Z1384" s="218"/>
      <c r="AA1384" s="222">
        <v>45982</v>
      </c>
      <c r="AB1384" s="222">
        <v>46005</v>
      </c>
      <c r="AC1384" s="222"/>
      <c r="AD1384" s="223">
        <f>IF(ISNA(VLOOKUP(D1384,亚马逊入库配置费!B:F,5,0)),0,VLOOKUP(D1384,亚马逊入库配置费!B:F,5,0))</f>
        <v>0.49</v>
      </c>
      <c r="AE1384" s="223">
        <f t="shared" si="313"/>
        <v>117.6</v>
      </c>
      <c r="AF1384" s="222">
        <v>46018</v>
      </c>
      <c r="AG1384" s="224">
        <f t="shared" si="314"/>
        <v>36</v>
      </c>
      <c r="AH1384" s="222">
        <v>46018</v>
      </c>
      <c r="AI1384" s="222">
        <v>46048</v>
      </c>
      <c r="AJ1384" s="216">
        <v>240</v>
      </c>
      <c r="AK1384" s="211">
        <f t="shared" si="315"/>
        <v>30</v>
      </c>
      <c r="AL1384" s="216">
        <f t="shared" si="316"/>
        <v>66</v>
      </c>
      <c r="AM1384" s="212"/>
      <c r="AN1384" s="211"/>
      <c r="AO1384" s="211"/>
    </row>
    <row r="1385" spans="1:41" ht="14.5" x14ac:dyDescent="0.25">
      <c r="A1385" s="210" t="s">
        <v>2364</v>
      </c>
      <c r="B1385" s="211"/>
      <c r="C1385" s="211" t="s">
        <v>2319</v>
      </c>
      <c r="D1385" s="212" t="s">
        <v>2363</v>
      </c>
      <c r="E1385" s="211" t="s">
        <v>287</v>
      </c>
      <c r="F1385" s="211" t="s">
        <v>0</v>
      </c>
      <c r="G1385" s="213" t="s">
        <v>779</v>
      </c>
      <c r="H1385" s="211">
        <v>112</v>
      </c>
      <c r="I1385" s="211" t="s">
        <v>89</v>
      </c>
      <c r="J1385" s="211" t="s">
        <v>8</v>
      </c>
      <c r="K1385" s="212" t="s">
        <v>15</v>
      </c>
      <c r="L1385" s="214" t="s">
        <v>3083</v>
      </c>
      <c r="M1385" s="215" t="s">
        <v>3394</v>
      </c>
      <c r="N1385" s="211" t="s">
        <v>2793</v>
      </c>
      <c r="O1385" s="216">
        <v>7</v>
      </c>
      <c r="P1385" s="226">
        <v>101.769230769231</v>
      </c>
      <c r="Q1385" s="216" t="s">
        <v>16</v>
      </c>
      <c r="R1385" s="211">
        <v>3.8</v>
      </c>
      <c r="S1385" s="211"/>
      <c r="T1385" s="218">
        <v>12.3737373737374</v>
      </c>
      <c r="U1385" s="219">
        <f t="shared" si="319"/>
        <v>399.09681429681518</v>
      </c>
      <c r="V1385" s="220">
        <f t="shared" si="317"/>
        <v>3.5633644133644213</v>
      </c>
      <c r="W1385" s="221">
        <f t="shared" si="318"/>
        <v>0.50905205905206019</v>
      </c>
      <c r="X1385" s="211"/>
      <c r="Y1385" s="211"/>
      <c r="Z1385" s="218"/>
      <c r="AA1385" s="222">
        <v>45982</v>
      </c>
      <c r="AB1385" s="222">
        <v>46005</v>
      </c>
      <c r="AC1385" s="222"/>
      <c r="AD1385" s="223">
        <f>IF(ISNA(VLOOKUP(D1385,亚马逊入库配置费!B:F,5,0)),0,VLOOKUP(D1385,亚马逊入库配置费!B:F,5,0))</f>
        <v>0.49</v>
      </c>
      <c r="AE1385" s="223">
        <f t="shared" si="313"/>
        <v>54.879999999999995</v>
      </c>
      <c r="AF1385" s="222">
        <v>46018</v>
      </c>
      <c r="AG1385" s="224">
        <f t="shared" si="314"/>
        <v>36</v>
      </c>
      <c r="AH1385" s="222">
        <v>46018</v>
      </c>
      <c r="AI1385" s="222">
        <v>46048</v>
      </c>
      <c r="AJ1385" s="216">
        <v>113</v>
      </c>
      <c r="AK1385" s="211">
        <f t="shared" si="315"/>
        <v>30</v>
      </c>
      <c r="AL1385" s="216">
        <f t="shared" si="316"/>
        <v>66</v>
      </c>
      <c r="AM1385" s="212"/>
      <c r="AN1385" s="211"/>
      <c r="AO1385" s="211"/>
    </row>
    <row r="1386" spans="1:41" ht="14.5" x14ac:dyDescent="0.25">
      <c r="A1386" s="210" t="s">
        <v>2365</v>
      </c>
      <c r="B1386" s="211"/>
      <c r="C1386" s="211" t="s">
        <v>2319</v>
      </c>
      <c r="D1386" s="212" t="s">
        <v>2363</v>
      </c>
      <c r="E1386" s="211" t="s">
        <v>287</v>
      </c>
      <c r="F1386" s="211" t="s">
        <v>0</v>
      </c>
      <c r="G1386" s="213" t="s">
        <v>551</v>
      </c>
      <c r="H1386" s="211">
        <v>64</v>
      </c>
      <c r="I1386" s="211" t="s">
        <v>89</v>
      </c>
      <c r="J1386" s="211" t="s">
        <v>8</v>
      </c>
      <c r="K1386" s="212" t="s">
        <v>15</v>
      </c>
      <c r="L1386" s="214" t="s">
        <v>3072</v>
      </c>
      <c r="M1386" s="215" t="s">
        <v>3372</v>
      </c>
      <c r="N1386" s="211" t="s">
        <v>2793</v>
      </c>
      <c r="O1386" s="216">
        <v>4</v>
      </c>
      <c r="P1386" s="226">
        <v>58.153846153846203</v>
      </c>
      <c r="Q1386" s="216" t="s">
        <v>16</v>
      </c>
      <c r="R1386" s="211">
        <v>3.8</v>
      </c>
      <c r="S1386" s="211"/>
      <c r="T1386" s="218">
        <v>7.0707070707070701</v>
      </c>
      <c r="U1386" s="219">
        <f t="shared" si="319"/>
        <v>228.05532245532262</v>
      </c>
      <c r="V1386" s="220">
        <f t="shared" si="317"/>
        <v>3.563364413364416</v>
      </c>
      <c r="W1386" s="221">
        <f t="shared" si="318"/>
        <v>0.50905205905205941</v>
      </c>
      <c r="X1386" s="211"/>
      <c r="Y1386" s="211"/>
      <c r="Z1386" s="218"/>
      <c r="AA1386" s="222">
        <v>45982</v>
      </c>
      <c r="AB1386" s="222">
        <v>46005</v>
      </c>
      <c r="AC1386" s="222"/>
      <c r="AD1386" s="223">
        <f>IF(ISNA(VLOOKUP(D1386,亚马逊入库配置费!B:F,5,0)),0,VLOOKUP(D1386,亚马逊入库配置费!B:F,5,0))</f>
        <v>0.49</v>
      </c>
      <c r="AE1386" s="223">
        <f t="shared" si="313"/>
        <v>31.36</v>
      </c>
      <c r="AF1386" s="222">
        <v>46018</v>
      </c>
      <c r="AG1386" s="224">
        <f t="shared" si="314"/>
        <v>36</v>
      </c>
      <c r="AH1386" s="222">
        <v>46018</v>
      </c>
      <c r="AI1386" s="222">
        <v>46048</v>
      </c>
      <c r="AJ1386" s="216">
        <v>63</v>
      </c>
      <c r="AK1386" s="211">
        <f t="shared" si="315"/>
        <v>30</v>
      </c>
      <c r="AL1386" s="216">
        <f t="shared" si="316"/>
        <v>66</v>
      </c>
      <c r="AM1386" s="212"/>
      <c r="AN1386" s="211"/>
      <c r="AO1386" s="211"/>
    </row>
    <row r="1387" spans="1:41" ht="14.5" x14ac:dyDescent="0.25">
      <c r="A1387" s="210" t="s">
        <v>2366</v>
      </c>
      <c r="B1387" s="211"/>
      <c r="C1387" s="211" t="s">
        <v>2367</v>
      </c>
      <c r="D1387" s="212" t="s">
        <v>2368</v>
      </c>
      <c r="E1387" s="211" t="s">
        <v>115</v>
      </c>
      <c r="F1387" s="211" t="s">
        <v>0</v>
      </c>
      <c r="G1387" s="213" t="s">
        <v>2195</v>
      </c>
      <c r="H1387" s="211">
        <v>400</v>
      </c>
      <c r="I1387" s="211" t="s">
        <v>89</v>
      </c>
      <c r="J1387" s="211" t="s">
        <v>8</v>
      </c>
      <c r="K1387" s="212" t="s">
        <v>50</v>
      </c>
      <c r="L1387" s="214" t="s">
        <v>2195</v>
      </c>
      <c r="M1387" s="215" t="s">
        <v>3489</v>
      </c>
      <c r="N1387" s="211" t="s">
        <v>3104</v>
      </c>
      <c r="O1387" s="216">
        <v>10</v>
      </c>
      <c r="P1387" s="226">
        <v>151.72999999999999</v>
      </c>
      <c r="Q1387" s="216" t="s">
        <v>16</v>
      </c>
      <c r="R1387" s="211">
        <v>4</v>
      </c>
      <c r="S1387" s="211">
        <v>350</v>
      </c>
      <c r="T1387" s="218">
        <v>43.209876543209901</v>
      </c>
      <c r="U1387" s="219">
        <f t="shared" si="319"/>
        <v>650.12987654320989</v>
      </c>
      <c r="V1387" s="220">
        <f t="shared" si="317"/>
        <v>1.6253246913580248</v>
      </c>
      <c r="W1387" s="221">
        <f t="shared" si="318"/>
        <v>0.23218924162257498</v>
      </c>
      <c r="X1387" s="211"/>
      <c r="Y1387" s="211"/>
      <c r="Z1387" s="218"/>
      <c r="AA1387" s="222">
        <v>45989</v>
      </c>
      <c r="AB1387" s="222">
        <v>46010</v>
      </c>
      <c r="AC1387" s="222"/>
      <c r="AD1387" s="223">
        <f>IF(ISNA(VLOOKUP(D1387,亚马逊入库配置费!B:F,5,0)),0,VLOOKUP(D1387,亚马逊入库配置费!B:F,5,0))</f>
        <v>0.34</v>
      </c>
      <c r="AE1387" s="223">
        <f t="shared" si="313"/>
        <v>136</v>
      </c>
      <c r="AF1387" s="222">
        <v>46030</v>
      </c>
      <c r="AG1387" s="224">
        <f t="shared" si="314"/>
        <v>41</v>
      </c>
      <c r="AH1387" s="222">
        <v>46030</v>
      </c>
      <c r="AI1387" s="222">
        <v>46064</v>
      </c>
      <c r="AJ1387" s="216">
        <v>404</v>
      </c>
      <c r="AK1387" s="211">
        <f t="shared" si="315"/>
        <v>34</v>
      </c>
      <c r="AL1387" s="216">
        <f t="shared" si="316"/>
        <v>75</v>
      </c>
      <c r="AM1387" s="212"/>
      <c r="AN1387" s="211"/>
      <c r="AO1387" s="211"/>
    </row>
    <row r="1388" spans="1:41" ht="14.5" x14ac:dyDescent="0.25">
      <c r="A1388" s="210" t="s">
        <v>2369</v>
      </c>
      <c r="B1388" s="211"/>
      <c r="C1388" s="211" t="s">
        <v>2367</v>
      </c>
      <c r="D1388" s="212" t="s">
        <v>2370</v>
      </c>
      <c r="E1388" s="211" t="s">
        <v>97</v>
      </c>
      <c r="F1388" s="211" t="s">
        <v>0</v>
      </c>
      <c r="G1388" s="213" t="s">
        <v>2228</v>
      </c>
      <c r="H1388" s="211">
        <v>510</v>
      </c>
      <c r="I1388" s="211" t="s">
        <v>89</v>
      </c>
      <c r="J1388" s="211" t="s">
        <v>8</v>
      </c>
      <c r="K1388" s="212" t="s">
        <v>50</v>
      </c>
      <c r="L1388" s="214" t="s">
        <v>2228</v>
      </c>
      <c r="M1388" s="215" t="s">
        <v>3496</v>
      </c>
      <c r="N1388" s="211" t="s">
        <v>2870</v>
      </c>
      <c r="O1388" s="216">
        <v>17</v>
      </c>
      <c r="P1388" s="226">
        <v>257.93788732394398</v>
      </c>
      <c r="Q1388" s="216" t="s">
        <v>16</v>
      </c>
      <c r="R1388" s="211">
        <v>4</v>
      </c>
      <c r="S1388" s="225">
        <f>SUMIF(C:C,C1387,T:T)</f>
        <v>349.99999999999955</v>
      </c>
      <c r="T1388" s="218">
        <v>73.456790123456798</v>
      </c>
      <c r="U1388" s="219">
        <f t="shared" si="319"/>
        <v>1105.2083394192327</v>
      </c>
      <c r="V1388" s="220">
        <f t="shared" si="317"/>
        <v>2.1670751753318287</v>
      </c>
      <c r="W1388" s="221">
        <f t="shared" si="318"/>
        <v>0.30958216790454696</v>
      </c>
      <c r="X1388" s="211"/>
      <c r="Y1388" s="211"/>
      <c r="Z1388" s="218"/>
      <c r="AA1388" s="222">
        <v>45989</v>
      </c>
      <c r="AB1388" s="222">
        <v>46010</v>
      </c>
      <c r="AC1388" s="222"/>
      <c r="AD1388" s="223">
        <f>IF(ISNA(VLOOKUP(D1388,亚马逊入库配置费!B:F,5,0)),0,VLOOKUP(D1388,亚马逊入库配置费!B:F,5,0))</f>
        <v>0.41</v>
      </c>
      <c r="AE1388" s="223">
        <f t="shared" si="313"/>
        <v>209.1</v>
      </c>
      <c r="AF1388" s="222">
        <v>46030</v>
      </c>
      <c r="AG1388" s="224">
        <f t="shared" si="314"/>
        <v>41</v>
      </c>
      <c r="AH1388" s="222">
        <v>46030</v>
      </c>
      <c r="AI1388" s="222">
        <v>46063</v>
      </c>
      <c r="AJ1388" s="216">
        <v>510</v>
      </c>
      <c r="AK1388" s="211">
        <f t="shared" si="315"/>
        <v>33</v>
      </c>
      <c r="AL1388" s="216">
        <f t="shared" si="316"/>
        <v>74</v>
      </c>
      <c r="AM1388" s="212"/>
      <c r="AN1388" s="211"/>
      <c r="AO1388" s="211"/>
    </row>
    <row r="1389" spans="1:41" ht="14.5" x14ac:dyDescent="0.25">
      <c r="A1389" s="210" t="s">
        <v>2371</v>
      </c>
      <c r="B1389" s="211"/>
      <c r="C1389" s="211" t="s">
        <v>2367</v>
      </c>
      <c r="D1389" s="212" t="s">
        <v>2370</v>
      </c>
      <c r="E1389" s="211" t="s">
        <v>97</v>
      </c>
      <c r="F1389" s="211" t="s">
        <v>0</v>
      </c>
      <c r="G1389" s="213" t="s">
        <v>2235</v>
      </c>
      <c r="H1389" s="211">
        <v>420</v>
      </c>
      <c r="I1389" s="211" t="s">
        <v>89</v>
      </c>
      <c r="J1389" s="211" t="s">
        <v>8</v>
      </c>
      <c r="K1389" s="212" t="s">
        <v>50</v>
      </c>
      <c r="L1389" s="214" t="s">
        <v>2235</v>
      </c>
      <c r="M1389" s="215" t="s">
        <v>3499</v>
      </c>
      <c r="N1389" s="211" t="s">
        <v>2870</v>
      </c>
      <c r="O1389" s="216">
        <v>14</v>
      </c>
      <c r="P1389" s="226">
        <v>212.419436619718</v>
      </c>
      <c r="Q1389" s="216" t="s">
        <v>16</v>
      </c>
      <c r="R1389" s="211">
        <v>4</v>
      </c>
      <c r="S1389" s="211"/>
      <c r="T1389" s="218">
        <v>60.493827160493801</v>
      </c>
      <c r="U1389" s="219">
        <f t="shared" si="319"/>
        <v>910.17157363936576</v>
      </c>
      <c r="V1389" s="220">
        <f t="shared" si="317"/>
        <v>2.1670751753318234</v>
      </c>
      <c r="W1389" s="221">
        <f t="shared" si="318"/>
        <v>0.30958216790454618</v>
      </c>
      <c r="X1389" s="211"/>
      <c r="Y1389" s="211"/>
      <c r="Z1389" s="218"/>
      <c r="AA1389" s="222">
        <v>45989</v>
      </c>
      <c r="AB1389" s="222">
        <v>46010</v>
      </c>
      <c r="AC1389" s="222"/>
      <c r="AD1389" s="223">
        <f>IF(ISNA(VLOOKUP(D1389,亚马逊入库配置费!B:F,5,0)),0,VLOOKUP(D1389,亚马逊入库配置费!B:F,5,0))</f>
        <v>0.41</v>
      </c>
      <c r="AE1389" s="223">
        <f t="shared" si="313"/>
        <v>172.2</v>
      </c>
      <c r="AF1389" s="222">
        <v>46030</v>
      </c>
      <c r="AG1389" s="224">
        <f t="shared" si="314"/>
        <v>41</v>
      </c>
      <c r="AH1389" s="222">
        <v>46030</v>
      </c>
      <c r="AI1389" s="222">
        <v>46063</v>
      </c>
      <c r="AJ1389" s="216">
        <v>419</v>
      </c>
      <c r="AK1389" s="211">
        <f t="shared" si="315"/>
        <v>33</v>
      </c>
      <c r="AL1389" s="216">
        <f t="shared" si="316"/>
        <v>74</v>
      </c>
      <c r="AM1389" s="212"/>
      <c r="AN1389" s="211"/>
      <c r="AO1389" s="211"/>
    </row>
    <row r="1390" spans="1:41" ht="14.5" x14ac:dyDescent="0.25">
      <c r="A1390" s="210" t="s">
        <v>2372</v>
      </c>
      <c r="B1390" s="211"/>
      <c r="C1390" s="211" t="s">
        <v>2367</v>
      </c>
      <c r="D1390" s="212" t="s">
        <v>2370</v>
      </c>
      <c r="E1390" s="211" t="s">
        <v>97</v>
      </c>
      <c r="F1390" s="211" t="s">
        <v>0</v>
      </c>
      <c r="G1390" s="213" t="s">
        <v>1215</v>
      </c>
      <c r="H1390" s="211">
        <v>1200</v>
      </c>
      <c r="I1390" s="211" t="s">
        <v>89</v>
      </c>
      <c r="J1390" s="211" t="s">
        <v>8</v>
      </c>
      <c r="K1390" s="212" t="s">
        <v>50</v>
      </c>
      <c r="L1390" s="214" t="s">
        <v>3095</v>
      </c>
      <c r="M1390" s="215" t="s">
        <v>3436</v>
      </c>
      <c r="N1390" s="211" t="s">
        <v>2867</v>
      </c>
      <c r="O1390" s="216">
        <v>40</v>
      </c>
      <c r="P1390" s="226">
        <v>606.912676056338</v>
      </c>
      <c r="Q1390" s="216" t="s">
        <v>16</v>
      </c>
      <c r="R1390" s="211">
        <v>4</v>
      </c>
      <c r="S1390" s="211"/>
      <c r="T1390" s="218">
        <v>172.83950617283901</v>
      </c>
      <c r="U1390" s="219">
        <f t="shared" si="319"/>
        <v>2600.4902103981908</v>
      </c>
      <c r="V1390" s="220">
        <f t="shared" si="317"/>
        <v>2.1670751753318256</v>
      </c>
      <c r="W1390" s="221">
        <f t="shared" si="318"/>
        <v>0.30958216790454651</v>
      </c>
      <c r="X1390" s="211"/>
      <c r="Y1390" s="211"/>
      <c r="Z1390" s="218"/>
      <c r="AA1390" s="222">
        <v>45989</v>
      </c>
      <c r="AB1390" s="222">
        <v>46010</v>
      </c>
      <c r="AC1390" s="222"/>
      <c r="AD1390" s="223">
        <f>IF(ISNA(VLOOKUP(D1390,亚马逊入库配置费!B:F,5,0)),0,VLOOKUP(D1390,亚马逊入库配置费!B:F,5,0))</f>
        <v>0.41</v>
      </c>
      <c r="AE1390" s="223">
        <f t="shared" si="313"/>
        <v>491.99999999999994</v>
      </c>
      <c r="AF1390" s="222">
        <v>46030</v>
      </c>
      <c r="AG1390" s="224">
        <f t="shared" si="314"/>
        <v>41</v>
      </c>
      <c r="AH1390" s="222">
        <v>46030</v>
      </c>
      <c r="AI1390" s="222">
        <v>46063</v>
      </c>
      <c r="AJ1390" s="216">
        <v>1200</v>
      </c>
      <c r="AK1390" s="211">
        <f t="shared" si="315"/>
        <v>33</v>
      </c>
      <c r="AL1390" s="216">
        <f t="shared" si="316"/>
        <v>74</v>
      </c>
      <c r="AM1390" s="212"/>
      <c r="AN1390" s="211"/>
      <c r="AO1390" s="211"/>
    </row>
    <row r="1391" spans="1:41" ht="14.5" x14ac:dyDescent="0.25">
      <c r="A1391" s="110" t="s">
        <v>2373</v>
      </c>
      <c r="B1391" s="91"/>
      <c r="C1391" s="135" t="s">
        <v>2374</v>
      </c>
      <c r="D1391" s="187" t="s">
        <v>2375</v>
      </c>
      <c r="E1391" s="135" t="s">
        <v>270</v>
      </c>
      <c r="F1391" s="135" t="s">
        <v>271</v>
      </c>
      <c r="G1391" s="58" t="s">
        <v>2279</v>
      </c>
      <c r="H1391" s="135">
        <v>90</v>
      </c>
      <c r="I1391" s="135" t="s">
        <v>1097</v>
      </c>
      <c r="J1391" s="135" t="s">
        <v>2273</v>
      </c>
      <c r="K1391" s="187" t="s">
        <v>273</v>
      </c>
      <c r="L1391" s="93" t="s">
        <v>2279</v>
      </c>
      <c r="M1391" s="94" t="s">
        <v>3507</v>
      </c>
      <c r="N1391" s="95" t="s">
        <v>2971</v>
      </c>
      <c r="O1391" s="189">
        <v>3</v>
      </c>
      <c r="P1391" s="97">
        <f>0.41/8*O1391</f>
        <v>0.15375</v>
      </c>
      <c r="Q1391" s="189" t="s">
        <v>3264</v>
      </c>
      <c r="R1391" s="135">
        <v>750</v>
      </c>
      <c r="S1391" s="95">
        <v>450</v>
      </c>
      <c r="T1391" s="98">
        <v>168.75</v>
      </c>
      <c r="U1391" s="186">
        <f t="shared" si="319"/>
        <v>284.0625</v>
      </c>
      <c r="V1391" s="100">
        <f t="shared" si="317"/>
        <v>3.15625</v>
      </c>
      <c r="W1391" s="101">
        <f t="shared" si="318"/>
        <v>0.45089285714285715</v>
      </c>
      <c r="X1391" s="95"/>
      <c r="Y1391" s="95"/>
      <c r="Z1391" s="102"/>
      <c r="AA1391" s="103">
        <v>45989</v>
      </c>
      <c r="AB1391" s="103">
        <v>46016</v>
      </c>
      <c r="AC1391" s="103"/>
      <c r="AD1391" s="104">
        <f>IF(ISNA(VLOOKUP(D1391,亚马逊入库配置费!B:F,5,0)),0,VLOOKUP(D1391,亚马逊入库配置费!B:F,5,0))</f>
        <v>0</v>
      </c>
      <c r="AE1391" s="104">
        <f t="shared" si="313"/>
        <v>0</v>
      </c>
      <c r="AF1391" s="103">
        <v>46032</v>
      </c>
      <c r="AG1391" s="90">
        <f t="shared" si="314"/>
        <v>43</v>
      </c>
      <c r="AH1391" s="103">
        <v>46032</v>
      </c>
      <c r="AI1391" s="103">
        <v>46046</v>
      </c>
      <c r="AJ1391" s="96">
        <v>180</v>
      </c>
      <c r="AK1391" s="91">
        <f t="shared" si="315"/>
        <v>14</v>
      </c>
      <c r="AL1391" s="96">
        <f t="shared" si="316"/>
        <v>57</v>
      </c>
      <c r="AM1391" s="92"/>
      <c r="AN1391" s="91"/>
      <c r="AO1391" s="91"/>
    </row>
    <row r="1392" spans="1:41" ht="14.5" x14ac:dyDescent="0.25">
      <c r="A1392" s="110" t="s">
        <v>2376</v>
      </c>
      <c r="B1392" s="91"/>
      <c r="C1392" s="135" t="s">
        <v>2374</v>
      </c>
      <c r="D1392" s="187" t="s">
        <v>2375</v>
      </c>
      <c r="E1392" s="135" t="s">
        <v>270</v>
      </c>
      <c r="F1392" s="135" t="s">
        <v>271</v>
      </c>
      <c r="G1392" s="58" t="s">
        <v>2281</v>
      </c>
      <c r="H1392" s="135">
        <v>150</v>
      </c>
      <c r="I1392" s="135" t="s">
        <v>1097</v>
      </c>
      <c r="J1392" s="135" t="s">
        <v>2273</v>
      </c>
      <c r="K1392" s="187" t="s">
        <v>273</v>
      </c>
      <c r="L1392" s="93" t="s">
        <v>2281</v>
      </c>
      <c r="M1392" s="94" t="s">
        <v>3508</v>
      </c>
      <c r="N1392" s="95" t="s">
        <v>2971</v>
      </c>
      <c r="O1392" s="189">
        <v>5</v>
      </c>
      <c r="P1392" s="97">
        <f>0.41/8*O1392</f>
        <v>0.25624999999999998</v>
      </c>
      <c r="Q1392" s="189" t="s">
        <v>3264</v>
      </c>
      <c r="R1392" s="135">
        <v>750</v>
      </c>
      <c r="S1392" s="106">
        <f>SUMIF(C:C,C1391,T:T)</f>
        <v>450</v>
      </c>
      <c r="T1392" s="98">
        <v>281.25</v>
      </c>
      <c r="U1392" s="186">
        <f t="shared" si="319"/>
        <v>473.4375</v>
      </c>
      <c r="V1392" s="100">
        <f t="shared" si="317"/>
        <v>3.15625</v>
      </c>
      <c r="W1392" s="101">
        <f t="shared" si="318"/>
        <v>0.45089285714285715</v>
      </c>
      <c r="X1392" s="95"/>
      <c r="Y1392" s="95"/>
      <c r="Z1392" s="102"/>
      <c r="AA1392" s="103">
        <v>45989</v>
      </c>
      <c r="AB1392" s="103">
        <v>46016</v>
      </c>
      <c r="AC1392" s="103"/>
      <c r="AD1392" s="104">
        <f>IF(ISNA(VLOOKUP(D1392,亚马逊入库配置费!B:F,5,0)),0,VLOOKUP(D1392,亚马逊入库配置费!B:F,5,0))</f>
        <v>0</v>
      </c>
      <c r="AE1392" s="104">
        <f t="shared" si="313"/>
        <v>0</v>
      </c>
      <c r="AF1392" s="103">
        <v>46032</v>
      </c>
      <c r="AG1392" s="90">
        <f t="shared" si="314"/>
        <v>43</v>
      </c>
      <c r="AH1392" s="103">
        <v>46032</v>
      </c>
      <c r="AI1392" s="103">
        <v>46046</v>
      </c>
      <c r="AJ1392" s="96">
        <v>150</v>
      </c>
      <c r="AK1392" s="91">
        <f t="shared" si="315"/>
        <v>14</v>
      </c>
      <c r="AL1392" s="96">
        <f t="shared" si="316"/>
        <v>57</v>
      </c>
      <c r="AM1392" s="92"/>
      <c r="AN1392" s="91"/>
      <c r="AO1392" s="91"/>
    </row>
    <row r="1393" spans="1:41" ht="14.5" x14ac:dyDescent="0.25">
      <c r="A1393" s="110" t="s">
        <v>2377</v>
      </c>
      <c r="B1393" s="91"/>
      <c r="C1393" s="135" t="s">
        <v>303</v>
      </c>
      <c r="D1393" s="187" t="s">
        <v>2378</v>
      </c>
      <c r="E1393" s="135" t="s">
        <v>97</v>
      </c>
      <c r="F1393" s="135" t="s">
        <v>0</v>
      </c>
      <c r="G1393" s="58" t="s">
        <v>1052</v>
      </c>
      <c r="H1393" s="135">
        <v>312</v>
      </c>
      <c r="I1393" s="135" t="s">
        <v>1767</v>
      </c>
      <c r="J1393" s="135" t="s">
        <v>8</v>
      </c>
      <c r="K1393" s="187" t="s">
        <v>10</v>
      </c>
      <c r="L1393" s="93" t="s">
        <v>3089</v>
      </c>
      <c r="M1393" s="94" t="s">
        <v>3423</v>
      </c>
      <c r="N1393" s="95" t="s">
        <v>3042</v>
      </c>
      <c r="O1393" s="189">
        <v>4</v>
      </c>
      <c r="P1393" s="97">
        <f>1.03/20*O1393</f>
        <v>0.20600000000000002</v>
      </c>
      <c r="Q1393" s="189" t="s">
        <v>3264</v>
      </c>
      <c r="R1393" s="135">
        <v>1090</v>
      </c>
      <c r="S1393" s="95">
        <v>0</v>
      </c>
      <c r="T1393" s="98">
        <v>0</v>
      </c>
      <c r="U1393" s="186">
        <f t="shared" si="319"/>
        <v>224.54000000000002</v>
      </c>
      <c r="V1393" s="100">
        <f t="shared" si="317"/>
        <v>0.71967948717948727</v>
      </c>
      <c r="W1393" s="101">
        <f t="shared" si="318"/>
        <v>0.10281135531135532</v>
      </c>
      <c r="X1393" s="95"/>
      <c r="Y1393" s="95"/>
      <c r="Z1393" s="102"/>
      <c r="AA1393" s="103">
        <v>45989</v>
      </c>
      <c r="AB1393" s="103">
        <v>46008</v>
      </c>
      <c r="AC1393" s="103"/>
      <c r="AD1393" s="104">
        <f>IF(ISNA(VLOOKUP(D1393,亚马逊入库配置费!B:F,5,0)),0,VLOOKUP(D1393,亚马逊入库配置费!B:F,5,0))</f>
        <v>0.344334365325077</v>
      </c>
      <c r="AE1393" s="104">
        <f t="shared" si="313"/>
        <v>107.43232198142402</v>
      </c>
      <c r="AF1393" s="103">
        <v>46020</v>
      </c>
      <c r="AG1393" s="90">
        <f t="shared" si="314"/>
        <v>31</v>
      </c>
      <c r="AH1393" s="103">
        <v>46020</v>
      </c>
      <c r="AI1393" s="103">
        <v>46048</v>
      </c>
      <c r="AJ1393" s="96">
        <v>312</v>
      </c>
      <c r="AK1393" s="91">
        <f t="shared" si="315"/>
        <v>28</v>
      </c>
      <c r="AL1393" s="96">
        <f t="shared" si="316"/>
        <v>59</v>
      </c>
      <c r="AM1393" s="92"/>
      <c r="AN1393" s="91"/>
      <c r="AO1393" s="91"/>
    </row>
    <row r="1394" spans="1:41" ht="14.5" x14ac:dyDescent="0.25">
      <c r="A1394" s="110" t="s">
        <v>2379</v>
      </c>
      <c r="B1394" s="91"/>
      <c r="C1394" s="135" t="s">
        <v>303</v>
      </c>
      <c r="D1394" s="187" t="s">
        <v>2378</v>
      </c>
      <c r="E1394" s="135" t="s">
        <v>97</v>
      </c>
      <c r="F1394" s="135" t="s">
        <v>0</v>
      </c>
      <c r="G1394" s="58" t="s">
        <v>316</v>
      </c>
      <c r="H1394" s="135">
        <v>900</v>
      </c>
      <c r="I1394" s="135" t="s">
        <v>1767</v>
      </c>
      <c r="J1394" s="135" t="s">
        <v>8</v>
      </c>
      <c r="K1394" s="187" t="s">
        <v>10</v>
      </c>
      <c r="L1394" s="93" t="s">
        <v>3046</v>
      </c>
      <c r="M1394" s="94" t="s">
        <v>3333</v>
      </c>
      <c r="N1394" s="95" t="s">
        <v>3042</v>
      </c>
      <c r="O1394" s="189">
        <v>10</v>
      </c>
      <c r="P1394" s="97">
        <f>1.03/20*O1394</f>
        <v>0.51500000000000001</v>
      </c>
      <c r="Q1394" s="189" t="s">
        <v>3264</v>
      </c>
      <c r="R1394" s="135">
        <v>1090</v>
      </c>
      <c r="S1394" s="95"/>
      <c r="T1394" s="98">
        <v>0</v>
      </c>
      <c r="U1394" s="186">
        <f t="shared" si="319"/>
        <v>561.35</v>
      </c>
      <c r="V1394" s="100">
        <f t="shared" si="317"/>
        <v>0.62372222222222229</v>
      </c>
      <c r="W1394" s="101">
        <f t="shared" si="318"/>
        <v>8.9103174603174615E-2</v>
      </c>
      <c r="X1394" s="95"/>
      <c r="Y1394" s="95"/>
      <c r="Z1394" s="102"/>
      <c r="AA1394" s="103">
        <v>45989</v>
      </c>
      <c r="AB1394" s="103">
        <v>46008</v>
      </c>
      <c r="AC1394" s="103"/>
      <c r="AD1394" s="104">
        <f>IF(ISNA(VLOOKUP(D1394,亚马逊入库配置费!B:F,5,0)),0,VLOOKUP(D1394,亚马逊入库配置费!B:F,5,0))</f>
        <v>0.344334365325077</v>
      </c>
      <c r="AE1394" s="104">
        <f t="shared" si="313"/>
        <v>309.90092879256929</v>
      </c>
      <c r="AF1394" s="103">
        <v>46020</v>
      </c>
      <c r="AG1394" s="90">
        <f t="shared" si="314"/>
        <v>31</v>
      </c>
      <c r="AH1394" s="103">
        <v>46020</v>
      </c>
      <c r="AI1394" s="103">
        <v>46048</v>
      </c>
      <c r="AJ1394" s="96">
        <v>950</v>
      </c>
      <c r="AK1394" s="91">
        <f t="shared" si="315"/>
        <v>28</v>
      </c>
      <c r="AL1394" s="96">
        <f t="shared" si="316"/>
        <v>59</v>
      </c>
      <c r="AM1394" s="92"/>
      <c r="AN1394" s="91"/>
      <c r="AO1394" s="91"/>
    </row>
    <row r="1395" spans="1:41" ht="14.5" x14ac:dyDescent="0.25">
      <c r="A1395" s="110" t="s">
        <v>2380</v>
      </c>
      <c r="B1395" s="91"/>
      <c r="C1395" s="135" t="s">
        <v>303</v>
      </c>
      <c r="D1395" s="187" t="s">
        <v>2378</v>
      </c>
      <c r="E1395" s="135" t="s">
        <v>97</v>
      </c>
      <c r="F1395" s="135" t="s">
        <v>0</v>
      </c>
      <c r="G1395" s="58" t="s">
        <v>1312</v>
      </c>
      <c r="H1395" s="135">
        <v>80</v>
      </c>
      <c r="I1395" s="135" t="s">
        <v>1767</v>
      </c>
      <c r="J1395" s="135" t="s">
        <v>8</v>
      </c>
      <c r="K1395" s="187" t="s">
        <v>10</v>
      </c>
      <c r="L1395" s="93" t="s">
        <v>1312</v>
      </c>
      <c r="M1395" s="94" t="s">
        <v>3441</v>
      </c>
      <c r="N1395" s="95" t="s">
        <v>3042</v>
      </c>
      <c r="O1395" s="189">
        <v>4</v>
      </c>
      <c r="P1395" s="97">
        <f>1.03/20*O1395</f>
        <v>0.20600000000000002</v>
      </c>
      <c r="Q1395" s="189" t="s">
        <v>3264</v>
      </c>
      <c r="R1395" s="135">
        <v>1090</v>
      </c>
      <c r="S1395" s="95"/>
      <c r="T1395" s="98">
        <v>0</v>
      </c>
      <c r="U1395" s="186">
        <f t="shared" si="319"/>
        <v>224.54000000000002</v>
      </c>
      <c r="V1395" s="100">
        <f t="shared" si="317"/>
        <v>2.8067500000000001</v>
      </c>
      <c r="W1395" s="101">
        <f t="shared" si="318"/>
        <v>0.40096428571428572</v>
      </c>
      <c r="X1395" s="95"/>
      <c r="Y1395" s="95"/>
      <c r="Z1395" s="102"/>
      <c r="AA1395" s="103">
        <v>45989</v>
      </c>
      <c r="AB1395" s="103">
        <v>46008</v>
      </c>
      <c r="AC1395" s="103"/>
      <c r="AD1395" s="104">
        <f>IF(ISNA(VLOOKUP(D1395,亚马逊入库配置费!B:F,5,0)),0,VLOOKUP(D1395,亚马逊入库配置费!B:F,5,0))</f>
        <v>0.344334365325077</v>
      </c>
      <c r="AE1395" s="104">
        <f t="shared" si="313"/>
        <v>27.54674922600616</v>
      </c>
      <c r="AF1395" s="103">
        <v>46020</v>
      </c>
      <c r="AG1395" s="90">
        <f t="shared" si="314"/>
        <v>31</v>
      </c>
      <c r="AH1395" s="103">
        <v>46020</v>
      </c>
      <c r="AI1395" s="103">
        <v>46048</v>
      </c>
      <c r="AJ1395" s="96">
        <v>80</v>
      </c>
      <c r="AK1395" s="91">
        <f t="shared" si="315"/>
        <v>28</v>
      </c>
      <c r="AL1395" s="96">
        <f t="shared" si="316"/>
        <v>59</v>
      </c>
      <c r="AM1395" s="92"/>
      <c r="AN1395" s="91"/>
      <c r="AO1395" s="91"/>
    </row>
    <row r="1396" spans="1:41" ht="14.5" x14ac:dyDescent="0.25">
      <c r="A1396" s="110" t="s">
        <v>2381</v>
      </c>
      <c r="B1396" s="91"/>
      <c r="C1396" s="135" t="s">
        <v>303</v>
      </c>
      <c r="D1396" s="187" t="s">
        <v>2382</v>
      </c>
      <c r="E1396" s="135" t="s">
        <v>115</v>
      </c>
      <c r="F1396" s="135" t="s">
        <v>0</v>
      </c>
      <c r="G1396" s="58" t="s">
        <v>316</v>
      </c>
      <c r="H1396" s="135">
        <v>180</v>
      </c>
      <c r="I1396" s="135" t="s">
        <v>1767</v>
      </c>
      <c r="J1396" s="135" t="s">
        <v>8</v>
      </c>
      <c r="K1396" s="187" t="s">
        <v>10</v>
      </c>
      <c r="L1396" s="93" t="s">
        <v>3046</v>
      </c>
      <c r="M1396" s="94" t="s">
        <v>3333</v>
      </c>
      <c r="N1396" s="95" t="s">
        <v>3042</v>
      </c>
      <c r="O1396" s="189">
        <v>2</v>
      </c>
      <c r="P1396" s="97">
        <f>1.03/20*O1396</f>
        <v>0.10300000000000001</v>
      </c>
      <c r="Q1396" s="189" t="s">
        <v>3264</v>
      </c>
      <c r="R1396" s="135">
        <v>1090</v>
      </c>
      <c r="S1396" s="95"/>
      <c r="T1396" s="98">
        <v>0</v>
      </c>
      <c r="U1396" s="186">
        <f t="shared" si="319"/>
        <v>112.27000000000001</v>
      </c>
      <c r="V1396" s="100">
        <f t="shared" si="317"/>
        <v>0.62372222222222229</v>
      </c>
      <c r="W1396" s="101">
        <f t="shared" si="318"/>
        <v>8.9103174603174615E-2</v>
      </c>
      <c r="X1396" s="95"/>
      <c r="Y1396" s="95"/>
      <c r="Z1396" s="102"/>
      <c r="AA1396" s="103">
        <v>45989</v>
      </c>
      <c r="AB1396" s="103">
        <v>46008</v>
      </c>
      <c r="AC1396" s="103"/>
      <c r="AD1396" s="104">
        <f>IF(ISNA(VLOOKUP(D1396,亚马逊入库配置费!B:F,5,0)),0,VLOOKUP(D1396,亚马逊入库配置费!B:F,5,0))</f>
        <v>0.34</v>
      </c>
      <c r="AE1396" s="104">
        <f t="shared" si="313"/>
        <v>61.2</v>
      </c>
      <c r="AF1396" s="103">
        <v>46020</v>
      </c>
      <c r="AG1396" s="90">
        <f t="shared" si="314"/>
        <v>31</v>
      </c>
      <c r="AH1396" s="103">
        <v>46020</v>
      </c>
      <c r="AI1396" s="103">
        <v>46043</v>
      </c>
      <c r="AJ1396" s="96">
        <v>180</v>
      </c>
      <c r="AK1396" s="91">
        <f t="shared" si="315"/>
        <v>23</v>
      </c>
      <c r="AL1396" s="96">
        <f t="shared" si="316"/>
        <v>54</v>
      </c>
      <c r="AM1396" s="92"/>
      <c r="AN1396" s="91"/>
      <c r="AO1396" s="91"/>
    </row>
    <row r="1397" spans="1:41" ht="14.5" x14ac:dyDescent="0.25">
      <c r="A1397" s="227" t="s">
        <v>2383</v>
      </c>
      <c r="B1397" s="228"/>
      <c r="C1397" s="228" t="s">
        <v>2384</v>
      </c>
      <c r="D1397" s="229" t="s">
        <v>2385</v>
      </c>
      <c r="E1397" s="228" t="s">
        <v>1164</v>
      </c>
      <c r="F1397" s="228" t="s">
        <v>1165</v>
      </c>
      <c r="G1397" s="230" t="s">
        <v>163</v>
      </c>
      <c r="H1397" s="228">
        <v>200</v>
      </c>
      <c r="I1397" s="228" t="s">
        <v>207</v>
      </c>
      <c r="J1397" s="228" t="s">
        <v>2064</v>
      </c>
      <c r="K1397" s="229" t="s">
        <v>2386</v>
      </c>
      <c r="L1397" s="93" t="s">
        <v>2881</v>
      </c>
      <c r="M1397" s="94" t="s">
        <v>3302</v>
      </c>
      <c r="N1397" s="95" t="s">
        <v>2870</v>
      </c>
      <c r="O1397" s="231">
        <v>5</v>
      </c>
      <c r="P1397" s="232">
        <v>69.3333333333333</v>
      </c>
      <c r="Q1397" s="231" t="s">
        <v>16</v>
      </c>
      <c r="R1397" s="228">
        <v>6.8</v>
      </c>
      <c r="S1397" s="228">
        <v>250</v>
      </c>
      <c r="T1397" s="233">
        <v>83.3333333333333</v>
      </c>
      <c r="U1397" s="234">
        <f t="shared" si="319"/>
        <v>554.79999999999973</v>
      </c>
      <c r="V1397" s="235">
        <f t="shared" si="317"/>
        <v>2.7739999999999987</v>
      </c>
      <c r="W1397" s="236">
        <f t="shared" si="318"/>
        <v>0.39628571428571407</v>
      </c>
      <c r="X1397" s="228"/>
      <c r="Y1397" s="228"/>
      <c r="Z1397" s="233"/>
      <c r="AA1397" s="237">
        <v>45996</v>
      </c>
      <c r="AB1397" s="237">
        <v>46032</v>
      </c>
      <c r="AC1397" s="237"/>
      <c r="AD1397" s="238">
        <f>IF(ISNA(VLOOKUP(D1397,亚马逊入库配置费!B:F,5,0)),0,VLOOKUP(D1397,亚马逊入库配置费!B:F,5,0))</f>
        <v>0</v>
      </c>
      <c r="AE1397" s="238">
        <f t="shared" si="313"/>
        <v>0</v>
      </c>
      <c r="AF1397" s="237">
        <v>46044</v>
      </c>
      <c r="AG1397" s="239">
        <f t="shared" si="314"/>
        <v>48</v>
      </c>
      <c r="AH1397" s="237">
        <v>46044</v>
      </c>
      <c r="AI1397" s="237">
        <v>46059</v>
      </c>
      <c r="AJ1397" s="231">
        <v>200</v>
      </c>
      <c r="AK1397" s="228">
        <f t="shared" si="315"/>
        <v>15</v>
      </c>
      <c r="AL1397" s="231"/>
      <c r="AM1397" s="229"/>
      <c r="AN1397" s="228"/>
      <c r="AO1397" s="228"/>
    </row>
    <row r="1398" spans="1:41" ht="14.5" x14ac:dyDescent="0.25">
      <c r="A1398" s="227" t="s">
        <v>2387</v>
      </c>
      <c r="B1398" s="228"/>
      <c r="C1398" s="228" t="s">
        <v>2384</v>
      </c>
      <c r="D1398" s="229" t="s">
        <v>2385</v>
      </c>
      <c r="E1398" s="228" t="s">
        <v>1164</v>
      </c>
      <c r="F1398" s="228" t="s">
        <v>1165</v>
      </c>
      <c r="G1398" s="230" t="s">
        <v>228</v>
      </c>
      <c r="H1398" s="228">
        <v>40</v>
      </c>
      <c r="I1398" s="228" t="s">
        <v>207</v>
      </c>
      <c r="J1398" s="228" t="s">
        <v>2064</v>
      </c>
      <c r="K1398" s="229" t="s">
        <v>2386</v>
      </c>
      <c r="L1398" s="93" t="s">
        <v>3036</v>
      </c>
      <c r="M1398" s="94" t="s">
        <v>3315</v>
      </c>
      <c r="N1398" s="95" t="s">
        <v>2870</v>
      </c>
      <c r="O1398" s="231">
        <v>2</v>
      </c>
      <c r="P1398" s="232">
        <v>27.733333333333299</v>
      </c>
      <c r="Q1398" s="231" t="s">
        <v>16</v>
      </c>
      <c r="R1398" s="228">
        <v>6.8</v>
      </c>
      <c r="S1398" s="240">
        <f>SUMIF(C:C,C1397,T:T)</f>
        <v>250</v>
      </c>
      <c r="T1398" s="233">
        <v>33.3333333333333</v>
      </c>
      <c r="U1398" s="234">
        <f t="shared" si="319"/>
        <v>221.91999999999973</v>
      </c>
      <c r="V1398" s="235">
        <f t="shared" si="317"/>
        <v>5.5479999999999929</v>
      </c>
      <c r="W1398" s="236">
        <f t="shared" si="318"/>
        <v>0.79257142857142759</v>
      </c>
      <c r="X1398" s="228"/>
      <c r="Y1398" s="228"/>
      <c r="Z1398" s="233"/>
      <c r="AA1398" s="237">
        <v>45996</v>
      </c>
      <c r="AB1398" s="237">
        <v>46032</v>
      </c>
      <c r="AC1398" s="237"/>
      <c r="AD1398" s="238">
        <f>IF(ISNA(VLOOKUP(D1398,亚马逊入库配置费!B:F,5,0)),0,VLOOKUP(D1398,亚马逊入库配置费!B:F,5,0))</f>
        <v>0</v>
      </c>
      <c r="AE1398" s="238">
        <f t="shared" si="313"/>
        <v>0</v>
      </c>
      <c r="AF1398" s="237">
        <v>46044</v>
      </c>
      <c r="AG1398" s="239">
        <f t="shared" si="314"/>
        <v>48</v>
      </c>
      <c r="AH1398" s="237">
        <v>46044</v>
      </c>
      <c r="AI1398" s="237">
        <v>46059</v>
      </c>
      <c r="AJ1398" s="231">
        <v>40</v>
      </c>
      <c r="AK1398" s="228">
        <f t="shared" si="315"/>
        <v>15</v>
      </c>
      <c r="AL1398" s="231"/>
      <c r="AM1398" s="229"/>
      <c r="AN1398" s="228"/>
      <c r="AO1398" s="228"/>
    </row>
    <row r="1399" spans="1:41" ht="14.5" x14ac:dyDescent="0.25">
      <c r="A1399" s="227" t="s">
        <v>2388</v>
      </c>
      <c r="B1399" s="228"/>
      <c r="C1399" s="228" t="s">
        <v>2384</v>
      </c>
      <c r="D1399" s="229" t="s">
        <v>2385</v>
      </c>
      <c r="E1399" s="228" t="s">
        <v>1164</v>
      </c>
      <c r="F1399" s="228" t="s">
        <v>1165</v>
      </c>
      <c r="G1399" s="230" t="s">
        <v>350</v>
      </c>
      <c r="H1399" s="228">
        <v>40</v>
      </c>
      <c r="I1399" s="228" t="s">
        <v>207</v>
      </c>
      <c r="J1399" s="228" t="s">
        <v>2064</v>
      </c>
      <c r="K1399" s="229" t="s">
        <v>2386</v>
      </c>
      <c r="L1399" s="93" t="s">
        <v>3048</v>
      </c>
      <c r="M1399" s="94" t="s">
        <v>3208</v>
      </c>
      <c r="N1399" s="95" t="s">
        <v>2870</v>
      </c>
      <c r="O1399" s="231">
        <v>1</v>
      </c>
      <c r="P1399" s="232">
        <v>13.866666666666699</v>
      </c>
      <c r="Q1399" s="231" t="s">
        <v>16</v>
      </c>
      <c r="R1399" s="228">
        <v>6.8</v>
      </c>
      <c r="S1399" s="228"/>
      <c r="T1399" s="233">
        <v>16.6666666666667</v>
      </c>
      <c r="U1399" s="234">
        <f t="shared" si="319"/>
        <v>110.96000000000025</v>
      </c>
      <c r="V1399" s="235">
        <f t="shared" si="317"/>
        <v>2.7740000000000062</v>
      </c>
      <c r="W1399" s="236">
        <f t="shared" si="318"/>
        <v>0.39628571428571518</v>
      </c>
      <c r="X1399" s="228"/>
      <c r="Y1399" s="228"/>
      <c r="Z1399" s="233"/>
      <c r="AA1399" s="237">
        <v>45996</v>
      </c>
      <c r="AB1399" s="237">
        <v>46032</v>
      </c>
      <c r="AC1399" s="237"/>
      <c r="AD1399" s="238">
        <f>IF(ISNA(VLOOKUP(D1399,亚马逊入库配置费!B:F,5,0)),0,VLOOKUP(D1399,亚马逊入库配置费!B:F,5,0))</f>
        <v>0</v>
      </c>
      <c r="AE1399" s="238">
        <f t="shared" si="313"/>
        <v>0</v>
      </c>
      <c r="AF1399" s="237">
        <v>46044</v>
      </c>
      <c r="AG1399" s="239">
        <f t="shared" si="314"/>
        <v>48</v>
      </c>
      <c r="AH1399" s="237">
        <v>46044</v>
      </c>
      <c r="AI1399" s="237">
        <v>46059</v>
      </c>
      <c r="AJ1399" s="231">
        <v>40</v>
      </c>
      <c r="AK1399" s="228">
        <f t="shared" si="315"/>
        <v>15</v>
      </c>
      <c r="AL1399" s="231"/>
      <c r="AM1399" s="229"/>
      <c r="AN1399" s="228"/>
      <c r="AO1399" s="228"/>
    </row>
    <row r="1400" spans="1:41" ht="14.5" x14ac:dyDescent="0.25">
      <c r="A1400" s="227" t="s">
        <v>2389</v>
      </c>
      <c r="B1400" s="228"/>
      <c r="C1400" s="228" t="s">
        <v>2384</v>
      </c>
      <c r="D1400" s="229" t="s">
        <v>2385</v>
      </c>
      <c r="E1400" s="228" t="s">
        <v>1164</v>
      </c>
      <c r="F1400" s="228" t="s">
        <v>1165</v>
      </c>
      <c r="G1400" s="230" t="s">
        <v>352</v>
      </c>
      <c r="H1400" s="228">
        <v>80</v>
      </c>
      <c r="I1400" s="228" t="s">
        <v>207</v>
      </c>
      <c r="J1400" s="228" t="s">
        <v>2064</v>
      </c>
      <c r="K1400" s="229" t="s">
        <v>2386</v>
      </c>
      <c r="L1400" s="93" t="s">
        <v>3049</v>
      </c>
      <c r="M1400" s="94" t="s">
        <v>3336</v>
      </c>
      <c r="N1400" s="95" t="s">
        <v>2870</v>
      </c>
      <c r="O1400" s="231">
        <v>2</v>
      </c>
      <c r="P1400" s="232">
        <v>27.733333333333299</v>
      </c>
      <c r="Q1400" s="231" t="s">
        <v>16</v>
      </c>
      <c r="R1400" s="228">
        <v>6.8</v>
      </c>
      <c r="S1400" s="228"/>
      <c r="T1400" s="233">
        <v>33.3333333333333</v>
      </c>
      <c r="U1400" s="234">
        <f t="shared" si="319"/>
        <v>221.91999999999973</v>
      </c>
      <c r="V1400" s="235">
        <f t="shared" si="317"/>
        <v>2.7739999999999965</v>
      </c>
      <c r="W1400" s="236">
        <f t="shared" si="318"/>
        <v>0.3962857142857138</v>
      </c>
      <c r="X1400" s="228"/>
      <c r="Y1400" s="228"/>
      <c r="Z1400" s="233"/>
      <c r="AA1400" s="237">
        <v>45996</v>
      </c>
      <c r="AB1400" s="237">
        <v>46032</v>
      </c>
      <c r="AC1400" s="237"/>
      <c r="AD1400" s="238">
        <f>IF(ISNA(VLOOKUP(D1400,亚马逊入库配置费!B:F,5,0)),0,VLOOKUP(D1400,亚马逊入库配置费!B:F,5,0))</f>
        <v>0</v>
      </c>
      <c r="AE1400" s="238">
        <f t="shared" si="313"/>
        <v>0</v>
      </c>
      <c r="AF1400" s="237">
        <v>46044</v>
      </c>
      <c r="AG1400" s="239">
        <f t="shared" si="314"/>
        <v>48</v>
      </c>
      <c r="AH1400" s="237">
        <v>46044</v>
      </c>
      <c r="AI1400" s="237">
        <v>46059</v>
      </c>
      <c r="AJ1400" s="231">
        <v>80</v>
      </c>
      <c r="AK1400" s="228">
        <f t="shared" si="315"/>
        <v>15</v>
      </c>
      <c r="AL1400" s="231"/>
      <c r="AM1400" s="229"/>
      <c r="AN1400" s="228"/>
      <c r="AO1400" s="228"/>
    </row>
    <row r="1401" spans="1:41" ht="14.5" x14ac:dyDescent="0.25">
      <c r="A1401" s="227" t="s">
        <v>2390</v>
      </c>
      <c r="B1401" s="228"/>
      <c r="C1401" s="228" t="s">
        <v>2384</v>
      </c>
      <c r="D1401" s="229" t="s">
        <v>2385</v>
      </c>
      <c r="E1401" s="228" t="s">
        <v>1164</v>
      </c>
      <c r="F1401" s="228" t="s">
        <v>1165</v>
      </c>
      <c r="G1401" s="230" t="s">
        <v>165</v>
      </c>
      <c r="H1401" s="228">
        <v>120</v>
      </c>
      <c r="I1401" s="228" t="s">
        <v>207</v>
      </c>
      <c r="J1401" s="228" t="s">
        <v>2064</v>
      </c>
      <c r="K1401" s="229" t="s">
        <v>2386</v>
      </c>
      <c r="L1401" s="93" t="s">
        <v>2880</v>
      </c>
      <c r="M1401" s="94" t="s">
        <v>3209</v>
      </c>
      <c r="N1401" s="95" t="s">
        <v>2870</v>
      </c>
      <c r="O1401" s="231">
        <v>3</v>
      </c>
      <c r="P1401" s="232">
        <v>41.6</v>
      </c>
      <c r="Q1401" s="231" t="s">
        <v>16</v>
      </c>
      <c r="R1401" s="228">
        <v>6.8</v>
      </c>
      <c r="S1401" s="228"/>
      <c r="T1401" s="233">
        <v>50</v>
      </c>
      <c r="U1401" s="234">
        <f t="shared" si="319"/>
        <v>332.88</v>
      </c>
      <c r="V1401" s="235">
        <f t="shared" si="317"/>
        <v>2.774</v>
      </c>
      <c r="W1401" s="236">
        <f t="shared" si="318"/>
        <v>0.3962857142857143</v>
      </c>
      <c r="X1401" s="228"/>
      <c r="Y1401" s="228"/>
      <c r="Z1401" s="233"/>
      <c r="AA1401" s="237">
        <v>45996</v>
      </c>
      <c r="AB1401" s="237">
        <v>46032</v>
      </c>
      <c r="AC1401" s="237"/>
      <c r="AD1401" s="238">
        <f>IF(ISNA(VLOOKUP(D1401,亚马逊入库配置费!B:F,5,0)),0,VLOOKUP(D1401,亚马逊入库配置费!B:F,5,0))</f>
        <v>0</v>
      </c>
      <c r="AE1401" s="238">
        <f t="shared" si="313"/>
        <v>0</v>
      </c>
      <c r="AF1401" s="237">
        <v>46044</v>
      </c>
      <c r="AG1401" s="239">
        <f t="shared" si="314"/>
        <v>48</v>
      </c>
      <c r="AH1401" s="237">
        <v>46044</v>
      </c>
      <c r="AI1401" s="237">
        <v>46059</v>
      </c>
      <c r="AJ1401" s="231">
        <v>120</v>
      </c>
      <c r="AK1401" s="228">
        <f t="shared" si="315"/>
        <v>15</v>
      </c>
      <c r="AL1401" s="231"/>
      <c r="AM1401" s="229"/>
      <c r="AN1401" s="228"/>
      <c r="AO1401" s="228"/>
    </row>
    <row r="1402" spans="1:41" ht="14.5" x14ac:dyDescent="0.25">
      <c r="A1402" s="227" t="s">
        <v>2391</v>
      </c>
      <c r="B1402" s="228"/>
      <c r="C1402" s="228" t="s">
        <v>2384</v>
      </c>
      <c r="D1402" s="229" t="s">
        <v>2385</v>
      </c>
      <c r="E1402" s="228" t="s">
        <v>1164</v>
      </c>
      <c r="F1402" s="228" t="s">
        <v>1165</v>
      </c>
      <c r="G1402" s="230" t="s">
        <v>594</v>
      </c>
      <c r="H1402" s="228">
        <v>36</v>
      </c>
      <c r="I1402" s="228" t="s">
        <v>207</v>
      </c>
      <c r="J1402" s="228" t="s">
        <v>2064</v>
      </c>
      <c r="K1402" s="229" t="s">
        <v>2386</v>
      </c>
      <c r="L1402" s="93" t="s">
        <v>2694</v>
      </c>
      <c r="M1402" s="94" t="s">
        <v>3214</v>
      </c>
      <c r="N1402" s="95" t="s">
        <v>2822</v>
      </c>
      <c r="O1402" s="231">
        <v>1</v>
      </c>
      <c r="P1402" s="232">
        <v>13.866666666666699</v>
      </c>
      <c r="Q1402" s="231" t="s">
        <v>16</v>
      </c>
      <c r="R1402" s="228">
        <v>6.8</v>
      </c>
      <c r="S1402" s="228"/>
      <c r="T1402" s="233">
        <v>16.6666666666667</v>
      </c>
      <c r="U1402" s="234">
        <f t="shared" si="319"/>
        <v>110.96000000000025</v>
      </c>
      <c r="V1402" s="235">
        <f t="shared" si="317"/>
        <v>3.0822222222222293</v>
      </c>
      <c r="W1402" s="236">
        <f t="shared" si="318"/>
        <v>0.44031746031746133</v>
      </c>
      <c r="X1402" s="228"/>
      <c r="Y1402" s="228"/>
      <c r="Z1402" s="233"/>
      <c r="AA1402" s="237">
        <v>45996</v>
      </c>
      <c r="AB1402" s="237">
        <v>46032</v>
      </c>
      <c r="AC1402" s="237"/>
      <c r="AD1402" s="238">
        <f>IF(ISNA(VLOOKUP(D1402,亚马逊入库配置费!B:F,5,0)),0,VLOOKUP(D1402,亚马逊入库配置费!B:F,5,0))</f>
        <v>0</v>
      </c>
      <c r="AE1402" s="238">
        <f t="shared" si="313"/>
        <v>0</v>
      </c>
      <c r="AF1402" s="237">
        <v>46044</v>
      </c>
      <c r="AG1402" s="239">
        <f t="shared" si="314"/>
        <v>48</v>
      </c>
      <c r="AH1402" s="237">
        <v>46044</v>
      </c>
      <c r="AI1402" s="237">
        <v>46059</v>
      </c>
      <c r="AJ1402" s="231">
        <v>36</v>
      </c>
      <c r="AK1402" s="228">
        <f t="shared" si="315"/>
        <v>15</v>
      </c>
      <c r="AL1402" s="231"/>
      <c r="AM1402" s="229"/>
      <c r="AN1402" s="228"/>
      <c r="AO1402" s="228"/>
    </row>
    <row r="1403" spans="1:41" ht="14.5" x14ac:dyDescent="0.25">
      <c r="A1403" s="227" t="s">
        <v>2392</v>
      </c>
      <c r="B1403" s="228"/>
      <c r="C1403" s="228" t="s">
        <v>2384</v>
      </c>
      <c r="D1403" s="229" t="s">
        <v>2385</v>
      </c>
      <c r="E1403" s="228" t="s">
        <v>1164</v>
      </c>
      <c r="F1403" s="228" t="s">
        <v>1165</v>
      </c>
      <c r="G1403" s="230" t="s">
        <v>614</v>
      </c>
      <c r="H1403" s="228">
        <v>36</v>
      </c>
      <c r="I1403" s="228" t="s">
        <v>207</v>
      </c>
      <c r="J1403" s="228" t="s">
        <v>2064</v>
      </c>
      <c r="K1403" s="229" t="s">
        <v>2386</v>
      </c>
      <c r="L1403" s="93" t="s">
        <v>2695</v>
      </c>
      <c r="M1403" s="94" t="s">
        <v>3215</v>
      </c>
      <c r="N1403" s="95" t="s">
        <v>2822</v>
      </c>
      <c r="O1403" s="231">
        <v>1</v>
      </c>
      <c r="P1403" s="232">
        <v>13.866666666666699</v>
      </c>
      <c r="Q1403" s="231" t="s">
        <v>16</v>
      </c>
      <c r="R1403" s="228">
        <v>6.8</v>
      </c>
      <c r="S1403" s="228"/>
      <c r="T1403" s="233">
        <v>16.6666666666667</v>
      </c>
      <c r="U1403" s="234">
        <f t="shared" si="319"/>
        <v>110.96000000000025</v>
      </c>
      <c r="V1403" s="235">
        <f t="shared" si="317"/>
        <v>3.0822222222222293</v>
      </c>
      <c r="W1403" s="236">
        <f t="shared" si="318"/>
        <v>0.44031746031746133</v>
      </c>
      <c r="X1403" s="228"/>
      <c r="Y1403" s="228"/>
      <c r="Z1403" s="233"/>
      <c r="AA1403" s="237">
        <v>45996</v>
      </c>
      <c r="AB1403" s="237">
        <v>46032</v>
      </c>
      <c r="AC1403" s="237"/>
      <c r="AD1403" s="238">
        <f>IF(ISNA(VLOOKUP(D1403,亚马逊入库配置费!B:F,5,0)),0,VLOOKUP(D1403,亚马逊入库配置费!B:F,5,0))</f>
        <v>0</v>
      </c>
      <c r="AE1403" s="238">
        <f t="shared" si="313"/>
        <v>0</v>
      </c>
      <c r="AF1403" s="237">
        <v>46044</v>
      </c>
      <c r="AG1403" s="239">
        <f t="shared" si="314"/>
        <v>48</v>
      </c>
      <c r="AH1403" s="237">
        <v>46044</v>
      </c>
      <c r="AI1403" s="237">
        <v>46059</v>
      </c>
      <c r="AJ1403" s="231">
        <v>36</v>
      </c>
      <c r="AK1403" s="228">
        <f t="shared" si="315"/>
        <v>15</v>
      </c>
      <c r="AL1403" s="231"/>
      <c r="AM1403" s="229"/>
      <c r="AN1403" s="228"/>
      <c r="AO1403" s="228"/>
    </row>
    <row r="1404" spans="1:41" s="461" customFormat="1" ht="14.5" x14ac:dyDescent="0.25">
      <c r="A1404" s="460" t="s">
        <v>2393</v>
      </c>
      <c r="B1404" s="422"/>
      <c r="C1404" s="422" t="s">
        <v>2394</v>
      </c>
      <c r="D1404" s="423" t="s">
        <v>2395</v>
      </c>
      <c r="E1404" s="422" t="s">
        <v>254</v>
      </c>
      <c r="F1404" s="422" t="s">
        <v>255</v>
      </c>
      <c r="G1404" s="424" t="s">
        <v>163</v>
      </c>
      <c r="H1404" s="422">
        <v>120</v>
      </c>
      <c r="I1404" s="422" t="s">
        <v>89</v>
      </c>
      <c r="J1404" s="422" t="s">
        <v>256</v>
      </c>
      <c r="K1404" s="423" t="s">
        <v>257</v>
      </c>
      <c r="L1404" s="425" t="s">
        <v>2881</v>
      </c>
      <c r="M1404" s="426" t="s">
        <v>3302</v>
      </c>
      <c r="N1404" s="422" t="s">
        <v>2870</v>
      </c>
      <c r="O1404" s="427">
        <v>3</v>
      </c>
      <c r="P1404" s="456">
        <v>39.6</v>
      </c>
      <c r="Q1404" s="427" t="s">
        <v>16</v>
      </c>
      <c r="R1404" s="422">
        <v>4.5</v>
      </c>
      <c r="S1404" s="422">
        <v>550</v>
      </c>
      <c r="T1404" s="428">
        <v>165</v>
      </c>
      <c r="U1404" s="429">
        <f t="shared" si="319"/>
        <v>343.20000000000005</v>
      </c>
      <c r="V1404" s="430">
        <f t="shared" si="317"/>
        <v>2.8600000000000003</v>
      </c>
      <c r="W1404" s="431">
        <f t="shared" si="318"/>
        <v>0.40857142857142864</v>
      </c>
      <c r="X1404" s="422">
        <v>448.65</v>
      </c>
      <c r="Y1404" s="422">
        <v>134.595</v>
      </c>
      <c r="Z1404" s="428" t="s">
        <v>345</v>
      </c>
      <c r="AA1404" s="432">
        <v>45996</v>
      </c>
      <c r="AB1404" s="432">
        <v>46051</v>
      </c>
      <c r="AC1404" s="432"/>
      <c r="AD1404" s="433">
        <f>IF(ISNA(VLOOKUP(D1404,亚马逊入库配置费!B:F,5,0)),0,VLOOKUP(D1404,亚马逊入库配置费!B:F,5,0))</f>
        <v>0</v>
      </c>
      <c r="AE1404" s="433">
        <f t="shared" si="313"/>
        <v>0</v>
      </c>
      <c r="AF1404" s="432">
        <v>46057</v>
      </c>
      <c r="AG1404" s="421">
        <f t="shared" si="314"/>
        <v>61</v>
      </c>
      <c r="AH1404" s="432">
        <v>46057</v>
      </c>
      <c r="AI1404" s="432">
        <v>46077</v>
      </c>
      <c r="AJ1404" s="427">
        <v>120</v>
      </c>
      <c r="AK1404" s="422">
        <f t="shared" si="315"/>
        <v>20</v>
      </c>
      <c r="AL1404" s="427"/>
      <c r="AM1404" s="423"/>
      <c r="AN1404" s="422"/>
      <c r="AO1404" s="422"/>
    </row>
    <row r="1405" spans="1:41" s="461" customFormat="1" ht="14.5" x14ac:dyDescent="0.25">
      <c r="A1405" s="460" t="s">
        <v>2396</v>
      </c>
      <c r="B1405" s="422"/>
      <c r="C1405" s="422" t="s">
        <v>2394</v>
      </c>
      <c r="D1405" s="423" t="s">
        <v>2395</v>
      </c>
      <c r="E1405" s="422" t="s">
        <v>254</v>
      </c>
      <c r="F1405" s="422" t="s">
        <v>255</v>
      </c>
      <c r="G1405" s="424" t="s">
        <v>853</v>
      </c>
      <c r="H1405" s="422">
        <v>40</v>
      </c>
      <c r="I1405" s="422" t="s">
        <v>89</v>
      </c>
      <c r="J1405" s="422" t="s">
        <v>256</v>
      </c>
      <c r="K1405" s="423" t="s">
        <v>257</v>
      </c>
      <c r="L1405" s="425" t="s">
        <v>853</v>
      </c>
      <c r="M1405" s="426" t="s">
        <v>3396</v>
      </c>
      <c r="N1405" s="422" t="s">
        <v>2870</v>
      </c>
      <c r="O1405" s="427">
        <v>1</v>
      </c>
      <c r="P1405" s="456">
        <v>13.2</v>
      </c>
      <c r="Q1405" s="427" t="s">
        <v>16</v>
      </c>
      <c r="R1405" s="422">
        <v>4.5</v>
      </c>
      <c r="S1405" s="436">
        <f>SUMIF(C:C,C1404,T:T)</f>
        <v>550</v>
      </c>
      <c r="T1405" s="428">
        <v>55</v>
      </c>
      <c r="U1405" s="429">
        <f t="shared" si="319"/>
        <v>114.4</v>
      </c>
      <c r="V1405" s="430">
        <f t="shared" si="317"/>
        <v>2.8600000000000003</v>
      </c>
      <c r="W1405" s="431">
        <f t="shared" si="318"/>
        <v>0.40857142857142864</v>
      </c>
      <c r="X1405" s="422"/>
      <c r="Y1405" s="422">
        <v>44.864999999999995</v>
      </c>
      <c r="Z1405" s="428" t="s">
        <v>345</v>
      </c>
      <c r="AA1405" s="432">
        <v>45996</v>
      </c>
      <c r="AB1405" s="432">
        <v>46051</v>
      </c>
      <c r="AC1405" s="432"/>
      <c r="AD1405" s="433">
        <f>IF(ISNA(VLOOKUP(D1405,亚马逊入库配置费!B:F,5,0)),0,VLOOKUP(D1405,亚马逊入库配置费!B:F,5,0))</f>
        <v>0</v>
      </c>
      <c r="AE1405" s="433">
        <f t="shared" si="313"/>
        <v>0</v>
      </c>
      <c r="AF1405" s="432">
        <v>46057</v>
      </c>
      <c r="AG1405" s="421">
        <f t="shared" si="314"/>
        <v>61</v>
      </c>
      <c r="AH1405" s="432">
        <v>46057</v>
      </c>
      <c r="AI1405" s="432">
        <v>46077</v>
      </c>
      <c r="AJ1405" s="427">
        <v>38</v>
      </c>
      <c r="AK1405" s="422">
        <f t="shared" si="315"/>
        <v>20</v>
      </c>
      <c r="AL1405" s="427"/>
      <c r="AM1405" s="423"/>
      <c r="AN1405" s="422"/>
      <c r="AO1405" s="422"/>
    </row>
    <row r="1406" spans="1:41" s="461" customFormat="1" ht="14.5" x14ac:dyDescent="0.25">
      <c r="A1406" s="460" t="s">
        <v>2397</v>
      </c>
      <c r="B1406" s="422"/>
      <c r="C1406" s="422" t="s">
        <v>2394</v>
      </c>
      <c r="D1406" s="423" t="s">
        <v>2395</v>
      </c>
      <c r="E1406" s="422" t="s">
        <v>254</v>
      </c>
      <c r="F1406" s="422" t="s">
        <v>255</v>
      </c>
      <c r="G1406" s="424" t="s">
        <v>165</v>
      </c>
      <c r="H1406" s="422">
        <v>160</v>
      </c>
      <c r="I1406" s="422" t="s">
        <v>89</v>
      </c>
      <c r="J1406" s="422" t="s">
        <v>256</v>
      </c>
      <c r="K1406" s="423" t="s">
        <v>257</v>
      </c>
      <c r="L1406" s="425" t="s">
        <v>2880</v>
      </c>
      <c r="M1406" s="426" t="s">
        <v>3209</v>
      </c>
      <c r="N1406" s="422" t="s">
        <v>2870</v>
      </c>
      <c r="O1406" s="427">
        <v>4</v>
      </c>
      <c r="P1406" s="456">
        <v>52.8</v>
      </c>
      <c r="Q1406" s="427" t="s">
        <v>16</v>
      </c>
      <c r="R1406" s="422">
        <v>4.5</v>
      </c>
      <c r="S1406" s="422"/>
      <c r="T1406" s="428">
        <v>220</v>
      </c>
      <c r="U1406" s="429">
        <f t="shared" si="319"/>
        <v>457.6</v>
      </c>
      <c r="V1406" s="430">
        <f t="shared" si="317"/>
        <v>2.8600000000000003</v>
      </c>
      <c r="W1406" s="431">
        <f t="shared" si="318"/>
        <v>0.40857142857142864</v>
      </c>
      <c r="X1406" s="422"/>
      <c r="Y1406" s="422">
        <v>179.45999999999998</v>
      </c>
      <c r="Z1406" s="428" t="s">
        <v>345</v>
      </c>
      <c r="AA1406" s="432">
        <v>45996</v>
      </c>
      <c r="AB1406" s="432">
        <v>46051</v>
      </c>
      <c r="AC1406" s="432"/>
      <c r="AD1406" s="433">
        <f>IF(ISNA(VLOOKUP(D1406,亚马逊入库配置费!B:F,5,0)),0,VLOOKUP(D1406,亚马逊入库配置费!B:F,5,0))</f>
        <v>0</v>
      </c>
      <c r="AE1406" s="433">
        <f t="shared" si="313"/>
        <v>0</v>
      </c>
      <c r="AF1406" s="432">
        <v>46057</v>
      </c>
      <c r="AG1406" s="421">
        <f t="shared" si="314"/>
        <v>61</v>
      </c>
      <c r="AH1406" s="432">
        <v>46057</v>
      </c>
      <c r="AI1406" s="432">
        <v>46077</v>
      </c>
      <c r="AJ1406" s="427">
        <v>161</v>
      </c>
      <c r="AK1406" s="422">
        <f t="shared" si="315"/>
        <v>20</v>
      </c>
      <c r="AL1406" s="427"/>
      <c r="AM1406" s="423"/>
      <c r="AN1406" s="422"/>
      <c r="AO1406" s="422"/>
    </row>
    <row r="1407" spans="1:41" s="461" customFormat="1" ht="14.5" x14ac:dyDescent="0.25">
      <c r="A1407" s="460" t="s">
        <v>2398</v>
      </c>
      <c r="B1407" s="422"/>
      <c r="C1407" s="422" t="s">
        <v>2394</v>
      </c>
      <c r="D1407" s="423" t="s">
        <v>2395</v>
      </c>
      <c r="E1407" s="422" t="s">
        <v>254</v>
      </c>
      <c r="F1407" s="422" t="s">
        <v>255</v>
      </c>
      <c r="G1407" s="424" t="s">
        <v>213</v>
      </c>
      <c r="H1407" s="422">
        <v>60</v>
      </c>
      <c r="I1407" s="422" t="s">
        <v>89</v>
      </c>
      <c r="J1407" s="422" t="s">
        <v>256</v>
      </c>
      <c r="K1407" s="423" t="s">
        <v>257</v>
      </c>
      <c r="L1407" s="425" t="s">
        <v>3035</v>
      </c>
      <c r="M1407" s="426" t="s">
        <v>3313</v>
      </c>
      <c r="N1407" s="422" t="s">
        <v>2869</v>
      </c>
      <c r="O1407" s="427">
        <v>2</v>
      </c>
      <c r="P1407" s="456">
        <v>26.4</v>
      </c>
      <c r="Q1407" s="427" t="s">
        <v>16</v>
      </c>
      <c r="R1407" s="422">
        <v>4.5</v>
      </c>
      <c r="S1407" s="422"/>
      <c r="T1407" s="428">
        <v>110</v>
      </c>
      <c r="U1407" s="429">
        <f t="shared" si="319"/>
        <v>228.8</v>
      </c>
      <c r="V1407" s="430">
        <f t="shared" si="317"/>
        <v>3.8133333333333335</v>
      </c>
      <c r="W1407" s="431">
        <f t="shared" si="318"/>
        <v>0.54476190476190478</v>
      </c>
      <c r="X1407" s="422"/>
      <c r="Y1407" s="422">
        <v>89.72999999999999</v>
      </c>
      <c r="Z1407" s="428" t="s">
        <v>345</v>
      </c>
      <c r="AA1407" s="432">
        <v>45996</v>
      </c>
      <c r="AB1407" s="432">
        <v>46051</v>
      </c>
      <c r="AC1407" s="432"/>
      <c r="AD1407" s="433">
        <f>IF(ISNA(VLOOKUP(D1407,亚马逊入库配置费!B:F,5,0)),0,VLOOKUP(D1407,亚马逊入库配置费!B:F,5,0))</f>
        <v>0</v>
      </c>
      <c r="AE1407" s="433">
        <f t="shared" si="313"/>
        <v>0</v>
      </c>
      <c r="AF1407" s="432">
        <v>46057</v>
      </c>
      <c r="AG1407" s="421">
        <f t="shared" si="314"/>
        <v>61</v>
      </c>
      <c r="AH1407" s="432">
        <v>46057</v>
      </c>
      <c r="AI1407" s="432">
        <v>46077</v>
      </c>
      <c r="AJ1407" s="427">
        <v>60</v>
      </c>
      <c r="AK1407" s="422">
        <f t="shared" si="315"/>
        <v>20</v>
      </c>
      <c r="AL1407" s="427"/>
      <c r="AM1407" s="423"/>
      <c r="AN1407" s="422"/>
      <c r="AO1407" s="422"/>
    </row>
    <row r="1408" spans="1:41" ht="14.5" x14ac:dyDescent="0.25">
      <c r="A1408" s="110" t="s">
        <v>2399</v>
      </c>
      <c r="B1408" s="91"/>
      <c r="C1408" s="91" t="s">
        <v>2400</v>
      </c>
      <c r="D1408" s="92" t="s">
        <v>2401</v>
      </c>
      <c r="E1408" s="91" t="s">
        <v>97</v>
      </c>
      <c r="F1408" s="91" t="s">
        <v>0</v>
      </c>
      <c r="G1408" s="56" t="s">
        <v>2279</v>
      </c>
      <c r="H1408" s="91">
        <v>600</v>
      </c>
      <c r="I1408" s="91" t="s">
        <v>89</v>
      </c>
      <c r="J1408" s="91" t="s">
        <v>8</v>
      </c>
      <c r="K1408" s="92" t="s">
        <v>15</v>
      </c>
      <c r="L1408" s="93" t="s">
        <v>2279</v>
      </c>
      <c r="M1408" s="94" t="s">
        <v>3507</v>
      </c>
      <c r="N1408" s="95" t="s">
        <v>2971</v>
      </c>
      <c r="O1408" s="96">
        <v>20</v>
      </c>
      <c r="P1408" s="97">
        <v>308.48484848484799</v>
      </c>
      <c r="Q1408" s="96" t="s">
        <v>16</v>
      </c>
      <c r="R1408" s="91">
        <v>2.8</v>
      </c>
      <c r="S1408" s="95">
        <v>200</v>
      </c>
      <c r="T1408" s="98">
        <v>18.018018018018001</v>
      </c>
      <c r="U1408" s="99">
        <f t="shared" si="319"/>
        <v>881.77559377559226</v>
      </c>
      <c r="V1408" s="100">
        <f t="shared" si="317"/>
        <v>1.4696259896259871</v>
      </c>
      <c r="W1408" s="101">
        <f t="shared" si="318"/>
        <v>0.2099465699465696</v>
      </c>
      <c r="X1408" s="95"/>
      <c r="Y1408" s="95"/>
      <c r="Z1408" s="102"/>
      <c r="AA1408" s="103">
        <v>45996</v>
      </c>
      <c r="AB1408" s="103">
        <v>46018</v>
      </c>
      <c r="AC1408" s="103"/>
      <c r="AD1408" s="104">
        <f>IF(ISNA(VLOOKUP(D1408,亚马逊入库配置费!B:F,5,0)),0,VLOOKUP(D1408,亚马逊入库配置费!B:F,5,0))</f>
        <v>0.41</v>
      </c>
      <c r="AE1408" s="104">
        <f t="shared" si="313"/>
        <v>245.99999999999997</v>
      </c>
      <c r="AF1408" s="103">
        <v>46030</v>
      </c>
      <c r="AG1408" s="90">
        <f t="shared" si="314"/>
        <v>34</v>
      </c>
      <c r="AH1408" s="103">
        <v>46030</v>
      </c>
      <c r="AI1408" s="103">
        <v>46064</v>
      </c>
      <c r="AJ1408" s="96">
        <v>600</v>
      </c>
      <c r="AK1408" s="91">
        <f t="shared" si="315"/>
        <v>34</v>
      </c>
      <c r="AL1408" s="96"/>
      <c r="AM1408" s="92"/>
      <c r="AN1408" s="91"/>
      <c r="AO1408" s="91"/>
    </row>
    <row r="1409" spans="1:41" ht="14.5" x14ac:dyDescent="0.25">
      <c r="A1409" s="110" t="s">
        <v>2402</v>
      </c>
      <c r="B1409" s="91"/>
      <c r="C1409" s="91" t="s">
        <v>2400</v>
      </c>
      <c r="D1409" s="92" t="s">
        <v>2401</v>
      </c>
      <c r="E1409" s="91" t="s">
        <v>97</v>
      </c>
      <c r="F1409" s="91" t="s">
        <v>0</v>
      </c>
      <c r="G1409" s="56" t="s">
        <v>2281</v>
      </c>
      <c r="H1409" s="91">
        <v>390</v>
      </c>
      <c r="I1409" s="91" t="s">
        <v>89</v>
      </c>
      <c r="J1409" s="91" t="s">
        <v>8</v>
      </c>
      <c r="K1409" s="92" t="s">
        <v>15</v>
      </c>
      <c r="L1409" s="93" t="s">
        <v>2281</v>
      </c>
      <c r="M1409" s="94" t="s">
        <v>3508</v>
      </c>
      <c r="N1409" s="95" t="s">
        <v>2971</v>
      </c>
      <c r="O1409" s="96">
        <v>13</v>
      </c>
      <c r="P1409" s="97">
        <v>200.51515151515201</v>
      </c>
      <c r="Q1409" s="96" t="s">
        <v>16</v>
      </c>
      <c r="R1409" s="91">
        <v>2.8</v>
      </c>
      <c r="S1409" s="106">
        <f>SUMIF(C:C,C1408,T:T)</f>
        <v>199.99999999999989</v>
      </c>
      <c r="T1409" s="98">
        <v>11.7117117117117</v>
      </c>
      <c r="U1409" s="99">
        <f t="shared" si="319"/>
        <v>573.15413595413725</v>
      </c>
      <c r="V1409" s="100">
        <f t="shared" si="317"/>
        <v>1.4696259896259929</v>
      </c>
      <c r="W1409" s="101">
        <f t="shared" si="318"/>
        <v>0.2099465699465704</v>
      </c>
      <c r="X1409" s="95"/>
      <c r="Y1409" s="95"/>
      <c r="Z1409" s="102"/>
      <c r="AA1409" s="103">
        <v>45996</v>
      </c>
      <c r="AB1409" s="103">
        <v>46018</v>
      </c>
      <c r="AC1409" s="103"/>
      <c r="AD1409" s="104">
        <f>IF(ISNA(VLOOKUP(D1409,亚马逊入库配置费!B:F,5,0)),0,VLOOKUP(D1409,亚马逊入库配置费!B:F,5,0))</f>
        <v>0.41</v>
      </c>
      <c r="AE1409" s="104">
        <f t="shared" si="313"/>
        <v>159.89999999999998</v>
      </c>
      <c r="AF1409" s="103">
        <v>46030</v>
      </c>
      <c r="AG1409" s="90">
        <f t="shared" si="314"/>
        <v>34</v>
      </c>
      <c r="AH1409" s="103">
        <v>46030</v>
      </c>
      <c r="AI1409" s="103">
        <v>46064</v>
      </c>
      <c r="AJ1409" s="96">
        <v>390</v>
      </c>
      <c r="AK1409" s="91">
        <f t="shared" si="315"/>
        <v>34</v>
      </c>
      <c r="AL1409" s="96"/>
      <c r="AM1409" s="92"/>
      <c r="AN1409" s="91"/>
      <c r="AO1409" s="91"/>
    </row>
    <row r="1410" spans="1:41" ht="14.5" x14ac:dyDescent="0.25">
      <c r="A1410" s="110" t="s">
        <v>2403</v>
      </c>
      <c r="B1410" s="91"/>
      <c r="C1410" s="91" t="s">
        <v>2400</v>
      </c>
      <c r="D1410" s="92" t="s">
        <v>2404</v>
      </c>
      <c r="E1410" s="91" t="s">
        <v>97</v>
      </c>
      <c r="F1410" s="91" t="s">
        <v>0</v>
      </c>
      <c r="G1410" s="56" t="s">
        <v>872</v>
      </c>
      <c r="H1410" s="91">
        <v>660</v>
      </c>
      <c r="I1410" s="91" t="s">
        <v>89</v>
      </c>
      <c r="J1410" s="91" t="s">
        <v>8</v>
      </c>
      <c r="K1410" s="92" t="s">
        <v>50</v>
      </c>
      <c r="L1410" s="93" t="s">
        <v>872</v>
      </c>
      <c r="M1410" s="94" t="s">
        <v>3399</v>
      </c>
      <c r="N1410" s="95" t="s">
        <v>2870</v>
      </c>
      <c r="O1410" s="96">
        <v>22</v>
      </c>
      <c r="P1410" s="97">
        <v>308.50574712643697</v>
      </c>
      <c r="Q1410" s="96" t="s">
        <v>16</v>
      </c>
      <c r="R1410" s="91">
        <v>2.8</v>
      </c>
      <c r="S1410" s="95"/>
      <c r="T1410" s="98">
        <v>19.819819819819799</v>
      </c>
      <c r="U1410" s="99">
        <f t="shared" si="319"/>
        <v>883.6359117738433</v>
      </c>
      <c r="V1410" s="100">
        <f t="shared" si="317"/>
        <v>1.3388422905664292</v>
      </c>
      <c r="W1410" s="101">
        <f t="shared" si="318"/>
        <v>0.19126318436663275</v>
      </c>
      <c r="X1410" s="95"/>
      <c r="Y1410" s="95"/>
      <c r="Z1410" s="102"/>
      <c r="AA1410" s="103">
        <v>45996</v>
      </c>
      <c r="AB1410" s="103">
        <v>46018</v>
      </c>
      <c r="AC1410" s="103"/>
      <c r="AD1410" s="104">
        <f>IF(ISNA(VLOOKUP(D1410,亚马逊入库配置费!B:F,5,0)),0,VLOOKUP(D1410,亚马逊入库配置费!B:F,5,0))</f>
        <v>0.41</v>
      </c>
      <c r="AE1410" s="104">
        <f t="shared" ref="AE1410:AE1473" si="320">H1410*AD1410</f>
        <v>270.59999999999997</v>
      </c>
      <c r="AF1410" s="103">
        <v>46030</v>
      </c>
      <c r="AG1410" s="90">
        <f t="shared" ref="AG1410:AG1473" si="321">AF1410-AA1410</f>
        <v>34</v>
      </c>
      <c r="AH1410" s="103">
        <v>46030</v>
      </c>
      <c r="AI1410" s="103">
        <v>46062</v>
      </c>
      <c r="AJ1410" s="96">
        <v>644</v>
      </c>
      <c r="AK1410" s="91">
        <f t="shared" ref="AK1410:AK1473" si="322">AI1410-AH1410</f>
        <v>32</v>
      </c>
      <c r="AL1410" s="96"/>
      <c r="AM1410" s="92"/>
      <c r="AN1410" s="91"/>
      <c r="AO1410" s="91"/>
    </row>
    <row r="1411" spans="1:41" ht="14.5" x14ac:dyDescent="0.25">
      <c r="A1411" s="110" t="s">
        <v>2405</v>
      </c>
      <c r="B1411" s="91"/>
      <c r="C1411" s="91" t="s">
        <v>2400</v>
      </c>
      <c r="D1411" s="92" t="s">
        <v>2404</v>
      </c>
      <c r="E1411" s="91" t="s">
        <v>97</v>
      </c>
      <c r="F1411" s="91" t="s">
        <v>0</v>
      </c>
      <c r="G1411" s="56" t="s">
        <v>1215</v>
      </c>
      <c r="H1411" s="91">
        <v>300</v>
      </c>
      <c r="I1411" s="91" t="s">
        <v>89</v>
      </c>
      <c r="J1411" s="91" t="s">
        <v>8</v>
      </c>
      <c r="K1411" s="92" t="s">
        <v>50</v>
      </c>
      <c r="L1411" s="93" t="s">
        <v>3095</v>
      </c>
      <c r="M1411" s="94" t="s">
        <v>3436</v>
      </c>
      <c r="N1411" s="95" t="s">
        <v>2867</v>
      </c>
      <c r="O1411" s="96">
        <v>10</v>
      </c>
      <c r="P1411" s="97">
        <v>140.22988505747099</v>
      </c>
      <c r="Q1411" s="96" t="s">
        <v>16</v>
      </c>
      <c r="R1411" s="91">
        <v>2.8</v>
      </c>
      <c r="S1411" s="95"/>
      <c r="T1411" s="98">
        <v>9.0090090090090094</v>
      </c>
      <c r="U1411" s="99">
        <f t="shared" si="319"/>
        <v>401.65268716992773</v>
      </c>
      <c r="V1411" s="100">
        <f t="shared" si="317"/>
        <v>1.3388422905664257</v>
      </c>
      <c r="W1411" s="101">
        <f t="shared" si="318"/>
        <v>0.19126318436663223</v>
      </c>
      <c r="X1411" s="95"/>
      <c r="Y1411" s="95"/>
      <c r="Z1411" s="102"/>
      <c r="AA1411" s="103">
        <v>45996</v>
      </c>
      <c r="AB1411" s="103">
        <v>46018</v>
      </c>
      <c r="AC1411" s="103"/>
      <c r="AD1411" s="104">
        <f>IF(ISNA(VLOOKUP(D1411,亚马逊入库配置费!B:F,5,0)),0,VLOOKUP(D1411,亚马逊入库配置费!B:F,5,0))</f>
        <v>0.41</v>
      </c>
      <c r="AE1411" s="104">
        <f t="shared" si="320"/>
        <v>122.99999999999999</v>
      </c>
      <c r="AF1411" s="103">
        <v>46030</v>
      </c>
      <c r="AG1411" s="90">
        <f t="shared" si="321"/>
        <v>34</v>
      </c>
      <c r="AH1411" s="103">
        <v>46030</v>
      </c>
      <c r="AI1411" s="103">
        <v>46062</v>
      </c>
      <c r="AJ1411" s="96">
        <v>306</v>
      </c>
      <c r="AK1411" s="91">
        <f t="shared" si="322"/>
        <v>32</v>
      </c>
      <c r="AL1411" s="96"/>
      <c r="AM1411" s="92"/>
      <c r="AN1411" s="91"/>
      <c r="AO1411" s="91"/>
    </row>
    <row r="1412" spans="1:41" ht="14.5" x14ac:dyDescent="0.25">
      <c r="A1412" s="110" t="s">
        <v>2406</v>
      </c>
      <c r="B1412" s="91"/>
      <c r="C1412" s="91" t="s">
        <v>2400</v>
      </c>
      <c r="D1412" s="92" t="s">
        <v>2404</v>
      </c>
      <c r="E1412" s="91" t="s">
        <v>97</v>
      </c>
      <c r="F1412" s="91" t="s">
        <v>0</v>
      </c>
      <c r="G1412" s="56" t="s">
        <v>2340</v>
      </c>
      <c r="H1412" s="91">
        <v>900</v>
      </c>
      <c r="I1412" s="91" t="s">
        <v>89</v>
      </c>
      <c r="J1412" s="91" t="s">
        <v>8</v>
      </c>
      <c r="K1412" s="92" t="s">
        <v>50</v>
      </c>
      <c r="L1412" s="93" t="s">
        <v>2340</v>
      </c>
      <c r="M1412" s="94" t="s">
        <v>3514</v>
      </c>
      <c r="N1412" s="95" t="s">
        <v>2971</v>
      </c>
      <c r="O1412" s="96">
        <v>45</v>
      </c>
      <c r="P1412" s="97">
        <v>631.03448275862104</v>
      </c>
      <c r="Q1412" s="96" t="s">
        <v>16</v>
      </c>
      <c r="R1412" s="91">
        <v>2.8</v>
      </c>
      <c r="S1412" s="95"/>
      <c r="T1412" s="98">
        <v>40.540540540540498</v>
      </c>
      <c r="U1412" s="99">
        <f t="shared" si="319"/>
        <v>1807.4370922646792</v>
      </c>
      <c r="V1412" s="100">
        <f t="shared" si="317"/>
        <v>2.0082634358496434</v>
      </c>
      <c r="W1412" s="101">
        <f t="shared" si="318"/>
        <v>0.28689477654994905</v>
      </c>
      <c r="X1412" s="95"/>
      <c r="Y1412" s="95"/>
      <c r="Z1412" s="102"/>
      <c r="AA1412" s="103">
        <v>45996</v>
      </c>
      <c r="AB1412" s="103">
        <v>46018</v>
      </c>
      <c r="AC1412" s="103"/>
      <c r="AD1412" s="104">
        <f>IF(ISNA(VLOOKUP(D1412,亚马逊入库配置费!B:F,5,0)),0,VLOOKUP(D1412,亚马逊入库配置费!B:F,5,0))</f>
        <v>0.41</v>
      </c>
      <c r="AE1412" s="104">
        <f t="shared" si="320"/>
        <v>369</v>
      </c>
      <c r="AF1412" s="103">
        <v>46030</v>
      </c>
      <c r="AG1412" s="90">
        <f t="shared" si="321"/>
        <v>34</v>
      </c>
      <c r="AH1412" s="103">
        <v>46030</v>
      </c>
      <c r="AI1412" s="103">
        <v>46062</v>
      </c>
      <c r="AJ1412" s="96">
        <v>899</v>
      </c>
      <c r="AK1412" s="91">
        <f t="shared" si="322"/>
        <v>32</v>
      </c>
      <c r="AL1412" s="96"/>
      <c r="AM1412" s="92"/>
      <c r="AN1412" s="91"/>
      <c r="AO1412" s="91"/>
    </row>
    <row r="1413" spans="1:41" ht="14.5" x14ac:dyDescent="0.25">
      <c r="A1413" s="110" t="s">
        <v>2407</v>
      </c>
      <c r="B1413" s="91"/>
      <c r="C1413" s="91" t="s">
        <v>2400</v>
      </c>
      <c r="D1413" s="92" t="s">
        <v>2404</v>
      </c>
      <c r="E1413" s="91" t="s">
        <v>97</v>
      </c>
      <c r="F1413" s="91" t="s">
        <v>0</v>
      </c>
      <c r="G1413" s="56" t="s">
        <v>2342</v>
      </c>
      <c r="H1413" s="91">
        <v>200</v>
      </c>
      <c r="I1413" s="91" t="s">
        <v>89</v>
      </c>
      <c r="J1413" s="91" t="s">
        <v>8</v>
      </c>
      <c r="K1413" s="92" t="s">
        <v>50</v>
      </c>
      <c r="L1413" s="93" t="s">
        <v>2342</v>
      </c>
      <c r="M1413" s="94" t="s">
        <v>3515</v>
      </c>
      <c r="N1413" s="95" t="s">
        <v>2971</v>
      </c>
      <c r="O1413" s="96">
        <v>10</v>
      </c>
      <c r="P1413" s="97">
        <v>140.22988505747099</v>
      </c>
      <c r="Q1413" s="96" t="s">
        <v>16</v>
      </c>
      <c r="R1413" s="91">
        <v>2.8</v>
      </c>
      <c r="S1413" s="95"/>
      <c r="T1413" s="98">
        <v>9.0090090090090094</v>
      </c>
      <c r="U1413" s="99">
        <f t="shared" si="319"/>
        <v>401.65268716992773</v>
      </c>
      <c r="V1413" s="100">
        <f t="shared" si="317"/>
        <v>2.0082634358496385</v>
      </c>
      <c r="W1413" s="101">
        <f t="shared" si="318"/>
        <v>0.28689477654994838</v>
      </c>
      <c r="X1413" s="95"/>
      <c r="Y1413" s="95"/>
      <c r="Z1413" s="102"/>
      <c r="AA1413" s="103">
        <v>45996</v>
      </c>
      <c r="AB1413" s="103">
        <v>46018</v>
      </c>
      <c r="AC1413" s="103"/>
      <c r="AD1413" s="104">
        <f>IF(ISNA(VLOOKUP(D1413,亚马逊入库配置费!B:F,5,0)),0,VLOOKUP(D1413,亚马逊入库配置费!B:F,5,0))</f>
        <v>0.41</v>
      </c>
      <c r="AE1413" s="104">
        <f t="shared" si="320"/>
        <v>82</v>
      </c>
      <c r="AF1413" s="103">
        <v>46030</v>
      </c>
      <c r="AG1413" s="90">
        <f t="shared" si="321"/>
        <v>34</v>
      </c>
      <c r="AH1413" s="103">
        <v>46030</v>
      </c>
      <c r="AI1413" s="103">
        <v>46062</v>
      </c>
      <c r="AJ1413" s="96">
        <v>202</v>
      </c>
      <c r="AK1413" s="91">
        <f t="shared" si="322"/>
        <v>32</v>
      </c>
      <c r="AL1413" s="96"/>
      <c r="AM1413" s="92"/>
      <c r="AN1413" s="91"/>
      <c r="AO1413" s="91"/>
    </row>
    <row r="1414" spans="1:41" ht="14.5" x14ac:dyDescent="0.25">
      <c r="A1414" s="227" t="s">
        <v>2408</v>
      </c>
      <c r="B1414" s="228"/>
      <c r="C1414" s="228" t="s">
        <v>2409</v>
      </c>
      <c r="D1414" s="229" t="s">
        <v>2410</v>
      </c>
      <c r="E1414" s="228" t="s">
        <v>2411</v>
      </c>
      <c r="F1414" s="228" t="s">
        <v>0</v>
      </c>
      <c r="G1414" s="230" t="s">
        <v>211</v>
      </c>
      <c r="H1414" s="228">
        <v>120</v>
      </c>
      <c r="I1414" s="228" t="s">
        <v>207</v>
      </c>
      <c r="J1414" s="228" t="s">
        <v>2412</v>
      </c>
      <c r="K1414" s="229" t="s">
        <v>13</v>
      </c>
      <c r="L1414" s="93" t="s">
        <v>3034</v>
      </c>
      <c r="M1414" s="94" t="s">
        <v>3312</v>
      </c>
      <c r="N1414" s="95" t="s">
        <v>2869</v>
      </c>
      <c r="O1414" s="231">
        <v>4</v>
      </c>
      <c r="P1414" s="232">
        <v>50</v>
      </c>
      <c r="Q1414" s="231" t="s">
        <v>16</v>
      </c>
      <c r="R1414" s="228">
        <v>5.0999999999999996</v>
      </c>
      <c r="S1414" s="228">
        <v>200</v>
      </c>
      <c r="T1414" s="233">
        <v>66.6666666666667</v>
      </c>
      <c r="U1414" s="234">
        <f t="shared" si="319"/>
        <v>321.66666666666669</v>
      </c>
      <c r="V1414" s="235">
        <f t="shared" si="317"/>
        <v>2.6805555555555558</v>
      </c>
      <c r="W1414" s="236">
        <f t="shared" si="318"/>
        <v>0.38293650793650796</v>
      </c>
      <c r="X1414" s="228"/>
      <c r="Y1414" s="228"/>
      <c r="Z1414" s="233"/>
      <c r="AA1414" s="237">
        <v>45996</v>
      </c>
      <c r="AB1414" s="237">
        <v>46014</v>
      </c>
      <c r="AC1414" s="237"/>
      <c r="AD1414" s="238">
        <f>IF(ISNA(VLOOKUP(D1414,亚马逊入库配置费!B:F,5,0)),0,VLOOKUP(D1414,亚马逊入库配置费!B:F,5,0))</f>
        <v>0.41</v>
      </c>
      <c r="AE1414" s="238">
        <f t="shared" si="320"/>
        <v>49.199999999999996</v>
      </c>
      <c r="AF1414" s="237">
        <v>46027</v>
      </c>
      <c r="AG1414" s="239">
        <f t="shared" si="321"/>
        <v>31</v>
      </c>
      <c r="AH1414" s="237">
        <v>46027</v>
      </c>
      <c r="AI1414" s="237">
        <v>46052</v>
      </c>
      <c r="AJ1414" s="231">
        <v>119</v>
      </c>
      <c r="AK1414" s="228">
        <f t="shared" si="322"/>
        <v>25</v>
      </c>
      <c r="AL1414" s="231"/>
      <c r="AM1414" s="229"/>
      <c r="AN1414" s="228"/>
      <c r="AO1414" s="228"/>
    </row>
    <row r="1415" spans="1:41" ht="14.5" x14ac:dyDescent="0.25">
      <c r="A1415" s="227" t="s">
        <v>2413</v>
      </c>
      <c r="B1415" s="228"/>
      <c r="C1415" s="228" t="s">
        <v>2409</v>
      </c>
      <c r="D1415" s="229" t="s">
        <v>2410</v>
      </c>
      <c r="E1415" s="228" t="s">
        <v>2411</v>
      </c>
      <c r="F1415" s="228" t="s">
        <v>0</v>
      </c>
      <c r="G1415" s="230" t="s">
        <v>485</v>
      </c>
      <c r="H1415" s="228">
        <v>120</v>
      </c>
      <c r="I1415" s="228" t="s">
        <v>207</v>
      </c>
      <c r="J1415" s="228" t="s">
        <v>2412</v>
      </c>
      <c r="K1415" s="229" t="s">
        <v>13</v>
      </c>
      <c r="L1415" s="93" t="s">
        <v>3065</v>
      </c>
      <c r="M1415" s="94" t="s">
        <v>3358</v>
      </c>
      <c r="N1415" s="95" t="s">
        <v>2869</v>
      </c>
      <c r="O1415" s="231">
        <v>4</v>
      </c>
      <c r="P1415" s="232">
        <v>50</v>
      </c>
      <c r="Q1415" s="231" t="s">
        <v>16</v>
      </c>
      <c r="R1415" s="228">
        <v>5.0999999999999996</v>
      </c>
      <c r="S1415" s="240">
        <f>SUMIF(C:C,C1414,T:T)</f>
        <v>200.00000000000011</v>
      </c>
      <c r="T1415" s="233">
        <v>66.6666666666667</v>
      </c>
      <c r="U1415" s="234">
        <f t="shared" si="319"/>
        <v>321.66666666666669</v>
      </c>
      <c r="V1415" s="235">
        <f t="shared" si="317"/>
        <v>2.6805555555555558</v>
      </c>
      <c r="W1415" s="236">
        <f t="shared" si="318"/>
        <v>0.38293650793650796</v>
      </c>
      <c r="X1415" s="228"/>
      <c r="Y1415" s="228"/>
      <c r="Z1415" s="233"/>
      <c r="AA1415" s="237">
        <v>45996</v>
      </c>
      <c r="AB1415" s="237">
        <v>46014</v>
      </c>
      <c r="AC1415" s="237"/>
      <c r="AD1415" s="238">
        <f>IF(ISNA(VLOOKUP(D1415,亚马逊入库配置费!B:F,5,0)),0,VLOOKUP(D1415,亚马逊入库配置费!B:F,5,0))</f>
        <v>0.41</v>
      </c>
      <c r="AE1415" s="238">
        <f t="shared" si="320"/>
        <v>49.199999999999996</v>
      </c>
      <c r="AF1415" s="237">
        <v>46027</v>
      </c>
      <c r="AG1415" s="239">
        <f t="shared" si="321"/>
        <v>31</v>
      </c>
      <c r="AH1415" s="237">
        <v>46027</v>
      </c>
      <c r="AI1415" s="237">
        <v>46052</v>
      </c>
      <c r="AJ1415" s="231">
        <v>121</v>
      </c>
      <c r="AK1415" s="228">
        <f t="shared" si="322"/>
        <v>25</v>
      </c>
      <c r="AL1415" s="231"/>
      <c r="AM1415" s="229"/>
      <c r="AN1415" s="228"/>
      <c r="AO1415" s="228"/>
    </row>
    <row r="1416" spans="1:41" ht="14.5" x14ac:dyDescent="0.25">
      <c r="A1416" s="227" t="s">
        <v>2414</v>
      </c>
      <c r="B1416" s="228"/>
      <c r="C1416" s="228" t="s">
        <v>2409</v>
      </c>
      <c r="D1416" s="229" t="s">
        <v>2410</v>
      </c>
      <c r="E1416" s="228" t="s">
        <v>2411</v>
      </c>
      <c r="F1416" s="228" t="s">
        <v>0</v>
      </c>
      <c r="G1416" s="230" t="s">
        <v>481</v>
      </c>
      <c r="H1416" s="228">
        <v>120</v>
      </c>
      <c r="I1416" s="228" t="s">
        <v>207</v>
      </c>
      <c r="J1416" s="228" t="s">
        <v>2412</v>
      </c>
      <c r="K1416" s="229" t="s">
        <v>13</v>
      </c>
      <c r="L1416" s="93" t="s">
        <v>3064</v>
      </c>
      <c r="M1416" s="94" t="s">
        <v>3356</v>
      </c>
      <c r="N1416" s="95" t="s">
        <v>2869</v>
      </c>
      <c r="O1416" s="231">
        <v>4</v>
      </c>
      <c r="P1416" s="232">
        <v>50</v>
      </c>
      <c r="Q1416" s="231" t="s">
        <v>16</v>
      </c>
      <c r="R1416" s="228">
        <v>5.0999999999999996</v>
      </c>
      <c r="S1416" s="228"/>
      <c r="T1416" s="233">
        <v>66.6666666666667</v>
      </c>
      <c r="U1416" s="234">
        <f t="shared" si="319"/>
        <v>321.66666666666669</v>
      </c>
      <c r="V1416" s="235">
        <f t="shared" si="317"/>
        <v>2.6805555555555558</v>
      </c>
      <c r="W1416" s="236">
        <f t="shared" si="318"/>
        <v>0.38293650793650796</v>
      </c>
      <c r="X1416" s="228"/>
      <c r="Y1416" s="228"/>
      <c r="Z1416" s="233"/>
      <c r="AA1416" s="237">
        <v>45996</v>
      </c>
      <c r="AB1416" s="237">
        <v>46014</v>
      </c>
      <c r="AC1416" s="237"/>
      <c r="AD1416" s="238">
        <f>IF(ISNA(VLOOKUP(D1416,亚马逊入库配置费!B:F,5,0)),0,VLOOKUP(D1416,亚马逊入库配置费!B:F,5,0))</f>
        <v>0.41</v>
      </c>
      <c r="AE1416" s="238">
        <f t="shared" si="320"/>
        <v>49.199999999999996</v>
      </c>
      <c r="AF1416" s="237">
        <v>46027</v>
      </c>
      <c r="AG1416" s="239">
        <f t="shared" si="321"/>
        <v>31</v>
      </c>
      <c r="AH1416" s="237">
        <v>46027</v>
      </c>
      <c r="AI1416" s="237">
        <v>46052</v>
      </c>
      <c r="AJ1416" s="231">
        <v>120</v>
      </c>
      <c r="AK1416" s="228">
        <f t="shared" si="322"/>
        <v>25</v>
      </c>
      <c r="AL1416" s="231"/>
      <c r="AM1416" s="229"/>
      <c r="AN1416" s="228"/>
      <c r="AO1416" s="228"/>
    </row>
    <row r="1417" spans="1:41" ht="14.5" x14ac:dyDescent="0.25">
      <c r="A1417" s="227" t="s">
        <v>2415</v>
      </c>
      <c r="B1417" s="228"/>
      <c r="C1417" s="228" t="s">
        <v>2416</v>
      </c>
      <c r="D1417" s="229" t="s">
        <v>2417</v>
      </c>
      <c r="E1417" s="228" t="s">
        <v>97</v>
      </c>
      <c r="F1417" s="228" t="s">
        <v>0</v>
      </c>
      <c r="G1417" s="230" t="s">
        <v>1215</v>
      </c>
      <c r="H1417" s="228">
        <v>900</v>
      </c>
      <c r="I1417" s="228" t="s">
        <v>207</v>
      </c>
      <c r="J1417" s="228" t="s">
        <v>4</v>
      </c>
      <c r="K1417" s="229" t="s">
        <v>50</v>
      </c>
      <c r="L1417" s="93" t="s">
        <v>3095</v>
      </c>
      <c r="M1417" s="94" t="s">
        <v>3436</v>
      </c>
      <c r="N1417" s="95" t="s">
        <v>2867</v>
      </c>
      <c r="O1417" s="231">
        <v>30</v>
      </c>
      <c r="P1417" s="232">
        <v>479</v>
      </c>
      <c r="Q1417" s="231" t="s">
        <v>16</v>
      </c>
      <c r="R1417" s="228">
        <v>10</v>
      </c>
      <c r="S1417" s="228">
        <v>200</v>
      </c>
      <c r="T1417" s="233">
        <v>200</v>
      </c>
      <c r="U1417" s="234">
        <f t="shared" si="319"/>
        <v>4990</v>
      </c>
      <c r="V1417" s="235">
        <f t="shared" si="317"/>
        <v>5.5444444444444443</v>
      </c>
      <c r="W1417" s="236">
        <f t="shared" si="318"/>
        <v>0.79206349206349203</v>
      </c>
      <c r="X1417" s="228"/>
      <c r="Y1417" s="228"/>
      <c r="Z1417" s="233"/>
      <c r="AA1417" s="237">
        <v>45996</v>
      </c>
      <c r="AB1417" s="237">
        <v>46012</v>
      </c>
      <c r="AC1417" s="237"/>
      <c r="AD1417" s="238">
        <f>IF(ISNA(VLOOKUP(D1417,亚马逊入库配置费!B:F,5,0)),0,VLOOKUP(D1417,亚马逊入库配置费!B:F,5,0))</f>
        <v>0.41</v>
      </c>
      <c r="AE1417" s="238">
        <f t="shared" si="320"/>
        <v>369</v>
      </c>
      <c r="AF1417" s="237">
        <v>46020</v>
      </c>
      <c r="AG1417" s="239">
        <f t="shared" si="321"/>
        <v>24</v>
      </c>
      <c r="AH1417" s="237">
        <v>46020</v>
      </c>
      <c r="AI1417" s="237">
        <v>46053</v>
      </c>
      <c r="AJ1417" s="231">
        <v>868</v>
      </c>
      <c r="AK1417" s="228">
        <f t="shared" si="322"/>
        <v>33</v>
      </c>
      <c r="AL1417" s="231"/>
      <c r="AM1417" s="229"/>
      <c r="AN1417" s="228"/>
      <c r="AO1417" s="228"/>
    </row>
    <row r="1418" spans="1:41" s="461" customFormat="1" ht="14.5" x14ac:dyDescent="0.25">
      <c r="A1418" s="460" t="s">
        <v>2418</v>
      </c>
      <c r="B1418" s="422"/>
      <c r="C1418" s="422" t="s">
        <v>2419</v>
      </c>
      <c r="D1418" s="423" t="s">
        <v>2420</v>
      </c>
      <c r="E1418" s="422" t="s">
        <v>115</v>
      </c>
      <c r="F1418" s="422" t="s">
        <v>0</v>
      </c>
      <c r="G1418" s="424" t="s">
        <v>980</v>
      </c>
      <c r="H1418" s="422">
        <v>32</v>
      </c>
      <c r="I1418" s="422" t="s">
        <v>89</v>
      </c>
      <c r="J1418" s="422" t="s">
        <v>2421</v>
      </c>
      <c r="K1418" s="423" t="s">
        <v>2422</v>
      </c>
      <c r="L1418" s="425" t="s">
        <v>2824</v>
      </c>
      <c r="M1418" s="426" t="s">
        <v>3416</v>
      </c>
      <c r="N1418" s="422" t="s">
        <v>2823</v>
      </c>
      <c r="O1418" s="427">
        <v>8</v>
      </c>
      <c r="P1418" s="456">
        <v>187</v>
      </c>
      <c r="Q1418" s="427" t="s">
        <v>16</v>
      </c>
      <c r="R1418" s="422">
        <v>4.5</v>
      </c>
      <c r="S1418" s="422">
        <v>200</v>
      </c>
      <c r="T1418" s="428">
        <v>106.666666666667</v>
      </c>
      <c r="U1418" s="429">
        <f t="shared" si="319"/>
        <v>948.16666666666697</v>
      </c>
      <c r="V1418" s="430">
        <f t="shared" si="317"/>
        <v>29.630208333333343</v>
      </c>
      <c r="W1418" s="431">
        <f t="shared" si="318"/>
        <v>4.232886904761906</v>
      </c>
      <c r="X1418" s="422"/>
      <c r="Y1418" s="422"/>
      <c r="Z1418" s="428"/>
      <c r="AA1418" s="432">
        <v>45996</v>
      </c>
      <c r="AB1418" s="432">
        <v>46040</v>
      </c>
      <c r="AC1418" s="432"/>
      <c r="AD1418" s="433">
        <f>IF(ISNA(VLOOKUP(D1418,亚马逊入库配置费!B:F,5,0)),0,VLOOKUP(D1418,亚马逊入库配置费!B:F,5,0))</f>
        <v>0</v>
      </c>
      <c r="AE1418" s="433">
        <f t="shared" si="320"/>
        <v>0</v>
      </c>
      <c r="AF1418" s="432">
        <v>46052</v>
      </c>
      <c r="AG1418" s="421">
        <f t="shared" si="321"/>
        <v>56</v>
      </c>
      <c r="AH1418" s="432">
        <v>46052</v>
      </c>
      <c r="AI1418" s="432">
        <v>46058</v>
      </c>
      <c r="AJ1418" s="427">
        <v>32</v>
      </c>
      <c r="AK1418" s="422">
        <f t="shared" si="322"/>
        <v>6</v>
      </c>
      <c r="AL1418" s="427"/>
      <c r="AM1418" s="423"/>
      <c r="AN1418" s="422"/>
      <c r="AO1418" s="422"/>
    </row>
    <row r="1419" spans="1:41" ht="14.5" x14ac:dyDescent="0.25">
      <c r="A1419" s="110" t="s">
        <v>2423</v>
      </c>
      <c r="B1419" s="91"/>
      <c r="C1419" s="91" t="s">
        <v>2400</v>
      </c>
      <c r="D1419" s="92" t="s">
        <v>2424</v>
      </c>
      <c r="E1419" s="91" t="s">
        <v>115</v>
      </c>
      <c r="F1419" s="91" t="s">
        <v>0</v>
      </c>
      <c r="G1419" s="56" t="s">
        <v>980</v>
      </c>
      <c r="H1419" s="91">
        <v>32</v>
      </c>
      <c r="I1419" s="91" t="s">
        <v>89</v>
      </c>
      <c r="J1419" s="91" t="s">
        <v>8</v>
      </c>
      <c r="K1419" s="92" t="s">
        <v>29</v>
      </c>
      <c r="L1419" s="93" t="s">
        <v>2824</v>
      </c>
      <c r="M1419" s="94" t="s">
        <v>3416</v>
      </c>
      <c r="N1419" s="95" t="s">
        <v>2823</v>
      </c>
      <c r="O1419" s="96">
        <v>8</v>
      </c>
      <c r="P1419" s="97">
        <v>187</v>
      </c>
      <c r="Q1419" s="96" t="s">
        <v>16</v>
      </c>
      <c r="R1419" s="91">
        <v>6</v>
      </c>
      <c r="S1419" s="106"/>
      <c r="T1419" s="98">
        <v>7.20720720720721</v>
      </c>
      <c r="U1419" s="99">
        <f t="shared" si="319"/>
        <v>1129.2072072072071</v>
      </c>
      <c r="V1419" s="100">
        <f t="shared" si="317"/>
        <v>35.287725225225223</v>
      </c>
      <c r="W1419" s="101">
        <f t="shared" si="318"/>
        <v>5.0411036036036032</v>
      </c>
      <c r="X1419" s="95"/>
      <c r="Y1419" s="95"/>
      <c r="Z1419" s="102"/>
      <c r="AA1419" s="103">
        <v>45996</v>
      </c>
      <c r="AB1419" s="103">
        <v>46018</v>
      </c>
      <c r="AC1419" s="103"/>
      <c r="AD1419" s="104">
        <f>IF(ISNA(VLOOKUP(D1419,亚马逊入库配置费!B:F,5,0)),0,VLOOKUP(D1419,亚马逊入库配置费!B:F,5,0))</f>
        <v>0</v>
      </c>
      <c r="AE1419" s="104">
        <f t="shared" si="320"/>
        <v>0</v>
      </c>
      <c r="AF1419" s="103">
        <v>46035</v>
      </c>
      <c r="AG1419" s="90">
        <f t="shared" si="321"/>
        <v>39</v>
      </c>
      <c r="AH1419" s="103">
        <v>46035</v>
      </c>
      <c r="AI1419" s="103">
        <v>46037</v>
      </c>
      <c r="AJ1419" s="96">
        <v>32</v>
      </c>
      <c r="AK1419" s="91">
        <f t="shared" si="322"/>
        <v>2</v>
      </c>
      <c r="AL1419" s="96"/>
      <c r="AM1419" s="92"/>
      <c r="AN1419" s="91"/>
      <c r="AO1419" s="91"/>
    </row>
    <row r="1420" spans="1:41" s="461" customFormat="1" ht="14.5" x14ac:dyDescent="0.25">
      <c r="A1420" s="460" t="s">
        <v>2425</v>
      </c>
      <c r="B1420" s="422"/>
      <c r="C1420" s="422" t="s">
        <v>2419</v>
      </c>
      <c r="D1420" s="423" t="s">
        <v>2426</v>
      </c>
      <c r="E1420" s="422" t="s">
        <v>115</v>
      </c>
      <c r="F1420" s="422" t="s">
        <v>0</v>
      </c>
      <c r="G1420" s="424" t="s">
        <v>980</v>
      </c>
      <c r="H1420" s="422">
        <v>28</v>
      </c>
      <c r="I1420" s="422" t="s">
        <v>89</v>
      </c>
      <c r="J1420" s="422" t="s">
        <v>2421</v>
      </c>
      <c r="K1420" s="423" t="s">
        <v>2427</v>
      </c>
      <c r="L1420" s="425" t="s">
        <v>2824</v>
      </c>
      <c r="M1420" s="426" t="s">
        <v>3416</v>
      </c>
      <c r="N1420" s="422" t="s">
        <v>2823</v>
      </c>
      <c r="O1420" s="427">
        <v>7</v>
      </c>
      <c r="P1420" s="456">
        <v>164</v>
      </c>
      <c r="Q1420" s="427" t="s">
        <v>16</v>
      </c>
      <c r="R1420" s="422">
        <v>5.4</v>
      </c>
      <c r="S1420" s="422"/>
      <c r="T1420" s="428">
        <v>93.3333333333333</v>
      </c>
      <c r="U1420" s="429">
        <f t="shared" si="319"/>
        <v>978.93333333333328</v>
      </c>
      <c r="V1420" s="430">
        <f t="shared" si="317"/>
        <v>34.961904761904762</v>
      </c>
      <c r="W1420" s="431">
        <f t="shared" si="318"/>
        <v>4.9945578231292513</v>
      </c>
      <c r="X1420" s="422"/>
      <c r="Y1420" s="422"/>
      <c r="Z1420" s="428"/>
      <c r="AA1420" s="432">
        <v>45996</v>
      </c>
      <c r="AB1420" s="432">
        <v>46040</v>
      </c>
      <c r="AC1420" s="432"/>
      <c r="AD1420" s="433">
        <f>IF(ISNA(VLOOKUP(D1420,亚马逊入库配置费!B:F,5,0)),0,VLOOKUP(D1420,亚马逊入库配置费!B:F,5,0))</f>
        <v>0</v>
      </c>
      <c r="AE1420" s="433">
        <f t="shared" si="320"/>
        <v>0</v>
      </c>
      <c r="AF1420" s="432">
        <v>46053</v>
      </c>
      <c r="AG1420" s="421">
        <f t="shared" si="321"/>
        <v>57</v>
      </c>
      <c r="AH1420" s="432">
        <v>46053</v>
      </c>
      <c r="AI1420" s="432">
        <v>46054</v>
      </c>
      <c r="AJ1420" s="427">
        <v>28</v>
      </c>
      <c r="AK1420" s="422">
        <f t="shared" si="322"/>
        <v>1</v>
      </c>
      <c r="AL1420" s="427"/>
      <c r="AM1420" s="423"/>
      <c r="AN1420" s="422"/>
      <c r="AO1420" s="422"/>
    </row>
    <row r="1421" spans="1:41" s="461" customFormat="1" ht="14.5" x14ac:dyDescent="0.25">
      <c r="A1421" s="460" t="s">
        <v>2428</v>
      </c>
      <c r="B1421" s="422"/>
      <c r="C1421" s="422" t="s">
        <v>2429</v>
      </c>
      <c r="D1421" s="423" t="s">
        <v>2430</v>
      </c>
      <c r="E1421" s="422" t="s">
        <v>115</v>
      </c>
      <c r="F1421" s="422" t="s">
        <v>0</v>
      </c>
      <c r="G1421" s="424" t="s">
        <v>980</v>
      </c>
      <c r="H1421" s="422">
        <v>32</v>
      </c>
      <c r="I1421" s="422" t="s">
        <v>89</v>
      </c>
      <c r="J1421" s="422" t="s">
        <v>2431</v>
      </c>
      <c r="K1421" s="423" t="s">
        <v>2432</v>
      </c>
      <c r="L1421" s="425" t="s">
        <v>2824</v>
      </c>
      <c r="M1421" s="426" t="s">
        <v>3416</v>
      </c>
      <c r="N1421" s="422" t="s">
        <v>2823</v>
      </c>
      <c r="O1421" s="427">
        <v>8</v>
      </c>
      <c r="P1421" s="456">
        <v>187</v>
      </c>
      <c r="Q1421" s="427" t="s">
        <v>16</v>
      </c>
      <c r="R1421" s="422">
        <v>6.5</v>
      </c>
      <c r="S1421" s="422">
        <v>200</v>
      </c>
      <c r="T1421" s="428">
        <v>200</v>
      </c>
      <c r="U1421" s="429">
        <f t="shared" si="319"/>
        <v>1415.5</v>
      </c>
      <c r="V1421" s="430">
        <f t="shared" ref="V1421:V1484" si="323">U1421/H1421</f>
        <v>44.234375</v>
      </c>
      <c r="W1421" s="431">
        <f t="shared" ref="W1421:W1484" si="324">V1421/7</f>
        <v>6.3191964285714288</v>
      </c>
      <c r="X1421" s="422"/>
      <c r="Y1421" s="422"/>
      <c r="Z1421" s="428"/>
      <c r="AA1421" s="432">
        <v>45996</v>
      </c>
      <c r="AB1421" s="432">
        <v>46025</v>
      </c>
      <c r="AC1421" s="432"/>
      <c r="AD1421" s="433">
        <f>IF(ISNA(VLOOKUP(D1421,亚马逊入库配置费!B:F,5,0)),0,VLOOKUP(D1421,亚马逊入库配置费!B:F,5,0))</f>
        <v>0</v>
      </c>
      <c r="AE1421" s="433">
        <f t="shared" si="320"/>
        <v>0</v>
      </c>
      <c r="AF1421" s="432">
        <v>46039</v>
      </c>
      <c r="AG1421" s="421">
        <f t="shared" si="321"/>
        <v>43</v>
      </c>
      <c r="AH1421" s="432">
        <v>46039</v>
      </c>
      <c r="AI1421" s="432">
        <v>46046</v>
      </c>
      <c r="AJ1421" s="427">
        <v>32</v>
      </c>
      <c r="AK1421" s="422">
        <f t="shared" si="322"/>
        <v>7</v>
      </c>
      <c r="AL1421" s="427"/>
      <c r="AM1421" s="423"/>
      <c r="AN1421" s="422"/>
      <c r="AO1421" s="422"/>
    </row>
    <row r="1422" spans="1:41" s="461" customFormat="1" ht="14.5" x14ac:dyDescent="0.25">
      <c r="A1422" s="460" t="s">
        <v>2433</v>
      </c>
      <c r="B1422" s="422"/>
      <c r="C1422" s="422" t="s">
        <v>2434</v>
      </c>
      <c r="D1422" s="423" t="s">
        <v>2435</v>
      </c>
      <c r="E1422" s="422" t="s">
        <v>115</v>
      </c>
      <c r="F1422" s="422" t="s">
        <v>0</v>
      </c>
      <c r="G1422" s="424" t="s">
        <v>980</v>
      </c>
      <c r="H1422" s="422">
        <v>32</v>
      </c>
      <c r="I1422" s="422" t="s">
        <v>89</v>
      </c>
      <c r="J1422" s="422" t="s">
        <v>2431</v>
      </c>
      <c r="K1422" s="423" t="s">
        <v>2436</v>
      </c>
      <c r="L1422" s="425" t="s">
        <v>2824</v>
      </c>
      <c r="M1422" s="426" t="s">
        <v>3416</v>
      </c>
      <c r="N1422" s="422" t="s">
        <v>2823</v>
      </c>
      <c r="O1422" s="427">
        <v>8</v>
      </c>
      <c r="P1422" s="456">
        <v>187</v>
      </c>
      <c r="Q1422" s="427" t="s">
        <v>16</v>
      </c>
      <c r="R1422" s="422">
        <v>5.3</v>
      </c>
      <c r="S1422" s="422">
        <v>200</v>
      </c>
      <c r="T1422" s="428">
        <v>200</v>
      </c>
      <c r="U1422" s="429">
        <f t="shared" si="319"/>
        <v>1191.0999999999999</v>
      </c>
      <c r="V1422" s="430">
        <f t="shared" si="323"/>
        <v>37.221874999999997</v>
      </c>
      <c r="W1422" s="431">
        <f t="shared" si="324"/>
        <v>5.3174107142857139</v>
      </c>
      <c r="X1422" s="422"/>
      <c r="Y1422" s="422"/>
      <c r="Z1422" s="428"/>
      <c r="AA1422" s="432">
        <v>45996</v>
      </c>
      <c r="AB1422" s="432">
        <v>46036</v>
      </c>
      <c r="AC1422" s="432"/>
      <c r="AD1422" s="433">
        <f>IF(ISNA(VLOOKUP(D1422,亚马逊入库配置费!B:F,5,0)),0,VLOOKUP(D1422,亚马逊入库配置费!B:F,5,0))</f>
        <v>0</v>
      </c>
      <c r="AE1422" s="433">
        <f t="shared" si="320"/>
        <v>0</v>
      </c>
      <c r="AF1422" s="432">
        <v>46043</v>
      </c>
      <c r="AG1422" s="421">
        <f t="shared" si="321"/>
        <v>47</v>
      </c>
      <c r="AH1422" s="432">
        <v>46043</v>
      </c>
      <c r="AI1422" s="432">
        <v>46047</v>
      </c>
      <c r="AJ1422" s="427">
        <v>32</v>
      </c>
      <c r="AK1422" s="422">
        <f t="shared" si="322"/>
        <v>4</v>
      </c>
      <c r="AL1422" s="427"/>
      <c r="AM1422" s="423"/>
      <c r="AN1422" s="422"/>
      <c r="AO1422" s="422"/>
    </row>
    <row r="1423" spans="1:41" ht="14.5" x14ac:dyDescent="0.25">
      <c r="A1423" s="110" t="s">
        <v>2437</v>
      </c>
      <c r="B1423" s="91"/>
      <c r="C1423" s="91" t="s">
        <v>2400</v>
      </c>
      <c r="D1423" s="92" t="s">
        <v>2438</v>
      </c>
      <c r="E1423" s="91" t="s">
        <v>1037</v>
      </c>
      <c r="F1423" s="91" t="s">
        <v>0</v>
      </c>
      <c r="G1423" s="56" t="s">
        <v>2439</v>
      </c>
      <c r="H1423" s="91">
        <v>1008</v>
      </c>
      <c r="I1423" s="91" t="s">
        <v>89</v>
      </c>
      <c r="J1423" s="91" t="s">
        <v>8</v>
      </c>
      <c r="K1423" s="92" t="s">
        <v>44</v>
      </c>
      <c r="L1423" s="93" t="s">
        <v>2439</v>
      </c>
      <c r="M1423" s="94" t="s">
        <v>3518</v>
      </c>
      <c r="N1423" s="95" t="s">
        <v>3109</v>
      </c>
      <c r="O1423" s="96">
        <v>63</v>
      </c>
      <c r="P1423" s="97">
        <v>851.17021276595699</v>
      </c>
      <c r="Q1423" s="96" t="s">
        <v>16</v>
      </c>
      <c r="R1423" s="91">
        <v>2.7</v>
      </c>
      <c r="S1423" s="95"/>
      <c r="T1423" s="98">
        <v>56.756756756756801</v>
      </c>
      <c r="U1423" s="99">
        <f t="shared" si="319"/>
        <v>2354.9163312248406</v>
      </c>
      <c r="V1423" s="100">
        <f t="shared" si="323"/>
        <v>2.3362265190722624</v>
      </c>
      <c r="W1423" s="101">
        <f t="shared" si="324"/>
        <v>0.33374664558175177</v>
      </c>
      <c r="X1423" s="95"/>
      <c r="Y1423" s="95"/>
      <c r="Z1423" s="102"/>
      <c r="AA1423" s="103">
        <v>45996</v>
      </c>
      <c r="AB1423" s="103">
        <v>46018</v>
      </c>
      <c r="AC1423" s="103"/>
      <c r="AD1423" s="104">
        <f>IF(ISNA(VLOOKUP(D1423,亚马逊入库配置费!B:F,5,0)),0,VLOOKUP(D1423,亚马逊入库配置费!B:F,5,0))</f>
        <v>0.49</v>
      </c>
      <c r="AE1423" s="104">
        <f t="shared" si="320"/>
        <v>493.92</v>
      </c>
      <c r="AF1423" s="103">
        <v>46030</v>
      </c>
      <c r="AG1423" s="90">
        <f t="shared" si="321"/>
        <v>34</v>
      </c>
      <c r="AH1423" s="103">
        <v>46030</v>
      </c>
      <c r="AI1423" s="103">
        <v>46066</v>
      </c>
      <c r="AJ1423" s="96">
        <v>1000</v>
      </c>
      <c r="AK1423" s="91">
        <f t="shared" si="322"/>
        <v>36</v>
      </c>
      <c r="AL1423" s="96"/>
      <c r="AM1423" s="92"/>
      <c r="AN1423" s="91"/>
      <c r="AO1423" s="91"/>
    </row>
    <row r="1424" spans="1:41" ht="14.5" x14ac:dyDescent="0.25">
      <c r="A1424" s="110" t="s">
        <v>2440</v>
      </c>
      <c r="B1424" s="91"/>
      <c r="C1424" s="91" t="s">
        <v>2400</v>
      </c>
      <c r="D1424" s="92" t="s">
        <v>2438</v>
      </c>
      <c r="E1424" s="91" t="s">
        <v>1037</v>
      </c>
      <c r="F1424" s="91" t="s">
        <v>0</v>
      </c>
      <c r="G1424" s="56" t="s">
        <v>2441</v>
      </c>
      <c r="H1424" s="91">
        <v>256</v>
      </c>
      <c r="I1424" s="91" t="s">
        <v>89</v>
      </c>
      <c r="J1424" s="91" t="s">
        <v>8</v>
      </c>
      <c r="K1424" s="92" t="s">
        <v>44</v>
      </c>
      <c r="L1424" s="93" t="s">
        <v>2441</v>
      </c>
      <c r="M1424" s="94" t="s">
        <v>3519</v>
      </c>
      <c r="N1424" s="95" t="s">
        <v>3109</v>
      </c>
      <c r="O1424" s="96">
        <v>16</v>
      </c>
      <c r="P1424" s="97">
        <v>216.17021276595699</v>
      </c>
      <c r="Q1424" s="96" t="s">
        <v>16</v>
      </c>
      <c r="R1424" s="91">
        <v>2.7</v>
      </c>
      <c r="S1424" s="95"/>
      <c r="T1424" s="98">
        <v>14.4144144144144</v>
      </c>
      <c r="U1424" s="99">
        <f t="shared" si="319"/>
        <v>598.07398888249827</v>
      </c>
      <c r="V1424" s="100">
        <f t="shared" si="323"/>
        <v>2.3362265190722589</v>
      </c>
      <c r="W1424" s="101">
        <f t="shared" si="324"/>
        <v>0.33374664558175127</v>
      </c>
      <c r="X1424" s="95"/>
      <c r="Y1424" s="95"/>
      <c r="Z1424" s="102"/>
      <c r="AA1424" s="103">
        <v>45996</v>
      </c>
      <c r="AB1424" s="103">
        <v>46018</v>
      </c>
      <c r="AC1424" s="103"/>
      <c r="AD1424" s="104">
        <f>IF(ISNA(VLOOKUP(D1424,亚马逊入库配置费!B:F,5,0)),0,VLOOKUP(D1424,亚马逊入库配置费!B:F,5,0))</f>
        <v>0.49</v>
      </c>
      <c r="AE1424" s="104">
        <f t="shared" si="320"/>
        <v>125.44</v>
      </c>
      <c r="AF1424" s="103">
        <v>46030</v>
      </c>
      <c r="AG1424" s="90">
        <f t="shared" si="321"/>
        <v>34</v>
      </c>
      <c r="AH1424" s="103">
        <v>46030</v>
      </c>
      <c r="AI1424" s="103">
        <v>46066</v>
      </c>
      <c r="AJ1424" s="96">
        <v>256</v>
      </c>
      <c r="AK1424" s="91">
        <f t="shared" si="322"/>
        <v>36</v>
      </c>
      <c r="AL1424" s="96"/>
      <c r="AM1424" s="92"/>
      <c r="AN1424" s="91"/>
      <c r="AO1424" s="91"/>
    </row>
    <row r="1425" spans="1:41" ht="14.5" x14ac:dyDescent="0.25">
      <c r="A1425" s="110" t="s">
        <v>2442</v>
      </c>
      <c r="B1425" s="91"/>
      <c r="C1425" s="91" t="s">
        <v>2400</v>
      </c>
      <c r="D1425" s="92" t="s">
        <v>2438</v>
      </c>
      <c r="E1425" s="91" t="s">
        <v>1037</v>
      </c>
      <c r="F1425" s="91" t="s">
        <v>0</v>
      </c>
      <c r="G1425" s="56" t="s">
        <v>2443</v>
      </c>
      <c r="H1425" s="91">
        <v>240</v>
      </c>
      <c r="I1425" s="91" t="s">
        <v>89</v>
      </c>
      <c r="J1425" s="91" t="s">
        <v>8</v>
      </c>
      <c r="K1425" s="92" t="s">
        <v>44</v>
      </c>
      <c r="L1425" s="93" t="s">
        <v>2443</v>
      </c>
      <c r="M1425" s="94" t="s">
        <v>3520</v>
      </c>
      <c r="N1425" s="95" t="s">
        <v>3109</v>
      </c>
      <c r="O1425" s="96">
        <v>15</v>
      </c>
      <c r="P1425" s="97">
        <v>202.659574468085</v>
      </c>
      <c r="Q1425" s="96" t="s">
        <v>16</v>
      </c>
      <c r="R1425" s="91">
        <v>2.7</v>
      </c>
      <c r="S1425" s="95"/>
      <c r="T1425" s="98">
        <v>13.5135135135135</v>
      </c>
      <c r="U1425" s="99">
        <f t="shared" si="319"/>
        <v>560.69436457734309</v>
      </c>
      <c r="V1425" s="100">
        <f t="shared" si="323"/>
        <v>2.3362265190722629</v>
      </c>
      <c r="W1425" s="101">
        <f t="shared" si="324"/>
        <v>0.33374664558175182</v>
      </c>
      <c r="X1425" s="95"/>
      <c r="Y1425" s="95"/>
      <c r="Z1425" s="102"/>
      <c r="AA1425" s="103">
        <v>45996</v>
      </c>
      <c r="AB1425" s="103">
        <v>46018</v>
      </c>
      <c r="AC1425" s="103"/>
      <c r="AD1425" s="104">
        <f>IF(ISNA(VLOOKUP(D1425,亚马逊入库配置费!B:F,5,0)),0,VLOOKUP(D1425,亚马逊入库配置费!B:F,5,0))</f>
        <v>0.49</v>
      </c>
      <c r="AE1425" s="104">
        <f t="shared" si="320"/>
        <v>117.6</v>
      </c>
      <c r="AF1425" s="103">
        <v>46030</v>
      </c>
      <c r="AG1425" s="90">
        <f t="shared" si="321"/>
        <v>34</v>
      </c>
      <c r="AH1425" s="103">
        <v>46030</v>
      </c>
      <c r="AI1425" s="103">
        <v>46066</v>
      </c>
      <c r="AJ1425" s="96">
        <v>240</v>
      </c>
      <c r="AK1425" s="91">
        <f t="shared" si="322"/>
        <v>36</v>
      </c>
      <c r="AL1425" s="96"/>
      <c r="AM1425" s="92"/>
      <c r="AN1425" s="91"/>
      <c r="AO1425" s="91"/>
    </row>
    <row r="1426" spans="1:41" ht="14.5" x14ac:dyDescent="0.25">
      <c r="A1426" s="227" t="s">
        <v>2444</v>
      </c>
      <c r="B1426" s="228"/>
      <c r="C1426" s="228" t="s">
        <v>2445</v>
      </c>
      <c r="D1426" s="229" t="s">
        <v>2446</v>
      </c>
      <c r="E1426" s="228" t="s">
        <v>97</v>
      </c>
      <c r="F1426" s="228" t="s">
        <v>0</v>
      </c>
      <c r="G1426" s="230" t="s">
        <v>786</v>
      </c>
      <c r="H1426" s="228">
        <v>120</v>
      </c>
      <c r="I1426" s="228" t="s">
        <v>207</v>
      </c>
      <c r="J1426" s="228" t="s">
        <v>8</v>
      </c>
      <c r="K1426" s="229" t="s">
        <v>9</v>
      </c>
      <c r="L1426" s="93" t="s">
        <v>786</v>
      </c>
      <c r="M1426" s="94" t="s">
        <v>3395</v>
      </c>
      <c r="N1426" s="95" t="s">
        <v>2870</v>
      </c>
      <c r="O1426" s="231">
        <v>3</v>
      </c>
      <c r="P1426" s="232">
        <v>43.95</v>
      </c>
      <c r="Q1426" s="231" t="s">
        <v>16</v>
      </c>
      <c r="R1426" s="228">
        <v>3.55</v>
      </c>
      <c r="S1426" s="228">
        <v>300</v>
      </c>
      <c r="T1426" s="233">
        <v>3.6734693877551021</v>
      </c>
      <c r="U1426" s="234">
        <f t="shared" si="319"/>
        <v>159.6959693877551</v>
      </c>
      <c r="V1426" s="235">
        <f t="shared" si="323"/>
        <v>1.3307997448979592</v>
      </c>
      <c r="W1426" s="236">
        <f t="shared" si="324"/>
        <v>0.19011424927113701</v>
      </c>
      <c r="X1426" s="228"/>
      <c r="Y1426" s="228"/>
      <c r="Z1426" s="233"/>
      <c r="AA1426" s="237">
        <v>46003</v>
      </c>
      <c r="AB1426" s="237">
        <v>46024</v>
      </c>
      <c r="AC1426" s="237"/>
      <c r="AD1426" s="238">
        <f>IF(ISNA(VLOOKUP(D1426,亚马逊入库配置费!B:F,5,0)),0,VLOOKUP(D1426,亚马逊入库配置费!B:F,5,0))</f>
        <v>0.38200000000000001</v>
      </c>
      <c r="AE1426" s="238">
        <f t="shared" si="320"/>
        <v>45.84</v>
      </c>
      <c r="AF1426" s="237">
        <v>46030</v>
      </c>
      <c r="AG1426" s="239">
        <f t="shared" si="321"/>
        <v>27</v>
      </c>
      <c r="AH1426" s="237">
        <v>46030</v>
      </c>
      <c r="AI1426" s="237">
        <v>46062</v>
      </c>
      <c r="AJ1426" s="231">
        <v>122</v>
      </c>
      <c r="AK1426" s="228">
        <f t="shared" si="322"/>
        <v>32</v>
      </c>
      <c r="AL1426" s="231"/>
      <c r="AM1426" s="229"/>
      <c r="AN1426" s="228"/>
      <c r="AO1426" s="228"/>
    </row>
    <row r="1427" spans="1:41" ht="14.5" x14ac:dyDescent="0.25">
      <c r="A1427" s="227" t="s">
        <v>2447</v>
      </c>
      <c r="B1427" s="228"/>
      <c r="C1427" s="228" t="s">
        <v>2445</v>
      </c>
      <c r="D1427" s="229" t="s">
        <v>2446</v>
      </c>
      <c r="E1427" s="228" t="s">
        <v>97</v>
      </c>
      <c r="F1427" s="228" t="s">
        <v>0</v>
      </c>
      <c r="G1427" s="230" t="s">
        <v>1213</v>
      </c>
      <c r="H1427" s="228">
        <v>240</v>
      </c>
      <c r="I1427" s="228" t="s">
        <v>207</v>
      </c>
      <c r="J1427" s="228" t="s">
        <v>8</v>
      </c>
      <c r="K1427" s="229" t="s">
        <v>9</v>
      </c>
      <c r="L1427" s="93" t="s">
        <v>1213</v>
      </c>
      <c r="M1427" s="94" t="s">
        <v>3435</v>
      </c>
      <c r="N1427" s="95" t="s">
        <v>2867</v>
      </c>
      <c r="O1427" s="231">
        <v>6</v>
      </c>
      <c r="P1427" s="232">
        <v>87.9</v>
      </c>
      <c r="Q1427" s="231" t="s">
        <v>16</v>
      </c>
      <c r="R1427" s="228">
        <v>3.55</v>
      </c>
      <c r="S1427" s="240">
        <f>SUMIF(C:C,C1426,T:T)</f>
        <v>300</v>
      </c>
      <c r="T1427" s="233">
        <v>7.3469387755102042</v>
      </c>
      <c r="U1427" s="234">
        <f t="shared" si="319"/>
        <v>319.3919387755102</v>
      </c>
      <c r="V1427" s="235">
        <f t="shared" si="323"/>
        <v>1.3307997448979592</v>
      </c>
      <c r="W1427" s="236">
        <f t="shared" si="324"/>
        <v>0.19011424927113701</v>
      </c>
      <c r="X1427" s="228"/>
      <c r="Y1427" s="228"/>
      <c r="Z1427" s="233"/>
      <c r="AA1427" s="237">
        <v>46003</v>
      </c>
      <c r="AB1427" s="237">
        <v>46024</v>
      </c>
      <c r="AC1427" s="237"/>
      <c r="AD1427" s="238">
        <f>IF(ISNA(VLOOKUP(D1427,亚马逊入库配置费!B:F,5,0)),0,VLOOKUP(D1427,亚马逊入库配置费!B:F,5,0))</f>
        <v>0.38200000000000001</v>
      </c>
      <c r="AE1427" s="238">
        <f t="shared" si="320"/>
        <v>91.68</v>
      </c>
      <c r="AF1427" s="237">
        <v>46030</v>
      </c>
      <c r="AG1427" s="239">
        <f t="shared" si="321"/>
        <v>27</v>
      </c>
      <c r="AH1427" s="237">
        <v>46030</v>
      </c>
      <c r="AI1427" s="237">
        <v>46062</v>
      </c>
      <c r="AJ1427" s="231">
        <v>238</v>
      </c>
      <c r="AK1427" s="228">
        <f t="shared" si="322"/>
        <v>32</v>
      </c>
      <c r="AL1427" s="231"/>
      <c r="AM1427" s="229"/>
      <c r="AN1427" s="228"/>
      <c r="AO1427" s="228"/>
    </row>
    <row r="1428" spans="1:41" ht="14.5" x14ac:dyDescent="0.25">
      <c r="A1428" s="227" t="s">
        <v>2448</v>
      </c>
      <c r="B1428" s="228"/>
      <c r="C1428" s="228" t="s">
        <v>2445</v>
      </c>
      <c r="D1428" s="229" t="s">
        <v>2446</v>
      </c>
      <c r="E1428" s="228" t="s">
        <v>97</v>
      </c>
      <c r="F1428" s="228" t="s">
        <v>0</v>
      </c>
      <c r="G1428" s="230" t="s">
        <v>1217</v>
      </c>
      <c r="H1428" s="228">
        <v>60</v>
      </c>
      <c r="I1428" s="228" t="s">
        <v>207</v>
      </c>
      <c r="J1428" s="228" t="s">
        <v>8</v>
      </c>
      <c r="K1428" s="229" t="s">
        <v>9</v>
      </c>
      <c r="L1428" s="93" t="s">
        <v>1217</v>
      </c>
      <c r="M1428" s="94" t="s">
        <v>3437</v>
      </c>
      <c r="N1428" s="95" t="s">
        <v>2867</v>
      </c>
      <c r="O1428" s="231">
        <v>3</v>
      </c>
      <c r="P1428" s="232">
        <v>43.95</v>
      </c>
      <c r="Q1428" s="231" t="s">
        <v>16</v>
      </c>
      <c r="R1428" s="228">
        <v>3.55</v>
      </c>
      <c r="S1428" s="228"/>
      <c r="T1428" s="233">
        <v>3.6734693877551021</v>
      </c>
      <c r="U1428" s="234">
        <f t="shared" si="319"/>
        <v>159.6959693877551</v>
      </c>
      <c r="V1428" s="235">
        <f t="shared" si="323"/>
        <v>2.6615994897959183</v>
      </c>
      <c r="W1428" s="236">
        <f t="shared" si="324"/>
        <v>0.38022849854227403</v>
      </c>
      <c r="X1428" s="228"/>
      <c r="Y1428" s="228"/>
      <c r="Z1428" s="233"/>
      <c r="AA1428" s="237">
        <v>46003</v>
      </c>
      <c r="AB1428" s="237">
        <v>46024</v>
      </c>
      <c r="AC1428" s="237"/>
      <c r="AD1428" s="238">
        <f>IF(ISNA(VLOOKUP(D1428,亚马逊入库配置费!B:F,5,0)),0,VLOOKUP(D1428,亚马逊入库配置费!B:F,5,0))</f>
        <v>0.38200000000000001</v>
      </c>
      <c r="AE1428" s="238">
        <f t="shared" si="320"/>
        <v>22.92</v>
      </c>
      <c r="AF1428" s="237">
        <v>46030</v>
      </c>
      <c r="AG1428" s="239">
        <f t="shared" si="321"/>
        <v>27</v>
      </c>
      <c r="AH1428" s="237">
        <v>46030</v>
      </c>
      <c r="AI1428" s="237">
        <v>46062</v>
      </c>
      <c r="AJ1428" s="231">
        <v>60</v>
      </c>
      <c r="AK1428" s="228">
        <f t="shared" si="322"/>
        <v>32</v>
      </c>
      <c r="AL1428" s="231"/>
      <c r="AM1428" s="229"/>
      <c r="AN1428" s="228"/>
      <c r="AO1428" s="228"/>
    </row>
    <row r="1429" spans="1:41" ht="14.5" x14ac:dyDescent="0.25">
      <c r="A1429" s="227" t="s">
        <v>2449</v>
      </c>
      <c r="B1429" s="228"/>
      <c r="C1429" s="228" t="s">
        <v>2445</v>
      </c>
      <c r="D1429" s="229" t="s">
        <v>2446</v>
      </c>
      <c r="E1429" s="228" t="s">
        <v>97</v>
      </c>
      <c r="F1429" s="228" t="s">
        <v>0</v>
      </c>
      <c r="G1429" s="230" t="s">
        <v>2279</v>
      </c>
      <c r="H1429" s="228">
        <v>480</v>
      </c>
      <c r="I1429" s="228" t="s">
        <v>207</v>
      </c>
      <c r="J1429" s="228" t="s">
        <v>8</v>
      </c>
      <c r="K1429" s="229" t="s">
        <v>9</v>
      </c>
      <c r="L1429" s="93" t="s">
        <v>2279</v>
      </c>
      <c r="M1429" s="94" t="s">
        <v>3507</v>
      </c>
      <c r="N1429" s="95" t="s">
        <v>2971</v>
      </c>
      <c r="O1429" s="231">
        <v>16</v>
      </c>
      <c r="P1429" s="232">
        <v>234.4</v>
      </c>
      <c r="Q1429" s="231" t="s">
        <v>16</v>
      </c>
      <c r="R1429" s="228">
        <v>3.55</v>
      </c>
      <c r="S1429" s="228"/>
      <c r="T1429" s="233">
        <v>19.591836734693878</v>
      </c>
      <c r="U1429" s="234">
        <f t="shared" si="319"/>
        <v>851.71183673469386</v>
      </c>
      <c r="V1429" s="235">
        <f t="shared" si="323"/>
        <v>1.7743996598639455</v>
      </c>
      <c r="W1429" s="236">
        <f t="shared" si="324"/>
        <v>0.25348566569484937</v>
      </c>
      <c r="X1429" s="228"/>
      <c r="Y1429" s="228"/>
      <c r="Z1429" s="233"/>
      <c r="AA1429" s="237">
        <v>46003</v>
      </c>
      <c r="AB1429" s="237">
        <v>46024</v>
      </c>
      <c r="AC1429" s="237"/>
      <c r="AD1429" s="238">
        <f>IF(ISNA(VLOOKUP(D1429,亚马逊入库配置费!B:F,5,0)),0,VLOOKUP(D1429,亚马逊入库配置费!B:F,5,0))</f>
        <v>0.38200000000000001</v>
      </c>
      <c r="AE1429" s="238">
        <f t="shared" si="320"/>
        <v>183.36</v>
      </c>
      <c r="AF1429" s="237">
        <v>46030</v>
      </c>
      <c r="AG1429" s="239">
        <f t="shared" si="321"/>
        <v>27</v>
      </c>
      <c r="AH1429" s="237">
        <v>46030</v>
      </c>
      <c r="AI1429" s="237">
        <v>46062</v>
      </c>
      <c r="AJ1429" s="231">
        <v>480</v>
      </c>
      <c r="AK1429" s="228">
        <f t="shared" si="322"/>
        <v>32</v>
      </c>
      <c r="AL1429" s="231"/>
      <c r="AM1429" s="229"/>
      <c r="AN1429" s="228"/>
      <c r="AO1429" s="228"/>
    </row>
    <row r="1430" spans="1:41" ht="14.5" x14ac:dyDescent="0.25">
      <c r="A1430" s="227" t="s">
        <v>2450</v>
      </c>
      <c r="B1430" s="228"/>
      <c r="C1430" s="228" t="s">
        <v>2445</v>
      </c>
      <c r="D1430" s="229" t="s">
        <v>2451</v>
      </c>
      <c r="E1430" s="228" t="s">
        <v>97</v>
      </c>
      <c r="F1430" s="228" t="s">
        <v>0</v>
      </c>
      <c r="G1430" s="230" t="s">
        <v>1195</v>
      </c>
      <c r="H1430" s="228">
        <v>300</v>
      </c>
      <c r="I1430" s="228" t="s">
        <v>207</v>
      </c>
      <c r="J1430" s="228" t="s">
        <v>8</v>
      </c>
      <c r="K1430" s="229" t="s">
        <v>9</v>
      </c>
      <c r="L1430" s="93" t="s">
        <v>1195</v>
      </c>
      <c r="M1430" s="94" t="s">
        <v>3433</v>
      </c>
      <c r="N1430" s="95" t="s">
        <v>2870</v>
      </c>
      <c r="O1430" s="231">
        <v>10</v>
      </c>
      <c r="P1430" s="232">
        <v>146.5</v>
      </c>
      <c r="Q1430" s="231" t="s">
        <v>16</v>
      </c>
      <c r="R1430" s="228">
        <v>3.55</v>
      </c>
      <c r="S1430" s="228"/>
      <c r="T1430" s="233">
        <v>12.244897959183673</v>
      </c>
      <c r="U1430" s="234">
        <f t="shared" si="319"/>
        <v>532.31989795918355</v>
      </c>
      <c r="V1430" s="235">
        <f t="shared" si="323"/>
        <v>1.7743996598639451</v>
      </c>
      <c r="W1430" s="236">
        <f t="shared" si="324"/>
        <v>0.25348566569484932</v>
      </c>
      <c r="X1430" s="228"/>
      <c r="Y1430" s="228"/>
      <c r="Z1430" s="233"/>
      <c r="AA1430" s="237">
        <v>46003</v>
      </c>
      <c r="AB1430" s="237">
        <v>46024</v>
      </c>
      <c r="AC1430" s="237"/>
      <c r="AD1430" s="238">
        <f>IF(ISNA(VLOOKUP(D1430,亚马逊入库配置费!B:F,5,0)),0,VLOOKUP(D1430,亚马逊入库配置费!B:F,5,0))</f>
        <v>0.41</v>
      </c>
      <c r="AE1430" s="238">
        <f t="shared" si="320"/>
        <v>122.99999999999999</v>
      </c>
      <c r="AF1430" s="237">
        <v>46030</v>
      </c>
      <c r="AG1430" s="239">
        <f t="shared" si="321"/>
        <v>27</v>
      </c>
      <c r="AH1430" s="237">
        <v>46030</v>
      </c>
      <c r="AI1430" s="237">
        <v>46063</v>
      </c>
      <c r="AJ1430" s="231">
        <v>300</v>
      </c>
      <c r="AK1430" s="228">
        <f t="shared" si="322"/>
        <v>33</v>
      </c>
      <c r="AL1430" s="231"/>
      <c r="AM1430" s="229"/>
      <c r="AN1430" s="228"/>
      <c r="AO1430" s="228"/>
    </row>
    <row r="1431" spans="1:41" ht="14.5" x14ac:dyDescent="0.25">
      <c r="A1431" s="227" t="s">
        <v>2452</v>
      </c>
      <c r="B1431" s="228"/>
      <c r="C1431" s="228" t="s">
        <v>2445</v>
      </c>
      <c r="D1431" s="229" t="s">
        <v>2451</v>
      </c>
      <c r="E1431" s="228" t="s">
        <v>97</v>
      </c>
      <c r="F1431" s="228" t="s">
        <v>0</v>
      </c>
      <c r="G1431" s="230" t="s">
        <v>872</v>
      </c>
      <c r="H1431" s="228">
        <v>900</v>
      </c>
      <c r="I1431" s="228" t="s">
        <v>207</v>
      </c>
      <c r="J1431" s="228" t="s">
        <v>8</v>
      </c>
      <c r="K1431" s="229" t="s">
        <v>9</v>
      </c>
      <c r="L1431" s="93" t="s">
        <v>872</v>
      </c>
      <c r="M1431" s="94" t="s">
        <v>3399</v>
      </c>
      <c r="N1431" s="95" t="s">
        <v>2870</v>
      </c>
      <c r="O1431" s="231">
        <v>30</v>
      </c>
      <c r="P1431" s="232">
        <v>439.5</v>
      </c>
      <c r="Q1431" s="231" t="s">
        <v>16</v>
      </c>
      <c r="R1431" s="228">
        <v>3.55</v>
      </c>
      <c r="S1431" s="228"/>
      <c r="T1431" s="233">
        <v>36.734693877551024</v>
      </c>
      <c r="U1431" s="234">
        <f t="shared" si="319"/>
        <v>1596.959693877551</v>
      </c>
      <c r="V1431" s="235">
        <f t="shared" si="323"/>
        <v>1.7743996598639455</v>
      </c>
      <c r="W1431" s="236">
        <f t="shared" si="324"/>
        <v>0.25348566569484937</v>
      </c>
      <c r="X1431" s="228"/>
      <c r="Y1431" s="228"/>
      <c r="Z1431" s="233"/>
      <c r="AA1431" s="237">
        <v>46003</v>
      </c>
      <c r="AB1431" s="237">
        <v>46024</v>
      </c>
      <c r="AC1431" s="237"/>
      <c r="AD1431" s="238">
        <f>IF(ISNA(VLOOKUP(D1431,亚马逊入库配置费!B:F,5,0)),0,VLOOKUP(D1431,亚马逊入库配置费!B:F,5,0))</f>
        <v>0.41</v>
      </c>
      <c r="AE1431" s="238">
        <f t="shared" si="320"/>
        <v>369</v>
      </c>
      <c r="AF1431" s="237">
        <v>46030</v>
      </c>
      <c r="AG1431" s="239">
        <f t="shared" si="321"/>
        <v>27</v>
      </c>
      <c r="AH1431" s="237">
        <v>46030</v>
      </c>
      <c r="AI1431" s="237">
        <v>46063</v>
      </c>
      <c r="AJ1431" s="231">
        <v>901</v>
      </c>
      <c r="AK1431" s="228">
        <f t="shared" si="322"/>
        <v>33</v>
      </c>
      <c r="AL1431" s="231"/>
      <c r="AM1431" s="229"/>
      <c r="AN1431" s="228"/>
      <c r="AO1431" s="228"/>
    </row>
    <row r="1432" spans="1:41" ht="14.5" x14ac:dyDescent="0.25">
      <c r="A1432" s="227" t="s">
        <v>2453</v>
      </c>
      <c r="B1432" s="228"/>
      <c r="C1432" s="228" t="s">
        <v>2445</v>
      </c>
      <c r="D1432" s="229" t="s">
        <v>2451</v>
      </c>
      <c r="E1432" s="228" t="s">
        <v>97</v>
      </c>
      <c r="F1432" s="228" t="s">
        <v>0</v>
      </c>
      <c r="G1432" s="230" t="s">
        <v>2251</v>
      </c>
      <c r="H1432" s="228">
        <v>900</v>
      </c>
      <c r="I1432" s="228" t="s">
        <v>207</v>
      </c>
      <c r="J1432" s="228" t="s">
        <v>8</v>
      </c>
      <c r="K1432" s="229" t="s">
        <v>9</v>
      </c>
      <c r="L1432" s="93" t="s">
        <v>2251</v>
      </c>
      <c r="M1432" s="94" t="s">
        <v>3505</v>
      </c>
      <c r="N1432" s="95" t="s">
        <v>2867</v>
      </c>
      <c r="O1432" s="231">
        <v>30</v>
      </c>
      <c r="P1432" s="232">
        <v>439.5</v>
      </c>
      <c r="Q1432" s="231" t="s">
        <v>16</v>
      </c>
      <c r="R1432" s="228">
        <v>3.55</v>
      </c>
      <c r="S1432" s="228"/>
      <c r="T1432" s="233">
        <v>36.734693877551024</v>
      </c>
      <c r="U1432" s="234">
        <f t="shared" si="319"/>
        <v>1596.959693877551</v>
      </c>
      <c r="V1432" s="235">
        <f t="shared" si="323"/>
        <v>1.7743996598639455</v>
      </c>
      <c r="W1432" s="236">
        <f t="shared" si="324"/>
        <v>0.25348566569484937</v>
      </c>
      <c r="X1432" s="228"/>
      <c r="Y1432" s="228"/>
      <c r="Z1432" s="233"/>
      <c r="AA1432" s="237">
        <v>46003</v>
      </c>
      <c r="AB1432" s="237">
        <v>46024</v>
      </c>
      <c r="AC1432" s="237"/>
      <c r="AD1432" s="238">
        <f>IF(ISNA(VLOOKUP(D1432,亚马逊入库配置费!B:F,5,0)),0,VLOOKUP(D1432,亚马逊入库配置费!B:F,5,0))</f>
        <v>0.41</v>
      </c>
      <c r="AE1432" s="238">
        <f t="shared" si="320"/>
        <v>369</v>
      </c>
      <c r="AF1432" s="237">
        <v>46030</v>
      </c>
      <c r="AG1432" s="239">
        <f t="shared" si="321"/>
        <v>27</v>
      </c>
      <c r="AH1432" s="237">
        <v>46030</v>
      </c>
      <c r="AI1432" s="237">
        <v>46063</v>
      </c>
      <c r="AJ1432" s="231">
        <v>900</v>
      </c>
      <c r="AK1432" s="228">
        <f t="shared" si="322"/>
        <v>33</v>
      </c>
      <c r="AL1432" s="231"/>
      <c r="AM1432" s="229"/>
      <c r="AN1432" s="228"/>
      <c r="AO1432" s="228"/>
    </row>
    <row r="1433" spans="1:41" ht="14.5" x14ac:dyDescent="0.25">
      <c r="A1433" s="227" t="s">
        <v>2454</v>
      </c>
      <c r="B1433" s="228"/>
      <c r="C1433" s="228" t="s">
        <v>2445</v>
      </c>
      <c r="D1433" s="229" t="s">
        <v>2451</v>
      </c>
      <c r="E1433" s="228" t="s">
        <v>97</v>
      </c>
      <c r="F1433" s="228" t="s">
        <v>0</v>
      </c>
      <c r="G1433" s="230" t="s">
        <v>1215</v>
      </c>
      <c r="H1433" s="228">
        <v>1140</v>
      </c>
      <c r="I1433" s="228" t="s">
        <v>207</v>
      </c>
      <c r="J1433" s="228" t="s">
        <v>8</v>
      </c>
      <c r="K1433" s="229" t="s">
        <v>9</v>
      </c>
      <c r="L1433" s="93" t="s">
        <v>3095</v>
      </c>
      <c r="M1433" s="94" t="s">
        <v>3436</v>
      </c>
      <c r="N1433" s="95" t="s">
        <v>2867</v>
      </c>
      <c r="O1433" s="231">
        <v>38</v>
      </c>
      <c r="P1433" s="232">
        <v>556.70000000000005</v>
      </c>
      <c r="Q1433" s="231" t="s">
        <v>16</v>
      </c>
      <c r="R1433" s="228">
        <v>3.55</v>
      </c>
      <c r="S1433" s="228"/>
      <c r="T1433" s="233">
        <v>46.530612244897959</v>
      </c>
      <c r="U1433" s="234">
        <f t="shared" si="319"/>
        <v>2022.8156122448981</v>
      </c>
      <c r="V1433" s="235">
        <f t="shared" si="323"/>
        <v>1.7743996598639458</v>
      </c>
      <c r="W1433" s="236">
        <f t="shared" si="324"/>
        <v>0.25348566569484937</v>
      </c>
      <c r="X1433" s="228"/>
      <c r="Y1433" s="228"/>
      <c r="Z1433" s="233"/>
      <c r="AA1433" s="237">
        <v>46003</v>
      </c>
      <c r="AB1433" s="237">
        <v>46024</v>
      </c>
      <c r="AC1433" s="237"/>
      <c r="AD1433" s="238">
        <f>IF(ISNA(VLOOKUP(D1433,亚马逊入库配置费!B:F,5,0)),0,VLOOKUP(D1433,亚马逊入库配置费!B:F,5,0))</f>
        <v>0.41</v>
      </c>
      <c r="AE1433" s="238">
        <f t="shared" si="320"/>
        <v>467.4</v>
      </c>
      <c r="AF1433" s="237">
        <v>46030</v>
      </c>
      <c r="AG1433" s="239">
        <f t="shared" si="321"/>
        <v>27</v>
      </c>
      <c r="AH1433" s="237">
        <v>46030</v>
      </c>
      <c r="AI1433" s="237">
        <v>46063</v>
      </c>
      <c r="AJ1433" s="231">
        <v>1140</v>
      </c>
      <c r="AK1433" s="228">
        <f t="shared" si="322"/>
        <v>33</v>
      </c>
      <c r="AL1433" s="231"/>
      <c r="AM1433" s="229"/>
      <c r="AN1433" s="228"/>
      <c r="AO1433" s="228"/>
    </row>
    <row r="1434" spans="1:41" ht="14.5" x14ac:dyDescent="0.25">
      <c r="A1434" s="227" t="s">
        <v>2455</v>
      </c>
      <c r="B1434" s="228"/>
      <c r="C1434" s="228" t="s">
        <v>2445</v>
      </c>
      <c r="D1434" s="229" t="s">
        <v>2451</v>
      </c>
      <c r="E1434" s="228" t="s">
        <v>97</v>
      </c>
      <c r="F1434" s="228" t="s">
        <v>0</v>
      </c>
      <c r="G1434" s="230" t="s">
        <v>1851</v>
      </c>
      <c r="H1434" s="228">
        <v>150</v>
      </c>
      <c r="I1434" s="228" t="s">
        <v>207</v>
      </c>
      <c r="J1434" s="228" t="s">
        <v>8</v>
      </c>
      <c r="K1434" s="229" t="s">
        <v>9</v>
      </c>
      <c r="L1434" s="93" t="s">
        <v>1851</v>
      </c>
      <c r="M1434" s="94" t="s">
        <v>3454</v>
      </c>
      <c r="N1434" s="95" t="s">
        <v>2867</v>
      </c>
      <c r="O1434" s="231">
        <v>5</v>
      </c>
      <c r="P1434" s="232">
        <v>73.25</v>
      </c>
      <c r="Q1434" s="231" t="s">
        <v>16</v>
      </c>
      <c r="R1434" s="228">
        <v>3.55</v>
      </c>
      <c r="S1434" s="228"/>
      <c r="T1434" s="233">
        <v>6.1224489795918364</v>
      </c>
      <c r="U1434" s="234">
        <f t="shared" si="319"/>
        <v>266.15994897959177</v>
      </c>
      <c r="V1434" s="235">
        <f t="shared" si="323"/>
        <v>1.7743996598639451</v>
      </c>
      <c r="W1434" s="236">
        <f t="shared" si="324"/>
        <v>0.25348566569484932</v>
      </c>
      <c r="X1434" s="228"/>
      <c r="Y1434" s="228"/>
      <c r="Z1434" s="233"/>
      <c r="AA1434" s="237">
        <v>46003</v>
      </c>
      <c r="AB1434" s="237">
        <v>46024</v>
      </c>
      <c r="AC1434" s="237"/>
      <c r="AD1434" s="238">
        <f>IF(ISNA(VLOOKUP(D1434,亚马逊入库配置费!B:F,5,0)),0,VLOOKUP(D1434,亚马逊入库配置费!B:F,5,0))</f>
        <v>0.41</v>
      </c>
      <c r="AE1434" s="238">
        <f t="shared" si="320"/>
        <v>61.499999999999993</v>
      </c>
      <c r="AF1434" s="237">
        <v>46030</v>
      </c>
      <c r="AG1434" s="239">
        <f t="shared" si="321"/>
        <v>27</v>
      </c>
      <c r="AH1434" s="237">
        <v>46030</v>
      </c>
      <c r="AI1434" s="237">
        <v>46063</v>
      </c>
      <c r="AJ1434" s="231">
        <v>150</v>
      </c>
      <c r="AK1434" s="228">
        <f t="shared" si="322"/>
        <v>33</v>
      </c>
      <c r="AL1434" s="231"/>
      <c r="AM1434" s="229"/>
      <c r="AN1434" s="228"/>
      <c r="AO1434" s="228"/>
    </row>
    <row r="1435" spans="1:41" ht="14.5" x14ac:dyDescent="0.25">
      <c r="A1435" s="227" t="s">
        <v>2456</v>
      </c>
      <c r="B1435" s="228"/>
      <c r="C1435" s="228" t="s">
        <v>2445</v>
      </c>
      <c r="D1435" s="229" t="s">
        <v>2451</v>
      </c>
      <c r="E1435" s="228" t="s">
        <v>97</v>
      </c>
      <c r="F1435" s="228" t="s">
        <v>0</v>
      </c>
      <c r="G1435" s="230" t="s">
        <v>2340</v>
      </c>
      <c r="H1435" s="228">
        <v>600</v>
      </c>
      <c r="I1435" s="228" t="s">
        <v>207</v>
      </c>
      <c r="J1435" s="228" t="s">
        <v>8</v>
      </c>
      <c r="K1435" s="229" t="s">
        <v>9</v>
      </c>
      <c r="L1435" s="93" t="s">
        <v>2340</v>
      </c>
      <c r="M1435" s="94" t="s">
        <v>3514</v>
      </c>
      <c r="N1435" s="95" t="s">
        <v>2971</v>
      </c>
      <c r="O1435" s="231">
        <v>30</v>
      </c>
      <c r="P1435" s="232">
        <v>439.5</v>
      </c>
      <c r="Q1435" s="231" t="s">
        <v>16</v>
      </c>
      <c r="R1435" s="228">
        <v>3.55</v>
      </c>
      <c r="S1435" s="228"/>
      <c r="T1435" s="233">
        <v>36.734693877551024</v>
      </c>
      <c r="U1435" s="234">
        <f t="shared" si="319"/>
        <v>1596.959693877551</v>
      </c>
      <c r="V1435" s="235">
        <f t="shared" si="323"/>
        <v>2.6615994897959183</v>
      </c>
      <c r="W1435" s="236">
        <f t="shared" si="324"/>
        <v>0.38022849854227403</v>
      </c>
      <c r="X1435" s="228"/>
      <c r="Y1435" s="228"/>
      <c r="Z1435" s="233"/>
      <c r="AA1435" s="237">
        <v>46003</v>
      </c>
      <c r="AB1435" s="237">
        <v>46024</v>
      </c>
      <c r="AC1435" s="237"/>
      <c r="AD1435" s="238">
        <f>IF(ISNA(VLOOKUP(D1435,亚马逊入库配置费!B:F,5,0)),0,VLOOKUP(D1435,亚马逊入库配置费!B:F,5,0))</f>
        <v>0.41</v>
      </c>
      <c r="AE1435" s="238">
        <f t="shared" si="320"/>
        <v>245.99999999999997</v>
      </c>
      <c r="AF1435" s="237">
        <v>46030</v>
      </c>
      <c r="AG1435" s="239">
        <f t="shared" si="321"/>
        <v>27</v>
      </c>
      <c r="AH1435" s="237">
        <v>46030</v>
      </c>
      <c r="AI1435" s="237">
        <v>46063</v>
      </c>
      <c r="AJ1435" s="231">
        <v>600</v>
      </c>
      <c r="AK1435" s="228">
        <f t="shared" si="322"/>
        <v>33</v>
      </c>
      <c r="AL1435" s="231"/>
      <c r="AM1435" s="229"/>
      <c r="AN1435" s="228"/>
      <c r="AO1435" s="228"/>
    </row>
    <row r="1436" spans="1:41" ht="14.5" x14ac:dyDescent="0.25">
      <c r="A1436" s="227" t="s">
        <v>2457</v>
      </c>
      <c r="B1436" s="228"/>
      <c r="C1436" s="228" t="s">
        <v>2445</v>
      </c>
      <c r="D1436" s="229" t="s">
        <v>2458</v>
      </c>
      <c r="E1436" s="228" t="s">
        <v>115</v>
      </c>
      <c r="F1436" s="228" t="s">
        <v>0</v>
      </c>
      <c r="G1436" s="230" t="s">
        <v>608</v>
      </c>
      <c r="H1436" s="228">
        <v>270</v>
      </c>
      <c r="I1436" s="228" t="s">
        <v>207</v>
      </c>
      <c r="J1436" s="228" t="s">
        <v>8</v>
      </c>
      <c r="K1436" s="229" t="s">
        <v>9</v>
      </c>
      <c r="L1436" s="93" t="s">
        <v>3076</v>
      </c>
      <c r="M1436" s="94" t="s">
        <v>3377</v>
      </c>
      <c r="N1436" s="95" t="s">
        <v>2869</v>
      </c>
      <c r="O1436" s="231">
        <v>9</v>
      </c>
      <c r="P1436" s="232">
        <v>131.85</v>
      </c>
      <c r="Q1436" s="231" t="s">
        <v>16</v>
      </c>
      <c r="R1436" s="228">
        <v>3.55</v>
      </c>
      <c r="S1436" s="228"/>
      <c r="T1436" s="233">
        <v>11.020408163265307</v>
      </c>
      <c r="U1436" s="234">
        <f t="shared" si="319"/>
        <v>479.08790816326524</v>
      </c>
      <c r="V1436" s="235">
        <f t="shared" si="323"/>
        <v>1.7743996598639453</v>
      </c>
      <c r="W1436" s="236">
        <f t="shared" si="324"/>
        <v>0.25348566569484932</v>
      </c>
      <c r="X1436" s="228"/>
      <c r="Y1436" s="228"/>
      <c r="Z1436" s="233"/>
      <c r="AA1436" s="237">
        <v>46003</v>
      </c>
      <c r="AB1436" s="237">
        <v>46024</v>
      </c>
      <c r="AC1436" s="237"/>
      <c r="AD1436" s="238">
        <f>IF(ISNA(VLOOKUP(D1436,亚马逊入库配置费!B:F,5,0)),0,VLOOKUP(D1436,亚马逊入库配置费!B:F,5,0))</f>
        <v>0.41</v>
      </c>
      <c r="AE1436" s="238">
        <f t="shared" si="320"/>
        <v>110.69999999999999</v>
      </c>
      <c r="AF1436" s="237">
        <v>46030</v>
      </c>
      <c r="AG1436" s="239">
        <f t="shared" si="321"/>
        <v>27</v>
      </c>
      <c r="AH1436" s="237">
        <v>46030</v>
      </c>
      <c r="AI1436" s="237">
        <v>46060</v>
      </c>
      <c r="AJ1436" s="231">
        <v>269</v>
      </c>
      <c r="AK1436" s="228">
        <f t="shared" si="322"/>
        <v>30</v>
      </c>
      <c r="AL1436" s="231"/>
      <c r="AM1436" s="229"/>
      <c r="AN1436" s="228"/>
      <c r="AO1436" s="228"/>
    </row>
    <row r="1437" spans="1:41" ht="14.5" x14ac:dyDescent="0.25">
      <c r="A1437" s="227" t="s">
        <v>2459</v>
      </c>
      <c r="B1437" s="228"/>
      <c r="C1437" s="228" t="s">
        <v>2460</v>
      </c>
      <c r="D1437" s="229" t="s">
        <v>2461</v>
      </c>
      <c r="E1437" s="228" t="s">
        <v>86</v>
      </c>
      <c r="F1437" s="228" t="s">
        <v>87</v>
      </c>
      <c r="G1437" s="230" t="s">
        <v>211</v>
      </c>
      <c r="H1437" s="228">
        <v>90</v>
      </c>
      <c r="I1437" s="228" t="s">
        <v>207</v>
      </c>
      <c r="J1437" s="228" t="s">
        <v>90</v>
      </c>
      <c r="K1437" s="229" t="s">
        <v>431</v>
      </c>
      <c r="L1437" s="93" t="s">
        <v>3034</v>
      </c>
      <c r="M1437" s="94" t="s">
        <v>3312</v>
      </c>
      <c r="N1437" s="95" t="s">
        <v>2869</v>
      </c>
      <c r="O1437" s="231">
        <v>3</v>
      </c>
      <c r="P1437" s="232">
        <v>37.799999999999997</v>
      </c>
      <c r="Q1437" s="231" t="s">
        <v>16</v>
      </c>
      <c r="R1437" s="228">
        <v>6</v>
      </c>
      <c r="S1437" s="228">
        <v>250</v>
      </c>
      <c r="T1437" s="233">
        <v>62.5</v>
      </c>
      <c r="U1437" s="234">
        <f t="shared" ref="U1437:U1465" si="325">R1437*P1437+T1437</f>
        <v>289.29999999999995</v>
      </c>
      <c r="V1437" s="235">
        <f t="shared" si="323"/>
        <v>3.2144444444444438</v>
      </c>
      <c r="W1437" s="236">
        <f t="shared" si="324"/>
        <v>0.45920634920634912</v>
      </c>
      <c r="X1437" s="228"/>
      <c r="Y1437" s="228"/>
      <c r="Z1437" s="233"/>
      <c r="AA1437" s="237">
        <v>46003</v>
      </c>
      <c r="AB1437" s="237">
        <v>46036</v>
      </c>
      <c r="AC1437" s="237"/>
      <c r="AD1437" s="238">
        <f>IF(ISNA(VLOOKUP(D1437,亚马逊入库配置费!B:F,5,0)),0,VLOOKUP(D1437,亚马逊入库配置费!B:F,5,0))</f>
        <v>0</v>
      </c>
      <c r="AE1437" s="238">
        <f t="shared" si="320"/>
        <v>0</v>
      </c>
      <c r="AF1437" s="237">
        <v>46051</v>
      </c>
      <c r="AG1437" s="239">
        <f t="shared" si="321"/>
        <v>48</v>
      </c>
      <c r="AH1437" s="237">
        <v>46051</v>
      </c>
      <c r="AI1437" s="237">
        <v>46068</v>
      </c>
      <c r="AJ1437" s="231">
        <v>90</v>
      </c>
      <c r="AK1437" s="228">
        <f t="shared" si="322"/>
        <v>17</v>
      </c>
      <c r="AL1437" s="231"/>
      <c r="AM1437" s="229"/>
      <c r="AN1437" s="228"/>
      <c r="AO1437" s="228"/>
    </row>
    <row r="1438" spans="1:41" ht="14.5" x14ac:dyDescent="0.25">
      <c r="A1438" s="227" t="s">
        <v>2462</v>
      </c>
      <c r="B1438" s="228"/>
      <c r="C1438" s="228" t="s">
        <v>2460</v>
      </c>
      <c r="D1438" s="229" t="s">
        <v>2461</v>
      </c>
      <c r="E1438" s="228" t="s">
        <v>86</v>
      </c>
      <c r="F1438" s="228" t="s">
        <v>87</v>
      </c>
      <c r="G1438" s="230" t="s">
        <v>213</v>
      </c>
      <c r="H1438" s="228">
        <v>60</v>
      </c>
      <c r="I1438" s="228" t="s">
        <v>207</v>
      </c>
      <c r="J1438" s="228" t="s">
        <v>90</v>
      </c>
      <c r="K1438" s="229" t="s">
        <v>431</v>
      </c>
      <c r="L1438" s="93" t="s">
        <v>3035</v>
      </c>
      <c r="M1438" s="94" t="s">
        <v>3313</v>
      </c>
      <c r="N1438" s="95" t="s">
        <v>2869</v>
      </c>
      <c r="O1438" s="231">
        <v>2</v>
      </c>
      <c r="P1438" s="232">
        <v>25.2</v>
      </c>
      <c r="Q1438" s="231" t="s">
        <v>16</v>
      </c>
      <c r="R1438" s="228">
        <v>6</v>
      </c>
      <c r="S1438" s="240">
        <f>SUMIF(C:C,C1437,T:T)</f>
        <v>250</v>
      </c>
      <c r="T1438" s="233">
        <v>41.666666666666664</v>
      </c>
      <c r="U1438" s="234">
        <f t="shared" si="325"/>
        <v>192.86666666666665</v>
      </c>
      <c r="V1438" s="235">
        <f t="shared" si="323"/>
        <v>3.2144444444444442</v>
      </c>
      <c r="W1438" s="236">
        <f t="shared" si="324"/>
        <v>0.45920634920634917</v>
      </c>
      <c r="X1438" s="228"/>
      <c r="Y1438" s="228"/>
      <c r="Z1438" s="233"/>
      <c r="AA1438" s="237">
        <v>46003</v>
      </c>
      <c r="AB1438" s="237">
        <v>46036</v>
      </c>
      <c r="AC1438" s="237"/>
      <c r="AD1438" s="238">
        <f>IF(ISNA(VLOOKUP(D1438,亚马逊入库配置费!B:F,5,0)),0,VLOOKUP(D1438,亚马逊入库配置费!B:F,5,0))</f>
        <v>0</v>
      </c>
      <c r="AE1438" s="238">
        <f t="shared" si="320"/>
        <v>0</v>
      </c>
      <c r="AF1438" s="237">
        <v>46051</v>
      </c>
      <c r="AG1438" s="239">
        <f t="shared" si="321"/>
        <v>48</v>
      </c>
      <c r="AH1438" s="237">
        <v>46051</v>
      </c>
      <c r="AI1438" s="237">
        <v>46068</v>
      </c>
      <c r="AJ1438" s="231">
        <v>60</v>
      </c>
      <c r="AK1438" s="228">
        <f t="shared" si="322"/>
        <v>17</v>
      </c>
      <c r="AL1438" s="231"/>
      <c r="AM1438" s="229"/>
      <c r="AN1438" s="228"/>
      <c r="AO1438" s="228"/>
    </row>
    <row r="1439" spans="1:41" ht="14.5" x14ac:dyDescent="0.25">
      <c r="A1439" s="110" t="s">
        <v>2463</v>
      </c>
      <c r="B1439" s="91"/>
      <c r="C1439" s="91" t="s">
        <v>2464</v>
      </c>
      <c r="D1439" s="92" t="s">
        <v>2465</v>
      </c>
      <c r="E1439" s="91" t="s">
        <v>97</v>
      </c>
      <c r="F1439" s="91" t="s">
        <v>0</v>
      </c>
      <c r="G1439" s="56" t="s">
        <v>1215</v>
      </c>
      <c r="H1439" s="91">
        <v>2220</v>
      </c>
      <c r="I1439" s="91" t="s">
        <v>89</v>
      </c>
      <c r="J1439" s="91" t="s">
        <v>4</v>
      </c>
      <c r="K1439" s="92" t="s">
        <v>32</v>
      </c>
      <c r="L1439" s="93" t="s">
        <v>3095</v>
      </c>
      <c r="M1439" s="94" t="s">
        <v>3436</v>
      </c>
      <c r="N1439" s="95" t="s">
        <v>2867</v>
      </c>
      <c r="O1439" s="96">
        <v>74</v>
      </c>
      <c r="P1439" s="97">
        <v>1192</v>
      </c>
      <c r="Q1439" s="96" t="s">
        <v>16</v>
      </c>
      <c r="R1439" s="91">
        <v>9.8000000000000007</v>
      </c>
      <c r="S1439" s="95">
        <v>200</v>
      </c>
      <c r="T1439" s="98">
        <v>200</v>
      </c>
      <c r="U1439" s="99">
        <f t="shared" si="325"/>
        <v>11881.6</v>
      </c>
      <c r="V1439" s="100">
        <f t="shared" si="323"/>
        <v>5.3520720720720725</v>
      </c>
      <c r="W1439" s="101">
        <f t="shared" si="324"/>
        <v>0.76458172458172469</v>
      </c>
      <c r="X1439" s="95"/>
      <c r="Y1439" s="95"/>
      <c r="Z1439" s="102"/>
      <c r="AA1439" s="103">
        <v>46003</v>
      </c>
      <c r="AB1439" s="103">
        <v>46017</v>
      </c>
      <c r="AC1439" s="103"/>
      <c r="AD1439" s="104">
        <f>IF(ISNA(VLOOKUP(D1439,亚马逊入库配置费!B:F,5,0)),0,VLOOKUP(D1439,亚马逊入库配置费!B:F,5,0))</f>
        <v>0.41</v>
      </c>
      <c r="AE1439" s="104">
        <f t="shared" si="320"/>
        <v>910.19999999999993</v>
      </c>
      <c r="AF1439" s="103">
        <v>46033</v>
      </c>
      <c r="AG1439" s="90">
        <f t="shared" si="321"/>
        <v>30</v>
      </c>
      <c r="AH1439" s="103">
        <v>46033</v>
      </c>
      <c r="AI1439" s="103">
        <v>46064</v>
      </c>
      <c r="AJ1439" s="96">
        <v>2216</v>
      </c>
      <c r="AK1439" s="91">
        <f t="shared" si="322"/>
        <v>31</v>
      </c>
      <c r="AL1439" s="96"/>
      <c r="AM1439" s="92"/>
      <c r="AN1439" s="91"/>
      <c r="AO1439" s="91"/>
    </row>
    <row r="1440" spans="1:41" ht="14.5" x14ac:dyDescent="0.25">
      <c r="A1440" s="227" t="s">
        <v>2466</v>
      </c>
      <c r="B1440" s="228"/>
      <c r="C1440" s="228" t="s">
        <v>2445</v>
      </c>
      <c r="D1440" s="229" t="s">
        <v>2467</v>
      </c>
      <c r="E1440" s="228" t="s">
        <v>97</v>
      </c>
      <c r="F1440" s="228" t="s">
        <v>0</v>
      </c>
      <c r="G1440" s="230" t="s">
        <v>2355</v>
      </c>
      <c r="H1440" s="228">
        <v>780</v>
      </c>
      <c r="I1440" s="228" t="s">
        <v>207</v>
      </c>
      <c r="J1440" s="228" t="s">
        <v>8</v>
      </c>
      <c r="K1440" s="229" t="s">
        <v>10</v>
      </c>
      <c r="L1440" s="93" t="s">
        <v>2355</v>
      </c>
      <c r="M1440" s="94" t="s">
        <v>3516</v>
      </c>
      <c r="N1440" s="95" t="s">
        <v>3099</v>
      </c>
      <c r="O1440" s="231">
        <v>65</v>
      </c>
      <c r="P1440" s="232">
        <v>1132</v>
      </c>
      <c r="Q1440" s="231" t="s">
        <v>16</v>
      </c>
      <c r="R1440" s="228">
        <v>3.55</v>
      </c>
      <c r="S1440" s="228"/>
      <c r="T1440" s="233">
        <v>79.591836734693871</v>
      </c>
      <c r="U1440" s="234">
        <f t="shared" si="325"/>
        <v>4098.1918367346934</v>
      </c>
      <c r="V1440" s="235">
        <f t="shared" si="323"/>
        <v>5.2540920983778117</v>
      </c>
      <c r="W1440" s="236">
        <f t="shared" si="324"/>
        <v>0.75058458548254448</v>
      </c>
      <c r="X1440" s="228"/>
      <c r="Y1440" s="228"/>
      <c r="Z1440" s="233"/>
      <c r="AA1440" s="237">
        <v>46003</v>
      </c>
      <c r="AB1440" s="237">
        <v>46024</v>
      </c>
      <c r="AC1440" s="237"/>
      <c r="AD1440" s="238">
        <f>IF(ISNA(VLOOKUP(D1440,亚马逊入库配置费!B:F,5,0)),0,VLOOKUP(D1440,亚马逊入库配置费!B:F,5,0))</f>
        <v>0.49</v>
      </c>
      <c r="AE1440" s="238">
        <f t="shared" si="320"/>
        <v>382.2</v>
      </c>
      <c r="AF1440" s="237">
        <v>46031</v>
      </c>
      <c r="AG1440" s="239">
        <f t="shared" si="321"/>
        <v>28</v>
      </c>
      <c r="AH1440" s="237">
        <v>46031</v>
      </c>
      <c r="AI1440" s="237">
        <v>46065</v>
      </c>
      <c r="AJ1440" s="231">
        <v>768</v>
      </c>
      <c r="AK1440" s="228">
        <f t="shared" si="322"/>
        <v>34</v>
      </c>
      <c r="AL1440" s="231"/>
      <c r="AM1440" s="229"/>
      <c r="AN1440" s="228"/>
      <c r="AO1440" s="228"/>
    </row>
    <row r="1441" spans="1:41" ht="14.5" x14ac:dyDescent="0.25">
      <c r="A1441" s="227" t="s">
        <v>2468</v>
      </c>
      <c r="B1441" s="228"/>
      <c r="C1441" s="228" t="s">
        <v>2460</v>
      </c>
      <c r="D1441" s="229" t="s">
        <v>2469</v>
      </c>
      <c r="E1441" s="228" t="s">
        <v>86</v>
      </c>
      <c r="F1441" s="228" t="s">
        <v>87</v>
      </c>
      <c r="G1441" s="230" t="s">
        <v>88</v>
      </c>
      <c r="H1441" s="228">
        <v>24</v>
      </c>
      <c r="I1441" s="228" t="s">
        <v>207</v>
      </c>
      <c r="J1441" s="228" t="s">
        <v>90</v>
      </c>
      <c r="K1441" s="229" t="s">
        <v>431</v>
      </c>
      <c r="L1441" s="93" t="s">
        <v>3014</v>
      </c>
      <c r="M1441" s="94" t="s">
        <v>3286</v>
      </c>
      <c r="N1441" s="95" t="s">
        <v>2821</v>
      </c>
      <c r="O1441" s="231">
        <v>2</v>
      </c>
      <c r="P1441" s="232">
        <v>29.1428571428571</v>
      </c>
      <c r="Q1441" s="231" t="s">
        <v>16</v>
      </c>
      <c r="R1441" s="228">
        <v>6</v>
      </c>
      <c r="S1441" s="228"/>
      <c r="T1441" s="233">
        <v>41.666666666666664</v>
      </c>
      <c r="U1441" s="234">
        <f t="shared" si="325"/>
        <v>216.52380952380926</v>
      </c>
      <c r="V1441" s="235">
        <f t="shared" si="323"/>
        <v>9.0218253968253865</v>
      </c>
      <c r="W1441" s="236">
        <f t="shared" si="324"/>
        <v>1.2888321995464838</v>
      </c>
      <c r="X1441" s="228"/>
      <c r="Y1441" s="228"/>
      <c r="Z1441" s="233"/>
      <c r="AA1441" s="237">
        <v>46003</v>
      </c>
      <c r="AB1441" s="237">
        <v>46036</v>
      </c>
      <c r="AC1441" s="237"/>
      <c r="AD1441" s="238">
        <f>IF(ISNA(VLOOKUP(D1441,亚马逊入库配置费!B:F,5,0)),0,VLOOKUP(D1441,亚马逊入库配置费!B:F,5,0))</f>
        <v>0</v>
      </c>
      <c r="AE1441" s="238">
        <f t="shared" si="320"/>
        <v>0</v>
      </c>
      <c r="AF1441" s="237">
        <v>46051</v>
      </c>
      <c r="AG1441" s="239">
        <f t="shared" si="321"/>
        <v>48</v>
      </c>
      <c r="AH1441" s="237">
        <v>46051</v>
      </c>
      <c r="AI1441" s="237">
        <v>46071</v>
      </c>
      <c r="AJ1441" s="231">
        <v>24</v>
      </c>
      <c r="AK1441" s="228">
        <f t="shared" si="322"/>
        <v>20</v>
      </c>
      <c r="AL1441" s="231"/>
      <c r="AM1441" s="229"/>
      <c r="AN1441" s="228"/>
      <c r="AO1441" s="228"/>
    </row>
    <row r="1442" spans="1:41" ht="14.5" x14ac:dyDescent="0.25">
      <c r="A1442" s="227" t="s">
        <v>2470</v>
      </c>
      <c r="B1442" s="228"/>
      <c r="C1442" s="228" t="s">
        <v>2460</v>
      </c>
      <c r="D1442" s="229" t="s">
        <v>2469</v>
      </c>
      <c r="E1442" s="228" t="s">
        <v>86</v>
      </c>
      <c r="F1442" s="228" t="s">
        <v>87</v>
      </c>
      <c r="G1442" s="230" t="s">
        <v>93</v>
      </c>
      <c r="H1442" s="228">
        <v>60</v>
      </c>
      <c r="I1442" s="228" t="s">
        <v>207</v>
      </c>
      <c r="J1442" s="228" t="s">
        <v>90</v>
      </c>
      <c r="K1442" s="229" t="s">
        <v>431</v>
      </c>
      <c r="L1442" s="93" t="s">
        <v>3015</v>
      </c>
      <c r="M1442" s="94" t="s">
        <v>3288</v>
      </c>
      <c r="N1442" s="95" t="s">
        <v>2821</v>
      </c>
      <c r="O1442" s="231">
        <v>5</v>
      </c>
      <c r="P1442" s="232">
        <v>72.857142857142904</v>
      </c>
      <c r="Q1442" s="231" t="s">
        <v>16</v>
      </c>
      <c r="R1442" s="228">
        <v>6</v>
      </c>
      <c r="S1442" s="228"/>
      <c r="T1442" s="233">
        <v>104.16666666666667</v>
      </c>
      <c r="U1442" s="234">
        <f t="shared" si="325"/>
        <v>541.30952380952408</v>
      </c>
      <c r="V1442" s="235">
        <f t="shared" si="323"/>
        <v>9.0218253968254007</v>
      </c>
      <c r="W1442" s="236">
        <f t="shared" si="324"/>
        <v>1.2888321995464858</v>
      </c>
      <c r="X1442" s="228"/>
      <c r="Y1442" s="228"/>
      <c r="Z1442" s="233"/>
      <c r="AA1442" s="237">
        <v>46003</v>
      </c>
      <c r="AB1442" s="237">
        <v>46036</v>
      </c>
      <c r="AC1442" s="237"/>
      <c r="AD1442" s="238">
        <f>IF(ISNA(VLOOKUP(D1442,亚马逊入库配置费!B:F,5,0)),0,VLOOKUP(D1442,亚马逊入库配置费!B:F,5,0))</f>
        <v>0</v>
      </c>
      <c r="AE1442" s="238">
        <f t="shared" si="320"/>
        <v>0</v>
      </c>
      <c r="AF1442" s="237">
        <v>46051</v>
      </c>
      <c r="AG1442" s="239">
        <f t="shared" si="321"/>
        <v>48</v>
      </c>
      <c r="AH1442" s="237">
        <v>46051</v>
      </c>
      <c r="AI1442" s="237">
        <v>46071</v>
      </c>
      <c r="AJ1442" s="231">
        <v>60</v>
      </c>
      <c r="AK1442" s="228">
        <f t="shared" si="322"/>
        <v>20</v>
      </c>
      <c r="AL1442" s="231"/>
      <c r="AM1442" s="229"/>
      <c r="AN1442" s="228"/>
      <c r="AO1442" s="228"/>
    </row>
    <row r="1443" spans="1:41" ht="14.5" x14ac:dyDescent="0.25">
      <c r="A1443" s="110" t="s">
        <v>2471</v>
      </c>
      <c r="B1443" s="91"/>
      <c r="C1443" s="91" t="s">
        <v>2472</v>
      </c>
      <c r="D1443" s="92" t="s">
        <v>2473</v>
      </c>
      <c r="E1443" s="91" t="s">
        <v>254</v>
      </c>
      <c r="F1443" s="91" t="s">
        <v>255</v>
      </c>
      <c r="G1443" s="56" t="s">
        <v>163</v>
      </c>
      <c r="H1443" s="91">
        <v>240</v>
      </c>
      <c r="I1443" s="91" t="s">
        <v>207</v>
      </c>
      <c r="J1443" s="91" t="s">
        <v>2313</v>
      </c>
      <c r="K1443" s="92" t="s">
        <v>475</v>
      </c>
      <c r="L1443" s="463" t="s">
        <v>2881</v>
      </c>
      <c r="M1443" s="53" t="s">
        <v>3302</v>
      </c>
      <c r="N1443" s="91" t="s">
        <v>2870</v>
      </c>
      <c r="O1443" s="96">
        <v>6</v>
      </c>
      <c r="P1443" s="455">
        <v>82.285714285714306</v>
      </c>
      <c r="Q1443" s="96" t="s">
        <v>16</v>
      </c>
      <c r="R1443" s="91">
        <v>4.7</v>
      </c>
      <c r="S1443" s="91">
        <v>550</v>
      </c>
      <c r="T1443" s="102">
        <v>235.71428571428601</v>
      </c>
      <c r="U1443" s="99">
        <f t="shared" si="325"/>
        <v>622.45714285714325</v>
      </c>
      <c r="V1443" s="100">
        <f t="shared" si="323"/>
        <v>2.5935714285714302</v>
      </c>
      <c r="W1443" s="101">
        <f t="shared" si="324"/>
        <v>0.37051020408163288</v>
      </c>
      <c r="X1443" s="91">
        <v>878.25</v>
      </c>
      <c r="Y1443" s="91">
        <v>376.39285714285717</v>
      </c>
      <c r="Z1443" s="102" t="s">
        <v>345</v>
      </c>
      <c r="AA1443" s="103">
        <v>46010</v>
      </c>
      <c r="AB1443" s="103">
        <v>46055</v>
      </c>
      <c r="AC1443" s="103"/>
      <c r="AD1443" s="104">
        <f>IF(ISNA(VLOOKUP(D1443,亚马逊入库配置费!B:F,5,0)),0,VLOOKUP(D1443,亚马逊入库配置费!B:F,5,0))</f>
        <v>0</v>
      </c>
      <c r="AE1443" s="104">
        <f t="shared" si="320"/>
        <v>0</v>
      </c>
      <c r="AF1443" s="103">
        <v>46067</v>
      </c>
      <c r="AG1443" s="90">
        <f t="shared" si="321"/>
        <v>57</v>
      </c>
      <c r="AH1443" s="103">
        <v>46067</v>
      </c>
      <c r="AI1443" s="103">
        <v>46082</v>
      </c>
      <c r="AJ1443" s="96">
        <v>240</v>
      </c>
      <c r="AK1443" s="91">
        <f t="shared" si="322"/>
        <v>15</v>
      </c>
      <c r="AL1443" s="96"/>
      <c r="AM1443" s="92"/>
      <c r="AN1443" s="91"/>
      <c r="AO1443" s="91"/>
    </row>
    <row r="1444" spans="1:41" ht="14.5" x14ac:dyDescent="0.25">
      <c r="A1444" s="110" t="s">
        <v>2474</v>
      </c>
      <c r="B1444" s="91"/>
      <c r="C1444" s="91" t="s">
        <v>2472</v>
      </c>
      <c r="D1444" s="92" t="s">
        <v>2473</v>
      </c>
      <c r="E1444" s="91" t="s">
        <v>254</v>
      </c>
      <c r="F1444" s="91" t="s">
        <v>255</v>
      </c>
      <c r="G1444" s="56" t="s">
        <v>165</v>
      </c>
      <c r="H1444" s="91">
        <v>280</v>
      </c>
      <c r="I1444" s="91" t="s">
        <v>207</v>
      </c>
      <c r="J1444" s="91" t="s">
        <v>2313</v>
      </c>
      <c r="K1444" s="92" t="s">
        <v>475</v>
      </c>
      <c r="L1444" s="463" t="s">
        <v>2880</v>
      </c>
      <c r="M1444" s="53" t="s">
        <v>3209</v>
      </c>
      <c r="N1444" s="91" t="s">
        <v>2870</v>
      </c>
      <c r="O1444" s="96">
        <v>7</v>
      </c>
      <c r="P1444" s="455">
        <v>96</v>
      </c>
      <c r="Q1444" s="96" t="s">
        <v>16</v>
      </c>
      <c r="R1444" s="91">
        <v>4.7</v>
      </c>
      <c r="S1444" s="143">
        <f>SUMIF(C:C,C1443,T:T)</f>
        <v>550.00000000000023</v>
      </c>
      <c r="T1444" s="102">
        <v>275</v>
      </c>
      <c r="U1444" s="99">
        <f t="shared" si="325"/>
        <v>726.2</v>
      </c>
      <c r="V1444" s="100">
        <f t="shared" si="323"/>
        <v>2.5935714285714289</v>
      </c>
      <c r="W1444" s="101">
        <f t="shared" si="324"/>
        <v>0.37051020408163271</v>
      </c>
      <c r="X1444" s="91"/>
      <c r="Y1444" s="91">
        <v>439.125</v>
      </c>
      <c r="Z1444" s="102" t="s">
        <v>345</v>
      </c>
      <c r="AA1444" s="103">
        <v>46010</v>
      </c>
      <c r="AB1444" s="103">
        <v>46055</v>
      </c>
      <c r="AC1444" s="103"/>
      <c r="AD1444" s="104">
        <f>IF(ISNA(VLOOKUP(D1444,亚马逊入库配置费!B:F,5,0)),0,VLOOKUP(D1444,亚马逊入库配置费!B:F,5,0))</f>
        <v>0</v>
      </c>
      <c r="AE1444" s="104">
        <f t="shared" si="320"/>
        <v>0</v>
      </c>
      <c r="AF1444" s="103">
        <v>46067</v>
      </c>
      <c r="AG1444" s="90">
        <f t="shared" si="321"/>
        <v>57</v>
      </c>
      <c r="AH1444" s="103">
        <v>46067</v>
      </c>
      <c r="AI1444" s="103">
        <v>46082</v>
      </c>
      <c r="AJ1444" s="96">
        <v>280</v>
      </c>
      <c r="AK1444" s="91">
        <f t="shared" si="322"/>
        <v>15</v>
      </c>
      <c r="AL1444" s="96"/>
      <c r="AM1444" s="92"/>
      <c r="AN1444" s="91"/>
      <c r="AO1444" s="91"/>
    </row>
    <row r="1445" spans="1:41" ht="14.5" x14ac:dyDescent="0.25">
      <c r="A1445" s="110" t="s">
        <v>2475</v>
      </c>
      <c r="B1445" s="91"/>
      <c r="C1445" s="91" t="s">
        <v>2472</v>
      </c>
      <c r="D1445" s="92" t="s">
        <v>2473</v>
      </c>
      <c r="E1445" s="91" t="s">
        <v>254</v>
      </c>
      <c r="F1445" s="91" t="s">
        <v>255</v>
      </c>
      <c r="G1445" s="56" t="s">
        <v>355</v>
      </c>
      <c r="H1445" s="91">
        <v>100</v>
      </c>
      <c r="I1445" s="91" t="s">
        <v>207</v>
      </c>
      <c r="J1445" s="91" t="s">
        <v>2313</v>
      </c>
      <c r="K1445" s="92" t="s">
        <v>475</v>
      </c>
      <c r="L1445" s="463" t="s">
        <v>2712</v>
      </c>
      <c r="M1445" s="53" t="s">
        <v>3216</v>
      </c>
      <c r="N1445" s="91" t="s">
        <v>3050</v>
      </c>
      <c r="O1445" s="96">
        <v>0.5</v>
      </c>
      <c r="P1445" s="455">
        <v>6.8571428571428603</v>
      </c>
      <c r="Q1445" s="96" t="s">
        <v>16</v>
      </c>
      <c r="R1445" s="91">
        <v>4.7</v>
      </c>
      <c r="S1445" s="91"/>
      <c r="T1445" s="102">
        <v>19.6428571428571</v>
      </c>
      <c r="U1445" s="99">
        <f t="shared" si="325"/>
        <v>51.871428571428538</v>
      </c>
      <c r="V1445" s="100">
        <f t="shared" si="323"/>
        <v>0.51871428571428535</v>
      </c>
      <c r="W1445" s="101">
        <f t="shared" si="324"/>
        <v>7.4102040816326473E-2</v>
      </c>
      <c r="X1445" s="91"/>
      <c r="Y1445" s="91">
        <v>31.366071428571427</v>
      </c>
      <c r="Z1445" s="102" t="s">
        <v>345</v>
      </c>
      <c r="AA1445" s="103">
        <v>46010</v>
      </c>
      <c r="AB1445" s="103">
        <v>46055</v>
      </c>
      <c r="AC1445" s="103"/>
      <c r="AD1445" s="104">
        <f>IF(ISNA(VLOOKUP(D1445,亚马逊入库配置费!B:F,5,0)),0,VLOOKUP(D1445,亚马逊入库配置费!B:F,5,0))</f>
        <v>0</v>
      </c>
      <c r="AE1445" s="104">
        <f t="shared" si="320"/>
        <v>0</v>
      </c>
      <c r="AF1445" s="103">
        <v>46067</v>
      </c>
      <c r="AG1445" s="90">
        <f t="shared" si="321"/>
        <v>57</v>
      </c>
      <c r="AH1445" s="103">
        <v>46067</v>
      </c>
      <c r="AI1445" s="103">
        <v>46082</v>
      </c>
      <c r="AJ1445" s="96">
        <v>100</v>
      </c>
      <c r="AK1445" s="91">
        <f t="shared" si="322"/>
        <v>15</v>
      </c>
      <c r="AL1445" s="96"/>
      <c r="AM1445" s="92"/>
      <c r="AN1445" s="91"/>
      <c r="AO1445" s="91"/>
    </row>
    <row r="1446" spans="1:41" ht="14.5" x14ac:dyDescent="0.25">
      <c r="A1446" s="110" t="s">
        <v>2476</v>
      </c>
      <c r="B1446" s="91"/>
      <c r="C1446" s="91" t="s">
        <v>2472</v>
      </c>
      <c r="D1446" s="92" t="s">
        <v>2473</v>
      </c>
      <c r="E1446" s="91" t="s">
        <v>254</v>
      </c>
      <c r="F1446" s="91" t="s">
        <v>255</v>
      </c>
      <c r="G1446" s="56" t="s">
        <v>357</v>
      </c>
      <c r="H1446" s="91">
        <v>100</v>
      </c>
      <c r="I1446" s="91" t="s">
        <v>207</v>
      </c>
      <c r="J1446" s="91" t="s">
        <v>2313</v>
      </c>
      <c r="K1446" s="92" t="s">
        <v>475</v>
      </c>
      <c r="L1446" s="463" t="s">
        <v>3051</v>
      </c>
      <c r="M1446" s="53" t="s">
        <v>3337</v>
      </c>
      <c r="N1446" s="91" t="s">
        <v>3050</v>
      </c>
      <c r="O1446" s="96">
        <v>0.5</v>
      </c>
      <c r="P1446" s="455">
        <v>6.8571428571428603</v>
      </c>
      <c r="Q1446" s="96" t="s">
        <v>16</v>
      </c>
      <c r="R1446" s="91">
        <v>4.7</v>
      </c>
      <c r="S1446" s="91"/>
      <c r="T1446" s="102">
        <v>19.6428571428571</v>
      </c>
      <c r="U1446" s="99">
        <f t="shared" si="325"/>
        <v>51.871428571428538</v>
      </c>
      <c r="V1446" s="100">
        <f t="shared" si="323"/>
        <v>0.51871428571428535</v>
      </c>
      <c r="W1446" s="101">
        <f t="shared" si="324"/>
        <v>7.4102040816326473E-2</v>
      </c>
      <c r="X1446" s="91"/>
      <c r="Y1446" s="91">
        <v>31.366071428571427</v>
      </c>
      <c r="Z1446" s="102" t="s">
        <v>345</v>
      </c>
      <c r="AA1446" s="103">
        <v>46010</v>
      </c>
      <c r="AB1446" s="103">
        <v>46055</v>
      </c>
      <c r="AC1446" s="103"/>
      <c r="AD1446" s="104">
        <f>IF(ISNA(VLOOKUP(D1446,亚马逊入库配置费!B:F,5,0)),0,VLOOKUP(D1446,亚马逊入库配置费!B:F,5,0))</f>
        <v>0</v>
      </c>
      <c r="AE1446" s="104">
        <f t="shared" si="320"/>
        <v>0</v>
      </c>
      <c r="AF1446" s="103">
        <v>46067</v>
      </c>
      <c r="AG1446" s="90">
        <f t="shared" si="321"/>
        <v>57</v>
      </c>
      <c r="AH1446" s="103">
        <v>46067</v>
      </c>
      <c r="AI1446" s="103">
        <v>46082</v>
      </c>
      <c r="AJ1446" s="96">
        <v>100</v>
      </c>
      <c r="AK1446" s="91">
        <f t="shared" si="322"/>
        <v>15</v>
      </c>
      <c r="AL1446" s="96"/>
      <c r="AM1446" s="92"/>
      <c r="AN1446" s="91"/>
      <c r="AO1446" s="91"/>
    </row>
    <row r="1447" spans="1:41" ht="14.5" x14ac:dyDescent="0.25">
      <c r="A1447" s="227" t="s">
        <v>2477</v>
      </c>
      <c r="B1447" s="228"/>
      <c r="C1447" s="228" t="s">
        <v>2478</v>
      </c>
      <c r="D1447" s="229" t="s">
        <v>2479</v>
      </c>
      <c r="E1447" s="228" t="s">
        <v>97</v>
      </c>
      <c r="F1447" s="228" t="s">
        <v>0</v>
      </c>
      <c r="G1447" s="230" t="s">
        <v>163</v>
      </c>
      <c r="H1447" s="228">
        <v>1200</v>
      </c>
      <c r="I1447" s="228" t="s">
        <v>207</v>
      </c>
      <c r="J1447" s="228" t="s">
        <v>8</v>
      </c>
      <c r="K1447" s="229" t="s">
        <v>15</v>
      </c>
      <c r="L1447" s="93" t="s">
        <v>2881</v>
      </c>
      <c r="M1447" s="94" t="s">
        <v>3302</v>
      </c>
      <c r="N1447" s="95" t="s">
        <v>2870</v>
      </c>
      <c r="O1447" s="231">
        <v>30</v>
      </c>
      <c r="P1447" s="232">
        <v>414.28333333333302</v>
      </c>
      <c r="Q1447" s="231" t="s">
        <v>16</v>
      </c>
      <c r="R1447" s="228">
        <v>3.25</v>
      </c>
      <c r="S1447" s="228">
        <v>200</v>
      </c>
      <c r="T1447" s="233">
        <v>95.238095238095198</v>
      </c>
      <c r="U1447" s="234">
        <f t="shared" si="325"/>
        <v>1441.6589285714274</v>
      </c>
      <c r="V1447" s="235">
        <f t="shared" si="323"/>
        <v>1.2013824404761895</v>
      </c>
      <c r="W1447" s="236">
        <f t="shared" si="324"/>
        <v>0.17162606292516994</v>
      </c>
      <c r="X1447" s="228"/>
      <c r="Y1447" s="228"/>
      <c r="Z1447" s="233"/>
      <c r="AA1447" s="237">
        <v>46010</v>
      </c>
      <c r="AB1447" s="237">
        <v>46031</v>
      </c>
      <c r="AC1447" s="237"/>
      <c r="AD1447" s="238">
        <f>IF(ISNA(VLOOKUP(D1447,亚马逊入库配置费!B:F,5,0)),0,VLOOKUP(D1447,亚马逊入库配置费!B:F,5,0))</f>
        <v>0.33999999999999997</v>
      </c>
      <c r="AE1447" s="238">
        <f t="shared" si="320"/>
        <v>407.99999999999994</v>
      </c>
      <c r="AF1447" s="237">
        <v>46044</v>
      </c>
      <c r="AG1447" s="239">
        <f t="shared" si="321"/>
        <v>34</v>
      </c>
      <c r="AH1447" s="237">
        <v>46044</v>
      </c>
      <c r="AI1447" s="237">
        <v>46077</v>
      </c>
      <c r="AJ1447" s="231">
        <v>1232</v>
      </c>
      <c r="AK1447" s="228">
        <f t="shared" si="322"/>
        <v>33</v>
      </c>
      <c r="AL1447" s="231"/>
      <c r="AM1447" s="229"/>
      <c r="AN1447" s="228"/>
      <c r="AO1447" s="228"/>
    </row>
    <row r="1448" spans="1:41" ht="14.5" x14ac:dyDescent="0.25">
      <c r="A1448" s="227" t="s">
        <v>2480</v>
      </c>
      <c r="B1448" s="228"/>
      <c r="C1448" s="228" t="s">
        <v>2478</v>
      </c>
      <c r="D1448" s="229" t="s">
        <v>2479</v>
      </c>
      <c r="E1448" s="228" t="s">
        <v>97</v>
      </c>
      <c r="F1448" s="228" t="s">
        <v>0</v>
      </c>
      <c r="G1448" s="230" t="s">
        <v>1213</v>
      </c>
      <c r="H1448" s="228">
        <v>800</v>
      </c>
      <c r="I1448" s="228" t="s">
        <v>207</v>
      </c>
      <c r="J1448" s="228" t="s">
        <v>8</v>
      </c>
      <c r="K1448" s="229" t="s">
        <v>15</v>
      </c>
      <c r="L1448" s="93" t="s">
        <v>1213</v>
      </c>
      <c r="M1448" s="94" t="s">
        <v>3435</v>
      </c>
      <c r="N1448" s="95" t="s">
        <v>2867</v>
      </c>
      <c r="O1448" s="231">
        <v>20</v>
      </c>
      <c r="P1448" s="232">
        <v>276.18888888888898</v>
      </c>
      <c r="Q1448" s="231" t="s">
        <v>16</v>
      </c>
      <c r="R1448" s="228">
        <v>3.25</v>
      </c>
      <c r="S1448" s="240">
        <f>SUMIF(C:C,C1447,T:T)</f>
        <v>200.00000000000003</v>
      </c>
      <c r="T1448" s="233">
        <v>63.492063492063501</v>
      </c>
      <c r="U1448" s="234">
        <f t="shared" si="325"/>
        <v>961.10595238095266</v>
      </c>
      <c r="V1448" s="235">
        <f t="shared" si="323"/>
        <v>1.2013824404761908</v>
      </c>
      <c r="W1448" s="236">
        <f t="shared" si="324"/>
        <v>0.1716260629251701</v>
      </c>
      <c r="X1448" s="228"/>
      <c r="Y1448" s="228"/>
      <c r="Z1448" s="233"/>
      <c r="AA1448" s="237">
        <v>46010</v>
      </c>
      <c r="AB1448" s="237">
        <v>46031</v>
      </c>
      <c r="AC1448" s="237"/>
      <c r="AD1448" s="238">
        <f>IF(ISNA(VLOOKUP(D1448,亚马逊入库配置费!B:F,5,0)),0,VLOOKUP(D1448,亚马逊入库配置费!B:F,5,0))</f>
        <v>0.33999999999999997</v>
      </c>
      <c r="AE1448" s="238">
        <f t="shared" si="320"/>
        <v>272</v>
      </c>
      <c r="AF1448" s="237">
        <v>46044</v>
      </c>
      <c r="AG1448" s="239">
        <f t="shared" si="321"/>
        <v>34</v>
      </c>
      <c r="AH1448" s="237">
        <v>46044</v>
      </c>
      <c r="AI1448" s="237">
        <v>46077</v>
      </c>
      <c r="AJ1448" s="231">
        <v>797</v>
      </c>
      <c r="AK1448" s="228">
        <f t="shared" si="322"/>
        <v>33</v>
      </c>
      <c r="AL1448" s="231"/>
      <c r="AM1448" s="229"/>
      <c r="AN1448" s="228"/>
      <c r="AO1448" s="228"/>
    </row>
    <row r="1449" spans="1:41" ht="14.5" x14ac:dyDescent="0.25">
      <c r="A1449" s="227" t="s">
        <v>2481</v>
      </c>
      <c r="B1449" s="228"/>
      <c r="C1449" s="228" t="s">
        <v>2478</v>
      </c>
      <c r="D1449" s="229" t="s">
        <v>2479</v>
      </c>
      <c r="E1449" s="228" t="s">
        <v>97</v>
      </c>
      <c r="F1449" s="228" t="s">
        <v>0</v>
      </c>
      <c r="G1449" s="230" t="s">
        <v>2136</v>
      </c>
      <c r="H1449" s="228">
        <v>160</v>
      </c>
      <c r="I1449" s="228" t="s">
        <v>207</v>
      </c>
      <c r="J1449" s="228" t="s">
        <v>8</v>
      </c>
      <c r="K1449" s="229" t="s">
        <v>15</v>
      </c>
      <c r="L1449" s="93" t="s">
        <v>2136</v>
      </c>
      <c r="M1449" s="94" t="s">
        <v>3473</v>
      </c>
      <c r="N1449" s="95" t="s">
        <v>2867</v>
      </c>
      <c r="O1449" s="231">
        <v>4</v>
      </c>
      <c r="P1449" s="232">
        <v>55.237777777777801</v>
      </c>
      <c r="Q1449" s="231" t="s">
        <v>16</v>
      </c>
      <c r="R1449" s="228">
        <v>3.25</v>
      </c>
      <c r="S1449" s="228"/>
      <c r="T1449" s="233">
        <v>12.698412698412699</v>
      </c>
      <c r="U1449" s="234">
        <f t="shared" si="325"/>
        <v>192.22119047619057</v>
      </c>
      <c r="V1449" s="235">
        <f t="shared" si="323"/>
        <v>1.201382440476191</v>
      </c>
      <c r="W1449" s="236">
        <f t="shared" si="324"/>
        <v>0.17162606292517016</v>
      </c>
      <c r="X1449" s="228"/>
      <c r="Y1449" s="228"/>
      <c r="Z1449" s="233"/>
      <c r="AA1449" s="237">
        <v>46010</v>
      </c>
      <c r="AB1449" s="237">
        <v>46031</v>
      </c>
      <c r="AC1449" s="237"/>
      <c r="AD1449" s="238">
        <f>IF(ISNA(VLOOKUP(D1449,亚马逊入库配置费!B:F,5,0)),0,VLOOKUP(D1449,亚马逊入库配置费!B:F,5,0))</f>
        <v>0.33999999999999997</v>
      </c>
      <c r="AE1449" s="238">
        <f t="shared" si="320"/>
        <v>54.399999999999991</v>
      </c>
      <c r="AF1449" s="237">
        <v>46044</v>
      </c>
      <c r="AG1449" s="239">
        <f t="shared" si="321"/>
        <v>34</v>
      </c>
      <c r="AH1449" s="237">
        <v>46044</v>
      </c>
      <c r="AI1449" s="237">
        <v>46077</v>
      </c>
      <c r="AJ1449" s="231">
        <v>160</v>
      </c>
      <c r="AK1449" s="228">
        <f t="shared" si="322"/>
        <v>33</v>
      </c>
      <c r="AL1449" s="231"/>
      <c r="AM1449" s="229"/>
      <c r="AN1449" s="228"/>
      <c r="AO1449" s="228"/>
    </row>
    <row r="1450" spans="1:41" s="461" customFormat="1" ht="14.5" x14ac:dyDescent="0.25">
      <c r="A1450" s="460" t="s">
        <v>2482</v>
      </c>
      <c r="B1450" s="422"/>
      <c r="C1450" s="422" t="s">
        <v>2483</v>
      </c>
      <c r="D1450" s="423" t="s">
        <v>2484</v>
      </c>
      <c r="E1450" s="422" t="s">
        <v>97</v>
      </c>
      <c r="F1450" s="422" t="s">
        <v>0</v>
      </c>
      <c r="G1450" s="424" t="s">
        <v>1195</v>
      </c>
      <c r="H1450" s="422">
        <v>750</v>
      </c>
      <c r="I1450" s="422" t="s">
        <v>89</v>
      </c>
      <c r="J1450" s="422" t="s">
        <v>8</v>
      </c>
      <c r="K1450" s="423" t="s">
        <v>44</v>
      </c>
      <c r="L1450" s="425" t="s">
        <v>1195</v>
      </c>
      <c r="M1450" s="426" t="s">
        <v>3433</v>
      </c>
      <c r="N1450" s="422" t="s">
        <v>2870</v>
      </c>
      <c r="O1450" s="427">
        <v>25</v>
      </c>
      <c r="P1450" s="456">
        <v>388.269230769231</v>
      </c>
      <c r="Q1450" s="427" t="s">
        <v>16</v>
      </c>
      <c r="R1450" s="422">
        <v>3.3</v>
      </c>
      <c r="S1450" s="422">
        <v>200</v>
      </c>
      <c r="T1450" s="428">
        <v>17.482517482517501</v>
      </c>
      <c r="U1450" s="429">
        <f t="shared" si="325"/>
        <v>1298.7709790209799</v>
      </c>
      <c r="V1450" s="430">
        <f t="shared" si="323"/>
        <v>1.7316946386946399</v>
      </c>
      <c r="W1450" s="431">
        <f t="shared" si="324"/>
        <v>0.24738494838494857</v>
      </c>
      <c r="X1450" s="422"/>
      <c r="Y1450" s="422"/>
      <c r="Z1450" s="428"/>
      <c r="AA1450" s="432">
        <v>46010</v>
      </c>
      <c r="AB1450" s="432">
        <v>46036</v>
      </c>
      <c r="AC1450" s="432"/>
      <c r="AD1450" s="433">
        <f>IF(ISNA(VLOOKUP(D1450,亚马逊入库配置费!B:F,5,0)),0,VLOOKUP(D1450,亚马逊入库配置费!B:F,5,0))</f>
        <v>0.41</v>
      </c>
      <c r="AE1450" s="433">
        <f t="shared" si="320"/>
        <v>307.5</v>
      </c>
      <c r="AF1450" s="432">
        <v>46045</v>
      </c>
      <c r="AG1450" s="421">
        <f t="shared" si="321"/>
        <v>35</v>
      </c>
      <c r="AH1450" s="432">
        <v>46045</v>
      </c>
      <c r="AI1450" s="432">
        <v>46081</v>
      </c>
      <c r="AJ1450" s="427">
        <v>721</v>
      </c>
      <c r="AK1450" s="422">
        <f t="shared" si="322"/>
        <v>36</v>
      </c>
      <c r="AL1450" s="427"/>
      <c r="AM1450" s="423"/>
      <c r="AN1450" s="422"/>
      <c r="AO1450" s="422"/>
    </row>
    <row r="1451" spans="1:41" s="461" customFormat="1" ht="14.5" x14ac:dyDescent="0.25">
      <c r="A1451" s="460" t="s">
        <v>2485</v>
      </c>
      <c r="B1451" s="422"/>
      <c r="C1451" s="422" t="s">
        <v>2483</v>
      </c>
      <c r="D1451" s="423" t="s">
        <v>2484</v>
      </c>
      <c r="E1451" s="422" t="s">
        <v>97</v>
      </c>
      <c r="F1451" s="422" t="s">
        <v>0</v>
      </c>
      <c r="G1451" s="424" t="s">
        <v>872</v>
      </c>
      <c r="H1451" s="422">
        <v>990</v>
      </c>
      <c r="I1451" s="422" t="s">
        <v>89</v>
      </c>
      <c r="J1451" s="422" t="s">
        <v>8</v>
      </c>
      <c r="K1451" s="423" t="s">
        <v>44</v>
      </c>
      <c r="L1451" s="425" t="s">
        <v>872</v>
      </c>
      <c r="M1451" s="426" t="s">
        <v>3399</v>
      </c>
      <c r="N1451" s="422" t="s">
        <v>2870</v>
      </c>
      <c r="O1451" s="427">
        <v>33</v>
      </c>
      <c r="P1451" s="456">
        <v>512.51538461538496</v>
      </c>
      <c r="Q1451" s="427" t="s">
        <v>16</v>
      </c>
      <c r="R1451" s="422">
        <v>3.3</v>
      </c>
      <c r="S1451" s="436">
        <f>SUMIF(C:C,C1450,T:T)</f>
        <v>200.00000000000011</v>
      </c>
      <c r="T1451" s="428">
        <v>23.076923076923102</v>
      </c>
      <c r="U1451" s="429">
        <f t="shared" si="325"/>
        <v>1714.3776923076935</v>
      </c>
      <c r="V1451" s="430">
        <f t="shared" si="323"/>
        <v>1.7316946386946399</v>
      </c>
      <c r="W1451" s="431">
        <f t="shared" si="324"/>
        <v>0.24738494838494857</v>
      </c>
      <c r="X1451" s="422"/>
      <c r="Y1451" s="422"/>
      <c r="Z1451" s="428"/>
      <c r="AA1451" s="432">
        <v>46010</v>
      </c>
      <c r="AB1451" s="432">
        <v>46036</v>
      </c>
      <c r="AC1451" s="432"/>
      <c r="AD1451" s="433">
        <f>IF(ISNA(VLOOKUP(D1451,亚马逊入库配置费!B:F,5,0)),0,VLOOKUP(D1451,亚马逊入库配置费!B:F,5,0))</f>
        <v>0.41</v>
      </c>
      <c r="AE1451" s="433">
        <f t="shared" si="320"/>
        <v>405.9</v>
      </c>
      <c r="AF1451" s="432">
        <v>46045</v>
      </c>
      <c r="AG1451" s="421">
        <f t="shared" si="321"/>
        <v>35</v>
      </c>
      <c r="AH1451" s="432">
        <v>46045</v>
      </c>
      <c r="AI1451" s="432">
        <v>46081</v>
      </c>
      <c r="AJ1451" s="427">
        <v>981</v>
      </c>
      <c r="AK1451" s="422">
        <f t="shared" si="322"/>
        <v>36</v>
      </c>
      <c r="AL1451" s="427"/>
      <c r="AM1451" s="423"/>
      <c r="AN1451" s="422"/>
      <c r="AO1451" s="422"/>
    </row>
    <row r="1452" spans="1:41" s="461" customFormat="1" ht="14.5" x14ac:dyDescent="0.25">
      <c r="A1452" s="460" t="s">
        <v>2486</v>
      </c>
      <c r="B1452" s="422"/>
      <c r="C1452" s="422" t="s">
        <v>2483</v>
      </c>
      <c r="D1452" s="423" t="s">
        <v>2484</v>
      </c>
      <c r="E1452" s="422" t="s">
        <v>97</v>
      </c>
      <c r="F1452" s="422" t="s">
        <v>0</v>
      </c>
      <c r="G1452" s="424" t="s">
        <v>1215</v>
      </c>
      <c r="H1452" s="422">
        <v>1620</v>
      </c>
      <c r="I1452" s="422" t="s">
        <v>89</v>
      </c>
      <c r="J1452" s="422" t="s">
        <v>8</v>
      </c>
      <c r="K1452" s="423" t="s">
        <v>44</v>
      </c>
      <c r="L1452" s="425" t="s">
        <v>3095</v>
      </c>
      <c r="M1452" s="426" t="s">
        <v>3436</v>
      </c>
      <c r="N1452" s="422" t="s">
        <v>2867</v>
      </c>
      <c r="O1452" s="427">
        <v>54</v>
      </c>
      <c r="P1452" s="456">
        <v>838.66153846153895</v>
      </c>
      <c r="Q1452" s="427" t="s">
        <v>16</v>
      </c>
      <c r="R1452" s="422">
        <v>3.3</v>
      </c>
      <c r="S1452" s="422"/>
      <c r="T1452" s="428">
        <v>37.762237762237802</v>
      </c>
      <c r="U1452" s="429">
        <f t="shared" si="325"/>
        <v>2805.3453146853162</v>
      </c>
      <c r="V1452" s="430">
        <f t="shared" si="323"/>
        <v>1.7316946386946397</v>
      </c>
      <c r="W1452" s="431">
        <f t="shared" si="324"/>
        <v>0.24738494838494854</v>
      </c>
      <c r="X1452" s="422"/>
      <c r="Y1452" s="422"/>
      <c r="Z1452" s="428"/>
      <c r="AA1452" s="432">
        <v>46010</v>
      </c>
      <c r="AB1452" s="432">
        <v>46036</v>
      </c>
      <c r="AC1452" s="432"/>
      <c r="AD1452" s="433">
        <f>IF(ISNA(VLOOKUP(D1452,亚马逊入库配置费!B:F,5,0)),0,VLOOKUP(D1452,亚马逊入库配置费!B:F,5,0))</f>
        <v>0.41</v>
      </c>
      <c r="AE1452" s="433">
        <f t="shared" si="320"/>
        <v>664.19999999999993</v>
      </c>
      <c r="AF1452" s="432">
        <v>46045</v>
      </c>
      <c r="AG1452" s="421">
        <f t="shared" si="321"/>
        <v>35</v>
      </c>
      <c r="AH1452" s="432">
        <v>46045</v>
      </c>
      <c r="AI1452" s="432">
        <v>46081</v>
      </c>
      <c r="AJ1452" s="427">
        <v>1610</v>
      </c>
      <c r="AK1452" s="422">
        <f t="shared" si="322"/>
        <v>36</v>
      </c>
      <c r="AL1452" s="427"/>
      <c r="AM1452" s="423"/>
      <c r="AN1452" s="422"/>
      <c r="AO1452" s="422"/>
    </row>
    <row r="1453" spans="1:41" s="461" customFormat="1" ht="14.5" x14ac:dyDescent="0.25">
      <c r="A1453" s="460" t="s">
        <v>2487</v>
      </c>
      <c r="B1453" s="422"/>
      <c r="C1453" s="422" t="s">
        <v>2483</v>
      </c>
      <c r="D1453" s="423" t="s">
        <v>2484</v>
      </c>
      <c r="E1453" s="422" t="s">
        <v>97</v>
      </c>
      <c r="F1453" s="422" t="s">
        <v>0</v>
      </c>
      <c r="G1453" s="424" t="s">
        <v>1851</v>
      </c>
      <c r="H1453" s="422">
        <v>540</v>
      </c>
      <c r="I1453" s="422" t="s">
        <v>89</v>
      </c>
      <c r="J1453" s="422" t="s">
        <v>8</v>
      </c>
      <c r="K1453" s="423" t="s">
        <v>44</v>
      </c>
      <c r="L1453" s="425" t="s">
        <v>1851</v>
      </c>
      <c r="M1453" s="426" t="s">
        <v>3454</v>
      </c>
      <c r="N1453" s="422" t="s">
        <v>2867</v>
      </c>
      <c r="O1453" s="427">
        <v>18</v>
      </c>
      <c r="P1453" s="456">
        <v>279.553846153846</v>
      </c>
      <c r="Q1453" s="427" t="s">
        <v>16</v>
      </c>
      <c r="R1453" s="422">
        <v>3.3</v>
      </c>
      <c r="S1453" s="422"/>
      <c r="T1453" s="428">
        <v>12.587412587412601</v>
      </c>
      <c r="U1453" s="429">
        <f t="shared" si="325"/>
        <v>935.11510489510431</v>
      </c>
      <c r="V1453" s="430">
        <f t="shared" si="323"/>
        <v>1.7316946386946377</v>
      </c>
      <c r="W1453" s="431">
        <f t="shared" si="324"/>
        <v>0.24738494838494823</v>
      </c>
      <c r="X1453" s="422"/>
      <c r="Y1453" s="422"/>
      <c r="Z1453" s="428"/>
      <c r="AA1453" s="432">
        <v>46010</v>
      </c>
      <c r="AB1453" s="432">
        <v>46036</v>
      </c>
      <c r="AC1453" s="432"/>
      <c r="AD1453" s="433">
        <f>IF(ISNA(VLOOKUP(D1453,亚马逊入库配置费!B:F,5,0)),0,VLOOKUP(D1453,亚马逊入库配置费!B:F,5,0))</f>
        <v>0.41</v>
      </c>
      <c r="AE1453" s="433">
        <f t="shared" si="320"/>
        <v>221.39999999999998</v>
      </c>
      <c r="AF1453" s="432">
        <v>46045</v>
      </c>
      <c r="AG1453" s="421">
        <f t="shared" si="321"/>
        <v>35</v>
      </c>
      <c r="AH1453" s="432">
        <v>46045</v>
      </c>
      <c r="AI1453" s="432">
        <v>46081</v>
      </c>
      <c r="AJ1453" s="427">
        <v>537</v>
      </c>
      <c r="AK1453" s="422">
        <f t="shared" si="322"/>
        <v>36</v>
      </c>
      <c r="AL1453" s="427"/>
      <c r="AM1453" s="423"/>
      <c r="AN1453" s="422"/>
      <c r="AO1453" s="422"/>
    </row>
    <row r="1454" spans="1:41" ht="14.5" x14ac:dyDescent="0.25">
      <c r="A1454" s="227" t="s">
        <v>2488</v>
      </c>
      <c r="B1454" s="228"/>
      <c r="C1454" s="228" t="s">
        <v>2478</v>
      </c>
      <c r="D1454" s="229" t="s">
        <v>2489</v>
      </c>
      <c r="E1454" s="228" t="s">
        <v>97</v>
      </c>
      <c r="F1454" s="228" t="s">
        <v>0</v>
      </c>
      <c r="G1454" s="230" t="s">
        <v>2228</v>
      </c>
      <c r="H1454" s="228">
        <v>270</v>
      </c>
      <c r="I1454" s="228" t="s">
        <v>207</v>
      </c>
      <c r="J1454" s="228" t="s">
        <v>8</v>
      </c>
      <c r="K1454" s="229" t="s">
        <v>15</v>
      </c>
      <c r="L1454" s="93" t="s">
        <v>2228</v>
      </c>
      <c r="M1454" s="94" t="s">
        <v>3496</v>
      </c>
      <c r="N1454" s="95" t="s">
        <v>2870</v>
      </c>
      <c r="O1454" s="231">
        <v>9</v>
      </c>
      <c r="P1454" s="232">
        <v>124.29</v>
      </c>
      <c r="Q1454" s="231" t="s">
        <v>16</v>
      </c>
      <c r="R1454" s="228">
        <v>3.25</v>
      </c>
      <c r="S1454" s="228"/>
      <c r="T1454" s="233">
        <v>28.571428571428601</v>
      </c>
      <c r="U1454" s="234">
        <f t="shared" si="325"/>
        <v>432.51392857142861</v>
      </c>
      <c r="V1454" s="235">
        <f t="shared" si="323"/>
        <v>1.6019034391534392</v>
      </c>
      <c r="W1454" s="236">
        <f t="shared" si="324"/>
        <v>0.22884334845049131</v>
      </c>
      <c r="X1454" s="228"/>
      <c r="Y1454" s="228"/>
      <c r="Z1454" s="233"/>
      <c r="AA1454" s="237">
        <v>46010</v>
      </c>
      <c r="AB1454" s="237">
        <v>46031</v>
      </c>
      <c r="AC1454" s="237"/>
      <c r="AD1454" s="238">
        <f>IF(ISNA(VLOOKUP(D1454,亚马逊入库配置费!B:F,5,0)),0,VLOOKUP(D1454,亚马逊入库配置费!B:F,5,0))</f>
        <v>0.41000000000000003</v>
      </c>
      <c r="AE1454" s="238">
        <f t="shared" si="320"/>
        <v>110.7</v>
      </c>
      <c r="AF1454" s="237">
        <v>46044</v>
      </c>
      <c r="AG1454" s="239">
        <f t="shared" si="321"/>
        <v>34</v>
      </c>
      <c r="AH1454" s="237">
        <v>46044</v>
      </c>
      <c r="AI1454" s="237">
        <v>46077</v>
      </c>
      <c r="AJ1454" s="231">
        <v>270</v>
      </c>
      <c r="AK1454" s="228">
        <f t="shared" si="322"/>
        <v>33</v>
      </c>
      <c r="AL1454" s="231"/>
      <c r="AM1454" s="229"/>
      <c r="AN1454" s="228"/>
      <c r="AO1454" s="228"/>
    </row>
    <row r="1455" spans="1:41" ht="14.5" x14ac:dyDescent="0.25">
      <c r="A1455" s="227" t="s">
        <v>2490</v>
      </c>
      <c r="B1455" s="228"/>
      <c r="C1455" s="228" t="s">
        <v>2491</v>
      </c>
      <c r="D1455" s="229" t="s">
        <v>2492</v>
      </c>
      <c r="E1455" s="228" t="s">
        <v>97</v>
      </c>
      <c r="F1455" s="228" t="s">
        <v>0</v>
      </c>
      <c r="G1455" s="230" t="s">
        <v>1195</v>
      </c>
      <c r="H1455" s="228">
        <v>480</v>
      </c>
      <c r="I1455" s="228" t="s">
        <v>207</v>
      </c>
      <c r="J1455" s="228" t="s">
        <v>2412</v>
      </c>
      <c r="K1455" s="229" t="s">
        <v>15</v>
      </c>
      <c r="L1455" s="93" t="s">
        <v>1195</v>
      </c>
      <c r="M1455" s="94" t="s">
        <v>3433</v>
      </c>
      <c r="N1455" s="95" t="s">
        <v>2870</v>
      </c>
      <c r="O1455" s="231">
        <v>16</v>
      </c>
      <c r="P1455" s="232">
        <v>255.48307692307699</v>
      </c>
      <c r="Q1455" s="231" t="s">
        <v>16</v>
      </c>
      <c r="R1455" s="228">
        <v>9.5</v>
      </c>
      <c r="S1455" s="228">
        <v>200</v>
      </c>
      <c r="T1455" s="233">
        <v>103.225806451613</v>
      </c>
      <c r="U1455" s="234">
        <f t="shared" si="325"/>
        <v>2530.3150372208447</v>
      </c>
      <c r="V1455" s="235">
        <f t="shared" si="323"/>
        <v>5.2714896608767594</v>
      </c>
      <c r="W1455" s="236">
        <f t="shared" si="324"/>
        <v>0.75306995155382273</v>
      </c>
      <c r="X1455" s="228"/>
      <c r="Y1455" s="228"/>
      <c r="Z1455" s="233"/>
      <c r="AA1455" s="237">
        <v>46010</v>
      </c>
      <c r="AB1455" s="237">
        <v>46026</v>
      </c>
      <c r="AC1455" s="237"/>
      <c r="AD1455" s="238">
        <f>IF(ISNA(VLOOKUP(D1455,亚马逊入库配置费!B:F,5,0)),0,VLOOKUP(D1455,亚马逊入库配置费!B:F,5,0))</f>
        <v>0.41000000000000003</v>
      </c>
      <c r="AE1455" s="238">
        <f t="shared" si="320"/>
        <v>196.8</v>
      </c>
      <c r="AF1455" s="237">
        <v>46030</v>
      </c>
      <c r="AG1455" s="239">
        <f t="shared" si="321"/>
        <v>20</v>
      </c>
      <c r="AH1455" s="237">
        <v>46030</v>
      </c>
      <c r="AI1455" s="237">
        <v>46063</v>
      </c>
      <c r="AJ1455" s="231">
        <v>480</v>
      </c>
      <c r="AK1455" s="228">
        <f t="shared" si="322"/>
        <v>33</v>
      </c>
      <c r="AL1455" s="231"/>
      <c r="AM1455" s="229"/>
      <c r="AN1455" s="228"/>
      <c r="AO1455" s="228"/>
    </row>
    <row r="1456" spans="1:41" ht="14.5" x14ac:dyDescent="0.25">
      <c r="A1456" s="227" t="s">
        <v>2493</v>
      </c>
      <c r="B1456" s="228"/>
      <c r="C1456" s="228" t="s">
        <v>2491</v>
      </c>
      <c r="D1456" s="229" t="s">
        <v>2492</v>
      </c>
      <c r="E1456" s="228" t="s">
        <v>97</v>
      </c>
      <c r="F1456" s="228" t="s">
        <v>0</v>
      </c>
      <c r="G1456" s="230" t="s">
        <v>1198</v>
      </c>
      <c r="H1456" s="228">
        <v>300</v>
      </c>
      <c r="I1456" s="228" t="s">
        <v>207</v>
      </c>
      <c r="J1456" s="228" t="s">
        <v>2412</v>
      </c>
      <c r="K1456" s="229" t="s">
        <v>15</v>
      </c>
      <c r="L1456" s="93" t="s">
        <v>1198</v>
      </c>
      <c r="M1456" s="94" t="s">
        <v>3434</v>
      </c>
      <c r="N1456" s="95" t="s">
        <v>2870</v>
      </c>
      <c r="O1456" s="231">
        <v>10</v>
      </c>
      <c r="P1456" s="232">
        <v>159.676923076923</v>
      </c>
      <c r="Q1456" s="231" t="s">
        <v>16</v>
      </c>
      <c r="R1456" s="228">
        <v>9.5</v>
      </c>
      <c r="S1456" s="240">
        <f>SUMIF(C:C,C1455,T:T)</f>
        <v>200.00000000000009</v>
      </c>
      <c r="T1456" s="233">
        <v>64.516129032258107</v>
      </c>
      <c r="U1456" s="234">
        <f t="shared" si="325"/>
        <v>1581.4468982630265</v>
      </c>
      <c r="V1456" s="235">
        <f t="shared" si="323"/>
        <v>5.271489660876755</v>
      </c>
      <c r="W1456" s="236">
        <f t="shared" si="324"/>
        <v>0.75306995155382217</v>
      </c>
      <c r="X1456" s="228"/>
      <c r="Y1456" s="228"/>
      <c r="Z1456" s="233"/>
      <c r="AA1456" s="237">
        <v>46010</v>
      </c>
      <c r="AB1456" s="237">
        <v>46026</v>
      </c>
      <c r="AC1456" s="237"/>
      <c r="AD1456" s="238">
        <f>IF(ISNA(VLOOKUP(D1456,亚马逊入库配置费!B:F,5,0)),0,VLOOKUP(D1456,亚马逊入库配置费!B:F,5,0))</f>
        <v>0.41000000000000003</v>
      </c>
      <c r="AE1456" s="238">
        <f t="shared" si="320"/>
        <v>123.00000000000001</v>
      </c>
      <c r="AF1456" s="237">
        <v>46030</v>
      </c>
      <c r="AG1456" s="239">
        <f t="shared" si="321"/>
        <v>20</v>
      </c>
      <c r="AH1456" s="237">
        <v>46030</v>
      </c>
      <c r="AI1456" s="237">
        <v>46063</v>
      </c>
      <c r="AJ1456" s="231">
        <v>298</v>
      </c>
      <c r="AK1456" s="228">
        <f t="shared" si="322"/>
        <v>33</v>
      </c>
      <c r="AL1456" s="231"/>
      <c r="AM1456" s="229"/>
      <c r="AN1456" s="228"/>
      <c r="AO1456" s="228"/>
    </row>
    <row r="1457" spans="1:41" ht="14.5" x14ac:dyDescent="0.25">
      <c r="A1457" s="227" t="s">
        <v>2494</v>
      </c>
      <c r="B1457" s="228"/>
      <c r="C1457" s="228" t="s">
        <v>2491</v>
      </c>
      <c r="D1457" s="229" t="s">
        <v>2495</v>
      </c>
      <c r="E1457" s="228" t="s">
        <v>97</v>
      </c>
      <c r="F1457" s="228" t="s">
        <v>0</v>
      </c>
      <c r="G1457" s="230" t="s">
        <v>1213</v>
      </c>
      <c r="H1457" s="228">
        <v>200</v>
      </c>
      <c r="I1457" s="228" t="s">
        <v>207</v>
      </c>
      <c r="J1457" s="228" t="s">
        <v>2412</v>
      </c>
      <c r="K1457" s="229" t="s">
        <v>15</v>
      </c>
      <c r="L1457" s="93" t="s">
        <v>1213</v>
      </c>
      <c r="M1457" s="94" t="s">
        <v>3435</v>
      </c>
      <c r="N1457" s="95" t="s">
        <v>2867</v>
      </c>
      <c r="O1457" s="231">
        <v>5</v>
      </c>
      <c r="P1457" s="232">
        <v>79.84</v>
      </c>
      <c r="Q1457" s="231" t="s">
        <v>16</v>
      </c>
      <c r="R1457" s="228">
        <v>9.5</v>
      </c>
      <c r="S1457" s="228"/>
      <c r="T1457" s="233">
        <v>32.258064516128997</v>
      </c>
      <c r="U1457" s="234">
        <f t="shared" si="325"/>
        <v>790.73806451612904</v>
      </c>
      <c r="V1457" s="235">
        <f t="shared" si="323"/>
        <v>3.9536903225806452</v>
      </c>
      <c r="W1457" s="236">
        <f t="shared" si="324"/>
        <v>0.56481290322580646</v>
      </c>
      <c r="X1457" s="228"/>
      <c r="Y1457" s="228"/>
      <c r="Z1457" s="233"/>
      <c r="AA1457" s="237">
        <v>46010</v>
      </c>
      <c r="AB1457" s="237">
        <v>46026</v>
      </c>
      <c r="AC1457" s="237"/>
      <c r="AD1457" s="238">
        <f>IF(ISNA(VLOOKUP(D1457,亚马逊入库配置费!B:F,5,0)),0,VLOOKUP(D1457,亚马逊入库配置费!B:F,5,0))</f>
        <v>0.34</v>
      </c>
      <c r="AE1457" s="238">
        <f t="shared" si="320"/>
        <v>68</v>
      </c>
      <c r="AF1457" s="237">
        <v>46030</v>
      </c>
      <c r="AG1457" s="239">
        <f t="shared" si="321"/>
        <v>20</v>
      </c>
      <c r="AH1457" s="237">
        <v>46030</v>
      </c>
      <c r="AI1457" s="237">
        <v>46070</v>
      </c>
      <c r="AJ1457" s="231">
        <v>202</v>
      </c>
      <c r="AK1457" s="228">
        <f t="shared" si="322"/>
        <v>40</v>
      </c>
      <c r="AL1457" s="231"/>
      <c r="AM1457" s="229"/>
      <c r="AN1457" s="228"/>
      <c r="AO1457" s="228"/>
    </row>
    <row r="1458" spans="1:41" s="461" customFormat="1" ht="14.5" x14ac:dyDescent="0.25">
      <c r="A1458" s="460" t="s">
        <v>2496</v>
      </c>
      <c r="B1458" s="422"/>
      <c r="C1458" s="422" t="s">
        <v>2483</v>
      </c>
      <c r="D1458" s="423" t="s">
        <v>2497</v>
      </c>
      <c r="E1458" s="422" t="s">
        <v>1037</v>
      </c>
      <c r="F1458" s="422" t="s">
        <v>0</v>
      </c>
      <c r="G1458" s="424" t="s">
        <v>2439</v>
      </c>
      <c r="H1458" s="422">
        <v>1600</v>
      </c>
      <c r="I1458" s="422" t="s">
        <v>89</v>
      </c>
      <c r="J1458" s="422" t="s">
        <v>8</v>
      </c>
      <c r="K1458" s="423" t="s">
        <v>42</v>
      </c>
      <c r="L1458" s="425" t="s">
        <v>2439</v>
      </c>
      <c r="M1458" s="426" t="s">
        <v>3518</v>
      </c>
      <c r="N1458" s="422" t="s">
        <v>3109</v>
      </c>
      <c r="O1458" s="427">
        <v>100</v>
      </c>
      <c r="P1458" s="456">
        <v>1344.23076923077</v>
      </c>
      <c r="Q1458" s="427" t="s">
        <v>16</v>
      </c>
      <c r="R1458" s="422">
        <v>2.6</v>
      </c>
      <c r="S1458" s="422"/>
      <c r="T1458" s="428">
        <v>69.930069930069905</v>
      </c>
      <c r="U1458" s="429">
        <f t="shared" si="325"/>
        <v>3564.9300699300716</v>
      </c>
      <c r="V1458" s="430">
        <f t="shared" si="323"/>
        <v>2.2280812937062948</v>
      </c>
      <c r="W1458" s="431">
        <f t="shared" si="324"/>
        <v>0.31829732767232782</v>
      </c>
      <c r="X1458" s="422"/>
      <c r="Y1458" s="422"/>
      <c r="Z1458" s="428"/>
      <c r="AA1458" s="432">
        <v>46010</v>
      </c>
      <c r="AB1458" s="432">
        <v>46036</v>
      </c>
      <c r="AC1458" s="432"/>
      <c r="AD1458" s="433">
        <f>IF(ISNA(VLOOKUP(D1458,亚马逊入库配置费!B:F,5,0)),0,VLOOKUP(D1458,亚马逊入库配置费!B:F,5,0))</f>
        <v>0.49</v>
      </c>
      <c r="AE1458" s="433">
        <f t="shared" si="320"/>
        <v>784</v>
      </c>
      <c r="AF1458" s="432">
        <v>46055</v>
      </c>
      <c r="AG1458" s="421">
        <f t="shared" si="321"/>
        <v>45</v>
      </c>
      <c r="AH1458" s="432">
        <v>46055</v>
      </c>
      <c r="AI1458" s="432">
        <v>46087</v>
      </c>
      <c r="AJ1458" s="427">
        <v>1603</v>
      </c>
      <c r="AK1458" s="422">
        <f t="shared" si="322"/>
        <v>32</v>
      </c>
      <c r="AL1458" s="427"/>
      <c r="AM1458" s="423"/>
      <c r="AN1458" s="422"/>
      <c r="AO1458" s="422"/>
    </row>
    <row r="1459" spans="1:41" s="461" customFormat="1" ht="14.5" x14ac:dyDescent="0.25">
      <c r="A1459" s="460" t="s">
        <v>2498</v>
      </c>
      <c r="B1459" s="422"/>
      <c r="C1459" s="422" t="s">
        <v>2483</v>
      </c>
      <c r="D1459" s="423" t="s">
        <v>2497</v>
      </c>
      <c r="E1459" s="422" t="s">
        <v>1037</v>
      </c>
      <c r="F1459" s="422" t="s">
        <v>0</v>
      </c>
      <c r="G1459" s="424" t="s">
        <v>2441</v>
      </c>
      <c r="H1459" s="422">
        <v>448</v>
      </c>
      <c r="I1459" s="422" t="s">
        <v>89</v>
      </c>
      <c r="J1459" s="422" t="s">
        <v>8</v>
      </c>
      <c r="K1459" s="423" t="s">
        <v>42</v>
      </c>
      <c r="L1459" s="425" t="s">
        <v>2441</v>
      </c>
      <c r="M1459" s="426" t="s">
        <v>3519</v>
      </c>
      <c r="N1459" s="422" t="s">
        <v>3109</v>
      </c>
      <c r="O1459" s="427">
        <v>28</v>
      </c>
      <c r="P1459" s="456">
        <v>376.38461538461502</v>
      </c>
      <c r="Q1459" s="427" t="s">
        <v>16</v>
      </c>
      <c r="R1459" s="422">
        <v>2.6</v>
      </c>
      <c r="S1459" s="422"/>
      <c r="T1459" s="428">
        <v>19.580419580419601</v>
      </c>
      <c r="U1459" s="429">
        <f t="shared" si="325"/>
        <v>998.18041958041874</v>
      </c>
      <c r="V1459" s="430">
        <f t="shared" si="323"/>
        <v>2.2280812937062917</v>
      </c>
      <c r="W1459" s="431">
        <f t="shared" si="324"/>
        <v>0.31829732767232738</v>
      </c>
      <c r="X1459" s="422"/>
      <c r="Y1459" s="422"/>
      <c r="Z1459" s="428"/>
      <c r="AA1459" s="432">
        <v>46010</v>
      </c>
      <c r="AB1459" s="432">
        <v>46036</v>
      </c>
      <c r="AC1459" s="432"/>
      <c r="AD1459" s="433">
        <f>IF(ISNA(VLOOKUP(D1459,亚马逊入库配置费!B:F,5,0)),0,VLOOKUP(D1459,亚马逊入库配置费!B:F,5,0))</f>
        <v>0.49</v>
      </c>
      <c r="AE1459" s="433">
        <f t="shared" si="320"/>
        <v>219.51999999999998</v>
      </c>
      <c r="AF1459" s="432">
        <v>46055</v>
      </c>
      <c r="AG1459" s="421">
        <f t="shared" si="321"/>
        <v>45</v>
      </c>
      <c r="AH1459" s="432">
        <v>46055</v>
      </c>
      <c r="AI1459" s="432">
        <v>46087</v>
      </c>
      <c r="AJ1459" s="427">
        <v>444</v>
      </c>
      <c r="AK1459" s="422">
        <f t="shared" si="322"/>
        <v>32</v>
      </c>
      <c r="AL1459" s="427"/>
      <c r="AM1459" s="423"/>
      <c r="AN1459" s="422"/>
      <c r="AO1459" s="422"/>
    </row>
    <row r="1460" spans="1:41" s="461" customFormat="1" ht="14.5" x14ac:dyDescent="0.25">
      <c r="A1460" s="460" t="s">
        <v>2499</v>
      </c>
      <c r="B1460" s="422"/>
      <c r="C1460" s="422" t="s">
        <v>2483</v>
      </c>
      <c r="D1460" s="423" t="s">
        <v>2497</v>
      </c>
      <c r="E1460" s="422" t="s">
        <v>1037</v>
      </c>
      <c r="F1460" s="422" t="s">
        <v>0</v>
      </c>
      <c r="G1460" s="424" t="s">
        <v>2443</v>
      </c>
      <c r="H1460" s="422">
        <v>448</v>
      </c>
      <c r="I1460" s="422" t="s">
        <v>89</v>
      </c>
      <c r="J1460" s="422" t="s">
        <v>8</v>
      </c>
      <c r="K1460" s="423" t="s">
        <v>42</v>
      </c>
      <c r="L1460" s="425" t="s">
        <v>2443</v>
      </c>
      <c r="M1460" s="426" t="s">
        <v>3520</v>
      </c>
      <c r="N1460" s="422" t="s">
        <v>3109</v>
      </c>
      <c r="O1460" s="427">
        <v>28</v>
      </c>
      <c r="P1460" s="456">
        <v>376.38461538461502</v>
      </c>
      <c r="Q1460" s="427" t="s">
        <v>16</v>
      </c>
      <c r="R1460" s="422">
        <v>2.6</v>
      </c>
      <c r="S1460" s="422"/>
      <c r="T1460" s="428">
        <v>19.580419580419601</v>
      </c>
      <c r="U1460" s="429">
        <f t="shared" si="325"/>
        <v>998.18041958041874</v>
      </c>
      <c r="V1460" s="430">
        <f t="shared" si="323"/>
        <v>2.2280812937062917</v>
      </c>
      <c r="W1460" s="431">
        <f t="shared" si="324"/>
        <v>0.31829732767232738</v>
      </c>
      <c r="X1460" s="422"/>
      <c r="Y1460" s="422"/>
      <c r="Z1460" s="428"/>
      <c r="AA1460" s="432">
        <v>46010</v>
      </c>
      <c r="AB1460" s="432">
        <v>46036</v>
      </c>
      <c r="AC1460" s="432"/>
      <c r="AD1460" s="433">
        <f>IF(ISNA(VLOOKUP(D1460,亚马逊入库配置费!B:F,5,0)),0,VLOOKUP(D1460,亚马逊入库配置费!B:F,5,0))</f>
        <v>0.49</v>
      </c>
      <c r="AE1460" s="433">
        <f t="shared" si="320"/>
        <v>219.51999999999998</v>
      </c>
      <c r="AF1460" s="432">
        <v>46055</v>
      </c>
      <c r="AG1460" s="421">
        <f t="shared" si="321"/>
        <v>45</v>
      </c>
      <c r="AH1460" s="432">
        <v>46055</v>
      </c>
      <c r="AI1460" s="432">
        <v>46087</v>
      </c>
      <c r="AJ1460" s="427">
        <v>448</v>
      </c>
      <c r="AK1460" s="422">
        <f t="shared" si="322"/>
        <v>32</v>
      </c>
      <c r="AL1460" s="427"/>
      <c r="AM1460" s="423"/>
      <c r="AN1460" s="422"/>
      <c r="AO1460" s="422"/>
    </row>
    <row r="1461" spans="1:41" ht="14.5" x14ac:dyDescent="0.25">
      <c r="A1461" s="110" t="s">
        <v>2500</v>
      </c>
      <c r="B1461" s="91"/>
      <c r="C1461" s="91" t="s">
        <v>1782</v>
      </c>
      <c r="D1461" s="92" t="s">
        <v>2501</v>
      </c>
      <c r="E1461" s="91" t="s">
        <v>97</v>
      </c>
      <c r="F1461" s="91" t="s">
        <v>0</v>
      </c>
      <c r="G1461" s="56" t="s">
        <v>316</v>
      </c>
      <c r="H1461" s="91">
        <v>630</v>
      </c>
      <c r="I1461" s="91" t="s">
        <v>306</v>
      </c>
      <c r="J1461" s="91" t="s">
        <v>8</v>
      </c>
      <c r="K1461" s="92" t="s">
        <v>10</v>
      </c>
      <c r="L1461" s="93" t="s">
        <v>3046</v>
      </c>
      <c r="M1461" s="94" t="s">
        <v>3333</v>
      </c>
      <c r="N1461" s="95" t="s">
        <v>3042</v>
      </c>
      <c r="O1461" s="96">
        <v>7</v>
      </c>
      <c r="P1461" s="97">
        <v>137</v>
      </c>
      <c r="Q1461" s="96" t="s">
        <v>16</v>
      </c>
      <c r="R1461" s="91">
        <v>5</v>
      </c>
      <c r="S1461" s="95">
        <v>0</v>
      </c>
      <c r="T1461" s="98">
        <v>0</v>
      </c>
      <c r="U1461" s="99">
        <f t="shared" si="325"/>
        <v>685</v>
      </c>
      <c r="V1461" s="100">
        <f t="shared" si="323"/>
        <v>1.0873015873015872</v>
      </c>
      <c r="W1461" s="101">
        <f t="shared" si="324"/>
        <v>0.15532879818594103</v>
      </c>
      <c r="X1461" s="95"/>
      <c r="Y1461" s="95"/>
      <c r="Z1461" s="102"/>
      <c r="AA1461" s="103">
        <v>46010</v>
      </c>
      <c r="AB1461" s="103">
        <v>46030</v>
      </c>
      <c r="AC1461" s="103"/>
      <c r="AD1461" s="104">
        <f>IF(ISNA(VLOOKUP(D1461,亚马逊入库配置费!B:F,5,0)),0,VLOOKUP(D1461,亚马逊入库配置费!B:F,5,0))</f>
        <v>0.33999999999999997</v>
      </c>
      <c r="AE1461" s="104">
        <f t="shared" si="320"/>
        <v>214.2</v>
      </c>
      <c r="AF1461" s="103">
        <v>46040</v>
      </c>
      <c r="AG1461" s="90">
        <f t="shared" si="321"/>
        <v>30</v>
      </c>
      <c r="AH1461" s="103">
        <v>46040</v>
      </c>
      <c r="AI1461" s="103">
        <v>46082</v>
      </c>
      <c r="AJ1461" s="96">
        <v>551</v>
      </c>
      <c r="AK1461" s="91">
        <f t="shared" si="322"/>
        <v>42</v>
      </c>
      <c r="AL1461" s="96"/>
      <c r="AM1461" s="92"/>
      <c r="AN1461" s="91"/>
      <c r="AO1461" s="91"/>
    </row>
    <row r="1462" spans="1:41" ht="14.5" x14ac:dyDescent="0.25">
      <c r="A1462" s="227" t="s">
        <v>2502</v>
      </c>
      <c r="B1462" s="228"/>
      <c r="C1462" s="228" t="s">
        <v>2503</v>
      </c>
      <c r="D1462" s="229" t="s">
        <v>2504</v>
      </c>
      <c r="E1462" s="228" t="s">
        <v>97</v>
      </c>
      <c r="F1462" s="228" t="s">
        <v>0</v>
      </c>
      <c r="G1462" s="230" t="s">
        <v>163</v>
      </c>
      <c r="H1462" s="228">
        <v>1200</v>
      </c>
      <c r="I1462" s="228" t="s">
        <v>207</v>
      </c>
      <c r="J1462" s="228" t="s">
        <v>8</v>
      </c>
      <c r="K1462" s="229" t="s">
        <v>13</v>
      </c>
      <c r="L1462" s="93" t="s">
        <v>2881</v>
      </c>
      <c r="M1462" s="94" t="s">
        <v>3302</v>
      </c>
      <c r="N1462" s="95" t="s">
        <v>2870</v>
      </c>
      <c r="O1462" s="231">
        <v>30</v>
      </c>
      <c r="P1462" s="232">
        <v>403.15945945945901</v>
      </c>
      <c r="Q1462" s="231" t="s">
        <v>16</v>
      </c>
      <c r="R1462" s="228">
        <v>3.45</v>
      </c>
      <c r="S1462" s="240">
        <v>250</v>
      </c>
      <c r="T1462" s="233">
        <v>45.454545454545453</v>
      </c>
      <c r="U1462" s="234">
        <f t="shared" si="325"/>
        <v>1436.3546805896792</v>
      </c>
      <c r="V1462" s="235">
        <f t="shared" si="323"/>
        <v>1.1969622338247328</v>
      </c>
      <c r="W1462" s="236">
        <f t="shared" si="324"/>
        <v>0.17099460483210469</v>
      </c>
      <c r="X1462" s="228"/>
      <c r="Y1462" s="228"/>
      <c r="Z1462" s="233"/>
      <c r="AA1462" s="237">
        <v>46017</v>
      </c>
      <c r="AB1462" s="237">
        <v>46037</v>
      </c>
      <c r="AC1462" s="237"/>
      <c r="AD1462" s="238">
        <f>IF(ISNA(VLOOKUP(D1462,亚马逊入库配置费!B:F,5,0)),0,VLOOKUP(D1462,亚马逊入库配置费!B:F,5,0))</f>
        <v>0.34411764705882353</v>
      </c>
      <c r="AE1462" s="238">
        <f t="shared" si="320"/>
        <v>412.94117647058823</v>
      </c>
      <c r="AF1462" s="237">
        <v>46378</v>
      </c>
      <c r="AG1462" s="239">
        <f t="shared" si="321"/>
        <v>361</v>
      </c>
      <c r="AH1462" s="237">
        <v>46378</v>
      </c>
      <c r="AI1462" s="237">
        <v>46052</v>
      </c>
      <c r="AJ1462" s="231">
        <v>1200</v>
      </c>
      <c r="AK1462" s="228">
        <f t="shared" si="322"/>
        <v>-326</v>
      </c>
      <c r="AL1462" s="231"/>
      <c r="AM1462" s="229"/>
      <c r="AN1462" s="228"/>
      <c r="AO1462" s="228"/>
    </row>
    <row r="1463" spans="1:41" ht="14.5" x14ac:dyDescent="0.25">
      <c r="A1463" s="227" t="s">
        <v>2505</v>
      </c>
      <c r="B1463" s="228"/>
      <c r="C1463" s="228" t="s">
        <v>2503</v>
      </c>
      <c r="D1463" s="229" t="s">
        <v>2504</v>
      </c>
      <c r="E1463" s="228" t="s">
        <v>97</v>
      </c>
      <c r="F1463" s="228" t="s">
        <v>0</v>
      </c>
      <c r="G1463" s="230" t="s">
        <v>1217</v>
      </c>
      <c r="H1463" s="228">
        <v>100</v>
      </c>
      <c r="I1463" s="228" t="s">
        <v>207</v>
      </c>
      <c r="J1463" s="228" t="s">
        <v>8</v>
      </c>
      <c r="K1463" s="229" t="s">
        <v>13</v>
      </c>
      <c r="L1463" s="93" t="s">
        <v>1217</v>
      </c>
      <c r="M1463" s="94" t="s">
        <v>3437</v>
      </c>
      <c r="N1463" s="95" t="s">
        <v>2867</v>
      </c>
      <c r="O1463" s="231">
        <v>5</v>
      </c>
      <c r="P1463" s="232">
        <v>67.193243243243202</v>
      </c>
      <c r="Q1463" s="231" t="s">
        <v>16</v>
      </c>
      <c r="R1463" s="228">
        <v>3.45</v>
      </c>
      <c r="S1463" s="240">
        <f>SUMIF(C:C,C1462,T:T)</f>
        <v>250</v>
      </c>
      <c r="T1463" s="233">
        <v>7.5757575757575761</v>
      </c>
      <c r="U1463" s="234">
        <f t="shared" si="325"/>
        <v>239.39244676494661</v>
      </c>
      <c r="V1463" s="235">
        <f t="shared" si="323"/>
        <v>2.393924467649466</v>
      </c>
      <c r="W1463" s="236">
        <f t="shared" si="324"/>
        <v>0.34198920966420943</v>
      </c>
      <c r="X1463" s="228"/>
      <c r="Y1463" s="228"/>
      <c r="Z1463" s="233"/>
      <c r="AA1463" s="237">
        <v>46017</v>
      </c>
      <c r="AB1463" s="237">
        <v>46037</v>
      </c>
      <c r="AC1463" s="237"/>
      <c r="AD1463" s="238">
        <f>IF(ISNA(VLOOKUP(D1463,亚马逊入库配置费!B:F,5,0)),0,VLOOKUP(D1463,亚马逊入库配置费!B:F,5,0))</f>
        <v>0.34411764705882353</v>
      </c>
      <c r="AE1463" s="238">
        <f t="shared" si="320"/>
        <v>34.411764705882355</v>
      </c>
      <c r="AF1463" s="237">
        <v>46378</v>
      </c>
      <c r="AG1463" s="239">
        <f t="shared" si="321"/>
        <v>361</v>
      </c>
      <c r="AH1463" s="237">
        <v>46378</v>
      </c>
      <c r="AI1463" s="237">
        <v>46052</v>
      </c>
      <c r="AJ1463" s="231">
        <v>102</v>
      </c>
      <c r="AK1463" s="228">
        <f t="shared" si="322"/>
        <v>-326</v>
      </c>
      <c r="AL1463" s="231"/>
      <c r="AM1463" s="229"/>
      <c r="AN1463" s="228"/>
      <c r="AO1463" s="228"/>
    </row>
    <row r="1464" spans="1:41" ht="14.5" x14ac:dyDescent="0.25">
      <c r="A1464" s="227" t="s">
        <v>2506</v>
      </c>
      <c r="B1464" s="228"/>
      <c r="C1464" s="228" t="s">
        <v>2503</v>
      </c>
      <c r="D1464" s="229" t="s">
        <v>2504</v>
      </c>
      <c r="E1464" s="228" t="s">
        <v>97</v>
      </c>
      <c r="F1464" s="228" t="s">
        <v>0</v>
      </c>
      <c r="G1464" s="230" t="s">
        <v>355</v>
      </c>
      <c r="H1464" s="228">
        <v>200</v>
      </c>
      <c r="I1464" s="228" t="s">
        <v>207</v>
      </c>
      <c r="J1464" s="228" t="s">
        <v>8</v>
      </c>
      <c r="K1464" s="229" t="s">
        <v>13</v>
      </c>
      <c r="L1464" s="93" t="s">
        <v>2712</v>
      </c>
      <c r="M1464" s="94" t="s">
        <v>3216</v>
      </c>
      <c r="N1464" s="95" t="s">
        <v>3050</v>
      </c>
      <c r="O1464" s="231">
        <v>1</v>
      </c>
      <c r="P1464" s="232">
        <v>13.4386486486486</v>
      </c>
      <c r="Q1464" s="231" t="s">
        <v>16</v>
      </c>
      <c r="R1464" s="228">
        <v>3.45</v>
      </c>
      <c r="S1464" s="240"/>
      <c r="T1464" s="233">
        <v>1.5151515151515151</v>
      </c>
      <c r="U1464" s="234">
        <f t="shared" si="325"/>
        <v>47.878489352989192</v>
      </c>
      <c r="V1464" s="235">
        <f t="shared" si="323"/>
        <v>0.23939244676494595</v>
      </c>
      <c r="W1464" s="236">
        <f t="shared" si="324"/>
        <v>3.4198920966420847E-2</v>
      </c>
      <c r="X1464" s="228"/>
      <c r="Y1464" s="228"/>
      <c r="Z1464" s="233"/>
      <c r="AA1464" s="237">
        <v>46017</v>
      </c>
      <c r="AB1464" s="237">
        <v>46037</v>
      </c>
      <c r="AC1464" s="237"/>
      <c r="AD1464" s="238">
        <f>IF(ISNA(VLOOKUP(D1464,亚马逊入库配置费!B:F,5,0)),0,VLOOKUP(D1464,亚马逊入库配置费!B:F,5,0))</f>
        <v>0.34411764705882353</v>
      </c>
      <c r="AE1464" s="238">
        <f t="shared" si="320"/>
        <v>68.82352941176471</v>
      </c>
      <c r="AF1464" s="237">
        <v>46378</v>
      </c>
      <c r="AG1464" s="239">
        <f t="shared" si="321"/>
        <v>361</v>
      </c>
      <c r="AH1464" s="237">
        <v>46378</v>
      </c>
      <c r="AI1464" s="237">
        <v>46052</v>
      </c>
      <c r="AJ1464" s="231">
        <v>200</v>
      </c>
      <c r="AK1464" s="228">
        <f t="shared" si="322"/>
        <v>-326</v>
      </c>
      <c r="AL1464" s="231"/>
      <c r="AM1464" s="229"/>
      <c r="AN1464" s="228"/>
      <c r="AO1464" s="228"/>
    </row>
    <row r="1465" spans="1:41" ht="14.5" x14ac:dyDescent="0.25">
      <c r="A1465" s="227" t="s">
        <v>2507</v>
      </c>
      <c r="B1465" s="228"/>
      <c r="C1465" s="228" t="s">
        <v>2503</v>
      </c>
      <c r="D1465" s="229" t="s">
        <v>2504</v>
      </c>
      <c r="E1465" s="228" t="s">
        <v>97</v>
      </c>
      <c r="F1465" s="228" t="s">
        <v>0</v>
      </c>
      <c r="G1465" s="230" t="s">
        <v>357</v>
      </c>
      <c r="H1465" s="228">
        <v>200</v>
      </c>
      <c r="I1465" s="228" t="s">
        <v>207</v>
      </c>
      <c r="J1465" s="228" t="s">
        <v>8</v>
      </c>
      <c r="K1465" s="229" t="s">
        <v>13</v>
      </c>
      <c r="L1465" s="93" t="s">
        <v>3051</v>
      </c>
      <c r="M1465" s="94" t="s">
        <v>3337</v>
      </c>
      <c r="N1465" s="95" t="s">
        <v>3050</v>
      </c>
      <c r="O1465" s="231">
        <v>1</v>
      </c>
      <c r="P1465" s="232">
        <v>13.4386486486486</v>
      </c>
      <c r="Q1465" s="231" t="s">
        <v>16</v>
      </c>
      <c r="R1465" s="228">
        <v>3.45</v>
      </c>
      <c r="S1465" s="240"/>
      <c r="T1465" s="233">
        <v>1.5151515151515151</v>
      </c>
      <c r="U1465" s="234">
        <f t="shared" si="325"/>
        <v>47.878489352989192</v>
      </c>
      <c r="V1465" s="235">
        <f t="shared" si="323"/>
        <v>0.23939244676494595</v>
      </c>
      <c r="W1465" s="236">
        <f t="shared" si="324"/>
        <v>3.4198920966420847E-2</v>
      </c>
      <c r="X1465" s="228"/>
      <c r="Y1465" s="228"/>
      <c r="Z1465" s="233"/>
      <c r="AA1465" s="237">
        <v>46017</v>
      </c>
      <c r="AB1465" s="237">
        <v>46037</v>
      </c>
      <c r="AC1465" s="237"/>
      <c r="AD1465" s="238">
        <f>IF(ISNA(VLOOKUP(D1465,亚马逊入库配置费!B:F,5,0)),0,VLOOKUP(D1465,亚马逊入库配置费!B:F,5,0))</f>
        <v>0.34411764705882353</v>
      </c>
      <c r="AE1465" s="238">
        <f t="shared" si="320"/>
        <v>68.82352941176471</v>
      </c>
      <c r="AF1465" s="237">
        <v>46378</v>
      </c>
      <c r="AG1465" s="239">
        <f t="shared" si="321"/>
        <v>361</v>
      </c>
      <c r="AH1465" s="237">
        <v>46378</v>
      </c>
      <c r="AI1465" s="237">
        <v>46052</v>
      </c>
      <c r="AJ1465" s="231">
        <v>200</v>
      </c>
      <c r="AK1465" s="228">
        <f t="shared" si="322"/>
        <v>-326</v>
      </c>
      <c r="AL1465" s="231"/>
      <c r="AM1465" s="229"/>
      <c r="AN1465" s="228"/>
      <c r="AO1465" s="228"/>
    </row>
    <row r="1466" spans="1:41" ht="14.5" x14ac:dyDescent="0.25">
      <c r="A1466" s="227" t="s">
        <v>2508</v>
      </c>
      <c r="B1466" s="228"/>
      <c r="C1466" s="228" t="s">
        <v>2509</v>
      </c>
      <c r="D1466" s="229" t="s">
        <v>2510</v>
      </c>
      <c r="E1466" s="228" t="s">
        <v>2511</v>
      </c>
      <c r="F1466" s="228" t="s">
        <v>262</v>
      </c>
      <c r="G1466" s="230" t="s">
        <v>2279</v>
      </c>
      <c r="H1466" s="228">
        <v>90</v>
      </c>
      <c r="I1466" s="228" t="s">
        <v>1097</v>
      </c>
      <c r="J1466" s="228" t="s">
        <v>3282</v>
      </c>
      <c r="K1466" s="229" t="s">
        <v>2512</v>
      </c>
      <c r="L1466" s="93" t="s">
        <v>2279</v>
      </c>
      <c r="M1466" s="94" t="s">
        <v>3507</v>
      </c>
      <c r="N1466" s="95" t="s">
        <v>2971</v>
      </c>
      <c r="O1466" s="231">
        <v>3</v>
      </c>
      <c r="P1466" s="232">
        <f>0.44/9*O1466</f>
        <v>0.14666666666666667</v>
      </c>
      <c r="Q1466" s="231" t="s">
        <v>3264</v>
      </c>
      <c r="R1466" s="228">
        <v>1800</v>
      </c>
      <c r="S1466" s="240">
        <v>450</v>
      </c>
      <c r="T1466" s="233">
        <v>150</v>
      </c>
      <c r="U1466" s="234">
        <f>R1466*P1466+T1466</f>
        <v>414</v>
      </c>
      <c r="V1466" s="235">
        <f t="shared" si="323"/>
        <v>4.5999999999999996</v>
      </c>
      <c r="W1466" s="236">
        <f t="shared" si="324"/>
        <v>0.65714285714285714</v>
      </c>
      <c r="X1466" s="228"/>
      <c r="Y1466" s="228"/>
      <c r="Z1466" s="233"/>
      <c r="AA1466" s="237">
        <v>46017</v>
      </c>
      <c r="AB1466" s="237">
        <v>46052</v>
      </c>
      <c r="AC1466" s="237"/>
      <c r="AD1466" s="238">
        <f>IF(ISNA(VLOOKUP(D1466,亚马逊入库配置费!B:F,5,0)),0,VLOOKUP(D1466,亚马逊入库配置费!B:F,5,0))</f>
        <v>0</v>
      </c>
      <c r="AE1466" s="238">
        <f t="shared" si="320"/>
        <v>0</v>
      </c>
      <c r="AF1466" s="237">
        <v>46067</v>
      </c>
      <c r="AG1466" s="239">
        <f t="shared" si="321"/>
        <v>50</v>
      </c>
      <c r="AH1466" s="237">
        <v>46067</v>
      </c>
      <c r="AI1466" s="237">
        <v>46081</v>
      </c>
      <c r="AJ1466" s="231">
        <v>90</v>
      </c>
      <c r="AK1466" s="228">
        <f t="shared" si="322"/>
        <v>14</v>
      </c>
      <c r="AL1466" s="231"/>
      <c r="AM1466" s="229"/>
      <c r="AN1466" s="228"/>
      <c r="AO1466" s="228"/>
    </row>
    <row r="1467" spans="1:41" ht="14.5" x14ac:dyDescent="0.25">
      <c r="A1467" s="227" t="s">
        <v>2513</v>
      </c>
      <c r="B1467" s="228"/>
      <c r="C1467" s="228" t="s">
        <v>2509</v>
      </c>
      <c r="D1467" s="229" t="s">
        <v>2510</v>
      </c>
      <c r="E1467" s="228" t="s">
        <v>2511</v>
      </c>
      <c r="F1467" s="228" t="s">
        <v>262</v>
      </c>
      <c r="G1467" s="230" t="s">
        <v>163</v>
      </c>
      <c r="H1467" s="228">
        <v>120</v>
      </c>
      <c r="I1467" s="228" t="s">
        <v>1097</v>
      </c>
      <c r="J1467" s="228" t="s">
        <v>3282</v>
      </c>
      <c r="K1467" s="229" t="s">
        <v>2512</v>
      </c>
      <c r="L1467" s="93" t="s">
        <v>2881</v>
      </c>
      <c r="M1467" s="94" t="s">
        <v>3302</v>
      </c>
      <c r="N1467" s="95" t="s">
        <v>2870</v>
      </c>
      <c r="O1467" s="231">
        <v>3</v>
      </c>
      <c r="P1467" s="232">
        <f t="shared" ref="P1467:P1468" si="326">0.44/9*O1467</f>
        <v>0.14666666666666667</v>
      </c>
      <c r="Q1467" s="231" t="s">
        <v>3264</v>
      </c>
      <c r="R1467" s="228">
        <v>1800</v>
      </c>
      <c r="S1467" s="240">
        <f>SUMIF(C:C,C1466,T:T)</f>
        <v>450</v>
      </c>
      <c r="T1467" s="233">
        <v>150</v>
      </c>
      <c r="U1467" s="234">
        <f t="shared" ref="U1467:U1530" si="327">R1467*P1467+T1467</f>
        <v>414</v>
      </c>
      <c r="V1467" s="235">
        <f t="shared" si="323"/>
        <v>3.45</v>
      </c>
      <c r="W1467" s="236">
        <f t="shared" si="324"/>
        <v>0.49285714285714288</v>
      </c>
      <c r="X1467" s="228"/>
      <c r="Y1467" s="228"/>
      <c r="Z1467" s="233"/>
      <c r="AA1467" s="237">
        <v>46017</v>
      </c>
      <c r="AB1467" s="237">
        <v>46052</v>
      </c>
      <c r="AC1467" s="237"/>
      <c r="AD1467" s="238">
        <f>IF(ISNA(VLOOKUP(D1467,亚马逊入库配置费!B:F,5,0)),0,VLOOKUP(D1467,亚马逊入库配置费!B:F,5,0))</f>
        <v>0</v>
      </c>
      <c r="AE1467" s="238">
        <f t="shared" si="320"/>
        <v>0</v>
      </c>
      <c r="AF1467" s="237">
        <v>46067</v>
      </c>
      <c r="AG1467" s="239">
        <f t="shared" si="321"/>
        <v>50</v>
      </c>
      <c r="AH1467" s="237">
        <v>46067</v>
      </c>
      <c r="AI1467" s="237">
        <v>46081</v>
      </c>
      <c r="AJ1467" s="231">
        <v>120</v>
      </c>
      <c r="AK1467" s="228">
        <f t="shared" si="322"/>
        <v>14</v>
      </c>
      <c r="AL1467" s="231"/>
      <c r="AM1467" s="229"/>
      <c r="AN1467" s="228"/>
      <c r="AO1467" s="228"/>
    </row>
    <row r="1468" spans="1:41" ht="14.5" x14ac:dyDescent="0.25">
      <c r="A1468" s="227" t="s">
        <v>2514</v>
      </c>
      <c r="B1468" s="228"/>
      <c r="C1468" s="228" t="s">
        <v>2509</v>
      </c>
      <c r="D1468" s="229" t="s">
        <v>2510</v>
      </c>
      <c r="E1468" s="228" t="s">
        <v>2511</v>
      </c>
      <c r="F1468" s="228" t="s">
        <v>262</v>
      </c>
      <c r="G1468" s="230" t="s">
        <v>211</v>
      </c>
      <c r="H1468" s="228">
        <v>90</v>
      </c>
      <c r="I1468" s="228" t="s">
        <v>1097</v>
      </c>
      <c r="J1468" s="228" t="s">
        <v>3282</v>
      </c>
      <c r="K1468" s="229" t="s">
        <v>2512</v>
      </c>
      <c r="L1468" s="93" t="s">
        <v>3034</v>
      </c>
      <c r="M1468" s="94" t="s">
        <v>3312</v>
      </c>
      <c r="N1468" s="95" t="s">
        <v>2869</v>
      </c>
      <c r="O1468" s="231">
        <v>3</v>
      </c>
      <c r="P1468" s="232">
        <f t="shared" si="326"/>
        <v>0.14666666666666667</v>
      </c>
      <c r="Q1468" s="231" t="s">
        <v>3264</v>
      </c>
      <c r="R1468" s="228">
        <v>1800</v>
      </c>
      <c r="S1468" s="240"/>
      <c r="T1468" s="233">
        <v>150</v>
      </c>
      <c r="U1468" s="234">
        <f t="shared" si="327"/>
        <v>414</v>
      </c>
      <c r="V1468" s="235">
        <f t="shared" si="323"/>
        <v>4.5999999999999996</v>
      </c>
      <c r="W1468" s="236">
        <f t="shared" si="324"/>
        <v>0.65714285714285714</v>
      </c>
      <c r="X1468" s="228"/>
      <c r="Y1468" s="228"/>
      <c r="Z1468" s="233"/>
      <c r="AA1468" s="237">
        <v>46017</v>
      </c>
      <c r="AB1468" s="237">
        <v>46052</v>
      </c>
      <c r="AC1468" s="237"/>
      <c r="AD1468" s="238">
        <f>IF(ISNA(VLOOKUP(D1468,亚马逊入库配置费!B:F,5,0)),0,VLOOKUP(D1468,亚马逊入库配置费!B:F,5,0))</f>
        <v>0</v>
      </c>
      <c r="AE1468" s="238">
        <f t="shared" si="320"/>
        <v>0</v>
      </c>
      <c r="AF1468" s="237">
        <v>46067</v>
      </c>
      <c r="AG1468" s="239">
        <f t="shared" si="321"/>
        <v>50</v>
      </c>
      <c r="AH1468" s="237">
        <v>46067</v>
      </c>
      <c r="AI1468" s="237">
        <v>46081</v>
      </c>
      <c r="AJ1468" s="231">
        <v>90</v>
      </c>
      <c r="AK1468" s="228">
        <f t="shared" si="322"/>
        <v>14</v>
      </c>
      <c r="AL1468" s="231"/>
      <c r="AM1468" s="229"/>
      <c r="AN1468" s="228"/>
      <c r="AO1468" s="228"/>
    </row>
    <row r="1469" spans="1:41" s="461" customFormat="1" ht="14.5" x14ac:dyDescent="0.25">
      <c r="A1469" s="460" t="s">
        <v>2515</v>
      </c>
      <c r="B1469" s="422"/>
      <c r="C1469" s="422" t="s">
        <v>2516</v>
      </c>
      <c r="D1469" s="423" t="s">
        <v>2517</v>
      </c>
      <c r="E1469" s="422" t="s">
        <v>2411</v>
      </c>
      <c r="F1469" s="422" t="s">
        <v>0</v>
      </c>
      <c r="G1469" s="424" t="s">
        <v>2518</v>
      </c>
      <c r="H1469" s="422">
        <v>390</v>
      </c>
      <c r="I1469" s="422" t="s">
        <v>89</v>
      </c>
      <c r="J1469" s="422" t="s">
        <v>8</v>
      </c>
      <c r="K1469" s="423" t="s">
        <v>32</v>
      </c>
      <c r="L1469" s="425" t="s">
        <v>2518</v>
      </c>
      <c r="M1469" s="426" t="s">
        <v>3521</v>
      </c>
      <c r="N1469" s="422" t="s">
        <v>3104</v>
      </c>
      <c r="O1469" s="427">
        <v>13</v>
      </c>
      <c r="P1469" s="456">
        <v>181</v>
      </c>
      <c r="Q1469" s="427" t="s">
        <v>16</v>
      </c>
      <c r="R1469" s="422">
        <v>4</v>
      </c>
      <c r="S1469" s="436">
        <v>200</v>
      </c>
      <c r="T1469" s="428">
        <v>6.4516129032258096</v>
      </c>
      <c r="U1469" s="429">
        <f t="shared" si="327"/>
        <v>730.45161290322585</v>
      </c>
      <c r="V1469" s="430">
        <f t="shared" si="323"/>
        <v>1.8729528535980151</v>
      </c>
      <c r="W1469" s="431">
        <f t="shared" si="324"/>
        <v>0.26756469337114502</v>
      </c>
      <c r="X1469" s="422"/>
      <c r="Y1469" s="422"/>
      <c r="Z1469" s="428"/>
      <c r="AA1469" s="432">
        <v>46017</v>
      </c>
      <c r="AB1469" s="432">
        <v>46039</v>
      </c>
      <c r="AC1469" s="432"/>
      <c r="AD1469" s="433">
        <f>IF(ISNA(VLOOKUP(D1469,亚马逊入库配置费!B:F,5,0)),0,VLOOKUP(D1469,亚马逊入库配置费!B:F,5,0))</f>
        <v>0.41000000000000003</v>
      </c>
      <c r="AE1469" s="433">
        <f t="shared" si="320"/>
        <v>159.9</v>
      </c>
      <c r="AF1469" s="432">
        <v>46051</v>
      </c>
      <c r="AG1469" s="421">
        <f t="shared" si="321"/>
        <v>34</v>
      </c>
      <c r="AH1469" s="432">
        <v>46051</v>
      </c>
      <c r="AI1469" s="432">
        <v>46082</v>
      </c>
      <c r="AJ1469" s="427">
        <v>388</v>
      </c>
      <c r="AK1469" s="422">
        <f t="shared" si="322"/>
        <v>31</v>
      </c>
      <c r="AL1469" s="427"/>
      <c r="AM1469" s="423"/>
      <c r="AN1469" s="422"/>
      <c r="AO1469" s="422"/>
    </row>
    <row r="1470" spans="1:41" s="461" customFormat="1" ht="14.5" x14ac:dyDescent="0.25">
      <c r="A1470" s="460" t="s">
        <v>2519</v>
      </c>
      <c r="B1470" s="422"/>
      <c r="C1470" s="422" t="s">
        <v>2516</v>
      </c>
      <c r="D1470" s="423" t="s">
        <v>2520</v>
      </c>
      <c r="E1470" s="422" t="s">
        <v>97</v>
      </c>
      <c r="F1470" s="422" t="s">
        <v>0</v>
      </c>
      <c r="G1470" s="424" t="s">
        <v>1195</v>
      </c>
      <c r="H1470" s="422">
        <v>510</v>
      </c>
      <c r="I1470" s="422" t="s">
        <v>89</v>
      </c>
      <c r="J1470" s="422" t="s">
        <v>8</v>
      </c>
      <c r="K1470" s="423" t="s">
        <v>50</v>
      </c>
      <c r="L1470" s="425" t="s">
        <v>1195</v>
      </c>
      <c r="M1470" s="426" t="s">
        <v>3433</v>
      </c>
      <c r="N1470" s="422" t="s">
        <v>2870</v>
      </c>
      <c r="O1470" s="427">
        <v>17</v>
      </c>
      <c r="P1470" s="456">
        <v>264.11979166666703</v>
      </c>
      <c r="Q1470" s="427" t="s">
        <v>16</v>
      </c>
      <c r="R1470" s="422">
        <v>3.7</v>
      </c>
      <c r="S1470" s="436">
        <f>SUMIF(C:C,C1469,T:T)</f>
        <v>199.99999999999994</v>
      </c>
      <c r="T1470" s="428">
        <v>8.4367245657568208</v>
      </c>
      <c r="U1470" s="429">
        <f t="shared" si="327"/>
        <v>985.67995373242479</v>
      </c>
      <c r="V1470" s="430">
        <f t="shared" si="323"/>
        <v>1.9327057916322055</v>
      </c>
      <c r="W1470" s="431">
        <f t="shared" si="324"/>
        <v>0.27610082737602937</v>
      </c>
      <c r="X1470" s="422"/>
      <c r="Y1470" s="422"/>
      <c r="Z1470" s="428"/>
      <c r="AA1470" s="432">
        <v>46017</v>
      </c>
      <c r="AB1470" s="432">
        <v>46039</v>
      </c>
      <c r="AC1470" s="432"/>
      <c r="AD1470" s="433">
        <f>IF(ISNA(VLOOKUP(D1470,亚马逊入库配置费!B:F,5,0)),0,VLOOKUP(D1470,亚马逊入库配置费!B:F,5,0))</f>
        <v>0</v>
      </c>
      <c r="AE1470" s="433">
        <f t="shared" si="320"/>
        <v>0</v>
      </c>
      <c r="AF1470" s="432">
        <v>46051</v>
      </c>
      <c r="AG1470" s="421">
        <f t="shared" si="321"/>
        <v>34</v>
      </c>
      <c r="AH1470" s="432">
        <v>46051</v>
      </c>
      <c r="AI1470" s="432">
        <v>46085</v>
      </c>
      <c r="AJ1470" s="427">
        <v>511</v>
      </c>
      <c r="AK1470" s="422">
        <f t="shared" si="322"/>
        <v>34</v>
      </c>
      <c r="AL1470" s="427"/>
      <c r="AM1470" s="423"/>
      <c r="AN1470" s="422"/>
      <c r="AO1470" s="422"/>
    </row>
    <row r="1471" spans="1:41" s="461" customFormat="1" ht="14.5" x14ac:dyDescent="0.25">
      <c r="A1471" s="460" t="s">
        <v>2521</v>
      </c>
      <c r="B1471" s="422"/>
      <c r="C1471" s="422" t="s">
        <v>2516</v>
      </c>
      <c r="D1471" s="423" t="s">
        <v>2520</v>
      </c>
      <c r="E1471" s="422" t="s">
        <v>97</v>
      </c>
      <c r="F1471" s="422" t="s">
        <v>0</v>
      </c>
      <c r="G1471" s="424" t="s">
        <v>872</v>
      </c>
      <c r="H1471" s="422">
        <v>990</v>
      </c>
      <c r="I1471" s="422" t="s">
        <v>89</v>
      </c>
      <c r="J1471" s="422" t="s">
        <v>8</v>
      </c>
      <c r="K1471" s="423" t="s">
        <v>50</v>
      </c>
      <c r="L1471" s="425" t="s">
        <v>872</v>
      </c>
      <c r="M1471" s="426" t="s">
        <v>3399</v>
      </c>
      <c r="N1471" s="422" t="s">
        <v>2870</v>
      </c>
      <c r="O1471" s="427">
        <v>33</v>
      </c>
      <c r="P1471" s="456">
        <v>512.703125</v>
      </c>
      <c r="Q1471" s="427" t="s">
        <v>16</v>
      </c>
      <c r="R1471" s="422">
        <v>3.7</v>
      </c>
      <c r="S1471" s="436"/>
      <c r="T1471" s="428">
        <v>16.3771712158809</v>
      </c>
      <c r="U1471" s="429">
        <f t="shared" si="327"/>
        <v>1913.378733715881</v>
      </c>
      <c r="V1471" s="430">
        <f t="shared" si="323"/>
        <v>1.932705791632203</v>
      </c>
      <c r="W1471" s="431">
        <f t="shared" si="324"/>
        <v>0.27610082737602898</v>
      </c>
      <c r="X1471" s="422"/>
      <c r="Y1471" s="422"/>
      <c r="Z1471" s="428"/>
      <c r="AA1471" s="432">
        <v>46017</v>
      </c>
      <c r="AB1471" s="432">
        <v>46039</v>
      </c>
      <c r="AC1471" s="432"/>
      <c r="AD1471" s="433">
        <f>IF(ISNA(VLOOKUP(D1471,亚马逊入库配置费!B:F,5,0)),0,VLOOKUP(D1471,亚马逊入库配置费!B:F,5,0))</f>
        <v>0</v>
      </c>
      <c r="AE1471" s="433">
        <f t="shared" si="320"/>
        <v>0</v>
      </c>
      <c r="AF1471" s="432">
        <v>46051</v>
      </c>
      <c r="AG1471" s="421">
        <f t="shared" si="321"/>
        <v>34</v>
      </c>
      <c r="AH1471" s="432">
        <v>46051</v>
      </c>
      <c r="AI1471" s="432">
        <v>46085</v>
      </c>
      <c r="AJ1471" s="427">
        <v>989</v>
      </c>
      <c r="AK1471" s="422">
        <f t="shared" si="322"/>
        <v>34</v>
      </c>
      <c r="AL1471" s="427"/>
      <c r="AM1471" s="423"/>
      <c r="AN1471" s="422"/>
      <c r="AO1471" s="422"/>
    </row>
    <row r="1472" spans="1:41" s="461" customFormat="1" ht="14.5" x14ac:dyDescent="0.25">
      <c r="A1472" s="460" t="s">
        <v>2522</v>
      </c>
      <c r="B1472" s="422"/>
      <c r="C1472" s="422" t="s">
        <v>2516</v>
      </c>
      <c r="D1472" s="423" t="s">
        <v>2520</v>
      </c>
      <c r="E1472" s="422" t="s">
        <v>97</v>
      </c>
      <c r="F1472" s="422" t="s">
        <v>0</v>
      </c>
      <c r="G1472" s="424" t="s">
        <v>1409</v>
      </c>
      <c r="H1472" s="422">
        <v>330</v>
      </c>
      <c r="I1472" s="422" t="s">
        <v>89</v>
      </c>
      <c r="J1472" s="422" t="s">
        <v>8</v>
      </c>
      <c r="K1472" s="423" t="s">
        <v>50</v>
      </c>
      <c r="L1472" s="425" t="s">
        <v>1409</v>
      </c>
      <c r="M1472" s="426" t="s">
        <v>3446</v>
      </c>
      <c r="N1472" s="422" t="s">
        <v>2870</v>
      </c>
      <c r="O1472" s="427">
        <v>11</v>
      </c>
      <c r="P1472" s="456">
        <v>170.901041666667</v>
      </c>
      <c r="Q1472" s="427" t="s">
        <v>16</v>
      </c>
      <c r="R1472" s="422">
        <v>3.7</v>
      </c>
      <c r="S1472" s="436"/>
      <c r="T1472" s="428">
        <v>5.4590570719603004</v>
      </c>
      <c r="U1472" s="429">
        <f t="shared" si="327"/>
        <v>637.79291123862822</v>
      </c>
      <c r="V1472" s="430">
        <f t="shared" si="323"/>
        <v>1.9327057916322068</v>
      </c>
      <c r="W1472" s="431">
        <f t="shared" si="324"/>
        <v>0.27610082737602953</v>
      </c>
      <c r="X1472" s="422"/>
      <c r="Y1472" s="422"/>
      <c r="Z1472" s="428"/>
      <c r="AA1472" s="432">
        <v>46017</v>
      </c>
      <c r="AB1472" s="432">
        <v>46039</v>
      </c>
      <c r="AC1472" s="432"/>
      <c r="AD1472" s="433">
        <f>IF(ISNA(VLOOKUP(D1472,亚马逊入库配置费!B:F,5,0)),0,VLOOKUP(D1472,亚马逊入库配置费!B:F,5,0))</f>
        <v>0</v>
      </c>
      <c r="AE1472" s="433">
        <f t="shared" si="320"/>
        <v>0</v>
      </c>
      <c r="AF1472" s="432">
        <v>46051</v>
      </c>
      <c r="AG1472" s="421">
        <f t="shared" si="321"/>
        <v>34</v>
      </c>
      <c r="AH1472" s="432">
        <v>46051</v>
      </c>
      <c r="AI1472" s="432">
        <v>46085</v>
      </c>
      <c r="AJ1472" s="427">
        <v>329</v>
      </c>
      <c r="AK1472" s="422">
        <f t="shared" si="322"/>
        <v>34</v>
      </c>
      <c r="AL1472" s="427"/>
      <c r="AM1472" s="423"/>
      <c r="AN1472" s="422"/>
      <c r="AO1472" s="422"/>
    </row>
    <row r="1473" spans="1:41" s="461" customFormat="1" ht="14.5" x14ac:dyDescent="0.25">
      <c r="A1473" s="460" t="s">
        <v>2523</v>
      </c>
      <c r="B1473" s="422"/>
      <c r="C1473" s="422" t="s">
        <v>2516</v>
      </c>
      <c r="D1473" s="423" t="s">
        <v>2520</v>
      </c>
      <c r="E1473" s="422" t="s">
        <v>97</v>
      </c>
      <c r="F1473" s="422" t="s">
        <v>0</v>
      </c>
      <c r="G1473" s="424" t="s">
        <v>2251</v>
      </c>
      <c r="H1473" s="422">
        <v>270</v>
      </c>
      <c r="I1473" s="422" t="s">
        <v>89</v>
      </c>
      <c r="J1473" s="422" t="s">
        <v>8</v>
      </c>
      <c r="K1473" s="423" t="s">
        <v>50</v>
      </c>
      <c r="L1473" s="425" t="s">
        <v>2251</v>
      </c>
      <c r="M1473" s="426" t="s">
        <v>3505</v>
      </c>
      <c r="N1473" s="422" t="s">
        <v>2867</v>
      </c>
      <c r="O1473" s="427">
        <v>9</v>
      </c>
      <c r="P1473" s="456">
        <v>139.828125</v>
      </c>
      <c r="Q1473" s="427" t="s">
        <v>16</v>
      </c>
      <c r="R1473" s="422">
        <v>3.7</v>
      </c>
      <c r="S1473" s="436"/>
      <c r="T1473" s="428">
        <v>4.4665012406947904</v>
      </c>
      <c r="U1473" s="429">
        <f t="shared" si="327"/>
        <v>521.83056374069486</v>
      </c>
      <c r="V1473" s="430">
        <f t="shared" si="323"/>
        <v>1.9327057916322032</v>
      </c>
      <c r="W1473" s="431">
        <f t="shared" si="324"/>
        <v>0.27610082737602903</v>
      </c>
      <c r="X1473" s="422"/>
      <c r="Y1473" s="422"/>
      <c r="Z1473" s="428"/>
      <c r="AA1473" s="432">
        <v>46017</v>
      </c>
      <c r="AB1473" s="432">
        <v>46039</v>
      </c>
      <c r="AC1473" s="432"/>
      <c r="AD1473" s="433">
        <f>IF(ISNA(VLOOKUP(D1473,亚马逊入库配置费!B:F,5,0)),0,VLOOKUP(D1473,亚马逊入库配置费!B:F,5,0))</f>
        <v>0</v>
      </c>
      <c r="AE1473" s="433">
        <f t="shared" si="320"/>
        <v>0</v>
      </c>
      <c r="AF1473" s="432">
        <v>46051</v>
      </c>
      <c r="AG1473" s="421">
        <f t="shared" si="321"/>
        <v>34</v>
      </c>
      <c r="AH1473" s="432">
        <v>46051</v>
      </c>
      <c r="AI1473" s="432">
        <v>46085</v>
      </c>
      <c r="AJ1473" s="427">
        <v>270</v>
      </c>
      <c r="AK1473" s="422">
        <f t="shared" si="322"/>
        <v>34</v>
      </c>
      <c r="AL1473" s="427"/>
      <c r="AM1473" s="423"/>
      <c r="AN1473" s="422"/>
      <c r="AO1473" s="422"/>
    </row>
    <row r="1474" spans="1:41" s="461" customFormat="1" ht="14.5" x14ac:dyDescent="0.25">
      <c r="A1474" s="460" t="s">
        <v>2524</v>
      </c>
      <c r="B1474" s="422"/>
      <c r="C1474" s="422" t="s">
        <v>2516</v>
      </c>
      <c r="D1474" s="423" t="s">
        <v>2520</v>
      </c>
      <c r="E1474" s="422" t="s">
        <v>97</v>
      </c>
      <c r="F1474" s="422" t="s">
        <v>0</v>
      </c>
      <c r="G1474" s="424" t="s">
        <v>1215</v>
      </c>
      <c r="H1474" s="422">
        <v>3000</v>
      </c>
      <c r="I1474" s="422" t="s">
        <v>89</v>
      </c>
      <c r="J1474" s="422" t="s">
        <v>8</v>
      </c>
      <c r="K1474" s="423" t="s">
        <v>50</v>
      </c>
      <c r="L1474" s="425" t="s">
        <v>3095</v>
      </c>
      <c r="M1474" s="426" t="s">
        <v>3436</v>
      </c>
      <c r="N1474" s="422" t="s">
        <v>2867</v>
      </c>
      <c r="O1474" s="427">
        <v>100</v>
      </c>
      <c r="P1474" s="456">
        <v>1553.6458333333301</v>
      </c>
      <c r="Q1474" s="427" t="s">
        <v>16</v>
      </c>
      <c r="R1474" s="422">
        <v>3.7</v>
      </c>
      <c r="S1474" s="436"/>
      <c r="T1474" s="428">
        <v>49.627791563275402</v>
      </c>
      <c r="U1474" s="429">
        <f t="shared" si="327"/>
        <v>5798.1173748965966</v>
      </c>
      <c r="V1474" s="430">
        <f t="shared" si="323"/>
        <v>1.9327057916321988</v>
      </c>
      <c r="W1474" s="431">
        <f t="shared" si="324"/>
        <v>0.27610082737602842</v>
      </c>
      <c r="X1474" s="422"/>
      <c r="Y1474" s="422"/>
      <c r="Z1474" s="428"/>
      <c r="AA1474" s="432">
        <v>46017</v>
      </c>
      <c r="AB1474" s="432">
        <v>46039</v>
      </c>
      <c r="AC1474" s="432"/>
      <c r="AD1474" s="433">
        <f>IF(ISNA(VLOOKUP(D1474,亚马逊入库配置费!B:F,5,0)),0,VLOOKUP(D1474,亚马逊入库配置费!B:F,5,0))</f>
        <v>0</v>
      </c>
      <c r="AE1474" s="433">
        <f t="shared" ref="AE1474:AE1537" si="328">H1474*AD1474</f>
        <v>0</v>
      </c>
      <c r="AF1474" s="432">
        <v>46051</v>
      </c>
      <c r="AG1474" s="421">
        <f t="shared" ref="AG1474:AG1537" si="329">AF1474-AA1474</f>
        <v>34</v>
      </c>
      <c r="AH1474" s="432">
        <v>46051</v>
      </c>
      <c r="AI1474" s="432">
        <v>46085</v>
      </c>
      <c r="AJ1474" s="427">
        <v>3003</v>
      </c>
      <c r="AK1474" s="422">
        <f t="shared" ref="AK1474:AK1537" si="330">AI1474-AH1474</f>
        <v>34</v>
      </c>
      <c r="AL1474" s="427"/>
      <c r="AM1474" s="423"/>
      <c r="AN1474" s="422"/>
      <c r="AO1474" s="422"/>
    </row>
    <row r="1475" spans="1:41" s="461" customFormat="1" ht="14.5" x14ac:dyDescent="0.25">
      <c r="A1475" s="460" t="s">
        <v>2525</v>
      </c>
      <c r="B1475" s="422"/>
      <c r="C1475" s="422" t="s">
        <v>2516</v>
      </c>
      <c r="D1475" s="423" t="s">
        <v>2520</v>
      </c>
      <c r="E1475" s="422" t="s">
        <v>97</v>
      </c>
      <c r="F1475" s="422" t="s">
        <v>0</v>
      </c>
      <c r="G1475" s="424" t="s">
        <v>1851</v>
      </c>
      <c r="H1475" s="422">
        <v>210</v>
      </c>
      <c r="I1475" s="422" t="s">
        <v>89</v>
      </c>
      <c r="J1475" s="422" t="s">
        <v>8</v>
      </c>
      <c r="K1475" s="423" t="s">
        <v>50</v>
      </c>
      <c r="L1475" s="425" t="s">
        <v>1851</v>
      </c>
      <c r="M1475" s="426" t="s">
        <v>3454</v>
      </c>
      <c r="N1475" s="422" t="s">
        <v>2867</v>
      </c>
      <c r="O1475" s="427">
        <v>7</v>
      </c>
      <c r="P1475" s="456">
        <v>108.755208333333</v>
      </c>
      <c r="Q1475" s="427" t="s">
        <v>16</v>
      </c>
      <c r="R1475" s="422">
        <v>3.7</v>
      </c>
      <c r="S1475" s="436"/>
      <c r="T1475" s="428">
        <v>3.4739454094292799</v>
      </c>
      <c r="U1475" s="429">
        <f t="shared" si="327"/>
        <v>405.86821624276143</v>
      </c>
      <c r="V1475" s="430">
        <f t="shared" si="323"/>
        <v>1.9327057916321972</v>
      </c>
      <c r="W1475" s="431">
        <f t="shared" si="324"/>
        <v>0.2761008273760282</v>
      </c>
      <c r="X1475" s="422"/>
      <c r="Y1475" s="422"/>
      <c r="Z1475" s="428"/>
      <c r="AA1475" s="432">
        <v>46017</v>
      </c>
      <c r="AB1475" s="432">
        <v>46039</v>
      </c>
      <c r="AC1475" s="432"/>
      <c r="AD1475" s="433">
        <f>IF(ISNA(VLOOKUP(D1475,亚马逊入库配置费!B:F,5,0)),0,VLOOKUP(D1475,亚马逊入库配置费!B:F,5,0))</f>
        <v>0</v>
      </c>
      <c r="AE1475" s="433">
        <f t="shared" si="328"/>
        <v>0</v>
      </c>
      <c r="AF1475" s="432">
        <v>46051</v>
      </c>
      <c r="AG1475" s="421">
        <f t="shared" si="329"/>
        <v>34</v>
      </c>
      <c r="AH1475" s="432">
        <v>46051</v>
      </c>
      <c r="AI1475" s="432">
        <v>46085</v>
      </c>
      <c r="AJ1475" s="427">
        <v>209</v>
      </c>
      <c r="AK1475" s="422">
        <f t="shared" si="330"/>
        <v>34</v>
      </c>
      <c r="AL1475" s="427"/>
      <c r="AM1475" s="423"/>
      <c r="AN1475" s="422"/>
      <c r="AO1475" s="422"/>
    </row>
    <row r="1476" spans="1:41" s="461" customFormat="1" ht="14.5" x14ac:dyDescent="0.25">
      <c r="A1476" s="460" t="s">
        <v>2526</v>
      </c>
      <c r="B1476" s="422"/>
      <c r="C1476" s="422" t="s">
        <v>2516</v>
      </c>
      <c r="D1476" s="423" t="s">
        <v>2520</v>
      </c>
      <c r="E1476" s="422" t="s">
        <v>97</v>
      </c>
      <c r="F1476" s="422" t="s">
        <v>0</v>
      </c>
      <c r="G1476" s="424" t="s">
        <v>1902</v>
      </c>
      <c r="H1476" s="422">
        <v>450</v>
      </c>
      <c r="I1476" s="422" t="s">
        <v>89</v>
      </c>
      <c r="J1476" s="422" t="s">
        <v>8</v>
      </c>
      <c r="K1476" s="423" t="s">
        <v>50</v>
      </c>
      <c r="L1476" s="425" t="s">
        <v>1902</v>
      </c>
      <c r="M1476" s="426" t="s">
        <v>3457</v>
      </c>
      <c r="N1476" s="422" t="s">
        <v>2867</v>
      </c>
      <c r="O1476" s="427">
        <v>15</v>
      </c>
      <c r="P1476" s="456">
        <v>233.046875</v>
      </c>
      <c r="Q1476" s="427" t="s">
        <v>16</v>
      </c>
      <c r="R1476" s="422">
        <v>3.7</v>
      </c>
      <c r="S1476" s="436"/>
      <c r="T1476" s="428">
        <v>7.4441687344913197</v>
      </c>
      <c r="U1476" s="429">
        <f t="shared" si="327"/>
        <v>869.71760623449131</v>
      </c>
      <c r="V1476" s="430">
        <f t="shared" si="323"/>
        <v>1.932705791632203</v>
      </c>
      <c r="W1476" s="431">
        <f t="shared" si="324"/>
        <v>0.27610082737602898</v>
      </c>
      <c r="X1476" s="422"/>
      <c r="Y1476" s="422"/>
      <c r="Z1476" s="428"/>
      <c r="AA1476" s="432">
        <v>46017</v>
      </c>
      <c r="AB1476" s="432">
        <v>46039</v>
      </c>
      <c r="AC1476" s="432"/>
      <c r="AD1476" s="433">
        <f>IF(ISNA(VLOOKUP(D1476,亚马逊入库配置费!B:F,5,0)),0,VLOOKUP(D1476,亚马逊入库配置费!B:F,5,0))</f>
        <v>0</v>
      </c>
      <c r="AE1476" s="433">
        <f t="shared" si="328"/>
        <v>0</v>
      </c>
      <c r="AF1476" s="432">
        <v>46051</v>
      </c>
      <c r="AG1476" s="421">
        <f t="shared" si="329"/>
        <v>34</v>
      </c>
      <c r="AH1476" s="432">
        <v>46051</v>
      </c>
      <c r="AI1476" s="432">
        <v>46085</v>
      </c>
      <c r="AJ1476" s="427">
        <v>451</v>
      </c>
      <c r="AK1476" s="422">
        <f t="shared" si="330"/>
        <v>34</v>
      </c>
      <c r="AL1476" s="427"/>
      <c r="AM1476" s="423"/>
      <c r="AN1476" s="422"/>
      <c r="AO1476" s="422"/>
    </row>
    <row r="1477" spans="1:41" s="461" customFormat="1" ht="14.5" x14ac:dyDescent="0.25">
      <c r="A1477" s="460" t="s">
        <v>2527</v>
      </c>
      <c r="B1477" s="422"/>
      <c r="C1477" s="422" t="s">
        <v>2528</v>
      </c>
      <c r="D1477" s="423" t="s">
        <v>2529</v>
      </c>
      <c r="E1477" s="422" t="s">
        <v>86</v>
      </c>
      <c r="F1477" s="422" t="s">
        <v>87</v>
      </c>
      <c r="G1477" s="424" t="s">
        <v>211</v>
      </c>
      <c r="H1477" s="422">
        <v>240</v>
      </c>
      <c r="I1477" s="422" t="s">
        <v>89</v>
      </c>
      <c r="J1477" s="422" t="s">
        <v>90</v>
      </c>
      <c r="K1477" s="423" t="s">
        <v>2530</v>
      </c>
      <c r="L1477" s="425" t="s">
        <v>3034</v>
      </c>
      <c r="M1477" s="426" t="s">
        <v>3312</v>
      </c>
      <c r="N1477" s="422" t="s">
        <v>2869</v>
      </c>
      <c r="O1477" s="427">
        <v>8</v>
      </c>
      <c r="P1477" s="456">
        <v>98</v>
      </c>
      <c r="Q1477" s="427" t="s">
        <v>16</v>
      </c>
      <c r="R1477" s="422">
        <v>6.4</v>
      </c>
      <c r="S1477" s="436">
        <v>200</v>
      </c>
      <c r="T1477" s="428">
        <v>100</v>
      </c>
      <c r="U1477" s="429">
        <f t="shared" si="327"/>
        <v>727.2</v>
      </c>
      <c r="V1477" s="430">
        <f t="shared" si="323"/>
        <v>3.0300000000000002</v>
      </c>
      <c r="W1477" s="431">
        <f t="shared" si="324"/>
        <v>0.43285714285714288</v>
      </c>
      <c r="X1477" s="422"/>
      <c r="Y1477" s="422"/>
      <c r="Z1477" s="428"/>
      <c r="AA1477" s="432">
        <v>46017</v>
      </c>
      <c r="AB1477" s="432">
        <v>46049</v>
      </c>
      <c r="AC1477" s="432"/>
      <c r="AD1477" s="433">
        <f>IF(ISNA(VLOOKUP(D1477,亚马逊入库配置费!B:F,5,0)),0,VLOOKUP(D1477,亚马逊入库配置费!B:F,5,0))</f>
        <v>0</v>
      </c>
      <c r="AE1477" s="433">
        <f t="shared" si="328"/>
        <v>0</v>
      </c>
      <c r="AF1477" s="432">
        <v>46079</v>
      </c>
      <c r="AG1477" s="421">
        <f t="shared" si="329"/>
        <v>62</v>
      </c>
      <c r="AH1477" s="432">
        <v>46079</v>
      </c>
      <c r="AI1477" s="432">
        <v>46089</v>
      </c>
      <c r="AJ1477" s="427">
        <v>240</v>
      </c>
      <c r="AK1477" s="422">
        <f t="shared" si="330"/>
        <v>10</v>
      </c>
      <c r="AL1477" s="427"/>
      <c r="AM1477" s="423"/>
      <c r="AN1477" s="422"/>
      <c r="AO1477" s="422"/>
    </row>
    <row r="1478" spans="1:41" s="461" customFormat="1" ht="14.5" x14ac:dyDescent="0.25">
      <c r="A1478" s="460" t="s">
        <v>2531</v>
      </c>
      <c r="B1478" s="422"/>
      <c r="C1478" s="422" t="s">
        <v>2528</v>
      </c>
      <c r="D1478" s="423" t="s">
        <v>2529</v>
      </c>
      <c r="E1478" s="422" t="s">
        <v>86</v>
      </c>
      <c r="F1478" s="422" t="s">
        <v>87</v>
      </c>
      <c r="G1478" s="424" t="s">
        <v>213</v>
      </c>
      <c r="H1478" s="422">
        <v>180</v>
      </c>
      <c r="I1478" s="422" t="s">
        <v>89</v>
      </c>
      <c r="J1478" s="422" t="s">
        <v>90</v>
      </c>
      <c r="K1478" s="423" t="s">
        <v>2530</v>
      </c>
      <c r="L1478" s="425" t="s">
        <v>3035</v>
      </c>
      <c r="M1478" s="426" t="s">
        <v>3313</v>
      </c>
      <c r="N1478" s="422" t="s">
        <v>2869</v>
      </c>
      <c r="O1478" s="427">
        <v>6</v>
      </c>
      <c r="P1478" s="456">
        <v>73.5</v>
      </c>
      <c r="Q1478" s="427" t="s">
        <v>16</v>
      </c>
      <c r="R1478" s="422">
        <v>6.4</v>
      </c>
      <c r="S1478" s="436">
        <f>SUMIF(C:C,C1477,T:T)</f>
        <v>200</v>
      </c>
      <c r="T1478" s="428">
        <v>75</v>
      </c>
      <c r="U1478" s="429">
        <f t="shared" si="327"/>
        <v>545.40000000000009</v>
      </c>
      <c r="V1478" s="430">
        <f t="shared" si="323"/>
        <v>3.0300000000000007</v>
      </c>
      <c r="W1478" s="431">
        <f t="shared" si="324"/>
        <v>0.43285714285714294</v>
      </c>
      <c r="X1478" s="422"/>
      <c r="Y1478" s="422"/>
      <c r="Z1478" s="428"/>
      <c r="AA1478" s="432">
        <v>46017</v>
      </c>
      <c r="AB1478" s="432">
        <v>46049</v>
      </c>
      <c r="AC1478" s="432"/>
      <c r="AD1478" s="433">
        <f>IF(ISNA(VLOOKUP(D1478,亚马逊入库配置费!B:F,5,0)),0,VLOOKUP(D1478,亚马逊入库配置费!B:F,5,0))</f>
        <v>0</v>
      </c>
      <c r="AE1478" s="433">
        <f t="shared" si="328"/>
        <v>0</v>
      </c>
      <c r="AF1478" s="432">
        <v>46079</v>
      </c>
      <c r="AG1478" s="421">
        <f t="shared" si="329"/>
        <v>62</v>
      </c>
      <c r="AH1478" s="432">
        <v>46079</v>
      </c>
      <c r="AI1478" s="432">
        <v>46089</v>
      </c>
      <c r="AJ1478" s="427">
        <v>180</v>
      </c>
      <c r="AK1478" s="422">
        <f t="shared" si="330"/>
        <v>10</v>
      </c>
      <c r="AL1478" s="427"/>
      <c r="AM1478" s="423"/>
      <c r="AN1478" s="422"/>
      <c r="AO1478" s="422"/>
    </row>
    <row r="1479" spans="1:41" s="461" customFormat="1" ht="14.5" x14ac:dyDescent="0.25">
      <c r="A1479" s="460" t="s">
        <v>2532</v>
      </c>
      <c r="B1479" s="422"/>
      <c r="C1479" s="422" t="s">
        <v>2528</v>
      </c>
      <c r="D1479" s="423" t="s">
        <v>2529</v>
      </c>
      <c r="E1479" s="422" t="s">
        <v>86</v>
      </c>
      <c r="F1479" s="422" t="s">
        <v>87</v>
      </c>
      <c r="G1479" s="424" t="s">
        <v>608</v>
      </c>
      <c r="H1479" s="422">
        <v>60</v>
      </c>
      <c r="I1479" s="422" t="s">
        <v>89</v>
      </c>
      <c r="J1479" s="422" t="s">
        <v>90</v>
      </c>
      <c r="K1479" s="423" t="s">
        <v>2530</v>
      </c>
      <c r="L1479" s="425" t="s">
        <v>3076</v>
      </c>
      <c r="M1479" s="426" t="s">
        <v>3377</v>
      </c>
      <c r="N1479" s="422" t="s">
        <v>2869</v>
      </c>
      <c r="O1479" s="427">
        <v>2</v>
      </c>
      <c r="P1479" s="456">
        <v>24.5</v>
      </c>
      <c r="Q1479" s="427" t="s">
        <v>16</v>
      </c>
      <c r="R1479" s="422">
        <v>6.4</v>
      </c>
      <c r="S1479" s="436"/>
      <c r="T1479" s="428">
        <v>25</v>
      </c>
      <c r="U1479" s="429">
        <f t="shared" si="327"/>
        <v>181.8</v>
      </c>
      <c r="V1479" s="430">
        <f t="shared" si="323"/>
        <v>3.0300000000000002</v>
      </c>
      <c r="W1479" s="431">
        <f t="shared" si="324"/>
        <v>0.43285714285714288</v>
      </c>
      <c r="X1479" s="422"/>
      <c r="Y1479" s="422"/>
      <c r="Z1479" s="428"/>
      <c r="AA1479" s="432">
        <v>46017</v>
      </c>
      <c r="AB1479" s="432">
        <v>46049</v>
      </c>
      <c r="AC1479" s="432"/>
      <c r="AD1479" s="433">
        <f>IF(ISNA(VLOOKUP(D1479,亚马逊入库配置费!B:F,5,0)),0,VLOOKUP(D1479,亚马逊入库配置费!B:F,5,0))</f>
        <v>0</v>
      </c>
      <c r="AE1479" s="433">
        <f t="shared" si="328"/>
        <v>0</v>
      </c>
      <c r="AF1479" s="432">
        <v>46079</v>
      </c>
      <c r="AG1479" s="421">
        <f t="shared" si="329"/>
        <v>62</v>
      </c>
      <c r="AH1479" s="432">
        <v>46079</v>
      </c>
      <c r="AI1479" s="432">
        <v>46089</v>
      </c>
      <c r="AJ1479" s="427">
        <v>60</v>
      </c>
      <c r="AK1479" s="422">
        <f t="shared" si="330"/>
        <v>10</v>
      </c>
      <c r="AL1479" s="427"/>
      <c r="AM1479" s="423"/>
      <c r="AN1479" s="422"/>
      <c r="AO1479" s="422"/>
    </row>
    <row r="1480" spans="1:41" s="461" customFormat="1" ht="14.5" x14ac:dyDescent="0.25">
      <c r="A1480" s="460" t="s">
        <v>2533</v>
      </c>
      <c r="B1480" s="422"/>
      <c r="C1480" s="422" t="s">
        <v>2516</v>
      </c>
      <c r="D1480" s="423" t="s">
        <v>2534</v>
      </c>
      <c r="E1480" s="422" t="s">
        <v>97</v>
      </c>
      <c r="F1480" s="422" t="s">
        <v>0</v>
      </c>
      <c r="G1480" s="424" t="s">
        <v>1195</v>
      </c>
      <c r="H1480" s="422">
        <v>300</v>
      </c>
      <c r="I1480" s="422" t="s">
        <v>89</v>
      </c>
      <c r="J1480" s="422" t="s">
        <v>8</v>
      </c>
      <c r="K1480" s="423" t="s">
        <v>43</v>
      </c>
      <c r="L1480" s="425" t="s">
        <v>1195</v>
      </c>
      <c r="M1480" s="426" t="s">
        <v>3433</v>
      </c>
      <c r="N1480" s="422" t="s">
        <v>2870</v>
      </c>
      <c r="O1480" s="427">
        <v>10</v>
      </c>
      <c r="P1480" s="456">
        <v>160</v>
      </c>
      <c r="Q1480" s="427" t="s">
        <v>16</v>
      </c>
      <c r="R1480" s="422">
        <v>3.3</v>
      </c>
      <c r="S1480" s="436"/>
      <c r="T1480" s="428">
        <v>4.9627791563275396</v>
      </c>
      <c r="U1480" s="429">
        <f t="shared" si="327"/>
        <v>532.96277915632754</v>
      </c>
      <c r="V1480" s="430">
        <f t="shared" si="323"/>
        <v>1.7765425971877584</v>
      </c>
      <c r="W1480" s="431">
        <f t="shared" si="324"/>
        <v>0.25379179959825121</v>
      </c>
      <c r="X1480" s="422"/>
      <c r="Y1480" s="422"/>
      <c r="Z1480" s="428"/>
      <c r="AA1480" s="432">
        <v>46017</v>
      </c>
      <c r="AB1480" s="432">
        <v>46039</v>
      </c>
      <c r="AC1480" s="432"/>
      <c r="AD1480" s="433">
        <f>IF(ISNA(VLOOKUP(D1480,亚马逊入库配置费!B:F,5,0)),0,VLOOKUP(D1480,亚马逊入库配置费!B:F,5,0))</f>
        <v>0.41000000000000003</v>
      </c>
      <c r="AE1480" s="433">
        <f t="shared" si="328"/>
        <v>123.00000000000001</v>
      </c>
      <c r="AF1480" s="432">
        <v>46050</v>
      </c>
      <c r="AG1480" s="421">
        <f t="shared" si="329"/>
        <v>33</v>
      </c>
      <c r="AH1480" s="432">
        <v>46050</v>
      </c>
      <c r="AI1480" s="432">
        <v>46076</v>
      </c>
      <c r="AJ1480" s="427">
        <v>298</v>
      </c>
      <c r="AK1480" s="422">
        <f t="shared" si="330"/>
        <v>26</v>
      </c>
      <c r="AL1480" s="427"/>
      <c r="AM1480" s="423"/>
      <c r="AN1480" s="422"/>
      <c r="AO1480" s="422"/>
    </row>
    <row r="1481" spans="1:41" s="461" customFormat="1" ht="14.5" x14ac:dyDescent="0.25">
      <c r="A1481" s="460" t="s">
        <v>2535</v>
      </c>
      <c r="B1481" s="422"/>
      <c r="C1481" s="422" t="s">
        <v>2516</v>
      </c>
      <c r="D1481" s="423" t="s">
        <v>2534</v>
      </c>
      <c r="E1481" s="422" t="s">
        <v>97</v>
      </c>
      <c r="F1481" s="422" t="s">
        <v>0</v>
      </c>
      <c r="G1481" s="424" t="s">
        <v>1198</v>
      </c>
      <c r="H1481" s="422">
        <v>390</v>
      </c>
      <c r="I1481" s="422" t="s">
        <v>89</v>
      </c>
      <c r="J1481" s="422" t="s">
        <v>8</v>
      </c>
      <c r="K1481" s="423" t="s">
        <v>43</v>
      </c>
      <c r="L1481" s="425" t="s">
        <v>1198</v>
      </c>
      <c r="M1481" s="426" t="s">
        <v>3434</v>
      </c>
      <c r="N1481" s="422" t="s">
        <v>2870</v>
      </c>
      <c r="O1481" s="427">
        <v>13</v>
      </c>
      <c r="P1481" s="456">
        <v>208</v>
      </c>
      <c r="Q1481" s="427" t="s">
        <v>16</v>
      </c>
      <c r="R1481" s="422">
        <v>3.3</v>
      </c>
      <c r="S1481" s="436"/>
      <c r="T1481" s="428">
        <v>6.4516129032258096</v>
      </c>
      <c r="U1481" s="429">
        <f t="shared" si="327"/>
        <v>692.85161290322583</v>
      </c>
      <c r="V1481" s="430">
        <f t="shared" si="323"/>
        <v>1.7765425971877586</v>
      </c>
      <c r="W1481" s="431">
        <f t="shared" si="324"/>
        <v>0.25379179959825121</v>
      </c>
      <c r="X1481" s="422"/>
      <c r="Y1481" s="422"/>
      <c r="Z1481" s="428"/>
      <c r="AA1481" s="432">
        <v>46017</v>
      </c>
      <c r="AB1481" s="432">
        <v>46039</v>
      </c>
      <c r="AC1481" s="432"/>
      <c r="AD1481" s="433">
        <f>IF(ISNA(VLOOKUP(D1481,亚马逊入库配置费!B:F,5,0)),0,VLOOKUP(D1481,亚马逊入库配置费!B:F,5,0))</f>
        <v>0.41000000000000003</v>
      </c>
      <c r="AE1481" s="433">
        <f t="shared" si="328"/>
        <v>159.9</v>
      </c>
      <c r="AF1481" s="432">
        <v>46050</v>
      </c>
      <c r="AG1481" s="421">
        <f t="shared" si="329"/>
        <v>33</v>
      </c>
      <c r="AH1481" s="432">
        <v>46050</v>
      </c>
      <c r="AI1481" s="432">
        <v>46076</v>
      </c>
      <c r="AJ1481" s="427">
        <v>390</v>
      </c>
      <c r="AK1481" s="422">
        <f t="shared" si="330"/>
        <v>26</v>
      </c>
      <c r="AL1481" s="427"/>
      <c r="AM1481" s="423"/>
      <c r="AN1481" s="422"/>
      <c r="AO1481" s="422"/>
    </row>
    <row r="1482" spans="1:41" s="461" customFormat="1" ht="14.5" x14ac:dyDescent="0.25">
      <c r="A1482" s="460" t="s">
        <v>2536</v>
      </c>
      <c r="B1482" s="422"/>
      <c r="C1482" s="422" t="s">
        <v>2516</v>
      </c>
      <c r="D1482" s="423" t="s">
        <v>2534</v>
      </c>
      <c r="E1482" s="422" t="s">
        <v>97</v>
      </c>
      <c r="F1482" s="422" t="s">
        <v>0</v>
      </c>
      <c r="G1482" s="424" t="s">
        <v>1409</v>
      </c>
      <c r="H1482" s="422">
        <v>90</v>
      </c>
      <c r="I1482" s="422" t="s">
        <v>89</v>
      </c>
      <c r="J1482" s="422" t="s">
        <v>8</v>
      </c>
      <c r="K1482" s="423" t="s">
        <v>43</v>
      </c>
      <c r="L1482" s="425" t="s">
        <v>1409</v>
      </c>
      <c r="M1482" s="426" t="s">
        <v>3446</v>
      </c>
      <c r="N1482" s="422" t="s">
        <v>2870</v>
      </c>
      <c r="O1482" s="427">
        <v>3</v>
      </c>
      <c r="P1482" s="456">
        <v>48</v>
      </c>
      <c r="Q1482" s="427" t="s">
        <v>16</v>
      </c>
      <c r="R1482" s="422">
        <v>3.3</v>
      </c>
      <c r="S1482" s="436"/>
      <c r="T1482" s="428">
        <v>1.48883374689826</v>
      </c>
      <c r="U1482" s="429">
        <f t="shared" si="327"/>
        <v>159.88883374689823</v>
      </c>
      <c r="V1482" s="430">
        <f t="shared" si="323"/>
        <v>1.7765425971877582</v>
      </c>
      <c r="W1482" s="431">
        <f t="shared" si="324"/>
        <v>0.25379179959825116</v>
      </c>
      <c r="X1482" s="422"/>
      <c r="Y1482" s="422"/>
      <c r="Z1482" s="428"/>
      <c r="AA1482" s="432">
        <v>46017</v>
      </c>
      <c r="AB1482" s="432">
        <v>46039</v>
      </c>
      <c r="AC1482" s="432"/>
      <c r="AD1482" s="433">
        <f>IF(ISNA(VLOOKUP(D1482,亚马逊入库配置费!B:F,5,0)),0,VLOOKUP(D1482,亚马逊入库配置费!B:F,5,0))</f>
        <v>0.41000000000000003</v>
      </c>
      <c r="AE1482" s="433">
        <f t="shared" si="328"/>
        <v>36.900000000000006</v>
      </c>
      <c r="AF1482" s="432">
        <v>46050</v>
      </c>
      <c r="AG1482" s="421">
        <f t="shared" si="329"/>
        <v>33</v>
      </c>
      <c r="AH1482" s="432">
        <v>46050</v>
      </c>
      <c r="AI1482" s="432">
        <v>46076</v>
      </c>
      <c r="AJ1482" s="427">
        <v>90</v>
      </c>
      <c r="AK1482" s="422">
        <f t="shared" si="330"/>
        <v>26</v>
      </c>
      <c r="AL1482" s="427"/>
      <c r="AM1482" s="423"/>
      <c r="AN1482" s="422"/>
      <c r="AO1482" s="422"/>
    </row>
    <row r="1483" spans="1:41" ht="14.5" x14ac:dyDescent="0.25">
      <c r="A1483" s="227" t="s">
        <v>2537</v>
      </c>
      <c r="B1483" s="228"/>
      <c r="C1483" s="228" t="s">
        <v>2503</v>
      </c>
      <c r="D1483" s="229" t="s">
        <v>2538</v>
      </c>
      <c r="E1483" s="228" t="s">
        <v>97</v>
      </c>
      <c r="F1483" s="228" t="s">
        <v>0</v>
      </c>
      <c r="G1483" s="230" t="s">
        <v>163</v>
      </c>
      <c r="H1483" s="228">
        <v>400</v>
      </c>
      <c r="I1483" s="228" t="s">
        <v>207</v>
      </c>
      <c r="J1483" s="228" t="s">
        <v>8</v>
      </c>
      <c r="K1483" s="229" t="s">
        <v>13</v>
      </c>
      <c r="L1483" s="93" t="s">
        <v>2881</v>
      </c>
      <c r="M1483" s="94" t="s">
        <v>3302</v>
      </c>
      <c r="N1483" s="95" t="s">
        <v>2870</v>
      </c>
      <c r="O1483" s="231">
        <v>10</v>
      </c>
      <c r="P1483" s="232">
        <v>134.38999999999999</v>
      </c>
      <c r="Q1483" s="231" t="s">
        <v>16</v>
      </c>
      <c r="R1483" s="228">
        <v>3.45</v>
      </c>
      <c r="S1483" s="240"/>
      <c r="T1483" s="233">
        <v>15.151515151515152</v>
      </c>
      <c r="U1483" s="234">
        <f t="shared" si="327"/>
        <v>478.7970151515151</v>
      </c>
      <c r="V1483" s="235">
        <f t="shared" si="323"/>
        <v>1.1969925378787878</v>
      </c>
      <c r="W1483" s="236">
        <f t="shared" si="324"/>
        <v>0.17099893398268398</v>
      </c>
      <c r="X1483" s="228"/>
      <c r="Y1483" s="228"/>
      <c r="Z1483" s="233"/>
      <c r="AA1483" s="237">
        <v>46017</v>
      </c>
      <c r="AB1483" s="237">
        <v>46037</v>
      </c>
      <c r="AC1483" s="237"/>
      <c r="AD1483" s="238">
        <f>IF(ISNA(VLOOKUP(D1483,亚马逊入库配置费!B:F,5,0)),0,VLOOKUP(D1483,亚马逊入库配置费!B:F,5,0))</f>
        <v>0.34</v>
      </c>
      <c r="AE1483" s="238">
        <f t="shared" si="328"/>
        <v>136</v>
      </c>
      <c r="AF1483" s="237">
        <v>46050</v>
      </c>
      <c r="AG1483" s="239">
        <f t="shared" si="329"/>
        <v>33</v>
      </c>
      <c r="AH1483" s="237">
        <v>46050</v>
      </c>
      <c r="AI1483" s="237">
        <v>46079</v>
      </c>
      <c r="AJ1483" s="231">
        <v>399</v>
      </c>
      <c r="AK1483" s="228">
        <f t="shared" si="330"/>
        <v>29</v>
      </c>
      <c r="AL1483" s="231"/>
      <c r="AM1483" s="229"/>
      <c r="AN1483" s="228"/>
      <c r="AO1483" s="228"/>
    </row>
    <row r="1484" spans="1:41" ht="14.5" x14ac:dyDescent="0.25">
      <c r="A1484" s="227" t="s">
        <v>2539</v>
      </c>
      <c r="B1484" s="228"/>
      <c r="C1484" s="228" t="s">
        <v>2503</v>
      </c>
      <c r="D1484" s="229" t="s">
        <v>2540</v>
      </c>
      <c r="E1484" s="228" t="s">
        <v>115</v>
      </c>
      <c r="F1484" s="228" t="s">
        <v>0</v>
      </c>
      <c r="G1484" s="230" t="s">
        <v>211</v>
      </c>
      <c r="H1484" s="228">
        <v>300</v>
      </c>
      <c r="I1484" s="228" t="s">
        <v>207</v>
      </c>
      <c r="J1484" s="228" t="s">
        <v>8</v>
      </c>
      <c r="K1484" s="229" t="s">
        <v>13</v>
      </c>
      <c r="L1484" s="93" t="s">
        <v>3034</v>
      </c>
      <c r="M1484" s="94" t="s">
        <v>3312</v>
      </c>
      <c r="N1484" s="95" t="s">
        <v>2869</v>
      </c>
      <c r="O1484" s="231">
        <v>10</v>
      </c>
      <c r="P1484" s="232">
        <v>134.38999999999999</v>
      </c>
      <c r="Q1484" s="231" t="s">
        <v>16</v>
      </c>
      <c r="R1484" s="228">
        <v>3.45</v>
      </c>
      <c r="S1484" s="240"/>
      <c r="T1484" s="233">
        <v>15.151515151515152</v>
      </c>
      <c r="U1484" s="234">
        <f t="shared" si="327"/>
        <v>478.7970151515151</v>
      </c>
      <c r="V1484" s="235">
        <f t="shared" si="323"/>
        <v>1.5959900505050504</v>
      </c>
      <c r="W1484" s="236">
        <f t="shared" si="324"/>
        <v>0.22799857864357861</v>
      </c>
      <c r="X1484" s="228"/>
      <c r="Y1484" s="228"/>
      <c r="Z1484" s="233"/>
      <c r="AA1484" s="237">
        <v>46017</v>
      </c>
      <c r="AB1484" s="237">
        <v>46037</v>
      </c>
      <c r="AC1484" s="237"/>
      <c r="AD1484" s="238">
        <f>IF(ISNA(VLOOKUP(D1484,亚马逊入库配置费!B:F,5,0)),0,VLOOKUP(D1484,亚马逊入库配置费!B:F,5,0))</f>
        <v>0.41</v>
      </c>
      <c r="AE1484" s="238">
        <f t="shared" si="328"/>
        <v>122.99999999999999</v>
      </c>
      <c r="AF1484" s="237">
        <v>46050</v>
      </c>
      <c r="AG1484" s="239">
        <f t="shared" si="329"/>
        <v>33</v>
      </c>
      <c r="AH1484" s="237">
        <v>46050</v>
      </c>
      <c r="AI1484" s="237">
        <v>46075</v>
      </c>
      <c r="AJ1484" s="231">
        <v>300</v>
      </c>
      <c r="AK1484" s="228">
        <f t="shared" si="330"/>
        <v>25</v>
      </c>
      <c r="AL1484" s="231"/>
      <c r="AM1484" s="229"/>
      <c r="AN1484" s="228"/>
      <c r="AO1484" s="228"/>
    </row>
    <row r="1485" spans="1:41" ht="14.5" x14ac:dyDescent="0.25">
      <c r="A1485" s="227" t="s">
        <v>2541</v>
      </c>
      <c r="B1485" s="228"/>
      <c r="C1485" s="228" t="s">
        <v>2542</v>
      </c>
      <c r="D1485" s="229" t="s">
        <v>2543</v>
      </c>
      <c r="E1485" s="228" t="s">
        <v>254</v>
      </c>
      <c r="F1485" s="228" t="s">
        <v>255</v>
      </c>
      <c r="G1485" s="230" t="s">
        <v>163</v>
      </c>
      <c r="H1485" s="228">
        <v>240</v>
      </c>
      <c r="I1485" s="228" t="s">
        <v>207</v>
      </c>
      <c r="J1485" s="228" t="s">
        <v>2313</v>
      </c>
      <c r="K1485" s="229" t="s">
        <v>475</v>
      </c>
      <c r="L1485" s="93" t="s">
        <v>2881</v>
      </c>
      <c r="M1485" s="94" t="s">
        <v>3302</v>
      </c>
      <c r="N1485" s="95" t="s">
        <v>2870</v>
      </c>
      <c r="O1485" s="231">
        <v>6</v>
      </c>
      <c r="P1485" s="232">
        <v>81.428571428571402</v>
      </c>
      <c r="Q1485" s="231" t="s">
        <v>16</v>
      </c>
      <c r="R1485" s="228">
        <v>4.7</v>
      </c>
      <c r="S1485" s="240">
        <v>550</v>
      </c>
      <c r="T1485" s="233">
        <v>235.71428571428601</v>
      </c>
      <c r="U1485" s="234">
        <f t="shared" si="327"/>
        <v>618.42857142857156</v>
      </c>
      <c r="V1485" s="235">
        <f t="shared" ref="V1485:V1544" si="331">U1485/H1485</f>
        <v>2.5767857142857147</v>
      </c>
      <c r="W1485" s="236">
        <f t="shared" ref="W1485:W1544" si="332">V1485/7</f>
        <v>0.36811224489795924</v>
      </c>
      <c r="X1485" s="228">
        <v>808.26</v>
      </c>
      <c r="Y1485" s="228">
        <v>346.39714285714285</v>
      </c>
      <c r="Z1485" s="233" t="s">
        <v>345</v>
      </c>
      <c r="AA1485" s="237">
        <v>46017</v>
      </c>
      <c r="AB1485" s="237">
        <v>46055</v>
      </c>
      <c r="AC1485" s="237"/>
      <c r="AD1485" s="238">
        <f>IF(ISNA(VLOOKUP(D1485,亚马逊入库配置费!B:F,5,0)),0,VLOOKUP(D1485,亚马逊入库配置费!B:F,5,0))</f>
        <v>0</v>
      </c>
      <c r="AE1485" s="238">
        <f t="shared" si="328"/>
        <v>0</v>
      </c>
      <c r="AF1485" s="237">
        <v>46063</v>
      </c>
      <c r="AG1485" s="239">
        <f t="shared" si="329"/>
        <v>46</v>
      </c>
      <c r="AH1485" s="237">
        <v>46063</v>
      </c>
      <c r="AI1485" s="237">
        <v>46083</v>
      </c>
      <c r="AJ1485" s="231">
        <v>240</v>
      </c>
      <c r="AK1485" s="228">
        <f t="shared" si="330"/>
        <v>20</v>
      </c>
      <c r="AL1485" s="231"/>
      <c r="AM1485" s="229"/>
      <c r="AN1485" s="228"/>
      <c r="AO1485" s="228"/>
    </row>
    <row r="1486" spans="1:41" ht="14.5" x14ac:dyDescent="0.25">
      <c r="A1486" s="227" t="s">
        <v>2544</v>
      </c>
      <c r="B1486" s="228"/>
      <c r="C1486" s="228" t="s">
        <v>2542</v>
      </c>
      <c r="D1486" s="229" t="s">
        <v>2543</v>
      </c>
      <c r="E1486" s="228" t="s">
        <v>254</v>
      </c>
      <c r="F1486" s="228" t="s">
        <v>255</v>
      </c>
      <c r="G1486" s="230" t="s">
        <v>350</v>
      </c>
      <c r="H1486" s="228">
        <v>120</v>
      </c>
      <c r="I1486" s="228" t="s">
        <v>207</v>
      </c>
      <c r="J1486" s="228" t="s">
        <v>2313</v>
      </c>
      <c r="K1486" s="229" t="s">
        <v>475</v>
      </c>
      <c r="L1486" s="93" t="s">
        <v>3048</v>
      </c>
      <c r="M1486" s="94" t="s">
        <v>3208</v>
      </c>
      <c r="N1486" s="95" t="s">
        <v>2870</v>
      </c>
      <c r="O1486" s="231">
        <v>3</v>
      </c>
      <c r="P1486" s="232">
        <v>40.714285714285701</v>
      </c>
      <c r="Q1486" s="231" t="s">
        <v>16</v>
      </c>
      <c r="R1486" s="228">
        <v>4.7</v>
      </c>
      <c r="S1486" s="240">
        <f>SUMIF(C:C,C1485,T:T)</f>
        <v>550.00000000000057</v>
      </c>
      <c r="T1486" s="233">
        <v>117.857142857143</v>
      </c>
      <c r="U1486" s="234">
        <f t="shared" si="327"/>
        <v>309.21428571428578</v>
      </c>
      <c r="V1486" s="235">
        <f t="shared" si="331"/>
        <v>2.5767857142857147</v>
      </c>
      <c r="W1486" s="236">
        <f t="shared" si="332"/>
        <v>0.36811224489795924</v>
      </c>
      <c r="X1486" s="228"/>
      <c r="Y1486" s="228">
        <v>173.19857142857143</v>
      </c>
      <c r="Z1486" s="233" t="s">
        <v>345</v>
      </c>
      <c r="AA1486" s="237">
        <v>46017</v>
      </c>
      <c r="AB1486" s="237">
        <v>46055</v>
      </c>
      <c r="AC1486" s="237"/>
      <c r="AD1486" s="238">
        <f>IF(ISNA(VLOOKUP(D1486,亚马逊入库配置费!B:F,5,0)),0,VLOOKUP(D1486,亚马逊入库配置费!B:F,5,0))</f>
        <v>0</v>
      </c>
      <c r="AE1486" s="238">
        <f t="shared" si="328"/>
        <v>0</v>
      </c>
      <c r="AF1486" s="237">
        <v>46063</v>
      </c>
      <c r="AG1486" s="239">
        <f t="shared" si="329"/>
        <v>46</v>
      </c>
      <c r="AH1486" s="237">
        <v>46063</v>
      </c>
      <c r="AI1486" s="237">
        <v>46083</v>
      </c>
      <c r="AJ1486" s="231">
        <v>120</v>
      </c>
      <c r="AK1486" s="228">
        <f t="shared" si="330"/>
        <v>20</v>
      </c>
      <c r="AL1486" s="231"/>
      <c r="AM1486" s="229"/>
      <c r="AN1486" s="228"/>
      <c r="AO1486" s="228"/>
    </row>
    <row r="1487" spans="1:41" ht="14.5" x14ac:dyDescent="0.25">
      <c r="A1487" s="227" t="s">
        <v>2545</v>
      </c>
      <c r="B1487" s="228"/>
      <c r="C1487" s="228" t="s">
        <v>2542</v>
      </c>
      <c r="D1487" s="229" t="s">
        <v>2543</v>
      </c>
      <c r="E1487" s="228" t="s">
        <v>254</v>
      </c>
      <c r="F1487" s="228" t="s">
        <v>255</v>
      </c>
      <c r="G1487" s="230" t="s">
        <v>165</v>
      </c>
      <c r="H1487" s="228">
        <v>120</v>
      </c>
      <c r="I1487" s="228" t="s">
        <v>207</v>
      </c>
      <c r="J1487" s="228" t="s">
        <v>2313</v>
      </c>
      <c r="K1487" s="229" t="s">
        <v>475</v>
      </c>
      <c r="L1487" s="93" t="s">
        <v>2880</v>
      </c>
      <c r="M1487" s="94" t="s">
        <v>3209</v>
      </c>
      <c r="N1487" s="95" t="s">
        <v>2870</v>
      </c>
      <c r="O1487" s="231">
        <v>3</v>
      </c>
      <c r="P1487" s="232">
        <v>40.714285714285701</v>
      </c>
      <c r="Q1487" s="231" t="s">
        <v>16</v>
      </c>
      <c r="R1487" s="228">
        <v>4.7</v>
      </c>
      <c r="S1487" s="240"/>
      <c r="T1487" s="233">
        <v>117.857142857143</v>
      </c>
      <c r="U1487" s="234">
        <f t="shared" si="327"/>
        <v>309.21428571428578</v>
      </c>
      <c r="V1487" s="235">
        <f t="shared" si="331"/>
        <v>2.5767857142857147</v>
      </c>
      <c r="W1487" s="236">
        <f t="shared" si="332"/>
        <v>0.36811224489795924</v>
      </c>
      <c r="X1487" s="228"/>
      <c r="Y1487" s="228">
        <v>173.19857142857143</v>
      </c>
      <c r="Z1487" s="233" t="s">
        <v>345</v>
      </c>
      <c r="AA1487" s="237">
        <v>46017</v>
      </c>
      <c r="AB1487" s="237">
        <v>46055</v>
      </c>
      <c r="AC1487" s="237"/>
      <c r="AD1487" s="238">
        <f>IF(ISNA(VLOOKUP(D1487,亚马逊入库配置费!B:F,5,0)),0,VLOOKUP(D1487,亚马逊入库配置费!B:F,5,0))</f>
        <v>0</v>
      </c>
      <c r="AE1487" s="238">
        <f t="shared" si="328"/>
        <v>0</v>
      </c>
      <c r="AF1487" s="237">
        <v>46063</v>
      </c>
      <c r="AG1487" s="239">
        <f t="shared" si="329"/>
        <v>46</v>
      </c>
      <c r="AH1487" s="237">
        <v>46063</v>
      </c>
      <c r="AI1487" s="237">
        <v>46083</v>
      </c>
      <c r="AJ1487" s="231">
        <v>120</v>
      </c>
      <c r="AK1487" s="228">
        <f t="shared" si="330"/>
        <v>20</v>
      </c>
      <c r="AL1487" s="231"/>
      <c r="AM1487" s="229"/>
      <c r="AN1487" s="228"/>
      <c r="AO1487" s="228"/>
    </row>
    <row r="1488" spans="1:41" ht="14.5" x14ac:dyDescent="0.25">
      <c r="A1488" s="227" t="s">
        <v>2546</v>
      </c>
      <c r="B1488" s="228"/>
      <c r="C1488" s="228" t="s">
        <v>2542</v>
      </c>
      <c r="D1488" s="229" t="s">
        <v>2543</v>
      </c>
      <c r="E1488" s="228" t="s">
        <v>254</v>
      </c>
      <c r="F1488" s="228" t="s">
        <v>255</v>
      </c>
      <c r="G1488" s="230" t="s">
        <v>211</v>
      </c>
      <c r="H1488" s="228">
        <v>60</v>
      </c>
      <c r="I1488" s="228" t="s">
        <v>207</v>
      </c>
      <c r="J1488" s="228" t="s">
        <v>2313</v>
      </c>
      <c r="K1488" s="229" t="s">
        <v>475</v>
      </c>
      <c r="L1488" s="93" t="s">
        <v>3034</v>
      </c>
      <c r="M1488" s="94" t="s">
        <v>3312</v>
      </c>
      <c r="N1488" s="95" t="s">
        <v>2869</v>
      </c>
      <c r="O1488" s="231">
        <v>2</v>
      </c>
      <c r="P1488" s="232">
        <v>27.1428571428571</v>
      </c>
      <c r="Q1488" s="231" t="s">
        <v>16</v>
      </c>
      <c r="R1488" s="228">
        <v>4.7</v>
      </c>
      <c r="S1488" s="240"/>
      <c r="T1488" s="233">
        <v>78.571428571428598</v>
      </c>
      <c r="U1488" s="234">
        <f t="shared" si="327"/>
        <v>206.14285714285697</v>
      </c>
      <c r="V1488" s="235">
        <f t="shared" si="331"/>
        <v>3.4357142857142828</v>
      </c>
      <c r="W1488" s="236">
        <f t="shared" si="332"/>
        <v>0.49081632653061186</v>
      </c>
      <c r="X1488" s="228"/>
      <c r="Y1488" s="228">
        <v>115.46571428571428</v>
      </c>
      <c r="Z1488" s="233" t="s">
        <v>345</v>
      </c>
      <c r="AA1488" s="237">
        <v>46017</v>
      </c>
      <c r="AB1488" s="237">
        <v>46055</v>
      </c>
      <c r="AC1488" s="237"/>
      <c r="AD1488" s="238">
        <f>IF(ISNA(VLOOKUP(D1488,亚马逊入库配置费!B:F,5,0)),0,VLOOKUP(D1488,亚马逊入库配置费!B:F,5,0))</f>
        <v>0</v>
      </c>
      <c r="AE1488" s="238">
        <f t="shared" si="328"/>
        <v>0</v>
      </c>
      <c r="AF1488" s="237">
        <v>46063</v>
      </c>
      <c r="AG1488" s="239">
        <f t="shared" si="329"/>
        <v>46</v>
      </c>
      <c r="AH1488" s="237">
        <v>46063</v>
      </c>
      <c r="AI1488" s="237">
        <v>46083</v>
      </c>
      <c r="AJ1488" s="231">
        <v>60</v>
      </c>
      <c r="AK1488" s="228">
        <f t="shared" si="330"/>
        <v>20</v>
      </c>
      <c r="AL1488" s="231"/>
      <c r="AM1488" s="229"/>
      <c r="AN1488" s="228"/>
      <c r="AO1488" s="228"/>
    </row>
    <row r="1489" spans="1:41" ht="14.5" x14ac:dyDescent="0.25">
      <c r="A1489" s="227" t="s">
        <v>2547</v>
      </c>
      <c r="B1489" s="228"/>
      <c r="C1489" s="228" t="s">
        <v>2503</v>
      </c>
      <c r="D1489" s="229" t="s">
        <v>2548</v>
      </c>
      <c r="E1489" s="228" t="s">
        <v>1037</v>
      </c>
      <c r="F1489" s="228" t="s">
        <v>0</v>
      </c>
      <c r="G1489" s="230" t="s">
        <v>1381</v>
      </c>
      <c r="H1489" s="228">
        <v>200</v>
      </c>
      <c r="I1489" s="228" t="s">
        <v>207</v>
      </c>
      <c r="J1489" s="228" t="s">
        <v>8</v>
      </c>
      <c r="K1489" s="229" t="s">
        <v>10</v>
      </c>
      <c r="L1489" s="93" t="s">
        <v>3100</v>
      </c>
      <c r="M1489" s="94" t="s">
        <v>3444</v>
      </c>
      <c r="N1489" s="95" t="s">
        <v>2874</v>
      </c>
      <c r="O1489" s="231">
        <v>5</v>
      </c>
      <c r="P1489" s="232">
        <v>68.3333333333333</v>
      </c>
      <c r="Q1489" s="231" t="s">
        <v>16</v>
      </c>
      <c r="R1489" s="228">
        <v>3.75</v>
      </c>
      <c r="S1489" s="240"/>
      <c r="T1489" s="233">
        <v>7.5757575757575761</v>
      </c>
      <c r="U1489" s="234">
        <f t="shared" si="327"/>
        <v>263.82575757575745</v>
      </c>
      <c r="V1489" s="235">
        <f t="shared" si="331"/>
        <v>1.3191287878787872</v>
      </c>
      <c r="W1489" s="236">
        <f t="shared" si="332"/>
        <v>0.18844696969696959</v>
      </c>
      <c r="X1489" s="228"/>
      <c r="Y1489" s="228"/>
      <c r="Z1489" s="233"/>
      <c r="AA1489" s="237">
        <v>46017</v>
      </c>
      <c r="AB1489" s="237">
        <v>46037</v>
      </c>
      <c r="AC1489" s="237"/>
      <c r="AD1489" s="238">
        <f>IF(ISNA(VLOOKUP(D1489,亚马逊入库配置费!B:F,5,0)),0,VLOOKUP(D1489,亚马逊入库配置费!B:F,5,0))</f>
        <v>0.33999999999999997</v>
      </c>
      <c r="AE1489" s="238">
        <f t="shared" si="328"/>
        <v>68</v>
      </c>
      <c r="AF1489" s="237">
        <v>46049</v>
      </c>
      <c r="AG1489" s="239">
        <f t="shared" si="329"/>
        <v>32</v>
      </c>
      <c r="AH1489" s="237">
        <v>46049</v>
      </c>
      <c r="AI1489" s="237">
        <v>46078</v>
      </c>
      <c r="AJ1489" s="231">
        <v>197</v>
      </c>
      <c r="AK1489" s="228">
        <f t="shared" si="330"/>
        <v>29</v>
      </c>
      <c r="AL1489" s="231"/>
      <c r="AM1489" s="229"/>
      <c r="AN1489" s="228"/>
      <c r="AO1489" s="228"/>
    </row>
    <row r="1490" spans="1:41" ht="14.5" x14ac:dyDescent="0.25">
      <c r="A1490" s="227" t="s">
        <v>2549</v>
      </c>
      <c r="B1490" s="228"/>
      <c r="C1490" s="228" t="s">
        <v>2503</v>
      </c>
      <c r="D1490" s="229" t="s">
        <v>2548</v>
      </c>
      <c r="E1490" s="228" t="s">
        <v>1037</v>
      </c>
      <c r="F1490" s="228" t="s">
        <v>0</v>
      </c>
      <c r="G1490" s="230" t="s">
        <v>1383</v>
      </c>
      <c r="H1490" s="228">
        <v>280</v>
      </c>
      <c r="I1490" s="228" t="s">
        <v>207</v>
      </c>
      <c r="J1490" s="228" t="s">
        <v>8</v>
      </c>
      <c r="K1490" s="229" t="s">
        <v>10</v>
      </c>
      <c r="L1490" s="93" t="s">
        <v>3101</v>
      </c>
      <c r="M1490" s="94" t="s">
        <v>3445</v>
      </c>
      <c r="N1490" s="95" t="s">
        <v>2874</v>
      </c>
      <c r="O1490" s="231">
        <v>7</v>
      </c>
      <c r="P1490" s="232">
        <v>95.6666666666667</v>
      </c>
      <c r="Q1490" s="231" t="s">
        <v>16</v>
      </c>
      <c r="R1490" s="228">
        <v>3.75</v>
      </c>
      <c r="S1490" s="240"/>
      <c r="T1490" s="233">
        <v>10.606060606060606</v>
      </c>
      <c r="U1490" s="234">
        <f t="shared" si="327"/>
        <v>369.35606060606074</v>
      </c>
      <c r="V1490" s="235">
        <f t="shared" si="331"/>
        <v>1.3191287878787883</v>
      </c>
      <c r="W1490" s="236">
        <f t="shared" si="332"/>
        <v>0.18844696969696975</v>
      </c>
      <c r="X1490" s="228"/>
      <c r="Y1490" s="228"/>
      <c r="Z1490" s="233"/>
      <c r="AA1490" s="237">
        <v>46017</v>
      </c>
      <c r="AB1490" s="237">
        <v>46037</v>
      </c>
      <c r="AC1490" s="237"/>
      <c r="AD1490" s="238">
        <f>IF(ISNA(VLOOKUP(D1490,亚马逊入库配置费!B:F,5,0)),0,VLOOKUP(D1490,亚马逊入库配置费!B:F,5,0))</f>
        <v>0.33999999999999997</v>
      </c>
      <c r="AE1490" s="238">
        <f t="shared" si="328"/>
        <v>95.199999999999989</v>
      </c>
      <c r="AF1490" s="237">
        <v>46049</v>
      </c>
      <c r="AG1490" s="239">
        <f t="shared" si="329"/>
        <v>32</v>
      </c>
      <c r="AH1490" s="237">
        <v>46049</v>
      </c>
      <c r="AI1490" s="237">
        <v>46078</v>
      </c>
      <c r="AJ1490" s="231">
        <v>280</v>
      </c>
      <c r="AK1490" s="228">
        <f t="shared" si="330"/>
        <v>29</v>
      </c>
      <c r="AL1490" s="231"/>
      <c r="AM1490" s="229"/>
      <c r="AN1490" s="228"/>
      <c r="AO1490" s="228"/>
    </row>
    <row r="1491" spans="1:41" s="461" customFormat="1" ht="14.5" x14ac:dyDescent="0.25">
      <c r="A1491" s="460" t="s">
        <v>2550</v>
      </c>
      <c r="B1491" s="422"/>
      <c r="C1491" s="422" t="s">
        <v>2516</v>
      </c>
      <c r="D1491" s="423" t="s">
        <v>2551</v>
      </c>
      <c r="E1491" s="422" t="s">
        <v>97</v>
      </c>
      <c r="F1491" s="422" t="s">
        <v>0</v>
      </c>
      <c r="G1491" s="424" t="s">
        <v>2355</v>
      </c>
      <c r="H1491" s="422">
        <v>780</v>
      </c>
      <c r="I1491" s="422" t="s">
        <v>89</v>
      </c>
      <c r="J1491" s="422" t="s">
        <v>8</v>
      </c>
      <c r="K1491" s="423" t="s">
        <v>15</v>
      </c>
      <c r="L1491" s="425" t="s">
        <v>2355</v>
      </c>
      <c r="M1491" s="426" t="s">
        <v>3516</v>
      </c>
      <c r="N1491" s="422" t="s">
        <v>3099</v>
      </c>
      <c r="O1491" s="427">
        <v>65</v>
      </c>
      <c r="P1491" s="456">
        <v>1120.1162790697699</v>
      </c>
      <c r="Q1491" s="427" t="s">
        <v>16</v>
      </c>
      <c r="R1491" s="422">
        <v>3.7</v>
      </c>
      <c r="S1491" s="436"/>
      <c r="T1491" s="428">
        <v>32.258064516128997</v>
      </c>
      <c r="U1491" s="429">
        <f t="shared" si="327"/>
        <v>4176.6882970742781</v>
      </c>
      <c r="V1491" s="430">
        <f t="shared" si="331"/>
        <v>5.3547285859926639</v>
      </c>
      <c r="W1491" s="431">
        <f t="shared" si="332"/>
        <v>0.76496122657038057</v>
      </c>
      <c r="X1491" s="422"/>
      <c r="Y1491" s="422"/>
      <c r="Z1491" s="428"/>
      <c r="AA1491" s="432">
        <v>46017</v>
      </c>
      <c r="AB1491" s="432">
        <v>46039</v>
      </c>
      <c r="AC1491" s="432"/>
      <c r="AD1491" s="433">
        <f>IF(ISNA(VLOOKUP(D1491,亚马逊入库配置费!B:F,5,0)),0,VLOOKUP(D1491,亚马逊入库配置费!B:F,5,0))</f>
        <v>0.47783783783783784</v>
      </c>
      <c r="AE1491" s="433">
        <f t="shared" si="328"/>
        <v>372.71351351351353</v>
      </c>
      <c r="AF1491" s="432">
        <v>46047</v>
      </c>
      <c r="AG1491" s="421">
        <f t="shared" si="329"/>
        <v>30</v>
      </c>
      <c r="AH1491" s="432">
        <v>46047</v>
      </c>
      <c r="AI1491" s="432">
        <v>46083</v>
      </c>
      <c r="AJ1491" s="427">
        <v>781</v>
      </c>
      <c r="AK1491" s="422">
        <f t="shared" si="330"/>
        <v>36</v>
      </c>
      <c r="AL1491" s="427"/>
      <c r="AM1491" s="423"/>
      <c r="AN1491" s="422"/>
      <c r="AO1491" s="422"/>
    </row>
    <row r="1492" spans="1:41" s="461" customFormat="1" ht="14.5" x14ac:dyDescent="0.25">
      <c r="A1492" s="460" t="s">
        <v>2552</v>
      </c>
      <c r="B1492" s="422"/>
      <c r="C1492" s="422" t="s">
        <v>2516</v>
      </c>
      <c r="D1492" s="423" t="s">
        <v>2551</v>
      </c>
      <c r="E1492" s="422" t="s">
        <v>97</v>
      </c>
      <c r="F1492" s="422" t="s">
        <v>0</v>
      </c>
      <c r="G1492" s="424" t="s">
        <v>2357</v>
      </c>
      <c r="H1492" s="422">
        <v>780</v>
      </c>
      <c r="I1492" s="422" t="s">
        <v>89</v>
      </c>
      <c r="J1492" s="422" t="s">
        <v>8</v>
      </c>
      <c r="K1492" s="423" t="s">
        <v>15</v>
      </c>
      <c r="L1492" s="425" t="s">
        <v>2357</v>
      </c>
      <c r="M1492" s="426" t="s">
        <v>3517</v>
      </c>
      <c r="N1492" s="422" t="s">
        <v>3099</v>
      </c>
      <c r="O1492" s="427">
        <v>65</v>
      </c>
      <c r="P1492" s="456">
        <v>1120.1162790697699</v>
      </c>
      <c r="Q1492" s="427" t="s">
        <v>16</v>
      </c>
      <c r="R1492" s="422">
        <v>3.7</v>
      </c>
      <c r="S1492" s="436"/>
      <c r="T1492" s="428">
        <v>32.258064516128997</v>
      </c>
      <c r="U1492" s="429">
        <f t="shared" si="327"/>
        <v>4176.6882970742781</v>
      </c>
      <c r="V1492" s="430">
        <f t="shared" si="331"/>
        <v>5.3547285859926639</v>
      </c>
      <c r="W1492" s="431">
        <f t="shared" si="332"/>
        <v>0.76496122657038057</v>
      </c>
      <c r="X1492" s="422"/>
      <c r="Y1492" s="422"/>
      <c r="Z1492" s="428"/>
      <c r="AA1492" s="432">
        <v>46017</v>
      </c>
      <c r="AB1492" s="432">
        <v>46039</v>
      </c>
      <c r="AC1492" s="432"/>
      <c r="AD1492" s="433">
        <f>IF(ISNA(VLOOKUP(D1492,亚马逊入库配置费!B:F,5,0)),0,VLOOKUP(D1492,亚马逊入库配置费!B:F,5,0))</f>
        <v>0.47783783783783784</v>
      </c>
      <c r="AE1492" s="433">
        <f t="shared" si="328"/>
        <v>372.71351351351353</v>
      </c>
      <c r="AF1492" s="432">
        <v>46047</v>
      </c>
      <c r="AG1492" s="421">
        <f t="shared" si="329"/>
        <v>30</v>
      </c>
      <c r="AH1492" s="432">
        <v>46047</v>
      </c>
      <c r="AI1492" s="432">
        <v>46083</v>
      </c>
      <c r="AJ1492" s="427">
        <v>777</v>
      </c>
      <c r="AK1492" s="422">
        <f t="shared" si="330"/>
        <v>36</v>
      </c>
      <c r="AL1492" s="427"/>
      <c r="AM1492" s="423"/>
      <c r="AN1492" s="422"/>
      <c r="AO1492" s="422"/>
    </row>
    <row r="1493" spans="1:41" s="461" customFormat="1" ht="14.5" x14ac:dyDescent="0.25">
      <c r="A1493" s="460" t="s">
        <v>2553</v>
      </c>
      <c r="B1493" s="422"/>
      <c r="C1493" s="422" t="s">
        <v>2516</v>
      </c>
      <c r="D1493" s="423" t="s">
        <v>2551</v>
      </c>
      <c r="E1493" s="422" t="s">
        <v>97</v>
      </c>
      <c r="F1493" s="422" t="s">
        <v>0</v>
      </c>
      <c r="G1493" s="424" t="s">
        <v>2179</v>
      </c>
      <c r="H1493" s="422">
        <v>480</v>
      </c>
      <c r="I1493" s="422" t="s">
        <v>89</v>
      </c>
      <c r="J1493" s="422" t="s">
        <v>8</v>
      </c>
      <c r="K1493" s="423" t="s">
        <v>15</v>
      </c>
      <c r="L1493" s="425" t="s">
        <v>2179</v>
      </c>
      <c r="M1493" s="426" t="s">
        <v>3488</v>
      </c>
      <c r="N1493" s="422" t="s">
        <v>2821</v>
      </c>
      <c r="O1493" s="427">
        <v>40</v>
      </c>
      <c r="P1493" s="456">
        <v>689.30232558139505</v>
      </c>
      <c r="Q1493" s="427" t="s">
        <v>16</v>
      </c>
      <c r="R1493" s="422">
        <v>3.7</v>
      </c>
      <c r="S1493" s="436"/>
      <c r="T1493" s="428">
        <v>19.851116625310201</v>
      </c>
      <c r="U1493" s="429">
        <f t="shared" si="327"/>
        <v>2570.269721276472</v>
      </c>
      <c r="V1493" s="430">
        <f t="shared" si="331"/>
        <v>5.3547285859926497</v>
      </c>
      <c r="W1493" s="431">
        <f t="shared" si="332"/>
        <v>0.76496122657037857</v>
      </c>
      <c r="X1493" s="422"/>
      <c r="Y1493" s="422"/>
      <c r="Z1493" s="428"/>
      <c r="AA1493" s="432">
        <v>46017</v>
      </c>
      <c r="AB1493" s="432">
        <v>46039</v>
      </c>
      <c r="AC1493" s="432"/>
      <c r="AD1493" s="433">
        <f>IF(ISNA(VLOOKUP(D1493,亚马逊入库配置费!B:F,5,0)),0,VLOOKUP(D1493,亚马逊入库配置费!B:F,5,0))</f>
        <v>0.47783783783783784</v>
      </c>
      <c r="AE1493" s="433">
        <f t="shared" si="328"/>
        <v>229.36216216216218</v>
      </c>
      <c r="AF1493" s="432">
        <v>46047</v>
      </c>
      <c r="AG1493" s="421">
        <f t="shared" si="329"/>
        <v>30</v>
      </c>
      <c r="AH1493" s="432">
        <v>46047</v>
      </c>
      <c r="AI1493" s="432">
        <v>46083</v>
      </c>
      <c r="AJ1493" s="427">
        <v>480</v>
      </c>
      <c r="AK1493" s="422">
        <f t="shared" si="330"/>
        <v>36</v>
      </c>
      <c r="AL1493" s="427"/>
      <c r="AM1493" s="423"/>
      <c r="AN1493" s="422"/>
      <c r="AO1493" s="422"/>
    </row>
    <row r="1494" spans="1:41" s="461" customFormat="1" ht="14.5" x14ac:dyDescent="0.25">
      <c r="A1494" s="460" t="s">
        <v>2554</v>
      </c>
      <c r="B1494" s="422"/>
      <c r="C1494" s="422" t="s">
        <v>2516</v>
      </c>
      <c r="D1494" s="423" t="s">
        <v>2551</v>
      </c>
      <c r="E1494" s="422" t="s">
        <v>97</v>
      </c>
      <c r="F1494" s="422" t="s">
        <v>0</v>
      </c>
      <c r="G1494" s="424" t="s">
        <v>98</v>
      </c>
      <c r="H1494" s="422">
        <v>180</v>
      </c>
      <c r="I1494" s="422" t="s">
        <v>89</v>
      </c>
      <c r="J1494" s="422" t="s">
        <v>8</v>
      </c>
      <c r="K1494" s="423" t="s">
        <v>15</v>
      </c>
      <c r="L1494" s="425" t="s">
        <v>2820</v>
      </c>
      <c r="M1494" s="426" t="s">
        <v>3289</v>
      </c>
      <c r="N1494" s="422" t="s">
        <v>3016</v>
      </c>
      <c r="O1494" s="427">
        <v>2</v>
      </c>
      <c r="P1494" s="456">
        <v>34.465116279069797</v>
      </c>
      <c r="Q1494" s="427" t="s">
        <v>16</v>
      </c>
      <c r="R1494" s="422">
        <v>3.7</v>
      </c>
      <c r="S1494" s="436"/>
      <c r="T1494" s="428">
        <v>0.99255583126550895</v>
      </c>
      <c r="U1494" s="429">
        <f t="shared" si="327"/>
        <v>128.51348606382376</v>
      </c>
      <c r="V1494" s="430">
        <f t="shared" si="331"/>
        <v>0.71396381146568755</v>
      </c>
      <c r="W1494" s="431">
        <f t="shared" si="332"/>
        <v>0.10199483020938394</v>
      </c>
      <c r="X1494" s="422"/>
      <c r="Y1494" s="422"/>
      <c r="Z1494" s="428"/>
      <c r="AA1494" s="432">
        <v>46017</v>
      </c>
      <c r="AB1494" s="432">
        <v>46039</v>
      </c>
      <c r="AC1494" s="432"/>
      <c r="AD1494" s="433">
        <f>IF(ISNA(VLOOKUP(D1494,亚马逊入库配置费!B:F,5,0)),0,VLOOKUP(D1494,亚马逊入库配置费!B:F,5,0))</f>
        <v>0.47783783783783784</v>
      </c>
      <c r="AE1494" s="433">
        <f t="shared" si="328"/>
        <v>86.01081081081081</v>
      </c>
      <c r="AF1494" s="432">
        <v>46047</v>
      </c>
      <c r="AG1494" s="421">
        <f t="shared" si="329"/>
        <v>30</v>
      </c>
      <c r="AH1494" s="432">
        <v>46047</v>
      </c>
      <c r="AI1494" s="432">
        <v>46083</v>
      </c>
      <c r="AJ1494" s="427">
        <v>178</v>
      </c>
      <c r="AK1494" s="422">
        <f t="shared" si="330"/>
        <v>36</v>
      </c>
      <c r="AL1494" s="427"/>
      <c r="AM1494" s="423"/>
      <c r="AN1494" s="422"/>
      <c r="AO1494" s="422"/>
    </row>
    <row r="1495" spans="1:41" ht="14.5" x14ac:dyDescent="0.25">
      <c r="A1495" s="227" t="s">
        <v>2555</v>
      </c>
      <c r="B1495" s="228"/>
      <c r="C1495" s="228" t="s">
        <v>2503</v>
      </c>
      <c r="D1495" s="229" t="s">
        <v>2556</v>
      </c>
      <c r="E1495" s="228" t="s">
        <v>1037</v>
      </c>
      <c r="F1495" s="228" t="s">
        <v>0</v>
      </c>
      <c r="G1495" s="230" t="s">
        <v>884</v>
      </c>
      <c r="H1495" s="228">
        <v>464</v>
      </c>
      <c r="I1495" s="228" t="s">
        <v>207</v>
      </c>
      <c r="J1495" s="228" t="s">
        <v>8</v>
      </c>
      <c r="K1495" s="229" t="s">
        <v>42</v>
      </c>
      <c r="L1495" s="93" t="s">
        <v>3084</v>
      </c>
      <c r="M1495" s="94" t="s">
        <v>3402</v>
      </c>
      <c r="N1495" s="95" t="s">
        <v>51</v>
      </c>
      <c r="O1495" s="231">
        <v>29</v>
      </c>
      <c r="P1495" s="232">
        <v>505</v>
      </c>
      <c r="Q1495" s="231" t="s">
        <v>16</v>
      </c>
      <c r="R1495" s="228">
        <v>3.15</v>
      </c>
      <c r="S1495" s="240"/>
      <c r="T1495" s="233">
        <v>43.939393939393938</v>
      </c>
      <c r="U1495" s="234">
        <f t="shared" si="327"/>
        <v>1634.689393939394</v>
      </c>
      <c r="V1495" s="235">
        <f t="shared" si="331"/>
        <v>3.5230374869383492</v>
      </c>
      <c r="W1495" s="236">
        <f t="shared" si="332"/>
        <v>0.50329106956262126</v>
      </c>
      <c r="X1495" s="228"/>
      <c r="Y1495" s="228"/>
      <c r="Z1495" s="233"/>
      <c r="AA1495" s="237">
        <v>46017</v>
      </c>
      <c r="AB1495" s="237">
        <v>46037</v>
      </c>
      <c r="AC1495" s="237"/>
      <c r="AD1495" s="238">
        <f>IF(ISNA(VLOOKUP(D1495,亚马逊入库配置费!B:F,5,0)),0,VLOOKUP(D1495,亚马逊入库配置费!B:F,5,0))</f>
        <v>0.49000000000000005</v>
      </c>
      <c r="AE1495" s="238">
        <f t="shared" si="328"/>
        <v>227.36</v>
      </c>
      <c r="AF1495" s="237">
        <v>46048</v>
      </c>
      <c r="AG1495" s="239">
        <f t="shared" si="329"/>
        <v>31</v>
      </c>
      <c r="AH1495" s="237">
        <v>46048</v>
      </c>
      <c r="AI1495" s="237">
        <v>46077</v>
      </c>
      <c r="AJ1495" s="231">
        <v>463</v>
      </c>
      <c r="AK1495" s="228">
        <f t="shared" si="330"/>
        <v>29</v>
      </c>
      <c r="AL1495" s="231"/>
      <c r="AM1495" s="229"/>
      <c r="AN1495" s="228"/>
      <c r="AO1495" s="228"/>
    </row>
    <row r="1496" spans="1:41" s="461" customFormat="1" ht="14.5" x14ac:dyDescent="0.25">
      <c r="A1496" s="460" t="s">
        <v>2557</v>
      </c>
      <c r="B1496" s="422"/>
      <c r="C1496" s="422" t="s">
        <v>2558</v>
      </c>
      <c r="D1496" s="423" t="s">
        <v>2559</v>
      </c>
      <c r="E1496" s="422" t="s">
        <v>2560</v>
      </c>
      <c r="F1496" s="422" t="s">
        <v>87</v>
      </c>
      <c r="G1496" s="424" t="s">
        <v>282</v>
      </c>
      <c r="H1496" s="422">
        <v>64</v>
      </c>
      <c r="I1496" s="422" t="s">
        <v>89</v>
      </c>
      <c r="J1496" s="422" t="s">
        <v>90</v>
      </c>
      <c r="K1496" s="423" t="s">
        <v>280</v>
      </c>
      <c r="L1496" s="425" t="s">
        <v>2783</v>
      </c>
      <c r="M1496" s="426" t="s">
        <v>3322</v>
      </c>
      <c r="N1496" s="422" t="s">
        <v>2785</v>
      </c>
      <c r="O1496" s="427">
        <v>4</v>
      </c>
      <c r="P1496" s="456">
        <v>59.1111111111111</v>
      </c>
      <c r="Q1496" s="427" t="s">
        <v>16</v>
      </c>
      <c r="R1496" s="422">
        <v>6</v>
      </c>
      <c r="S1496" s="436">
        <v>200</v>
      </c>
      <c r="T1496" s="428">
        <v>10.126582278480999</v>
      </c>
      <c r="U1496" s="429">
        <f t="shared" si="327"/>
        <v>364.79324894514764</v>
      </c>
      <c r="V1496" s="430">
        <f t="shared" si="331"/>
        <v>5.6998945147679319</v>
      </c>
      <c r="W1496" s="431">
        <f t="shared" si="332"/>
        <v>0.81427064496684742</v>
      </c>
      <c r="X1496" s="422"/>
      <c r="Y1496" s="422"/>
      <c r="Z1496" s="428"/>
      <c r="AA1496" s="432">
        <v>46017</v>
      </c>
      <c r="AB1496" s="432">
        <v>46052</v>
      </c>
      <c r="AC1496" s="432"/>
      <c r="AD1496" s="433">
        <f>IF(ISNA(VLOOKUP(D1496,亚马逊入库配置费!B:F,5,0)),0,VLOOKUP(D1496,亚马逊入库配置费!B:F,5,0))</f>
        <v>0</v>
      </c>
      <c r="AE1496" s="433">
        <f t="shared" si="328"/>
        <v>0</v>
      </c>
      <c r="AF1496" s="432">
        <v>46062</v>
      </c>
      <c r="AG1496" s="421">
        <f t="shared" si="329"/>
        <v>45</v>
      </c>
      <c r="AH1496" s="432">
        <v>46062</v>
      </c>
      <c r="AI1496" s="432">
        <v>46078</v>
      </c>
      <c r="AJ1496" s="427">
        <v>64</v>
      </c>
      <c r="AK1496" s="422">
        <f t="shared" si="330"/>
        <v>16</v>
      </c>
      <c r="AL1496" s="427"/>
      <c r="AM1496" s="423"/>
      <c r="AN1496" s="422"/>
      <c r="AO1496" s="422"/>
    </row>
    <row r="1497" spans="1:41" s="461" customFormat="1" ht="14.5" x14ac:dyDescent="0.25">
      <c r="A1497" s="460" t="s">
        <v>2561</v>
      </c>
      <c r="B1497" s="422"/>
      <c r="C1497" s="422" t="s">
        <v>2558</v>
      </c>
      <c r="D1497" s="423" t="s">
        <v>2559</v>
      </c>
      <c r="E1497" s="422" t="s">
        <v>2560</v>
      </c>
      <c r="F1497" s="422" t="s">
        <v>87</v>
      </c>
      <c r="G1497" s="424" t="s">
        <v>284</v>
      </c>
      <c r="H1497" s="422">
        <v>32</v>
      </c>
      <c r="I1497" s="422" t="s">
        <v>89</v>
      </c>
      <c r="J1497" s="422" t="s">
        <v>90</v>
      </c>
      <c r="K1497" s="423" t="s">
        <v>280</v>
      </c>
      <c r="L1497" s="425" t="s">
        <v>3039</v>
      </c>
      <c r="M1497" s="426" t="s">
        <v>3323</v>
      </c>
      <c r="N1497" s="422" t="s">
        <v>2915</v>
      </c>
      <c r="O1497" s="427">
        <v>2</v>
      </c>
      <c r="P1497" s="456">
        <v>29.5555555555556</v>
      </c>
      <c r="Q1497" s="427" t="s">
        <v>16</v>
      </c>
      <c r="R1497" s="422">
        <v>6</v>
      </c>
      <c r="S1497" s="436">
        <f>SUMIF(C:C,C1496,T:T)</f>
        <v>199.99999999999983</v>
      </c>
      <c r="T1497" s="428">
        <v>5.0632911392405102</v>
      </c>
      <c r="U1497" s="429">
        <f t="shared" si="327"/>
        <v>182.3966244725741</v>
      </c>
      <c r="V1497" s="430">
        <f t="shared" si="331"/>
        <v>5.6998945147679407</v>
      </c>
      <c r="W1497" s="431">
        <f t="shared" si="332"/>
        <v>0.81427064496684864</v>
      </c>
      <c r="X1497" s="422"/>
      <c r="Y1497" s="422"/>
      <c r="Z1497" s="428"/>
      <c r="AA1497" s="432">
        <v>46017</v>
      </c>
      <c r="AB1497" s="432">
        <v>46052</v>
      </c>
      <c r="AC1497" s="432"/>
      <c r="AD1497" s="433">
        <f>IF(ISNA(VLOOKUP(D1497,亚马逊入库配置费!B:F,5,0)),0,VLOOKUP(D1497,亚马逊入库配置费!B:F,5,0))</f>
        <v>0</v>
      </c>
      <c r="AE1497" s="433">
        <f t="shared" si="328"/>
        <v>0</v>
      </c>
      <c r="AF1497" s="432">
        <v>46062</v>
      </c>
      <c r="AG1497" s="421">
        <f t="shared" si="329"/>
        <v>45</v>
      </c>
      <c r="AH1497" s="432">
        <v>46062</v>
      </c>
      <c r="AI1497" s="432">
        <v>46078</v>
      </c>
      <c r="AJ1497" s="427">
        <v>32</v>
      </c>
      <c r="AK1497" s="422">
        <f t="shared" si="330"/>
        <v>16</v>
      </c>
      <c r="AL1497" s="427"/>
      <c r="AM1497" s="423"/>
      <c r="AN1497" s="422"/>
      <c r="AO1497" s="422"/>
    </row>
    <row r="1498" spans="1:41" s="461" customFormat="1" ht="14.5" x14ac:dyDescent="0.25">
      <c r="A1498" s="460" t="s">
        <v>2562</v>
      </c>
      <c r="B1498" s="422"/>
      <c r="C1498" s="422" t="s">
        <v>2558</v>
      </c>
      <c r="D1498" s="423" t="s">
        <v>2559</v>
      </c>
      <c r="E1498" s="422" t="s">
        <v>2560</v>
      </c>
      <c r="F1498" s="422" t="s">
        <v>87</v>
      </c>
      <c r="G1498" s="424" t="s">
        <v>779</v>
      </c>
      <c r="H1498" s="422">
        <v>16</v>
      </c>
      <c r="I1498" s="422" t="s">
        <v>89</v>
      </c>
      <c r="J1498" s="422" t="s">
        <v>90</v>
      </c>
      <c r="K1498" s="423" t="s">
        <v>280</v>
      </c>
      <c r="L1498" s="425" t="s">
        <v>3083</v>
      </c>
      <c r="M1498" s="426" t="s">
        <v>3394</v>
      </c>
      <c r="N1498" s="422" t="s">
        <v>2793</v>
      </c>
      <c r="O1498" s="427">
        <v>1</v>
      </c>
      <c r="P1498" s="456">
        <v>14.7777777777778</v>
      </c>
      <c r="Q1498" s="427" t="s">
        <v>16</v>
      </c>
      <c r="R1498" s="422">
        <v>6</v>
      </c>
      <c r="S1498" s="436"/>
      <c r="T1498" s="428">
        <v>2.5316455696202498</v>
      </c>
      <c r="U1498" s="429">
        <f t="shared" si="327"/>
        <v>91.198312236287052</v>
      </c>
      <c r="V1498" s="430">
        <f t="shared" si="331"/>
        <v>5.6998945147679407</v>
      </c>
      <c r="W1498" s="431">
        <f t="shared" si="332"/>
        <v>0.81427064496684864</v>
      </c>
      <c r="X1498" s="422"/>
      <c r="Y1498" s="422"/>
      <c r="Z1498" s="428"/>
      <c r="AA1498" s="432">
        <v>46017</v>
      </c>
      <c r="AB1498" s="432">
        <v>46052</v>
      </c>
      <c r="AC1498" s="432"/>
      <c r="AD1498" s="433">
        <f>IF(ISNA(VLOOKUP(D1498,亚马逊入库配置费!B:F,5,0)),0,VLOOKUP(D1498,亚马逊入库配置费!B:F,5,0))</f>
        <v>0</v>
      </c>
      <c r="AE1498" s="433">
        <f t="shared" si="328"/>
        <v>0</v>
      </c>
      <c r="AF1498" s="432">
        <v>46062</v>
      </c>
      <c r="AG1498" s="421">
        <f t="shared" si="329"/>
        <v>45</v>
      </c>
      <c r="AH1498" s="432">
        <v>46062</v>
      </c>
      <c r="AI1498" s="432">
        <v>46078</v>
      </c>
      <c r="AJ1498" s="427">
        <v>16</v>
      </c>
      <c r="AK1498" s="422">
        <f t="shared" si="330"/>
        <v>16</v>
      </c>
      <c r="AL1498" s="427"/>
      <c r="AM1498" s="423"/>
      <c r="AN1498" s="422"/>
      <c r="AO1498" s="422"/>
    </row>
    <row r="1499" spans="1:41" s="461" customFormat="1" ht="14.5" x14ac:dyDescent="0.25">
      <c r="A1499" s="460" t="s">
        <v>2563</v>
      </c>
      <c r="B1499" s="422"/>
      <c r="C1499" s="422" t="s">
        <v>2558</v>
      </c>
      <c r="D1499" s="423" t="s">
        <v>2559</v>
      </c>
      <c r="E1499" s="422" t="s">
        <v>2560</v>
      </c>
      <c r="F1499" s="422" t="s">
        <v>87</v>
      </c>
      <c r="G1499" s="424" t="s">
        <v>549</v>
      </c>
      <c r="H1499" s="422">
        <v>16</v>
      </c>
      <c r="I1499" s="422" t="s">
        <v>89</v>
      </c>
      <c r="J1499" s="422" t="s">
        <v>90</v>
      </c>
      <c r="K1499" s="423" t="s">
        <v>280</v>
      </c>
      <c r="L1499" s="425" t="s">
        <v>3071</v>
      </c>
      <c r="M1499" s="426" t="s">
        <v>3371</v>
      </c>
      <c r="N1499" s="422" t="s">
        <v>2793</v>
      </c>
      <c r="O1499" s="427">
        <v>1</v>
      </c>
      <c r="P1499" s="456">
        <v>14.7777777777778</v>
      </c>
      <c r="Q1499" s="427" t="s">
        <v>16</v>
      </c>
      <c r="R1499" s="422">
        <v>6</v>
      </c>
      <c r="S1499" s="436"/>
      <c r="T1499" s="428">
        <v>2.5316455696202498</v>
      </c>
      <c r="U1499" s="429">
        <f t="shared" si="327"/>
        <v>91.198312236287052</v>
      </c>
      <c r="V1499" s="430">
        <f t="shared" si="331"/>
        <v>5.6998945147679407</v>
      </c>
      <c r="W1499" s="431">
        <f t="shared" si="332"/>
        <v>0.81427064496684864</v>
      </c>
      <c r="X1499" s="422"/>
      <c r="Y1499" s="422"/>
      <c r="Z1499" s="428"/>
      <c r="AA1499" s="432">
        <v>46017</v>
      </c>
      <c r="AB1499" s="432">
        <v>46052</v>
      </c>
      <c r="AC1499" s="432"/>
      <c r="AD1499" s="433">
        <f>IF(ISNA(VLOOKUP(D1499,亚马逊入库配置费!B:F,5,0)),0,VLOOKUP(D1499,亚马逊入库配置费!B:F,5,0))</f>
        <v>0</v>
      </c>
      <c r="AE1499" s="433">
        <f t="shared" si="328"/>
        <v>0</v>
      </c>
      <c r="AF1499" s="432">
        <v>46062</v>
      </c>
      <c r="AG1499" s="421">
        <f t="shared" si="329"/>
        <v>45</v>
      </c>
      <c r="AH1499" s="432">
        <v>46062</v>
      </c>
      <c r="AI1499" s="432">
        <v>46078</v>
      </c>
      <c r="AJ1499" s="427">
        <v>16</v>
      </c>
      <c r="AK1499" s="422">
        <f t="shared" si="330"/>
        <v>16</v>
      </c>
      <c r="AL1499" s="427"/>
      <c r="AM1499" s="423"/>
      <c r="AN1499" s="422"/>
      <c r="AO1499" s="422"/>
    </row>
    <row r="1500" spans="1:41" s="461" customFormat="1" ht="14.5" x14ac:dyDescent="0.25">
      <c r="A1500" s="460" t="s">
        <v>2564</v>
      </c>
      <c r="B1500" s="422"/>
      <c r="C1500" s="422" t="s">
        <v>2558</v>
      </c>
      <c r="D1500" s="423" t="s">
        <v>2559</v>
      </c>
      <c r="E1500" s="422" t="s">
        <v>2560</v>
      </c>
      <c r="F1500" s="422" t="s">
        <v>87</v>
      </c>
      <c r="G1500" s="424" t="s">
        <v>551</v>
      </c>
      <c r="H1500" s="422">
        <v>16</v>
      </c>
      <c r="I1500" s="422" t="s">
        <v>89</v>
      </c>
      <c r="J1500" s="422" t="s">
        <v>90</v>
      </c>
      <c r="K1500" s="423" t="s">
        <v>280</v>
      </c>
      <c r="L1500" s="425" t="s">
        <v>3072</v>
      </c>
      <c r="M1500" s="426" t="s">
        <v>3372</v>
      </c>
      <c r="N1500" s="422" t="s">
        <v>2793</v>
      </c>
      <c r="O1500" s="427">
        <v>1</v>
      </c>
      <c r="P1500" s="456">
        <v>14.7777777777778</v>
      </c>
      <c r="Q1500" s="427" t="s">
        <v>16</v>
      </c>
      <c r="R1500" s="422">
        <v>6</v>
      </c>
      <c r="S1500" s="436"/>
      <c r="T1500" s="428">
        <v>2.5316455696202498</v>
      </c>
      <c r="U1500" s="429">
        <f t="shared" si="327"/>
        <v>91.198312236287052</v>
      </c>
      <c r="V1500" s="430">
        <f t="shared" si="331"/>
        <v>5.6998945147679407</v>
      </c>
      <c r="W1500" s="431">
        <f t="shared" si="332"/>
        <v>0.81427064496684864</v>
      </c>
      <c r="X1500" s="422"/>
      <c r="Y1500" s="422"/>
      <c r="Z1500" s="428"/>
      <c r="AA1500" s="432">
        <v>46017</v>
      </c>
      <c r="AB1500" s="432">
        <v>46052</v>
      </c>
      <c r="AC1500" s="432"/>
      <c r="AD1500" s="433">
        <f>IF(ISNA(VLOOKUP(D1500,亚马逊入库配置费!B:F,5,0)),0,VLOOKUP(D1500,亚马逊入库配置费!B:F,5,0))</f>
        <v>0</v>
      </c>
      <c r="AE1500" s="433">
        <f t="shared" si="328"/>
        <v>0</v>
      </c>
      <c r="AF1500" s="432">
        <v>46062</v>
      </c>
      <c r="AG1500" s="421">
        <f t="shared" si="329"/>
        <v>45</v>
      </c>
      <c r="AH1500" s="432">
        <v>46062</v>
      </c>
      <c r="AI1500" s="432">
        <v>46078</v>
      </c>
      <c r="AJ1500" s="427">
        <v>16</v>
      </c>
      <c r="AK1500" s="422">
        <f t="shared" si="330"/>
        <v>16</v>
      </c>
      <c r="AL1500" s="427"/>
      <c r="AM1500" s="423"/>
      <c r="AN1500" s="422"/>
      <c r="AO1500" s="422"/>
    </row>
    <row r="1501" spans="1:41" ht="14.5" x14ac:dyDescent="0.25">
      <c r="A1501" s="227" t="s">
        <v>2565</v>
      </c>
      <c r="B1501" s="228"/>
      <c r="C1501" s="228" t="s">
        <v>2503</v>
      </c>
      <c r="D1501" s="229" t="s">
        <v>2566</v>
      </c>
      <c r="E1501" s="228" t="s">
        <v>1037</v>
      </c>
      <c r="F1501" s="228" t="s">
        <v>0</v>
      </c>
      <c r="G1501" s="230" t="s">
        <v>282</v>
      </c>
      <c r="H1501" s="228">
        <v>192</v>
      </c>
      <c r="I1501" s="228" t="s">
        <v>207</v>
      </c>
      <c r="J1501" s="228" t="s">
        <v>8</v>
      </c>
      <c r="K1501" s="229" t="s">
        <v>32</v>
      </c>
      <c r="L1501" s="93" t="s">
        <v>2783</v>
      </c>
      <c r="M1501" s="94" t="s">
        <v>3322</v>
      </c>
      <c r="N1501" s="95" t="s">
        <v>2785</v>
      </c>
      <c r="O1501" s="231">
        <v>12</v>
      </c>
      <c r="P1501" s="232">
        <v>183.58208955223901</v>
      </c>
      <c r="Q1501" s="231" t="s">
        <v>16</v>
      </c>
      <c r="R1501" s="228">
        <v>3.95</v>
      </c>
      <c r="S1501" s="240"/>
      <c r="T1501" s="233">
        <v>18.181818181818183</v>
      </c>
      <c r="U1501" s="234">
        <f t="shared" si="327"/>
        <v>743.3310719131623</v>
      </c>
      <c r="V1501" s="235">
        <f t="shared" si="331"/>
        <v>3.8715159995477202</v>
      </c>
      <c r="W1501" s="236">
        <f t="shared" si="332"/>
        <v>0.55307371422110285</v>
      </c>
      <c r="X1501" s="228"/>
      <c r="Y1501" s="228"/>
      <c r="Z1501" s="233"/>
      <c r="AA1501" s="237">
        <v>46017</v>
      </c>
      <c r="AB1501" s="237">
        <v>46037</v>
      </c>
      <c r="AC1501" s="237"/>
      <c r="AD1501" s="238">
        <f>IF(ISNA(VLOOKUP(D1501,亚马逊入库配置费!B:F,5,0)),0,VLOOKUP(D1501,亚马逊入库配置费!B:F,5,0))</f>
        <v>0.49</v>
      </c>
      <c r="AE1501" s="238">
        <f t="shared" si="328"/>
        <v>94.08</v>
      </c>
      <c r="AF1501" s="237">
        <v>46045</v>
      </c>
      <c r="AG1501" s="239">
        <f t="shared" si="329"/>
        <v>28</v>
      </c>
      <c r="AH1501" s="237">
        <v>46045</v>
      </c>
      <c r="AI1501" s="237">
        <v>46080</v>
      </c>
      <c r="AJ1501" s="231">
        <v>185</v>
      </c>
      <c r="AK1501" s="228">
        <f t="shared" si="330"/>
        <v>35</v>
      </c>
      <c r="AL1501" s="231"/>
      <c r="AM1501" s="229"/>
      <c r="AN1501" s="228"/>
      <c r="AO1501" s="228"/>
    </row>
    <row r="1502" spans="1:41" ht="14.5" x14ac:dyDescent="0.25">
      <c r="A1502" s="227" t="s">
        <v>2567</v>
      </c>
      <c r="B1502" s="228"/>
      <c r="C1502" s="228" t="s">
        <v>2503</v>
      </c>
      <c r="D1502" s="229" t="s">
        <v>2566</v>
      </c>
      <c r="E1502" s="228" t="s">
        <v>1037</v>
      </c>
      <c r="F1502" s="228" t="s">
        <v>0</v>
      </c>
      <c r="G1502" s="230" t="s">
        <v>288</v>
      </c>
      <c r="H1502" s="228">
        <v>80</v>
      </c>
      <c r="I1502" s="228" t="s">
        <v>207</v>
      </c>
      <c r="J1502" s="228" t="s">
        <v>8</v>
      </c>
      <c r="K1502" s="229" t="s">
        <v>32</v>
      </c>
      <c r="L1502" s="93" t="s">
        <v>3040</v>
      </c>
      <c r="M1502" s="94" t="s">
        <v>3324</v>
      </c>
      <c r="N1502" s="95" t="s">
        <v>2785</v>
      </c>
      <c r="O1502" s="231">
        <v>5</v>
      </c>
      <c r="P1502" s="232">
        <v>76.492537313432805</v>
      </c>
      <c r="Q1502" s="231" t="s">
        <v>16</v>
      </c>
      <c r="R1502" s="228">
        <v>3.95</v>
      </c>
      <c r="S1502" s="240"/>
      <c r="T1502" s="233">
        <v>7.5757575757575761</v>
      </c>
      <c r="U1502" s="234">
        <f t="shared" si="327"/>
        <v>309.72127996381715</v>
      </c>
      <c r="V1502" s="235">
        <f t="shared" si="331"/>
        <v>3.8715159995477144</v>
      </c>
      <c r="W1502" s="236">
        <f t="shared" si="332"/>
        <v>0.55307371422110208</v>
      </c>
      <c r="X1502" s="228"/>
      <c r="Y1502" s="228"/>
      <c r="Z1502" s="233"/>
      <c r="AA1502" s="237">
        <v>46017</v>
      </c>
      <c r="AB1502" s="237">
        <v>46037</v>
      </c>
      <c r="AC1502" s="237"/>
      <c r="AD1502" s="238">
        <f>IF(ISNA(VLOOKUP(D1502,亚马逊入库配置费!B:F,5,0)),0,VLOOKUP(D1502,亚马逊入库配置费!B:F,5,0))</f>
        <v>0.49</v>
      </c>
      <c r="AE1502" s="238">
        <f t="shared" si="328"/>
        <v>39.200000000000003</v>
      </c>
      <c r="AF1502" s="237">
        <v>46045</v>
      </c>
      <c r="AG1502" s="239">
        <f t="shared" si="329"/>
        <v>28</v>
      </c>
      <c r="AH1502" s="237">
        <v>46045</v>
      </c>
      <c r="AI1502" s="237">
        <v>46080</v>
      </c>
      <c r="AJ1502" s="231">
        <v>80</v>
      </c>
      <c r="AK1502" s="228">
        <f t="shared" si="330"/>
        <v>35</v>
      </c>
      <c r="AL1502" s="231"/>
      <c r="AM1502" s="229"/>
      <c r="AN1502" s="228"/>
      <c r="AO1502" s="228"/>
    </row>
    <row r="1503" spans="1:41" ht="14.5" x14ac:dyDescent="0.25">
      <c r="A1503" s="227" t="s">
        <v>2568</v>
      </c>
      <c r="B1503" s="228"/>
      <c r="C1503" s="228" t="s">
        <v>2503</v>
      </c>
      <c r="D1503" s="229" t="s">
        <v>2566</v>
      </c>
      <c r="E1503" s="228" t="s">
        <v>1037</v>
      </c>
      <c r="F1503" s="228" t="s">
        <v>0</v>
      </c>
      <c r="G1503" s="230" t="s">
        <v>279</v>
      </c>
      <c r="H1503" s="228">
        <v>80</v>
      </c>
      <c r="I1503" s="228" t="s">
        <v>207</v>
      </c>
      <c r="J1503" s="228" t="s">
        <v>8</v>
      </c>
      <c r="K1503" s="229" t="s">
        <v>32</v>
      </c>
      <c r="L1503" s="93" t="s">
        <v>3038</v>
      </c>
      <c r="M1503" s="94" t="s">
        <v>3321</v>
      </c>
      <c r="N1503" s="95" t="s">
        <v>2785</v>
      </c>
      <c r="O1503" s="231">
        <v>5</v>
      </c>
      <c r="P1503" s="232">
        <v>76.492537313432805</v>
      </c>
      <c r="Q1503" s="231" t="s">
        <v>16</v>
      </c>
      <c r="R1503" s="228">
        <v>3.95</v>
      </c>
      <c r="S1503" s="240"/>
      <c r="T1503" s="233">
        <v>7.5757575757575761</v>
      </c>
      <c r="U1503" s="234">
        <f t="shared" si="327"/>
        <v>309.72127996381715</v>
      </c>
      <c r="V1503" s="235">
        <f t="shared" si="331"/>
        <v>3.8715159995477144</v>
      </c>
      <c r="W1503" s="236">
        <f t="shared" si="332"/>
        <v>0.55307371422110208</v>
      </c>
      <c r="X1503" s="228"/>
      <c r="Y1503" s="228"/>
      <c r="Z1503" s="233"/>
      <c r="AA1503" s="237">
        <v>46017</v>
      </c>
      <c r="AB1503" s="237">
        <v>46037</v>
      </c>
      <c r="AC1503" s="237"/>
      <c r="AD1503" s="238">
        <f>IF(ISNA(VLOOKUP(D1503,亚马逊入库配置费!B:F,5,0)),0,VLOOKUP(D1503,亚马逊入库配置费!B:F,5,0))</f>
        <v>0.49</v>
      </c>
      <c r="AE1503" s="238">
        <f t="shared" si="328"/>
        <v>39.200000000000003</v>
      </c>
      <c r="AF1503" s="237">
        <v>46045</v>
      </c>
      <c r="AG1503" s="239">
        <f t="shared" si="329"/>
        <v>28</v>
      </c>
      <c r="AH1503" s="237">
        <v>46045</v>
      </c>
      <c r="AI1503" s="237">
        <v>46080</v>
      </c>
      <c r="AJ1503" s="231">
        <v>80</v>
      </c>
      <c r="AK1503" s="228">
        <f t="shared" si="330"/>
        <v>35</v>
      </c>
      <c r="AL1503" s="231"/>
      <c r="AM1503" s="229"/>
      <c r="AN1503" s="228"/>
      <c r="AO1503" s="228"/>
    </row>
    <row r="1504" spans="1:41" ht="14.5" x14ac:dyDescent="0.25">
      <c r="A1504" s="227" t="s">
        <v>2569</v>
      </c>
      <c r="B1504" s="228"/>
      <c r="C1504" s="228" t="s">
        <v>2503</v>
      </c>
      <c r="D1504" s="229" t="s">
        <v>2566</v>
      </c>
      <c r="E1504" s="228" t="s">
        <v>1037</v>
      </c>
      <c r="F1504" s="228" t="s">
        <v>0</v>
      </c>
      <c r="G1504" s="230" t="s">
        <v>284</v>
      </c>
      <c r="H1504" s="228">
        <v>560</v>
      </c>
      <c r="I1504" s="228" t="s">
        <v>207</v>
      </c>
      <c r="J1504" s="228" t="s">
        <v>8</v>
      </c>
      <c r="K1504" s="229" t="s">
        <v>32</v>
      </c>
      <c r="L1504" s="93" t="s">
        <v>3039</v>
      </c>
      <c r="M1504" s="94" t="s">
        <v>3323</v>
      </c>
      <c r="N1504" s="95" t="s">
        <v>2915</v>
      </c>
      <c r="O1504" s="231">
        <v>35</v>
      </c>
      <c r="P1504" s="232">
        <v>535.44776119403002</v>
      </c>
      <c r="Q1504" s="231" t="s">
        <v>16</v>
      </c>
      <c r="R1504" s="228">
        <v>3.95</v>
      </c>
      <c r="S1504" s="240"/>
      <c r="T1504" s="233">
        <v>53.030303030303031</v>
      </c>
      <c r="U1504" s="234">
        <f t="shared" si="327"/>
        <v>2168.0489597467217</v>
      </c>
      <c r="V1504" s="235">
        <f t="shared" si="331"/>
        <v>3.8715159995477175</v>
      </c>
      <c r="W1504" s="236">
        <f t="shared" si="332"/>
        <v>0.55307371422110252</v>
      </c>
      <c r="X1504" s="228"/>
      <c r="Y1504" s="228"/>
      <c r="Z1504" s="233"/>
      <c r="AA1504" s="237">
        <v>46017</v>
      </c>
      <c r="AB1504" s="237">
        <v>46037</v>
      </c>
      <c r="AC1504" s="237"/>
      <c r="AD1504" s="238">
        <f>IF(ISNA(VLOOKUP(D1504,亚马逊入库配置费!B:F,5,0)),0,VLOOKUP(D1504,亚马逊入库配置费!B:F,5,0))</f>
        <v>0.49</v>
      </c>
      <c r="AE1504" s="238">
        <f t="shared" si="328"/>
        <v>274.39999999999998</v>
      </c>
      <c r="AF1504" s="237">
        <v>46045</v>
      </c>
      <c r="AG1504" s="239">
        <f t="shared" si="329"/>
        <v>28</v>
      </c>
      <c r="AH1504" s="237">
        <v>46045</v>
      </c>
      <c r="AI1504" s="237">
        <v>46080</v>
      </c>
      <c r="AJ1504" s="231">
        <v>559</v>
      </c>
      <c r="AK1504" s="228">
        <f t="shared" si="330"/>
        <v>35</v>
      </c>
      <c r="AL1504" s="231"/>
      <c r="AM1504" s="229"/>
      <c r="AN1504" s="228"/>
      <c r="AO1504" s="228"/>
    </row>
    <row r="1505" spans="1:41" ht="14.5" x14ac:dyDescent="0.25">
      <c r="A1505" s="227" t="s">
        <v>2570</v>
      </c>
      <c r="B1505" s="228"/>
      <c r="C1505" s="228" t="s">
        <v>2503</v>
      </c>
      <c r="D1505" s="229" t="s">
        <v>2566</v>
      </c>
      <c r="E1505" s="228" t="s">
        <v>1037</v>
      </c>
      <c r="F1505" s="228" t="s">
        <v>0</v>
      </c>
      <c r="G1505" s="230" t="s">
        <v>663</v>
      </c>
      <c r="H1505" s="228">
        <v>160</v>
      </c>
      <c r="I1505" s="228" t="s">
        <v>207</v>
      </c>
      <c r="J1505" s="228" t="s">
        <v>8</v>
      </c>
      <c r="K1505" s="229" t="s">
        <v>32</v>
      </c>
      <c r="L1505" s="93" t="s">
        <v>3080</v>
      </c>
      <c r="M1505" s="94" t="s">
        <v>3383</v>
      </c>
      <c r="N1505" s="95" t="s">
        <v>2915</v>
      </c>
      <c r="O1505" s="231">
        <v>10</v>
      </c>
      <c r="P1505" s="232">
        <v>152.98507462686601</v>
      </c>
      <c r="Q1505" s="231" t="s">
        <v>16</v>
      </c>
      <c r="R1505" s="228">
        <v>3.95</v>
      </c>
      <c r="S1505" s="240"/>
      <c r="T1505" s="233">
        <v>15.151515151515152</v>
      </c>
      <c r="U1505" s="234">
        <f t="shared" si="327"/>
        <v>619.4425599276359</v>
      </c>
      <c r="V1505" s="235">
        <f t="shared" si="331"/>
        <v>3.8715159995477242</v>
      </c>
      <c r="W1505" s="236">
        <f t="shared" si="332"/>
        <v>0.55307371422110341</v>
      </c>
      <c r="X1505" s="228"/>
      <c r="Y1505" s="228"/>
      <c r="Z1505" s="233"/>
      <c r="AA1505" s="237">
        <v>46017</v>
      </c>
      <c r="AB1505" s="237">
        <v>46037</v>
      </c>
      <c r="AC1505" s="237"/>
      <c r="AD1505" s="238">
        <f>IF(ISNA(VLOOKUP(D1505,亚马逊入库配置费!B:F,5,0)),0,VLOOKUP(D1505,亚马逊入库配置费!B:F,5,0))</f>
        <v>0.49</v>
      </c>
      <c r="AE1505" s="238">
        <f t="shared" si="328"/>
        <v>78.400000000000006</v>
      </c>
      <c r="AF1505" s="237">
        <v>46045</v>
      </c>
      <c r="AG1505" s="239">
        <f t="shared" si="329"/>
        <v>28</v>
      </c>
      <c r="AH1505" s="237">
        <v>46045</v>
      </c>
      <c r="AI1505" s="237">
        <v>46080</v>
      </c>
      <c r="AJ1505" s="231">
        <v>160</v>
      </c>
      <c r="AK1505" s="228">
        <f t="shared" si="330"/>
        <v>35</v>
      </c>
      <c r="AL1505" s="231"/>
      <c r="AM1505" s="229"/>
      <c r="AN1505" s="228"/>
      <c r="AO1505" s="228"/>
    </row>
    <row r="1506" spans="1:41" ht="14.5" x14ac:dyDescent="0.25">
      <c r="A1506" s="110" t="s">
        <v>2571</v>
      </c>
      <c r="B1506" s="91"/>
      <c r="C1506" s="91" t="s">
        <v>1782</v>
      </c>
      <c r="D1506" s="92" t="s">
        <v>2572</v>
      </c>
      <c r="E1506" s="91" t="s">
        <v>97</v>
      </c>
      <c r="F1506" s="91" t="s">
        <v>0</v>
      </c>
      <c r="G1506" s="56" t="s">
        <v>305</v>
      </c>
      <c r="H1506" s="91">
        <v>390</v>
      </c>
      <c r="I1506" s="91" t="s">
        <v>1767</v>
      </c>
      <c r="J1506" s="91" t="s">
        <v>3262</v>
      </c>
      <c r="K1506" s="92" t="s">
        <v>26</v>
      </c>
      <c r="L1506" s="93" t="s">
        <v>3041</v>
      </c>
      <c r="M1506" s="94" t="s">
        <v>3329</v>
      </c>
      <c r="N1506" s="95" t="s">
        <v>3042</v>
      </c>
      <c r="O1506" s="96">
        <v>5</v>
      </c>
      <c r="P1506" s="97">
        <v>109</v>
      </c>
      <c r="Q1506" s="96" t="s">
        <v>16</v>
      </c>
      <c r="R1506" s="91">
        <v>10.6</v>
      </c>
      <c r="S1506" s="95">
        <v>0</v>
      </c>
      <c r="T1506" s="98">
        <v>0</v>
      </c>
      <c r="U1506" s="99">
        <f t="shared" si="327"/>
        <v>1155.3999999999999</v>
      </c>
      <c r="V1506" s="100">
        <f t="shared" si="331"/>
        <v>2.9625641025641021</v>
      </c>
      <c r="W1506" s="101">
        <f t="shared" si="332"/>
        <v>0.42322344322344313</v>
      </c>
      <c r="X1506" s="95"/>
      <c r="Y1506" s="95"/>
      <c r="Z1506" s="102"/>
      <c r="AA1506" s="103">
        <v>46017</v>
      </c>
      <c r="AB1506" s="103">
        <v>46038</v>
      </c>
      <c r="AC1506" s="103"/>
      <c r="AD1506" s="104">
        <f>IF(ISNA(VLOOKUP(D1506,亚马逊入库配置费!B:F,5,0)),0,VLOOKUP(D1506,亚马逊入库配置费!B:F,5,0))</f>
        <v>0.28000000000000003</v>
      </c>
      <c r="AE1506" s="104">
        <f t="shared" si="328"/>
        <v>109.20000000000002</v>
      </c>
      <c r="AF1506" s="103">
        <v>46046</v>
      </c>
      <c r="AG1506" s="90">
        <f t="shared" si="329"/>
        <v>29</v>
      </c>
      <c r="AH1506" s="103">
        <v>46046</v>
      </c>
      <c r="AI1506" s="103">
        <v>46051</v>
      </c>
      <c r="AJ1506" s="96">
        <v>350</v>
      </c>
      <c r="AK1506" s="91">
        <f t="shared" si="330"/>
        <v>5</v>
      </c>
      <c r="AL1506" s="96"/>
      <c r="AM1506" s="92"/>
      <c r="AN1506" s="91"/>
      <c r="AO1506" s="91"/>
    </row>
    <row r="1507" spans="1:41" ht="14.5" x14ac:dyDescent="0.25">
      <c r="A1507" s="110" t="s">
        <v>2573</v>
      </c>
      <c r="B1507" s="91"/>
      <c r="C1507" s="91" t="s">
        <v>1782</v>
      </c>
      <c r="D1507" s="92" t="s">
        <v>2574</v>
      </c>
      <c r="E1507" s="91" t="s">
        <v>97</v>
      </c>
      <c r="F1507" s="91" t="s">
        <v>0</v>
      </c>
      <c r="G1507" s="56" t="s">
        <v>1057</v>
      </c>
      <c r="H1507" s="91">
        <v>90</v>
      </c>
      <c r="I1507" s="91" t="s">
        <v>1767</v>
      </c>
      <c r="J1507" s="91" t="s">
        <v>8</v>
      </c>
      <c r="K1507" s="92" t="s">
        <v>15</v>
      </c>
      <c r="L1507" s="93" t="s">
        <v>3091</v>
      </c>
      <c r="M1507" s="94" t="s">
        <v>3425</v>
      </c>
      <c r="N1507" s="95" t="s">
        <v>3042</v>
      </c>
      <c r="O1507" s="96">
        <v>1</v>
      </c>
      <c r="P1507" s="97">
        <f>1/10*O1507</f>
        <v>0.1</v>
      </c>
      <c r="Q1507" s="96" t="s">
        <v>3264</v>
      </c>
      <c r="R1507" s="91">
        <v>1170</v>
      </c>
      <c r="S1507" s="106"/>
      <c r="T1507" s="98">
        <v>0</v>
      </c>
      <c r="U1507" s="99">
        <f t="shared" si="327"/>
        <v>117</v>
      </c>
      <c r="V1507" s="100">
        <f t="shared" si="331"/>
        <v>1.3</v>
      </c>
      <c r="W1507" s="101">
        <f t="shared" si="332"/>
        <v>0.18571428571428572</v>
      </c>
      <c r="X1507" s="95"/>
      <c r="Y1507" s="95"/>
      <c r="Z1507" s="102"/>
      <c r="AA1507" s="103">
        <v>46017</v>
      </c>
      <c r="AB1507" s="103">
        <v>46038</v>
      </c>
      <c r="AC1507" s="103"/>
      <c r="AD1507" s="104">
        <f>IF(ISNA(VLOOKUP(D1507,亚马逊入库配置费!B:F,5,0)),0,VLOOKUP(D1507,亚马逊入库配置费!B:F,5,0))</f>
        <v>0.33999999999999997</v>
      </c>
      <c r="AE1507" s="104">
        <f t="shared" si="328"/>
        <v>30.599999999999998</v>
      </c>
      <c r="AF1507" s="103">
        <v>46042</v>
      </c>
      <c r="AG1507" s="90">
        <f t="shared" si="329"/>
        <v>25</v>
      </c>
      <c r="AH1507" s="103">
        <v>46042</v>
      </c>
      <c r="AI1507" s="103">
        <v>46070</v>
      </c>
      <c r="AJ1507" s="96">
        <v>90</v>
      </c>
      <c r="AK1507" s="91">
        <f t="shared" si="330"/>
        <v>28</v>
      </c>
      <c r="AL1507" s="96"/>
      <c r="AM1507" s="92"/>
      <c r="AN1507" s="91"/>
      <c r="AO1507" s="91"/>
    </row>
    <row r="1508" spans="1:41" ht="14.5" x14ac:dyDescent="0.25">
      <c r="A1508" s="110" t="s">
        <v>2575</v>
      </c>
      <c r="B1508" s="91"/>
      <c r="C1508" s="91" t="s">
        <v>1782</v>
      </c>
      <c r="D1508" s="92" t="s">
        <v>2574</v>
      </c>
      <c r="E1508" s="91" t="s">
        <v>97</v>
      </c>
      <c r="F1508" s="91" t="s">
        <v>0</v>
      </c>
      <c r="G1508" s="56" t="s">
        <v>1059</v>
      </c>
      <c r="H1508" s="91">
        <v>180</v>
      </c>
      <c r="I1508" s="91" t="s">
        <v>1767</v>
      </c>
      <c r="J1508" s="91" t="s">
        <v>8</v>
      </c>
      <c r="K1508" s="92" t="s">
        <v>15</v>
      </c>
      <c r="L1508" s="93" t="s">
        <v>3092</v>
      </c>
      <c r="M1508" s="94" t="s">
        <v>3426</v>
      </c>
      <c r="N1508" s="95" t="s">
        <v>3042</v>
      </c>
      <c r="O1508" s="96">
        <v>2</v>
      </c>
      <c r="P1508" s="97">
        <f t="shared" ref="P1508:P1511" si="333">1/10*O1508</f>
        <v>0.2</v>
      </c>
      <c r="Q1508" s="96" t="s">
        <v>3264</v>
      </c>
      <c r="R1508" s="91">
        <v>1170</v>
      </c>
      <c r="S1508" s="95"/>
      <c r="T1508" s="98">
        <v>0</v>
      </c>
      <c r="U1508" s="99">
        <f t="shared" si="327"/>
        <v>234</v>
      </c>
      <c r="V1508" s="100">
        <f t="shared" si="331"/>
        <v>1.3</v>
      </c>
      <c r="W1508" s="101">
        <f t="shared" si="332"/>
        <v>0.18571428571428572</v>
      </c>
      <c r="X1508" s="95"/>
      <c r="Y1508" s="95"/>
      <c r="Z1508" s="102"/>
      <c r="AA1508" s="103">
        <v>46017</v>
      </c>
      <c r="AB1508" s="103">
        <v>46038</v>
      </c>
      <c r="AC1508" s="103"/>
      <c r="AD1508" s="104">
        <f>IF(ISNA(VLOOKUP(D1508,亚马逊入库配置费!B:F,5,0)),0,VLOOKUP(D1508,亚马逊入库配置费!B:F,5,0))</f>
        <v>0.33999999999999997</v>
      </c>
      <c r="AE1508" s="104">
        <f t="shared" si="328"/>
        <v>61.199999999999996</v>
      </c>
      <c r="AF1508" s="103">
        <v>46042</v>
      </c>
      <c r="AG1508" s="90">
        <f t="shared" si="329"/>
        <v>25</v>
      </c>
      <c r="AH1508" s="103">
        <v>46042</v>
      </c>
      <c r="AI1508" s="103">
        <v>46070</v>
      </c>
      <c r="AJ1508" s="96">
        <v>207</v>
      </c>
      <c r="AK1508" s="91">
        <f t="shared" si="330"/>
        <v>28</v>
      </c>
      <c r="AL1508" s="96"/>
      <c r="AM1508" s="92"/>
      <c r="AN1508" s="91"/>
      <c r="AO1508" s="91"/>
    </row>
    <row r="1509" spans="1:41" ht="14.5" x14ac:dyDescent="0.25">
      <c r="A1509" s="110" t="s">
        <v>2576</v>
      </c>
      <c r="B1509" s="91"/>
      <c r="C1509" s="91" t="s">
        <v>1782</v>
      </c>
      <c r="D1509" s="92" t="s">
        <v>2577</v>
      </c>
      <c r="E1509" s="91" t="s">
        <v>115</v>
      </c>
      <c r="F1509" s="91" t="s">
        <v>0</v>
      </c>
      <c r="G1509" s="56" t="s">
        <v>1052</v>
      </c>
      <c r="H1509" s="91">
        <v>312</v>
      </c>
      <c r="I1509" s="91" t="s">
        <v>1767</v>
      </c>
      <c r="J1509" s="91" t="s">
        <v>8</v>
      </c>
      <c r="K1509" s="92" t="s">
        <v>15</v>
      </c>
      <c r="L1509" s="93" t="s">
        <v>3089</v>
      </c>
      <c r="M1509" s="94" t="s">
        <v>3423</v>
      </c>
      <c r="N1509" s="95" t="s">
        <v>3042</v>
      </c>
      <c r="O1509" s="96">
        <v>4</v>
      </c>
      <c r="P1509" s="97">
        <f t="shared" si="333"/>
        <v>0.4</v>
      </c>
      <c r="Q1509" s="96" t="s">
        <v>3264</v>
      </c>
      <c r="R1509" s="91">
        <v>1170</v>
      </c>
      <c r="S1509" s="95"/>
      <c r="T1509" s="98">
        <v>0</v>
      </c>
      <c r="U1509" s="99">
        <f t="shared" si="327"/>
        <v>468</v>
      </c>
      <c r="V1509" s="100">
        <f t="shared" si="331"/>
        <v>1.5</v>
      </c>
      <c r="W1509" s="101">
        <f t="shared" si="332"/>
        <v>0.21428571428571427</v>
      </c>
      <c r="X1509" s="95"/>
      <c r="Y1509" s="95"/>
      <c r="Z1509" s="102"/>
      <c r="AA1509" s="103">
        <v>46017</v>
      </c>
      <c r="AB1509" s="103">
        <v>46038</v>
      </c>
      <c r="AC1509" s="103"/>
      <c r="AD1509" s="104">
        <f>IF(ISNA(VLOOKUP(D1509,亚马逊入库配置费!B:F,5,0)),0,VLOOKUP(D1509,亚马逊入库配置费!B:F,5,0))</f>
        <v>0.33999999999999997</v>
      </c>
      <c r="AE1509" s="104">
        <f t="shared" si="328"/>
        <v>106.07999999999998</v>
      </c>
      <c r="AF1509" s="103">
        <v>46042</v>
      </c>
      <c r="AG1509" s="90">
        <f t="shared" si="329"/>
        <v>25</v>
      </c>
      <c r="AH1509" s="103">
        <v>46042</v>
      </c>
      <c r="AI1509" s="103">
        <v>46072</v>
      </c>
      <c r="AJ1509" s="96">
        <v>312</v>
      </c>
      <c r="AK1509" s="91">
        <f t="shared" si="330"/>
        <v>30</v>
      </c>
      <c r="AL1509" s="96"/>
      <c r="AM1509" s="92"/>
      <c r="AN1509" s="91"/>
      <c r="AO1509" s="91"/>
    </row>
    <row r="1510" spans="1:41" ht="14.5" x14ac:dyDescent="0.25">
      <c r="A1510" s="110" t="s">
        <v>2578</v>
      </c>
      <c r="B1510" s="91"/>
      <c r="C1510" s="91" t="s">
        <v>1782</v>
      </c>
      <c r="D1510" s="92" t="s">
        <v>2577</v>
      </c>
      <c r="E1510" s="91" t="s">
        <v>115</v>
      </c>
      <c r="F1510" s="91" t="s">
        <v>0</v>
      </c>
      <c r="G1510" s="56" t="s">
        <v>1054</v>
      </c>
      <c r="H1510" s="91">
        <v>180</v>
      </c>
      <c r="I1510" s="91" t="s">
        <v>1767</v>
      </c>
      <c r="J1510" s="91" t="s">
        <v>8</v>
      </c>
      <c r="K1510" s="92" t="s">
        <v>15</v>
      </c>
      <c r="L1510" s="93" t="s">
        <v>3090</v>
      </c>
      <c r="M1510" s="94" t="s">
        <v>3424</v>
      </c>
      <c r="N1510" s="95" t="s">
        <v>3042</v>
      </c>
      <c r="O1510" s="96">
        <v>2</v>
      </c>
      <c r="P1510" s="97">
        <f t="shared" si="333"/>
        <v>0.2</v>
      </c>
      <c r="Q1510" s="96" t="s">
        <v>3264</v>
      </c>
      <c r="R1510" s="91">
        <v>1170</v>
      </c>
      <c r="S1510" s="95"/>
      <c r="T1510" s="98">
        <v>0</v>
      </c>
      <c r="U1510" s="99">
        <f t="shared" si="327"/>
        <v>234</v>
      </c>
      <c r="V1510" s="100">
        <f t="shared" si="331"/>
        <v>1.3</v>
      </c>
      <c r="W1510" s="101">
        <f t="shared" si="332"/>
        <v>0.18571428571428572</v>
      </c>
      <c r="X1510" s="95"/>
      <c r="Y1510" s="95"/>
      <c r="Z1510" s="102"/>
      <c r="AA1510" s="103">
        <v>46017</v>
      </c>
      <c r="AB1510" s="103">
        <v>46038</v>
      </c>
      <c r="AC1510" s="103"/>
      <c r="AD1510" s="104">
        <f>IF(ISNA(VLOOKUP(D1510,亚马逊入库配置费!B:F,5,0)),0,VLOOKUP(D1510,亚马逊入库配置费!B:F,5,0))</f>
        <v>0.33999999999999997</v>
      </c>
      <c r="AE1510" s="104">
        <f t="shared" si="328"/>
        <v>61.199999999999996</v>
      </c>
      <c r="AF1510" s="103">
        <v>46042</v>
      </c>
      <c r="AG1510" s="90">
        <f t="shared" si="329"/>
        <v>25</v>
      </c>
      <c r="AH1510" s="103">
        <v>46042</v>
      </c>
      <c r="AI1510" s="103">
        <v>46072</v>
      </c>
      <c r="AJ1510" s="96">
        <v>182</v>
      </c>
      <c r="AK1510" s="91">
        <f t="shared" si="330"/>
        <v>30</v>
      </c>
      <c r="AL1510" s="96"/>
      <c r="AM1510" s="92"/>
      <c r="AN1510" s="91"/>
      <c r="AO1510" s="91"/>
    </row>
    <row r="1511" spans="1:41" ht="14.5" x14ac:dyDescent="0.25">
      <c r="A1511" s="110" t="s">
        <v>2579</v>
      </c>
      <c r="B1511" s="91"/>
      <c r="C1511" s="91" t="s">
        <v>1782</v>
      </c>
      <c r="D1511" s="92" t="s">
        <v>2577</v>
      </c>
      <c r="E1511" s="91" t="s">
        <v>115</v>
      </c>
      <c r="F1511" s="91" t="s">
        <v>0</v>
      </c>
      <c r="G1511" s="56" t="s">
        <v>1061</v>
      </c>
      <c r="H1511" s="91">
        <v>90</v>
      </c>
      <c r="I1511" s="91" t="s">
        <v>1767</v>
      </c>
      <c r="J1511" s="91" t="s">
        <v>8</v>
      </c>
      <c r="K1511" s="92" t="s">
        <v>15</v>
      </c>
      <c r="L1511" s="93" t="s">
        <v>3093</v>
      </c>
      <c r="M1511" s="94" t="s">
        <v>3427</v>
      </c>
      <c r="N1511" s="95" t="s">
        <v>3042</v>
      </c>
      <c r="O1511" s="96">
        <v>1</v>
      </c>
      <c r="P1511" s="97">
        <f t="shared" si="333"/>
        <v>0.1</v>
      </c>
      <c r="Q1511" s="96" t="s">
        <v>3264</v>
      </c>
      <c r="R1511" s="91">
        <v>1170</v>
      </c>
      <c r="S1511" s="95"/>
      <c r="T1511" s="98">
        <v>0</v>
      </c>
      <c r="U1511" s="99">
        <f t="shared" si="327"/>
        <v>117</v>
      </c>
      <c r="V1511" s="100">
        <f t="shared" si="331"/>
        <v>1.3</v>
      </c>
      <c r="W1511" s="101">
        <f t="shared" si="332"/>
        <v>0.18571428571428572</v>
      </c>
      <c r="X1511" s="95"/>
      <c r="Y1511" s="95"/>
      <c r="Z1511" s="102"/>
      <c r="AA1511" s="103">
        <v>46017</v>
      </c>
      <c r="AB1511" s="103">
        <v>46038</v>
      </c>
      <c r="AC1511" s="103"/>
      <c r="AD1511" s="104">
        <f>IF(ISNA(VLOOKUP(D1511,亚马逊入库配置费!B:F,5,0)),0,VLOOKUP(D1511,亚马逊入库配置费!B:F,5,0))</f>
        <v>0.33999999999999997</v>
      </c>
      <c r="AE1511" s="104">
        <f t="shared" si="328"/>
        <v>30.599999999999998</v>
      </c>
      <c r="AF1511" s="103">
        <v>46042</v>
      </c>
      <c r="AG1511" s="90">
        <f t="shared" si="329"/>
        <v>25</v>
      </c>
      <c r="AH1511" s="103">
        <v>46042</v>
      </c>
      <c r="AI1511" s="103">
        <v>46072</v>
      </c>
      <c r="AJ1511" s="96">
        <v>87</v>
      </c>
      <c r="AK1511" s="91">
        <f t="shared" si="330"/>
        <v>30</v>
      </c>
      <c r="AL1511" s="96"/>
      <c r="AM1511" s="92"/>
      <c r="AN1511" s="91"/>
      <c r="AO1511" s="91"/>
    </row>
    <row r="1512" spans="1:41" s="461" customFormat="1" ht="14.5" x14ac:dyDescent="0.25">
      <c r="A1512" s="460" t="s">
        <v>2580</v>
      </c>
      <c r="B1512" s="422"/>
      <c r="C1512" s="422" t="s">
        <v>2558</v>
      </c>
      <c r="D1512" s="423" t="s">
        <v>2581</v>
      </c>
      <c r="E1512" s="422" t="s">
        <v>1971</v>
      </c>
      <c r="F1512" s="422" t="s">
        <v>87</v>
      </c>
      <c r="G1512" s="424" t="s">
        <v>300</v>
      </c>
      <c r="H1512" s="422">
        <v>480</v>
      </c>
      <c r="I1512" s="422" t="s">
        <v>89</v>
      </c>
      <c r="J1512" s="422" t="s">
        <v>90</v>
      </c>
      <c r="K1512" s="423" t="s">
        <v>280</v>
      </c>
      <c r="L1512" s="425" t="s">
        <v>2679</v>
      </c>
      <c r="M1512" s="426" t="s">
        <v>3328</v>
      </c>
      <c r="N1512" s="422" t="s">
        <v>2917</v>
      </c>
      <c r="O1512" s="427">
        <v>40</v>
      </c>
      <c r="P1512" s="456">
        <v>540</v>
      </c>
      <c r="Q1512" s="427" t="s">
        <v>16</v>
      </c>
      <c r="R1512" s="422">
        <v>6</v>
      </c>
      <c r="S1512" s="422"/>
      <c r="T1512" s="428">
        <v>101.26582278481</v>
      </c>
      <c r="U1512" s="429">
        <f t="shared" si="327"/>
        <v>3341.2658227848101</v>
      </c>
      <c r="V1512" s="430">
        <f t="shared" si="331"/>
        <v>6.9609704641350207</v>
      </c>
      <c r="W1512" s="431">
        <f t="shared" si="332"/>
        <v>0.99442435201928869</v>
      </c>
      <c r="X1512" s="422"/>
      <c r="Y1512" s="422"/>
      <c r="Z1512" s="428"/>
      <c r="AA1512" s="432">
        <v>46017</v>
      </c>
      <c r="AB1512" s="432">
        <v>46052</v>
      </c>
      <c r="AC1512" s="432"/>
      <c r="AD1512" s="433">
        <f>IF(ISNA(VLOOKUP(D1512,亚马逊入库配置费!B:F,5,0)),0,VLOOKUP(D1512,亚马逊入库配置费!B:F,5,0))</f>
        <v>0</v>
      </c>
      <c r="AE1512" s="433">
        <f t="shared" si="328"/>
        <v>0</v>
      </c>
      <c r="AF1512" s="432">
        <v>46062</v>
      </c>
      <c r="AG1512" s="421">
        <f t="shared" si="329"/>
        <v>45</v>
      </c>
      <c r="AH1512" s="432">
        <v>46062</v>
      </c>
      <c r="AI1512" s="432">
        <v>46086</v>
      </c>
      <c r="AJ1512" s="427">
        <v>479</v>
      </c>
      <c r="AK1512" s="422">
        <f t="shared" si="330"/>
        <v>24</v>
      </c>
      <c r="AL1512" s="427"/>
      <c r="AM1512" s="423"/>
      <c r="AN1512" s="422"/>
      <c r="AO1512" s="422"/>
    </row>
    <row r="1513" spans="1:41" s="461" customFormat="1" ht="14.5" x14ac:dyDescent="0.25">
      <c r="A1513" s="460" t="s">
        <v>2582</v>
      </c>
      <c r="B1513" s="422"/>
      <c r="C1513" s="422" t="s">
        <v>2558</v>
      </c>
      <c r="D1513" s="423" t="s">
        <v>2581</v>
      </c>
      <c r="E1513" s="422" t="s">
        <v>1971</v>
      </c>
      <c r="F1513" s="422" t="s">
        <v>87</v>
      </c>
      <c r="G1513" s="424" t="s">
        <v>564</v>
      </c>
      <c r="H1513" s="422">
        <v>60</v>
      </c>
      <c r="I1513" s="422" t="s">
        <v>89</v>
      </c>
      <c r="J1513" s="422" t="s">
        <v>90</v>
      </c>
      <c r="K1513" s="423" t="s">
        <v>280</v>
      </c>
      <c r="L1513" s="425" t="s">
        <v>3074</v>
      </c>
      <c r="M1513" s="426" t="s">
        <v>3375</v>
      </c>
      <c r="N1513" s="422" t="s">
        <v>2917</v>
      </c>
      <c r="O1513" s="427">
        <v>5</v>
      </c>
      <c r="P1513" s="456">
        <v>67.5</v>
      </c>
      <c r="Q1513" s="427" t="s">
        <v>16</v>
      </c>
      <c r="R1513" s="422">
        <v>6</v>
      </c>
      <c r="S1513" s="422"/>
      <c r="T1513" s="428">
        <v>12.6582278481013</v>
      </c>
      <c r="U1513" s="429">
        <f t="shared" si="327"/>
        <v>417.65822784810132</v>
      </c>
      <c r="V1513" s="430">
        <f t="shared" si="331"/>
        <v>6.9609704641350216</v>
      </c>
      <c r="W1513" s="431">
        <f t="shared" si="332"/>
        <v>0.9944243520192888</v>
      </c>
      <c r="X1513" s="422"/>
      <c r="Y1513" s="422"/>
      <c r="Z1513" s="428"/>
      <c r="AA1513" s="432">
        <v>46017</v>
      </c>
      <c r="AB1513" s="432">
        <v>46052</v>
      </c>
      <c r="AC1513" s="432"/>
      <c r="AD1513" s="433">
        <f>IF(ISNA(VLOOKUP(D1513,亚马逊入库配置费!B:F,5,0)),0,VLOOKUP(D1513,亚马逊入库配置费!B:F,5,0))</f>
        <v>0</v>
      </c>
      <c r="AE1513" s="433">
        <f t="shared" si="328"/>
        <v>0</v>
      </c>
      <c r="AF1513" s="432">
        <v>46062</v>
      </c>
      <c r="AG1513" s="421">
        <f t="shared" si="329"/>
        <v>45</v>
      </c>
      <c r="AH1513" s="432">
        <v>46062</v>
      </c>
      <c r="AI1513" s="432">
        <v>46086</v>
      </c>
      <c r="AJ1513" s="427">
        <v>60</v>
      </c>
      <c r="AK1513" s="422">
        <f t="shared" si="330"/>
        <v>24</v>
      </c>
      <c r="AL1513" s="427"/>
      <c r="AM1513" s="423"/>
      <c r="AN1513" s="422"/>
      <c r="AO1513" s="422"/>
    </row>
    <row r="1514" spans="1:41" s="461" customFormat="1" ht="14.5" x14ac:dyDescent="0.25">
      <c r="A1514" s="460" t="s">
        <v>2583</v>
      </c>
      <c r="B1514" s="422"/>
      <c r="C1514" s="422" t="s">
        <v>2558</v>
      </c>
      <c r="D1514" s="423" t="s">
        <v>2581</v>
      </c>
      <c r="E1514" s="422" t="s">
        <v>1971</v>
      </c>
      <c r="F1514" s="422" t="s">
        <v>87</v>
      </c>
      <c r="G1514" s="424" t="s">
        <v>296</v>
      </c>
      <c r="H1514" s="422">
        <v>300</v>
      </c>
      <c r="I1514" s="422" t="s">
        <v>89</v>
      </c>
      <c r="J1514" s="422" t="s">
        <v>90</v>
      </c>
      <c r="K1514" s="423" t="s">
        <v>280</v>
      </c>
      <c r="L1514" s="425" t="s">
        <v>2684</v>
      </c>
      <c r="M1514" s="426" t="s">
        <v>3326</v>
      </c>
      <c r="N1514" s="422" t="s">
        <v>2917</v>
      </c>
      <c r="O1514" s="427">
        <v>25</v>
      </c>
      <c r="P1514" s="456">
        <v>337.5</v>
      </c>
      <c r="Q1514" s="427" t="s">
        <v>16</v>
      </c>
      <c r="R1514" s="422">
        <v>6</v>
      </c>
      <c r="S1514" s="422"/>
      <c r="T1514" s="428">
        <v>63.291139240506297</v>
      </c>
      <c r="U1514" s="429">
        <f t="shared" si="327"/>
        <v>2088.2911392405063</v>
      </c>
      <c r="V1514" s="430">
        <f t="shared" si="331"/>
        <v>6.9609704641350207</v>
      </c>
      <c r="W1514" s="431">
        <f t="shared" si="332"/>
        <v>0.99442435201928869</v>
      </c>
      <c r="X1514" s="422"/>
      <c r="Y1514" s="422"/>
      <c r="Z1514" s="428"/>
      <c r="AA1514" s="432">
        <v>46017</v>
      </c>
      <c r="AB1514" s="432">
        <v>46052</v>
      </c>
      <c r="AC1514" s="432"/>
      <c r="AD1514" s="433">
        <f>IF(ISNA(VLOOKUP(D1514,亚马逊入库配置费!B:F,5,0)),0,VLOOKUP(D1514,亚马逊入库配置费!B:F,5,0))</f>
        <v>0</v>
      </c>
      <c r="AE1514" s="433">
        <f t="shared" si="328"/>
        <v>0</v>
      </c>
      <c r="AF1514" s="432">
        <v>46062</v>
      </c>
      <c r="AG1514" s="421">
        <f t="shared" si="329"/>
        <v>45</v>
      </c>
      <c r="AH1514" s="432">
        <v>46062</v>
      </c>
      <c r="AI1514" s="432">
        <v>46086</v>
      </c>
      <c r="AJ1514" s="427">
        <v>289</v>
      </c>
      <c r="AK1514" s="422">
        <f t="shared" si="330"/>
        <v>24</v>
      </c>
      <c r="AL1514" s="427"/>
      <c r="AM1514" s="423"/>
      <c r="AN1514" s="422"/>
      <c r="AO1514" s="422"/>
    </row>
    <row r="1515" spans="1:41" s="461" customFormat="1" ht="14.5" x14ac:dyDescent="0.25">
      <c r="A1515" s="460" t="s">
        <v>2584</v>
      </c>
      <c r="B1515" s="422"/>
      <c r="C1515" s="422" t="s">
        <v>95</v>
      </c>
      <c r="D1515" s="423" t="s">
        <v>2585</v>
      </c>
      <c r="E1515" s="422" t="s">
        <v>115</v>
      </c>
      <c r="F1515" s="422" t="s">
        <v>0</v>
      </c>
      <c r="G1515" s="424" t="s">
        <v>2195</v>
      </c>
      <c r="H1515" s="422">
        <v>520</v>
      </c>
      <c r="I1515" s="422" t="s">
        <v>89</v>
      </c>
      <c r="J1515" s="422" t="s">
        <v>8</v>
      </c>
      <c r="K1515" s="423" t="s">
        <v>10</v>
      </c>
      <c r="L1515" s="425" t="s">
        <v>2195</v>
      </c>
      <c r="M1515" s="426" t="s">
        <v>3489</v>
      </c>
      <c r="N1515" s="422" t="s">
        <v>3104</v>
      </c>
      <c r="O1515" s="427">
        <v>13</v>
      </c>
      <c r="P1515" s="456">
        <v>177</v>
      </c>
      <c r="Q1515" s="427" t="s">
        <v>16</v>
      </c>
      <c r="R1515" s="422">
        <v>3.5</v>
      </c>
      <c r="S1515" s="422">
        <v>200</v>
      </c>
      <c r="T1515" s="428">
        <v>39.393939393939398</v>
      </c>
      <c r="U1515" s="429">
        <f t="shared" si="327"/>
        <v>658.89393939393938</v>
      </c>
      <c r="V1515" s="430">
        <f t="shared" si="331"/>
        <v>1.2671037296037295</v>
      </c>
      <c r="W1515" s="431">
        <f t="shared" si="332"/>
        <v>0.18101481851481852</v>
      </c>
      <c r="X1515" s="422"/>
      <c r="Y1515" s="422"/>
      <c r="Z1515" s="428"/>
      <c r="AA1515" s="432">
        <v>46022</v>
      </c>
      <c r="AB1515" s="432">
        <v>46047</v>
      </c>
      <c r="AC1515" s="432"/>
      <c r="AD1515" s="433">
        <f>IF(ISNA(VLOOKUP(D1515,亚马逊入库配置费!B:F,5,0)),0,VLOOKUP(D1515,亚马逊入库配置费!B:F,5,0))</f>
        <v>0.34</v>
      </c>
      <c r="AE1515" s="433">
        <f t="shared" si="328"/>
        <v>176.8</v>
      </c>
      <c r="AF1515" s="432">
        <v>46057</v>
      </c>
      <c r="AG1515" s="421">
        <f t="shared" si="329"/>
        <v>35</v>
      </c>
      <c r="AH1515" s="432">
        <v>46057</v>
      </c>
      <c r="AI1515" s="432">
        <v>46085</v>
      </c>
      <c r="AJ1515" s="427">
        <v>522</v>
      </c>
      <c r="AK1515" s="422">
        <f t="shared" si="330"/>
        <v>28</v>
      </c>
      <c r="AL1515" s="427"/>
      <c r="AM1515" s="423"/>
      <c r="AN1515" s="422"/>
      <c r="AO1515" s="422"/>
    </row>
    <row r="1516" spans="1:41" s="461" customFormat="1" ht="14.5" x14ac:dyDescent="0.25">
      <c r="A1516" s="460" t="s">
        <v>2586</v>
      </c>
      <c r="B1516" s="422"/>
      <c r="C1516" s="422" t="s">
        <v>103</v>
      </c>
      <c r="D1516" s="423" t="s">
        <v>2587</v>
      </c>
      <c r="E1516" s="422" t="s">
        <v>115</v>
      </c>
      <c r="F1516" s="422" t="s">
        <v>0</v>
      </c>
      <c r="G1516" s="424" t="s">
        <v>2195</v>
      </c>
      <c r="H1516" s="422">
        <v>480</v>
      </c>
      <c r="I1516" s="422" t="s">
        <v>89</v>
      </c>
      <c r="J1516" s="422" t="s">
        <v>4</v>
      </c>
      <c r="K1516" s="423" t="s">
        <v>13</v>
      </c>
      <c r="L1516" s="425" t="s">
        <v>2195</v>
      </c>
      <c r="M1516" s="426" t="s">
        <v>3489</v>
      </c>
      <c r="N1516" s="422" t="s">
        <v>3104</v>
      </c>
      <c r="O1516" s="427">
        <v>12</v>
      </c>
      <c r="P1516" s="456">
        <v>163</v>
      </c>
      <c r="Q1516" s="427" t="s">
        <v>16</v>
      </c>
      <c r="R1516" s="422">
        <v>8</v>
      </c>
      <c r="S1516" s="422">
        <v>200</v>
      </c>
      <c r="T1516" s="428">
        <v>200</v>
      </c>
      <c r="U1516" s="429">
        <f t="shared" si="327"/>
        <v>1504</v>
      </c>
      <c r="V1516" s="430">
        <f t="shared" si="331"/>
        <v>3.1333333333333333</v>
      </c>
      <c r="W1516" s="431">
        <f t="shared" si="332"/>
        <v>0.44761904761904764</v>
      </c>
      <c r="X1516" s="422"/>
      <c r="Y1516" s="422"/>
      <c r="Z1516" s="428"/>
      <c r="AA1516" s="432">
        <v>46022</v>
      </c>
      <c r="AB1516" s="432">
        <v>46040</v>
      </c>
      <c r="AC1516" s="432"/>
      <c r="AD1516" s="433">
        <f>IF(ISNA(VLOOKUP(D1516,亚马逊入库配置费!B:F,5,0)),0,VLOOKUP(D1516,亚马逊入库配置费!B:F,5,0))</f>
        <v>0.33999999999999997</v>
      </c>
      <c r="AE1516" s="433">
        <f t="shared" si="328"/>
        <v>163.19999999999999</v>
      </c>
      <c r="AF1516" s="432">
        <v>46044</v>
      </c>
      <c r="AG1516" s="421">
        <f t="shared" si="329"/>
        <v>22</v>
      </c>
      <c r="AH1516" s="432">
        <v>46044</v>
      </c>
      <c r="AI1516" s="432">
        <v>46071</v>
      </c>
      <c r="AJ1516" s="427">
        <v>474</v>
      </c>
      <c r="AK1516" s="422">
        <f t="shared" si="330"/>
        <v>27</v>
      </c>
      <c r="AL1516" s="427"/>
      <c r="AM1516" s="423"/>
      <c r="AN1516" s="422"/>
      <c r="AO1516" s="422"/>
    </row>
    <row r="1517" spans="1:41" ht="14.5" x14ac:dyDescent="0.25">
      <c r="A1517" s="110" t="s">
        <v>2588</v>
      </c>
      <c r="B1517" s="91"/>
      <c r="C1517" s="91" t="s">
        <v>113</v>
      </c>
      <c r="D1517" s="92" t="s">
        <v>2589</v>
      </c>
      <c r="E1517" s="91" t="s">
        <v>97</v>
      </c>
      <c r="F1517" s="91" t="s">
        <v>0</v>
      </c>
      <c r="G1517" s="56" t="s">
        <v>2228</v>
      </c>
      <c r="H1517" s="91">
        <v>1200</v>
      </c>
      <c r="I1517" s="241" t="s">
        <v>207</v>
      </c>
      <c r="J1517" s="91" t="s">
        <v>8</v>
      </c>
      <c r="K1517" s="92" t="s">
        <v>32</v>
      </c>
      <c r="L1517" s="93" t="s">
        <v>2228</v>
      </c>
      <c r="M1517" s="94" t="s">
        <v>3496</v>
      </c>
      <c r="N1517" s="95" t="s">
        <v>2870</v>
      </c>
      <c r="O1517" s="96">
        <v>40</v>
      </c>
      <c r="P1517" s="97">
        <f>2889/191*O1517</f>
        <v>605.0261780104712</v>
      </c>
      <c r="Q1517" s="96" t="s">
        <v>16</v>
      </c>
      <c r="R1517" s="91">
        <v>3.9</v>
      </c>
      <c r="S1517" s="240">
        <v>250</v>
      </c>
      <c r="T1517" s="98">
        <v>49.504950495049506</v>
      </c>
      <c r="U1517" s="99">
        <f t="shared" si="327"/>
        <v>2409.107044735887</v>
      </c>
      <c r="V1517" s="100">
        <f t="shared" si="331"/>
        <v>2.0075892039465724</v>
      </c>
      <c r="W1517" s="101">
        <f t="shared" si="332"/>
        <v>0.28679845770665319</v>
      </c>
      <c r="X1517" s="95"/>
      <c r="Y1517" s="95"/>
      <c r="Z1517" s="102"/>
      <c r="AA1517" s="103">
        <v>46022</v>
      </c>
      <c r="AB1517" s="103">
        <v>46042</v>
      </c>
      <c r="AC1517" s="103"/>
      <c r="AD1517" s="104">
        <f>IF(ISNA(VLOOKUP(D1517,亚马逊入库配置费!B:F,5,0)),0,VLOOKUP(D1517,亚马逊入库配置费!B:F,5,0))</f>
        <v>0.41000000000000003</v>
      </c>
      <c r="AE1517" s="104">
        <f t="shared" si="328"/>
        <v>492.00000000000006</v>
      </c>
      <c r="AF1517" s="103">
        <v>46052</v>
      </c>
      <c r="AG1517" s="90">
        <f t="shared" si="329"/>
        <v>30</v>
      </c>
      <c r="AH1517" s="103">
        <v>46052</v>
      </c>
      <c r="AI1517" s="103">
        <v>46085</v>
      </c>
      <c r="AJ1517" s="96">
        <v>1200</v>
      </c>
      <c r="AK1517" s="91">
        <f t="shared" si="330"/>
        <v>33</v>
      </c>
      <c r="AL1517" s="96"/>
      <c r="AM1517" s="92"/>
      <c r="AN1517" s="91"/>
      <c r="AO1517" s="91"/>
    </row>
    <row r="1518" spans="1:41" ht="14.5" x14ac:dyDescent="0.25">
      <c r="A1518" s="110" t="s">
        <v>2590</v>
      </c>
      <c r="B1518" s="91"/>
      <c r="C1518" s="91" t="s">
        <v>113</v>
      </c>
      <c r="D1518" s="92" t="s">
        <v>2589</v>
      </c>
      <c r="E1518" s="91" t="s">
        <v>97</v>
      </c>
      <c r="F1518" s="91" t="s">
        <v>0</v>
      </c>
      <c r="G1518" s="56" t="s">
        <v>872</v>
      </c>
      <c r="H1518" s="91">
        <v>1020</v>
      </c>
      <c r="I1518" s="241" t="s">
        <v>207</v>
      </c>
      <c r="J1518" s="91" t="s">
        <v>8</v>
      </c>
      <c r="K1518" s="92" t="s">
        <v>32</v>
      </c>
      <c r="L1518" s="93" t="s">
        <v>872</v>
      </c>
      <c r="M1518" s="94" t="s">
        <v>3399</v>
      </c>
      <c r="N1518" s="95" t="s">
        <v>2870</v>
      </c>
      <c r="O1518" s="96">
        <v>34</v>
      </c>
      <c r="P1518" s="97">
        <f t="shared" ref="P1518:P1525" si="334">2889/191*O1518</f>
        <v>514.27225130890054</v>
      </c>
      <c r="Q1518" s="96" t="s">
        <v>16</v>
      </c>
      <c r="R1518" s="91">
        <v>3.9</v>
      </c>
      <c r="S1518" s="240">
        <f>SUMIF(C:C,C1517,T:T)</f>
        <v>249.99999999999997</v>
      </c>
      <c r="T1518" s="98">
        <v>42.079207920792079</v>
      </c>
      <c r="U1518" s="99">
        <f t="shared" si="327"/>
        <v>2047.7409880255041</v>
      </c>
      <c r="V1518" s="100">
        <f t="shared" si="331"/>
        <v>2.0075892039465728</v>
      </c>
      <c r="W1518" s="101">
        <f t="shared" si="332"/>
        <v>0.28679845770665324</v>
      </c>
      <c r="X1518" s="95"/>
      <c r="Y1518" s="95"/>
      <c r="Z1518" s="102"/>
      <c r="AA1518" s="103">
        <v>46022</v>
      </c>
      <c r="AB1518" s="103">
        <v>46042</v>
      </c>
      <c r="AC1518" s="103"/>
      <c r="AD1518" s="104">
        <f>IF(ISNA(VLOOKUP(D1518,亚马逊入库配置费!B:F,5,0)),0,VLOOKUP(D1518,亚马逊入库配置费!B:F,5,0))</f>
        <v>0.41000000000000003</v>
      </c>
      <c r="AE1518" s="104">
        <f t="shared" si="328"/>
        <v>418.20000000000005</v>
      </c>
      <c r="AF1518" s="103">
        <v>46052</v>
      </c>
      <c r="AG1518" s="90">
        <f t="shared" si="329"/>
        <v>30</v>
      </c>
      <c r="AH1518" s="103">
        <v>46052</v>
      </c>
      <c r="AI1518" s="103">
        <v>46085</v>
      </c>
      <c r="AJ1518" s="96">
        <v>933</v>
      </c>
      <c r="AK1518" s="91">
        <f t="shared" si="330"/>
        <v>33</v>
      </c>
      <c r="AL1518" s="96"/>
      <c r="AM1518" s="92"/>
      <c r="AN1518" s="91"/>
      <c r="AO1518" s="91"/>
    </row>
    <row r="1519" spans="1:41" ht="14.5" x14ac:dyDescent="0.25">
      <c r="A1519" s="110" t="s">
        <v>2591</v>
      </c>
      <c r="B1519" s="91"/>
      <c r="C1519" s="91" t="s">
        <v>113</v>
      </c>
      <c r="D1519" s="92" t="s">
        <v>2589</v>
      </c>
      <c r="E1519" s="91" t="s">
        <v>97</v>
      </c>
      <c r="F1519" s="91" t="s">
        <v>0</v>
      </c>
      <c r="G1519" s="56" t="s">
        <v>2251</v>
      </c>
      <c r="H1519" s="91">
        <v>30</v>
      </c>
      <c r="I1519" s="241" t="s">
        <v>207</v>
      </c>
      <c r="J1519" s="91" t="s">
        <v>8</v>
      </c>
      <c r="K1519" s="92" t="s">
        <v>32</v>
      </c>
      <c r="L1519" s="93" t="s">
        <v>2251</v>
      </c>
      <c r="M1519" s="94" t="s">
        <v>3505</v>
      </c>
      <c r="N1519" s="95" t="s">
        <v>2867</v>
      </c>
      <c r="O1519" s="96">
        <v>1</v>
      </c>
      <c r="P1519" s="97">
        <f t="shared" si="334"/>
        <v>15.125654450261781</v>
      </c>
      <c r="Q1519" s="96" t="s">
        <v>16</v>
      </c>
      <c r="R1519" s="91">
        <v>3.9</v>
      </c>
      <c r="S1519" s="242"/>
      <c r="T1519" s="98">
        <v>1.2376237623762376</v>
      </c>
      <c r="U1519" s="99">
        <f t="shared" si="327"/>
        <v>60.227676118397184</v>
      </c>
      <c r="V1519" s="100">
        <f t="shared" si="331"/>
        <v>2.0075892039465728</v>
      </c>
      <c r="W1519" s="101">
        <f t="shared" si="332"/>
        <v>0.28679845770665324</v>
      </c>
      <c r="X1519" s="95"/>
      <c r="Y1519" s="95"/>
      <c r="Z1519" s="102"/>
      <c r="AA1519" s="103">
        <v>46022</v>
      </c>
      <c r="AB1519" s="103">
        <v>46042</v>
      </c>
      <c r="AC1519" s="103"/>
      <c r="AD1519" s="104">
        <f>IF(ISNA(VLOOKUP(D1519,亚马逊入库配置费!B:F,5,0)),0,VLOOKUP(D1519,亚马逊入库配置费!B:F,5,0))</f>
        <v>0.41000000000000003</v>
      </c>
      <c r="AE1519" s="104">
        <f t="shared" si="328"/>
        <v>12.3</v>
      </c>
      <c r="AF1519" s="103">
        <v>46052</v>
      </c>
      <c r="AG1519" s="90">
        <f t="shared" si="329"/>
        <v>30</v>
      </c>
      <c r="AH1519" s="103">
        <v>46052</v>
      </c>
      <c r="AI1519" s="103">
        <v>46085</v>
      </c>
      <c r="AJ1519" s="96">
        <v>30</v>
      </c>
      <c r="AK1519" s="91">
        <f t="shared" si="330"/>
        <v>33</v>
      </c>
      <c r="AL1519" s="96"/>
      <c r="AM1519" s="92"/>
      <c r="AN1519" s="91"/>
      <c r="AO1519" s="91"/>
    </row>
    <row r="1520" spans="1:41" ht="14.5" x14ac:dyDescent="0.25">
      <c r="A1520" s="110" t="s">
        <v>2592</v>
      </c>
      <c r="B1520" s="91"/>
      <c r="C1520" s="91" t="s">
        <v>113</v>
      </c>
      <c r="D1520" s="92" t="s">
        <v>2589</v>
      </c>
      <c r="E1520" s="91" t="s">
        <v>97</v>
      </c>
      <c r="F1520" s="91" t="s">
        <v>0</v>
      </c>
      <c r="G1520" s="56" t="s">
        <v>2593</v>
      </c>
      <c r="H1520" s="91">
        <v>930</v>
      </c>
      <c r="I1520" s="241" t="s">
        <v>207</v>
      </c>
      <c r="J1520" s="91" t="s">
        <v>8</v>
      </c>
      <c r="K1520" s="92" t="s">
        <v>32</v>
      </c>
      <c r="L1520" s="93" t="s">
        <v>2593</v>
      </c>
      <c r="M1520" s="94" t="s">
        <v>3522</v>
      </c>
      <c r="N1520" s="95" t="s">
        <v>2867</v>
      </c>
      <c r="O1520" s="96">
        <v>31</v>
      </c>
      <c r="P1520" s="97">
        <f t="shared" si="334"/>
        <v>468.8952879581152</v>
      </c>
      <c r="Q1520" s="96" t="s">
        <v>16</v>
      </c>
      <c r="R1520" s="91">
        <v>3.9</v>
      </c>
      <c r="S1520" s="242"/>
      <c r="T1520" s="98">
        <v>38.366336633663366</v>
      </c>
      <c r="U1520" s="99">
        <f t="shared" si="327"/>
        <v>1867.0579596703126</v>
      </c>
      <c r="V1520" s="100">
        <f t="shared" si="331"/>
        <v>2.0075892039465728</v>
      </c>
      <c r="W1520" s="101">
        <f t="shared" si="332"/>
        <v>0.28679845770665324</v>
      </c>
      <c r="X1520" s="95"/>
      <c r="Y1520" s="95"/>
      <c r="Z1520" s="102"/>
      <c r="AA1520" s="103">
        <v>46022</v>
      </c>
      <c r="AB1520" s="103">
        <v>46042</v>
      </c>
      <c r="AC1520" s="103"/>
      <c r="AD1520" s="104">
        <f>IF(ISNA(VLOOKUP(D1520,亚马逊入库配置费!B:F,5,0)),0,VLOOKUP(D1520,亚马逊入库配置费!B:F,5,0))</f>
        <v>0.41000000000000003</v>
      </c>
      <c r="AE1520" s="104">
        <f t="shared" si="328"/>
        <v>381.3</v>
      </c>
      <c r="AF1520" s="103">
        <v>46052</v>
      </c>
      <c r="AG1520" s="90">
        <f t="shared" si="329"/>
        <v>30</v>
      </c>
      <c r="AH1520" s="103">
        <v>46052</v>
      </c>
      <c r="AI1520" s="103">
        <v>46085</v>
      </c>
      <c r="AJ1520" s="96">
        <v>928</v>
      </c>
      <c r="AK1520" s="91">
        <f t="shared" si="330"/>
        <v>33</v>
      </c>
      <c r="AL1520" s="96"/>
      <c r="AM1520" s="92"/>
      <c r="AN1520" s="91"/>
      <c r="AO1520" s="91"/>
    </row>
    <row r="1521" spans="1:41" ht="14.5" x14ac:dyDescent="0.25">
      <c r="A1521" s="110" t="s">
        <v>2594</v>
      </c>
      <c r="B1521" s="91"/>
      <c r="C1521" s="91" t="s">
        <v>113</v>
      </c>
      <c r="D1521" s="92" t="s">
        <v>2589</v>
      </c>
      <c r="E1521" s="91" t="s">
        <v>97</v>
      </c>
      <c r="F1521" s="91" t="s">
        <v>0</v>
      </c>
      <c r="G1521" s="56" t="s">
        <v>1215</v>
      </c>
      <c r="H1521" s="91">
        <v>2100</v>
      </c>
      <c r="I1521" s="241" t="s">
        <v>207</v>
      </c>
      <c r="J1521" s="91" t="s">
        <v>8</v>
      </c>
      <c r="K1521" s="92" t="s">
        <v>32</v>
      </c>
      <c r="L1521" s="93" t="s">
        <v>3095</v>
      </c>
      <c r="M1521" s="94" t="s">
        <v>3436</v>
      </c>
      <c r="N1521" s="95" t="s">
        <v>2867</v>
      </c>
      <c r="O1521" s="96">
        <v>70</v>
      </c>
      <c r="P1521" s="97">
        <f t="shared" si="334"/>
        <v>1058.7958115183246</v>
      </c>
      <c r="Q1521" s="96" t="s">
        <v>16</v>
      </c>
      <c r="R1521" s="91">
        <v>3.9</v>
      </c>
      <c r="S1521" s="242"/>
      <c r="T1521" s="98">
        <v>86.633663366336634</v>
      </c>
      <c r="U1521" s="99">
        <f t="shared" si="327"/>
        <v>4215.9373282878023</v>
      </c>
      <c r="V1521" s="100">
        <f t="shared" si="331"/>
        <v>2.0075892039465724</v>
      </c>
      <c r="W1521" s="101">
        <f t="shared" si="332"/>
        <v>0.28679845770665319</v>
      </c>
      <c r="X1521" s="95"/>
      <c r="Y1521" s="95"/>
      <c r="Z1521" s="102"/>
      <c r="AA1521" s="103">
        <v>46022</v>
      </c>
      <c r="AB1521" s="103">
        <v>46042</v>
      </c>
      <c r="AC1521" s="103"/>
      <c r="AD1521" s="104">
        <f>IF(ISNA(VLOOKUP(D1521,亚马逊入库配置费!B:F,5,0)),0,VLOOKUP(D1521,亚马逊入库配置费!B:F,5,0))</f>
        <v>0.41000000000000003</v>
      </c>
      <c r="AE1521" s="104">
        <f t="shared" si="328"/>
        <v>861.00000000000011</v>
      </c>
      <c r="AF1521" s="103">
        <v>46052</v>
      </c>
      <c r="AG1521" s="90">
        <f t="shared" si="329"/>
        <v>30</v>
      </c>
      <c r="AH1521" s="103">
        <v>46052</v>
      </c>
      <c r="AI1521" s="103">
        <v>46085</v>
      </c>
      <c r="AJ1521" s="96">
        <v>2100</v>
      </c>
      <c r="AK1521" s="91">
        <f t="shared" si="330"/>
        <v>33</v>
      </c>
      <c r="AL1521" s="96"/>
      <c r="AM1521" s="92"/>
      <c r="AN1521" s="91"/>
      <c r="AO1521" s="91"/>
    </row>
    <row r="1522" spans="1:41" ht="14.5" x14ac:dyDescent="0.25">
      <c r="A1522" s="110" t="s">
        <v>2595</v>
      </c>
      <c r="B1522" s="91"/>
      <c r="C1522" s="91" t="s">
        <v>113</v>
      </c>
      <c r="D1522" s="92" t="s">
        <v>2589</v>
      </c>
      <c r="E1522" s="91" t="s">
        <v>97</v>
      </c>
      <c r="F1522" s="91" t="s">
        <v>0</v>
      </c>
      <c r="G1522" s="56" t="s">
        <v>1902</v>
      </c>
      <c r="H1522" s="91">
        <v>210</v>
      </c>
      <c r="I1522" s="241" t="s">
        <v>207</v>
      </c>
      <c r="J1522" s="91" t="s">
        <v>8</v>
      </c>
      <c r="K1522" s="92" t="s">
        <v>32</v>
      </c>
      <c r="L1522" s="93" t="s">
        <v>1902</v>
      </c>
      <c r="M1522" s="94" t="s">
        <v>3457</v>
      </c>
      <c r="N1522" s="95" t="s">
        <v>2867</v>
      </c>
      <c r="O1522" s="96">
        <v>7</v>
      </c>
      <c r="P1522" s="97">
        <f t="shared" si="334"/>
        <v>105.87958115183247</v>
      </c>
      <c r="Q1522" s="96" t="s">
        <v>16</v>
      </c>
      <c r="R1522" s="91">
        <v>3.9</v>
      </c>
      <c r="S1522" s="242"/>
      <c r="T1522" s="98">
        <v>8.6633663366336631</v>
      </c>
      <c r="U1522" s="99">
        <f t="shared" si="327"/>
        <v>421.59373282878028</v>
      </c>
      <c r="V1522" s="100">
        <f t="shared" si="331"/>
        <v>2.0075892039465728</v>
      </c>
      <c r="W1522" s="101">
        <f t="shared" si="332"/>
        <v>0.28679845770665324</v>
      </c>
      <c r="X1522" s="95"/>
      <c r="Y1522" s="95"/>
      <c r="Z1522" s="102"/>
      <c r="AA1522" s="103">
        <v>46022</v>
      </c>
      <c r="AB1522" s="103">
        <v>46042</v>
      </c>
      <c r="AC1522" s="103"/>
      <c r="AD1522" s="104">
        <f>IF(ISNA(VLOOKUP(D1522,亚马逊入库配置费!B:F,5,0)),0,VLOOKUP(D1522,亚马逊入库配置费!B:F,5,0))</f>
        <v>0.41000000000000003</v>
      </c>
      <c r="AE1522" s="104">
        <f t="shared" si="328"/>
        <v>86.100000000000009</v>
      </c>
      <c r="AF1522" s="103">
        <v>46052</v>
      </c>
      <c r="AG1522" s="90">
        <f t="shared" si="329"/>
        <v>30</v>
      </c>
      <c r="AH1522" s="103">
        <v>46052</v>
      </c>
      <c r="AI1522" s="103">
        <v>46085</v>
      </c>
      <c r="AJ1522" s="96">
        <v>210</v>
      </c>
      <c r="AK1522" s="91">
        <f t="shared" si="330"/>
        <v>33</v>
      </c>
      <c r="AL1522" s="96"/>
      <c r="AM1522" s="92"/>
      <c r="AN1522" s="91"/>
      <c r="AO1522" s="91"/>
    </row>
    <row r="1523" spans="1:41" ht="14.5" x14ac:dyDescent="0.25">
      <c r="A1523" s="110" t="s">
        <v>2596</v>
      </c>
      <c r="B1523" s="91"/>
      <c r="C1523" s="91" t="s">
        <v>113</v>
      </c>
      <c r="D1523" s="92" t="s">
        <v>2589</v>
      </c>
      <c r="E1523" s="91" t="s">
        <v>97</v>
      </c>
      <c r="F1523" s="91" t="s">
        <v>0</v>
      </c>
      <c r="G1523" s="56" t="s">
        <v>864</v>
      </c>
      <c r="H1523" s="91">
        <v>210</v>
      </c>
      <c r="I1523" s="241" t="s">
        <v>207</v>
      </c>
      <c r="J1523" s="91" t="s">
        <v>8</v>
      </c>
      <c r="K1523" s="92" t="s">
        <v>32</v>
      </c>
      <c r="L1523" s="93" t="s">
        <v>864</v>
      </c>
      <c r="M1523" s="94" t="s">
        <v>3397</v>
      </c>
      <c r="N1523" s="95" t="s">
        <v>2869</v>
      </c>
      <c r="O1523" s="96">
        <v>7</v>
      </c>
      <c r="P1523" s="97">
        <f t="shared" si="334"/>
        <v>105.87958115183247</v>
      </c>
      <c r="Q1523" s="96" t="s">
        <v>16</v>
      </c>
      <c r="R1523" s="91">
        <v>3.9</v>
      </c>
      <c r="S1523" s="242"/>
      <c r="T1523" s="98">
        <v>8.6633663366336631</v>
      </c>
      <c r="U1523" s="99">
        <f t="shared" si="327"/>
        <v>421.59373282878028</v>
      </c>
      <c r="V1523" s="100">
        <f t="shared" si="331"/>
        <v>2.0075892039465728</v>
      </c>
      <c r="W1523" s="101">
        <f t="shared" si="332"/>
        <v>0.28679845770665324</v>
      </c>
      <c r="X1523" s="95"/>
      <c r="Y1523" s="95"/>
      <c r="Z1523" s="102"/>
      <c r="AA1523" s="103">
        <v>46022</v>
      </c>
      <c r="AB1523" s="103">
        <v>46042</v>
      </c>
      <c r="AC1523" s="103"/>
      <c r="AD1523" s="104">
        <f>IF(ISNA(VLOOKUP(D1523,亚马逊入库配置费!B:F,5,0)),0,VLOOKUP(D1523,亚马逊入库配置费!B:F,5,0))</f>
        <v>0.41000000000000003</v>
      </c>
      <c r="AE1523" s="104">
        <f t="shared" si="328"/>
        <v>86.100000000000009</v>
      </c>
      <c r="AF1523" s="103">
        <v>46052</v>
      </c>
      <c r="AG1523" s="90">
        <f t="shared" si="329"/>
        <v>30</v>
      </c>
      <c r="AH1523" s="103">
        <v>46052</v>
      </c>
      <c r="AI1523" s="103">
        <v>46085</v>
      </c>
      <c r="AJ1523" s="96">
        <v>209</v>
      </c>
      <c r="AK1523" s="91">
        <f t="shared" si="330"/>
        <v>33</v>
      </c>
      <c r="AL1523" s="96"/>
      <c r="AM1523" s="92"/>
      <c r="AN1523" s="91"/>
      <c r="AO1523" s="91"/>
    </row>
    <row r="1524" spans="1:41" ht="14.5" x14ac:dyDescent="0.25">
      <c r="A1524" s="110" t="s">
        <v>2597</v>
      </c>
      <c r="B1524" s="91"/>
      <c r="C1524" s="91" t="s">
        <v>113</v>
      </c>
      <c r="D1524" s="92" t="s">
        <v>2589</v>
      </c>
      <c r="E1524" s="91" t="s">
        <v>97</v>
      </c>
      <c r="F1524" s="91" t="s">
        <v>0</v>
      </c>
      <c r="G1524" s="56" t="s">
        <v>2251</v>
      </c>
      <c r="H1524" s="91">
        <v>20</v>
      </c>
      <c r="I1524" s="241" t="s">
        <v>207</v>
      </c>
      <c r="J1524" s="91" t="s">
        <v>8</v>
      </c>
      <c r="K1524" s="92" t="s">
        <v>32</v>
      </c>
      <c r="L1524" s="93" t="s">
        <v>2251</v>
      </c>
      <c r="M1524" s="94" t="s">
        <v>3505</v>
      </c>
      <c r="N1524" s="95" t="s">
        <v>2867</v>
      </c>
      <c r="O1524" s="96">
        <v>0.66666666666666696</v>
      </c>
      <c r="P1524" s="97">
        <f t="shared" si="334"/>
        <v>10.083769633507858</v>
      </c>
      <c r="Q1524" s="96" t="s">
        <v>16</v>
      </c>
      <c r="R1524" s="91">
        <v>3.9</v>
      </c>
      <c r="S1524" s="242"/>
      <c r="T1524" s="98">
        <v>0.82508250825082541</v>
      </c>
      <c r="U1524" s="99">
        <f t="shared" si="327"/>
        <v>40.15178407893147</v>
      </c>
      <c r="V1524" s="100">
        <f t="shared" si="331"/>
        <v>2.0075892039465737</v>
      </c>
      <c r="W1524" s="101">
        <f t="shared" si="332"/>
        <v>0.28679845770665341</v>
      </c>
      <c r="X1524" s="95"/>
      <c r="Y1524" s="95"/>
      <c r="Z1524" s="102"/>
      <c r="AA1524" s="103">
        <v>46022</v>
      </c>
      <c r="AB1524" s="103">
        <v>46042</v>
      </c>
      <c r="AC1524" s="103"/>
      <c r="AD1524" s="104">
        <f>IF(ISNA(VLOOKUP(D1524,亚马逊入库配置费!B:F,5,0)),0,VLOOKUP(D1524,亚马逊入库配置费!B:F,5,0))</f>
        <v>0.41000000000000003</v>
      </c>
      <c r="AE1524" s="104">
        <f t="shared" si="328"/>
        <v>8.2000000000000011</v>
      </c>
      <c r="AF1524" s="103">
        <v>46052</v>
      </c>
      <c r="AG1524" s="90">
        <f t="shared" si="329"/>
        <v>30</v>
      </c>
      <c r="AH1524" s="103">
        <v>46052</v>
      </c>
      <c r="AI1524" s="103">
        <v>46085</v>
      </c>
      <c r="AJ1524" s="96">
        <v>20</v>
      </c>
      <c r="AK1524" s="91">
        <f t="shared" si="330"/>
        <v>33</v>
      </c>
      <c r="AL1524" s="96"/>
      <c r="AM1524" s="92"/>
      <c r="AN1524" s="91"/>
      <c r="AO1524" s="91"/>
    </row>
    <row r="1525" spans="1:41" ht="14.5" x14ac:dyDescent="0.25">
      <c r="A1525" s="110" t="s">
        <v>2598</v>
      </c>
      <c r="B1525" s="91"/>
      <c r="C1525" s="91" t="s">
        <v>113</v>
      </c>
      <c r="D1525" s="92" t="s">
        <v>2589</v>
      </c>
      <c r="E1525" s="91" t="s">
        <v>97</v>
      </c>
      <c r="F1525" s="91" t="s">
        <v>0</v>
      </c>
      <c r="G1525" s="56" t="s">
        <v>2593</v>
      </c>
      <c r="H1525" s="91">
        <v>10</v>
      </c>
      <c r="I1525" s="241" t="s">
        <v>207</v>
      </c>
      <c r="J1525" s="91" t="s">
        <v>8</v>
      </c>
      <c r="K1525" s="92" t="s">
        <v>32</v>
      </c>
      <c r="L1525" s="93" t="s">
        <v>2593</v>
      </c>
      <c r="M1525" s="94" t="s">
        <v>3522</v>
      </c>
      <c r="N1525" s="95" t="s">
        <v>2867</v>
      </c>
      <c r="O1525" s="96">
        <v>0.33333333333333298</v>
      </c>
      <c r="P1525" s="97">
        <f t="shared" si="334"/>
        <v>5.0418848167539219</v>
      </c>
      <c r="Q1525" s="96" t="s">
        <v>16</v>
      </c>
      <c r="R1525" s="91">
        <v>3.9</v>
      </c>
      <c r="S1525" s="242"/>
      <c r="T1525" s="98">
        <v>0.41254125412541209</v>
      </c>
      <c r="U1525" s="99">
        <f t="shared" si="327"/>
        <v>20.075892039465707</v>
      </c>
      <c r="V1525" s="100">
        <f t="shared" si="331"/>
        <v>2.0075892039465706</v>
      </c>
      <c r="W1525" s="101">
        <f t="shared" si="332"/>
        <v>0.28679845770665297</v>
      </c>
      <c r="X1525" s="95"/>
      <c r="Y1525" s="95"/>
      <c r="Z1525" s="102"/>
      <c r="AA1525" s="103">
        <v>46022</v>
      </c>
      <c r="AB1525" s="103">
        <v>46042</v>
      </c>
      <c r="AC1525" s="103"/>
      <c r="AD1525" s="104">
        <f>IF(ISNA(VLOOKUP(D1525,亚马逊入库配置费!B:F,5,0)),0,VLOOKUP(D1525,亚马逊入库配置费!B:F,5,0))</f>
        <v>0.41000000000000003</v>
      </c>
      <c r="AE1525" s="104">
        <f t="shared" si="328"/>
        <v>4.1000000000000005</v>
      </c>
      <c r="AF1525" s="103">
        <v>46052</v>
      </c>
      <c r="AG1525" s="90">
        <f t="shared" si="329"/>
        <v>30</v>
      </c>
      <c r="AH1525" s="103">
        <v>46052</v>
      </c>
      <c r="AI1525" s="103">
        <v>46085</v>
      </c>
      <c r="AJ1525" s="96">
        <v>10</v>
      </c>
      <c r="AK1525" s="91">
        <f t="shared" si="330"/>
        <v>33</v>
      </c>
      <c r="AL1525" s="96"/>
      <c r="AM1525" s="92"/>
      <c r="AN1525" s="91"/>
      <c r="AO1525" s="91"/>
    </row>
    <row r="1526" spans="1:41" s="461" customFormat="1" ht="14.5" x14ac:dyDescent="0.25">
      <c r="A1526" s="460" t="s">
        <v>2599</v>
      </c>
      <c r="B1526" s="422"/>
      <c r="C1526" s="422" t="s">
        <v>95</v>
      </c>
      <c r="D1526" s="423" t="s">
        <v>2600</v>
      </c>
      <c r="E1526" s="422" t="s">
        <v>97</v>
      </c>
      <c r="F1526" s="422" t="s">
        <v>0</v>
      </c>
      <c r="G1526" s="424" t="s">
        <v>350</v>
      </c>
      <c r="H1526" s="422">
        <v>200</v>
      </c>
      <c r="I1526" s="422" t="s">
        <v>89</v>
      </c>
      <c r="J1526" s="422" t="s">
        <v>8</v>
      </c>
      <c r="K1526" s="423" t="s">
        <v>43</v>
      </c>
      <c r="L1526" s="425" t="s">
        <v>3048</v>
      </c>
      <c r="M1526" s="426" t="s">
        <v>3208</v>
      </c>
      <c r="N1526" s="422" t="s">
        <v>2870</v>
      </c>
      <c r="O1526" s="427">
        <v>5</v>
      </c>
      <c r="P1526" s="456">
        <f>720/53*O1526</f>
        <v>67.924528301886795</v>
      </c>
      <c r="Q1526" s="427" t="s">
        <v>16</v>
      </c>
      <c r="R1526" s="422">
        <v>3.2</v>
      </c>
      <c r="S1526" s="462"/>
      <c r="T1526" s="428">
        <v>15.1515151515152</v>
      </c>
      <c r="U1526" s="429">
        <f t="shared" si="327"/>
        <v>232.51000571755296</v>
      </c>
      <c r="V1526" s="430">
        <f t="shared" si="331"/>
        <v>1.1625500285877648</v>
      </c>
      <c r="W1526" s="431">
        <f t="shared" si="332"/>
        <v>0.16607857551253782</v>
      </c>
      <c r="X1526" s="422"/>
      <c r="Y1526" s="422"/>
      <c r="Z1526" s="428"/>
      <c r="AA1526" s="432">
        <v>46022</v>
      </c>
      <c r="AB1526" s="432">
        <v>46047</v>
      </c>
      <c r="AC1526" s="432"/>
      <c r="AD1526" s="433">
        <f>IF(ISNA(VLOOKUP(D1526,亚马逊入库配置费!B:F,5,0)),0,VLOOKUP(D1526,亚马逊入库配置费!B:F,5,0))</f>
        <v>0.35458333333333331</v>
      </c>
      <c r="AE1526" s="433">
        <f t="shared" si="328"/>
        <v>70.916666666666657</v>
      </c>
      <c r="AF1526" s="432">
        <v>46054</v>
      </c>
      <c r="AG1526" s="421">
        <f t="shared" si="329"/>
        <v>32</v>
      </c>
      <c r="AH1526" s="432">
        <v>46054</v>
      </c>
      <c r="AI1526" s="432">
        <v>46086</v>
      </c>
      <c r="AJ1526" s="427">
        <v>200</v>
      </c>
      <c r="AK1526" s="422">
        <f t="shared" si="330"/>
        <v>32</v>
      </c>
      <c r="AL1526" s="427"/>
      <c r="AM1526" s="423"/>
      <c r="AN1526" s="422"/>
      <c r="AO1526" s="422"/>
    </row>
    <row r="1527" spans="1:41" s="461" customFormat="1" ht="14.5" x14ac:dyDescent="0.25">
      <c r="A1527" s="460" t="s">
        <v>2601</v>
      </c>
      <c r="B1527" s="422"/>
      <c r="C1527" s="422" t="s">
        <v>95</v>
      </c>
      <c r="D1527" s="423" t="s">
        <v>2600</v>
      </c>
      <c r="E1527" s="422" t="s">
        <v>97</v>
      </c>
      <c r="F1527" s="422" t="s">
        <v>0</v>
      </c>
      <c r="G1527" s="424" t="s">
        <v>165</v>
      </c>
      <c r="H1527" s="422">
        <v>680</v>
      </c>
      <c r="I1527" s="422" t="s">
        <v>89</v>
      </c>
      <c r="J1527" s="422" t="s">
        <v>8</v>
      </c>
      <c r="K1527" s="423" t="s">
        <v>43</v>
      </c>
      <c r="L1527" s="425" t="s">
        <v>2880</v>
      </c>
      <c r="M1527" s="426" t="s">
        <v>3209</v>
      </c>
      <c r="N1527" s="422" t="s">
        <v>2870</v>
      </c>
      <c r="O1527" s="427">
        <v>17</v>
      </c>
      <c r="P1527" s="456">
        <f t="shared" ref="P1527:P1530" si="335">720/53*O1527</f>
        <v>230.9433962264151</v>
      </c>
      <c r="Q1527" s="427" t="s">
        <v>16</v>
      </c>
      <c r="R1527" s="422">
        <v>3.2</v>
      </c>
      <c r="S1527" s="462"/>
      <c r="T1527" s="428">
        <v>51.515151515151501</v>
      </c>
      <c r="U1527" s="429">
        <f t="shared" si="327"/>
        <v>790.53401943967992</v>
      </c>
      <c r="V1527" s="430">
        <f t="shared" si="331"/>
        <v>1.1625500285877646</v>
      </c>
      <c r="W1527" s="431">
        <f t="shared" si="332"/>
        <v>0.1660785755125378</v>
      </c>
      <c r="X1527" s="422"/>
      <c r="Y1527" s="422"/>
      <c r="Z1527" s="428"/>
      <c r="AA1527" s="432">
        <v>46022</v>
      </c>
      <c r="AB1527" s="432">
        <v>46047</v>
      </c>
      <c r="AC1527" s="432"/>
      <c r="AD1527" s="433">
        <f>IF(ISNA(VLOOKUP(D1527,亚马逊入库配置费!B:F,5,0)),0,VLOOKUP(D1527,亚马逊入库配置费!B:F,5,0))</f>
        <v>0.35458333333333331</v>
      </c>
      <c r="AE1527" s="433">
        <f t="shared" si="328"/>
        <v>241.11666666666665</v>
      </c>
      <c r="AF1527" s="432">
        <v>46054</v>
      </c>
      <c r="AG1527" s="421">
        <f t="shared" si="329"/>
        <v>32</v>
      </c>
      <c r="AH1527" s="432">
        <v>46054</v>
      </c>
      <c r="AI1527" s="432">
        <v>46086</v>
      </c>
      <c r="AJ1527" s="427">
        <v>680</v>
      </c>
      <c r="AK1527" s="422">
        <f t="shared" si="330"/>
        <v>32</v>
      </c>
      <c r="AL1527" s="427"/>
      <c r="AM1527" s="423"/>
      <c r="AN1527" s="422"/>
      <c r="AO1527" s="422"/>
    </row>
    <row r="1528" spans="1:41" s="461" customFormat="1" ht="14.5" x14ac:dyDescent="0.25">
      <c r="A1528" s="460" t="s">
        <v>2602</v>
      </c>
      <c r="B1528" s="422"/>
      <c r="C1528" s="422" t="s">
        <v>95</v>
      </c>
      <c r="D1528" s="423" t="s">
        <v>2600</v>
      </c>
      <c r="E1528" s="422" t="s">
        <v>97</v>
      </c>
      <c r="F1528" s="422" t="s">
        <v>0</v>
      </c>
      <c r="G1528" s="424" t="s">
        <v>1213</v>
      </c>
      <c r="H1528" s="422">
        <v>520</v>
      </c>
      <c r="I1528" s="422" t="s">
        <v>89</v>
      </c>
      <c r="J1528" s="422" t="s">
        <v>8</v>
      </c>
      <c r="K1528" s="423" t="s">
        <v>43</v>
      </c>
      <c r="L1528" s="425" t="s">
        <v>1213</v>
      </c>
      <c r="M1528" s="426" t="s">
        <v>3435</v>
      </c>
      <c r="N1528" s="422" t="s">
        <v>2867</v>
      </c>
      <c r="O1528" s="427">
        <v>13</v>
      </c>
      <c r="P1528" s="456">
        <f t="shared" si="335"/>
        <v>176.60377358490567</v>
      </c>
      <c r="Q1528" s="427" t="s">
        <v>16</v>
      </c>
      <c r="R1528" s="422">
        <v>3.2</v>
      </c>
      <c r="S1528" s="462"/>
      <c r="T1528" s="428">
        <v>39.393939393939398</v>
      </c>
      <c r="U1528" s="429">
        <f t="shared" si="327"/>
        <v>604.52601486563753</v>
      </c>
      <c r="V1528" s="430">
        <f t="shared" si="331"/>
        <v>1.1625500285877646</v>
      </c>
      <c r="W1528" s="431">
        <f t="shared" si="332"/>
        <v>0.1660785755125378</v>
      </c>
      <c r="X1528" s="422"/>
      <c r="Y1528" s="422"/>
      <c r="Z1528" s="428"/>
      <c r="AA1528" s="432">
        <v>46022</v>
      </c>
      <c r="AB1528" s="432">
        <v>46047</v>
      </c>
      <c r="AC1528" s="432"/>
      <c r="AD1528" s="433">
        <f>IF(ISNA(VLOOKUP(D1528,亚马逊入库配置费!B:F,5,0)),0,VLOOKUP(D1528,亚马逊入库配置费!B:F,5,0))</f>
        <v>0.35458333333333331</v>
      </c>
      <c r="AE1528" s="433">
        <f t="shared" si="328"/>
        <v>184.38333333333333</v>
      </c>
      <c r="AF1528" s="432">
        <v>46054</v>
      </c>
      <c r="AG1528" s="421">
        <f t="shared" si="329"/>
        <v>32</v>
      </c>
      <c r="AH1528" s="432">
        <v>46054</v>
      </c>
      <c r="AI1528" s="432">
        <v>46086</v>
      </c>
      <c r="AJ1528" s="427">
        <v>523</v>
      </c>
      <c r="AK1528" s="422">
        <f t="shared" si="330"/>
        <v>32</v>
      </c>
      <c r="AL1528" s="427"/>
      <c r="AM1528" s="423"/>
      <c r="AN1528" s="422"/>
      <c r="AO1528" s="422"/>
    </row>
    <row r="1529" spans="1:41" s="461" customFormat="1" ht="14.5" x14ac:dyDescent="0.25">
      <c r="A1529" s="460" t="s">
        <v>2603</v>
      </c>
      <c r="B1529" s="422"/>
      <c r="C1529" s="422" t="s">
        <v>95</v>
      </c>
      <c r="D1529" s="423" t="s">
        <v>2600</v>
      </c>
      <c r="E1529" s="422" t="s">
        <v>97</v>
      </c>
      <c r="F1529" s="422" t="s">
        <v>0</v>
      </c>
      <c r="G1529" s="424" t="s">
        <v>1217</v>
      </c>
      <c r="H1529" s="422">
        <v>200</v>
      </c>
      <c r="I1529" s="422" t="s">
        <v>89</v>
      </c>
      <c r="J1529" s="422" t="s">
        <v>8</v>
      </c>
      <c r="K1529" s="423" t="s">
        <v>43</v>
      </c>
      <c r="L1529" s="425" t="s">
        <v>1217</v>
      </c>
      <c r="M1529" s="426" t="s">
        <v>3437</v>
      </c>
      <c r="N1529" s="422" t="s">
        <v>2867</v>
      </c>
      <c r="O1529" s="427">
        <v>10</v>
      </c>
      <c r="P1529" s="456">
        <f t="shared" si="335"/>
        <v>135.84905660377359</v>
      </c>
      <c r="Q1529" s="427" t="s">
        <v>16</v>
      </c>
      <c r="R1529" s="422">
        <v>3.2</v>
      </c>
      <c r="S1529" s="462"/>
      <c r="T1529" s="428">
        <v>30.303030303030301</v>
      </c>
      <c r="U1529" s="429">
        <f t="shared" si="327"/>
        <v>465.0200114351058</v>
      </c>
      <c r="V1529" s="430">
        <f t="shared" si="331"/>
        <v>2.3251000571755291</v>
      </c>
      <c r="W1529" s="431">
        <f t="shared" si="332"/>
        <v>0.33215715102507559</v>
      </c>
      <c r="X1529" s="422"/>
      <c r="Y1529" s="422"/>
      <c r="Z1529" s="428"/>
      <c r="AA1529" s="432">
        <v>46022</v>
      </c>
      <c r="AB1529" s="432">
        <v>46047</v>
      </c>
      <c r="AC1529" s="432"/>
      <c r="AD1529" s="433">
        <f>IF(ISNA(VLOOKUP(D1529,亚马逊入库配置费!B:F,5,0)),0,VLOOKUP(D1529,亚马逊入库配置费!B:F,5,0))</f>
        <v>0.35458333333333331</v>
      </c>
      <c r="AE1529" s="433">
        <f t="shared" si="328"/>
        <v>70.916666666666657</v>
      </c>
      <c r="AF1529" s="432">
        <v>46054</v>
      </c>
      <c r="AG1529" s="421">
        <f t="shared" si="329"/>
        <v>32</v>
      </c>
      <c r="AH1529" s="432">
        <v>46054</v>
      </c>
      <c r="AI1529" s="432">
        <v>46086</v>
      </c>
      <c r="AJ1529" s="427">
        <v>199</v>
      </c>
      <c r="AK1529" s="422">
        <f t="shared" si="330"/>
        <v>32</v>
      </c>
      <c r="AL1529" s="427"/>
      <c r="AM1529" s="423"/>
      <c r="AN1529" s="422"/>
      <c r="AO1529" s="422"/>
    </row>
    <row r="1530" spans="1:41" s="461" customFormat="1" ht="14.5" x14ac:dyDescent="0.25">
      <c r="A1530" s="460" t="s">
        <v>2604</v>
      </c>
      <c r="B1530" s="422"/>
      <c r="C1530" s="422" t="s">
        <v>95</v>
      </c>
      <c r="D1530" s="423" t="s">
        <v>2600</v>
      </c>
      <c r="E1530" s="422" t="s">
        <v>97</v>
      </c>
      <c r="F1530" s="422" t="s">
        <v>0</v>
      </c>
      <c r="G1530" s="424" t="s">
        <v>2136</v>
      </c>
      <c r="H1530" s="422">
        <v>320</v>
      </c>
      <c r="I1530" s="422" t="s">
        <v>89</v>
      </c>
      <c r="J1530" s="422" t="s">
        <v>8</v>
      </c>
      <c r="K1530" s="423" t="s">
        <v>43</v>
      </c>
      <c r="L1530" s="425" t="s">
        <v>2136</v>
      </c>
      <c r="M1530" s="426" t="s">
        <v>3473</v>
      </c>
      <c r="N1530" s="422" t="s">
        <v>2867</v>
      </c>
      <c r="O1530" s="427">
        <v>8</v>
      </c>
      <c r="P1530" s="456">
        <f t="shared" si="335"/>
        <v>108.67924528301887</v>
      </c>
      <c r="Q1530" s="427" t="s">
        <v>16</v>
      </c>
      <c r="R1530" s="422">
        <v>3.2</v>
      </c>
      <c r="S1530" s="462"/>
      <c r="T1530" s="428">
        <v>24.2424242424242</v>
      </c>
      <c r="U1530" s="429">
        <f t="shared" si="327"/>
        <v>372.01600914808461</v>
      </c>
      <c r="V1530" s="430">
        <f t="shared" si="331"/>
        <v>1.1625500285877644</v>
      </c>
      <c r="W1530" s="431">
        <f t="shared" si="332"/>
        <v>0.16607857551253777</v>
      </c>
      <c r="X1530" s="422"/>
      <c r="Y1530" s="422"/>
      <c r="Z1530" s="428"/>
      <c r="AA1530" s="432">
        <v>46022</v>
      </c>
      <c r="AB1530" s="432">
        <v>46047</v>
      </c>
      <c r="AC1530" s="432"/>
      <c r="AD1530" s="433">
        <f>IF(ISNA(VLOOKUP(D1530,亚马逊入库配置费!B:F,5,0)),0,VLOOKUP(D1530,亚马逊入库配置费!B:F,5,0))</f>
        <v>0.35458333333333331</v>
      </c>
      <c r="AE1530" s="433">
        <f t="shared" si="328"/>
        <v>113.46666666666665</v>
      </c>
      <c r="AF1530" s="432">
        <v>46054</v>
      </c>
      <c r="AG1530" s="421">
        <f t="shared" si="329"/>
        <v>32</v>
      </c>
      <c r="AH1530" s="432">
        <v>46054</v>
      </c>
      <c r="AI1530" s="432">
        <v>46086</v>
      </c>
      <c r="AJ1530" s="427">
        <v>321</v>
      </c>
      <c r="AK1530" s="422">
        <f t="shared" si="330"/>
        <v>32</v>
      </c>
      <c r="AL1530" s="427"/>
      <c r="AM1530" s="423"/>
      <c r="AN1530" s="422"/>
      <c r="AO1530" s="422"/>
    </row>
    <row r="1531" spans="1:41" ht="14.5" x14ac:dyDescent="0.25">
      <c r="A1531" s="110" t="s">
        <v>2605</v>
      </c>
      <c r="B1531" s="91"/>
      <c r="C1531" s="91" t="s">
        <v>121</v>
      </c>
      <c r="D1531" s="92" t="s">
        <v>2606</v>
      </c>
      <c r="E1531" s="91" t="s">
        <v>2607</v>
      </c>
      <c r="F1531" s="91" t="s">
        <v>1073</v>
      </c>
      <c r="G1531" s="56" t="s">
        <v>953</v>
      </c>
      <c r="H1531" s="91">
        <v>60</v>
      </c>
      <c r="I1531" s="241" t="s">
        <v>1074</v>
      </c>
      <c r="J1531" s="91" t="s">
        <v>2102</v>
      </c>
      <c r="K1531" s="92" t="s">
        <v>2608</v>
      </c>
      <c r="L1531" s="93" t="s">
        <v>953</v>
      </c>
      <c r="M1531" s="94" t="s">
        <v>3405</v>
      </c>
      <c r="N1531" s="95" t="s">
        <v>3086</v>
      </c>
      <c r="O1531" s="96">
        <v>2</v>
      </c>
      <c r="P1531" s="97">
        <f>157/12*O1531</f>
        <v>26.166666666666668</v>
      </c>
      <c r="Q1531" s="96" t="s">
        <v>16</v>
      </c>
      <c r="R1531" s="91">
        <v>7</v>
      </c>
      <c r="S1531" s="95">
        <v>350</v>
      </c>
      <c r="T1531" s="98">
        <v>58.3333333333333</v>
      </c>
      <c r="U1531" s="99">
        <f t="shared" ref="U1531:U1544" si="336">R1531*P1531+T1531</f>
        <v>241.5</v>
      </c>
      <c r="V1531" s="100">
        <f t="shared" si="331"/>
        <v>4.0250000000000004</v>
      </c>
      <c r="W1531" s="101">
        <f t="shared" si="332"/>
        <v>0.57500000000000007</v>
      </c>
      <c r="X1531" s="95"/>
      <c r="Y1531" s="95"/>
      <c r="Z1531" s="102"/>
      <c r="AA1531" s="103">
        <v>46022</v>
      </c>
      <c r="AB1531" s="103">
        <v>46049</v>
      </c>
      <c r="AC1531" s="103"/>
      <c r="AD1531" s="104">
        <f>IF(ISNA(VLOOKUP(D1531,亚马逊入库配置费!B:F,5,0)),0,VLOOKUP(D1531,亚马逊入库配置费!B:F,5,0))</f>
        <v>0</v>
      </c>
      <c r="AE1531" s="104">
        <f t="shared" si="328"/>
        <v>0</v>
      </c>
      <c r="AF1531" s="103">
        <v>46055</v>
      </c>
      <c r="AG1531" s="90">
        <f t="shared" si="329"/>
        <v>33</v>
      </c>
      <c r="AH1531" s="103">
        <v>46055</v>
      </c>
      <c r="AI1531" s="103">
        <v>46068</v>
      </c>
      <c r="AJ1531" s="96">
        <v>60</v>
      </c>
      <c r="AK1531" s="91">
        <f t="shared" si="330"/>
        <v>13</v>
      </c>
      <c r="AL1531" s="96"/>
      <c r="AM1531" s="92"/>
      <c r="AN1531" s="91"/>
      <c r="AO1531" s="91"/>
    </row>
    <row r="1532" spans="1:41" ht="14.5" x14ac:dyDescent="0.25">
      <c r="A1532" s="110" t="s">
        <v>2609</v>
      </c>
      <c r="B1532" s="91"/>
      <c r="C1532" s="91" t="s">
        <v>121</v>
      </c>
      <c r="D1532" s="92" t="s">
        <v>2606</v>
      </c>
      <c r="E1532" s="91" t="s">
        <v>2607</v>
      </c>
      <c r="F1532" s="91" t="s">
        <v>1073</v>
      </c>
      <c r="G1532" s="56" t="s">
        <v>957</v>
      </c>
      <c r="H1532" s="91">
        <v>30</v>
      </c>
      <c r="I1532" s="241" t="s">
        <v>1074</v>
      </c>
      <c r="J1532" s="91" t="s">
        <v>2102</v>
      </c>
      <c r="K1532" s="92" t="s">
        <v>2608</v>
      </c>
      <c r="L1532" s="93" t="s">
        <v>957</v>
      </c>
      <c r="M1532" s="94" t="s">
        <v>3407</v>
      </c>
      <c r="N1532" s="95" t="s">
        <v>3086</v>
      </c>
      <c r="O1532" s="96">
        <v>1</v>
      </c>
      <c r="P1532" s="97">
        <f t="shared" ref="P1532:P1537" si="337">157/12*O1532</f>
        <v>13.083333333333334</v>
      </c>
      <c r="Q1532" s="96" t="s">
        <v>16</v>
      </c>
      <c r="R1532" s="91">
        <v>7</v>
      </c>
      <c r="S1532" s="106">
        <f>SUMIF(C:C,C1531,T:T)</f>
        <v>349.99999999999994</v>
      </c>
      <c r="T1532" s="98">
        <v>29.1666666666667</v>
      </c>
      <c r="U1532" s="99">
        <f t="shared" si="336"/>
        <v>120.75000000000004</v>
      </c>
      <c r="V1532" s="100">
        <f t="shared" si="331"/>
        <v>4.0250000000000012</v>
      </c>
      <c r="W1532" s="101">
        <f t="shared" si="332"/>
        <v>0.57500000000000018</v>
      </c>
      <c r="X1532" s="95"/>
      <c r="Y1532" s="95"/>
      <c r="Z1532" s="102"/>
      <c r="AA1532" s="103">
        <v>46022</v>
      </c>
      <c r="AB1532" s="103">
        <v>46049</v>
      </c>
      <c r="AC1532" s="103"/>
      <c r="AD1532" s="104">
        <f>IF(ISNA(VLOOKUP(D1532,亚马逊入库配置费!B:F,5,0)),0,VLOOKUP(D1532,亚马逊入库配置费!B:F,5,0))</f>
        <v>0</v>
      </c>
      <c r="AE1532" s="104">
        <f t="shared" si="328"/>
        <v>0</v>
      </c>
      <c r="AF1532" s="103">
        <v>46055</v>
      </c>
      <c r="AG1532" s="90">
        <f t="shared" si="329"/>
        <v>33</v>
      </c>
      <c r="AH1532" s="103">
        <v>46055</v>
      </c>
      <c r="AI1532" s="103">
        <v>46068</v>
      </c>
      <c r="AJ1532" s="96">
        <v>30</v>
      </c>
      <c r="AK1532" s="91">
        <f t="shared" si="330"/>
        <v>13</v>
      </c>
      <c r="AL1532" s="96"/>
      <c r="AM1532" s="92"/>
      <c r="AN1532" s="91"/>
      <c r="AO1532" s="91"/>
    </row>
    <row r="1533" spans="1:41" ht="14.5" x14ac:dyDescent="0.25">
      <c r="A1533" s="110" t="s">
        <v>2610</v>
      </c>
      <c r="B1533" s="91"/>
      <c r="C1533" s="91" t="s">
        <v>121</v>
      </c>
      <c r="D1533" s="92" t="s">
        <v>2606</v>
      </c>
      <c r="E1533" s="91" t="s">
        <v>2607</v>
      </c>
      <c r="F1533" s="91" t="s">
        <v>1073</v>
      </c>
      <c r="G1533" s="56" t="s">
        <v>963</v>
      </c>
      <c r="H1533" s="91">
        <v>30</v>
      </c>
      <c r="I1533" s="241" t="s">
        <v>1074</v>
      </c>
      <c r="J1533" s="91" t="s">
        <v>2102</v>
      </c>
      <c r="K1533" s="92" t="s">
        <v>2608</v>
      </c>
      <c r="L1533" s="93" t="s">
        <v>963</v>
      </c>
      <c r="M1533" s="94" t="s">
        <v>3410</v>
      </c>
      <c r="N1533" s="95" t="s">
        <v>3086</v>
      </c>
      <c r="O1533" s="96">
        <v>1</v>
      </c>
      <c r="P1533" s="97">
        <f t="shared" si="337"/>
        <v>13.083333333333334</v>
      </c>
      <c r="Q1533" s="96" t="s">
        <v>16</v>
      </c>
      <c r="R1533" s="91">
        <v>7</v>
      </c>
      <c r="S1533" s="95"/>
      <c r="T1533" s="98">
        <v>29.1666666666667</v>
      </c>
      <c r="U1533" s="99">
        <f t="shared" si="336"/>
        <v>120.75000000000004</v>
      </c>
      <c r="V1533" s="100">
        <f t="shared" si="331"/>
        <v>4.0250000000000012</v>
      </c>
      <c r="W1533" s="101">
        <f t="shared" si="332"/>
        <v>0.57500000000000018</v>
      </c>
      <c r="X1533" s="95"/>
      <c r="Y1533" s="95"/>
      <c r="Z1533" s="102"/>
      <c r="AA1533" s="103">
        <v>46022</v>
      </c>
      <c r="AB1533" s="103">
        <v>46049</v>
      </c>
      <c r="AC1533" s="103"/>
      <c r="AD1533" s="104">
        <f>IF(ISNA(VLOOKUP(D1533,亚马逊入库配置费!B:F,5,0)),0,VLOOKUP(D1533,亚马逊入库配置费!B:F,5,0))</f>
        <v>0</v>
      </c>
      <c r="AE1533" s="104">
        <f t="shared" si="328"/>
        <v>0</v>
      </c>
      <c r="AF1533" s="103">
        <v>46055</v>
      </c>
      <c r="AG1533" s="90">
        <f t="shared" si="329"/>
        <v>33</v>
      </c>
      <c r="AH1533" s="103">
        <v>46055</v>
      </c>
      <c r="AI1533" s="103">
        <v>46068</v>
      </c>
      <c r="AJ1533" s="96">
        <v>30</v>
      </c>
      <c r="AK1533" s="91">
        <f t="shared" si="330"/>
        <v>13</v>
      </c>
      <c r="AL1533" s="96"/>
      <c r="AM1533" s="92"/>
      <c r="AN1533" s="91"/>
      <c r="AO1533" s="91"/>
    </row>
    <row r="1534" spans="1:41" ht="14.5" x14ac:dyDescent="0.25">
      <c r="A1534" s="110" t="s">
        <v>2611</v>
      </c>
      <c r="B1534" s="91"/>
      <c r="C1534" s="91" t="s">
        <v>121</v>
      </c>
      <c r="D1534" s="92" t="s">
        <v>2606</v>
      </c>
      <c r="E1534" s="91" t="s">
        <v>2607</v>
      </c>
      <c r="F1534" s="91" t="s">
        <v>1073</v>
      </c>
      <c r="G1534" s="56" t="s">
        <v>211</v>
      </c>
      <c r="H1534" s="91">
        <v>60</v>
      </c>
      <c r="I1534" s="241" t="s">
        <v>1074</v>
      </c>
      <c r="J1534" s="91" t="s">
        <v>2102</v>
      </c>
      <c r="K1534" s="92" t="s">
        <v>2608</v>
      </c>
      <c r="L1534" s="93" t="s">
        <v>3034</v>
      </c>
      <c r="M1534" s="94" t="s">
        <v>3312</v>
      </c>
      <c r="N1534" s="95" t="s">
        <v>2869</v>
      </c>
      <c r="O1534" s="96">
        <v>2</v>
      </c>
      <c r="P1534" s="97">
        <f t="shared" si="337"/>
        <v>26.166666666666668</v>
      </c>
      <c r="Q1534" s="96" t="s">
        <v>16</v>
      </c>
      <c r="R1534" s="91">
        <v>7</v>
      </c>
      <c r="S1534" s="95"/>
      <c r="T1534" s="98">
        <v>58.3333333333333</v>
      </c>
      <c r="U1534" s="99">
        <f t="shared" si="336"/>
        <v>241.5</v>
      </c>
      <c r="V1534" s="100">
        <f t="shared" si="331"/>
        <v>4.0250000000000004</v>
      </c>
      <c r="W1534" s="101">
        <f t="shared" si="332"/>
        <v>0.57500000000000007</v>
      </c>
      <c r="X1534" s="95"/>
      <c r="Y1534" s="95"/>
      <c r="Z1534" s="102"/>
      <c r="AA1534" s="103">
        <v>46022</v>
      </c>
      <c r="AB1534" s="103">
        <v>46049</v>
      </c>
      <c r="AC1534" s="103"/>
      <c r="AD1534" s="104">
        <f>IF(ISNA(VLOOKUP(D1534,亚马逊入库配置费!B:F,5,0)),0,VLOOKUP(D1534,亚马逊入库配置费!B:F,5,0))</f>
        <v>0</v>
      </c>
      <c r="AE1534" s="104">
        <f t="shared" si="328"/>
        <v>0</v>
      </c>
      <c r="AF1534" s="103">
        <v>46055</v>
      </c>
      <c r="AG1534" s="90">
        <f t="shared" si="329"/>
        <v>33</v>
      </c>
      <c r="AH1534" s="103">
        <v>46055</v>
      </c>
      <c r="AI1534" s="103">
        <v>46068</v>
      </c>
      <c r="AJ1534" s="96">
        <v>60</v>
      </c>
      <c r="AK1534" s="91">
        <f t="shared" si="330"/>
        <v>13</v>
      </c>
      <c r="AL1534" s="96"/>
      <c r="AM1534" s="92"/>
      <c r="AN1534" s="91"/>
      <c r="AO1534" s="91"/>
    </row>
    <row r="1535" spans="1:41" ht="14.5" x14ac:dyDescent="0.25">
      <c r="A1535" s="110" t="s">
        <v>2612</v>
      </c>
      <c r="B1535" s="91"/>
      <c r="C1535" s="91" t="s">
        <v>121</v>
      </c>
      <c r="D1535" s="92" t="s">
        <v>2606</v>
      </c>
      <c r="E1535" s="91" t="s">
        <v>2607</v>
      </c>
      <c r="F1535" s="91" t="s">
        <v>1073</v>
      </c>
      <c r="G1535" s="56" t="s">
        <v>213</v>
      </c>
      <c r="H1535" s="91">
        <v>60</v>
      </c>
      <c r="I1535" s="241" t="s">
        <v>1074</v>
      </c>
      <c r="J1535" s="91" t="s">
        <v>2102</v>
      </c>
      <c r="K1535" s="92" t="s">
        <v>2608</v>
      </c>
      <c r="L1535" s="93" t="s">
        <v>3035</v>
      </c>
      <c r="M1535" s="94" t="s">
        <v>3313</v>
      </c>
      <c r="N1535" s="95" t="s">
        <v>2869</v>
      </c>
      <c r="O1535" s="96">
        <v>2</v>
      </c>
      <c r="P1535" s="97">
        <f t="shared" si="337"/>
        <v>26.166666666666668</v>
      </c>
      <c r="Q1535" s="96" t="s">
        <v>16</v>
      </c>
      <c r="R1535" s="91">
        <v>7</v>
      </c>
      <c r="S1535" s="95"/>
      <c r="T1535" s="98">
        <v>58.3333333333333</v>
      </c>
      <c r="U1535" s="99">
        <f t="shared" si="336"/>
        <v>241.5</v>
      </c>
      <c r="V1535" s="100">
        <f t="shared" si="331"/>
        <v>4.0250000000000004</v>
      </c>
      <c r="W1535" s="101">
        <f t="shared" si="332"/>
        <v>0.57500000000000007</v>
      </c>
      <c r="X1535" s="95"/>
      <c r="Y1535" s="95"/>
      <c r="Z1535" s="102"/>
      <c r="AA1535" s="103">
        <v>46022</v>
      </c>
      <c r="AB1535" s="103">
        <v>46049</v>
      </c>
      <c r="AC1535" s="103"/>
      <c r="AD1535" s="104">
        <f>IF(ISNA(VLOOKUP(D1535,亚马逊入库配置费!B:F,5,0)),0,VLOOKUP(D1535,亚马逊入库配置费!B:F,5,0))</f>
        <v>0</v>
      </c>
      <c r="AE1535" s="104">
        <f t="shared" si="328"/>
        <v>0</v>
      </c>
      <c r="AF1535" s="103">
        <v>46055</v>
      </c>
      <c r="AG1535" s="90">
        <f t="shared" si="329"/>
        <v>33</v>
      </c>
      <c r="AH1535" s="103">
        <v>46055</v>
      </c>
      <c r="AI1535" s="103">
        <v>46068</v>
      </c>
      <c r="AJ1535" s="96">
        <v>60</v>
      </c>
      <c r="AK1535" s="91">
        <f t="shared" si="330"/>
        <v>13</v>
      </c>
      <c r="AL1535" s="96"/>
      <c r="AM1535" s="92"/>
      <c r="AN1535" s="91"/>
      <c r="AO1535" s="91"/>
    </row>
    <row r="1536" spans="1:41" ht="14.5" x14ac:dyDescent="0.25">
      <c r="A1536" s="110" t="s">
        <v>2613</v>
      </c>
      <c r="B1536" s="91"/>
      <c r="C1536" s="91" t="s">
        <v>121</v>
      </c>
      <c r="D1536" s="92" t="s">
        <v>2606</v>
      </c>
      <c r="E1536" s="91" t="s">
        <v>2607</v>
      </c>
      <c r="F1536" s="91" t="s">
        <v>1073</v>
      </c>
      <c r="G1536" s="56" t="s">
        <v>608</v>
      </c>
      <c r="H1536" s="91">
        <v>60</v>
      </c>
      <c r="I1536" s="241" t="s">
        <v>1074</v>
      </c>
      <c r="J1536" s="91" t="s">
        <v>2102</v>
      </c>
      <c r="K1536" s="92" t="s">
        <v>2608</v>
      </c>
      <c r="L1536" s="93" t="s">
        <v>3076</v>
      </c>
      <c r="M1536" s="94" t="s">
        <v>3377</v>
      </c>
      <c r="N1536" s="95" t="s">
        <v>2869</v>
      </c>
      <c r="O1536" s="96">
        <v>2</v>
      </c>
      <c r="P1536" s="97">
        <f t="shared" si="337"/>
        <v>26.166666666666668</v>
      </c>
      <c r="Q1536" s="96" t="s">
        <v>16</v>
      </c>
      <c r="R1536" s="91">
        <v>7</v>
      </c>
      <c r="S1536" s="95"/>
      <c r="T1536" s="98">
        <v>58.3333333333333</v>
      </c>
      <c r="U1536" s="99">
        <f t="shared" si="336"/>
        <v>241.5</v>
      </c>
      <c r="V1536" s="100">
        <f t="shared" si="331"/>
        <v>4.0250000000000004</v>
      </c>
      <c r="W1536" s="101">
        <f t="shared" si="332"/>
        <v>0.57500000000000007</v>
      </c>
      <c r="X1536" s="95"/>
      <c r="Y1536" s="95"/>
      <c r="Z1536" s="102"/>
      <c r="AA1536" s="103">
        <v>46022</v>
      </c>
      <c r="AB1536" s="103">
        <v>46049</v>
      </c>
      <c r="AC1536" s="103"/>
      <c r="AD1536" s="104">
        <f>IF(ISNA(VLOOKUP(D1536,亚马逊入库配置费!B:F,5,0)),0,VLOOKUP(D1536,亚马逊入库配置费!B:F,5,0))</f>
        <v>0</v>
      </c>
      <c r="AE1536" s="104">
        <f t="shared" si="328"/>
        <v>0</v>
      </c>
      <c r="AF1536" s="103">
        <v>46055</v>
      </c>
      <c r="AG1536" s="90">
        <f t="shared" si="329"/>
        <v>33</v>
      </c>
      <c r="AH1536" s="103">
        <v>46055</v>
      </c>
      <c r="AI1536" s="103">
        <v>46068</v>
      </c>
      <c r="AJ1536" s="96">
        <v>60</v>
      </c>
      <c r="AK1536" s="91">
        <f t="shared" si="330"/>
        <v>13</v>
      </c>
      <c r="AL1536" s="96"/>
      <c r="AM1536" s="92"/>
      <c r="AN1536" s="91"/>
      <c r="AO1536" s="91"/>
    </row>
    <row r="1537" spans="1:41" ht="14.5" x14ac:dyDescent="0.25">
      <c r="A1537" s="110" t="s">
        <v>2614</v>
      </c>
      <c r="B1537" s="91"/>
      <c r="C1537" s="91" t="s">
        <v>121</v>
      </c>
      <c r="D1537" s="92" t="s">
        <v>2606</v>
      </c>
      <c r="E1537" s="91" t="s">
        <v>2607</v>
      </c>
      <c r="F1537" s="91" t="s">
        <v>1073</v>
      </c>
      <c r="G1537" s="56" t="s">
        <v>481</v>
      </c>
      <c r="H1537" s="91">
        <v>60</v>
      </c>
      <c r="I1537" s="241" t="s">
        <v>1074</v>
      </c>
      <c r="J1537" s="91" t="s">
        <v>2102</v>
      </c>
      <c r="K1537" s="92" t="s">
        <v>2608</v>
      </c>
      <c r="L1537" s="93" t="s">
        <v>3064</v>
      </c>
      <c r="M1537" s="94" t="s">
        <v>3356</v>
      </c>
      <c r="N1537" s="95" t="s">
        <v>2869</v>
      </c>
      <c r="O1537" s="96">
        <v>2</v>
      </c>
      <c r="P1537" s="97">
        <f t="shared" si="337"/>
        <v>26.166666666666668</v>
      </c>
      <c r="Q1537" s="96" t="s">
        <v>16</v>
      </c>
      <c r="R1537" s="91">
        <v>7</v>
      </c>
      <c r="S1537" s="95"/>
      <c r="T1537" s="98">
        <v>58.3333333333333</v>
      </c>
      <c r="U1537" s="99">
        <f t="shared" si="336"/>
        <v>241.5</v>
      </c>
      <c r="V1537" s="100">
        <f t="shared" si="331"/>
        <v>4.0250000000000004</v>
      </c>
      <c r="W1537" s="101">
        <f t="shared" si="332"/>
        <v>0.57500000000000007</v>
      </c>
      <c r="X1537" s="95"/>
      <c r="Y1537" s="95"/>
      <c r="Z1537" s="102"/>
      <c r="AA1537" s="103">
        <v>46022</v>
      </c>
      <c r="AB1537" s="103">
        <v>46049</v>
      </c>
      <c r="AC1537" s="103"/>
      <c r="AD1537" s="104">
        <f>IF(ISNA(VLOOKUP(D1537,亚马逊入库配置费!B:F,5,0)),0,VLOOKUP(D1537,亚马逊入库配置费!B:F,5,0))</f>
        <v>0</v>
      </c>
      <c r="AE1537" s="104">
        <f t="shared" si="328"/>
        <v>0</v>
      </c>
      <c r="AF1537" s="103">
        <v>46055</v>
      </c>
      <c r="AG1537" s="90">
        <f t="shared" si="329"/>
        <v>33</v>
      </c>
      <c r="AH1537" s="103">
        <v>46055</v>
      </c>
      <c r="AI1537" s="103">
        <v>46068</v>
      </c>
      <c r="AJ1537" s="96">
        <v>60</v>
      </c>
      <c r="AK1537" s="91">
        <f t="shared" si="330"/>
        <v>13</v>
      </c>
      <c r="AL1537" s="96"/>
      <c r="AM1537" s="92"/>
      <c r="AN1537" s="91"/>
      <c r="AO1537" s="91"/>
    </row>
    <row r="1538" spans="1:41" ht="14.5" x14ac:dyDescent="0.25">
      <c r="A1538" s="110" t="s">
        <v>2615</v>
      </c>
      <c r="B1538" s="91"/>
      <c r="C1538" s="91" t="s">
        <v>1782</v>
      </c>
      <c r="D1538" s="92" t="s">
        <v>2616</v>
      </c>
      <c r="E1538" s="91" t="s">
        <v>115</v>
      </c>
      <c r="F1538" s="91" t="s">
        <v>0</v>
      </c>
      <c r="G1538" s="56" t="s">
        <v>1052</v>
      </c>
      <c r="H1538" s="91">
        <v>390</v>
      </c>
      <c r="I1538" s="91" t="s">
        <v>1767</v>
      </c>
      <c r="J1538" s="91" t="s">
        <v>8</v>
      </c>
      <c r="K1538" s="92" t="s">
        <v>9</v>
      </c>
      <c r="L1538" s="93" t="s">
        <v>3089</v>
      </c>
      <c r="M1538" s="94" t="s">
        <v>3423</v>
      </c>
      <c r="N1538" s="95" t="s">
        <v>3042</v>
      </c>
      <c r="O1538" s="96">
        <v>5</v>
      </c>
      <c r="P1538" s="97">
        <f>1.42/27*O1538</f>
        <v>0.26296296296296295</v>
      </c>
      <c r="Q1538" s="96" t="s">
        <v>3264</v>
      </c>
      <c r="R1538" s="91">
        <v>1220</v>
      </c>
      <c r="S1538" s="95"/>
      <c r="T1538" s="98"/>
      <c r="U1538" s="99">
        <f t="shared" si="336"/>
        <v>320.81481481481478</v>
      </c>
      <c r="V1538" s="100">
        <f t="shared" si="331"/>
        <v>0.82260208926875589</v>
      </c>
      <c r="W1538" s="101">
        <f t="shared" si="332"/>
        <v>0.11751458418125084</v>
      </c>
      <c r="X1538" s="95"/>
      <c r="Y1538" s="95"/>
      <c r="Z1538" s="102"/>
      <c r="AA1538" s="103">
        <v>46022</v>
      </c>
      <c r="AB1538" s="103">
        <v>46045</v>
      </c>
      <c r="AC1538" s="103"/>
      <c r="AD1538" s="104">
        <f>IF(ISNA(VLOOKUP(D1538,亚马逊入库配置费!B:F,5,0)),0,VLOOKUP(D1538,亚马逊入库配置费!B:F,5,0))</f>
        <v>0.33999999999999997</v>
      </c>
      <c r="AE1538" s="104">
        <f t="shared" ref="AE1538:AE1544" si="338">H1538*AD1538</f>
        <v>132.6</v>
      </c>
      <c r="AF1538" s="103">
        <v>46053</v>
      </c>
      <c r="AG1538" s="90">
        <f t="shared" ref="AG1538:AG1544" si="339">AF1538-AA1538</f>
        <v>31</v>
      </c>
      <c r="AH1538" s="103">
        <v>46053</v>
      </c>
      <c r="AI1538" s="103">
        <v>46083</v>
      </c>
      <c r="AJ1538" s="96">
        <v>390</v>
      </c>
      <c r="AK1538" s="91">
        <f t="shared" ref="AK1538:AK1544" si="340">AI1538-AH1538</f>
        <v>30</v>
      </c>
      <c r="AL1538" s="96"/>
      <c r="AM1538" s="92"/>
      <c r="AN1538" s="91"/>
      <c r="AO1538" s="91"/>
    </row>
    <row r="1539" spans="1:41" ht="14.5" x14ac:dyDescent="0.25">
      <c r="A1539" s="110" t="s">
        <v>2617</v>
      </c>
      <c r="B1539" s="91"/>
      <c r="C1539" s="91" t="s">
        <v>1782</v>
      </c>
      <c r="D1539" s="92" t="s">
        <v>2616</v>
      </c>
      <c r="E1539" s="91" t="s">
        <v>115</v>
      </c>
      <c r="F1539" s="91" t="s">
        <v>0</v>
      </c>
      <c r="G1539" s="56" t="s">
        <v>1052</v>
      </c>
      <c r="H1539" s="91">
        <v>66</v>
      </c>
      <c r="I1539" s="91" t="s">
        <v>1767</v>
      </c>
      <c r="J1539" s="91" t="s">
        <v>8</v>
      </c>
      <c r="K1539" s="92" t="s">
        <v>9</v>
      </c>
      <c r="L1539" s="93" t="s">
        <v>3089</v>
      </c>
      <c r="M1539" s="94" t="s">
        <v>3423</v>
      </c>
      <c r="N1539" s="95" t="s">
        <v>3042</v>
      </c>
      <c r="O1539" s="96">
        <v>1</v>
      </c>
      <c r="P1539" s="97">
        <f t="shared" ref="P1539:P1541" si="341">1.42/27*O1539</f>
        <v>5.2592592592592587E-2</v>
      </c>
      <c r="Q1539" s="96" t="s">
        <v>3264</v>
      </c>
      <c r="R1539" s="91">
        <v>1220</v>
      </c>
      <c r="S1539" s="95"/>
      <c r="T1539" s="98"/>
      <c r="U1539" s="99">
        <f t="shared" si="336"/>
        <v>64.162962962962951</v>
      </c>
      <c r="V1539" s="100">
        <f t="shared" si="331"/>
        <v>0.9721661054994386</v>
      </c>
      <c r="W1539" s="101">
        <f t="shared" si="332"/>
        <v>0.1388808722142055</v>
      </c>
      <c r="X1539" s="95"/>
      <c r="Y1539" s="95"/>
      <c r="Z1539" s="102"/>
      <c r="AA1539" s="103">
        <v>46022</v>
      </c>
      <c r="AB1539" s="103">
        <v>46045</v>
      </c>
      <c r="AC1539" s="103"/>
      <c r="AD1539" s="104">
        <f>IF(ISNA(VLOOKUP(D1539,亚马逊入库配置费!B:F,5,0)),0,VLOOKUP(D1539,亚马逊入库配置费!B:F,5,0))</f>
        <v>0.33999999999999997</v>
      </c>
      <c r="AE1539" s="104">
        <f t="shared" si="338"/>
        <v>22.439999999999998</v>
      </c>
      <c r="AF1539" s="103">
        <v>46053</v>
      </c>
      <c r="AG1539" s="90">
        <f t="shared" si="339"/>
        <v>31</v>
      </c>
      <c r="AH1539" s="103">
        <v>46053</v>
      </c>
      <c r="AI1539" s="103">
        <v>46083</v>
      </c>
      <c r="AJ1539" s="96">
        <v>50</v>
      </c>
      <c r="AK1539" s="91">
        <f t="shared" si="340"/>
        <v>30</v>
      </c>
      <c r="AL1539" s="96"/>
      <c r="AM1539" s="92"/>
      <c r="AN1539" s="91"/>
      <c r="AO1539" s="91"/>
    </row>
    <row r="1540" spans="1:41" ht="14.5" x14ac:dyDescent="0.25">
      <c r="A1540" s="110" t="s">
        <v>2618</v>
      </c>
      <c r="B1540" s="91"/>
      <c r="C1540" s="91" t="s">
        <v>1782</v>
      </c>
      <c r="D1540" s="92" t="s">
        <v>2619</v>
      </c>
      <c r="E1540" s="91" t="s">
        <v>97</v>
      </c>
      <c r="F1540" s="91" t="s">
        <v>0</v>
      </c>
      <c r="G1540" s="56" t="s">
        <v>316</v>
      </c>
      <c r="H1540" s="91">
        <v>1350</v>
      </c>
      <c r="I1540" s="91" t="s">
        <v>1767</v>
      </c>
      <c r="J1540" s="91" t="s">
        <v>8</v>
      </c>
      <c r="K1540" s="92" t="s">
        <v>9</v>
      </c>
      <c r="L1540" s="93" t="s">
        <v>3046</v>
      </c>
      <c r="M1540" s="94" t="s">
        <v>3333</v>
      </c>
      <c r="N1540" s="95" t="s">
        <v>3042</v>
      </c>
      <c r="O1540" s="96">
        <v>15</v>
      </c>
      <c r="P1540" s="97">
        <f t="shared" si="341"/>
        <v>0.78888888888888875</v>
      </c>
      <c r="Q1540" s="96" t="s">
        <v>3264</v>
      </c>
      <c r="R1540" s="91">
        <v>1220</v>
      </c>
      <c r="S1540" s="95"/>
      <c r="T1540" s="98"/>
      <c r="U1540" s="99">
        <f t="shared" si="336"/>
        <v>962.44444444444423</v>
      </c>
      <c r="V1540" s="100">
        <f t="shared" si="331"/>
        <v>0.71292181069958827</v>
      </c>
      <c r="W1540" s="101">
        <f t="shared" si="332"/>
        <v>0.10184597295708404</v>
      </c>
      <c r="X1540" s="95"/>
      <c r="Y1540" s="95"/>
      <c r="Z1540" s="102"/>
      <c r="AA1540" s="103">
        <v>46022</v>
      </c>
      <c r="AB1540" s="103">
        <v>46045</v>
      </c>
      <c r="AC1540" s="103"/>
      <c r="AD1540" s="104">
        <f>IF(ISNA(VLOOKUP(D1540,亚马逊入库配置费!B:F,5,0)),0,VLOOKUP(D1540,亚马逊入库配置费!B:F,5,0))</f>
        <v>0.34347826086956523</v>
      </c>
      <c r="AE1540" s="104">
        <f t="shared" si="338"/>
        <v>463.69565217391306</v>
      </c>
      <c r="AF1540" s="103">
        <v>46053</v>
      </c>
      <c r="AG1540" s="90">
        <f t="shared" si="339"/>
        <v>31</v>
      </c>
      <c r="AH1540" s="103">
        <v>46053</v>
      </c>
      <c r="AI1540" s="103">
        <v>46082</v>
      </c>
      <c r="AJ1540" s="96">
        <v>1345</v>
      </c>
      <c r="AK1540" s="91">
        <f t="shared" si="340"/>
        <v>29</v>
      </c>
      <c r="AL1540" s="96"/>
      <c r="AM1540" s="92"/>
      <c r="AN1540" s="91"/>
      <c r="AO1540" s="91"/>
    </row>
    <row r="1541" spans="1:41" ht="14.5" x14ac:dyDescent="0.25">
      <c r="A1541" s="110" t="s">
        <v>2620</v>
      </c>
      <c r="B1541" s="91"/>
      <c r="C1541" s="91" t="s">
        <v>1782</v>
      </c>
      <c r="D1541" s="92" t="s">
        <v>2619</v>
      </c>
      <c r="E1541" s="91" t="s">
        <v>97</v>
      </c>
      <c r="F1541" s="91" t="s">
        <v>0</v>
      </c>
      <c r="G1541" s="56" t="s">
        <v>1312</v>
      </c>
      <c r="H1541" s="91">
        <v>80</v>
      </c>
      <c r="I1541" s="91" t="s">
        <v>1767</v>
      </c>
      <c r="J1541" s="91" t="s">
        <v>8</v>
      </c>
      <c r="K1541" s="92" t="s">
        <v>9</v>
      </c>
      <c r="L1541" s="93" t="s">
        <v>1312</v>
      </c>
      <c r="M1541" s="94" t="s">
        <v>3441</v>
      </c>
      <c r="N1541" s="95" t="s">
        <v>3042</v>
      </c>
      <c r="O1541" s="96">
        <v>4</v>
      </c>
      <c r="P1541" s="97">
        <f t="shared" si="341"/>
        <v>0.21037037037037035</v>
      </c>
      <c r="Q1541" s="96" t="s">
        <v>3264</v>
      </c>
      <c r="R1541" s="91">
        <v>1220</v>
      </c>
      <c r="S1541" s="95"/>
      <c r="T1541" s="98"/>
      <c r="U1541" s="99">
        <f t="shared" si="336"/>
        <v>256.6518518518518</v>
      </c>
      <c r="V1541" s="100">
        <f t="shared" si="331"/>
        <v>3.2081481481481475</v>
      </c>
      <c r="W1541" s="101">
        <f t="shared" si="332"/>
        <v>0.45830687830687822</v>
      </c>
      <c r="X1541" s="95"/>
      <c r="Y1541" s="95"/>
      <c r="Z1541" s="102"/>
      <c r="AA1541" s="103">
        <v>46022</v>
      </c>
      <c r="AB1541" s="103">
        <v>46045</v>
      </c>
      <c r="AC1541" s="103"/>
      <c r="AD1541" s="104">
        <f>IF(ISNA(VLOOKUP(D1541,亚马逊入库配置费!B:F,5,0)),0,VLOOKUP(D1541,亚马逊入库配置费!B:F,5,0))</f>
        <v>0.34347826086956523</v>
      </c>
      <c r="AE1541" s="104">
        <f t="shared" si="338"/>
        <v>27.478260869565219</v>
      </c>
      <c r="AF1541" s="103">
        <v>46053</v>
      </c>
      <c r="AG1541" s="90">
        <f t="shared" si="339"/>
        <v>31</v>
      </c>
      <c r="AH1541" s="103">
        <v>46053</v>
      </c>
      <c r="AI1541" s="103">
        <v>46082</v>
      </c>
      <c r="AJ1541" s="96">
        <v>80</v>
      </c>
      <c r="AK1541" s="91">
        <f t="shared" si="340"/>
        <v>29</v>
      </c>
      <c r="AL1541" s="96"/>
      <c r="AM1541" s="92"/>
      <c r="AN1541" s="91"/>
      <c r="AO1541" s="91"/>
    </row>
    <row r="1542" spans="1:41" ht="14.5" x14ac:dyDescent="0.25">
      <c r="A1542" s="110" t="s">
        <v>2621</v>
      </c>
      <c r="B1542" s="91"/>
      <c r="C1542" s="91" t="s">
        <v>1782</v>
      </c>
      <c r="D1542" s="92" t="s">
        <v>2619</v>
      </c>
      <c r="E1542" s="91" t="s">
        <v>97</v>
      </c>
      <c r="F1542" s="91" t="s">
        <v>0</v>
      </c>
      <c r="G1542" s="56" t="s">
        <v>1061</v>
      </c>
      <c r="H1542" s="91">
        <v>180</v>
      </c>
      <c r="I1542" s="91" t="s">
        <v>1767</v>
      </c>
      <c r="J1542" s="91" t="s">
        <v>8</v>
      </c>
      <c r="K1542" s="92" t="s">
        <v>9</v>
      </c>
      <c r="L1542" s="93" t="s">
        <v>3093</v>
      </c>
      <c r="M1542" s="94" t="s">
        <v>3427</v>
      </c>
      <c r="N1542" s="95" t="s">
        <v>3042</v>
      </c>
      <c r="O1542" s="96">
        <v>2</v>
      </c>
      <c r="P1542" s="97">
        <f>1.42/27*O1542</f>
        <v>0.10518518518518517</v>
      </c>
      <c r="Q1542" s="96" t="s">
        <v>3264</v>
      </c>
      <c r="R1542" s="91">
        <v>1220</v>
      </c>
      <c r="S1542" s="242"/>
      <c r="T1542" s="98"/>
      <c r="U1542" s="99">
        <f t="shared" si="336"/>
        <v>128.3259259259259</v>
      </c>
      <c r="V1542" s="100">
        <f t="shared" si="331"/>
        <v>0.71292181069958838</v>
      </c>
      <c r="W1542" s="101">
        <f t="shared" si="332"/>
        <v>0.10184597295708406</v>
      </c>
      <c r="X1542" s="95"/>
      <c r="Y1542" s="95"/>
      <c r="Z1542" s="102"/>
      <c r="AA1542" s="103">
        <v>46022</v>
      </c>
      <c r="AB1542" s="103">
        <v>46045</v>
      </c>
      <c r="AC1542" s="103"/>
      <c r="AD1542" s="104">
        <f>IF(ISNA(VLOOKUP(D1542,亚马逊入库配置费!B:F,5,0)),0,VLOOKUP(D1542,亚马逊入库配置费!B:F,5,0))</f>
        <v>0.34347826086956523</v>
      </c>
      <c r="AE1542" s="104">
        <f t="shared" si="338"/>
        <v>61.826086956521742</v>
      </c>
      <c r="AF1542" s="103">
        <v>46053</v>
      </c>
      <c r="AG1542" s="90">
        <f t="shared" si="339"/>
        <v>31</v>
      </c>
      <c r="AH1542" s="103">
        <v>46053</v>
      </c>
      <c r="AI1542" s="103">
        <v>46082</v>
      </c>
      <c r="AJ1542" s="96">
        <v>180</v>
      </c>
      <c r="AK1542" s="91">
        <f t="shared" si="340"/>
        <v>29</v>
      </c>
      <c r="AL1542" s="96"/>
      <c r="AM1542" s="92"/>
      <c r="AN1542" s="91"/>
      <c r="AO1542" s="91"/>
    </row>
    <row r="1543" spans="1:41" ht="14.5" x14ac:dyDescent="0.25">
      <c r="A1543" s="110" t="s">
        <v>2622</v>
      </c>
      <c r="B1543" s="91"/>
      <c r="C1543" s="91" t="s">
        <v>113</v>
      </c>
      <c r="D1543" s="92" t="s">
        <v>2623</v>
      </c>
      <c r="E1543" s="91" t="s">
        <v>1037</v>
      </c>
      <c r="F1543" s="91" t="s">
        <v>0</v>
      </c>
      <c r="G1543" s="56" t="s">
        <v>448</v>
      </c>
      <c r="H1543" s="91">
        <v>420</v>
      </c>
      <c r="I1543" s="91" t="s">
        <v>207</v>
      </c>
      <c r="J1543" s="91" t="s">
        <v>8</v>
      </c>
      <c r="K1543" s="92" t="s">
        <v>9</v>
      </c>
      <c r="L1543" s="93" t="s">
        <v>3056</v>
      </c>
      <c r="M1543" s="94" t="s">
        <v>3348</v>
      </c>
      <c r="N1543" s="95" t="s">
        <v>2865</v>
      </c>
      <c r="O1543" s="96">
        <v>6</v>
      </c>
      <c r="P1543" s="97">
        <f>171/11*O1543</f>
        <v>93.272727272727266</v>
      </c>
      <c r="Q1543" s="96" t="s">
        <v>16</v>
      </c>
      <c r="R1543" s="91">
        <v>4.5</v>
      </c>
      <c r="S1543" s="95"/>
      <c r="T1543" s="98">
        <v>7.4257425742574261</v>
      </c>
      <c r="U1543" s="99">
        <f t="shared" si="336"/>
        <v>427.1530153015301</v>
      </c>
      <c r="V1543" s="100">
        <f t="shared" si="331"/>
        <v>1.017030988813167</v>
      </c>
      <c r="W1543" s="101">
        <f t="shared" si="332"/>
        <v>0.14529014125902387</v>
      </c>
      <c r="X1543" s="95"/>
      <c r="Y1543" s="95"/>
      <c r="Z1543" s="102"/>
      <c r="AA1543" s="103">
        <v>46022</v>
      </c>
      <c r="AB1543" s="103">
        <v>46042</v>
      </c>
      <c r="AC1543" s="103"/>
      <c r="AD1543" s="104">
        <f>IF(ISNA(VLOOKUP(D1543,亚马逊入库配置费!B:F,5,0)),0,VLOOKUP(D1543,亚马逊入库配置费!B:F,5,0))</f>
        <v>0.35555555555555557</v>
      </c>
      <c r="AE1543" s="104">
        <f t="shared" si="338"/>
        <v>149.33333333333334</v>
      </c>
      <c r="AF1543" s="103">
        <v>46050</v>
      </c>
      <c r="AG1543" s="90">
        <f t="shared" si="339"/>
        <v>28</v>
      </c>
      <c r="AH1543" s="103">
        <v>46050</v>
      </c>
      <c r="AI1543" s="103">
        <v>46078</v>
      </c>
      <c r="AJ1543" s="96">
        <v>422</v>
      </c>
      <c r="AK1543" s="91">
        <f t="shared" si="340"/>
        <v>28</v>
      </c>
      <c r="AL1543" s="96"/>
      <c r="AM1543" s="92"/>
      <c r="AN1543" s="91"/>
      <c r="AO1543" s="91"/>
    </row>
    <row r="1544" spans="1:41" ht="14.5" x14ac:dyDescent="0.25">
      <c r="A1544" s="110" t="s">
        <v>2624</v>
      </c>
      <c r="B1544" s="91"/>
      <c r="C1544" s="91" t="s">
        <v>113</v>
      </c>
      <c r="D1544" s="92" t="s">
        <v>2623</v>
      </c>
      <c r="E1544" s="91" t="s">
        <v>1037</v>
      </c>
      <c r="F1544" s="91" t="s">
        <v>0</v>
      </c>
      <c r="G1544" s="56" t="s">
        <v>451</v>
      </c>
      <c r="H1544" s="91">
        <v>120</v>
      </c>
      <c r="I1544" s="91" t="s">
        <v>207</v>
      </c>
      <c r="J1544" s="91" t="s">
        <v>8</v>
      </c>
      <c r="K1544" s="92" t="s">
        <v>9</v>
      </c>
      <c r="L1544" s="93" t="s">
        <v>3057</v>
      </c>
      <c r="M1544" s="94" t="s">
        <v>3349</v>
      </c>
      <c r="N1544" s="95" t="s">
        <v>2865</v>
      </c>
      <c r="O1544" s="96">
        <v>5</v>
      </c>
      <c r="P1544" s="97">
        <f>171/11*O1544</f>
        <v>77.72727272727272</v>
      </c>
      <c r="Q1544" s="96" t="s">
        <v>16</v>
      </c>
      <c r="R1544" s="91">
        <v>4.5</v>
      </c>
      <c r="S1544" s="106"/>
      <c r="T1544" s="98">
        <v>6.1881188118811883</v>
      </c>
      <c r="U1544" s="99">
        <f t="shared" si="336"/>
        <v>355.96084608460842</v>
      </c>
      <c r="V1544" s="100">
        <f t="shared" si="331"/>
        <v>2.9663403840384035</v>
      </c>
      <c r="W1544" s="101">
        <f t="shared" si="332"/>
        <v>0.42376291200548621</v>
      </c>
      <c r="X1544" s="95"/>
      <c r="Y1544" s="95"/>
      <c r="Z1544" s="102"/>
      <c r="AA1544" s="103">
        <v>46022</v>
      </c>
      <c r="AB1544" s="103">
        <v>46042</v>
      </c>
      <c r="AC1544" s="103"/>
      <c r="AD1544" s="104">
        <f>IF(ISNA(VLOOKUP(D1544,亚马逊入库配置费!B:F,5,0)),0,VLOOKUP(D1544,亚马逊入库配置费!B:F,5,0))</f>
        <v>0.35555555555555557</v>
      </c>
      <c r="AE1544" s="104">
        <f t="shared" si="338"/>
        <v>42.666666666666671</v>
      </c>
      <c r="AF1544" s="103">
        <v>46050</v>
      </c>
      <c r="AG1544" s="90">
        <f t="shared" si="339"/>
        <v>28</v>
      </c>
      <c r="AH1544" s="103">
        <v>46050</v>
      </c>
      <c r="AI1544" s="103">
        <v>46078</v>
      </c>
      <c r="AJ1544" s="96">
        <v>120</v>
      </c>
      <c r="AK1544" s="91">
        <f t="shared" si="340"/>
        <v>28</v>
      </c>
      <c r="AL1544" s="96"/>
      <c r="AM1544" s="92"/>
      <c r="AN1544" s="91"/>
      <c r="AO1544" s="91"/>
    </row>
  </sheetData>
  <phoneticPr fontId="25" type="noConversion"/>
  <pageMargins left="0.7" right="0.7" top="0.75" bottom="0.75" header="0.3" footer="0.3"/>
  <pageSetup paperSize="9" orientation="portrait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1">
    <tabColor theme="2" tint="-0.89974669637134919"/>
  </sheetPr>
  <dimension ref="A1:S410"/>
  <sheetViews>
    <sheetView workbookViewId="0">
      <pane xSplit="2" ySplit="1" topLeftCell="E392" activePane="bottomRight" state="frozen"/>
      <selection pane="topRight"/>
      <selection pane="bottomLeft"/>
      <selection pane="bottomRight" activeCell="B402" sqref="B402"/>
    </sheetView>
  </sheetViews>
  <sheetFormatPr defaultColWidth="8.81640625" defaultRowHeight="13" outlineLevelCol="1" x14ac:dyDescent="0.25"/>
  <cols>
    <col min="1" max="1" width="26.36328125" style="26" customWidth="1"/>
    <col min="2" max="2" width="53.54296875" style="26" customWidth="1"/>
    <col min="3" max="3" width="11.54296875" style="26" customWidth="1" outlineLevel="1"/>
    <col min="4" max="4" width="22.81640625" style="26" customWidth="1" outlineLevel="1"/>
    <col min="5" max="5" width="9.453125" style="26" customWidth="1" outlineLevel="1"/>
    <col min="6" max="6" width="16.08984375" style="26" customWidth="1" outlineLevel="1"/>
    <col min="7" max="7" width="20.453125" style="26" customWidth="1" outlineLevel="1"/>
    <col min="8" max="8" width="9.453125" style="26" customWidth="1" outlineLevel="1"/>
    <col min="9" max="9" width="10" style="26" customWidth="1" outlineLevel="1"/>
    <col min="10" max="10" width="17.453125" style="26" customWidth="1" outlineLevel="1"/>
    <col min="11" max="11" width="21.1796875" style="26" customWidth="1" outlineLevel="1"/>
    <col min="12" max="12" width="33.54296875" style="26" customWidth="1" outlineLevel="1"/>
    <col min="13" max="13" width="14.453125" style="26" customWidth="1"/>
    <col min="14" max="14" width="10.81640625" style="26" customWidth="1"/>
    <col min="15" max="15" width="13.08984375" style="26" customWidth="1"/>
    <col min="16" max="16" width="29.54296875" style="26" customWidth="1"/>
    <col min="17" max="17" width="12.1796875" style="26" bestFit="1" customWidth="1"/>
    <col min="18" max="18" width="37.453125" style="26" customWidth="1"/>
    <col min="19" max="19" width="11.08984375" style="26" bestFit="1" customWidth="1"/>
    <col min="20" max="16384" width="8.81640625" style="26"/>
  </cols>
  <sheetData>
    <row r="1" spans="1:19" s="483" customFormat="1" ht="14.5" x14ac:dyDescent="0.25">
      <c r="A1" s="583" t="s">
        <v>2794</v>
      </c>
      <c r="B1" s="583" t="s">
        <v>2990</v>
      </c>
      <c r="C1" s="583" t="s">
        <v>2795</v>
      </c>
      <c r="D1" s="583" t="s">
        <v>2796</v>
      </c>
      <c r="E1" s="583" t="s">
        <v>2797</v>
      </c>
      <c r="F1" s="583" t="s">
        <v>2798</v>
      </c>
      <c r="G1" s="583" t="s">
        <v>2799</v>
      </c>
      <c r="H1" s="583" t="s">
        <v>2800</v>
      </c>
      <c r="I1" s="583" t="s">
        <v>2801</v>
      </c>
      <c r="J1" s="583" t="s">
        <v>2802</v>
      </c>
      <c r="K1" s="583" t="s">
        <v>2803</v>
      </c>
      <c r="L1" s="583" t="s">
        <v>2804</v>
      </c>
      <c r="M1" s="583" t="s">
        <v>2805</v>
      </c>
      <c r="N1" s="583" t="s">
        <v>2806</v>
      </c>
      <c r="O1" s="583" t="s">
        <v>2807</v>
      </c>
      <c r="P1" s="583" t="s">
        <v>2808</v>
      </c>
      <c r="Q1" s="583" t="s">
        <v>4169</v>
      </c>
      <c r="R1" s="583" t="s">
        <v>4348</v>
      </c>
      <c r="S1" s="583" t="s">
        <v>4349</v>
      </c>
    </row>
    <row r="2" spans="1:19" ht="14.5" x14ac:dyDescent="0.25">
      <c r="A2" s="584" t="s">
        <v>2901</v>
      </c>
      <c r="B2" s="50" t="s">
        <v>3528</v>
      </c>
      <c r="C2" s="50" t="s">
        <v>3693</v>
      </c>
      <c r="D2" s="57" t="s">
        <v>2901</v>
      </c>
      <c r="E2" s="50" t="s">
        <v>3690</v>
      </c>
      <c r="F2" s="50" t="s">
        <v>3690</v>
      </c>
      <c r="G2" s="50" t="s">
        <v>3690</v>
      </c>
      <c r="H2" s="50" t="s">
        <v>3690</v>
      </c>
      <c r="I2" s="50"/>
      <c r="J2" s="50"/>
      <c r="K2" s="50"/>
      <c r="L2" s="50"/>
      <c r="M2" s="50"/>
      <c r="N2" s="50"/>
      <c r="O2" s="50"/>
      <c r="P2" s="50" t="s">
        <v>3691</v>
      </c>
      <c r="Q2" s="585">
        <v>36526</v>
      </c>
      <c r="R2" s="50" t="s">
        <v>4362</v>
      </c>
      <c r="S2" s="50" t="str">
        <f t="shared" ref="S2:S64" si="0">IF(A2=P2,"YES","NO")</f>
        <v>NO</v>
      </c>
    </row>
    <row r="3" spans="1:19" ht="14.5" x14ac:dyDescent="0.25">
      <c r="A3" s="584" t="s">
        <v>2728</v>
      </c>
      <c r="B3" s="50" t="s">
        <v>3529</v>
      </c>
      <c r="C3" s="50" t="s">
        <v>3692</v>
      </c>
      <c r="D3" s="57" t="s">
        <v>2728</v>
      </c>
      <c r="E3" s="50" t="s">
        <v>3690</v>
      </c>
      <c r="F3" s="50" t="s">
        <v>3690</v>
      </c>
      <c r="G3" s="50" t="s">
        <v>3690</v>
      </c>
      <c r="H3" s="50" t="s">
        <v>3690</v>
      </c>
      <c r="I3" s="50"/>
      <c r="J3" s="50"/>
      <c r="K3" s="50"/>
      <c r="L3" s="50"/>
      <c r="M3" s="50"/>
      <c r="N3" s="50"/>
      <c r="O3" s="50"/>
      <c r="P3" s="50" t="s">
        <v>3691</v>
      </c>
      <c r="Q3" s="585">
        <v>36526</v>
      </c>
      <c r="R3" s="50" t="s">
        <v>4362</v>
      </c>
      <c r="S3" s="50" t="str">
        <f t="shared" si="0"/>
        <v>NO</v>
      </c>
    </row>
    <row r="4" spans="1:19" ht="14.5" x14ac:dyDescent="0.25">
      <c r="A4" s="584" t="s">
        <v>2902</v>
      </c>
      <c r="B4" s="50" t="s">
        <v>3530</v>
      </c>
      <c r="C4" s="50" t="s">
        <v>3693</v>
      </c>
      <c r="D4" s="57" t="s">
        <v>2902</v>
      </c>
      <c r="E4" s="50" t="s">
        <v>3690</v>
      </c>
      <c r="F4" s="50" t="s">
        <v>3690</v>
      </c>
      <c r="G4" s="50" t="s">
        <v>3690</v>
      </c>
      <c r="H4" s="50" t="s">
        <v>3690</v>
      </c>
      <c r="I4" s="50"/>
      <c r="J4" s="50"/>
      <c r="K4" s="50"/>
      <c r="L4" s="50"/>
      <c r="M4" s="50"/>
      <c r="N4" s="50"/>
      <c r="O4" s="50"/>
      <c r="P4" s="50" t="s">
        <v>3691</v>
      </c>
      <c r="Q4" s="585">
        <v>36526</v>
      </c>
      <c r="R4" s="50" t="s">
        <v>4362</v>
      </c>
      <c r="S4" s="50" t="str">
        <f t="shared" si="0"/>
        <v>NO</v>
      </c>
    </row>
    <row r="5" spans="1:19" ht="14.5" x14ac:dyDescent="0.25">
      <c r="A5" s="584" t="s">
        <v>2903</v>
      </c>
      <c r="B5" s="50" t="s">
        <v>3531</v>
      </c>
      <c r="C5" s="50" t="s">
        <v>3692</v>
      </c>
      <c r="D5" s="57" t="s">
        <v>2903</v>
      </c>
      <c r="E5" s="50" t="s">
        <v>3690</v>
      </c>
      <c r="F5" s="50" t="s">
        <v>3690</v>
      </c>
      <c r="G5" s="50" t="s">
        <v>3690</v>
      </c>
      <c r="H5" s="50" t="s">
        <v>3690</v>
      </c>
      <c r="I5" s="50"/>
      <c r="J5" s="50"/>
      <c r="K5" s="50"/>
      <c r="L5" s="50"/>
      <c r="M5" s="50"/>
      <c r="N5" s="50"/>
      <c r="O5" s="50"/>
      <c r="P5" s="50" t="s">
        <v>3691</v>
      </c>
      <c r="Q5" s="585">
        <v>36526</v>
      </c>
      <c r="R5" s="50" t="s">
        <v>4362</v>
      </c>
      <c r="S5" s="50" t="str">
        <f t="shared" si="0"/>
        <v>NO</v>
      </c>
    </row>
    <row r="6" spans="1:19" ht="14.5" x14ac:dyDescent="0.25">
      <c r="A6" s="584" t="s">
        <v>2904</v>
      </c>
      <c r="B6" s="50" t="s">
        <v>3532</v>
      </c>
      <c r="C6" s="50" t="s">
        <v>3693</v>
      </c>
      <c r="D6" s="57" t="s">
        <v>2904</v>
      </c>
      <c r="E6" s="50" t="s">
        <v>3690</v>
      </c>
      <c r="F6" s="50" t="s">
        <v>3690</v>
      </c>
      <c r="G6" s="50" t="s">
        <v>3690</v>
      </c>
      <c r="H6" s="50" t="s">
        <v>3690</v>
      </c>
      <c r="I6" s="50"/>
      <c r="J6" s="50"/>
      <c r="K6" s="50"/>
      <c r="L6" s="50"/>
      <c r="M6" s="50"/>
      <c r="N6" s="50"/>
      <c r="O6" s="50"/>
      <c r="P6" s="50" t="s">
        <v>3691</v>
      </c>
      <c r="Q6" s="585">
        <v>36526</v>
      </c>
      <c r="R6" s="50" t="s">
        <v>4362</v>
      </c>
      <c r="S6" s="50" t="str">
        <f t="shared" si="0"/>
        <v>NO</v>
      </c>
    </row>
    <row r="7" spans="1:19" ht="14.5" x14ac:dyDescent="0.25">
      <c r="A7" s="584" t="s">
        <v>2632</v>
      </c>
      <c r="B7" s="50" t="s">
        <v>3533</v>
      </c>
      <c r="C7" s="50" t="s">
        <v>3693</v>
      </c>
      <c r="D7" s="57" t="s">
        <v>2632</v>
      </c>
      <c r="E7" s="50" t="s">
        <v>3690</v>
      </c>
      <c r="F7" s="50" t="s">
        <v>3690</v>
      </c>
      <c r="G7" s="50" t="s">
        <v>3690</v>
      </c>
      <c r="H7" s="50" t="s">
        <v>3690</v>
      </c>
      <c r="I7" s="50"/>
      <c r="J7" s="50"/>
      <c r="K7" s="50"/>
      <c r="L7" s="50"/>
      <c r="M7" s="50"/>
      <c r="N7" s="50"/>
      <c r="O7" s="50"/>
      <c r="P7" s="50" t="s">
        <v>3691</v>
      </c>
      <c r="Q7" s="585">
        <v>36526</v>
      </c>
      <c r="R7" s="50" t="s">
        <v>4362</v>
      </c>
      <c r="S7" s="50" t="str">
        <f t="shared" si="0"/>
        <v>NO</v>
      </c>
    </row>
    <row r="8" spans="1:19" ht="14.5" x14ac:dyDescent="0.25">
      <c r="A8" s="584" t="s">
        <v>2646</v>
      </c>
      <c r="B8" s="50" t="s">
        <v>3534</v>
      </c>
      <c r="C8" s="50" t="s">
        <v>3693</v>
      </c>
      <c r="D8" s="57" t="s">
        <v>2646</v>
      </c>
      <c r="E8" s="50" t="s">
        <v>3690</v>
      </c>
      <c r="F8" s="50" t="s">
        <v>3690</v>
      </c>
      <c r="G8" s="50" t="s">
        <v>3690</v>
      </c>
      <c r="H8" s="50" t="s">
        <v>3690</v>
      </c>
      <c r="I8" s="50"/>
      <c r="J8" s="50"/>
      <c r="K8" s="50"/>
      <c r="L8" s="50"/>
      <c r="M8" s="50"/>
      <c r="N8" s="50"/>
      <c r="O8" s="50"/>
      <c r="P8" s="50" t="s">
        <v>3691</v>
      </c>
      <c r="Q8" s="585">
        <v>36526</v>
      </c>
      <c r="R8" s="50" t="s">
        <v>4362</v>
      </c>
      <c r="S8" s="50" t="str">
        <f t="shared" si="0"/>
        <v>NO</v>
      </c>
    </row>
    <row r="9" spans="1:19" ht="14.5" x14ac:dyDescent="0.25">
      <c r="A9" s="584" t="s">
        <v>2629</v>
      </c>
      <c r="B9" s="50" t="s">
        <v>3535</v>
      </c>
      <c r="C9" s="50" t="s">
        <v>3693</v>
      </c>
      <c r="D9" s="57" t="s">
        <v>2629</v>
      </c>
      <c r="E9" s="50" t="s">
        <v>3690</v>
      </c>
      <c r="F9" s="50" t="s">
        <v>3690</v>
      </c>
      <c r="G9" s="50" t="s">
        <v>3690</v>
      </c>
      <c r="H9" s="50" t="s">
        <v>3690</v>
      </c>
      <c r="I9" s="50"/>
      <c r="J9" s="50"/>
      <c r="K9" s="50"/>
      <c r="L9" s="50"/>
      <c r="M9" s="50"/>
      <c r="N9" s="50"/>
      <c r="O9" s="50"/>
      <c r="P9" s="50" t="s">
        <v>3691</v>
      </c>
      <c r="Q9" s="585">
        <v>36526</v>
      </c>
      <c r="R9" s="50" t="s">
        <v>4362</v>
      </c>
      <c r="S9" s="50" t="str">
        <f t="shared" si="0"/>
        <v>NO</v>
      </c>
    </row>
    <row r="10" spans="1:19" ht="14.5" x14ac:dyDescent="0.25">
      <c r="A10" s="584" t="s">
        <v>2633</v>
      </c>
      <c r="B10" s="50" t="s">
        <v>3536</v>
      </c>
      <c r="C10" s="50" t="s">
        <v>3693</v>
      </c>
      <c r="D10" s="57" t="s">
        <v>2633</v>
      </c>
      <c r="E10" s="50" t="s">
        <v>3690</v>
      </c>
      <c r="F10" s="50" t="s">
        <v>3690</v>
      </c>
      <c r="G10" s="50" t="s">
        <v>3690</v>
      </c>
      <c r="H10" s="50" t="s">
        <v>3690</v>
      </c>
      <c r="I10" s="50"/>
      <c r="J10" s="50"/>
      <c r="K10" s="50"/>
      <c r="L10" s="50"/>
      <c r="M10" s="50"/>
      <c r="N10" s="50"/>
      <c r="O10" s="50"/>
      <c r="P10" s="50" t="s">
        <v>3691</v>
      </c>
      <c r="Q10" s="585">
        <v>36526</v>
      </c>
      <c r="R10" s="50" t="s">
        <v>4362</v>
      </c>
      <c r="S10" s="50" t="str">
        <f t="shared" si="0"/>
        <v>NO</v>
      </c>
    </row>
    <row r="11" spans="1:19" ht="14.5" x14ac:dyDescent="0.25">
      <c r="A11" s="584" t="s">
        <v>2648</v>
      </c>
      <c r="B11" s="50" t="s">
        <v>3537</v>
      </c>
      <c r="C11" s="50" t="s">
        <v>3693</v>
      </c>
      <c r="D11" s="57" t="s">
        <v>2648</v>
      </c>
      <c r="E11" s="50" t="s">
        <v>3690</v>
      </c>
      <c r="F11" s="50" t="s">
        <v>3690</v>
      </c>
      <c r="G11" s="50" t="s">
        <v>3690</v>
      </c>
      <c r="H11" s="50" t="s">
        <v>3690</v>
      </c>
      <c r="I11" s="50"/>
      <c r="J11" s="50"/>
      <c r="K11" s="50"/>
      <c r="L11" s="50"/>
      <c r="M11" s="50"/>
      <c r="N11" s="50"/>
      <c r="O11" s="50"/>
      <c r="P11" s="50" t="s">
        <v>3691</v>
      </c>
      <c r="Q11" s="585">
        <v>36526</v>
      </c>
      <c r="R11" s="50" t="s">
        <v>4362</v>
      </c>
      <c r="S11" s="50" t="str">
        <f t="shared" si="0"/>
        <v>NO</v>
      </c>
    </row>
    <row r="12" spans="1:19" ht="14.5" x14ac:dyDescent="0.25">
      <c r="A12" s="584" t="s">
        <v>2717</v>
      </c>
      <c r="B12" s="50" t="s">
        <v>4416</v>
      </c>
      <c r="C12" s="50" t="s">
        <v>3693</v>
      </c>
      <c r="D12" s="57" t="s">
        <v>2717</v>
      </c>
      <c r="E12" s="50" t="s">
        <v>3690</v>
      </c>
      <c r="F12" s="50" t="s">
        <v>3690</v>
      </c>
      <c r="G12" s="50" t="s">
        <v>3690</v>
      </c>
      <c r="H12" s="50" t="s">
        <v>3690</v>
      </c>
      <c r="I12" s="50"/>
      <c r="J12" s="50"/>
      <c r="K12" s="50"/>
      <c r="L12" s="50"/>
      <c r="M12" s="50"/>
      <c r="N12" s="50"/>
      <c r="O12" s="50"/>
      <c r="P12" s="50" t="s">
        <v>3691</v>
      </c>
      <c r="Q12" s="585">
        <v>36526</v>
      </c>
      <c r="R12" s="50" t="s">
        <v>4362</v>
      </c>
      <c r="S12" s="50" t="str">
        <f t="shared" si="0"/>
        <v>NO</v>
      </c>
    </row>
    <row r="13" spans="1:19" ht="14.5" x14ac:dyDescent="0.25">
      <c r="A13" s="584" t="s">
        <v>2644</v>
      </c>
      <c r="B13" s="50" t="s">
        <v>3538</v>
      </c>
      <c r="C13" s="50" t="s">
        <v>3693</v>
      </c>
      <c r="D13" s="57" t="s">
        <v>2644</v>
      </c>
      <c r="E13" s="50" t="s">
        <v>3690</v>
      </c>
      <c r="F13" s="50" t="s">
        <v>3690</v>
      </c>
      <c r="G13" s="50" t="s">
        <v>3690</v>
      </c>
      <c r="H13" s="50" t="s">
        <v>3690</v>
      </c>
      <c r="I13" s="50"/>
      <c r="J13" s="50"/>
      <c r="K13" s="50"/>
      <c r="L13" s="50"/>
      <c r="M13" s="50"/>
      <c r="N13" s="50"/>
      <c r="O13" s="50"/>
      <c r="P13" s="50" t="s">
        <v>3691</v>
      </c>
      <c r="Q13" s="585">
        <v>36526</v>
      </c>
      <c r="R13" s="50" t="s">
        <v>4362</v>
      </c>
      <c r="S13" s="50" t="str">
        <f t="shared" si="0"/>
        <v>NO</v>
      </c>
    </row>
    <row r="14" spans="1:19" ht="14.5" x14ac:dyDescent="0.25">
      <c r="A14" s="584" t="s">
        <v>2642</v>
      </c>
      <c r="B14" s="50" t="s">
        <v>3539</v>
      </c>
      <c r="C14" s="50" t="s">
        <v>3693</v>
      </c>
      <c r="D14" s="57" t="s">
        <v>2642</v>
      </c>
      <c r="E14" s="50" t="s">
        <v>3690</v>
      </c>
      <c r="F14" s="50" t="s">
        <v>3690</v>
      </c>
      <c r="G14" s="50" t="s">
        <v>3690</v>
      </c>
      <c r="H14" s="50" t="s">
        <v>3690</v>
      </c>
      <c r="I14" s="50"/>
      <c r="J14" s="50"/>
      <c r="K14" s="50"/>
      <c r="L14" s="50"/>
      <c r="M14" s="50"/>
      <c r="N14" s="50"/>
      <c r="O14" s="50"/>
      <c r="P14" s="50" t="s">
        <v>3691</v>
      </c>
      <c r="Q14" s="585">
        <v>36526</v>
      </c>
      <c r="R14" s="50" t="s">
        <v>4362</v>
      </c>
      <c r="S14" s="50" t="str">
        <f t="shared" si="0"/>
        <v>NO</v>
      </c>
    </row>
    <row r="15" spans="1:19" ht="14.5" x14ac:dyDescent="0.25">
      <c r="A15" s="584" t="s">
        <v>2641</v>
      </c>
      <c r="B15" s="50" t="s">
        <v>3540</v>
      </c>
      <c r="C15" s="50" t="s">
        <v>3693</v>
      </c>
      <c r="D15" s="57" t="s">
        <v>2641</v>
      </c>
      <c r="E15" s="50" t="s">
        <v>3690</v>
      </c>
      <c r="F15" s="50" t="s">
        <v>3690</v>
      </c>
      <c r="G15" s="50" t="s">
        <v>3690</v>
      </c>
      <c r="H15" s="50" t="s">
        <v>3690</v>
      </c>
      <c r="I15" s="50"/>
      <c r="J15" s="50"/>
      <c r="K15" s="50"/>
      <c r="L15" s="50"/>
      <c r="M15" s="50"/>
      <c r="N15" s="50"/>
      <c r="O15" s="50"/>
      <c r="P15" s="50" t="s">
        <v>3691</v>
      </c>
      <c r="Q15" s="585">
        <v>36526</v>
      </c>
      <c r="R15" s="50" t="s">
        <v>4362</v>
      </c>
      <c r="S15" s="50" t="str">
        <f t="shared" si="0"/>
        <v>NO</v>
      </c>
    </row>
    <row r="16" spans="1:19" ht="14.5" x14ac:dyDescent="0.25">
      <c r="A16" s="584" t="s">
        <v>2640</v>
      </c>
      <c r="B16" s="50" t="s">
        <v>3541</v>
      </c>
      <c r="C16" s="50" t="s">
        <v>3693</v>
      </c>
      <c r="D16" s="57" t="s">
        <v>2640</v>
      </c>
      <c r="E16" s="50" t="s">
        <v>3690</v>
      </c>
      <c r="F16" s="50" t="s">
        <v>3690</v>
      </c>
      <c r="G16" s="50" t="s">
        <v>3690</v>
      </c>
      <c r="H16" s="50" t="s">
        <v>3690</v>
      </c>
      <c r="I16" s="50"/>
      <c r="J16" s="50"/>
      <c r="K16" s="50"/>
      <c r="L16" s="50"/>
      <c r="M16" s="50"/>
      <c r="N16" s="50"/>
      <c r="O16" s="50"/>
      <c r="P16" s="50" t="s">
        <v>3691</v>
      </c>
      <c r="Q16" s="585">
        <v>36526</v>
      </c>
      <c r="R16" s="50" t="s">
        <v>4362</v>
      </c>
      <c r="S16" s="50" t="str">
        <f t="shared" si="0"/>
        <v>NO</v>
      </c>
    </row>
    <row r="17" spans="1:19" ht="14.5" x14ac:dyDescent="0.25">
      <c r="A17" s="584" t="s">
        <v>2638</v>
      </c>
      <c r="B17" s="50" t="s">
        <v>3542</v>
      </c>
      <c r="C17" s="50" t="s">
        <v>3693</v>
      </c>
      <c r="D17" s="57" t="s">
        <v>2638</v>
      </c>
      <c r="E17" s="50" t="s">
        <v>3690</v>
      </c>
      <c r="F17" s="50" t="s">
        <v>3690</v>
      </c>
      <c r="G17" s="50" t="s">
        <v>3690</v>
      </c>
      <c r="H17" s="50" t="s">
        <v>3690</v>
      </c>
      <c r="I17" s="50"/>
      <c r="J17" s="50"/>
      <c r="K17" s="50"/>
      <c r="L17" s="50"/>
      <c r="M17" s="50"/>
      <c r="N17" s="50"/>
      <c r="O17" s="50"/>
      <c r="P17" s="50" t="s">
        <v>3691</v>
      </c>
      <c r="Q17" s="585">
        <v>36526</v>
      </c>
      <c r="R17" s="50" t="s">
        <v>4362</v>
      </c>
      <c r="S17" s="50" t="str">
        <f t="shared" si="0"/>
        <v>NO</v>
      </c>
    </row>
    <row r="18" spans="1:19" ht="14.5" x14ac:dyDescent="0.25">
      <c r="A18" s="584" t="s">
        <v>2819</v>
      </c>
      <c r="B18" s="50" t="s">
        <v>3543</v>
      </c>
      <c r="C18" s="50" t="s">
        <v>3693</v>
      </c>
      <c r="D18" s="57" t="s">
        <v>2819</v>
      </c>
      <c r="E18" s="50" t="s">
        <v>3690</v>
      </c>
      <c r="F18" s="50" t="s">
        <v>3690</v>
      </c>
      <c r="G18" s="50" t="s">
        <v>3690</v>
      </c>
      <c r="H18" s="50" t="s">
        <v>3690</v>
      </c>
      <c r="I18" s="50"/>
      <c r="J18" s="50"/>
      <c r="K18" s="50"/>
      <c r="L18" s="50"/>
      <c r="M18" s="50"/>
      <c r="N18" s="50"/>
      <c r="O18" s="50"/>
      <c r="P18" s="50" t="s">
        <v>3691</v>
      </c>
      <c r="Q18" s="585">
        <v>36526</v>
      </c>
      <c r="R18" s="50" t="s">
        <v>4362</v>
      </c>
      <c r="S18" s="50" t="str">
        <f t="shared" si="0"/>
        <v>NO</v>
      </c>
    </row>
    <row r="19" spans="1:19" ht="14.5" x14ac:dyDescent="0.25">
      <c r="A19" s="584" t="s">
        <v>2820</v>
      </c>
      <c r="B19" s="50" t="s">
        <v>3544</v>
      </c>
      <c r="C19" s="50" t="s">
        <v>3693</v>
      </c>
      <c r="D19" s="57" t="s">
        <v>2820</v>
      </c>
      <c r="E19" s="50" t="s">
        <v>3690</v>
      </c>
      <c r="F19" s="50" t="s">
        <v>3690</v>
      </c>
      <c r="G19" s="50" t="s">
        <v>3690</v>
      </c>
      <c r="H19" s="50" t="s">
        <v>3690</v>
      </c>
      <c r="I19" s="50"/>
      <c r="J19" s="50"/>
      <c r="K19" s="50"/>
      <c r="L19" s="50"/>
      <c r="M19" s="50"/>
      <c r="N19" s="50"/>
      <c r="O19" s="50"/>
      <c r="P19" s="50" t="s">
        <v>3691</v>
      </c>
      <c r="Q19" s="585">
        <v>36526</v>
      </c>
      <c r="R19" s="50" t="s">
        <v>4362</v>
      </c>
      <c r="S19" s="50" t="str">
        <f t="shared" si="0"/>
        <v>NO</v>
      </c>
    </row>
    <row r="20" spans="1:19" ht="14.5" x14ac:dyDescent="0.25">
      <c r="A20" s="584" t="s">
        <v>2650</v>
      </c>
      <c r="B20" s="50" t="s">
        <v>3545</v>
      </c>
      <c r="C20" s="50" t="s">
        <v>3693</v>
      </c>
      <c r="D20" s="57" t="s">
        <v>2650</v>
      </c>
      <c r="E20" s="50" t="s">
        <v>3690</v>
      </c>
      <c r="F20" s="50" t="s">
        <v>3690</v>
      </c>
      <c r="G20" s="50" t="s">
        <v>3690</v>
      </c>
      <c r="H20" s="50" t="s">
        <v>3690</v>
      </c>
      <c r="I20" s="50"/>
      <c r="J20" s="50"/>
      <c r="K20" s="50"/>
      <c r="L20" s="50"/>
      <c r="M20" s="50"/>
      <c r="N20" s="50"/>
      <c r="O20" s="50"/>
      <c r="P20" s="50" t="s">
        <v>3691</v>
      </c>
      <c r="Q20" s="585">
        <v>36526</v>
      </c>
      <c r="R20" s="50" t="s">
        <v>4362</v>
      </c>
      <c r="S20" s="50" t="str">
        <f t="shared" si="0"/>
        <v>NO</v>
      </c>
    </row>
    <row r="21" spans="1:19" ht="14.5" x14ac:dyDescent="0.25">
      <c r="A21" s="584" t="s">
        <v>2659</v>
      </c>
      <c r="B21" s="50" t="s">
        <v>3546</v>
      </c>
      <c r="C21" s="50" t="s">
        <v>3693</v>
      </c>
      <c r="D21" s="57" t="s">
        <v>2659</v>
      </c>
      <c r="E21" s="50" t="s">
        <v>3690</v>
      </c>
      <c r="F21" s="50" t="s">
        <v>3690</v>
      </c>
      <c r="G21" s="50" t="s">
        <v>3690</v>
      </c>
      <c r="H21" s="50" t="s">
        <v>3690</v>
      </c>
      <c r="I21" s="50"/>
      <c r="J21" s="50"/>
      <c r="K21" s="50"/>
      <c r="L21" s="50"/>
      <c r="M21" s="50"/>
      <c r="N21" s="50"/>
      <c r="O21" s="50"/>
      <c r="P21" s="50" t="s">
        <v>3691</v>
      </c>
      <c r="Q21" s="585">
        <v>36526</v>
      </c>
      <c r="R21" s="50" t="s">
        <v>4362</v>
      </c>
      <c r="S21" s="50" t="str">
        <f t="shared" si="0"/>
        <v>NO</v>
      </c>
    </row>
    <row r="22" spans="1:19" ht="14.5" x14ac:dyDescent="0.25">
      <c r="A22" s="584" t="s">
        <v>2654</v>
      </c>
      <c r="B22" s="50" t="s">
        <v>3547</v>
      </c>
      <c r="C22" s="50" t="s">
        <v>3695</v>
      </c>
      <c r="D22" s="57" t="s">
        <v>2654</v>
      </c>
      <c r="E22" s="50" t="s">
        <v>3690</v>
      </c>
      <c r="F22" s="50" t="s">
        <v>3690</v>
      </c>
      <c r="G22" s="50" t="s">
        <v>3690</v>
      </c>
      <c r="H22" s="50" t="s">
        <v>3690</v>
      </c>
      <c r="I22" s="50"/>
      <c r="J22" s="50"/>
      <c r="K22" s="50"/>
      <c r="L22" s="50"/>
      <c r="M22" s="50"/>
      <c r="N22" s="50"/>
      <c r="O22" s="50"/>
      <c r="P22" s="50" t="s">
        <v>3691</v>
      </c>
      <c r="Q22" s="585">
        <v>36526</v>
      </c>
      <c r="R22" s="50" t="s">
        <v>4362</v>
      </c>
      <c r="S22" s="50" t="str">
        <f t="shared" si="0"/>
        <v>NO</v>
      </c>
    </row>
    <row r="23" spans="1:19" ht="14.5" x14ac:dyDescent="0.25">
      <c r="A23" s="584" t="s">
        <v>2661</v>
      </c>
      <c r="B23" s="50" t="s">
        <v>3548</v>
      </c>
      <c r="C23" s="50" t="s">
        <v>3696</v>
      </c>
      <c r="D23" s="57" t="s">
        <v>2661</v>
      </c>
      <c r="E23" s="50" t="s">
        <v>3690</v>
      </c>
      <c r="F23" s="50" t="s">
        <v>3690</v>
      </c>
      <c r="G23" s="50" t="s">
        <v>3690</v>
      </c>
      <c r="H23" s="50" t="s">
        <v>3690</v>
      </c>
      <c r="I23" s="50"/>
      <c r="J23" s="50"/>
      <c r="K23" s="50"/>
      <c r="L23" s="50"/>
      <c r="M23" s="50"/>
      <c r="N23" s="50"/>
      <c r="O23" s="50"/>
      <c r="P23" s="50" t="s">
        <v>3691</v>
      </c>
      <c r="Q23" s="585">
        <v>36526</v>
      </c>
      <c r="R23" s="50" t="s">
        <v>4362</v>
      </c>
      <c r="S23" s="50" t="str">
        <f t="shared" si="0"/>
        <v>NO</v>
      </c>
    </row>
    <row r="24" spans="1:19" ht="14.5" x14ac:dyDescent="0.25">
      <c r="A24" s="584" t="s">
        <v>2657</v>
      </c>
      <c r="B24" s="50" t="s">
        <v>3549</v>
      </c>
      <c r="C24" s="50" t="s">
        <v>3693</v>
      </c>
      <c r="D24" s="57" t="s">
        <v>2657</v>
      </c>
      <c r="E24" s="50" t="s">
        <v>3690</v>
      </c>
      <c r="F24" s="50" t="s">
        <v>3690</v>
      </c>
      <c r="G24" s="50" t="s">
        <v>3690</v>
      </c>
      <c r="H24" s="50" t="s">
        <v>3690</v>
      </c>
      <c r="I24" s="50"/>
      <c r="J24" s="50"/>
      <c r="K24" s="50"/>
      <c r="L24" s="50"/>
      <c r="M24" s="50"/>
      <c r="N24" s="50"/>
      <c r="O24" s="50"/>
      <c r="P24" s="50" t="s">
        <v>3691</v>
      </c>
      <c r="Q24" s="585">
        <v>36526</v>
      </c>
      <c r="R24" s="50" t="s">
        <v>4362</v>
      </c>
      <c r="S24" s="50" t="str">
        <f t="shared" si="0"/>
        <v>NO</v>
      </c>
    </row>
    <row r="25" spans="1:19" ht="14.5" x14ac:dyDescent="0.25">
      <c r="A25" s="584" t="s">
        <v>2656</v>
      </c>
      <c r="B25" s="50" t="s">
        <v>3550</v>
      </c>
      <c r="C25" s="50" t="s">
        <v>3697</v>
      </c>
      <c r="D25" s="57" t="s">
        <v>2656</v>
      </c>
      <c r="E25" s="50" t="s">
        <v>3690</v>
      </c>
      <c r="F25" s="50" t="s">
        <v>3690</v>
      </c>
      <c r="G25" s="50" t="s">
        <v>3690</v>
      </c>
      <c r="H25" s="50" t="s">
        <v>3690</v>
      </c>
      <c r="I25" s="50"/>
      <c r="J25" s="50"/>
      <c r="K25" s="50"/>
      <c r="L25" s="50"/>
      <c r="M25" s="50"/>
      <c r="N25" s="50"/>
      <c r="O25" s="50"/>
      <c r="P25" s="50" t="s">
        <v>3691</v>
      </c>
      <c r="Q25" s="585">
        <v>36526</v>
      </c>
      <c r="R25" s="50" t="s">
        <v>4362</v>
      </c>
      <c r="S25" s="50" t="str">
        <f t="shared" si="0"/>
        <v>NO</v>
      </c>
    </row>
    <row r="26" spans="1:19" ht="14.5" x14ac:dyDescent="0.25">
      <c r="A26" s="584" t="s">
        <v>2762</v>
      </c>
      <c r="B26" s="50" t="s">
        <v>3551</v>
      </c>
      <c r="C26" s="50" t="s">
        <v>3692</v>
      </c>
      <c r="D26" s="57" t="s">
        <v>2762</v>
      </c>
      <c r="E26" s="50" t="s">
        <v>3690</v>
      </c>
      <c r="F26" s="50" t="s">
        <v>3690</v>
      </c>
      <c r="G26" s="50" t="s">
        <v>3690</v>
      </c>
      <c r="H26" s="50" t="s">
        <v>3690</v>
      </c>
      <c r="I26" s="50"/>
      <c r="J26" s="50"/>
      <c r="K26" s="50"/>
      <c r="L26" s="50"/>
      <c r="M26" s="50"/>
      <c r="N26" s="50"/>
      <c r="O26" s="50"/>
      <c r="P26" s="50" t="s">
        <v>3691</v>
      </c>
      <c r="Q26" s="585">
        <v>36526</v>
      </c>
      <c r="R26" s="50" t="s">
        <v>4362</v>
      </c>
      <c r="S26" s="50" t="str">
        <f t="shared" si="0"/>
        <v>NO</v>
      </c>
    </row>
    <row r="27" spans="1:19" ht="14.5" x14ac:dyDescent="0.25">
      <c r="A27" s="584" t="s">
        <v>2761</v>
      </c>
      <c r="B27" s="50" t="s">
        <v>3552</v>
      </c>
      <c r="C27" s="50" t="s">
        <v>3692</v>
      </c>
      <c r="D27" s="57" t="s">
        <v>2761</v>
      </c>
      <c r="E27" s="50" t="s">
        <v>3690</v>
      </c>
      <c r="F27" s="50" t="s">
        <v>3690</v>
      </c>
      <c r="G27" s="50" t="s">
        <v>3690</v>
      </c>
      <c r="H27" s="50" t="s">
        <v>3690</v>
      </c>
      <c r="I27" s="50"/>
      <c r="J27" s="50"/>
      <c r="K27" s="50"/>
      <c r="L27" s="50"/>
      <c r="M27" s="50"/>
      <c r="N27" s="50"/>
      <c r="O27" s="50"/>
      <c r="P27" s="50" t="s">
        <v>3691</v>
      </c>
      <c r="Q27" s="585">
        <v>36526</v>
      </c>
      <c r="R27" s="50" t="s">
        <v>4362</v>
      </c>
      <c r="S27" s="50" t="str">
        <f t="shared" si="0"/>
        <v>NO</v>
      </c>
    </row>
    <row r="28" spans="1:19" ht="14.5" x14ac:dyDescent="0.25">
      <c r="A28" s="584" t="s">
        <v>2906</v>
      </c>
      <c r="B28" s="50" t="s">
        <v>3553</v>
      </c>
      <c r="C28" s="50" t="s">
        <v>3692</v>
      </c>
      <c r="D28" s="57" t="s">
        <v>2906</v>
      </c>
      <c r="E28" s="50" t="s">
        <v>3690</v>
      </c>
      <c r="F28" s="50" t="s">
        <v>3690</v>
      </c>
      <c r="G28" s="50" t="s">
        <v>3690</v>
      </c>
      <c r="H28" s="50" t="s">
        <v>3690</v>
      </c>
      <c r="I28" s="50"/>
      <c r="J28" s="50"/>
      <c r="K28" s="50"/>
      <c r="L28" s="50"/>
      <c r="M28" s="50"/>
      <c r="N28" s="50"/>
      <c r="O28" s="50"/>
      <c r="P28" s="50" t="s">
        <v>3691</v>
      </c>
      <c r="Q28" s="585">
        <v>36526</v>
      </c>
      <c r="R28" s="50" t="s">
        <v>4362</v>
      </c>
      <c r="S28" s="50" t="str">
        <f t="shared" si="0"/>
        <v>NO</v>
      </c>
    </row>
    <row r="29" spans="1:19" ht="14.5" x14ac:dyDescent="0.25">
      <c r="A29" s="584" t="s">
        <v>2757</v>
      </c>
      <c r="B29" s="50" t="s">
        <v>3554</v>
      </c>
      <c r="C29" s="50" t="s">
        <v>3692</v>
      </c>
      <c r="D29" s="57" t="s">
        <v>2757</v>
      </c>
      <c r="E29" s="50" t="s">
        <v>3690</v>
      </c>
      <c r="F29" s="50" t="s">
        <v>3690</v>
      </c>
      <c r="G29" s="50" t="s">
        <v>3690</v>
      </c>
      <c r="H29" s="50" t="s">
        <v>3690</v>
      </c>
      <c r="I29" s="50"/>
      <c r="J29" s="50"/>
      <c r="K29" s="50"/>
      <c r="L29" s="50"/>
      <c r="M29" s="50"/>
      <c r="N29" s="50"/>
      <c r="O29" s="50"/>
      <c r="P29" s="50" t="s">
        <v>3691</v>
      </c>
      <c r="Q29" s="585">
        <v>36526</v>
      </c>
      <c r="R29" s="50" t="s">
        <v>4362</v>
      </c>
      <c r="S29" s="50" t="str">
        <f t="shared" si="0"/>
        <v>NO</v>
      </c>
    </row>
    <row r="30" spans="1:19" ht="14.5" x14ac:dyDescent="0.25">
      <c r="A30" s="584" t="s">
        <v>2907</v>
      </c>
      <c r="B30" s="50" t="s">
        <v>3555</v>
      </c>
      <c r="C30" s="50" t="s">
        <v>3692</v>
      </c>
      <c r="D30" s="57" t="s">
        <v>2907</v>
      </c>
      <c r="E30" s="50" t="s">
        <v>3690</v>
      </c>
      <c r="F30" s="50" t="s">
        <v>3690</v>
      </c>
      <c r="G30" s="50" t="s">
        <v>3690</v>
      </c>
      <c r="H30" s="50" t="s">
        <v>3690</v>
      </c>
      <c r="I30" s="50"/>
      <c r="J30" s="50"/>
      <c r="K30" s="50"/>
      <c r="L30" s="50"/>
      <c r="M30" s="50"/>
      <c r="N30" s="50"/>
      <c r="O30" s="50"/>
      <c r="P30" s="50" t="s">
        <v>3691</v>
      </c>
      <c r="Q30" s="585">
        <v>36526</v>
      </c>
      <c r="R30" s="50" t="s">
        <v>4362</v>
      </c>
      <c r="S30" s="50" t="str">
        <f t="shared" si="0"/>
        <v>NO</v>
      </c>
    </row>
    <row r="31" spans="1:19" ht="14.5" x14ac:dyDescent="0.25">
      <c r="A31" s="584" t="s">
        <v>2824</v>
      </c>
      <c r="B31" s="50" t="s">
        <v>3556</v>
      </c>
      <c r="C31" s="50" t="s">
        <v>3696</v>
      </c>
      <c r="D31" s="57" t="s">
        <v>2824</v>
      </c>
      <c r="E31" s="50" t="s">
        <v>3690</v>
      </c>
      <c r="F31" s="50" t="s">
        <v>3690</v>
      </c>
      <c r="G31" s="50" t="s">
        <v>3690</v>
      </c>
      <c r="H31" s="50" t="s">
        <v>3690</v>
      </c>
      <c r="I31" s="50"/>
      <c r="J31" s="50"/>
      <c r="K31" s="50"/>
      <c r="L31" s="50"/>
      <c r="M31" s="50"/>
      <c r="N31" s="50"/>
      <c r="O31" s="50"/>
      <c r="P31" s="50" t="s">
        <v>3691</v>
      </c>
      <c r="Q31" s="585">
        <v>36526</v>
      </c>
      <c r="R31" s="50" t="s">
        <v>4362</v>
      </c>
      <c r="S31" s="50" t="str">
        <f t="shared" si="0"/>
        <v>NO</v>
      </c>
    </row>
    <row r="32" spans="1:19" ht="14.5" x14ac:dyDescent="0.25">
      <c r="A32" s="584" t="s">
        <v>2655</v>
      </c>
      <c r="B32" s="50" t="s">
        <v>3557</v>
      </c>
      <c r="C32" s="50" t="s">
        <v>3697</v>
      </c>
      <c r="D32" s="57" t="s">
        <v>2655</v>
      </c>
      <c r="E32" s="50" t="s">
        <v>3690</v>
      </c>
      <c r="F32" s="50" t="s">
        <v>3690</v>
      </c>
      <c r="G32" s="50" t="s">
        <v>3690</v>
      </c>
      <c r="H32" s="50" t="s">
        <v>3690</v>
      </c>
      <c r="I32" s="50"/>
      <c r="J32" s="50"/>
      <c r="K32" s="50"/>
      <c r="L32" s="50"/>
      <c r="M32" s="50"/>
      <c r="N32" s="50"/>
      <c r="O32" s="50"/>
      <c r="P32" s="50" t="s">
        <v>3691</v>
      </c>
      <c r="Q32" s="585">
        <v>36526</v>
      </c>
      <c r="R32" s="50" t="s">
        <v>4362</v>
      </c>
      <c r="S32" s="50" t="str">
        <f t="shared" si="0"/>
        <v>NO</v>
      </c>
    </row>
    <row r="33" spans="1:19" ht="14.5" x14ac:dyDescent="0.25">
      <c r="A33" s="584" t="s">
        <v>2645</v>
      </c>
      <c r="B33" s="50" t="s">
        <v>3558</v>
      </c>
      <c r="C33" s="50" t="s">
        <v>3698</v>
      </c>
      <c r="D33" s="57" t="s">
        <v>2645</v>
      </c>
      <c r="E33" s="50" t="s">
        <v>3690</v>
      </c>
      <c r="F33" s="50" t="s">
        <v>3690</v>
      </c>
      <c r="G33" s="50" t="s">
        <v>3690</v>
      </c>
      <c r="H33" s="50" t="s">
        <v>3690</v>
      </c>
      <c r="I33" s="50"/>
      <c r="J33" s="50"/>
      <c r="K33" s="50"/>
      <c r="L33" s="50"/>
      <c r="M33" s="50"/>
      <c r="N33" s="50"/>
      <c r="O33" s="50"/>
      <c r="P33" s="50" t="s">
        <v>3691</v>
      </c>
      <c r="Q33" s="585">
        <v>36526</v>
      </c>
      <c r="R33" s="50" t="s">
        <v>4362</v>
      </c>
      <c r="S33" s="50" t="str">
        <f t="shared" si="0"/>
        <v>NO</v>
      </c>
    </row>
    <row r="34" spans="1:19" ht="14.5" x14ac:dyDescent="0.25">
      <c r="A34" s="584" t="s">
        <v>2958</v>
      </c>
      <c r="B34" s="50" t="s">
        <v>4111</v>
      </c>
      <c r="C34" s="50" t="s">
        <v>3984</v>
      </c>
      <c r="D34" s="57" t="s">
        <v>4112</v>
      </c>
      <c r="E34" s="50" t="s">
        <v>3560</v>
      </c>
      <c r="F34" s="50" t="s">
        <v>3561</v>
      </c>
      <c r="G34" s="50" t="s">
        <v>3785</v>
      </c>
      <c r="H34" s="50" t="s">
        <v>3563</v>
      </c>
      <c r="I34" s="50" t="s">
        <v>2817</v>
      </c>
      <c r="J34" s="50"/>
      <c r="K34" s="586"/>
      <c r="L34" s="587" t="s">
        <v>3986</v>
      </c>
      <c r="M34" s="50" t="s">
        <v>3657</v>
      </c>
      <c r="N34" s="50"/>
      <c r="O34" s="50"/>
      <c r="P34" s="50" t="s">
        <v>2958</v>
      </c>
      <c r="Q34" s="585">
        <v>44530.75104166667</v>
      </c>
      <c r="R34" s="50" t="s">
        <v>4362</v>
      </c>
      <c r="S34" s="50" t="str">
        <f t="shared" si="0"/>
        <v>YES</v>
      </c>
    </row>
    <row r="35" spans="1:19" ht="14.5" x14ac:dyDescent="0.25">
      <c r="A35" s="584" t="s">
        <v>300</v>
      </c>
      <c r="B35" s="50" t="s">
        <v>3328</v>
      </c>
      <c r="C35" s="50" t="s">
        <v>2917</v>
      </c>
      <c r="D35" s="57" t="s">
        <v>4110</v>
      </c>
      <c r="E35" s="50" t="s">
        <v>3617</v>
      </c>
      <c r="F35" s="50" t="s">
        <v>3618</v>
      </c>
      <c r="G35" s="50" t="s">
        <v>3816</v>
      </c>
      <c r="H35" s="50" t="s">
        <v>3563</v>
      </c>
      <c r="I35" s="50" t="s">
        <v>2918</v>
      </c>
      <c r="J35" s="50" t="s">
        <v>3818</v>
      </c>
      <c r="K35" s="586">
        <v>8.6999999999999994E-2</v>
      </c>
      <c r="L35" s="588" t="s">
        <v>3673</v>
      </c>
      <c r="M35" s="50" t="s">
        <v>4076</v>
      </c>
      <c r="N35" s="50">
        <v>12</v>
      </c>
      <c r="O35" s="50">
        <v>1</v>
      </c>
      <c r="P35" s="50" t="s">
        <v>300</v>
      </c>
      <c r="Q35" s="585">
        <v>44544.770567129628</v>
      </c>
      <c r="R35" s="50" t="s">
        <v>4361</v>
      </c>
      <c r="S35" s="50" t="str">
        <f t="shared" si="0"/>
        <v>YES</v>
      </c>
    </row>
    <row r="36" spans="1:19" ht="14.5" x14ac:dyDescent="0.25">
      <c r="A36" s="584" t="s">
        <v>2922</v>
      </c>
      <c r="B36" s="50" t="s">
        <v>3680</v>
      </c>
      <c r="C36" s="50" t="s">
        <v>2917</v>
      </c>
      <c r="D36" s="57" t="s">
        <v>4109</v>
      </c>
      <c r="E36" s="50" t="s">
        <v>3617</v>
      </c>
      <c r="F36" s="50" t="s">
        <v>3618</v>
      </c>
      <c r="G36" s="50" t="s">
        <v>3816</v>
      </c>
      <c r="H36" s="50" t="s">
        <v>3563</v>
      </c>
      <c r="I36" s="50" t="s">
        <v>2918</v>
      </c>
      <c r="J36" s="50" t="s">
        <v>3818</v>
      </c>
      <c r="K36" s="586">
        <v>8.6999999999999994E-2</v>
      </c>
      <c r="L36" s="588" t="s">
        <v>3673</v>
      </c>
      <c r="M36" s="50" t="s">
        <v>4076</v>
      </c>
      <c r="N36" s="50">
        <v>12</v>
      </c>
      <c r="O36" s="50">
        <v>1</v>
      </c>
      <c r="P36" s="50" t="s">
        <v>2922</v>
      </c>
      <c r="Q36" s="585">
        <v>44544.77684027778</v>
      </c>
      <c r="R36" s="50" t="s">
        <v>4361</v>
      </c>
      <c r="S36" s="50" t="str">
        <f t="shared" si="0"/>
        <v>YES</v>
      </c>
    </row>
    <row r="37" spans="1:19" ht="14.5" x14ac:dyDescent="0.25">
      <c r="A37" s="584" t="s">
        <v>2959</v>
      </c>
      <c r="B37" s="50" t="s">
        <v>3679</v>
      </c>
      <c r="C37" s="50" t="s">
        <v>4107</v>
      </c>
      <c r="D37" s="57" t="s">
        <v>4108</v>
      </c>
      <c r="E37" s="50" t="s">
        <v>3560</v>
      </c>
      <c r="F37" s="50" t="s">
        <v>4102</v>
      </c>
      <c r="G37" s="50" t="s">
        <v>4102</v>
      </c>
      <c r="H37" s="50" t="s">
        <v>3872</v>
      </c>
      <c r="I37" s="50" t="s">
        <v>2817</v>
      </c>
      <c r="J37" s="50"/>
      <c r="K37" s="586"/>
      <c r="L37" s="589" t="s">
        <v>4104</v>
      </c>
      <c r="M37" s="50" t="s">
        <v>4104</v>
      </c>
      <c r="N37" s="50"/>
      <c r="O37" s="50"/>
      <c r="P37" s="50" t="s">
        <v>2959</v>
      </c>
      <c r="Q37" s="585">
        <v>44554.588888888888</v>
      </c>
      <c r="R37" s="50" t="s">
        <v>4362</v>
      </c>
      <c r="S37" s="50" t="str">
        <f t="shared" si="0"/>
        <v>YES</v>
      </c>
    </row>
    <row r="38" spans="1:19" ht="14.5" x14ac:dyDescent="0.25">
      <c r="A38" s="584" t="s">
        <v>2827</v>
      </c>
      <c r="B38" s="50" t="s">
        <v>3678</v>
      </c>
      <c r="C38" s="50" t="s">
        <v>2823</v>
      </c>
      <c r="D38" s="57" t="s">
        <v>4106</v>
      </c>
      <c r="E38" s="50" t="s">
        <v>3560</v>
      </c>
      <c r="F38" s="50" t="s">
        <v>3659</v>
      </c>
      <c r="G38" s="50" t="s">
        <v>4027</v>
      </c>
      <c r="H38" s="50" t="s">
        <v>3569</v>
      </c>
      <c r="I38" s="50" t="s">
        <v>2817</v>
      </c>
      <c r="J38" s="50" t="s">
        <v>2818</v>
      </c>
      <c r="K38" s="586">
        <v>8.1000000000000003E-2</v>
      </c>
      <c r="L38" s="590" t="s">
        <v>3660</v>
      </c>
      <c r="M38" s="50" t="s">
        <v>4028</v>
      </c>
      <c r="N38" s="50">
        <v>4</v>
      </c>
      <c r="O38" s="50">
        <v>1</v>
      </c>
      <c r="P38" s="50" t="s">
        <v>2827</v>
      </c>
      <c r="Q38" s="585">
        <v>44559.605370370373</v>
      </c>
      <c r="R38" s="50" t="s">
        <v>3659</v>
      </c>
      <c r="S38" s="50" t="str">
        <f t="shared" si="0"/>
        <v>YES</v>
      </c>
    </row>
    <row r="39" spans="1:19" ht="14.5" x14ac:dyDescent="0.25">
      <c r="A39" s="584" t="s">
        <v>594</v>
      </c>
      <c r="B39" s="50" t="s">
        <v>3214</v>
      </c>
      <c r="C39" s="50" t="s">
        <v>2822</v>
      </c>
      <c r="D39" s="57" t="s">
        <v>4105</v>
      </c>
      <c r="E39" s="50" t="s">
        <v>3560</v>
      </c>
      <c r="F39" s="50" t="s">
        <v>3659</v>
      </c>
      <c r="G39" s="50" t="s">
        <v>4090</v>
      </c>
      <c r="H39" s="50" t="s">
        <v>3569</v>
      </c>
      <c r="I39" s="50" t="s">
        <v>2817</v>
      </c>
      <c r="J39" s="50" t="s">
        <v>2818</v>
      </c>
      <c r="K39" s="586">
        <v>8.1000000000000003E-2</v>
      </c>
      <c r="L39" s="590" t="s">
        <v>3660</v>
      </c>
      <c r="M39" s="50" t="s">
        <v>4028</v>
      </c>
      <c r="N39" s="50">
        <v>36</v>
      </c>
      <c r="O39" s="50">
        <v>1</v>
      </c>
      <c r="P39" s="50" t="s">
        <v>594</v>
      </c>
      <c r="Q39" s="585">
        <v>44574.751875000002</v>
      </c>
      <c r="R39" s="50" t="s">
        <v>4365</v>
      </c>
      <c r="S39" s="50" t="str">
        <f t="shared" si="0"/>
        <v>YES</v>
      </c>
    </row>
    <row r="40" spans="1:19" ht="14.5" x14ac:dyDescent="0.25">
      <c r="A40" s="584" t="s">
        <v>2960</v>
      </c>
      <c r="B40" s="50" t="s">
        <v>3677</v>
      </c>
      <c r="C40" s="50" t="s">
        <v>4100</v>
      </c>
      <c r="D40" s="57" t="s">
        <v>4101</v>
      </c>
      <c r="E40" s="50" t="s">
        <v>3560</v>
      </c>
      <c r="F40" s="50" t="s">
        <v>4102</v>
      </c>
      <c r="G40" s="50" t="s">
        <v>4103</v>
      </c>
      <c r="H40" s="50" t="s">
        <v>3872</v>
      </c>
      <c r="I40" s="50" t="s">
        <v>2817</v>
      </c>
      <c r="J40" s="50"/>
      <c r="K40" s="586"/>
      <c r="L40" s="589" t="s">
        <v>4104</v>
      </c>
      <c r="M40" s="50" t="s">
        <v>4104</v>
      </c>
      <c r="N40" s="50"/>
      <c r="O40" s="50"/>
      <c r="P40" s="50" t="s">
        <v>2960</v>
      </c>
      <c r="Q40" s="585">
        <v>44581.405543981484</v>
      </c>
      <c r="R40" s="50" t="s">
        <v>4362</v>
      </c>
      <c r="S40" s="50" t="str">
        <f t="shared" si="0"/>
        <v>YES</v>
      </c>
    </row>
    <row r="41" spans="1:19" ht="14.5" x14ac:dyDescent="0.25">
      <c r="A41" s="584" t="s">
        <v>2921</v>
      </c>
      <c r="B41" s="50" t="s">
        <v>3676</v>
      </c>
      <c r="C41" s="50" t="s">
        <v>2917</v>
      </c>
      <c r="D41" s="57" t="s">
        <v>4099</v>
      </c>
      <c r="E41" s="50" t="s">
        <v>3617</v>
      </c>
      <c r="F41" s="50" t="s">
        <v>3618</v>
      </c>
      <c r="G41" s="50" t="s">
        <v>3816</v>
      </c>
      <c r="H41" s="50" t="s">
        <v>3563</v>
      </c>
      <c r="I41" s="50" t="s">
        <v>2918</v>
      </c>
      <c r="J41" s="50" t="s">
        <v>3818</v>
      </c>
      <c r="K41" s="586">
        <v>8.6999999999999994E-2</v>
      </c>
      <c r="L41" s="588" t="s">
        <v>3673</v>
      </c>
      <c r="M41" s="50" t="s">
        <v>4076</v>
      </c>
      <c r="N41" s="50">
        <v>12</v>
      </c>
      <c r="O41" s="50">
        <v>1</v>
      </c>
      <c r="P41" s="50" t="s">
        <v>2921</v>
      </c>
      <c r="Q41" s="585">
        <v>44718.57608796296</v>
      </c>
      <c r="R41" s="50" t="s">
        <v>4361</v>
      </c>
      <c r="S41" s="50" t="str">
        <f t="shared" si="0"/>
        <v>YES</v>
      </c>
    </row>
    <row r="42" spans="1:19" ht="14.5" x14ac:dyDescent="0.25">
      <c r="A42" s="584" t="s">
        <v>564</v>
      </c>
      <c r="B42" s="50" t="s">
        <v>3375</v>
      </c>
      <c r="C42" s="50" t="s">
        <v>2917</v>
      </c>
      <c r="D42" s="57" t="s">
        <v>4098</v>
      </c>
      <c r="E42" s="50" t="s">
        <v>3617</v>
      </c>
      <c r="F42" s="50" t="s">
        <v>3618</v>
      </c>
      <c r="G42" s="50" t="s">
        <v>3816</v>
      </c>
      <c r="H42" s="50" t="s">
        <v>3563</v>
      </c>
      <c r="I42" s="50" t="s">
        <v>2918</v>
      </c>
      <c r="J42" s="50" t="s">
        <v>3818</v>
      </c>
      <c r="K42" s="586">
        <v>8.6999999999999994E-2</v>
      </c>
      <c r="L42" s="588" t="s">
        <v>3673</v>
      </c>
      <c r="M42" s="50" t="s">
        <v>4076</v>
      </c>
      <c r="N42" s="50">
        <v>12</v>
      </c>
      <c r="O42" s="50">
        <v>1</v>
      </c>
      <c r="P42" s="50" t="s">
        <v>564</v>
      </c>
      <c r="Q42" s="585">
        <v>44718.57675925926</v>
      </c>
      <c r="R42" s="50" t="s">
        <v>4361</v>
      </c>
      <c r="S42" s="50" t="str">
        <f t="shared" si="0"/>
        <v>YES</v>
      </c>
    </row>
    <row r="43" spans="1:19" ht="14.5" x14ac:dyDescent="0.25">
      <c r="A43" s="584" t="s">
        <v>296</v>
      </c>
      <c r="B43" s="50" t="s">
        <v>3326</v>
      </c>
      <c r="C43" s="50" t="s">
        <v>2917</v>
      </c>
      <c r="D43" s="57" t="s">
        <v>4097</v>
      </c>
      <c r="E43" s="50" t="s">
        <v>3617</v>
      </c>
      <c r="F43" s="50" t="s">
        <v>3618</v>
      </c>
      <c r="G43" s="50" t="s">
        <v>3816</v>
      </c>
      <c r="H43" s="50" t="s">
        <v>3563</v>
      </c>
      <c r="I43" s="50" t="s">
        <v>2918</v>
      </c>
      <c r="J43" s="50" t="s">
        <v>3818</v>
      </c>
      <c r="K43" s="586">
        <v>8.6999999999999994E-2</v>
      </c>
      <c r="L43" s="588" t="s">
        <v>3673</v>
      </c>
      <c r="M43" s="50" t="s">
        <v>4076</v>
      </c>
      <c r="N43" s="50">
        <v>12</v>
      </c>
      <c r="O43" s="50">
        <v>1</v>
      </c>
      <c r="P43" s="50" t="s">
        <v>296</v>
      </c>
      <c r="Q43" s="585">
        <v>44719.407604166663</v>
      </c>
      <c r="R43" s="50" t="s">
        <v>4361</v>
      </c>
      <c r="S43" s="50" t="str">
        <f t="shared" si="0"/>
        <v>YES</v>
      </c>
    </row>
    <row r="44" spans="1:19" ht="14.5" x14ac:dyDescent="0.25">
      <c r="A44" s="584" t="s">
        <v>667</v>
      </c>
      <c r="B44" s="50" t="s">
        <v>3384</v>
      </c>
      <c r="C44" s="50" t="s">
        <v>2920</v>
      </c>
      <c r="D44" s="57" t="s">
        <v>4096</v>
      </c>
      <c r="E44" s="50" t="s">
        <v>3617</v>
      </c>
      <c r="F44" s="50" t="s">
        <v>3618</v>
      </c>
      <c r="G44" s="50" t="s">
        <v>3816</v>
      </c>
      <c r="H44" s="50" t="s">
        <v>3563</v>
      </c>
      <c r="I44" s="50" t="s">
        <v>2815</v>
      </c>
      <c r="J44" s="50" t="s">
        <v>3818</v>
      </c>
      <c r="K44" s="586">
        <v>8.6999999999999994E-2</v>
      </c>
      <c r="L44" s="588" t="s">
        <v>3673</v>
      </c>
      <c r="M44" s="50" t="s">
        <v>4076</v>
      </c>
      <c r="N44" s="50">
        <v>12</v>
      </c>
      <c r="O44" s="50">
        <v>1</v>
      </c>
      <c r="P44" s="50" t="s">
        <v>667</v>
      </c>
      <c r="Q44" s="585">
        <v>44729.412546296298</v>
      </c>
      <c r="R44" s="50" t="s">
        <v>4361</v>
      </c>
      <c r="S44" s="50" t="str">
        <f t="shared" si="0"/>
        <v>YES</v>
      </c>
    </row>
    <row r="45" spans="1:19" ht="14.5" x14ac:dyDescent="0.25">
      <c r="A45" s="584" t="s">
        <v>673</v>
      </c>
      <c r="B45" s="50" t="s">
        <v>3387</v>
      </c>
      <c r="C45" s="50" t="s">
        <v>2920</v>
      </c>
      <c r="D45" s="57" t="s">
        <v>4095</v>
      </c>
      <c r="E45" s="50" t="s">
        <v>3617</v>
      </c>
      <c r="F45" s="50" t="s">
        <v>3618</v>
      </c>
      <c r="G45" s="50" t="s">
        <v>3816</v>
      </c>
      <c r="H45" s="50" t="s">
        <v>3563</v>
      </c>
      <c r="I45" s="50" t="s">
        <v>2815</v>
      </c>
      <c r="J45" s="50" t="s">
        <v>3818</v>
      </c>
      <c r="K45" s="586">
        <v>8.6999999999999994E-2</v>
      </c>
      <c r="L45" s="588" t="s">
        <v>3673</v>
      </c>
      <c r="M45" s="50" t="s">
        <v>4076</v>
      </c>
      <c r="N45" s="50">
        <v>12</v>
      </c>
      <c r="O45" s="50">
        <v>1</v>
      </c>
      <c r="P45" s="50" t="s">
        <v>673</v>
      </c>
      <c r="Q45" s="585">
        <v>44763.707199074073</v>
      </c>
      <c r="R45" s="50" t="s">
        <v>4361</v>
      </c>
      <c r="S45" s="50" t="str">
        <f t="shared" si="0"/>
        <v>YES</v>
      </c>
    </row>
    <row r="46" spans="1:19" ht="14.5" x14ac:dyDescent="0.25">
      <c r="A46" s="584" t="s">
        <v>669</v>
      </c>
      <c r="B46" s="50" t="s">
        <v>3385</v>
      </c>
      <c r="C46" s="50" t="s">
        <v>2920</v>
      </c>
      <c r="D46" s="57" t="s">
        <v>4094</v>
      </c>
      <c r="E46" s="50" t="s">
        <v>3617</v>
      </c>
      <c r="F46" s="50" t="s">
        <v>3618</v>
      </c>
      <c r="G46" s="50" t="s">
        <v>3816</v>
      </c>
      <c r="H46" s="50" t="s">
        <v>3563</v>
      </c>
      <c r="I46" s="50" t="s">
        <v>2815</v>
      </c>
      <c r="J46" s="50" t="s">
        <v>3818</v>
      </c>
      <c r="K46" s="586">
        <v>8.6999999999999994E-2</v>
      </c>
      <c r="L46" s="588" t="s">
        <v>3673</v>
      </c>
      <c r="M46" s="50" t="s">
        <v>4076</v>
      </c>
      <c r="N46" s="50">
        <v>12</v>
      </c>
      <c r="O46" s="50">
        <v>1</v>
      </c>
      <c r="P46" s="50" t="s">
        <v>669</v>
      </c>
      <c r="Q46" s="585">
        <v>44763.759953703702</v>
      </c>
      <c r="R46" s="50" t="s">
        <v>4361</v>
      </c>
      <c r="S46" s="50" t="str">
        <f t="shared" si="0"/>
        <v>YES</v>
      </c>
    </row>
    <row r="47" spans="1:19" ht="14.5" x14ac:dyDescent="0.25">
      <c r="A47" s="584" t="s">
        <v>2816</v>
      </c>
      <c r="B47" s="50" t="s">
        <v>3675</v>
      </c>
      <c r="C47" s="50" t="s">
        <v>2814</v>
      </c>
      <c r="D47" s="57" t="s">
        <v>4093</v>
      </c>
      <c r="E47" s="50" t="s">
        <v>3617</v>
      </c>
      <c r="F47" s="50" t="s">
        <v>3629</v>
      </c>
      <c r="G47" s="50" t="s">
        <v>3937</v>
      </c>
      <c r="H47" s="50" t="s">
        <v>3569</v>
      </c>
      <c r="I47" s="50" t="s">
        <v>2815</v>
      </c>
      <c r="J47" s="50" t="s">
        <v>3818</v>
      </c>
      <c r="K47" s="586">
        <v>8.6999999999999994E-2</v>
      </c>
      <c r="L47" s="588" t="s">
        <v>3673</v>
      </c>
      <c r="M47" s="50" t="s">
        <v>4076</v>
      </c>
      <c r="N47" s="50">
        <v>12</v>
      </c>
      <c r="O47" s="50">
        <v>1</v>
      </c>
      <c r="P47" s="50" t="s">
        <v>2816</v>
      </c>
      <c r="Q47" s="585">
        <v>44765.437731481485</v>
      </c>
      <c r="R47" s="50" t="s">
        <v>4361</v>
      </c>
      <c r="S47" s="50" t="str">
        <f t="shared" si="0"/>
        <v>YES</v>
      </c>
    </row>
    <row r="48" spans="1:19" ht="14.5" x14ac:dyDescent="0.25">
      <c r="A48" s="584" t="s">
        <v>2813</v>
      </c>
      <c r="B48" s="50" t="s">
        <v>3674</v>
      </c>
      <c r="C48" s="50" t="s">
        <v>2814</v>
      </c>
      <c r="D48" s="57" t="s">
        <v>4092</v>
      </c>
      <c r="E48" s="50" t="s">
        <v>3617</v>
      </c>
      <c r="F48" s="50" t="s">
        <v>3629</v>
      </c>
      <c r="G48" s="50" t="s">
        <v>3937</v>
      </c>
      <c r="H48" s="50" t="s">
        <v>3569</v>
      </c>
      <c r="I48" s="50" t="s">
        <v>2815</v>
      </c>
      <c r="J48" s="50" t="s">
        <v>3818</v>
      </c>
      <c r="K48" s="586">
        <v>8.6999999999999994E-2</v>
      </c>
      <c r="L48" s="588" t="s">
        <v>3673</v>
      </c>
      <c r="M48" s="50" t="s">
        <v>4076</v>
      </c>
      <c r="N48" s="50">
        <v>12</v>
      </c>
      <c r="O48" s="50">
        <v>1</v>
      </c>
      <c r="P48" s="50" t="s">
        <v>2813</v>
      </c>
      <c r="Q48" s="585">
        <v>44765.43954861111</v>
      </c>
      <c r="R48" s="50" t="s">
        <v>4361</v>
      </c>
      <c r="S48" s="50" t="str">
        <f t="shared" si="0"/>
        <v>YES</v>
      </c>
    </row>
    <row r="49" spans="1:19" ht="14.5" x14ac:dyDescent="0.25">
      <c r="A49" s="584" t="s">
        <v>561</v>
      </c>
      <c r="B49" s="50" t="s">
        <v>3374</v>
      </c>
      <c r="C49" s="50" t="s">
        <v>2917</v>
      </c>
      <c r="D49" s="57" t="s">
        <v>4091</v>
      </c>
      <c r="E49" s="50" t="s">
        <v>3617</v>
      </c>
      <c r="F49" s="50" t="s">
        <v>3618</v>
      </c>
      <c r="G49" s="50" t="s">
        <v>3816</v>
      </c>
      <c r="H49" s="50" t="s">
        <v>3563</v>
      </c>
      <c r="I49" s="50" t="s">
        <v>2918</v>
      </c>
      <c r="J49" s="50" t="s">
        <v>3818</v>
      </c>
      <c r="K49" s="586">
        <v>8.6999999999999994E-2</v>
      </c>
      <c r="L49" s="588" t="s">
        <v>3673</v>
      </c>
      <c r="M49" s="50" t="s">
        <v>4076</v>
      </c>
      <c r="N49" s="50">
        <v>12</v>
      </c>
      <c r="O49" s="50">
        <v>1</v>
      </c>
      <c r="P49" s="50" t="s">
        <v>561</v>
      </c>
      <c r="Q49" s="585">
        <v>44880.757731481484</v>
      </c>
      <c r="R49" s="50" t="s">
        <v>4361</v>
      </c>
      <c r="S49" s="50" t="str">
        <f t="shared" si="0"/>
        <v>YES</v>
      </c>
    </row>
    <row r="50" spans="1:19" ht="14.5" x14ac:dyDescent="0.25">
      <c r="A50" s="584" t="s">
        <v>614</v>
      </c>
      <c r="B50" s="50" t="s">
        <v>3215</v>
      </c>
      <c r="C50" s="50" t="s">
        <v>2822</v>
      </c>
      <c r="D50" s="57" t="s">
        <v>4089</v>
      </c>
      <c r="E50" s="50" t="s">
        <v>3560</v>
      </c>
      <c r="F50" s="50" t="s">
        <v>3659</v>
      </c>
      <c r="G50" s="50" t="s">
        <v>4090</v>
      </c>
      <c r="H50" s="50" t="s">
        <v>3569</v>
      </c>
      <c r="I50" s="50" t="s">
        <v>2817</v>
      </c>
      <c r="J50" s="50" t="s">
        <v>2818</v>
      </c>
      <c r="K50" s="586">
        <v>8.1000000000000003E-2</v>
      </c>
      <c r="L50" s="590" t="s">
        <v>3660</v>
      </c>
      <c r="M50" s="50" t="s">
        <v>4028</v>
      </c>
      <c r="N50" s="50">
        <v>36</v>
      </c>
      <c r="O50" s="50">
        <v>1</v>
      </c>
      <c r="P50" s="50" t="s">
        <v>614</v>
      </c>
      <c r="Q50" s="585">
        <v>44904.669282407405</v>
      </c>
      <c r="R50" s="50" t="s">
        <v>4365</v>
      </c>
      <c r="S50" s="50" t="str">
        <f t="shared" si="0"/>
        <v>YES</v>
      </c>
    </row>
    <row r="51" spans="1:19" ht="14.5" x14ac:dyDescent="0.25">
      <c r="A51" s="584" t="s">
        <v>4084</v>
      </c>
      <c r="B51" s="50" t="s">
        <v>4085</v>
      </c>
      <c r="C51" s="50" t="s">
        <v>3876</v>
      </c>
      <c r="D51" s="57" t="s">
        <v>4086</v>
      </c>
      <c r="E51" s="50" t="s">
        <v>3878</v>
      </c>
      <c r="F51" s="50" t="s">
        <v>3878</v>
      </c>
      <c r="G51" s="50" t="s">
        <v>3878</v>
      </c>
      <c r="H51" s="50" t="s">
        <v>3712</v>
      </c>
      <c r="I51" s="50"/>
      <c r="J51" s="50"/>
      <c r="K51" s="586"/>
      <c r="L51" s="582" t="s">
        <v>4087</v>
      </c>
      <c r="M51" s="50" t="s">
        <v>4088</v>
      </c>
      <c r="N51" s="50"/>
      <c r="O51" s="50"/>
      <c r="P51" s="50" t="s">
        <v>2837</v>
      </c>
      <c r="Q51" s="585">
        <v>44908.62096064815</v>
      </c>
      <c r="R51" s="50" t="s">
        <v>4362</v>
      </c>
      <c r="S51" s="50" t="str">
        <f t="shared" si="0"/>
        <v>YES</v>
      </c>
    </row>
    <row r="52" spans="1:19" ht="14.5" x14ac:dyDescent="0.25">
      <c r="A52" s="584" t="s">
        <v>677</v>
      </c>
      <c r="B52" s="50" t="s">
        <v>3389</v>
      </c>
      <c r="C52" s="50" t="s">
        <v>2920</v>
      </c>
      <c r="D52" s="57" t="s">
        <v>4083</v>
      </c>
      <c r="E52" s="50" t="s">
        <v>3617</v>
      </c>
      <c r="F52" s="50" t="s">
        <v>3618</v>
      </c>
      <c r="G52" s="50" t="s">
        <v>3816</v>
      </c>
      <c r="H52" s="50" t="s">
        <v>3563</v>
      </c>
      <c r="I52" s="50" t="s">
        <v>2815</v>
      </c>
      <c r="J52" s="50" t="s">
        <v>3818</v>
      </c>
      <c r="K52" s="586">
        <v>8.6999999999999994E-2</v>
      </c>
      <c r="L52" s="588" t="s">
        <v>3673</v>
      </c>
      <c r="M52" s="50" t="s">
        <v>4076</v>
      </c>
      <c r="N52" s="50">
        <v>12</v>
      </c>
      <c r="O52" s="50">
        <v>1</v>
      </c>
      <c r="P52" s="50" t="s">
        <v>677</v>
      </c>
      <c r="Q52" s="585">
        <v>44935.769432870373</v>
      </c>
      <c r="R52" s="50" t="s">
        <v>4361</v>
      </c>
      <c r="S52" s="50" t="str">
        <f t="shared" si="0"/>
        <v>YES</v>
      </c>
    </row>
    <row r="53" spans="1:19" ht="14.5" x14ac:dyDescent="0.25">
      <c r="A53" s="584" t="s">
        <v>4081</v>
      </c>
      <c r="B53" s="50" t="s">
        <v>3210</v>
      </c>
      <c r="C53" s="50" t="s">
        <v>2876</v>
      </c>
      <c r="D53" s="57" t="s">
        <v>4082</v>
      </c>
      <c r="E53" s="50" t="s">
        <v>3560</v>
      </c>
      <c r="F53" s="50" t="s">
        <v>3561</v>
      </c>
      <c r="G53" s="50" t="s">
        <v>3785</v>
      </c>
      <c r="H53" s="50" t="s">
        <v>3563</v>
      </c>
      <c r="I53" s="50" t="s">
        <v>2817</v>
      </c>
      <c r="J53" s="50" t="s">
        <v>2818</v>
      </c>
      <c r="K53" s="586">
        <v>8.1000000000000003E-2</v>
      </c>
      <c r="L53" s="591" t="s">
        <v>3564</v>
      </c>
      <c r="M53" s="50" t="s">
        <v>3701</v>
      </c>
      <c r="N53" s="50">
        <v>30</v>
      </c>
      <c r="O53" s="50">
        <v>1</v>
      </c>
      <c r="P53" s="50" t="s">
        <v>167</v>
      </c>
      <c r="Q53" s="585">
        <v>44963.383379629631</v>
      </c>
      <c r="R53" s="50" t="s">
        <v>3615</v>
      </c>
      <c r="S53" s="50" t="str">
        <f t="shared" si="0"/>
        <v>YES</v>
      </c>
    </row>
    <row r="54" spans="1:19" ht="14.5" x14ac:dyDescent="0.25">
      <c r="A54" s="584" t="s">
        <v>298</v>
      </c>
      <c r="B54" s="50" t="s">
        <v>3327</v>
      </c>
      <c r="C54" s="50" t="s">
        <v>2919</v>
      </c>
      <c r="D54" s="57" t="s">
        <v>4080</v>
      </c>
      <c r="E54" s="50" t="s">
        <v>3617</v>
      </c>
      <c r="F54" s="50" t="s">
        <v>3618</v>
      </c>
      <c r="G54" s="50" t="s">
        <v>3816</v>
      </c>
      <c r="H54" s="50" t="s">
        <v>3563</v>
      </c>
      <c r="I54" s="50" t="s">
        <v>2815</v>
      </c>
      <c r="J54" s="50" t="s">
        <v>3818</v>
      </c>
      <c r="K54" s="586">
        <v>8.6999999999999994E-2</v>
      </c>
      <c r="L54" s="588" t="s">
        <v>3673</v>
      </c>
      <c r="M54" s="50" t="s">
        <v>4076</v>
      </c>
      <c r="N54" s="50">
        <v>12</v>
      </c>
      <c r="O54" s="50">
        <v>1</v>
      </c>
      <c r="P54" s="50" t="s">
        <v>298</v>
      </c>
      <c r="Q54" s="585">
        <v>44963.387199074074</v>
      </c>
      <c r="R54" s="50" t="s">
        <v>4361</v>
      </c>
      <c r="S54" s="50" t="str">
        <f t="shared" si="0"/>
        <v>YES</v>
      </c>
    </row>
    <row r="55" spans="1:19" ht="14.5" x14ac:dyDescent="0.25">
      <c r="A55" s="584" t="s">
        <v>675</v>
      </c>
      <c r="B55" s="50" t="s">
        <v>3388</v>
      </c>
      <c r="C55" s="50" t="s">
        <v>2919</v>
      </c>
      <c r="D55" s="57" t="s">
        <v>4079</v>
      </c>
      <c r="E55" s="50" t="s">
        <v>3617</v>
      </c>
      <c r="F55" s="50" t="s">
        <v>3618</v>
      </c>
      <c r="G55" s="50" t="s">
        <v>3816</v>
      </c>
      <c r="H55" s="50" t="s">
        <v>3563</v>
      </c>
      <c r="I55" s="50" t="s">
        <v>2815</v>
      </c>
      <c r="J55" s="50" t="s">
        <v>3818</v>
      </c>
      <c r="K55" s="586">
        <v>8.6999999999999994E-2</v>
      </c>
      <c r="L55" s="588" t="s">
        <v>3673</v>
      </c>
      <c r="M55" s="50" t="s">
        <v>4076</v>
      </c>
      <c r="N55" s="50">
        <v>12</v>
      </c>
      <c r="O55" s="50">
        <v>1</v>
      </c>
      <c r="P55" s="50" t="s">
        <v>675</v>
      </c>
      <c r="Q55" s="585">
        <v>44963.402974537035</v>
      </c>
      <c r="R55" s="50" t="s">
        <v>4361</v>
      </c>
      <c r="S55" s="50" t="str">
        <f t="shared" si="0"/>
        <v>YES</v>
      </c>
    </row>
    <row r="56" spans="1:19" ht="14.5" x14ac:dyDescent="0.25">
      <c r="A56" s="584" t="s">
        <v>671</v>
      </c>
      <c r="B56" s="50" t="s">
        <v>3386</v>
      </c>
      <c r="C56" s="50" t="s">
        <v>2919</v>
      </c>
      <c r="D56" s="57" t="s">
        <v>4078</v>
      </c>
      <c r="E56" s="50" t="s">
        <v>3617</v>
      </c>
      <c r="F56" s="50" t="s">
        <v>3618</v>
      </c>
      <c r="G56" s="50" t="s">
        <v>3816</v>
      </c>
      <c r="H56" s="50" t="s">
        <v>3563</v>
      </c>
      <c r="I56" s="50" t="s">
        <v>2815</v>
      </c>
      <c r="J56" s="50" t="s">
        <v>3818</v>
      </c>
      <c r="K56" s="586">
        <v>8.6999999999999994E-2</v>
      </c>
      <c r="L56" s="588" t="s">
        <v>3673</v>
      </c>
      <c r="M56" s="50" t="s">
        <v>4076</v>
      </c>
      <c r="N56" s="50">
        <v>12</v>
      </c>
      <c r="O56" s="50">
        <v>1</v>
      </c>
      <c r="P56" s="50" t="s">
        <v>671</v>
      </c>
      <c r="Q56" s="585">
        <v>44963.403935185182</v>
      </c>
      <c r="R56" s="50" t="s">
        <v>4361</v>
      </c>
      <c r="S56" s="50" t="str">
        <f t="shared" si="0"/>
        <v>YES</v>
      </c>
    </row>
    <row r="57" spans="1:19" ht="14.5" x14ac:dyDescent="0.25">
      <c r="A57" s="584" t="s">
        <v>2129</v>
      </c>
      <c r="B57" s="50" t="s">
        <v>3472</v>
      </c>
      <c r="C57" s="50" t="s">
        <v>2919</v>
      </c>
      <c r="D57" s="57" t="s">
        <v>4077</v>
      </c>
      <c r="E57" s="50" t="s">
        <v>3617</v>
      </c>
      <c r="F57" s="50" t="s">
        <v>3618</v>
      </c>
      <c r="G57" s="50" t="s">
        <v>3816</v>
      </c>
      <c r="H57" s="50" t="s">
        <v>3563</v>
      </c>
      <c r="I57" s="50" t="s">
        <v>2815</v>
      </c>
      <c r="J57" s="50" t="s">
        <v>3818</v>
      </c>
      <c r="K57" s="586">
        <v>8.6999999999999994E-2</v>
      </c>
      <c r="L57" s="588" t="s">
        <v>3673</v>
      </c>
      <c r="M57" s="50" t="s">
        <v>4076</v>
      </c>
      <c r="N57" s="50">
        <v>12</v>
      </c>
      <c r="O57" s="50">
        <v>1</v>
      </c>
      <c r="P57" s="50" t="s">
        <v>2129</v>
      </c>
      <c r="Q57" s="585">
        <v>44963.407511574071</v>
      </c>
      <c r="R57" s="50" t="s">
        <v>4361</v>
      </c>
      <c r="S57" s="50" t="str">
        <f t="shared" si="0"/>
        <v>YES</v>
      </c>
    </row>
    <row r="58" spans="1:19" ht="14.5" x14ac:dyDescent="0.25">
      <c r="A58" s="584" t="s">
        <v>2916</v>
      </c>
      <c r="B58" s="50" t="s">
        <v>3672</v>
      </c>
      <c r="C58" s="50" t="s">
        <v>2917</v>
      </c>
      <c r="D58" s="57" t="s">
        <v>4075</v>
      </c>
      <c r="E58" s="50" t="s">
        <v>3617</v>
      </c>
      <c r="F58" s="50" t="s">
        <v>3618</v>
      </c>
      <c r="G58" s="50" t="s">
        <v>3816</v>
      </c>
      <c r="H58" s="50" t="s">
        <v>3563</v>
      </c>
      <c r="I58" s="50" t="s">
        <v>2918</v>
      </c>
      <c r="J58" s="50" t="s">
        <v>3818</v>
      </c>
      <c r="K58" s="586">
        <v>8.6999999999999994E-2</v>
      </c>
      <c r="L58" s="588" t="s">
        <v>3673</v>
      </c>
      <c r="M58" s="50" t="s">
        <v>4076</v>
      </c>
      <c r="N58" s="50">
        <v>12</v>
      </c>
      <c r="O58" s="50">
        <v>3</v>
      </c>
      <c r="P58" s="50" t="s">
        <v>2916</v>
      </c>
      <c r="Q58" s="585">
        <v>44973.776354166665</v>
      </c>
      <c r="R58" s="50" t="s">
        <v>4361</v>
      </c>
      <c r="S58" s="50" t="str">
        <f t="shared" si="0"/>
        <v>YES</v>
      </c>
    </row>
    <row r="59" spans="1:19" ht="14.5" x14ac:dyDescent="0.25">
      <c r="A59" s="584" t="s">
        <v>178</v>
      </c>
      <c r="B59" s="50" t="s">
        <v>3307</v>
      </c>
      <c r="C59" s="50" t="s">
        <v>2876</v>
      </c>
      <c r="D59" s="57" t="s">
        <v>4074</v>
      </c>
      <c r="E59" s="50" t="s">
        <v>3560</v>
      </c>
      <c r="F59" s="50" t="s">
        <v>3561</v>
      </c>
      <c r="G59" s="50" t="s">
        <v>3785</v>
      </c>
      <c r="H59" s="50" t="s">
        <v>3563</v>
      </c>
      <c r="I59" s="50" t="s">
        <v>2817</v>
      </c>
      <c r="J59" s="50" t="s">
        <v>2818</v>
      </c>
      <c r="K59" s="586">
        <v>8.1000000000000003E-2</v>
      </c>
      <c r="L59" s="591" t="s">
        <v>3564</v>
      </c>
      <c r="M59" s="50" t="s">
        <v>3701</v>
      </c>
      <c r="N59" s="50">
        <v>30</v>
      </c>
      <c r="O59" s="50">
        <v>1</v>
      </c>
      <c r="P59" s="50" t="s">
        <v>178</v>
      </c>
      <c r="Q59" s="585">
        <v>45029.653946759259</v>
      </c>
      <c r="R59" s="50" t="s">
        <v>3615</v>
      </c>
      <c r="S59" s="50" t="str">
        <f t="shared" si="0"/>
        <v>YES</v>
      </c>
    </row>
    <row r="60" spans="1:19" ht="14.5" x14ac:dyDescent="0.25">
      <c r="A60" s="584" t="s">
        <v>135</v>
      </c>
      <c r="B60" s="50" t="s">
        <v>3294</v>
      </c>
      <c r="C60" s="50" t="s">
        <v>2831</v>
      </c>
      <c r="D60" s="57" t="s">
        <v>4073</v>
      </c>
      <c r="E60" s="50" t="s">
        <v>3560</v>
      </c>
      <c r="F60" s="50" t="s">
        <v>3649</v>
      </c>
      <c r="G60" s="50" t="s">
        <v>3897</v>
      </c>
      <c r="H60" s="50" t="s">
        <v>3569</v>
      </c>
      <c r="I60" s="50" t="s">
        <v>2817</v>
      </c>
      <c r="J60" s="50" t="s">
        <v>2818</v>
      </c>
      <c r="K60" s="586">
        <v>8.1000000000000003E-2</v>
      </c>
      <c r="L60" s="592" t="s">
        <v>3650</v>
      </c>
      <c r="M60" s="50" t="s">
        <v>3898</v>
      </c>
      <c r="N60" s="50">
        <v>4</v>
      </c>
      <c r="O60" s="50">
        <v>1</v>
      </c>
      <c r="P60" s="50" t="s">
        <v>135</v>
      </c>
      <c r="Q60" s="585">
        <v>45034.656481481485</v>
      </c>
      <c r="R60" s="50" t="s">
        <v>3649</v>
      </c>
      <c r="S60" s="50" t="str">
        <f t="shared" si="0"/>
        <v>YES</v>
      </c>
    </row>
    <row r="61" spans="1:19" ht="14.5" x14ac:dyDescent="0.25">
      <c r="A61" s="584" t="s">
        <v>2833</v>
      </c>
      <c r="B61" s="50" t="s">
        <v>3671</v>
      </c>
      <c r="C61" s="50" t="s">
        <v>2831</v>
      </c>
      <c r="D61" s="57" t="s">
        <v>4072</v>
      </c>
      <c r="E61" s="50" t="s">
        <v>3560</v>
      </c>
      <c r="F61" s="50" t="s">
        <v>3649</v>
      </c>
      <c r="G61" s="50" t="s">
        <v>3897</v>
      </c>
      <c r="H61" s="50" t="s">
        <v>3569</v>
      </c>
      <c r="I61" s="50" t="s">
        <v>2817</v>
      </c>
      <c r="J61" s="50" t="s">
        <v>2818</v>
      </c>
      <c r="K61" s="586">
        <v>8.1000000000000003E-2</v>
      </c>
      <c r="L61" s="592" t="s">
        <v>3650</v>
      </c>
      <c r="M61" s="50" t="s">
        <v>3898</v>
      </c>
      <c r="N61" s="50">
        <v>4</v>
      </c>
      <c r="O61" s="50">
        <v>1</v>
      </c>
      <c r="P61" s="50" t="s">
        <v>2833</v>
      </c>
      <c r="Q61" s="585">
        <v>45034.702407407407</v>
      </c>
      <c r="R61" s="50" t="s">
        <v>3649</v>
      </c>
      <c r="S61" s="50" t="str">
        <f t="shared" si="0"/>
        <v>YES</v>
      </c>
    </row>
    <row r="62" spans="1:19" ht="14.5" x14ac:dyDescent="0.25">
      <c r="A62" s="584" t="s">
        <v>116</v>
      </c>
      <c r="B62" s="50" t="s">
        <v>3292</v>
      </c>
      <c r="C62" s="50" t="s">
        <v>2831</v>
      </c>
      <c r="D62" s="57" t="s">
        <v>4069</v>
      </c>
      <c r="E62" s="50" t="s">
        <v>3560</v>
      </c>
      <c r="F62" s="50" t="s">
        <v>3649</v>
      </c>
      <c r="G62" s="50" t="s">
        <v>3897</v>
      </c>
      <c r="H62" s="50" t="s">
        <v>3569</v>
      </c>
      <c r="I62" s="50" t="s">
        <v>2817</v>
      </c>
      <c r="J62" s="50" t="s">
        <v>2818</v>
      </c>
      <c r="K62" s="586">
        <v>8.1000000000000003E-2</v>
      </c>
      <c r="L62" s="592" t="s">
        <v>3650</v>
      </c>
      <c r="M62" s="50" t="s">
        <v>3898</v>
      </c>
      <c r="N62" s="50">
        <v>4</v>
      </c>
      <c r="O62" s="50">
        <v>1</v>
      </c>
      <c r="P62" s="50" t="s">
        <v>116</v>
      </c>
      <c r="Q62" s="585">
        <v>45034.712025462963</v>
      </c>
      <c r="R62" s="50" t="s">
        <v>3649</v>
      </c>
      <c r="S62" s="50" t="str">
        <f t="shared" si="0"/>
        <v>YES</v>
      </c>
    </row>
    <row r="63" spans="1:19" ht="14.5" x14ac:dyDescent="0.25">
      <c r="A63" s="584" t="s">
        <v>2832</v>
      </c>
      <c r="B63" s="50" t="s">
        <v>3670</v>
      </c>
      <c r="C63" s="50" t="s">
        <v>2831</v>
      </c>
      <c r="D63" s="57" t="s">
        <v>4070</v>
      </c>
      <c r="E63" s="50" t="s">
        <v>3560</v>
      </c>
      <c r="F63" s="50" t="s">
        <v>3649</v>
      </c>
      <c r="G63" s="50" t="s">
        <v>3897</v>
      </c>
      <c r="H63" s="50" t="s">
        <v>3569</v>
      </c>
      <c r="I63" s="50" t="s">
        <v>2817</v>
      </c>
      <c r="J63" s="50" t="s">
        <v>2818</v>
      </c>
      <c r="K63" s="586">
        <v>8.1000000000000003E-2</v>
      </c>
      <c r="L63" s="592" t="s">
        <v>3650</v>
      </c>
      <c r="M63" s="50" t="s">
        <v>3898</v>
      </c>
      <c r="N63" s="50">
        <v>4</v>
      </c>
      <c r="O63" s="50">
        <v>1</v>
      </c>
      <c r="P63" s="50" t="s">
        <v>2832</v>
      </c>
      <c r="Q63" s="585">
        <v>45034.712025462963</v>
      </c>
      <c r="R63" s="50" t="s">
        <v>3649</v>
      </c>
      <c r="S63" s="50" t="str">
        <f t="shared" si="0"/>
        <v>YES</v>
      </c>
    </row>
    <row r="64" spans="1:19" ht="14.5" x14ac:dyDescent="0.25">
      <c r="A64" s="584" t="s">
        <v>119</v>
      </c>
      <c r="B64" s="50" t="s">
        <v>3293</v>
      </c>
      <c r="C64" s="50" t="s">
        <v>2831</v>
      </c>
      <c r="D64" s="57" t="s">
        <v>4071</v>
      </c>
      <c r="E64" s="50" t="s">
        <v>3560</v>
      </c>
      <c r="F64" s="50" t="s">
        <v>3649</v>
      </c>
      <c r="G64" s="50" t="s">
        <v>3897</v>
      </c>
      <c r="H64" s="50" t="s">
        <v>3569</v>
      </c>
      <c r="I64" s="50" t="s">
        <v>2817</v>
      </c>
      <c r="J64" s="50" t="s">
        <v>2818</v>
      </c>
      <c r="K64" s="586">
        <v>8.1000000000000003E-2</v>
      </c>
      <c r="L64" s="592" t="s">
        <v>3650</v>
      </c>
      <c r="M64" s="50" t="s">
        <v>3898</v>
      </c>
      <c r="N64" s="50">
        <v>4</v>
      </c>
      <c r="O64" s="50">
        <v>1</v>
      </c>
      <c r="P64" s="50" t="s">
        <v>119</v>
      </c>
      <c r="Q64" s="585">
        <v>45034.712025462963</v>
      </c>
      <c r="R64" s="50" t="s">
        <v>3649</v>
      </c>
      <c r="S64" s="50" t="str">
        <f t="shared" si="0"/>
        <v>YES</v>
      </c>
    </row>
    <row r="65" spans="1:19" ht="14.5" x14ac:dyDescent="0.25">
      <c r="A65" s="584" t="s">
        <v>542</v>
      </c>
      <c r="B65" s="50" t="s">
        <v>3369</v>
      </c>
      <c r="C65" s="50" t="s">
        <v>2878</v>
      </c>
      <c r="D65" s="57" t="s">
        <v>4061</v>
      </c>
      <c r="E65" s="50" t="s">
        <v>3560</v>
      </c>
      <c r="F65" s="50" t="s">
        <v>3561</v>
      </c>
      <c r="G65" s="50" t="s">
        <v>3785</v>
      </c>
      <c r="H65" s="50" t="s">
        <v>3563</v>
      </c>
      <c r="I65" s="50" t="s">
        <v>2817</v>
      </c>
      <c r="J65" s="50" t="s">
        <v>2818</v>
      </c>
      <c r="K65" s="586">
        <v>8.1000000000000003E-2</v>
      </c>
      <c r="L65" s="591" t="s">
        <v>3564</v>
      </c>
      <c r="M65" s="50" t="s">
        <v>3701</v>
      </c>
      <c r="N65" s="50">
        <v>30</v>
      </c>
      <c r="O65" s="50">
        <v>1</v>
      </c>
      <c r="P65" s="50" t="s">
        <v>542</v>
      </c>
      <c r="Q65" s="585">
        <v>45093.864085648151</v>
      </c>
      <c r="R65" s="50" t="s">
        <v>3615</v>
      </c>
      <c r="S65" s="50" t="str">
        <f t="shared" ref="S65:S128" si="1">IF(A65=P65,"YES","NO")</f>
        <v>YES</v>
      </c>
    </row>
    <row r="66" spans="1:19" ht="14.5" x14ac:dyDescent="0.25">
      <c r="A66" s="584" t="s">
        <v>2882</v>
      </c>
      <c r="B66" s="50" t="s">
        <v>3668</v>
      </c>
      <c r="C66" s="50" t="s">
        <v>2878</v>
      </c>
      <c r="D66" s="57" t="s">
        <v>4062</v>
      </c>
      <c r="E66" s="50" t="s">
        <v>3560</v>
      </c>
      <c r="F66" s="50" t="s">
        <v>3561</v>
      </c>
      <c r="G66" s="50" t="s">
        <v>3785</v>
      </c>
      <c r="H66" s="50" t="s">
        <v>3563</v>
      </c>
      <c r="I66" s="50" t="s">
        <v>2817</v>
      </c>
      <c r="J66" s="50" t="s">
        <v>2818</v>
      </c>
      <c r="K66" s="586">
        <v>8.1000000000000003E-2</v>
      </c>
      <c r="L66" s="591" t="s">
        <v>3564</v>
      </c>
      <c r="M66" s="50" t="s">
        <v>3701</v>
      </c>
      <c r="N66" s="50">
        <v>30</v>
      </c>
      <c r="O66" s="50">
        <v>1</v>
      </c>
      <c r="P66" s="50" t="s">
        <v>2882</v>
      </c>
      <c r="Q66" s="585">
        <v>45093.864085648151</v>
      </c>
      <c r="R66" s="50" t="s">
        <v>3615</v>
      </c>
      <c r="S66" s="50" t="str">
        <f t="shared" si="1"/>
        <v>YES</v>
      </c>
    </row>
    <row r="67" spans="1:19" ht="14.5" x14ac:dyDescent="0.25">
      <c r="A67" s="584" t="s">
        <v>206</v>
      </c>
      <c r="B67" s="50" t="s">
        <v>3310</v>
      </c>
      <c r="C67" s="50" t="s">
        <v>2878</v>
      </c>
      <c r="D67" s="57" t="s">
        <v>4063</v>
      </c>
      <c r="E67" s="50" t="s">
        <v>3560</v>
      </c>
      <c r="F67" s="50" t="s">
        <v>3561</v>
      </c>
      <c r="G67" s="50" t="s">
        <v>3785</v>
      </c>
      <c r="H67" s="50" t="s">
        <v>3563</v>
      </c>
      <c r="I67" s="50" t="s">
        <v>2817</v>
      </c>
      <c r="J67" s="50" t="s">
        <v>2818</v>
      </c>
      <c r="K67" s="586">
        <v>8.1000000000000003E-2</v>
      </c>
      <c r="L67" s="591" t="s">
        <v>3564</v>
      </c>
      <c r="M67" s="50" t="s">
        <v>3701</v>
      </c>
      <c r="N67" s="50">
        <v>30</v>
      </c>
      <c r="O67" s="50">
        <v>1</v>
      </c>
      <c r="P67" s="50" t="s">
        <v>206</v>
      </c>
      <c r="Q67" s="585">
        <v>45093.864085648151</v>
      </c>
      <c r="R67" s="50" t="s">
        <v>3615</v>
      </c>
      <c r="S67" s="50" t="str">
        <f t="shared" si="1"/>
        <v>YES</v>
      </c>
    </row>
    <row r="68" spans="1:19" ht="14.5" x14ac:dyDescent="0.25">
      <c r="A68" s="584" t="s">
        <v>1222</v>
      </c>
      <c r="B68" s="50" t="s">
        <v>3438</v>
      </c>
      <c r="C68" s="50" t="s">
        <v>2878</v>
      </c>
      <c r="D68" s="57" t="s">
        <v>4064</v>
      </c>
      <c r="E68" s="50" t="s">
        <v>3560</v>
      </c>
      <c r="F68" s="50" t="s">
        <v>3561</v>
      </c>
      <c r="G68" s="50" t="s">
        <v>3785</v>
      </c>
      <c r="H68" s="50" t="s">
        <v>3563</v>
      </c>
      <c r="I68" s="50" t="s">
        <v>2817</v>
      </c>
      <c r="J68" s="50" t="s">
        <v>2818</v>
      </c>
      <c r="K68" s="586">
        <v>8.1000000000000003E-2</v>
      </c>
      <c r="L68" s="591" t="s">
        <v>3564</v>
      </c>
      <c r="M68" s="50" t="s">
        <v>3701</v>
      </c>
      <c r="N68" s="50">
        <v>30</v>
      </c>
      <c r="O68" s="50">
        <v>1</v>
      </c>
      <c r="P68" s="50" t="s">
        <v>1222</v>
      </c>
      <c r="Q68" s="585">
        <v>45093.864085648151</v>
      </c>
      <c r="R68" s="50" t="s">
        <v>3615</v>
      </c>
      <c r="S68" s="50" t="str">
        <f t="shared" si="1"/>
        <v>YES</v>
      </c>
    </row>
    <row r="69" spans="1:19" ht="14.5" x14ac:dyDescent="0.25">
      <c r="A69" s="584" t="s">
        <v>142</v>
      </c>
      <c r="B69" s="50" t="s">
        <v>3295</v>
      </c>
      <c r="C69" s="50" t="s">
        <v>2878</v>
      </c>
      <c r="D69" s="57" t="s">
        <v>4065</v>
      </c>
      <c r="E69" s="50" t="s">
        <v>3560</v>
      </c>
      <c r="F69" s="50" t="s">
        <v>3561</v>
      </c>
      <c r="G69" s="50" t="s">
        <v>3785</v>
      </c>
      <c r="H69" s="50" t="s">
        <v>3563</v>
      </c>
      <c r="I69" s="50" t="s">
        <v>2817</v>
      </c>
      <c r="J69" s="50" t="s">
        <v>2818</v>
      </c>
      <c r="K69" s="586">
        <v>8.1000000000000003E-2</v>
      </c>
      <c r="L69" s="591" t="s">
        <v>3564</v>
      </c>
      <c r="M69" s="50" t="s">
        <v>3701</v>
      </c>
      <c r="N69" s="50">
        <v>30</v>
      </c>
      <c r="O69" s="50">
        <v>1</v>
      </c>
      <c r="P69" s="50" t="s">
        <v>142</v>
      </c>
      <c r="Q69" s="585">
        <v>45093.864085648151</v>
      </c>
      <c r="R69" s="50" t="s">
        <v>3615</v>
      </c>
      <c r="S69" s="50" t="str">
        <f t="shared" si="1"/>
        <v>YES</v>
      </c>
    </row>
    <row r="70" spans="1:19" ht="14.5" x14ac:dyDescent="0.25">
      <c r="A70" s="584" t="s">
        <v>176</v>
      </c>
      <c r="B70" s="50" t="s">
        <v>3306</v>
      </c>
      <c r="C70" s="50" t="s">
        <v>2876</v>
      </c>
      <c r="D70" s="57" t="s">
        <v>4066</v>
      </c>
      <c r="E70" s="50" t="s">
        <v>3560</v>
      </c>
      <c r="F70" s="50" t="s">
        <v>3561</v>
      </c>
      <c r="G70" s="50" t="s">
        <v>3785</v>
      </c>
      <c r="H70" s="50" t="s">
        <v>3563</v>
      </c>
      <c r="I70" s="50" t="s">
        <v>2817</v>
      </c>
      <c r="J70" s="50" t="s">
        <v>2818</v>
      </c>
      <c r="K70" s="586">
        <v>8.1000000000000003E-2</v>
      </c>
      <c r="L70" s="591" t="s">
        <v>3564</v>
      </c>
      <c r="M70" s="50" t="s">
        <v>3701</v>
      </c>
      <c r="N70" s="50">
        <v>30</v>
      </c>
      <c r="O70" s="50">
        <v>1</v>
      </c>
      <c r="P70" s="50" t="s">
        <v>176</v>
      </c>
      <c r="Q70" s="585">
        <v>45093.864085648151</v>
      </c>
      <c r="R70" s="50" t="s">
        <v>3615</v>
      </c>
      <c r="S70" s="50" t="str">
        <f t="shared" si="1"/>
        <v>YES</v>
      </c>
    </row>
    <row r="71" spans="1:19" ht="14.5" x14ac:dyDescent="0.25">
      <c r="A71" s="584" t="s">
        <v>171</v>
      </c>
      <c r="B71" s="50" t="s">
        <v>3212</v>
      </c>
      <c r="C71" s="50" t="s">
        <v>2876</v>
      </c>
      <c r="D71" s="57" t="s">
        <v>4067</v>
      </c>
      <c r="E71" s="50" t="s">
        <v>3560</v>
      </c>
      <c r="F71" s="50" t="s">
        <v>3561</v>
      </c>
      <c r="G71" s="50" t="s">
        <v>3785</v>
      </c>
      <c r="H71" s="50" t="s">
        <v>3563</v>
      </c>
      <c r="I71" s="50" t="s">
        <v>2817</v>
      </c>
      <c r="J71" s="50" t="s">
        <v>2818</v>
      </c>
      <c r="K71" s="586">
        <v>8.1000000000000003E-2</v>
      </c>
      <c r="L71" s="591" t="s">
        <v>3564</v>
      </c>
      <c r="M71" s="50" t="s">
        <v>3701</v>
      </c>
      <c r="N71" s="50">
        <v>30</v>
      </c>
      <c r="O71" s="50">
        <v>1</v>
      </c>
      <c r="P71" s="50" t="s">
        <v>171</v>
      </c>
      <c r="Q71" s="585">
        <v>45093.864085648151</v>
      </c>
      <c r="R71" s="50" t="s">
        <v>3615</v>
      </c>
      <c r="S71" s="50" t="str">
        <f t="shared" si="1"/>
        <v>YES</v>
      </c>
    </row>
    <row r="72" spans="1:19" ht="14.5" x14ac:dyDescent="0.25">
      <c r="A72" s="584" t="s">
        <v>2883</v>
      </c>
      <c r="B72" s="50" t="s">
        <v>3669</v>
      </c>
      <c r="C72" s="50" t="s">
        <v>2876</v>
      </c>
      <c r="D72" s="57" t="s">
        <v>4068</v>
      </c>
      <c r="E72" s="50" t="s">
        <v>3560</v>
      </c>
      <c r="F72" s="50" t="s">
        <v>3561</v>
      </c>
      <c r="G72" s="50" t="s">
        <v>3785</v>
      </c>
      <c r="H72" s="50" t="s">
        <v>3563</v>
      </c>
      <c r="I72" s="50" t="s">
        <v>2817</v>
      </c>
      <c r="J72" s="50" t="s">
        <v>2818</v>
      </c>
      <c r="K72" s="586">
        <v>8.1000000000000003E-2</v>
      </c>
      <c r="L72" s="591" t="s">
        <v>3564</v>
      </c>
      <c r="M72" s="50" t="s">
        <v>3701</v>
      </c>
      <c r="N72" s="50">
        <v>30</v>
      </c>
      <c r="O72" s="50">
        <v>1</v>
      </c>
      <c r="P72" s="50" t="s">
        <v>2883</v>
      </c>
      <c r="Q72" s="585">
        <v>45093.864085648151</v>
      </c>
      <c r="R72" s="50" t="s">
        <v>3615</v>
      </c>
      <c r="S72" s="50" t="str">
        <f t="shared" si="1"/>
        <v>YES</v>
      </c>
    </row>
    <row r="73" spans="1:19" ht="14.5" x14ac:dyDescent="0.25">
      <c r="A73" s="584" t="s">
        <v>496</v>
      </c>
      <c r="B73" s="50" t="s">
        <v>3360</v>
      </c>
      <c r="C73" s="50" t="s">
        <v>4059</v>
      </c>
      <c r="D73" s="57" t="s">
        <v>4060</v>
      </c>
      <c r="E73" s="50" t="s">
        <v>3560</v>
      </c>
      <c r="F73" s="50" t="s">
        <v>3561</v>
      </c>
      <c r="G73" s="50" t="s">
        <v>3774</v>
      </c>
      <c r="H73" s="50" t="s">
        <v>3563</v>
      </c>
      <c r="I73" s="50" t="s">
        <v>2817</v>
      </c>
      <c r="J73" s="50" t="s">
        <v>2818</v>
      </c>
      <c r="K73" s="586">
        <v>8.1000000000000003E-2</v>
      </c>
      <c r="L73" s="591" t="s">
        <v>3564</v>
      </c>
      <c r="M73" s="50" t="s">
        <v>3701</v>
      </c>
      <c r="N73" s="50">
        <v>30</v>
      </c>
      <c r="O73" s="50">
        <v>1</v>
      </c>
      <c r="P73" s="50" t="s">
        <v>496</v>
      </c>
      <c r="Q73" s="585">
        <v>45114.854409722226</v>
      </c>
      <c r="R73" s="50" t="s">
        <v>3579</v>
      </c>
      <c r="S73" s="50" t="str">
        <f t="shared" si="1"/>
        <v>YES</v>
      </c>
    </row>
    <row r="74" spans="1:19" ht="14.5" x14ac:dyDescent="0.25">
      <c r="A74" s="584" t="s">
        <v>325</v>
      </c>
      <c r="B74" s="50" t="s">
        <v>3335</v>
      </c>
      <c r="C74" s="50" t="s">
        <v>2823</v>
      </c>
      <c r="D74" s="57" t="s">
        <v>4058</v>
      </c>
      <c r="E74" s="50" t="s">
        <v>3560</v>
      </c>
      <c r="F74" s="50" t="s">
        <v>3659</v>
      </c>
      <c r="G74" s="50" t="s">
        <v>4027</v>
      </c>
      <c r="H74" s="50" t="s">
        <v>3569</v>
      </c>
      <c r="I74" s="50" t="s">
        <v>2817</v>
      </c>
      <c r="J74" s="50" t="s">
        <v>2818</v>
      </c>
      <c r="K74" s="586">
        <v>8.1000000000000003E-2</v>
      </c>
      <c r="L74" s="590" t="s">
        <v>3660</v>
      </c>
      <c r="M74" s="50" t="s">
        <v>4028</v>
      </c>
      <c r="N74" s="50">
        <v>4</v>
      </c>
      <c r="O74" s="50">
        <v>1</v>
      </c>
      <c r="P74" s="50" t="s">
        <v>325</v>
      </c>
      <c r="Q74" s="585">
        <v>45134.707824074074</v>
      </c>
      <c r="R74" s="50" t="s">
        <v>3659</v>
      </c>
      <c r="S74" s="50" t="str">
        <f t="shared" si="1"/>
        <v>YES</v>
      </c>
    </row>
    <row r="75" spans="1:19" ht="14.5" x14ac:dyDescent="0.25">
      <c r="A75" s="584" t="s">
        <v>2826</v>
      </c>
      <c r="B75" s="50" t="s">
        <v>3667</v>
      </c>
      <c r="C75" s="50" t="s">
        <v>2823</v>
      </c>
      <c r="D75" s="57" t="s">
        <v>4057</v>
      </c>
      <c r="E75" s="50" t="s">
        <v>3560</v>
      </c>
      <c r="F75" s="50" t="s">
        <v>3659</v>
      </c>
      <c r="G75" s="50" t="s">
        <v>4027</v>
      </c>
      <c r="H75" s="50" t="s">
        <v>3569</v>
      </c>
      <c r="I75" s="50" t="s">
        <v>2817</v>
      </c>
      <c r="J75" s="50" t="s">
        <v>2818</v>
      </c>
      <c r="K75" s="586">
        <v>8.1000000000000003E-2</v>
      </c>
      <c r="L75" s="590" t="s">
        <v>3660</v>
      </c>
      <c r="M75" s="50" t="s">
        <v>4028</v>
      </c>
      <c r="N75" s="50">
        <v>4</v>
      </c>
      <c r="O75" s="50">
        <v>1</v>
      </c>
      <c r="P75" s="50" t="s">
        <v>2826</v>
      </c>
      <c r="Q75" s="585">
        <v>45134.710011574076</v>
      </c>
      <c r="R75" s="50" t="s">
        <v>3659</v>
      </c>
      <c r="S75" s="50" t="str">
        <f t="shared" si="1"/>
        <v>YES</v>
      </c>
    </row>
    <row r="76" spans="1:19" ht="14.5" x14ac:dyDescent="0.25">
      <c r="A76" s="584" t="s">
        <v>4054</v>
      </c>
      <c r="B76" s="50" t="s">
        <v>4055</v>
      </c>
      <c r="C76" s="50" t="s">
        <v>3876</v>
      </c>
      <c r="D76" s="57" t="s">
        <v>4056</v>
      </c>
      <c r="E76" s="50" t="s">
        <v>3878</v>
      </c>
      <c r="F76" s="50" t="s">
        <v>3878</v>
      </c>
      <c r="G76" s="50" t="s">
        <v>3878</v>
      </c>
      <c r="H76" s="50" t="s">
        <v>3712</v>
      </c>
      <c r="I76" s="50"/>
      <c r="J76" s="50"/>
      <c r="K76" s="586"/>
      <c r="L76" s="593" t="s">
        <v>3879</v>
      </c>
      <c r="M76" s="50" t="s">
        <v>3880</v>
      </c>
      <c r="N76" s="50"/>
      <c r="O76" s="50"/>
      <c r="P76" s="50" t="s">
        <v>2834</v>
      </c>
      <c r="Q76" s="585">
        <v>45222.580439814818</v>
      </c>
      <c r="R76" s="50" t="s">
        <v>4362</v>
      </c>
      <c r="S76" s="50" t="str">
        <f t="shared" si="1"/>
        <v>YES</v>
      </c>
    </row>
    <row r="77" spans="1:19" ht="14.5" x14ac:dyDescent="0.25">
      <c r="A77" s="584" t="s">
        <v>2910</v>
      </c>
      <c r="B77" s="50" t="s">
        <v>3664</v>
      </c>
      <c r="C77" s="50" t="s">
        <v>2905</v>
      </c>
      <c r="D77" s="57" t="s">
        <v>4038</v>
      </c>
      <c r="E77" s="50" t="s">
        <v>3662</v>
      </c>
      <c r="F77" s="50" t="s">
        <v>3662</v>
      </c>
      <c r="G77" s="50" t="s">
        <v>4031</v>
      </c>
      <c r="H77" s="50" t="s">
        <v>3563</v>
      </c>
      <c r="I77" s="50" t="s">
        <v>2815</v>
      </c>
      <c r="J77" s="50" t="s">
        <v>4032</v>
      </c>
      <c r="K77" s="586">
        <v>0.112</v>
      </c>
      <c r="L77" s="594" t="s">
        <v>3663</v>
      </c>
      <c r="M77" s="50" t="s">
        <v>4033</v>
      </c>
      <c r="N77" s="50">
        <v>320</v>
      </c>
      <c r="O77" s="50">
        <v>1</v>
      </c>
      <c r="P77" s="50" t="s">
        <v>2910</v>
      </c>
      <c r="Q77" s="585">
        <v>45236.739641203705</v>
      </c>
      <c r="R77" s="50" t="s">
        <v>3662</v>
      </c>
      <c r="S77" s="50" t="str">
        <f t="shared" si="1"/>
        <v>YES</v>
      </c>
    </row>
    <row r="78" spans="1:19" ht="14.5" x14ac:dyDescent="0.25">
      <c r="A78" s="584" t="s">
        <v>2909</v>
      </c>
      <c r="B78" s="50" t="s">
        <v>3347</v>
      </c>
      <c r="C78" s="50" t="s">
        <v>2905</v>
      </c>
      <c r="D78" s="57" t="s">
        <v>4035</v>
      </c>
      <c r="E78" s="50" t="s">
        <v>3662</v>
      </c>
      <c r="F78" s="50" t="s">
        <v>3662</v>
      </c>
      <c r="G78" s="50" t="s">
        <v>4031</v>
      </c>
      <c r="H78" s="50" t="s">
        <v>3563</v>
      </c>
      <c r="I78" s="50" t="s">
        <v>2815</v>
      </c>
      <c r="J78" s="50" t="s">
        <v>4032</v>
      </c>
      <c r="K78" s="586">
        <v>0.112</v>
      </c>
      <c r="L78" s="594" t="s">
        <v>3663</v>
      </c>
      <c r="M78" s="50" t="s">
        <v>4033</v>
      </c>
      <c r="N78" s="50">
        <v>320</v>
      </c>
      <c r="O78" s="50">
        <v>1</v>
      </c>
      <c r="P78" s="50" t="s">
        <v>2909</v>
      </c>
      <c r="Q78" s="585">
        <v>45236.749305555553</v>
      </c>
      <c r="R78" s="50" t="s">
        <v>3662</v>
      </c>
      <c r="S78" s="50" t="str">
        <f t="shared" si="1"/>
        <v>YES</v>
      </c>
    </row>
    <row r="79" spans="1:19" ht="14.5" x14ac:dyDescent="0.25">
      <c r="A79" s="584" t="s">
        <v>163</v>
      </c>
      <c r="B79" s="50" t="s">
        <v>3302</v>
      </c>
      <c r="C79" s="50" t="s">
        <v>2870</v>
      </c>
      <c r="D79" s="57" t="s">
        <v>4053</v>
      </c>
      <c r="E79" s="50" t="s">
        <v>3560</v>
      </c>
      <c r="F79" s="50" t="s">
        <v>3561</v>
      </c>
      <c r="G79" s="50" t="s">
        <v>3785</v>
      </c>
      <c r="H79" s="50" t="s">
        <v>3563</v>
      </c>
      <c r="I79" s="50" t="s">
        <v>2817</v>
      </c>
      <c r="J79" s="50" t="s">
        <v>2818</v>
      </c>
      <c r="K79" s="586">
        <v>8.1000000000000003E-2</v>
      </c>
      <c r="L79" s="591" t="s">
        <v>3564</v>
      </c>
      <c r="M79" s="50" t="s">
        <v>3701</v>
      </c>
      <c r="N79" s="50">
        <v>40</v>
      </c>
      <c r="O79" s="50">
        <v>1</v>
      </c>
      <c r="P79" s="50" t="s">
        <v>163</v>
      </c>
      <c r="Q79" s="585">
        <v>45266.734895833331</v>
      </c>
      <c r="R79" s="50" t="s">
        <v>3615</v>
      </c>
      <c r="S79" s="50" t="str">
        <f t="shared" si="1"/>
        <v>YES</v>
      </c>
    </row>
    <row r="80" spans="1:19" ht="14.5" x14ac:dyDescent="0.25">
      <c r="A80" s="584" t="s">
        <v>165</v>
      </c>
      <c r="B80" s="50" t="s">
        <v>3209</v>
      </c>
      <c r="C80" s="50" t="s">
        <v>2870</v>
      </c>
      <c r="D80" s="57" t="s">
        <v>4052</v>
      </c>
      <c r="E80" s="50" t="s">
        <v>3560</v>
      </c>
      <c r="F80" s="50" t="s">
        <v>3561</v>
      </c>
      <c r="G80" s="50" t="s">
        <v>3785</v>
      </c>
      <c r="H80" s="50" t="s">
        <v>3563</v>
      </c>
      <c r="I80" s="50" t="s">
        <v>2817</v>
      </c>
      <c r="J80" s="50" t="s">
        <v>2818</v>
      </c>
      <c r="K80" s="586">
        <v>8.1000000000000003E-2</v>
      </c>
      <c r="L80" s="591" t="s">
        <v>3564</v>
      </c>
      <c r="M80" s="50" t="s">
        <v>3701</v>
      </c>
      <c r="N80" s="50">
        <v>40</v>
      </c>
      <c r="O80" s="50">
        <v>1</v>
      </c>
      <c r="P80" s="50" t="s">
        <v>165</v>
      </c>
      <c r="Q80" s="585">
        <v>45266.762372685182</v>
      </c>
      <c r="R80" s="50" t="s">
        <v>3615</v>
      </c>
      <c r="S80" s="50" t="str">
        <f t="shared" si="1"/>
        <v>YES</v>
      </c>
    </row>
    <row r="81" spans="1:19" ht="14.5" x14ac:dyDescent="0.25">
      <c r="A81" s="584" t="s">
        <v>355</v>
      </c>
      <c r="B81" s="50" t="s">
        <v>3216</v>
      </c>
      <c r="C81" s="50" t="s">
        <v>4049</v>
      </c>
      <c r="D81" s="57" t="s">
        <v>4051</v>
      </c>
      <c r="E81" s="50" t="s">
        <v>3560</v>
      </c>
      <c r="F81" s="50" t="s">
        <v>3561</v>
      </c>
      <c r="G81" s="50" t="s">
        <v>3774</v>
      </c>
      <c r="H81" s="50" t="s">
        <v>3563</v>
      </c>
      <c r="I81" s="50" t="s">
        <v>2817</v>
      </c>
      <c r="J81" s="50" t="s">
        <v>2818</v>
      </c>
      <c r="K81" s="586">
        <v>8.1000000000000003E-2</v>
      </c>
      <c r="L81" s="591" t="s">
        <v>3564</v>
      </c>
      <c r="M81" s="50" t="s">
        <v>3701</v>
      </c>
      <c r="N81" s="50">
        <v>200</v>
      </c>
      <c r="O81" s="50">
        <v>1</v>
      </c>
      <c r="P81" s="50" t="s">
        <v>355</v>
      </c>
      <c r="Q81" s="585">
        <v>45266.762777777774</v>
      </c>
      <c r="R81" s="50" t="s">
        <v>3579</v>
      </c>
      <c r="S81" s="50" t="str">
        <f t="shared" si="1"/>
        <v>YES</v>
      </c>
    </row>
    <row r="82" spans="1:19" ht="14.5" x14ac:dyDescent="0.25">
      <c r="A82" s="584" t="s">
        <v>357</v>
      </c>
      <c r="B82" s="50" t="s">
        <v>3337</v>
      </c>
      <c r="C82" s="50" t="s">
        <v>4049</v>
      </c>
      <c r="D82" s="57" t="s">
        <v>4050</v>
      </c>
      <c r="E82" s="50" t="s">
        <v>3560</v>
      </c>
      <c r="F82" s="50" t="s">
        <v>3561</v>
      </c>
      <c r="G82" s="50" t="s">
        <v>3774</v>
      </c>
      <c r="H82" s="50" t="s">
        <v>3563</v>
      </c>
      <c r="I82" s="50" t="s">
        <v>2817</v>
      </c>
      <c r="J82" s="50" t="s">
        <v>2818</v>
      </c>
      <c r="K82" s="586">
        <v>8.1000000000000003E-2</v>
      </c>
      <c r="L82" s="591" t="s">
        <v>3564</v>
      </c>
      <c r="M82" s="50" t="s">
        <v>3701</v>
      </c>
      <c r="N82" s="50">
        <v>200</v>
      </c>
      <c r="O82" s="50">
        <v>1</v>
      </c>
      <c r="P82" s="50" t="s">
        <v>357</v>
      </c>
      <c r="Q82" s="585">
        <v>45266.767627314817</v>
      </c>
      <c r="R82" s="50" t="s">
        <v>3579</v>
      </c>
      <c r="S82" s="50" t="str">
        <f t="shared" si="1"/>
        <v>YES</v>
      </c>
    </row>
    <row r="83" spans="1:19" ht="14.5" x14ac:dyDescent="0.25">
      <c r="A83" s="584" t="s">
        <v>305</v>
      </c>
      <c r="B83" s="50" t="s">
        <v>3329</v>
      </c>
      <c r="C83" s="50" t="s">
        <v>3737</v>
      </c>
      <c r="D83" s="57" t="s">
        <v>4044</v>
      </c>
      <c r="E83" s="50" t="s">
        <v>3573</v>
      </c>
      <c r="F83" s="50" t="s">
        <v>3722</v>
      </c>
      <c r="G83" s="50" t="s">
        <v>3723</v>
      </c>
      <c r="H83" s="50" t="s">
        <v>3563</v>
      </c>
      <c r="I83" s="50" t="s">
        <v>2817</v>
      </c>
      <c r="J83" s="50" t="s">
        <v>3707</v>
      </c>
      <c r="K83" s="586">
        <v>5.5E-2</v>
      </c>
      <c r="L83" s="595" t="s">
        <v>3602</v>
      </c>
      <c r="M83" s="50" t="s">
        <v>3739</v>
      </c>
      <c r="N83" s="50">
        <v>76</v>
      </c>
      <c r="O83" s="50">
        <v>6</v>
      </c>
      <c r="P83" s="50" t="s">
        <v>305</v>
      </c>
      <c r="Q83" s="585">
        <v>45295.721759259257</v>
      </c>
      <c r="R83" s="50" t="s">
        <v>4374</v>
      </c>
      <c r="S83" s="50" t="str">
        <f t="shared" si="1"/>
        <v>YES</v>
      </c>
    </row>
    <row r="84" spans="1:19" ht="14.5" x14ac:dyDescent="0.25">
      <c r="A84" s="584" t="s">
        <v>311</v>
      </c>
      <c r="B84" s="50" t="s">
        <v>3331</v>
      </c>
      <c r="C84" s="50" t="s">
        <v>3737</v>
      </c>
      <c r="D84" s="57" t="s">
        <v>4045</v>
      </c>
      <c r="E84" s="50" t="s">
        <v>3573</v>
      </c>
      <c r="F84" s="50" t="s">
        <v>3722</v>
      </c>
      <c r="G84" s="50" t="s">
        <v>3796</v>
      </c>
      <c r="H84" s="50" t="s">
        <v>3563</v>
      </c>
      <c r="I84" s="50" t="s">
        <v>2817</v>
      </c>
      <c r="J84" s="50" t="s">
        <v>3707</v>
      </c>
      <c r="K84" s="586">
        <v>5.5E-2</v>
      </c>
      <c r="L84" s="595" t="s">
        <v>3602</v>
      </c>
      <c r="M84" s="50" t="s">
        <v>3739</v>
      </c>
      <c r="N84" s="50">
        <v>90</v>
      </c>
      <c r="O84" s="50">
        <v>1</v>
      </c>
      <c r="P84" s="50" t="s">
        <v>311</v>
      </c>
      <c r="Q84" s="585">
        <v>45295.721759259257</v>
      </c>
      <c r="R84" s="50" t="s">
        <v>4376</v>
      </c>
      <c r="S84" s="50" t="str">
        <f t="shared" si="1"/>
        <v>YES</v>
      </c>
    </row>
    <row r="85" spans="1:19" ht="14.5" x14ac:dyDescent="0.25">
      <c r="A85" s="584" t="s">
        <v>313</v>
      </c>
      <c r="B85" s="50" t="s">
        <v>3332</v>
      </c>
      <c r="C85" s="50" t="s">
        <v>3737</v>
      </c>
      <c r="D85" s="57" t="s">
        <v>4046</v>
      </c>
      <c r="E85" s="50" t="s">
        <v>3573</v>
      </c>
      <c r="F85" s="50" t="s">
        <v>3722</v>
      </c>
      <c r="G85" s="50" t="s">
        <v>3796</v>
      </c>
      <c r="H85" s="50" t="s">
        <v>3563</v>
      </c>
      <c r="I85" s="50" t="s">
        <v>2817</v>
      </c>
      <c r="J85" s="50" t="s">
        <v>3707</v>
      </c>
      <c r="K85" s="586">
        <v>5.5E-2</v>
      </c>
      <c r="L85" s="595" t="s">
        <v>3602</v>
      </c>
      <c r="M85" s="50" t="s">
        <v>3739</v>
      </c>
      <c r="N85" s="50">
        <v>90</v>
      </c>
      <c r="O85" s="50">
        <v>1</v>
      </c>
      <c r="P85" s="50" t="s">
        <v>313</v>
      </c>
      <c r="Q85" s="585">
        <v>45295.721759259257</v>
      </c>
      <c r="R85" s="50" t="s">
        <v>4376</v>
      </c>
      <c r="S85" s="50" t="str">
        <f t="shared" si="1"/>
        <v>YES</v>
      </c>
    </row>
    <row r="86" spans="1:19" ht="14.5" x14ac:dyDescent="0.25">
      <c r="A86" s="584" t="s">
        <v>309</v>
      </c>
      <c r="B86" s="50" t="s">
        <v>3330</v>
      </c>
      <c r="C86" s="50" t="s">
        <v>3737</v>
      </c>
      <c r="D86" s="57" t="s">
        <v>4047</v>
      </c>
      <c r="E86" s="50" t="s">
        <v>3573</v>
      </c>
      <c r="F86" s="50" t="s">
        <v>3722</v>
      </c>
      <c r="G86" s="50" t="s">
        <v>3796</v>
      </c>
      <c r="H86" s="50" t="s">
        <v>3563</v>
      </c>
      <c r="I86" s="50" t="s">
        <v>2817</v>
      </c>
      <c r="J86" s="50" t="s">
        <v>3707</v>
      </c>
      <c r="K86" s="586">
        <v>5.5E-2</v>
      </c>
      <c r="L86" s="595" t="s">
        <v>3602</v>
      </c>
      <c r="M86" s="50" t="s">
        <v>3739</v>
      </c>
      <c r="N86" s="50">
        <v>90</v>
      </c>
      <c r="O86" s="50">
        <v>1</v>
      </c>
      <c r="P86" s="50" t="s">
        <v>309</v>
      </c>
      <c r="Q86" s="585">
        <v>45295.721759259257</v>
      </c>
      <c r="R86" s="50" t="s">
        <v>4376</v>
      </c>
      <c r="S86" s="50" t="str">
        <f t="shared" si="1"/>
        <v>YES</v>
      </c>
    </row>
    <row r="87" spans="1:19" ht="14.5" x14ac:dyDescent="0.25">
      <c r="A87" s="584" t="s">
        <v>2719</v>
      </c>
      <c r="B87" s="50" t="s">
        <v>3666</v>
      </c>
      <c r="C87" s="50" t="s">
        <v>3737</v>
      </c>
      <c r="D87" s="57" t="s">
        <v>4048</v>
      </c>
      <c r="E87" s="50" t="s">
        <v>3573</v>
      </c>
      <c r="F87" s="50" t="s">
        <v>3722</v>
      </c>
      <c r="G87" s="50" t="s">
        <v>3796</v>
      </c>
      <c r="H87" s="50" t="s">
        <v>3563</v>
      </c>
      <c r="I87" s="50" t="s">
        <v>2817</v>
      </c>
      <c r="J87" s="50" t="s">
        <v>3707</v>
      </c>
      <c r="K87" s="586">
        <v>5.5E-2</v>
      </c>
      <c r="L87" s="595" t="s">
        <v>3602</v>
      </c>
      <c r="M87" s="50" t="s">
        <v>3739</v>
      </c>
      <c r="N87" s="50">
        <v>150</v>
      </c>
      <c r="O87" s="50">
        <v>1</v>
      </c>
      <c r="P87" s="50" t="s">
        <v>2719</v>
      </c>
      <c r="Q87" s="585">
        <v>45295.721759259257</v>
      </c>
      <c r="R87" s="50" t="s">
        <v>4376</v>
      </c>
      <c r="S87" s="50" t="str">
        <f t="shared" si="1"/>
        <v>YES</v>
      </c>
    </row>
    <row r="88" spans="1:19" ht="14.5" x14ac:dyDescent="0.25">
      <c r="A88" s="584" t="s">
        <v>2896</v>
      </c>
      <c r="B88" s="50" t="s">
        <v>3665</v>
      </c>
      <c r="C88" s="50" t="s">
        <v>3692</v>
      </c>
      <c r="D88" s="57" t="s">
        <v>4043</v>
      </c>
      <c r="E88" s="50" t="s">
        <v>3690</v>
      </c>
      <c r="F88" s="50" t="s">
        <v>3690</v>
      </c>
      <c r="G88" s="50" t="s">
        <v>3690</v>
      </c>
      <c r="H88" s="50" t="s">
        <v>3690</v>
      </c>
      <c r="I88" s="50"/>
      <c r="J88" s="50"/>
      <c r="K88" s="50"/>
      <c r="L88" s="591" t="s">
        <v>3564</v>
      </c>
      <c r="M88" s="50" t="s">
        <v>3701</v>
      </c>
      <c r="N88" s="50"/>
      <c r="O88" s="50"/>
      <c r="P88" s="50" t="s">
        <v>2896</v>
      </c>
      <c r="Q88" s="585">
        <v>45307.417638888888</v>
      </c>
      <c r="R88" s="50" t="s">
        <v>4362</v>
      </c>
      <c r="S88" s="50" t="str">
        <f t="shared" si="1"/>
        <v>YES</v>
      </c>
    </row>
    <row r="89" spans="1:19" ht="14.5" x14ac:dyDescent="0.25">
      <c r="A89" s="584" t="s">
        <v>282</v>
      </c>
      <c r="B89" s="50" t="s">
        <v>3322</v>
      </c>
      <c r="C89" s="50" t="s">
        <v>2785</v>
      </c>
      <c r="D89" s="57" t="s">
        <v>4042</v>
      </c>
      <c r="E89" s="50" t="s">
        <v>3617</v>
      </c>
      <c r="F89" s="50" t="s">
        <v>3618</v>
      </c>
      <c r="G89" s="50" t="s">
        <v>3816</v>
      </c>
      <c r="H89" s="50" t="s">
        <v>3563</v>
      </c>
      <c r="I89" s="50" t="s">
        <v>3817</v>
      </c>
      <c r="J89" s="50" t="s">
        <v>3818</v>
      </c>
      <c r="K89" s="586">
        <v>8.6999999999999994E-2</v>
      </c>
      <c r="L89" s="596" t="s">
        <v>3619</v>
      </c>
      <c r="M89" s="50" t="s">
        <v>3819</v>
      </c>
      <c r="N89" s="50">
        <v>16</v>
      </c>
      <c r="O89" s="50">
        <v>1</v>
      </c>
      <c r="P89" s="50" t="s">
        <v>282</v>
      </c>
      <c r="Q89" s="585">
        <v>45323.466793981483</v>
      </c>
      <c r="R89" s="50" t="s">
        <v>4361</v>
      </c>
      <c r="S89" s="50" t="str">
        <f t="shared" si="1"/>
        <v>YES</v>
      </c>
    </row>
    <row r="90" spans="1:19" ht="14.5" x14ac:dyDescent="0.25">
      <c r="A90" s="584" t="s">
        <v>279</v>
      </c>
      <c r="B90" s="50" t="s">
        <v>3321</v>
      </c>
      <c r="C90" s="50" t="s">
        <v>2785</v>
      </c>
      <c r="D90" s="57" t="s">
        <v>4041</v>
      </c>
      <c r="E90" s="50" t="s">
        <v>3617</v>
      </c>
      <c r="F90" s="50" t="s">
        <v>3618</v>
      </c>
      <c r="G90" s="50" t="s">
        <v>3816</v>
      </c>
      <c r="H90" s="50" t="s">
        <v>3563</v>
      </c>
      <c r="I90" s="50" t="s">
        <v>3817</v>
      </c>
      <c r="J90" s="50" t="s">
        <v>3818</v>
      </c>
      <c r="K90" s="586">
        <v>8.6999999999999994E-2</v>
      </c>
      <c r="L90" s="596" t="s">
        <v>3619</v>
      </c>
      <c r="M90" s="50" t="s">
        <v>3819</v>
      </c>
      <c r="N90" s="50">
        <v>16</v>
      </c>
      <c r="O90" s="50">
        <v>1</v>
      </c>
      <c r="P90" s="50" t="s">
        <v>279</v>
      </c>
      <c r="Q90" s="585">
        <v>45323.623414351852</v>
      </c>
      <c r="R90" s="50" t="s">
        <v>4361</v>
      </c>
      <c r="S90" s="50" t="str">
        <f t="shared" si="1"/>
        <v>YES</v>
      </c>
    </row>
    <row r="91" spans="1:19" ht="14.5" x14ac:dyDescent="0.25">
      <c r="A91" s="584" t="s">
        <v>284</v>
      </c>
      <c r="B91" s="50" t="s">
        <v>3323</v>
      </c>
      <c r="C91" s="50" t="s">
        <v>2915</v>
      </c>
      <c r="D91" s="57" t="s">
        <v>4040</v>
      </c>
      <c r="E91" s="50" t="s">
        <v>3617</v>
      </c>
      <c r="F91" s="50" t="s">
        <v>3618</v>
      </c>
      <c r="G91" s="50" t="s">
        <v>3816</v>
      </c>
      <c r="H91" s="50" t="s">
        <v>3563</v>
      </c>
      <c r="I91" s="50" t="s">
        <v>3817</v>
      </c>
      <c r="J91" s="50" t="s">
        <v>3818</v>
      </c>
      <c r="K91" s="586">
        <v>8.6999999999999994E-2</v>
      </c>
      <c r="L91" s="596" t="s">
        <v>3619</v>
      </c>
      <c r="M91" s="50" t="s">
        <v>3819</v>
      </c>
      <c r="N91" s="50">
        <v>16</v>
      </c>
      <c r="O91" s="50">
        <v>1</v>
      </c>
      <c r="P91" s="50" t="s">
        <v>284</v>
      </c>
      <c r="Q91" s="585">
        <v>45323.624340277776</v>
      </c>
      <c r="R91" s="50" t="s">
        <v>4361</v>
      </c>
      <c r="S91" s="50" t="str">
        <f t="shared" si="1"/>
        <v>YES</v>
      </c>
    </row>
    <row r="92" spans="1:19" ht="14.5" x14ac:dyDescent="0.25">
      <c r="A92" s="584" t="s">
        <v>556</v>
      </c>
      <c r="B92" s="50" t="s">
        <v>3373</v>
      </c>
      <c r="C92" s="50" t="s">
        <v>2915</v>
      </c>
      <c r="D92" s="57" t="s">
        <v>4039</v>
      </c>
      <c r="E92" s="50" t="s">
        <v>3617</v>
      </c>
      <c r="F92" s="50" t="s">
        <v>3618</v>
      </c>
      <c r="G92" s="50" t="s">
        <v>3816</v>
      </c>
      <c r="H92" s="50" t="s">
        <v>3563</v>
      </c>
      <c r="I92" s="50" t="s">
        <v>3817</v>
      </c>
      <c r="J92" s="50" t="s">
        <v>3818</v>
      </c>
      <c r="K92" s="586">
        <v>8.6999999999999994E-2</v>
      </c>
      <c r="L92" s="596" t="s">
        <v>3619</v>
      </c>
      <c r="M92" s="50" t="s">
        <v>3819</v>
      </c>
      <c r="N92" s="50">
        <v>16</v>
      </c>
      <c r="O92" s="50">
        <v>1</v>
      </c>
      <c r="P92" s="50" t="s">
        <v>556</v>
      </c>
      <c r="Q92" s="585">
        <v>45323.624756944446</v>
      </c>
      <c r="R92" s="50" t="s">
        <v>4361</v>
      </c>
      <c r="S92" s="50" t="str">
        <f t="shared" si="1"/>
        <v>YES</v>
      </c>
    </row>
    <row r="93" spans="1:19" ht="14.5" x14ac:dyDescent="0.25">
      <c r="A93" s="584" t="s">
        <v>421</v>
      </c>
      <c r="B93" s="50" t="s">
        <v>3342</v>
      </c>
      <c r="C93" s="50" t="s">
        <v>2905</v>
      </c>
      <c r="D93" s="57" t="s">
        <v>4030</v>
      </c>
      <c r="E93" s="50" t="s">
        <v>3662</v>
      </c>
      <c r="F93" s="50" t="s">
        <v>3662</v>
      </c>
      <c r="G93" s="50" t="s">
        <v>4031</v>
      </c>
      <c r="H93" s="50" t="s">
        <v>3563</v>
      </c>
      <c r="I93" s="50" t="s">
        <v>2815</v>
      </c>
      <c r="J93" s="50" t="s">
        <v>4032</v>
      </c>
      <c r="K93" s="586">
        <v>0.112</v>
      </c>
      <c r="L93" s="594" t="s">
        <v>3663</v>
      </c>
      <c r="M93" s="50" t="s">
        <v>4033</v>
      </c>
      <c r="N93" s="50">
        <v>200</v>
      </c>
      <c r="O93" s="50">
        <v>4</v>
      </c>
      <c r="P93" s="50" t="s">
        <v>421</v>
      </c>
      <c r="Q93" s="585">
        <v>45355.841458333336</v>
      </c>
      <c r="R93" s="50" t="s">
        <v>3662</v>
      </c>
      <c r="S93" s="50" t="str">
        <f t="shared" si="1"/>
        <v>YES</v>
      </c>
    </row>
    <row r="94" spans="1:19" ht="14.5" x14ac:dyDescent="0.25">
      <c r="A94" s="584" t="s">
        <v>440</v>
      </c>
      <c r="B94" s="50" t="s">
        <v>3346</v>
      </c>
      <c r="C94" s="50" t="s">
        <v>2905</v>
      </c>
      <c r="D94" s="57" t="s">
        <v>4034</v>
      </c>
      <c r="E94" s="50" t="s">
        <v>3662</v>
      </c>
      <c r="F94" s="50" t="s">
        <v>3662</v>
      </c>
      <c r="G94" s="50" t="s">
        <v>4031</v>
      </c>
      <c r="H94" s="50" t="s">
        <v>3563</v>
      </c>
      <c r="I94" s="50" t="s">
        <v>2815</v>
      </c>
      <c r="J94" s="50" t="s">
        <v>4032</v>
      </c>
      <c r="K94" s="586">
        <v>0.112</v>
      </c>
      <c r="L94" s="594" t="s">
        <v>3663</v>
      </c>
      <c r="M94" s="50" t="s">
        <v>4033</v>
      </c>
      <c r="N94" s="50">
        <v>200</v>
      </c>
      <c r="O94" s="50">
        <v>4</v>
      </c>
      <c r="P94" s="50" t="s">
        <v>440</v>
      </c>
      <c r="Q94" s="585">
        <v>45355.841458333336</v>
      </c>
      <c r="R94" s="50" t="s">
        <v>3662</v>
      </c>
      <c r="S94" s="50" t="str">
        <f t="shared" si="1"/>
        <v>YES</v>
      </c>
    </row>
    <row r="95" spans="1:19" ht="14.5" x14ac:dyDescent="0.25">
      <c r="A95" s="584" t="s">
        <v>443</v>
      </c>
      <c r="B95" s="50" t="s">
        <v>3347</v>
      </c>
      <c r="C95" s="50" t="s">
        <v>2905</v>
      </c>
      <c r="D95" s="57" t="s">
        <v>4035</v>
      </c>
      <c r="E95" s="50" t="s">
        <v>3662</v>
      </c>
      <c r="F95" s="50" t="s">
        <v>3662</v>
      </c>
      <c r="G95" s="50" t="s">
        <v>4031</v>
      </c>
      <c r="H95" s="50" t="s">
        <v>3563</v>
      </c>
      <c r="I95" s="50" t="s">
        <v>2815</v>
      </c>
      <c r="J95" s="50" t="s">
        <v>4032</v>
      </c>
      <c r="K95" s="586">
        <v>0.112</v>
      </c>
      <c r="L95" s="594" t="s">
        <v>3663</v>
      </c>
      <c r="M95" s="50" t="s">
        <v>4033</v>
      </c>
      <c r="N95" s="50">
        <v>320</v>
      </c>
      <c r="O95" s="50">
        <v>1</v>
      </c>
      <c r="P95" s="50" t="s">
        <v>443</v>
      </c>
      <c r="Q95" s="585">
        <v>45355.841458333336</v>
      </c>
      <c r="R95" s="50" t="s">
        <v>3662</v>
      </c>
      <c r="S95" s="50" t="str">
        <f t="shared" si="1"/>
        <v>YES</v>
      </c>
    </row>
    <row r="96" spans="1:19" ht="14.5" x14ac:dyDescent="0.25">
      <c r="A96" s="584" t="s">
        <v>429</v>
      </c>
      <c r="B96" s="50" t="s">
        <v>3345</v>
      </c>
      <c r="C96" s="50" t="s">
        <v>2905</v>
      </c>
      <c r="D96" s="57" t="s">
        <v>4036</v>
      </c>
      <c r="E96" s="50" t="s">
        <v>3662</v>
      </c>
      <c r="F96" s="50" t="s">
        <v>3662</v>
      </c>
      <c r="G96" s="50" t="s">
        <v>4031</v>
      </c>
      <c r="H96" s="50" t="s">
        <v>3563</v>
      </c>
      <c r="I96" s="50" t="s">
        <v>2815</v>
      </c>
      <c r="J96" s="50" t="s">
        <v>4032</v>
      </c>
      <c r="K96" s="586">
        <v>0.112</v>
      </c>
      <c r="L96" s="594" t="s">
        <v>3663</v>
      </c>
      <c r="M96" s="50" t="s">
        <v>4033</v>
      </c>
      <c r="N96" s="50">
        <v>320</v>
      </c>
      <c r="O96" s="50">
        <v>2</v>
      </c>
      <c r="P96" s="50" t="s">
        <v>429</v>
      </c>
      <c r="Q96" s="585">
        <v>45355.841458333336</v>
      </c>
      <c r="R96" s="50" t="s">
        <v>3662</v>
      </c>
      <c r="S96" s="50" t="str">
        <f t="shared" si="1"/>
        <v>YES</v>
      </c>
    </row>
    <row r="97" spans="1:19" ht="14.5" x14ac:dyDescent="0.25">
      <c r="A97" s="584" t="s">
        <v>417</v>
      </c>
      <c r="B97" s="50" t="s">
        <v>3341</v>
      </c>
      <c r="C97" s="50" t="s">
        <v>2905</v>
      </c>
      <c r="D97" s="57" t="s">
        <v>4037</v>
      </c>
      <c r="E97" s="50" t="s">
        <v>3662</v>
      </c>
      <c r="F97" s="50" t="s">
        <v>3662</v>
      </c>
      <c r="G97" s="50" t="s">
        <v>4031</v>
      </c>
      <c r="H97" s="50" t="s">
        <v>3563</v>
      </c>
      <c r="I97" s="50" t="s">
        <v>2815</v>
      </c>
      <c r="J97" s="50" t="s">
        <v>4032</v>
      </c>
      <c r="K97" s="586">
        <v>0.112</v>
      </c>
      <c r="L97" s="594" t="s">
        <v>3663</v>
      </c>
      <c r="M97" s="50" t="s">
        <v>4033</v>
      </c>
      <c r="N97" s="50">
        <v>320</v>
      </c>
      <c r="O97" s="50">
        <v>2</v>
      </c>
      <c r="P97" s="50" t="s">
        <v>417</v>
      </c>
      <c r="Q97" s="585">
        <v>45355.841458333336</v>
      </c>
      <c r="R97" s="50" t="s">
        <v>3662</v>
      </c>
      <c r="S97" s="50" t="str">
        <f t="shared" si="1"/>
        <v>YES</v>
      </c>
    </row>
    <row r="98" spans="1:19" ht="14.5" x14ac:dyDescent="0.25">
      <c r="A98" s="584" t="s">
        <v>2908</v>
      </c>
      <c r="B98" s="50" t="s">
        <v>3664</v>
      </c>
      <c r="C98" s="50" t="s">
        <v>2905</v>
      </c>
      <c r="D98" s="57" t="s">
        <v>4038</v>
      </c>
      <c r="E98" s="50" t="s">
        <v>3662</v>
      </c>
      <c r="F98" s="50" t="s">
        <v>3662</v>
      </c>
      <c r="G98" s="50" t="s">
        <v>4031</v>
      </c>
      <c r="H98" s="50" t="s">
        <v>3563</v>
      </c>
      <c r="I98" s="50" t="s">
        <v>2815</v>
      </c>
      <c r="J98" s="50" t="s">
        <v>4032</v>
      </c>
      <c r="K98" s="586">
        <v>0.112</v>
      </c>
      <c r="L98" s="594" t="s">
        <v>3663</v>
      </c>
      <c r="M98" s="50" t="s">
        <v>4033</v>
      </c>
      <c r="N98" s="50">
        <v>320</v>
      </c>
      <c r="O98" s="50">
        <v>1</v>
      </c>
      <c r="P98" s="50" t="s">
        <v>2908</v>
      </c>
      <c r="Q98" s="585">
        <v>45355.841458333336</v>
      </c>
      <c r="R98" s="50" t="s">
        <v>3662</v>
      </c>
      <c r="S98" s="50" t="str">
        <f t="shared" si="1"/>
        <v>YES</v>
      </c>
    </row>
    <row r="99" spans="1:19" ht="14.5" x14ac:dyDescent="0.25">
      <c r="A99" s="584" t="s">
        <v>4206</v>
      </c>
      <c r="B99" s="50" t="s">
        <v>4207</v>
      </c>
      <c r="C99" s="50" t="s">
        <v>3696</v>
      </c>
      <c r="D99" s="57" t="s">
        <v>4208</v>
      </c>
      <c r="E99" s="50" t="s">
        <v>3560</v>
      </c>
      <c r="F99" s="50" t="s">
        <v>3659</v>
      </c>
      <c r="G99" s="50" t="s">
        <v>4027</v>
      </c>
      <c r="H99" s="50" t="s">
        <v>3569</v>
      </c>
      <c r="I99" s="50" t="s">
        <v>2817</v>
      </c>
      <c r="J99" s="50" t="s">
        <v>2818</v>
      </c>
      <c r="K99" s="586">
        <v>8.1000000000000003E-2</v>
      </c>
      <c r="L99" s="590" t="s">
        <v>3660</v>
      </c>
      <c r="M99" s="50" t="s">
        <v>4028</v>
      </c>
      <c r="N99" s="50">
        <v>4</v>
      </c>
      <c r="O99" s="50">
        <v>1</v>
      </c>
      <c r="P99" s="597" t="s">
        <v>4206</v>
      </c>
      <c r="Q99" s="585">
        <v>45356</v>
      </c>
      <c r="R99" s="50" t="s">
        <v>3659</v>
      </c>
      <c r="S99" s="50" t="str">
        <f t="shared" si="1"/>
        <v>YES</v>
      </c>
    </row>
    <row r="100" spans="1:19" ht="14.5" x14ac:dyDescent="0.25">
      <c r="A100" s="584" t="s">
        <v>2825</v>
      </c>
      <c r="B100" s="50" t="s">
        <v>3661</v>
      </c>
      <c r="C100" s="50" t="s">
        <v>2823</v>
      </c>
      <c r="D100" s="57" t="s">
        <v>4029</v>
      </c>
      <c r="E100" s="50" t="s">
        <v>3560</v>
      </c>
      <c r="F100" s="50" t="s">
        <v>3659</v>
      </c>
      <c r="G100" s="50" t="s">
        <v>4027</v>
      </c>
      <c r="H100" s="50" t="s">
        <v>3569</v>
      </c>
      <c r="I100" s="50" t="s">
        <v>2817</v>
      </c>
      <c r="J100" s="50" t="s">
        <v>2818</v>
      </c>
      <c r="K100" s="586">
        <v>8.1000000000000003E-2</v>
      </c>
      <c r="L100" s="590" t="s">
        <v>3660</v>
      </c>
      <c r="M100" s="50" t="s">
        <v>4028</v>
      </c>
      <c r="N100" s="50">
        <v>4</v>
      </c>
      <c r="O100" s="50">
        <v>1</v>
      </c>
      <c r="P100" s="50" t="s">
        <v>2825</v>
      </c>
      <c r="Q100" s="585">
        <v>45356.605115740742</v>
      </c>
      <c r="R100" s="50" t="s">
        <v>3659</v>
      </c>
      <c r="S100" s="50" t="str">
        <f t="shared" si="1"/>
        <v>YES</v>
      </c>
    </row>
    <row r="101" spans="1:19" ht="14.5" x14ac:dyDescent="0.25">
      <c r="A101" s="584" t="s">
        <v>980</v>
      </c>
      <c r="B101" s="50" t="s">
        <v>3416</v>
      </c>
      <c r="C101" s="50" t="s">
        <v>2823</v>
      </c>
      <c r="D101" s="57" t="s">
        <v>4026</v>
      </c>
      <c r="E101" s="50" t="s">
        <v>3560</v>
      </c>
      <c r="F101" s="50" t="s">
        <v>3659</v>
      </c>
      <c r="G101" s="50" t="s">
        <v>4027</v>
      </c>
      <c r="H101" s="50" t="s">
        <v>3569</v>
      </c>
      <c r="I101" s="50" t="s">
        <v>2817</v>
      </c>
      <c r="J101" s="50" t="s">
        <v>2818</v>
      </c>
      <c r="K101" s="586">
        <v>8.1000000000000003E-2</v>
      </c>
      <c r="L101" s="590" t="s">
        <v>3660</v>
      </c>
      <c r="M101" s="50" t="s">
        <v>4028</v>
      </c>
      <c r="N101" s="50">
        <v>4</v>
      </c>
      <c r="O101" s="50">
        <v>1</v>
      </c>
      <c r="P101" s="50" t="s">
        <v>980</v>
      </c>
      <c r="Q101" s="585">
        <v>45356.606666666667</v>
      </c>
      <c r="R101" s="50" t="s">
        <v>3659</v>
      </c>
      <c r="S101" s="50" t="str">
        <f t="shared" si="1"/>
        <v>YES</v>
      </c>
    </row>
    <row r="102" spans="1:19" ht="14.5" x14ac:dyDescent="0.25">
      <c r="A102" s="584" t="s">
        <v>1381</v>
      </c>
      <c r="B102" s="50" t="s">
        <v>3444</v>
      </c>
      <c r="C102" s="50" t="s">
        <v>3958</v>
      </c>
      <c r="D102" s="57" t="s">
        <v>4025</v>
      </c>
      <c r="E102" s="50" t="s">
        <v>3560</v>
      </c>
      <c r="F102" s="50" t="s">
        <v>3561</v>
      </c>
      <c r="G102" s="50" t="s">
        <v>3785</v>
      </c>
      <c r="H102" s="50" t="s">
        <v>3563</v>
      </c>
      <c r="I102" s="50" t="s">
        <v>3759</v>
      </c>
      <c r="J102" s="50" t="s">
        <v>2818</v>
      </c>
      <c r="K102" s="586">
        <v>8.1000000000000003E-2</v>
      </c>
      <c r="L102" s="591" t="s">
        <v>3564</v>
      </c>
      <c r="M102" s="50" t="s">
        <v>3701</v>
      </c>
      <c r="N102" s="50">
        <v>40</v>
      </c>
      <c r="O102" s="50">
        <v>1</v>
      </c>
      <c r="P102" s="50" t="s">
        <v>1381</v>
      </c>
      <c r="Q102" s="585">
        <v>45358.795682870368</v>
      </c>
      <c r="R102" s="50" t="s">
        <v>3615</v>
      </c>
      <c r="S102" s="50" t="str">
        <f t="shared" si="1"/>
        <v>YES</v>
      </c>
    </row>
    <row r="103" spans="1:19" ht="14.5" x14ac:dyDescent="0.25">
      <c r="A103" s="584" t="s">
        <v>1383</v>
      </c>
      <c r="B103" s="50" t="s">
        <v>3445</v>
      </c>
      <c r="C103" s="50" t="s">
        <v>3958</v>
      </c>
      <c r="D103" s="57" t="s">
        <v>4024</v>
      </c>
      <c r="E103" s="50" t="s">
        <v>3560</v>
      </c>
      <c r="F103" s="50" t="s">
        <v>3561</v>
      </c>
      <c r="G103" s="50" t="s">
        <v>3785</v>
      </c>
      <c r="H103" s="50" t="s">
        <v>3563</v>
      </c>
      <c r="I103" s="50" t="s">
        <v>3759</v>
      </c>
      <c r="J103" s="50" t="s">
        <v>2818</v>
      </c>
      <c r="K103" s="586">
        <v>8.1000000000000003E-2</v>
      </c>
      <c r="L103" s="591" t="s">
        <v>3564</v>
      </c>
      <c r="M103" s="50" t="s">
        <v>3701</v>
      </c>
      <c r="N103" s="50">
        <v>40</v>
      </c>
      <c r="O103" s="50">
        <v>1</v>
      </c>
      <c r="P103" s="50" t="s">
        <v>1383</v>
      </c>
      <c r="Q103" s="585">
        <v>45358.79619212963</v>
      </c>
      <c r="R103" s="50" t="s">
        <v>3615</v>
      </c>
      <c r="S103" s="50" t="str">
        <f t="shared" si="1"/>
        <v>YES</v>
      </c>
    </row>
    <row r="104" spans="1:19" ht="14.5" x14ac:dyDescent="0.25">
      <c r="A104" s="584" t="s">
        <v>4022</v>
      </c>
      <c r="B104" s="50" t="s">
        <v>3447</v>
      </c>
      <c r="C104" s="50" t="s">
        <v>3773</v>
      </c>
      <c r="D104" s="57" t="s">
        <v>4023</v>
      </c>
      <c r="E104" s="50" t="s">
        <v>3560</v>
      </c>
      <c r="F104" s="50" t="s">
        <v>3561</v>
      </c>
      <c r="G104" s="50" t="s">
        <v>3774</v>
      </c>
      <c r="H104" s="50" t="s">
        <v>3563</v>
      </c>
      <c r="I104" s="50" t="s">
        <v>2817</v>
      </c>
      <c r="J104" s="50" t="s">
        <v>2818</v>
      </c>
      <c r="K104" s="586">
        <v>8.1000000000000003E-2</v>
      </c>
      <c r="L104" s="591" t="s">
        <v>3564</v>
      </c>
      <c r="M104" s="50" t="s">
        <v>3701</v>
      </c>
      <c r="N104" s="50">
        <v>200</v>
      </c>
      <c r="O104" s="50">
        <v>1</v>
      </c>
      <c r="P104" s="50" t="s">
        <v>1487</v>
      </c>
      <c r="Q104" s="585">
        <v>45358.80369212963</v>
      </c>
      <c r="R104" s="50" t="s">
        <v>3579</v>
      </c>
      <c r="S104" s="50" t="str">
        <f t="shared" si="1"/>
        <v>YES</v>
      </c>
    </row>
    <row r="105" spans="1:19" ht="14.5" x14ac:dyDescent="0.25">
      <c r="A105" s="584" t="s">
        <v>228</v>
      </c>
      <c r="B105" s="50" t="s">
        <v>3315</v>
      </c>
      <c r="C105" s="50" t="s">
        <v>3694</v>
      </c>
      <c r="D105" s="57" t="s">
        <v>4021</v>
      </c>
      <c r="E105" s="50" t="s">
        <v>3560</v>
      </c>
      <c r="F105" s="50" t="s">
        <v>3561</v>
      </c>
      <c r="G105" s="50" t="s">
        <v>3762</v>
      </c>
      <c r="H105" s="50" t="s">
        <v>3563</v>
      </c>
      <c r="I105" s="50" t="s">
        <v>2817</v>
      </c>
      <c r="J105" s="50" t="s">
        <v>2818</v>
      </c>
      <c r="K105" s="586">
        <v>8.1000000000000003E-2</v>
      </c>
      <c r="L105" s="591" t="s">
        <v>3564</v>
      </c>
      <c r="M105" s="50" t="s">
        <v>3701</v>
      </c>
      <c r="N105" s="50">
        <v>20</v>
      </c>
      <c r="O105" s="50">
        <v>2</v>
      </c>
      <c r="P105" s="50" t="s">
        <v>228</v>
      </c>
      <c r="Q105" s="585">
        <v>45392.65730324074</v>
      </c>
      <c r="R105" s="50" t="s">
        <v>4370</v>
      </c>
      <c r="S105" s="50" t="str">
        <f t="shared" si="1"/>
        <v>YES</v>
      </c>
    </row>
    <row r="106" spans="1:19" ht="14.5" x14ac:dyDescent="0.25">
      <c r="A106" s="584" t="s">
        <v>231</v>
      </c>
      <c r="B106" s="50" t="s">
        <v>3207</v>
      </c>
      <c r="C106" s="50" t="s">
        <v>3694</v>
      </c>
      <c r="D106" s="57" t="s">
        <v>4020</v>
      </c>
      <c r="E106" s="50" t="s">
        <v>3560</v>
      </c>
      <c r="F106" s="50" t="s">
        <v>3561</v>
      </c>
      <c r="G106" s="50" t="s">
        <v>3762</v>
      </c>
      <c r="H106" s="50" t="s">
        <v>3563</v>
      </c>
      <c r="I106" s="50" t="s">
        <v>2817</v>
      </c>
      <c r="J106" s="50" t="s">
        <v>2818</v>
      </c>
      <c r="K106" s="586">
        <v>8.1000000000000003E-2</v>
      </c>
      <c r="L106" s="591" t="s">
        <v>3564</v>
      </c>
      <c r="M106" s="50" t="s">
        <v>3701</v>
      </c>
      <c r="N106" s="50">
        <v>20</v>
      </c>
      <c r="O106" s="50">
        <v>2</v>
      </c>
      <c r="P106" s="50" t="s">
        <v>231</v>
      </c>
      <c r="Q106" s="585">
        <v>45392.657719907409</v>
      </c>
      <c r="R106" s="50" t="s">
        <v>4370</v>
      </c>
      <c r="S106" s="50" t="str">
        <f t="shared" si="1"/>
        <v>YES</v>
      </c>
    </row>
    <row r="107" spans="1:19" ht="14.5" x14ac:dyDescent="0.25">
      <c r="A107" s="584" t="s">
        <v>161</v>
      </c>
      <c r="B107" s="50" t="s">
        <v>3301</v>
      </c>
      <c r="C107" s="50" t="s">
        <v>3694</v>
      </c>
      <c r="D107" s="57" t="s">
        <v>4019</v>
      </c>
      <c r="E107" s="50" t="s">
        <v>3560</v>
      </c>
      <c r="F107" s="50" t="s">
        <v>3561</v>
      </c>
      <c r="G107" s="50" t="s">
        <v>3762</v>
      </c>
      <c r="H107" s="50" t="s">
        <v>3563</v>
      </c>
      <c r="I107" s="50" t="s">
        <v>2817</v>
      </c>
      <c r="J107" s="50" t="s">
        <v>2818</v>
      </c>
      <c r="K107" s="586">
        <v>8.1000000000000003E-2</v>
      </c>
      <c r="L107" s="591" t="s">
        <v>3564</v>
      </c>
      <c r="M107" s="50" t="s">
        <v>3701</v>
      </c>
      <c r="N107" s="50">
        <v>32</v>
      </c>
      <c r="O107" s="50">
        <v>1</v>
      </c>
      <c r="P107" s="50" t="s">
        <v>161</v>
      </c>
      <c r="Q107" s="585">
        <v>45420.469490740739</v>
      </c>
      <c r="R107" s="50" t="s">
        <v>4370</v>
      </c>
      <c r="S107" s="50" t="str">
        <f t="shared" si="1"/>
        <v>YES</v>
      </c>
    </row>
    <row r="108" spans="1:19" ht="14.5" x14ac:dyDescent="0.25">
      <c r="A108" s="584" t="s">
        <v>779</v>
      </c>
      <c r="B108" s="50" t="s">
        <v>3394</v>
      </c>
      <c r="C108" s="50" t="s">
        <v>2793</v>
      </c>
      <c r="D108" s="57" t="s">
        <v>4018</v>
      </c>
      <c r="E108" s="50" t="s">
        <v>3617</v>
      </c>
      <c r="F108" s="50" t="s">
        <v>3629</v>
      </c>
      <c r="G108" s="50" t="s">
        <v>3937</v>
      </c>
      <c r="H108" s="50" t="s">
        <v>3569</v>
      </c>
      <c r="I108" s="50" t="s">
        <v>3817</v>
      </c>
      <c r="J108" s="50" t="s">
        <v>3818</v>
      </c>
      <c r="K108" s="586">
        <v>8.6999999999999994E-2</v>
      </c>
      <c r="L108" s="596" t="s">
        <v>3619</v>
      </c>
      <c r="M108" s="50" t="s">
        <v>3819</v>
      </c>
      <c r="N108" s="50">
        <v>16</v>
      </c>
      <c r="O108" s="50">
        <v>1</v>
      </c>
      <c r="P108" s="50" t="s">
        <v>779</v>
      </c>
      <c r="Q108" s="585">
        <v>45443.49800925926</v>
      </c>
      <c r="R108" s="50" t="s">
        <v>4361</v>
      </c>
      <c r="S108" s="50" t="str">
        <f t="shared" si="1"/>
        <v>YES</v>
      </c>
    </row>
    <row r="109" spans="1:19" ht="14.5" x14ac:dyDescent="0.25">
      <c r="A109" s="584" t="s">
        <v>551</v>
      </c>
      <c r="B109" s="50" t="s">
        <v>3372</v>
      </c>
      <c r="C109" s="50" t="s">
        <v>2793</v>
      </c>
      <c r="D109" s="57" t="s">
        <v>4017</v>
      </c>
      <c r="E109" s="50" t="s">
        <v>3617</v>
      </c>
      <c r="F109" s="50" t="s">
        <v>3629</v>
      </c>
      <c r="G109" s="50" t="s">
        <v>3937</v>
      </c>
      <c r="H109" s="50" t="s">
        <v>3569</v>
      </c>
      <c r="I109" s="50" t="s">
        <v>3817</v>
      </c>
      <c r="J109" s="50" t="s">
        <v>3818</v>
      </c>
      <c r="K109" s="586">
        <v>8.6999999999999994E-2</v>
      </c>
      <c r="L109" s="596" t="s">
        <v>3619</v>
      </c>
      <c r="M109" s="50" t="s">
        <v>3819</v>
      </c>
      <c r="N109" s="50">
        <v>16</v>
      </c>
      <c r="O109" s="50">
        <v>1</v>
      </c>
      <c r="P109" s="50" t="s">
        <v>551</v>
      </c>
      <c r="Q109" s="585">
        <v>45443.501817129632</v>
      </c>
      <c r="R109" s="50" t="s">
        <v>4361</v>
      </c>
      <c r="S109" s="50" t="str">
        <f t="shared" si="1"/>
        <v>YES</v>
      </c>
    </row>
    <row r="110" spans="1:19" ht="14.5" x14ac:dyDescent="0.25">
      <c r="A110" s="584" t="s">
        <v>549</v>
      </c>
      <c r="B110" s="50" t="s">
        <v>3371</v>
      </c>
      <c r="C110" s="50" t="s">
        <v>2793</v>
      </c>
      <c r="D110" s="57" t="s">
        <v>4016</v>
      </c>
      <c r="E110" s="50" t="s">
        <v>3617</v>
      </c>
      <c r="F110" s="50" t="s">
        <v>3629</v>
      </c>
      <c r="G110" s="50" t="s">
        <v>3937</v>
      </c>
      <c r="H110" s="50" t="s">
        <v>3569</v>
      </c>
      <c r="I110" s="50" t="s">
        <v>3817</v>
      </c>
      <c r="J110" s="50" t="s">
        <v>3818</v>
      </c>
      <c r="K110" s="586">
        <v>8.6999999999999994E-2</v>
      </c>
      <c r="L110" s="596" t="s">
        <v>3619</v>
      </c>
      <c r="M110" s="50" t="s">
        <v>3819</v>
      </c>
      <c r="N110" s="50">
        <v>16</v>
      </c>
      <c r="O110" s="50">
        <v>1</v>
      </c>
      <c r="P110" s="50" t="s">
        <v>549</v>
      </c>
      <c r="Q110" s="585">
        <v>45443.659016203703</v>
      </c>
      <c r="R110" s="50" t="s">
        <v>4361</v>
      </c>
      <c r="S110" s="50" t="str">
        <f t="shared" si="1"/>
        <v>YES</v>
      </c>
    </row>
    <row r="111" spans="1:19" ht="14.5" x14ac:dyDescent="0.25">
      <c r="A111" s="584" t="s">
        <v>4011</v>
      </c>
      <c r="B111" s="50" t="s">
        <v>4012</v>
      </c>
      <c r="C111" s="50" t="s">
        <v>3876</v>
      </c>
      <c r="D111" s="57" t="s">
        <v>4013</v>
      </c>
      <c r="E111" s="50" t="s">
        <v>3878</v>
      </c>
      <c r="F111" s="50" t="s">
        <v>3878</v>
      </c>
      <c r="G111" s="50" t="s">
        <v>3878</v>
      </c>
      <c r="H111" s="50" t="s">
        <v>3712</v>
      </c>
      <c r="I111" s="50"/>
      <c r="J111" s="50"/>
      <c r="K111" s="586"/>
      <c r="L111" s="582" t="s">
        <v>4014</v>
      </c>
      <c r="M111" s="50" t="s">
        <v>4015</v>
      </c>
      <c r="N111" s="50"/>
      <c r="O111" s="50"/>
      <c r="P111" s="50" t="s">
        <v>2836</v>
      </c>
      <c r="Q111" s="585">
        <v>45454.751018518517</v>
      </c>
      <c r="R111" s="50" t="s">
        <v>4362</v>
      </c>
      <c r="S111" s="50" t="str">
        <f t="shared" si="1"/>
        <v>YES</v>
      </c>
    </row>
    <row r="112" spans="1:19" ht="14.5" x14ac:dyDescent="0.25">
      <c r="A112" s="584" t="s">
        <v>2923</v>
      </c>
      <c r="B112" s="50" t="s">
        <v>3658</v>
      </c>
      <c r="C112" s="50" t="s">
        <v>3737</v>
      </c>
      <c r="D112" s="598" t="s">
        <v>4010</v>
      </c>
      <c r="E112" s="50" t="s">
        <v>3573</v>
      </c>
      <c r="F112" s="50" t="s">
        <v>3722</v>
      </c>
      <c r="G112" s="50" t="s">
        <v>3796</v>
      </c>
      <c r="H112" s="50" t="s">
        <v>3563</v>
      </c>
      <c r="I112" s="50" t="s">
        <v>2817</v>
      </c>
      <c r="J112" s="50" t="s">
        <v>3707</v>
      </c>
      <c r="K112" s="586">
        <v>5.5E-2</v>
      </c>
      <c r="L112" s="595" t="s">
        <v>3602</v>
      </c>
      <c r="M112" s="50" t="s">
        <v>3739</v>
      </c>
      <c r="N112" s="50">
        <v>90</v>
      </c>
      <c r="O112" s="50">
        <v>1</v>
      </c>
      <c r="P112" s="50" t="s">
        <v>2923</v>
      </c>
      <c r="Q112" s="585">
        <v>45462.775972222225</v>
      </c>
      <c r="R112" s="50" t="s">
        <v>4376</v>
      </c>
      <c r="S112" s="50" t="str">
        <f t="shared" si="1"/>
        <v>YES</v>
      </c>
    </row>
    <row r="113" spans="1:19" ht="14.5" x14ac:dyDescent="0.25">
      <c r="A113" s="584" t="s">
        <v>316</v>
      </c>
      <c r="B113" s="50" t="s">
        <v>3333</v>
      </c>
      <c r="C113" s="50" t="s">
        <v>3737</v>
      </c>
      <c r="D113" s="57" t="s">
        <v>4009</v>
      </c>
      <c r="E113" s="50" t="s">
        <v>3573</v>
      </c>
      <c r="F113" s="50" t="s">
        <v>3705</v>
      </c>
      <c r="G113" s="50" t="s">
        <v>3742</v>
      </c>
      <c r="H113" s="50" t="s">
        <v>3563</v>
      </c>
      <c r="I113" s="50" t="s">
        <v>2817</v>
      </c>
      <c r="J113" s="50" t="s">
        <v>3707</v>
      </c>
      <c r="K113" s="586">
        <v>5.5E-2</v>
      </c>
      <c r="L113" s="595" t="s">
        <v>3602</v>
      </c>
      <c r="M113" s="50" t="s">
        <v>3739</v>
      </c>
      <c r="N113" s="50">
        <v>90</v>
      </c>
      <c r="O113" s="50">
        <v>1</v>
      </c>
      <c r="P113" s="50" t="s">
        <v>316</v>
      </c>
      <c r="Q113" s="585">
        <v>45462.777141203704</v>
      </c>
      <c r="R113" s="50" t="s">
        <v>4376</v>
      </c>
      <c r="S113" s="50" t="str">
        <f t="shared" si="1"/>
        <v>YES</v>
      </c>
    </row>
    <row r="114" spans="1:19" ht="14.5" x14ac:dyDescent="0.25">
      <c r="A114" s="584" t="s">
        <v>2895</v>
      </c>
      <c r="B114" s="50" t="s">
        <v>4007</v>
      </c>
      <c r="C114" s="50" t="s">
        <v>3692</v>
      </c>
      <c r="D114" s="57" t="s">
        <v>4008</v>
      </c>
      <c r="E114" s="50" t="s">
        <v>3690</v>
      </c>
      <c r="F114" s="50" t="s">
        <v>3690</v>
      </c>
      <c r="G114" s="50" t="s">
        <v>3690</v>
      </c>
      <c r="H114" s="50" t="s">
        <v>3690</v>
      </c>
      <c r="I114" s="50"/>
      <c r="J114" s="50"/>
      <c r="K114" s="50"/>
      <c r="L114" s="599" t="s">
        <v>3873</v>
      </c>
      <c r="M114" s="50" t="s">
        <v>3819</v>
      </c>
      <c r="N114" s="50"/>
      <c r="O114" s="50"/>
      <c r="P114" s="50" t="s">
        <v>2895</v>
      </c>
      <c r="Q114" s="585">
        <v>45468.586724537039</v>
      </c>
      <c r="R114" s="50" t="s">
        <v>4362</v>
      </c>
      <c r="S114" s="50" t="str">
        <f t="shared" si="1"/>
        <v>YES</v>
      </c>
    </row>
    <row r="115" spans="1:19" ht="14.5" x14ac:dyDescent="0.25">
      <c r="A115" s="584" t="s">
        <v>4004</v>
      </c>
      <c r="B115" s="50" t="s">
        <v>4005</v>
      </c>
      <c r="C115" s="50" t="s">
        <v>3935</v>
      </c>
      <c r="D115" s="57" t="s">
        <v>4006</v>
      </c>
      <c r="E115" s="50" t="s">
        <v>3617</v>
      </c>
      <c r="F115" s="50" t="s">
        <v>3629</v>
      </c>
      <c r="G115" s="50" t="s">
        <v>3937</v>
      </c>
      <c r="H115" s="50" t="s">
        <v>3712</v>
      </c>
      <c r="I115" s="50" t="s">
        <v>3817</v>
      </c>
      <c r="J115" s="50"/>
      <c r="K115" s="586"/>
      <c r="L115" s="599" t="s">
        <v>3873</v>
      </c>
      <c r="M115" s="50" t="s">
        <v>3819</v>
      </c>
      <c r="N115" s="50"/>
      <c r="O115" s="50"/>
      <c r="P115" s="50" t="s">
        <v>2812</v>
      </c>
      <c r="Q115" s="585">
        <v>45492.812511574077</v>
      </c>
      <c r="R115" s="50" t="s">
        <v>4362</v>
      </c>
      <c r="S115" s="50" t="str">
        <f t="shared" si="1"/>
        <v>YES</v>
      </c>
    </row>
    <row r="116" spans="1:19" ht="14.5" x14ac:dyDescent="0.25">
      <c r="A116" s="584" t="s">
        <v>4001</v>
      </c>
      <c r="B116" s="50" t="s">
        <v>4002</v>
      </c>
      <c r="C116" s="50" t="s">
        <v>3935</v>
      </c>
      <c r="D116" s="57" t="s">
        <v>4003</v>
      </c>
      <c r="E116" s="50" t="s">
        <v>3617</v>
      </c>
      <c r="F116" s="50" t="s">
        <v>3629</v>
      </c>
      <c r="G116" s="50" t="s">
        <v>3937</v>
      </c>
      <c r="H116" s="50" t="s">
        <v>3712</v>
      </c>
      <c r="I116" s="50" t="s">
        <v>3817</v>
      </c>
      <c r="J116" s="50"/>
      <c r="K116" s="586"/>
      <c r="L116" s="599" t="s">
        <v>3873</v>
      </c>
      <c r="M116" s="50" t="s">
        <v>3819</v>
      </c>
      <c r="N116" s="50"/>
      <c r="O116" s="50"/>
      <c r="P116" s="50" t="s">
        <v>2811</v>
      </c>
      <c r="Q116" s="585">
        <v>45495.435983796298</v>
      </c>
      <c r="R116" s="50" t="s">
        <v>4362</v>
      </c>
      <c r="S116" s="50" t="str">
        <f t="shared" si="1"/>
        <v>YES</v>
      </c>
    </row>
    <row r="117" spans="1:19" ht="14.5" x14ac:dyDescent="0.25">
      <c r="A117" s="584" t="s">
        <v>3999</v>
      </c>
      <c r="B117" s="50" t="s">
        <v>3324</v>
      </c>
      <c r="C117" s="50" t="s">
        <v>3870</v>
      </c>
      <c r="D117" s="57" t="s">
        <v>4000</v>
      </c>
      <c r="E117" s="50" t="s">
        <v>3617</v>
      </c>
      <c r="F117" s="50" t="s">
        <v>3618</v>
      </c>
      <c r="G117" s="50" t="s">
        <v>3816</v>
      </c>
      <c r="H117" s="50" t="s">
        <v>3563</v>
      </c>
      <c r="I117" s="50" t="s">
        <v>3817</v>
      </c>
      <c r="J117" s="50" t="s">
        <v>3818</v>
      </c>
      <c r="K117" s="586">
        <v>8.6999999999999994E-2</v>
      </c>
      <c r="L117" s="596" t="s">
        <v>3619</v>
      </c>
      <c r="M117" s="50" t="s">
        <v>3819</v>
      </c>
      <c r="N117" s="50">
        <v>16</v>
      </c>
      <c r="O117" s="50">
        <v>1</v>
      </c>
      <c r="P117" s="50" t="s">
        <v>288</v>
      </c>
      <c r="Q117" s="585">
        <v>45502.47074074074</v>
      </c>
      <c r="R117" s="50" t="s">
        <v>4361</v>
      </c>
      <c r="S117" s="50" t="str">
        <f t="shared" si="1"/>
        <v>YES</v>
      </c>
    </row>
    <row r="118" spans="1:19" ht="14.5" x14ac:dyDescent="0.25">
      <c r="A118" s="584" t="s">
        <v>3997</v>
      </c>
      <c r="B118" s="50" t="s">
        <v>3383</v>
      </c>
      <c r="C118" s="50" t="s">
        <v>2915</v>
      </c>
      <c r="D118" s="57" t="s">
        <v>3998</v>
      </c>
      <c r="E118" s="50" t="s">
        <v>3617</v>
      </c>
      <c r="F118" s="50" t="s">
        <v>3618</v>
      </c>
      <c r="G118" s="50" t="s">
        <v>3816</v>
      </c>
      <c r="H118" s="50" t="s">
        <v>3563</v>
      </c>
      <c r="I118" s="50" t="s">
        <v>3817</v>
      </c>
      <c r="J118" s="50" t="s">
        <v>3818</v>
      </c>
      <c r="K118" s="586">
        <v>8.6999999999999994E-2</v>
      </c>
      <c r="L118" s="596" t="s">
        <v>3619</v>
      </c>
      <c r="M118" s="50" t="s">
        <v>3819</v>
      </c>
      <c r="N118" s="50">
        <v>16</v>
      </c>
      <c r="O118" s="50">
        <v>1</v>
      </c>
      <c r="P118" s="50" t="s">
        <v>663</v>
      </c>
      <c r="Q118" s="585">
        <v>45502.471365740741</v>
      </c>
      <c r="R118" s="50" t="s">
        <v>4361</v>
      </c>
      <c r="S118" s="50" t="str">
        <f t="shared" si="1"/>
        <v>YES</v>
      </c>
    </row>
    <row r="119" spans="1:19" ht="14.5" x14ac:dyDescent="0.25">
      <c r="A119" s="584" t="s">
        <v>3995</v>
      </c>
      <c r="B119" s="50" t="s">
        <v>3286</v>
      </c>
      <c r="C119" s="50" t="s">
        <v>3775</v>
      </c>
      <c r="D119" s="57" t="s">
        <v>3996</v>
      </c>
      <c r="E119" s="50" t="s">
        <v>3560</v>
      </c>
      <c r="F119" s="50" t="s">
        <v>3711</v>
      </c>
      <c r="G119" s="50" t="s">
        <v>3729</v>
      </c>
      <c r="H119" s="50" t="s">
        <v>3712</v>
      </c>
      <c r="I119" s="50" t="s">
        <v>2817</v>
      </c>
      <c r="J119" s="50" t="s">
        <v>3713</v>
      </c>
      <c r="K119" s="586">
        <v>8.1000000000000003E-2</v>
      </c>
      <c r="L119" s="600" t="s">
        <v>3570</v>
      </c>
      <c r="M119" s="50" t="s">
        <v>3714</v>
      </c>
      <c r="N119" s="50">
        <v>12</v>
      </c>
      <c r="O119" s="50">
        <v>1</v>
      </c>
      <c r="P119" s="50" t="s">
        <v>88</v>
      </c>
      <c r="Q119" s="585">
        <v>45519.728831018518</v>
      </c>
      <c r="R119" s="50" t="s">
        <v>3590</v>
      </c>
      <c r="S119" s="50" t="str">
        <f t="shared" si="1"/>
        <v>YES</v>
      </c>
    </row>
    <row r="120" spans="1:19" ht="14.5" x14ac:dyDescent="0.25">
      <c r="A120" s="584" t="s">
        <v>3993</v>
      </c>
      <c r="B120" s="50" t="s">
        <v>3288</v>
      </c>
      <c r="C120" s="50" t="s">
        <v>2821</v>
      </c>
      <c r="D120" s="57" t="s">
        <v>3994</v>
      </c>
      <c r="E120" s="50" t="s">
        <v>3560</v>
      </c>
      <c r="F120" s="50" t="s">
        <v>3711</v>
      </c>
      <c r="G120" s="50" t="s">
        <v>3729</v>
      </c>
      <c r="H120" s="50" t="s">
        <v>3712</v>
      </c>
      <c r="I120" s="50" t="s">
        <v>2817</v>
      </c>
      <c r="J120" s="50" t="s">
        <v>3713</v>
      </c>
      <c r="K120" s="586">
        <v>8.1000000000000003E-2</v>
      </c>
      <c r="L120" s="600" t="s">
        <v>3570</v>
      </c>
      <c r="M120" s="50" t="s">
        <v>3714</v>
      </c>
      <c r="N120" s="50">
        <v>12</v>
      </c>
      <c r="O120" s="50">
        <v>1</v>
      </c>
      <c r="P120" s="50" t="s">
        <v>93</v>
      </c>
      <c r="Q120" s="585">
        <v>45519.756851851853</v>
      </c>
      <c r="R120" s="50" t="s">
        <v>3590</v>
      </c>
      <c r="S120" s="50" t="str">
        <f t="shared" si="1"/>
        <v>YES</v>
      </c>
    </row>
    <row r="121" spans="1:19" ht="14.5" x14ac:dyDescent="0.25">
      <c r="A121" s="584" t="s">
        <v>884</v>
      </c>
      <c r="B121" s="50" t="s">
        <v>3402</v>
      </c>
      <c r="C121" s="50" t="s">
        <v>3853</v>
      </c>
      <c r="D121" s="57" t="s">
        <v>3992</v>
      </c>
      <c r="E121" s="50" t="s">
        <v>3617</v>
      </c>
      <c r="F121" s="50" t="s">
        <v>3629</v>
      </c>
      <c r="G121" s="50" t="s">
        <v>3854</v>
      </c>
      <c r="H121" s="50" t="s">
        <v>3569</v>
      </c>
      <c r="I121" s="50" t="s">
        <v>3817</v>
      </c>
      <c r="J121" s="50" t="s">
        <v>3818</v>
      </c>
      <c r="K121" s="586">
        <v>8.6999999999999994E-2</v>
      </c>
      <c r="L121" s="601" t="s">
        <v>3630</v>
      </c>
      <c r="M121" s="50" t="s">
        <v>3855</v>
      </c>
      <c r="N121" s="50">
        <v>16</v>
      </c>
      <c r="O121" s="50">
        <v>1</v>
      </c>
      <c r="P121" s="50" t="s">
        <v>884</v>
      </c>
      <c r="Q121" s="585">
        <v>45553.647731481484</v>
      </c>
      <c r="R121" s="50" t="s">
        <v>4364</v>
      </c>
      <c r="S121" s="50" t="str">
        <f t="shared" si="1"/>
        <v>YES</v>
      </c>
    </row>
    <row r="122" spans="1:19" ht="14.5" x14ac:dyDescent="0.25">
      <c r="A122" s="584" t="s">
        <v>1038</v>
      </c>
      <c r="B122" s="50" t="s">
        <v>3422</v>
      </c>
      <c r="C122" s="50" t="s">
        <v>2874</v>
      </c>
      <c r="D122" s="584" t="s">
        <v>3991</v>
      </c>
      <c r="E122" s="50" t="s">
        <v>3560</v>
      </c>
      <c r="F122" s="50" t="s">
        <v>3561</v>
      </c>
      <c r="G122" s="50" t="s">
        <v>3785</v>
      </c>
      <c r="H122" s="50" t="s">
        <v>3563</v>
      </c>
      <c r="I122" s="50" t="s">
        <v>3759</v>
      </c>
      <c r="J122" s="50" t="s">
        <v>2818</v>
      </c>
      <c r="K122" s="586">
        <v>8.1000000000000003E-2</v>
      </c>
      <c r="L122" s="591" t="s">
        <v>3564</v>
      </c>
      <c r="M122" s="50" t="s">
        <v>3701</v>
      </c>
      <c r="N122" s="50">
        <v>20</v>
      </c>
      <c r="O122" s="50">
        <v>2</v>
      </c>
      <c r="P122" s="50" t="s">
        <v>1038</v>
      </c>
      <c r="Q122" s="585">
        <v>45574.437673611108</v>
      </c>
      <c r="R122" s="50" t="s">
        <v>4370</v>
      </c>
      <c r="S122" s="50" t="str">
        <f t="shared" si="1"/>
        <v>YES</v>
      </c>
    </row>
    <row r="123" spans="1:19" ht="14.5" x14ac:dyDescent="0.25">
      <c r="A123" s="584" t="s">
        <v>3990</v>
      </c>
      <c r="B123" s="50" t="s">
        <v>4147</v>
      </c>
      <c r="C123" s="50" t="s">
        <v>2865</v>
      </c>
      <c r="D123" s="57" t="s">
        <v>4148</v>
      </c>
      <c r="E123" s="50" t="s">
        <v>3945</v>
      </c>
      <c r="F123" s="50" t="s">
        <v>3945</v>
      </c>
      <c r="G123" s="50" t="s">
        <v>3989</v>
      </c>
      <c r="H123" s="50" t="s">
        <v>3563</v>
      </c>
      <c r="I123" s="50" t="s">
        <v>2817</v>
      </c>
      <c r="J123" s="50" t="s">
        <v>2818</v>
      </c>
      <c r="K123" s="586">
        <v>8.1000000000000003E-2</v>
      </c>
      <c r="L123" s="602" t="s">
        <v>3652</v>
      </c>
      <c r="M123" s="50" t="s">
        <v>3947</v>
      </c>
      <c r="N123" s="50">
        <v>70</v>
      </c>
      <c r="O123" s="50">
        <v>1</v>
      </c>
      <c r="P123" s="50" t="s">
        <v>453</v>
      </c>
      <c r="Q123" s="585">
        <v>45575.635914351849</v>
      </c>
      <c r="R123" s="50" t="s">
        <v>4369</v>
      </c>
      <c r="S123" s="50" t="str">
        <f t="shared" si="1"/>
        <v>YES</v>
      </c>
    </row>
    <row r="124" spans="1:19" ht="14.5" x14ac:dyDescent="0.25">
      <c r="A124" s="584" t="s">
        <v>448</v>
      </c>
      <c r="B124" s="50" t="s">
        <v>3348</v>
      </c>
      <c r="C124" s="50" t="s">
        <v>2865</v>
      </c>
      <c r="D124" s="57" t="s">
        <v>3988</v>
      </c>
      <c r="E124" s="50" t="s">
        <v>3945</v>
      </c>
      <c r="F124" s="50" t="s">
        <v>3945</v>
      </c>
      <c r="G124" s="50" t="s">
        <v>3989</v>
      </c>
      <c r="H124" s="50" t="s">
        <v>3563</v>
      </c>
      <c r="I124" s="50" t="s">
        <v>2817</v>
      </c>
      <c r="J124" s="50" t="s">
        <v>2818</v>
      </c>
      <c r="K124" s="586">
        <v>8.1000000000000003E-2</v>
      </c>
      <c r="L124" s="602" t="s">
        <v>3652</v>
      </c>
      <c r="M124" s="50" t="s">
        <v>3947</v>
      </c>
      <c r="N124" s="50">
        <v>70</v>
      </c>
      <c r="O124" s="50">
        <v>1</v>
      </c>
      <c r="P124" s="50" t="s">
        <v>448</v>
      </c>
      <c r="Q124" s="585">
        <v>45575.644317129627</v>
      </c>
      <c r="R124" s="50" t="s">
        <v>4369</v>
      </c>
      <c r="S124" s="50" t="str">
        <f t="shared" si="1"/>
        <v>YES</v>
      </c>
    </row>
    <row r="125" spans="1:19" ht="14.5" x14ac:dyDescent="0.25">
      <c r="A125" s="584" t="s">
        <v>213</v>
      </c>
      <c r="B125" s="50" t="s">
        <v>3313</v>
      </c>
      <c r="C125" s="50" t="s">
        <v>2869</v>
      </c>
      <c r="D125" s="57" t="s">
        <v>3987</v>
      </c>
      <c r="E125" s="50" t="s">
        <v>3560</v>
      </c>
      <c r="F125" s="50" t="s">
        <v>3561</v>
      </c>
      <c r="G125" s="50" t="s">
        <v>3785</v>
      </c>
      <c r="H125" s="50" t="s">
        <v>3563</v>
      </c>
      <c r="I125" s="50" t="s">
        <v>2817</v>
      </c>
      <c r="J125" s="50" t="s">
        <v>2818</v>
      </c>
      <c r="K125" s="586">
        <v>8.1000000000000003E-2</v>
      </c>
      <c r="L125" s="591" t="s">
        <v>3564</v>
      </c>
      <c r="M125" s="50" t="s">
        <v>3701</v>
      </c>
      <c r="N125" s="50">
        <v>30</v>
      </c>
      <c r="O125" s="50">
        <v>1</v>
      </c>
      <c r="P125" s="50" t="s">
        <v>213</v>
      </c>
      <c r="Q125" s="585">
        <v>45588.636250000003</v>
      </c>
      <c r="R125" s="50" t="s">
        <v>3615</v>
      </c>
      <c r="S125" s="50" t="str">
        <f t="shared" si="1"/>
        <v>YES</v>
      </c>
    </row>
    <row r="126" spans="1:19" ht="14.5" x14ac:dyDescent="0.25">
      <c r="A126" s="584" t="s">
        <v>608</v>
      </c>
      <c r="B126" s="50" t="s">
        <v>3377</v>
      </c>
      <c r="C126" s="50" t="s">
        <v>2869</v>
      </c>
      <c r="D126" s="57" t="s">
        <v>3966</v>
      </c>
      <c r="E126" s="50" t="s">
        <v>3560</v>
      </c>
      <c r="F126" s="50" t="s">
        <v>3561</v>
      </c>
      <c r="G126" s="50" t="s">
        <v>3785</v>
      </c>
      <c r="H126" s="50" t="s">
        <v>3563</v>
      </c>
      <c r="I126" s="50" t="s">
        <v>2817</v>
      </c>
      <c r="J126" s="50" t="s">
        <v>2818</v>
      </c>
      <c r="K126" s="586">
        <v>8.1000000000000003E-2</v>
      </c>
      <c r="L126" s="591" t="s">
        <v>3564</v>
      </c>
      <c r="M126" s="50" t="s">
        <v>3701</v>
      </c>
      <c r="N126" s="50">
        <v>30</v>
      </c>
      <c r="O126" s="50">
        <v>1</v>
      </c>
      <c r="P126" s="50" t="s">
        <v>608</v>
      </c>
      <c r="Q126" s="585">
        <v>45588.672835648147</v>
      </c>
      <c r="R126" s="50" t="s">
        <v>3615</v>
      </c>
      <c r="S126" s="50" t="str">
        <f t="shared" si="1"/>
        <v>YES</v>
      </c>
    </row>
    <row r="127" spans="1:19" ht="14.5" x14ac:dyDescent="0.25">
      <c r="A127" s="584" t="s">
        <v>1085</v>
      </c>
      <c r="B127" s="50" t="s">
        <v>3429</v>
      </c>
      <c r="C127" s="50" t="s">
        <v>3700</v>
      </c>
      <c r="D127" s="57" t="s">
        <v>3967</v>
      </c>
      <c r="E127" s="50" t="s">
        <v>3560</v>
      </c>
      <c r="F127" s="50" t="s">
        <v>3561</v>
      </c>
      <c r="G127" s="50" t="s">
        <v>3785</v>
      </c>
      <c r="H127" s="50" t="s">
        <v>3563</v>
      </c>
      <c r="I127" s="50" t="s">
        <v>2817</v>
      </c>
      <c r="J127" s="50" t="s">
        <v>2818</v>
      </c>
      <c r="K127" s="586">
        <v>8.1000000000000003E-2</v>
      </c>
      <c r="L127" s="591" t="s">
        <v>3564</v>
      </c>
      <c r="M127" s="50" t="s">
        <v>3701</v>
      </c>
      <c r="N127" s="50">
        <v>30</v>
      </c>
      <c r="O127" s="50">
        <v>1</v>
      </c>
      <c r="P127" s="50" t="s">
        <v>1085</v>
      </c>
      <c r="Q127" s="585">
        <v>45588.672835648147</v>
      </c>
      <c r="R127" s="50" t="s">
        <v>3615</v>
      </c>
      <c r="S127" s="50" t="str">
        <f t="shared" si="1"/>
        <v>YES</v>
      </c>
    </row>
    <row r="128" spans="1:19" ht="14.5" x14ac:dyDescent="0.25">
      <c r="A128" s="584" t="s">
        <v>606</v>
      </c>
      <c r="B128" s="50" t="s">
        <v>3376</v>
      </c>
      <c r="C128" s="50" t="s">
        <v>2869</v>
      </c>
      <c r="D128" s="57" t="s">
        <v>3968</v>
      </c>
      <c r="E128" s="50" t="s">
        <v>3560</v>
      </c>
      <c r="F128" s="50" t="s">
        <v>3561</v>
      </c>
      <c r="G128" s="50" t="s">
        <v>3785</v>
      </c>
      <c r="H128" s="50" t="s">
        <v>3563</v>
      </c>
      <c r="I128" s="50" t="s">
        <v>2817</v>
      </c>
      <c r="J128" s="50" t="s">
        <v>2818</v>
      </c>
      <c r="K128" s="586">
        <v>8.1000000000000003E-2</v>
      </c>
      <c r="L128" s="591" t="s">
        <v>3564</v>
      </c>
      <c r="M128" s="50" t="s">
        <v>3701</v>
      </c>
      <c r="N128" s="50">
        <v>30</v>
      </c>
      <c r="O128" s="50">
        <v>1</v>
      </c>
      <c r="P128" s="50" t="s">
        <v>606</v>
      </c>
      <c r="Q128" s="585">
        <v>45588.672835648147</v>
      </c>
      <c r="R128" s="50" t="s">
        <v>3615</v>
      </c>
      <c r="S128" s="50" t="str">
        <f t="shared" si="1"/>
        <v>YES</v>
      </c>
    </row>
    <row r="129" spans="1:19" ht="14.5" x14ac:dyDescent="0.25">
      <c r="A129" s="584" t="s">
        <v>487</v>
      </c>
      <c r="B129" s="50" t="s">
        <v>3359</v>
      </c>
      <c r="C129" s="50" t="s">
        <v>2869</v>
      </c>
      <c r="D129" s="57" t="s">
        <v>3969</v>
      </c>
      <c r="E129" s="50" t="s">
        <v>3560</v>
      </c>
      <c r="F129" s="50" t="s">
        <v>3561</v>
      </c>
      <c r="G129" s="50" t="s">
        <v>3785</v>
      </c>
      <c r="H129" s="50" t="s">
        <v>3563</v>
      </c>
      <c r="I129" s="50" t="s">
        <v>2817</v>
      </c>
      <c r="J129" s="50" t="s">
        <v>2818</v>
      </c>
      <c r="K129" s="586">
        <v>8.1000000000000003E-2</v>
      </c>
      <c r="L129" s="591" t="s">
        <v>3564</v>
      </c>
      <c r="M129" s="50" t="s">
        <v>3701</v>
      </c>
      <c r="N129" s="50">
        <v>30</v>
      </c>
      <c r="O129" s="50">
        <v>1</v>
      </c>
      <c r="P129" s="50" t="s">
        <v>487</v>
      </c>
      <c r="Q129" s="585">
        <v>45588.672835648147</v>
      </c>
      <c r="R129" s="50" t="s">
        <v>3615</v>
      </c>
      <c r="S129" s="50" t="str">
        <f t="shared" ref="S129:S187" si="2">IF(A129=P129,"YES","NO")</f>
        <v>YES</v>
      </c>
    </row>
    <row r="130" spans="1:19" ht="14.5" x14ac:dyDescent="0.25">
      <c r="A130" s="584" t="s">
        <v>485</v>
      </c>
      <c r="B130" s="50" t="s">
        <v>3358</v>
      </c>
      <c r="C130" s="50" t="s">
        <v>2869</v>
      </c>
      <c r="D130" s="57" t="s">
        <v>3970</v>
      </c>
      <c r="E130" s="50" t="s">
        <v>3560</v>
      </c>
      <c r="F130" s="50" t="s">
        <v>3561</v>
      </c>
      <c r="G130" s="50" t="s">
        <v>3785</v>
      </c>
      <c r="H130" s="50" t="s">
        <v>3563</v>
      </c>
      <c r="I130" s="50" t="s">
        <v>2817</v>
      </c>
      <c r="J130" s="50" t="s">
        <v>2818</v>
      </c>
      <c r="K130" s="586">
        <v>8.1000000000000003E-2</v>
      </c>
      <c r="L130" s="591" t="s">
        <v>3564</v>
      </c>
      <c r="M130" s="50" t="s">
        <v>3701</v>
      </c>
      <c r="N130" s="50">
        <v>30</v>
      </c>
      <c r="O130" s="50">
        <v>1</v>
      </c>
      <c r="P130" s="50" t="s">
        <v>485</v>
      </c>
      <c r="Q130" s="585">
        <v>45588.672835648147</v>
      </c>
      <c r="R130" s="50" t="s">
        <v>3615</v>
      </c>
      <c r="S130" s="50" t="str">
        <f t="shared" si="2"/>
        <v>YES</v>
      </c>
    </row>
    <row r="131" spans="1:19" ht="14.5" x14ac:dyDescent="0.25">
      <c r="A131" s="584" t="s">
        <v>481</v>
      </c>
      <c r="B131" s="50" t="s">
        <v>3356</v>
      </c>
      <c r="C131" s="50" t="s">
        <v>2869</v>
      </c>
      <c r="D131" s="57" t="s">
        <v>3971</v>
      </c>
      <c r="E131" s="50" t="s">
        <v>3560</v>
      </c>
      <c r="F131" s="50" t="s">
        <v>3561</v>
      </c>
      <c r="G131" s="50" t="s">
        <v>3785</v>
      </c>
      <c r="H131" s="50" t="s">
        <v>3563</v>
      </c>
      <c r="I131" s="50" t="s">
        <v>2817</v>
      </c>
      <c r="J131" s="50" t="s">
        <v>2818</v>
      </c>
      <c r="K131" s="586">
        <v>8.1000000000000003E-2</v>
      </c>
      <c r="L131" s="591" t="s">
        <v>3564</v>
      </c>
      <c r="M131" s="50" t="s">
        <v>3701</v>
      </c>
      <c r="N131" s="50">
        <v>30</v>
      </c>
      <c r="O131" s="50">
        <v>1</v>
      </c>
      <c r="P131" s="50" t="s">
        <v>481</v>
      </c>
      <c r="Q131" s="585">
        <v>45588.672835648147</v>
      </c>
      <c r="R131" s="50" t="s">
        <v>3615</v>
      </c>
      <c r="S131" s="50" t="str">
        <f t="shared" si="2"/>
        <v>YES</v>
      </c>
    </row>
    <row r="132" spans="1:19" ht="14.5" x14ac:dyDescent="0.25">
      <c r="A132" s="584" t="s">
        <v>211</v>
      </c>
      <c r="B132" s="50" t="s">
        <v>3312</v>
      </c>
      <c r="C132" s="50" t="s">
        <v>2869</v>
      </c>
      <c r="D132" s="57" t="s">
        <v>3972</v>
      </c>
      <c r="E132" s="50" t="s">
        <v>3560</v>
      </c>
      <c r="F132" s="50" t="s">
        <v>3561</v>
      </c>
      <c r="G132" s="50" t="s">
        <v>3785</v>
      </c>
      <c r="H132" s="50" t="s">
        <v>3563</v>
      </c>
      <c r="I132" s="50" t="s">
        <v>2817</v>
      </c>
      <c r="J132" s="50" t="s">
        <v>2818</v>
      </c>
      <c r="K132" s="586">
        <v>8.1000000000000003E-2</v>
      </c>
      <c r="L132" s="591" t="s">
        <v>3564</v>
      </c>
      <c r="M132" s="50" t="s">
        <v>3701</v>
      </c>
      <c r="N132" s="50">
        <v>30</v>
      </c>
      <c r="O132" s="50">
        <v>1</v>
      </c>
      <c r="P132" s="50" t="s">
        <v>211</v>
      </c>
      <c r="Q132" s="585">
        <v>45588.672835648147</v>
      </c>
      <c r="R132" s="50" t="s">
        <v>3615</v>
      </c>
      <c r="S132" s="50" t="str">
        <f t="shared" si="2"/>
        <v>YES</v>
      </c>
    </row>
    <row r="133" spans="1:19" ht="14.5" x14ac:dyDescent="0.25">
      <c r="A133" s="584" t="s">
        <v>180</v>
      </c>
      <c r="B133" s="50" t="s">
        <v>3213</v>
      </c>
      <c r="C133" s="50" t="s">
        <v>2876</v>
      </c>
      <c r="D133" s="57" t="s">
        <v>3973</v>
      </c>
      <c r="E133" s="50" t="s">
        <v>3560</v>
      </c>
      <c r="F133" s="50" t="s">
        <v>3561</v>
      </c>
      <c r="G133" s="50" t="s">
        <v>3785</v>
      </c>
      <c r="H133" s="50" t="s">
        <v>3563</v>
      </c>
      <c r="I133" s="50" t="s">
        <v>2817</v>
      </c>
      <c r="J133" s="50" t="s">
        <v>2818</v>
      </c>
      <c r="K133" s="586">
        <v>8.1000000000000003E-2</v>
      </c>
      <c r="L133" s="591" t="s">
        <v>3564</v>
      </c>
      <c r="M133" s="50" t="s">
        <v>3701</v>
      </c>
      <c r="N133" s="50">
        <v>30</v>
      </c>
      <c r="O133" s="50">
        <v>1</v>
      </c>
      <c r="P133" s="50" t="s">
        <v>180</v>
      </c>
      <c r="Q133" s="585">
        <v>45588.672835648147</v>
      </c>
      <c r="R133" s="50" t="s">
        <v>3615</v>
      </c>
      <c r="S133" s="50" t="str">
        <f t="shared" si="2"/>
        <v>YES</v>
      </c>
    </row>
    <row r="134" spans="1:19" ht="14.5" x14ac:dyDescent="0.25">
      <c r="A134" s="584" t="s">
        <v>2877</v>
      </c>
      <c r="B134" s="50" t="s">
        <v>3655</v>
      </c>
      <c r="C134" s="50" t="s">
        <v>2876</v>
      </c>
      <c r="D134" s="57" t="s">
        <v>3974</v>
      </c>
      <c r="E134" s="50" t="s">
        <v>3560</v>
      </c>
      <c r="F134" s="50" t="s">
        <v>3561</v>
      </c>
      <c r="G134" s="50" t="s">
        <v>3785</v>
      </c>
      <c r="H134" s="50" t="s">
        <v>3563</v>
      </c>
      <c r="I134" s="50" t="s">
        <v>2817</v>
      </c>
      <c r="J134" s="50" t="s">
        <v>2818</v>
      </c>
      <c r="K134" s="586">
        <v>8.1000000000000003E-2</v>
      </c>
      <c r="L134" s="591" t="s">
        <v>3564</v>
      </c>
      <c r="M134" s="50" t="s">
        <v>3701</v>
      </c>
      <c r="N134" s="50">
        <v>30</v>
      </c>
      <c r="O134" s="50">
        <v>1</v>
      </c>
      <c r="P134" s="50" t="s">
        <v>2877</v>
      </c>
      <c r="Q134" s="585">
        <v>45588.672835648147</v>
      </c>
      <c r="R134" s="50" t="s">
        <v>3615</v>
      </c>
      <c r="S134" s="50" t="str">
        <f t="shared" si="2"/>
        <v>YES</v>
      </c>
    </row>
    <row r="135" spans="1:19" ht="14.5" x14ac:dyDescent="0.25">
      <c r="A135" s="584" t="s">
        <v>173</v>
      </c>
      <c r="B135" s="50" t="s">
        <v>3304</v>
      </c>
      <c r="C135" s="50" t="s">
        <v>2876</v>
      </c>
      <c r="D135" s="57" t="s">
        <v>3975</v>
      </c>
      <c r="E135" s="50" t="s">
        <v>3560</v>
      </c>
      <c r="F135" s="50" t="s">
        <v>3561</v>
      </c>
      <c r="G135" s="50" t="s">
        <v>3785</v>
      </c>
      <c r="H135" s="50" t="s">
        <v>3563</v>
      </c>
      <c r="I135" s="50" t="s">
        <v>2817</v>
      </c>
      <c r="J135" s="50" t="s">
        <v>2818</v>
      </c>
      <c r="K135" s="586">
        <v>8.1000000000000003E-2</v>
      </c>
      <c r="L135" s="591" t="s">
        <v>3564</v>
      </c>
      <c r="M135" s="50" t="s">
        <v>3701</v>
      </c>
      <c r="N135" s="50">
        <v>30</v>
      </c>
      <c r="O135" s="50">
        <v>1</v>
      </c>
      <c r="P135" s="50" t="s">
        <v>173</v>
      </c>
      <c r="Q135" s="585">
        <v>45588.672835648147</v>
      </c>
      <c r="R135" s="50" t="s">
        <v>3615</v>
      </c>
      <c r="S135" s="50" t="str">
        <f t="shared" si="2"/>
        <v>YES</v>
      </c>
    </row>
    <row r="136" spans="1:19" ht="14.5" x14ac:dyDescent="0.25">
      <c r="A136" s="584" t="s">
        <v>169</v>
      </c>
      <c r="B136" s="50" t="s">
        <v>3211</v>
      </c>
      <c r="C136" s="50" t="s">
        <v>2876</v>
      </c>
      <c r="D136" s="57" t="s">
        <v>3976</v>
      </c>
      <c r="E136" s="50" t="s">
        <v>3560</v>
      </c>
      <c r="F136" s="50" t="s">
        <v>3561</v>
      </c>
      <c r="G136" s="50" t="s">
        <v>3785</v>
      </c>
      <c r="H136" s="50" t="s">
        <v>3563</v>
      </c>
      <c r="I136" s="50" t="s">
        <v>2817</v>
      </c>
      <c r="J136" s="50" t="s">
        <v>2818</v>
      </c>
      <c r="K136" s="586">
        <v>8.1000000000000003E-2</v>
      </c>
      <c r="L136" s="591" t="s">
        <v>3564</v>
      </c>
      <c r="M136" s="50" t="s">
        <v>3701</v>
      </c>
      <c r="N136" s="50">
        <v>30</v>
      </c>
      <c r="O136" s="50">
        <v>1</v>
      </c>
      <c r="P136" s="50" t="s">
        <v>169</v>
      </c>
      <c r="Q136" s="585">
        <v>45588.672835648147</v>
      </c>
      <c r="R136" s="50" t="s">
        <v>3615</v>
      </c>
      <c r="S136" s="50" t="str">
        <f t="shared" si="2"/>
        <v>YES</v>
      </c>
    </row>
    <row r="137" spans="1:19" ht="14.5" x14ac:dyDescent="0.25">
      <c r="A137" s="584" t="s">
        <v>352</v>
      </c>
      <c r="B137" s="50" t="s">
        <v>3336</v>
      </c>
      <c r="C137" s="50" t="s">
        <v>2870</v>
      </c>
      <c r="D137" s="584" t="s">
        <v>3977</v>
      </c>
      <c r="E137" s="50" t="s">
        <v>3560</v>
      </c>
      <c r="F137" s="50" t="s">
        <v>3561</v>
      </c>
      <c r="G137" s="50" t="s">
        <v>3785</v>
      </c>
      <c r="H137" s="50" t="s">
        <v>3563</v>
      </c>
      <c r="I137" s="50" t="s">
        <v>2817</v>
      </c>
      <c r="J137" s="50" t="s">
        <v>2818</v>
      </c>
      <c r="K137" s="586">
        <v>8.1000000000000003E-2</v>
      </c>
      <c r="L137" s="591" t="s">
        <v>3564</v>
      </c>
      <c r="M137" s="50" t="s">
        <v>3701</v>
      </c>
      <c r="N137" s="50">
        <v>40</v>
      </c>
      <c r="O137" s="50">
        <v>1</v>
      </c>
      <c r="P137" s="50" t="s">
        <v>352</v>
      </c>
      <c r="Q137" s="585">
        <v>45588.672835648147</v>
      </c>
      <c r="R137" s="50" t="s">
        <v>3615</v>
      </c>
      <c r="S137" s="50" t="str">
        <f t="shared" si="2"/>
        <v>YES</v>
      </c>
    </row>
    <row r="138" spans="1:19" ht="14.5" x14ac:dyDescent="0.25">
      <c r="A138" s="584" t="s">
        <v>350</v>
      </c>
      <c r="B138" s="50" t="s">
        <v>3208</v>
      </c>
      <c r="C138" s="50" t="s">
        <v>2870</v>
      </c>
      <c r="D138" s="584" t="s">
        <v>3978</v>
      </c>
      <c r="E138" s="50" t="s">
        <v>3560</v>
      </c>
      <c r="F138" s="50" t="s">
        <v>3561</v>
      </c>
      <c r="G138" s="50" t="s">
        <v>3785</v>
      </c>
      <c r="H138" s="50" t="s">
        <v>3563</v>
      </c>
      <c r="I138" s="50" t="s">
        <v>2817</v>
      </c>
      <c r="J138" s="50" t="s">
        <v>2818</v>
      </c>
      <c r="K138" s="586">
        <v>8.1000000000000003E-2</v>
      </c>
      <c r="L138" s="591" t="s">
        <v>3564</v>
      </c>
      <c r="M138" s="50" t="s">
        <v>3701</v>
      </c>
      <c r="N138" s="50">
        <v>40</v>
      </c>
      <c r="O138" s="50">
        <v>1</v>
      </c>
      <c r="P138" s="50" t="s">
        <v>350</v>
      </c>
      <c r="Q138" s="585">
        <v>45588.672835648147</v>
      </c>
      <c r="R138" s="50" t="s">
        <v>3615</v>
      </c>
      <c r="S138" s="50" t="str">
        <f t="shared" si="2"/>
        <v>YES</v>
      </c>
    </row>
    <row r="139" spans="1:19" ht="14.5" x14ac:dyDescent="0.25">
      <c r="A139" s="584" t="s">
        <v>148</v>
      </c>
      <c r="B139" s="50" t="s">
        <v>3299</v>
      </c>
      <c r="C139" s="50" t="s">
        <v>2878</v>
      </c>
      <c r="D139" s="57" t="s">
        <v>3979</v>
      </c>
      <c r="E139" s="50" t="s">
        <v>3560</v>
      </c>
      <c r="F139" s="50" t="s">
        <v>3561</v>
      </c>
      <c r="G139" s="50" t="s">
        <v>3785</v>
      </c>
      <c r="H139" s="50" t="s">
        <v>3563</v>
      </c>
      <c r="I139" s="50" t="s">
        <v>2817</v>
      </c>
      <c r="J139" s="50" t="s">
        <v>2818</v>
      </c>
      <c r="K139" s="586">
        <v>8.1000000000000003E-2</v>
      </c>
      <c r="L139" s="591" t="s">
        <v>3564</v>
      </c>
      <c r="M139" s="50" t="s">
        <v>3701</v>
      </c>
      <c r="N139" s="50">
        <v>30</v>
      </c>
      <c r="O139" s="50">
        <v>1</v>
      </c>
      <c r="P139" s="50" t="s">
        <v>148</v>
      </c>
      <c r="Q139" s="585">
        <v>45588.672835648147</v>
      </c>
      <c r="R139" s="50" t="s">
        <v>3615</v>
      </c>
      <c r="S139" s="50" t="str">
        <f t="shared" si="2"/>
        <v>YES</v>
      </c>
    </row>
    <row r="140" spans="1:19" ht="14.5" x14ac:dyDescent="0.25">
      <c r="A140" s="584" t="s">
        <v>2879</v>
      </c>
      <c r="B140" s="50" t="s">
        <v>3656</v>
      </c>
      <c r="C140" s="50" t="s">
        <v>2878</v>
      </c>
      <c r="D140" s="57" t="s">
        <v>3980</v>
      </c>
      <c r="E140" s="50" t="s">
        <v>3560</v>
      </c>
      <c r="F140" s="50" t="s">
        <v>3561</v>
      </c>
      <c r="G140" s="50" t="s">
        <v>3785</v>
      </c>
      <c r="H140" s="50" t="s">
        <v>3563</v>
      </c>
      <c r="I140" s="50" t="s">
        <v>2817</v>
      </c>
      <c r="J140" s="50" t="s">
        <v>2818</v>
      </c>
      <c r="K140" s="586">
        <v>8.1000000000000003E-2</v>
      </c>
      <c r="L140" s="591" t="s">
        <v>3564</v>
      </c>
      <c r="M140" s="50" t="s">
        <v>3701</v>
      </c>
      <c r="N140" s="50">
        <v>30</v>
      </c>
      <c r="O140" s="50">
        <v>1</v>
      </c>
      <c r="P140" s="50" t="s">
        <v>2879</v>
      </c>
      <c r="Q140" s="585">
        <v>45588.672835648147</v>
      </c>
      <c r="R140" s="50" t="s">
        <v>3615</v>
      </c>
      <c r="S140" s="50" t="str">
        <f t="shared" si="2"/>
        <v>YES</v>
      </c>
    </row>
    <row r="141" spans="1:19" ht="14.5" x14ac:dyDescent="0.25">
      <c r="A141" s="584" t="s">
        <v>146</v>
      </c>
      <c r="B141" s="50" t="s">
        <v>3298</v>
      </c>
      <c r="C141" s="50" t="s">
        <v>2878</v>
      </c>
      <c r="D141" s="57" t="s">
        <v>3981</v>
      </c>
      <c r="E141" s="50" t="s">
        <v>3560</v>
      </c>
      <c r="F141" s="50" t="s">
        <v>3561</v>
      </c>
      <c r="G141" s="50" t="s">
        <v>3785</v>
      </c>
      <c r="H141" s="50" t="s">
        <v>3563</v>
      </c>
      <c r="I141" s="50" t="s">
        <v>2817</v>
      </c>
      <c r="J141" s="50" t="s">
        <v>2818</v>
      </c>
      <c r="K141" s="586">
        <v>8.1000000000000003E-2</v>
      </c>
      <c r="L141" s="591" t="s">
        <v>3564</v>
      </c>
      <c r="M141" s="50" t="s">
        <v>3701</v>
      </c>
      <c r="N141" s="50">
        <v>30</v>
      </c>
      <c r="O141" s="50">
        <v>1</v>
      </c>
      <c r="P141" s="50" t="s">
        <v>146</v>
      </c>
      <c r="Q141" s="585">
        <v>45588.672835648147</v>
      </c>
      <c r="R141" s="50" t="s">
        <v>3615</v>
      </c>
      <c r="S141" s="50" t="str">
        <f t="shared" si="2"/>
        <v>YES</v>
      </c>
    </row>
    <row r="142" spans="1:19" ht="14.5" x14ac:dyDescent="0.25">
      <c r="A142" s="584" t="s">
        <v>144</v>
      </c>
      <c r="B142" s="50" t="s">
        <v>3297</v>
      </c>
      <c r="C142" s="50" t="s">
        <v>2878</v>
      </c>
      <c r="D142" s="57" t="s">
        <v>3982</v>
      </c>
      <c r="E142" s="50" t="s">
        <v>3560</v>
      </c>
      <c r="F142" s="50" t="s">
        <v>3561</v>
      </c>
      <c r="G142" s="50" t="s">
        <v>3785</v>
      </c>
      <c r="H142" s="50" t="s">
        <v>3563</v>
      </c>
      <c r="I142" s="50" t="s">
        <v>2817</v>
      </c>
      <c r="J142" s="50" t="s">
        <v>2818</v>
      </c>
      <c r="K142" s="586">
        <v>8.1000000000000003E-2</v>
      </c>
      <c r="L142" s="591" t="s">
        <v>3564</v>
      </c>
      <c r="M142" s="50" t="s">
        <v>3701</v>
      </c>
      <c r="N142" s="50">
        <v>30</v>
      </c>
      <c r="O142" s="50">
        <v>1</v>
      </c>
      <c r="P142" s="50" t="s">
        <v>144</v>
      </c>
      <c r="Q142" s="585">
        <v>45588.672835648147</v>
      </c>
      <c r="R142" s="50" t="s">
        <v>3615</v>
      </c>
      <c r="S142" s="50" t="str">
        <f t="shared" si="2"/>
        <v>YES</v>
      </c>
    </row>
    <row r="143" spans="1:19" ht="14.5" x14ac:dyDescent="0.25">
      <c r="A143" s="584" t="s">
        <v>2961</v>
      </c>
      <c r="B143" s="50" t="s">
        <v>3983</v>
      </c>
      <c r="C143" s="50" t="s">
        <v>3984</v>
      </c>
      <c r="D143" s="57" t="s">
        <v>3985</v>
      </c>
      <c r="E143" s="50" t="s">
        <v>3560</v>
      </c>
      <c r="F143" s="50" t="s">
        <v>3561</v>
      </c>
      <c r="G143" s="50" t="s">
        <v>3785</v>
      </c>
      <c r="H143" s="50" t="s">
        <v>3563</v>
      </c>
      <c r="I143" s="50" t="s">
        <v>2817</v>
      </c>
      <c r="J143" s="50"/>
      <c r="K143" s="586"/>
      <c r="L143" s="587" t="s">
        <v>3986</v>
      </c>
      <c r="M143" s="50" t="s">
        <v>3657</v>
      </c>
      <c r="N143" s="50"/>
      <c r="O143" s="50"/>
      <c r="P143" s="50" t="s">
        <v>2961</v>
      </c>
      <c r="Q143" s="585">
        <v>45588.672835648147</v>
      </c>
      <c r="R143" s="50" t="s">
        <v>4362</v>
      </c>
      <c r="S143" s="50" t="str">
        <f t="shared" si="2"/>
        <v>YES</v>
      </c>
    </row>
    <row r="144" spans="1:19" ht="14.5" x14ac:dyDescent="0.25">
      <c r="A144" s="584" t="s">
        <v>209</v>
      </c>
      <c r="B144" s="50" t="s">
        <v>3311</v>
      </c>
      <c r="C144" s="50" t="s">
        <v>2869</v>
      </c>
      <c r="D144" s="57" t="s">
        <v>3965</v>
      </c>
      <c r="E144" s="50" t="s">
        <v>3560</v>
      </c>
      <c r="F144" s="50" t="s">
        <v>3561</v>
      </c>
      <c r="G144" s="50" t="s">
        <v>3762</v>
      </c>
      <c r="H144" s="50" t="s">
        <v>3563</v>
      </c>
      <c r="I144" s="50" t="s">
        <v>2817</v>
      </c>
      <c r="J144" s="50" t="s">
        <v>2818</v>
      </c>
      <c r="K144" s="586">
        <v>8.1000000000000003E-2</v>
      </c>
      <c r="L144" s="591" t="s">
        <v>3564</v>
      </c>
      <c r="M144" s="50" t="s">
        <v>3701</v>
      </c>
      <c r="N144" s="50">
        <v>16</v>
      </c>
      <c r="O144" s="50">
        <v>2</v>
      </c>
      <c r="P144" s="50" t="s">
        <v>209</v>
      </c>
      <c r="Q144" s="585">
        <v>45588.743298611109</v>
      </c>
      <c r="R144" s="50" t="s">
        <v>4370</v>
      </c>
      <c r="S144" s="50" t="str">
        <f t="shared" si="2"/>
        <v>YES</v>
      </c>
    </row>
    <row r="145" spans="1:19" ht="14.5" x14ac:dyDescent="0.25">
      <c r="A145" s="584" t="s">
        <v>3963</v>
      </c>
      <c r="B145" s="50" t="s">
        <v>3367</v>
      </c>
      <c r="C145" s="50" t="s">
        <v>3737</v>
      </c>
      <c r="D145" s="598" t="s">
        <v>3964</v>
      </c>
      <c r="E145" s="50" t="s">
        <v>3573</v>
      </c>
      <c r="F145" s="50" t="s">
        <v>3705</v>
      </c>
      <c r="G145" s="50" t="s">
        <v>3742</v>
      </c>
      <c r="H145" s="50" t="s">
        <v>3563</v>
      </c>
      <c r="I145" s="50" t="s">
        <v>2817</v>
      </c>
      <c r="J145" s="50" t="s">
        <v>3707</v>
      </c>
      <c r="K145" s="586">
        <v>5.5E-2</v>
      </c>
      <c r="L145" s="595" t="s">
        <v>3602</v>
      </c>
      <c r="M145" s="50" t="s">
        <v>3739</v>
      </c>
      <c r="N145" s="50">
        <v>90</v>
      </c>
      <c r="O145" s="50">
        <v>1</v>
      </c>
      <c r="P145" s="50" t="s">
        <v>526</v>
      </c>
      <c r="Q145" s="585">
        <v>45588.746874999997</v>
      </c>
      <c r="R145" s="50" t="s">
        <v>4376</v>
      </c>
      <c r="S145" s="50" t="str">
        <f t="shared" si="2"/>
        <v>YES</v>
      </c>
    </row>
    <row r="146" spans="1:19" ht="14.5" x14ac:dyDescent="0.25">
      <c r="A146" s="584" t="s">
        <v>464</v>
      </c>
      <c r="B146" s="50" t="s">
        <v>3354</v>
      </c>
      <c r="C146" s="50" t="s">
        <v>3943</v>
      </c>
      <c r="D146" s="57" t="s">
        <v>3962</v>
      </c>
      <c r="E146" s="50" t="s">
        <v>3945</v>
      </c>
      <c r="F146" s="50" t="s">
        <v>3945</v>
      </c>
      <c r="G146" s="50" t="s">
        <v>3946</v>
      </c>
      <c r="H146" s="50" t="s">
        <v>3563</v>
      </c>
      <c r="I146" s="50" t="s">
        <v>2817</v>
      </c>
      <c r="J146" s="50" t="s">
        <v>2818</v>
      </c>
      <c r="K146" s="586">
        <v>8.1000000000000003E-2</v>
      </c>
      <c r="L146" s="602" t="s">
        <v>3652</v>
      </c>
      <c r="M146" s="50" t="s">
        <v>3947</v>
      </c>
      <c r="N146" s="50">
        <v>105</v>
      </c>
      <c r="O146" s="50">
        <v>1</v>
      </c>
      <c r="P146" s="50" t="s">
        <v>464</v>
      </c>
      <c r="Q146" s="585">
        <v>45597.472083333334</v>
      </c>
      <c r="R146" s="50" t="s">
        <v>4368</v>
      </c>
      <c r="S146" s="50" t="str">
        <f t="shared" si="2"/>
        <v>YES</v>
      </c>
    </row>
    <row r="147" spans="1:19" ht="14.5" x14ac:dyDescent="0.25">
      <c r="A147" s="584" t="s">
        <v>3960</v>
      </c>
      <c r="B147" s="50" t="s">
        <v>3654</v>
      </c>
      <c r="C147" s="50" t="s">
        <v>3958</v>
      </c>
      <c r="D147" s="57" t="s">
        <v>3961</v>
      </c>
      <c r="E147" s="50" t="s">
        <v>3560</v>
      </c>
      <c r="F147" s="50" t="s">
        <v>3561</v>
      </c>
      <c r="G147" s="50" t="s">
        <v>3785</v>
      </c>
      <c r="H147" s="50" t="s">
        <v>3563</v>
      </c>
      <c r="I147" s="50" t="s">
        <v>2817</v>
      </c>
      <c r="J147" s="50" t="s">
        <v>2818</v>
      </c>
      <c r="K147" s="586">
        <v>8.1000000000000003E-2</v>
      </c>
      <c r="L147" s="591" t="s">
        <v>3564</v>
      </c>
      <c r="M147" s="50" t="s">
        <v>3701</v>
      </c>
      <c r="N147" s="50">
        <v>40</v>
      </c>
      <c r="O147" s="50">
        <v>1</v>
      </c>
      <c r="P147" s="50" t="s">
        <v>2875</v>
      </c>
      <c r="Q147" s="585">
        <v>45600.706574074073</v>
      </c>
      <c r="R147" s="50" t="s">
        <v>3615</v>
      </c>
      <c r="S147" s="50" t="str">
        <f t="shared" si="2"/>
        <v>YES</v>
      </c>
    </row>
    <row r="148" spans="1:19" ht="14.5" x14ac:dyDescent="0.25">
      <c r="A148" s="584" t="s">
        <v>3957</v>
      </c>
      <c r="B148" s="50" t="s">
        <v>3653</v>
      </c>
      <c r="C148" s="50" t="s">
        <v>3958</v>
      </c>
      <c r="D148" s="57" t="s">
        <v>3959</v>
      </c>
      <c r="E148" s="50" t="s">
        <v>3560</v>
      </c>
      <c r="F148" s="50" t="s">
        <v>3561</v>
      </c>
      <c r="G148" s="50" t="s">
        <v>3785</v>
      </c>
      <c r="H148" s="50" t="s">
        <v>3563</v>
      </c>
      <c r="I148" s="50" t="s">
        <v>2817</v>
      </c>
      <c r="J148" s="50" t="s">
        <v>2818</v>
      </c>
      <c r="K148" s="586">
        <v>8.1000000000000003E-2</v>
      </c>
      <c r="L148" s="591" t="s">
        <v>3564</v>
      </c>
      <c r="M148" s="50" t="s">
        <v>3701</v>
      </c>
      <c r="N148" s="50">
        <v>40</v>
      </c>
      <c r="O148" s="50">
        <v>1</v>
      </c>
      <c r="P148" s="50" t="s">
        <v>2873</v>
      </c>
      <c r="Q148" s="585">
        <v>45600.70689814815</v>
      </c>
      <c r="R148" s="50" t="s">
        <v>3615</v>
      </c>
      <c r="S148" s="50" t="str">
        <f t="shared" si="2"/>
        <v>YES</v>
      </c>
    </row>
    <row r="149" spans="1:19" ht="14.5" x14ac:dyDescent="0.25">
      <c r="A149" s="584" t="s">
        <v>455</v>
      </c>
      <c r="B149" s="50" t="s">
        <v>3351</v>
      </c>
      <c r="C149" s="50" t="s">
        <v>2865</v>
      </c>
      <c r="D149" s="57" t="s">
        <v>3956</v>
      </c>
      <c r="E149" s="50" t="s">
        <v>3945</v>
      </c>
      <c r="F149" s="50" t="s">
        <v>3945</v>
      </c>
      <c r="G149" s="50" t="s">
        <v>3955</v>
      </c>
      <c r="H149" s="50" t="s">
        <v>3563</v>
      </c>
      <c r="I149" s="50" t="s">
        <v>2817</v>
      </c>
      <c r="J149" s="50" t="s">
        <v>2818</v>
      </c>
      <c r="K149" s="586">
        <v>8.1000000000000003E-2</v>
      </c>
      <c r="L149" s="602" t="s">
        <v>3652</v>
      </c>
      <c r="M149" s="50" t="s">
        <v>3947</v>
      </c>
      <c r="N149" s="50">
        <v>24</v>
      </c>
      <c r="O149" s="50">
        <v>1</v>
      </c>
      <c r="P149" s="50" t="s">
        <v>455</v>
      </c>
      <c r="Q149" s="585">
        <v>45629.785208333335</v>
      </c>
      <c r="R149" s="50" t="s">
        <v>4366</v>
      </c>
      <c r="S149" s="50" t="str">
        <f t="shared" si="2"/>
        <v>YES</v>
      </c>
    </row>
    <row r="150" spans="1:19" ht="14.5" x14ac:dyDescent="0.25">
      <c r="A150" s="584" t="s">
        <v>451</v>
      </c>
      <c r="B150" s="50" t="s">
        <v>3349</v>
      </c>
      <c r="C150" s="50" t="s">
        <v>2865</v>
      </c>
      <c r="D150" s="57" t="s">
        <v>3954</v>
      </c>
      <c r="E150" s="50" t="s">
        <v>3945</v>
      </c>
      <c r="F150" s="50" t="s">
        <v>3945</v>
      </c>
      <c r="G150" s="50" t="s">
        <v>3955</v>
      </c>
      <c r="H150" s="50" t="s">
        <v>3563</v>
      </c>
      <c r="I150" s="50" t="s">
        <v>2817</v>
      </c>
      <c r="J150" s="50" t="s">
        <v>2818</v>
      </c>
      <c r="K150" s="586">
        <v>8.1000000000000003E-2</v>
      </c>
      <c r="L150" s="602" t="s">
        <v>3652</v>
      </c>
      <c r="M150" s="50" t="s">
        <v>3947</v>
      </c>
      <c r="N150" s="50">
        <v>24</v>
      </c>
      <c r="O150" s="50">
        <v>1</v>
      </c>
      <c r="P150" s="50" t="s">
        <v>451</v>
      </c>
      <c r="Q150" s="585">
        <v>45629.786053240743</v>
      </c>
      <c r="R150" s="50" t="s">
        <v>4366</v>
      </c>
      <c r="S150" s="50" t="str">
        <f t="shared" si="2"/>
        <v>YES</v>
      </c>
    </row>
    <row r="151" spans="1:19" ht="14.5" x14ac:dyDescent="0.25">
      <c r="A151" s="584" t="s">
        <v>3952</v>
      </c>
      <c r="B151" s="50" t="s">
        <v>3289</v>
      </c>
      <c r="C151" s="50" t="s">
        <v>3950</v>
      </c>
      <c r="D151" s="57" t="s">
        <v>3953</v>
      </c>
      <c r="E151" s="50" t="s">
        <v>3560</v>
      </c>
      <c r="F151" s="50" t="s">
        <v>3711</v>
      </c>
      <c r="G151" s="50" t="s">
        <v>3827</v>
      </c>
      <c r="H151" s="50" t="s">
        <v>3712</v>
      </c>
      <c r="I151" s="50" t="s">
        <v>2817</v>
      </c>
      <c r="J151" s="50" t="s">
        <v>3713</v>
      </c>
      <c r="K151" s="586">
        <v>8.1000000000000003E-2</v>
      </c>
      <c r="L151" s="600" t="s">
        <v>3570</v>
      </c>
      <c r="M151" s="50" t="s">
        <v>3714</v>
      </c>
      <c r="N151" s="50">
        <v>90</v>
      </c>
      <c r="O151" s="50">
        <v>1</v>
      </c>
      <c r="P151" s="50" t="s">
        <v>98</v>
      </c>
      <c r="Q151" s="585">
        <v>45629.787708333337</v>
      </c>
      <c r="R151" s="50" t="s">
        <v>3577</v>
      </c>
      <c r="S151" s="50" t="str">
        <f t="shared" si="2"/>
        <v>YES</v>
      </c>
    </row>
    <row r="152" spans="1:19" ht="14.5" x14ac:dyDescent="0.25">
      <c r="A152" s="584" t="s">
        <v>3949</v>
      </c>
      <c r="B152" s="50" t="s">
        <v>3290</v>
      </c>
      <c r="C152" s="50" t="s">
        <v>3950</v>
      </c>
      <c r="D152" s="57" t="s">
        <v>3951</v>
      </c>
      <c r="E152" s="50" t="s">
        <v>3560</v>
      </c>
      <c r="F152" s="50" t="s">
        <v>3711</v>
      </c>
      <c r="G152" s="50" t="s">
        <v>3827</v>
      </c>
      <c r="H152" s="50" t="s">
        <v>3712</v>
      </c>
      <c r="I152" s="50" t="s">
        <v>2817</v>
      </c>
      <c r="J152" s="50" t="s">
        <v>3713</v>
      </c>
      <c r="K152" s="586">
        <v>8.1000000000000003E-2</v>
      </c>
      <c r="L152" s="600" t="s">
        <v>3570</v>
      </c>
      <c r="M152" s="50" t="s">
        <v>3714</v>
      </c>
      <c r="N152" s="50">
        <v>90</v>
      </c>
      <c r="O152" s="50">
        <v>1</v>
      </c>
      <c r="P152" s="50" t="s">
        <v>100</v>
      </c>
      <c r="Q152" s="585">
        <v>45629.79210648148</v>
      </c>
      <c r="R152" s="50" t="s">
        <v>3577</v>
      </c>
      <c r="S152" s="50" t="str">
        <f t="shared" si="2"/>
        <v>YES</v>
      </c>
    </row>
    <row r="153" spans="1:19" ht="14.5" x14ac:dyDescent="0.25">
      <c r="A153" s="584" t="s">
        <v>460</v>
      </c>
      <c r="B153" s="50" t="s">
        <v>3353</v>
      </c>
      <c r="C153" s="50" t="s">
        <v>3943</v>
      </c>
      <c r="D153" s="57" t="s">
        <v>3948</v>
      </c>
      <c r="E153" s="50" t="s">
        <v>3945</v>
      </c>
      <c r="F153" s="50" t="s">
        <v>3945</v>
      </c>
      <c r="G153" s="50" t="s">
        <v>3946</v>
      </c>
      <c r="H153" s="50" t="s">
        <v>3563</v>
      </c>
      <c r="I153" s="50" t="s">
        <v>2817</v>
      </c>
      <c r="J153" s="50" t="s">
        <v>2818</v>
      </c>
      <c r="K153" s="586">
        <v>8.1000000000000003E-2</v>
      </c>
      <c r="L153" s="602" t="s">
        <v>3652</v>
      </c>
      <c r="M153" s="50" t="s">
        <v>3947</v>
      </c>
      <c r="N153" s="50">
        <v>84</v>
      </c>
      <c r="O153" s="50">
        <v>1</v>
      </c>
      <c r="P153" s="50" t="s">
        <v>460</v>
      </c>
      <c r="Q153" s="585">
        <v>45637.758611111109</v>
      </c>
      <c r="R153" s="50" t="s">
        <v>4368</v>
      </c>
      <c r="S153" s="50" t="str">
        <f t="shared" si="2"/>
        <v>YES</v>
      </c>
    </row>
    <row r="154" spans="1:19" ht="14.5" x14ac:dyDescent="0.25">
      <c r="A154" s="584" t="s">
        <v>458</v>
      </c>
      <c r="B154" s="50" t="s">
        <v>3352</v>
      </c>
      <c r="C154" s="50" t="s">
        <v>3943</v>
      </c>
      <c r="D154" s="57" t="s">
        <v>3944</v>
      </c>
      <c r="E154" s="50" t="s">
        <v>3945</v>
      </c>
      <c r="F154" s="50" t="s">
        <v>3945</v>
      </c>
      <c r="G154" s="50" t="s">
        <v>3946</v>
      </c>
      <c r="H154" s="50" t="s">
        <v>3563</v>
      </c>
      <c r="I154" s="50" t="s">
        <v>2817</v>
      </c>
      <c r="J154" s="50" t="s">
        <v>2818</v>
      </c>
      <c r="K154" s="586">
        <v>8.1000000000000003E-2</v>
      </c>
      <c r="L154" s="602" t="s">
        <v>3652</v>
      </c>
      <c r="M154" s="50" t="s">
        <v>3947</v>
      </c>
      <c r="N154" s="50">
        <v>84</v>
      </c>
      <c r="O154" s="50">
        <v>1</v>
      </c>
      <c r="P154" s="50" t="s">
        <v>458</v>
      </c>
      <c r="Q154" s="585">
        <v>45637.75922453704</v>
      </c>
      <c r="R154" s="50" t="s">
        <v>4368</v>
      </c>
      <c r="S154" s="50" t="str">
        <f t="shared" si="2"/>
        <v>YES</v>
      </c>
    </row>
    <row r="155" spans="1:19" ht="14.5" x14ac:dyDescent="0.25">
      <c r="A155" s="584" t="s">
        <v>1006</v>
      </c>
      <c r="B155" s="50" t="s">
        <v>3419</v>
      </c>
      <c r="C155" s="50" t="s">
        <v>3853</v>
      </c>
      <c r="D155" s="57" t="s">
        <v>3942</v>
      </c>
      <c r="E155" s="50" t="s">
        <v>3617</v>
      </c>
      <c r="F155" s="50" t="s">
        <v>3629</v>
      </c>
      <c r="G155" s="50" t="s">
        <v>3854</v>
      </c>
      <c r="H155" s="50" t="s">
        <v>3569</v>
      </c>
      <c r="I155" s="50" t="s">
        <v>3817</v>
      </c>
      <c r="J155" s="50" t="s">
        <v>3818</v>
      </c>
      <c r="K155" s="586">
        <v>8.6999999999999994E-2</v>
      </c>
      <c r="L155" s="601" t="s">
        <v>3630</v>
      </c>
      <c r="M155" s="50" t="s">
        <v>3855</v>
      </c>
      <c r="N155" s="50">
        <v>16</v>
      </c>
      <c r="O155" s="50">
        <v>1</v>
      </c>
      <c r="P155" s="50" t="s">
        <v>1006</v>
      </c>
      <c r="Q155" s="585">
        <v>45645.759120370371</v>
      </c>
      <c r="R155" s="50" t="s">
        <v>4364</v>
      </c>
      <c r="S155" s="50" t="str">
        <f t="shared" si="2"/>
        <v>YES</v>
      </c>
    </row>
    <row r="156" spans="1:19" ht="14.5" x14ac:dyDescent="0.25">
      <c r="A156" s="584" t="s">
        <v>886</v>
      </c>
      <c r="B156" s="50" t="s">
        <v>3403</v>
      </c>
      <c r="C156" s="50" t="s">
        <v>3853</v>
      </c>
      <c r="D156" s="57" t="s">
        <v>3941</v>
      </c>
      <c r="E156" s="50" t="s">
        <v>3617</v>
      </c>
      <c r="F156" s="50" t="s">
        <v>3629</v>
      </c>
      <c r="G156" s="50" t="s">
        <v>3854</v>
      </c>
      <c r="H156" s="50" t="s">
        <v>3569</v>
      </c>
      <c r="I156" s="50" t="s">
        <v>3817</v>
      </c>
      <c r="J156" s="50" t="s">
        <v>3818</v>
      </c>
      <c r="K156" s="586">
        <v>8.6999999999999994E-2</v>
      </c>
      <c r="L156" s="601" t="s">
        <v>3630</v>
      </c>
      <c r="M156" s="50" t="s">
        <v>3855</v>
      </c>
      <c r="N156" s="50">
        <v>16</v>
      </c>
      <c r="O156" s="50">
        <v>1</v>
      </c>
      <c r="P156" s="50" t="s">
        <v>886</v>
      </c>
      <c r="Q156" s="585">
        <v>45645.759456018517</v>
      </c>
      <c r="R156" s="50" t="s">
        <v>4364</v>
      </c>
      <c r="S156" s="50" t="str">
        <f t="shared" si="2"/>
        <v>YES</v>
      </c>
    </row>
    <row r="157" spans="1:19" ht="14.5" x14ac:dyDescent="0.25">
      <c r="A157" s="584" t="s">
        <v>650</v>
      </c>
      <c r="B157" s="50" t="s">
        <v>3381</v>
      </c>
      <c r="C157" s="50" t="s">
        <v>3737</v>
      </c>
      <c r="D157" s="598" t="s">
        <v>3940</v>
      </c>
      <c r="E157" s="50" t="s">
        <v>3573</v>
      </c>
      <c r="F157" s="50" t="s">
        <v>3705</v>
      </c>
      <c r="G157" s="50" t="s">
        <v>3742</v>
      </c>
      <c r="H157" s="50" t="s">
        <v>3563</v>
      </c>
      <c r="I157" s="50" t="s">
        <v>2817</v>
      </c>
      <c r="J157" s="50" t="s">
        <v>3707</v>
      </c>
      <c r="K157" s="586">
        <v>5.5E-2</v>
      </c>
      <c r="L157" s="595" t="s">
        <v>3602</v>
      </c>
      <c r="M157" s="50" t="s">
        <v>3739</v>
      </c>
      <c r="N157" s="50">
        <v>90</v>
      </c>
      <c r="O157" s="50">
        <v>1</v>
      </c>
      <c r="P157" s="50" t="s">
        <v>650</v>
      </c>
      <c r="Q157" s="585">
        <v>45666.778321759259</v>
      </c>
      <c r="R157" s="50" t="s">
        <v>4376</v>
      </c>
      <c r="S157" s="50" t="str">
        <f t="shared" si="2"/>
        <v>YES</v>
      </c>
    </row>
    <row r="158" spans="1:19" ht="14.5" x14ac:dyDescent="0.25">
      <c r="A158" s="584" t="s">
        <v>700</v>
      </c>
      <c r="B158" s="50" t="s">
        <v>3391</v>
      </c>
      <c r="C158" s="50" t="s">
        <v>2869</v>
      </c>
      <c r="D158" s="57" t="s">
        <v>3939</v>
      </c>
      <c r="E158" s="50" t="s">
        <v>3560</v>
      </c>
      <c r="F158" s="50" t="s">
        <v>3561</v>
      </c>
      <c r="G158" s="50" t="s">
        <v>3762</v>
      </c>
      <c r="H158" s="50" t="s">
        <v>3563</v>
      </c>
      <c r="I158" s="50" t="s">
        <v>2817</v>
      </c>
      <c r="J158" s="50" t="s">
        <v>2818</v>
      </c>
      <c r="K158" s="586">
        <v>8.1000000000000003E-2</v>
      </c>
      <c r="L158" s="591" t="s">
        <v>3564</v>
      </c>
      <c r="M158" s="50" t="s">
        <v>3701</v>
      </c>
      <c r="N158" s="50">
        <v>16</v>
      </c>
      <c r="O158" s="50">
        <v>2</v>
      </c>
      <c r="P158" s="50" t="s">
        <v>700</v>
      </c>
      <c r="Q158" s="585">
        <v>45694.463761574072</v>
      </c>
      <c r="R158" s="50" t="s">
        <v>4370</v>
      </c>
      <c r="S158" s="50" t="str">
        <f t="shared" si="2"/>
        <v>YES</v>
      </c>
    </row>
    <row r="159" spans="1:19" ht="14.5" x14ac:dyDescent="0.25">
      <c r="A159" s="584" t="s">
        <v>698</v>
      </c>
      <c r="B159" s="50" t="s">
        <v>3390</v>
      </c>
      <c r="C159" s="50" t="s">
        <v>2869</v>
      </c>
      <c r="D159" s="57" t="s">
        <v>3938</v>
      </c>
      <c r="E159" s="50" t="s">
        <v>3560</v>
      </c>
      <c r="F159" s="50" t="s">
        <v>3561</v>
      </c>
      <c r="G159" s="50" t="s">
        <v>3762</v>
      </c>
      <c r="H159" s="50" t="s">
        <v>3563</v>
      </c>
      <c r="I159" s="50" t="s">
        <v>2817</v>
      </c>
      <c r="J159" s="50" t="s">
        <v>2818</v>
      </c>
      <c r="K159" s="586">
        <v>8.1000000000000003E-2</v>
      </c>
      <c r="L159" s="591" t="s">
        <v>3564</v>
      </c>
      <c r="M159" s="50" t="s">
        <v>3701</v>
      </c>
      <c r="N159" s="50">
        <v>16</v>
      </c>
      <c r="O159" s="50">
        <v>2</v>
      </c>
      <c r="P159" s="50" t="s">
        <v>698</v>
      </c>
      <c r="Q159" s="585">
        <v>45694.464409722219</v>
      </c>
      <c r="R159" s="50" t="s">
        <v>4370</v>
      </c>
      <c r="S159" s="50" t="str">
        <f t="shared" si="2"/>
        <v>YES</v>
      </c>
    </row>
    <row r="160" spans="1:19" ht="14.5" x14ac:dyDescent="0.25">
      <c r="A160" s="584" t="s">
        <v>3933</v>
      </c>
      <c r="B160" s="50" t="s">
        <v>3934</v>
      </c>
      <c r="C160" s="50" t="s">
        <v>3935</v>
      </c>
      <c r="D160" s="57" t="s">
        <v>3936</v>
      </c>
      <c r="E160" s="50" t="s">
        <v>3617</v>
      </c>
      <c r="F160" s="50" t="s">
        <v>3629</v>
      </c>
      <c r="G160" s="50" t="s">
        <v>3937</v>
      </c>
      <c r="H160" s="50" t="s">
        <v>3712</v>
      </c>
      <c r="I160" s="50" t="s">
        <v>3817</v>
      </c>
      <c r="J160" s="50"/>
      <c r="K160" s="586"/>
      <c r="L160" s="599" t="s">
        <v>3873</v>
      </c>
      <c r="M160" s="50" t="s">
        <v>3819</v>
      </c>
      <c r="N160" s="50"/>
      <c r="O160" s="50"/>
      <c r="P160" s="50" t="s">
        <v>2810</v>
      </c>
      <c r="Q160" s="585">
        <v>45712.775358796294</v>
      </c>
      <c r="R160" s="50" t="s">
        <v>4362</v>
      </c>
      <c r="S160" s="50" t="str">
        <f t="shared" si="2"/>
        <v>YES</v>
      </c>
    </row>
    <row r="161" spans="1:19" ht="14.5" x14ac:dyDescent="0.25">
      <c r="A161" s="584" t="s">
        <v>3932</v>
      </c>
      <c r="B161" s="50" t="s">
        <v>3399</v>
      </c>
      <c r="C161" s="50" t="s">
        <v>3694</v>
      </c>
      <c r="D161" s="57" t="s">
        <v>3932</v>
      </c>
      <c r="E161" s="50" t="s">
        <v>3560</v>
      </c>
      <c r="F161" s="50" t="s">
        <v>3561</v>
      </c>
      <c r="G161" s="50" t="s">
        <v>3745</v>
      </c>
      <c r="H161" s="50" t="s">
        <v>3563</v>
      </c>
      <c r="I161" s="50" t="s">
        <v>2817</v>
      </c>
      <c r="J161" s="50" t="s">
        <v>2818</v>
      </c>
      <c r="K161" s="586">
        <v>8.1000000000000003E-2</v>
      </c>
      <c r="L161" s="591" t="s">
        <v>3564</v>
      </c>
      <c r="M161" s="50" t="s">
        <v>3701</v>
      </c>
      <c r="N161" s="50">
        <v>30</v>
      </c>
      <c r="O161" s="50">
        <v>1</v>
      </c>
      <c r="P161" s="50" t="s">
        <v>3932</v>
      </c>
      <c r="Q161" s="585">
        <v>45722.63040509259</v>
      </c>
      <c r="R161" s="50" t="s">
        <v>3562</v>
      </c>
      <c r="S161" s="50" t="str">
        <f t="shared" si="2"/>
        <v>YES</v>
      </c>
    </row>
    <row r="162" spans="1:19" ht="14.5" x14ac:dyDescent="0.25">
      <c r="A162" s="584" t="s">
        <v>3931</v>
      </c>
      <c r="B162" s="50" t="s">
        <v>3397</v>
      </c>
      <c r="C162" s="50" t="s">
        <v>3700</v>
      </c>
      <c r="D162" s="57" t="s">
        <v>3931</v>
      </c>
      <c r="E162" s="50" t="s">
        <v>3560</v>
      </c>
      <c r="F162" s="50" t="s">
        <v>3561</v>
      </c>
      <c r="G162" s="50" t="s">
        <v>3745</v>
      </c>
      <c r="H162" s="50" t="s">
        <v>3563</v>
      </c>
      <c r="I162" s="50" t="s">
        <v>2817</v>
      </c>
      <c r="J162" s="50" t="s">
        <v>2818</v>
      </c>
      <c r="K162" s="586">
        <v>8.1000000000000003E-2</v>
      </c>
      <c r="L162" s="591" t="s">
        <v>3564</v>
      </c>
      <c r="M162" s="50" t="s">
        <v>3701</v>
      </c>
      <c r="N162" s="50">
        <v>30</v>
      </c>
      <c r="O162" s="50">
        <v>1</v>
      </c>
      <c r="P162" s="50" t="s">
        <v>3931</v>
      </c>
      <c r="Q162" s="585">
        <v>45722.644409722219</v>
      </c>
      <c r="R162" s="50" t="s">
        <v>3562</v>
      </c>
      <c r="S162" s="50" t="str">
        <f t="shared" si="2"/>
        <v>YES</v>
      </c>
    </row>
    <row r="163" spans="1:19" ht="14.5" x14ac:dyDescent="0.25">
      <c r="A163" s="584" t="s">
        <v>3930</v>
      </c>
      <c r="B163" s="50" t="s">
        <v>3398</v>
      </c>
      <c r="C163" s="50" t="s">
        <v>3700</v>
      </c>
      <c r="D163" s="57" t="s">
        <v>3930</v>
      </c>
      <c r="E163" s="50" t="s">
        <v>3560</v>
      </c>
      <c r="F163" s="50" t="s">
        <v>3561</v>
      </c>
      <c r="G163" s="50" t="s">
        <v>3745</v>
      </c>
      <c r="H163" s="50" t="s">
        <v>3563</v>
      </c>
      <c r="I163" s="50" t="s">
        <v>2817</v>
      </c>
      <c r="J163" s="50" t="s">
        <v>2818</v>
      </c>
      <c r="K163" s="586">
        <v>8.1000000000000003E-2</v>
      </c>
      <c r="L163" s="591" t="s">
        <v>3564</v>
      </c>
      <c r="M163" s="50" t="s">
        <v>3701</v>
      </c>
      <c r="N163" s="50">
        <v>30</v>
      </c>
      <c r="O163" s="50">
        <v>1</v>
      </c>
      <c r="P163" s="50" t="s">
        <v>3930</v>
      </c>
      <c r="Q163" s="585">
        <v>45722.645682870374</v>
      </c>
      <c r="R163" s="50" t="s">
        <v>3562</v>
      </c>
      <c r="S163" s="50" t="str">
        <f t="shared" si="2"/>
        <v>YES</v>
      </c>
    </row>
    <row r="164" spans="1:19" ht="14.5" x14ac:dyDescent="0.25">
      <c r="A164" s="584" t="s">
        <v>3929</v>
      </c>
      <c r="B164" s="50" t="s">
        <v>3401</v>
      </c>
      <c r="C164" s="50" t="s">
        <v>2876</v>
      </c>
      <c r="D164" s="57" t="s">
        <v>3929</v>
      </c>
      <c r="E164" s="50" t="s">
        <v>3560</v>
      </c>
      <c r="F164" s="50" t="s">
        <v>3561</v>
      </c>
      <c r="G164" s="50" t="s">
        <v>3745</v>
      </c>
      <c r="H164" s="50" t="s">
        <v>3563</v>
      </c>
      <c r="I164" s="50" t="s">
        <v>2817</v>
      </c>
      <c r="J164" s="50" t="s">
        <v>2818</v>
      </c>
      <c r="K164" s="586">
        <v>8.1000000000000003E-2</v>
      </c>
      <c r="L164" s="591" t="s">
        <v>3564</v>
      </c>
      <c r="M164" s="50" t="s">
        <v>3701</v>
      </c>
      <c r="N164" s="50">
        <v>30</v>
      </c>
      <c r="O164" s="50">
        <v>1</v>
      </c>
      <c r="P164" s="50" t="s">
        <v>3929</v>
      </c>
      <c r="Q164" s="585">
        <v>45722.669340277775</v>
      </c>
      <c r="R164" s="50" t="s">
        <v>3562</v>
      </c>
      <c r="S164" s="50" t="str">
        <f t="shared" si="2"/>
        <v>YES</v>
      </c>
    </row>
    <row r="165" spans="1:19" ht="14.5" x14ac:dyDescent="0.25">
      <c r="A165" s="584" t="s">
        <v>953</v>
      </c>
      <c r="B165" s="50" t="s">
        <v>3405</v>
      </c>
      <c r="C165" s="50" t="s">
        <v>3916</v>
      </c>
      <c r="D165" s="57" t="s">
        <v>3928</v>
      </c>
      <c r="E165" s="50" t="s">
        <v>3560</v>
      </c>
      <c r="F165" s="50" t="s">
        <v>3561</v>
      </c>
      <c r="G165" s="50" t="s">
        <v>3785</v>
      </c>
      <c r="H165" s="50" t="s">
        <v>3563</v>
      </c>
      <c r="I165" s="50" t="s">
        <v>2817</v>
      </c>
      <c r="J165" s="50" t="s">
        <v>2818</v>
      </c>
      <c r="K165" s="586">
        <v>8.1000000000000003E-2</v>
      </c>
      <c r="L165" s="591" t="s">
        <v>3564</v>
      </c>
      <c r="M165" s="50" t="s">
        <v>3701</v>
      </c>
      <c r="N165" s="50">
        <v>30</v>
      </c>
      <c r="O165" s="50">
        <v>1</v>
      </c>
      <c r="P165" s="50" t="s">
        <v>953</v>
      </c>
      <c r="Q165" s="585">
        <v>45729.775011574071</v>
      </c>
      <c r="R165" s="50" t="s">
        <v>3615</v>
      </c>
      <c r="S165" s="50" t="str">
        <f t="shared" si="2"/>
        <v>YES</v>
      </c>
    </row>
    <row r="166" spans="1:19" ht="14.5" x14ac:dyDescent="0.25">
      <c r="A166" s="584" t="s">
        <v>955</v>
      </c>
      <c r="B166" s="50" t="s">
        <v>3406</v>
      </c>
      <c r="C166" s="50" t="s">
        <v>3916</v>
      </c>
      <c r="D166" s="57" t="s">
        <v>3927</v>
      </c>
      <c r="E166" s="50" t="s">
        <v>3560</v>
      </c>
      <c r="F166" s="50" t="s">
        <v>3561</v>
      </c>
      <c r="G166" s="50" t="s">
        <v>3785</v>
      </c>
      <c r="H166" s="50" t="s">
        <v>3563</v>
      </c>
      <c r="I166" s="50" t="s">
        <v>2817</v>
      </c>
      <c r="J166" s="50" t="s">
        <v>2818</v>
      </c>
      <c r="K166" s="586">
        <v>8.1000000000000003E-2</v>
      </c>
      <c r="L166" s="591" t="s">
        <v>3564</v>
      </c>
      <c r="M166" s="50" t="s">
        <v>3701</v>
      </c>
      <c r="N166" s="50">
        <v>30</v>
      </c>
      <c r="O166" s="50">
        <v>1</v>
      </c>
      <c r="P166" s="50" t="s">
        <v>955</v>
      </c>
      <c r="Q166" s="585">
        <v>45729.779953703706</v>
      </c>
      <c r="R166" s="50" t="s">
        <v>3615</v>
      </c>
      <c r="S166" s="50" t="str">
        <f t="shared" si="2"/>
        <v>YES</v>
      </c>
    </row>
    <row r="167" spans="1:19" ht="14.5" x14ac:dyDescent="0.25">
      <c r="A167" s="584" t="s">
        <v>957</v>
      </c>
      <c r="B167" s="50" t="s">
        <v>3407</v>
      </c>
      <c r="C167" s="50" t="s">
        <v>3916</v>
      </c>
      <c r="D167" s="57" t="s">
        <v>3926</v>
      </c>
      <c r="E167" s="50" t="s">
        <v>3560</v>
      </c>
      <c r="F167" s="50" t="s">
        <v>3561</v>
      </c>
      <c r="G167" s="50" t="s">
        <v>3785</v>
      </c>
      <c r="H167" s="50" t="s">
        <v>3563</v>
      </c>
      <c r="I167" s="50" t="s">
        <v>2817</v>
      </c>
      <c r="J167" s="50" t="s">
        <v>2818</v>
      </c>
      <c r="K167" s="586">
        <v>8.1000000000000003E-2</v>
      </c>
      <c r="L167" s="591" t="s">
        <v>3564</v>
      </c>
      <c r="M167" s="50" t="s">
        <v>3701</v>
      </c>
      <c r="N167" s="50">
        <v>30</v>
      </c>
      <c r="O167" s="50">
        <v>1</v>
      </c>
      <c r="P167" s="50" t="s">
        <v>957</v>
      </c>
      <c r="Q167" s="585">
        <v>45729.783449074072</v>
      </c>
      <c r="R167" s="50" t="s">
        <v>3615</v>
      </c>
      <c r="S167" s="50" t="str">
        <f t="shared" si="2"/>
        <v>YES</v>
      </c>
    </row>
    <row r="168" spans="1:19" ht="14.5" x14ac:dyDescent="0.25">
      <c r="A168" s="584" t="s">
        <v>963</v>
      </c>
      <c r="B168" s="50" t="s">
        <v>3410</v>
      </c>
      <c r="C168" s="50" t="s">
        <v>3916</v>
      </c>
      <c r="D168" s="57" t="s">
        <v>3925</v>
      </c>
      <c r="E168" s="50" t="s">
        <v>3560</v>
      </c>
      <c r="F168" s="50" t="s">
        <v>3561</v>
      </c>
      <c r="G168" s="50" t="s">
        <v>3785</v>
      </c>
      <c r="H168" s="50" t="s">
        <v>3563</v>
      </c>
      <c r="I168" s="50" t="s">
        <v>2817</v>
      </c>
      <c r="J168" s="50" t="s">
        <v>2818</v>
      </c>
      <c r="K168" s="586">
        <v>8.1000000000000003E-2</v>
      </c>
      <c r="L168" s="591" t="s">
        <v>3564</v>
      </c>
      <c r="M168" s="50" t="s">
        <v>3701</v>
      </c>
      <c r="N168" s="50">
        <v>30</v>
      </c>
      <c r="O168" s="50">
        <v>1</v>
      </c>
      <c r="P168" s="50" t="s">
        <v>963</v>
      </c>
      <c r="Q168" s="585">
        <v>45729.785381944443</v>
      </c>
      <c r="R168" s="50" t="s">
        <v>3615</v>
      </c>
      <c r="S168" s="50" t="str">
        <f t="shared" si="2"/>
        <v>YES</v>
      </c>
    </row>
    <row r="169" spans="1:19" ht="14.5" x14ac:dyDescent="0.25">
      <c r="A169" s="584" t="s">
        <v>961</v>
      </c>
      <c r="B169" s="50" t="s">
        <v>3409</v>
      </c>
      <c r="C169" s="50" t="s">
        <v>3916</v>
      </c>
      <c r="D169" s="57" t="s">
        <v>3924</v>
      </c>
      <c r="E169" s="50" t="s">
        <v>3560</v>
      </c>
      <c r="F169" s="50" t="s">
        <v>3561</v>
      </c>
      <c r="G169" s="50" t="s">
        <v>3785</v>
      </c>
      <c r="H169" s="50" t="s">
        <v>3563</v>
      </c>
      <c r="I169" s="50" t="s">
        <v>2817</v>
      </c>
      <c r="J169" s="50" t="s">
        <v>2818</v>
      </c>
      <c r="K169" s="586">
        <v>8.1000000000000003E-2</v>
      </c>
      <c r="L169" s="591" t="s">
        <v>3564</v>
      </c>
      <c r="M169" s="50" t="s">
        <v>3701</v>
      </c>
      <c r="N169" s="50">
        <v>30</v>
      </c>
      <c r="O169" s="50">
        <v>1</v>
      </c>
      <c r="P169" s="50" t="s">
        <v>961</v>
      </c>
      <c r="Q169" s="585">
        <v>45729.786261574074</v>
      </c>
      <c r="R169" s="50" t="s">
        <v>3615</v>
      </c>
      <c r="S169" s="50" t="str">
        <f t="shared" si="2"/>
        <v>YES</v>
      </c>
    </row>
    <row r="170" spans="1:19" ht="14.5" x14ac:dyDescent="0.25">
      <c r="A170" s="584" t="s">
        <v>965</v>
      </c>
      <c r="B170" s="50" t="s">
        <v>3411</v>
      </c>
      <c r="C170" s="50" t="s">
        <v>3916</v>
      </c>
      <c r="D170" s="57" t="s">
        <v>3923</v>
      </c>
      <c r="E170" s="50" t="s">
        <v>3560</v>
      </c>
      <c r="F170" s="50" t="s">
        <v>3561</v>
      </c>
      <c r="G170" s="50" t="s">
        <v>3785</v>
      </c>
      <c r="H170" s="50" t="s">
        <v>3563</v>
      </c>
      <c r="I170" s="50" t="s">
        <v>2817</v>
      </c>
      <c r="J170" s="50" t="s">
        <v>2818</v>
      </c>
      <c r="K170" s="586">
        <v>8.1000000000000003E-2</v>
      </c>
      <c r="L170" s="591" t="s">
        <v>3564</v>
      </c>
      <c r="M170" s="50" t="s">
        <v>3701</v>
      </c>
      <c r="N170" s="50">
        <v>30</v>
      </c>
      <c r="O170" s="50">
        <v>1</v>
      </c>
      <c r="P170" s="50" t="s">
        <v>965</v>
      </c>
      <c r="Q170" s="585">
        <v>45729.787164351852</v>
      </c>
      <c r="R170" s="50" t="s">
        <v>3615</v>
      </c>
      <c r="S170" s="50" t="str">
        <f t="shared" si="2"/>
        <v>YES</v>
      </c>
    </row>
    <row r="171" spans="1:19" ht="14.5" x14ac:dyDescent="0.25">
      <c r="A171" s="584" t="s">
        <v>967</v>
      </c>
      <c r="B171" s="50" t="s">
        <v>3412</v>
      </c>
      <c r="C171" s="50" t="s">
        <v>3916</v>
      </c>
      <c r="D171" s="57" t="s">
        <v>3922</v>
      </c>
      <c r="E171" s="50" t="s">
        <v>3560</v>
      </c>
      <c r="F171" s="50" t="s">
        <v>3561</v>
      </c>
      <c r="G171" s="50" t="s">
        <v>3785</v>
      </c>
      <c r="H171" s="50" t="s">
        <v>3563</v>
      </c>
      <c r="I171" s="50" t="s">
        <v>2817</v>
      </c>
      <c r="J171" s="50" t="s">
        <v>2818</v>
      </c>
      <c r="K171" s="586">
        <v>8.1000000000000003E-2</v>
      </c>
      <c r="L171" s="591" t="s">
        <v>3564</v>
      </c>
      <c r="M171" s="50" t="s">
        <v>3701</v>
      </c>
      <c r="N171" s="50">
        <v>30</v>
      </c>
      <c r="O171" s="50">
        <v>1</v>
      </c>
      <c r="P171" s="50" t="s">
        <v>967</v>
      </c>
      <c r="Q171" s="585">
        <v>45729.787939814814</v>
      </c>
      <c r="R171" s="50" t="s">
        <v>3615</v>
      </c>
      <c r="S171" s="50" t="str">
        <f t="shared" si="2"/>
        <v>YES</v>
      </c>
    </row>
    <row r="172" spans="1:19" ht="14.5" x14ac:dyDescent="0.25">
      <c r="A172" s="584" t="s">
        <v>969</v>
      </c>
      <c r="B172" s="50" t="s">
        <v>3413</v>
      </c>
      <c r="C172" s="50" t="s">
        <v>3916</v>
      </c>
      <c r="D172" s="57" t="s">
        <v>3921</v>
      </c>
      <c r="E172" s="50" t="s">
        <v>3560</v>
      </c>
      <c r="F172" s="50" t="s">
        <v>3561</v>
      </c>
      <c r="G172" s="50" t="s">
        <v>3785</v>
      </c>
      <c r="H172" s="50" t="s">
        <v>3563</v>
      </c>
      <c r="I172" s="50" t="s">
        <v>2817</v>
      </c>
      <c r="J172" s="50" t="s">
        <v>2818</v>
      </c>
      <c r="K172" s="586">
        <v>8.1000000000000003E-2</v>
      </c>
      <c r="L172" s="591" t="s">
        <v>3564</v>
      </c>
      <c r="M172" s="50" t="s">
        <v>3701</v>
      </c>
      <c r="N172" s="50">
        <v>30</v>
      </c>
      <c r="O172" s="50">
        <v>1</v>
      </c>
      <c r="P172" s="50" t="s">
        <v>969</v>
      </c>
      <c r="Q172" s="585">
        <v>45729.789074074077</v>
      </c>
      <c r="R172" s="50" t="s">
        <v>3615</v>
      </c>
      <c r="S172" s="50" t="str">
        <f t="shared" si="2"/>
        <v>YES</v>
      </c>
    </row>
    <row r="173" spans="1:19" ht="14.5" x14ac:dyDescent="0.25">
      <c r="A173" s="584" t="s">
        <v>959</v>
      </c>
      <c r="B173" s="50" t="s">
        <v>3408</v>
      </c>
      <c r="C173" s="50" t="s">
        <v>3916</v>
      </c>
      <c r="D173" s="57" t="s">
        <v>3920</v>
      </c>
      <c r="E173" s="50" t="s">
        <v>3560</v>
      </c>
      <c r="F173" s="50" t="s">
        <v>3561</v>
      </c>
      <c r="G173" s="50" t="s">
        <v>3785</v>
      </c>
      <c r="H173" s="50" t="s">
        <v>3563</v>
      </c>
      <c r="I173" s="50" t="s">
        <v>2817</v>
      </c>
      <c r="J173" s="50" t="s">
        <v>2818</v>
      </c>
      <c r="K173" s="586">
        <v>8.1000000000000003E-2</v>
      </c>
      <c r="L173" s="591" t="s">
        <v>3564</v>
      </c>
      <c r="M173" s="50" t="s">
        <v>3701</v>
      </c>
      <c r="N173" s="50">
        <v>30</v>
      </c>
      <c r="O173" s="50">
        <v>1</v>
      </c>
      <c r="P173" s="50" t="s">
        <v>959</v>
      </c>
      <c r="Q173" s="585">
        <v>45729.789560185185</v>
      </c>
      <c r="R173" s="50" t="s">
        <v>3615</v>
      </c>
      <c r="S173" s="50" t="str">
        <f t="shared" si="2"/>
        <v>YES</v>
      </c>
    </row>
    <row r="174" spans="1:19" ht="14.5" x14ac:dyDescent="0.25">
      <c r="A174" s="584" t="s">
        <v>786</v>
      </c>
      <c r="B174" s="50" t="s">
        <v>3395</v>
      </c>
      <c r="C174" s="50" t="s">
        <v>2870</v>
      </c>
      <c r="D174" s="57" t="s">
        <v>3919</v>
      </c>
      <c r="E174" s="50" t="s">
        <v>3560</v>
      </c>
      <c r="F174" s="50" t="s">
        <v>3561</v>
      </c>
      <c r="G174" s="50" t="s">
        <v>3785</v>
      </c>
      <c r="H174" s="50" t="s">
        <v>3563</v>
      </c>
      <c r="I174" s="50" t="s">
        <v>2817</v>
      </c>
      <c r="J174" s="50" t="s">
        <v>2818</v>
      </c>
      <c r="K174" s="586">
        <v>8.1000000000000003E-2</v>
      </c>
      <c r="L174" s="591" t="s">
        <v>3564</v>
      </c>
      <c r="M174" s="50" t="s">
        <v>3701</v>
      </c>
      <c r="N174" s="50">
        <v>40</v>
      </c>
      <c r="O174" s="50">
        <v>1</v>
      </c>
      <c r="P174" s="50" t="s">
        <v>786</v>
      </c>
      <c r="Q174" s="585">
        <v>45729.835266203707</v>
      </c>
      <c r="R174" s="50" t="s">
        <v>3615</v>
      </c>
      <c r="S174" s="50" t="str">
        <f t="shared" si="2"/>
        <v>YES</v>
      </c>
    </row>
    <row r="175" spans="1:19" ht="14.5" x14ac:dyDescent="0.25">
      <c r="A175" s="584" t="s">
        <v>1031</v>
      </c>
      <c r="B175" s="50" t="s">
        <v>3420</v>
      </c>
      <c r="C175" s="50" t="s">
        <v>3916</v>
      </c>
      <c r="D175" s="57" t="s">
        <v>3918</v>
      </c>
      <c r="E175" s="50" t="s">
        <v>3560</v>
      </c>
      <c r="F175" s="50" t="s">
        <v>3561</v>
      </c>
      <c r="G175" s="50" t="s">
        <v>3785</v>
      </c>
      <c r="H175" s="50" t="s">
        <v>3563</v>
      </c>
      <c r="I175" s="50" t="s">
        <v>2817</v>
      </c>
      <c r="J175" s="50" t="s">
        <v>2818</v>
      </c>
      <c r="K175" s="586">
        <v>8.1000000000000003E-2</v>
      </c>
      <c r="L175" s="591" t="s">
        <v>3564</v>
      </c>
      <c r="M175" s="50" t="s">
        <v>3701</v>
      </c>
      <c r="N175" s="50">
        <v>30</v>
      </c>
      <c r="O175" s="50">
        <v>1</v>
      </c>
      <c r="P175" s="50" t="s">
        <v>1031</v>
      </c>
      <c r="Q175" s="585">
        <v>45735.417164351849</v>
      </c>
      <c r="R175" s="50" t="s">
        <v>3615</v>
      </c>
      <c r="S175" s="50" t="str">
        <f t="shared" si="2"/>
        <v>YES</v>
      </c>
    </row>
    <row r="176" spans="1:19" ht="14.5" x14ac:dyDescent="0.25">
      <c r="A176" s="584" t="s">
        <v>971</v>
      </c>
      <c r="B176" s="50" t="s">
        <v>3414</v>
      </c>
      <c r="C176" s="50" t="s">
        <v>3916</v>
      </c>
      <c r="D176" s="57" t="s">
        <v>3917</v>
      </c>
      <c r="E176" s="50" t="s">
        <v>3560</v>
      </c>
      <c r="F176" s="50" t="s">
        <v>3561</v>
      </c>
      <c r="G176" s="50" t="s">
        <v>3785</v>
      </c>
      <c r="H176" s="50" t="s">
        <v>3563</v>
      </c>
      <c r="I176" s="50" t="s">
        <v>2817</v>
      </c>
      <c r="J176" s="50" t="s">
        <v>2818</v>
      </c>
      <c r="K176" s="586">
        <v>8.1000000000000003E-2</v>
      </c>
      <c r="L176" s="591" t="s">
        <v>3564</v>
      </c>
      <c r="M176" s="50" t="s">
        <v>3701</v>
      </c>
      <c r="N176" s="50">
        <v>30</v>
      </c>
      <c r="O176" s="50">
        <v>1</v>
      </c>
      <c r="P176" s="50" t="s">
        <v>971</v>
      </c>
      <c r="Q176" s="585">
        <v>45735.417800925927</v>
      </c>
      <c r="R176" s="50" t="s">
        <v>3615</v>
      </c>
      <c r="S176" s="50" t="str">
        <f t="shared" si="2"/>
        <v>YES</v>
      </c>
    </row>
    <row r="177" spans="1:19" ht="14.5" x14ac:dyDescent="0.25">
      <c r="A177" s="584" t="s">
        <v>1330</v>
      </c>
      <c r="B177" s="50" t="s">
        <v>3442</v>
      </c>
      <c r="C177" s="50" t="s">
        <v>3778</v>
      </c>
      <c r="D177" s="57" t="s">
        <v>3915</v>
      </c>
      <c r="E177" s="50" t="s">
        <v>3560</v>
      </c>
      <c r="F177" s="50" t="s">
        <v>3567</v>
      </c>
      <c r="G177" s="50" t="s">
        <v>3729</v>
      </c>
      <c r="H177" s="50" t="s">
        <v>3712</v>
      </c>
      <c r="I177" s="50" t="s">
        <v>2817</v>
      </c>
      <c r="J177" s="50" t="s">
        <v>2818</v>
      </c>
      <c r="K177" s="586">
        <v>8.1000000000000003E-2</v>
      </c>
      <c r="L177" s="600" t="s">
        <v>3570</v>
      </c>
      <c r="M177" s="50" t="s">
        <v>3714</v>
      </c>
      <c r="N177" s="50">
        <v>12</v>
      </c>
      <c r="O177" s="50">
        <v>1</v>
      </c>
      <c r="P177" s="50" t="s">
        <v>1330</v>
      </c>
      <c r="Q177" s="585">
        <v>45742.701678240737</v>
      </c>
      <c r="R177" s="50" t="s">
        <v>3590</v>
      </c>
      <c r="S177" s="50" t="str">
        <f t="shared" si="2"/>
        <v>YES</v>
      </c>
    </row>
    <row r="178" spans="1:19" ht="14.5" x14ac:dyDescent="0.25">
      <c r="A178" s="584" t="s">
        <v>1332</v>
      </c>
      <c r="B178" s="50" t="s">
        <v>3443</v>
      </c>
      <c r="C178" s="50" t="s">
        <v>3778</v>
      </c>
      <c r="D178" s="57" t="s">
        <v>3914</v>
      </c>
      <c r="E178" s="50" t="s">
        <v>3560</v>
      </c>
      <c r="F178" s="50" t="s">
        <v>3567</v>
      </c>
      <c r="G178" s="50" t="s">
        <v>3729</v>
      </c>
      <c r="H178" s="50" t="s">
        <v>3712</v>
      </c>
      <c r="I178" s="50" t="s">
        <v>2817</v>
      </c>
      <c r="J178" s="50" t="s">
        <v>2818</v>
      </c>
      <c r="K178" s="586">
        <v>8.1000000000000003E-2</v>
      </c>
      <c r="L178" s="600" t="s">
        <v>3570</v>
      </c>
      <c r="M178" s="50" t="s">
        <v>3714</v>
      </c>
      <c r="N178" s="50">
        <v>12</v>
      </c>
      <c r="O178" s="50">
        <v>1</v>
      </c>
      <c r="P178" s="50" t="s">
        <v>1332</v>
      </c>
      <c r="Q178" s="585">
        <v>45742.72997685185</v>
      </c>
      <c r="R178" s="50" t="s">
        <v>3590</v>
      </c>
      <c r="S178" s="50" t="str">
        <f t="shared" si="2"/>
        <v>YES</v>
      </c>
    </row>
    <row r="179" spans="1:19" ht="14.5" x14ac:dyDescent="0.25">
      <c r="A179" s="584" t="s">
        <v>2170</v>
      </c>
      <c r="B179" s="50" t="s">
        <v>3485</v>
      </c>
      <c r="C179" s="50" t="s">
        <v>3911</v>
      </c>
      <c r="D179" s="57" t="s">
        <v>3913</v>
      </c>
      <c r="E179" s="50" t="s">
        <v>3560</v>
      </c>
      <c r="F179" s="50" t="s">
        <v>3567</v>
      </c>
      <c r="G179" s="50" t="s">
        <v>3729</v>
      </c>
      <c r="H179" s="50" t="s">
        <v>3712</v>
      </c>
      <c r="I179" s="50" t="s">
        <v>2817</v>
      </c>
      <c r="J179" s="50" t="s">
        <v>3713</v>
      </c>
      <c r="K179" s="586">
        <v>8.1000000000000003E-2</v>
      </c>
      <c r="L179" s="600" t="s">
        <v>3570</v>
      </c>
      <c r="M179" s="50" t="s">
        <v>3714</v>
      </c>
      <c r="N179" s="50">
        <v>32</v>
      </c>
      <c r="O179" s="50">
        <v>1</v>
      </c>
      <c r="P179" s="50" t="s">
        <v>2170</v>
      </c>
      <c r="Q179" s="585">
        <v>45742.731261574074</v>
      </c>
      <c r="R179" s="50" t="s">
        <v>3590</v>
      </c>
      <c r="S179" s="50" t="str">
        <f t="shared" si="2"/>
        <v>YES</v>
      </c>
    </row>
    <row r="180" spans="1:19" ht="14.5" x14ac:dyDescent="0.25">
      <c r="A180" s="584" t="s">
        <v>2172</v>
      </c>
      <c r="B180" s="50" t="s">
        <v>3486</v>
      </c>
      <c r="C180" s="50" t="s">
        <v>3911</v>
      </c>
      <c r="D180" s="57" t="s">
        <v>3912</v>
      </c>
      <c r="E180" s="50" t="s">
        <v>3560</v>
      </c>
      <c r="F180" s="50" t="s">
        <v>3567</v>
      </c>
      <c r="G180" s="50" t="s">
        <v>3729</v>
      </c>
      <c r="H180" s="50" t="s">
        <v>3712</v>
      </c>
      <c r="I180" s="50" t="s">
        <v>2817</v>
      </c>
      <c r="J180" s="50" t="s">
        <v>3713</v>
      </c>
      <c r="K180" s="586">
        <v>8.1000000000000003E-2</v>
      </c>
      <c r="L180" s="600" t="s">
        <v>3570</v>
      </c>
      <c r="M180" s="50" t="s">
        <v>3714</v>
      </c>
      <c r="N180" s="50">
        <v>32</v>
      </c>
      <c r="O180" s="50">
        <v>1</v>
      </c>
      <c r="P180" s="50" t="s">
        <v>2172</v>
      </c>
      <c r="Q180" s="585">
        <v>45742.733553240738</v>
      </c>
      <c r="R180" s="50" t="s">
        <v>3590</v>
      </c>
      <c r="S180" s="50" t="str">
        <f t="shared" si="2"/>
        <v>YES</v>
      </c>
    </row>
    <row r="181" spans="1:19" ht="14.5" x14ac:dyDescent="0.25">
      <c r="A181" s="584" t="s">
        <v>853</v>
      </c>
      <c r="B181" s="50" t="s">
        <v>3396</v>
      </c>
      <c r="C181" s="50" t="s">
        <v>3694</v>
      </c>
      <c r="D181" s="57" t="s">
        <v>3910</v>
      </c>
      <c r="E181" s="50" t="s">
        <v>3560</v>
      </c>
      <c r="F181" s="50" t="s">
        <v>3561</v>
      </c>
      <c r="G181" s="50" t="s">
        <v>3785</v>
      </c>
      <c r="H181" s="50" t="s">
        <v>3563</v>
      </c>
      <c r="I181" s="50" t="s">
        <v>2817</v>
      </c>
      <c r="J181" s="50" t="s">
        <v>2818</v>
      </c>
      <c r="K181" s="586">
        <v>8.1000000000000003E-2</v>
      </c>
      <c r="L181" s="591" t="s">
        <v>3564</v>
      </c>
      <c r="M181" s="50" t="s">
        <v>3701</v>
      </c>
      <c r="N181" s="50">
        <v>40</v>
      </c>
      <c r="O181" s="50">
        <v>1</v>
      </c>
      <c r="P181" s="50" t="s">
        <v>853</v>
      </c>
      <c r="Q181" s="585">
        <v>45744.447476851848</v>
      </c>
      <c r="R181" s="50" t="s">
        <v>3615</v>
      </c>
      <c r="S181" s="50" t="str">
        <f t="shared" si="2"/>
        <v>YES</v>
      </c>
    </row>
    <row r="182" spans="1:19" ht="14.5" x14ac:dyDescent="0.25">
      <c r="A182" s="584" t="s">
        <v>876</v>
      </c>
      <c r="B182" s="50" t="s">
        <v>3400</v>
      </c>
      <c r="C182" s="50" t="s">
        <v>2870</v>
      </c>
      <c r="D182" s="584" t="s">
        <v>3909</v>
      </c>
      <c r="E182" s="50" t="s">
        <v>3560</v>
      </c>
      <c r="F182" s="50" t="s">
        <v>3561</v>
      </c>
      <c r="G182" s="50" t="s">
        <v>3785</v>
      </c>
      <c r="H182" s="50" t="s">
        <v>3563</v>
      </c>
      <c r="I182" s="50" t="s">
        <v>2817</v>
      </c>
      <c r="J182" s="50" t="s">
        <v>2818</v>
      </c>
      <c r="K182" s="586">
        <v>8.1000000000000003E-2</v>
      </c>
      <c r="L182" s="591" t="s">
        <v>3564</v>
      </c>
      <c r="M182" s="50" t="s">
        <v>3701</v>
      </c>
      <c r="N182" s="50">
        <v>40</v>
      </c>
      <c r="O182" s="50">
        <v>1</v>
      </c>
      <c r="P182" s="50" t="s">
        <v>876</v>
      </c>
      <c r="Q182" s="585">
        <v>45744.448240740741</v>
      </c>
      <c r="R182" s="50" t="s">
        <v>3615</v>
      </c>
      <c r="S182" s="50" t="str">
        <f t="shared" si="2"/>
        <v>YES</v>
      </c>
    </row>
    <row r="183" spans="1:19" ht="14.5" x14ac:dyDescent="0.25">
      <c r="A183" s="584" t="s">
        <v>1052</v>
      </c>
      <c r="B183" s="50" t="s">
        <v>3423</v>
      </c>
      <c r="C183" s="50" t="s">
        <v>3737</v>
      </c>
      <c r="D183" s="57" t="s">
        <v>3908</v>
      </c>
      <c r="E183" s="50" t="s">
        <v>3573</v>
      </c>
      <c r="F183" s="50" t="s">
        <v>3705</v>
      </c>
      <c r="G183" s="50" t="s">
        <v>3738</v>
      </c>
      <c r="H183" s="50" t="s">
        <v>3563</v>
      </c>
      <c r="I183" s="50" t="s">
        <v>2817</v>
      </c>
      <c r="J183" s="50" t="s">
        <v>3707</v>
      </c>
      <c r="K183" s="586">
        <v>5.5E-2</v>
      </c>
      <c r="L183" s="595" t="s">
        <v>3602</v>
      </c>
      <c r="M183" s="50" t="s">
        <v>3739</v>
      </c>
      <c r="N183" s="50">
        <v>76</v>
      </c>
      <c r="O183" s="50">
        <v>6</v>
      </c>
      <c r="P183" s="50" t="s">
        <v>1052</v>
      </c>
      <c r="Q183" s="585">
        <v>45749.665347222224</v>
      </c>
      <c r="R183" s="50" t="s">
        <v>4374</v>
      </c>
      <c r="S183" s="50" t="str">
        <f t="shared" si="2"/>
        <v>YES</v>
      </c>
    </row>
    <row r="184" spans="1:19" ht="14.5" x14ac:dyDescent="0.25">
      <c r="A184" s="584" t="s">
        <v>1061</v>
      </c>
      <c r="B184" s="50" t="s">
        <v>3427</v>
      </c>
      <c r="C184" s="50" t="s">
        <v>3737</v>
      </c>
      <c r="D184" s="57" t="s">
        <v>3907</v>
      </c>
      <c r="E184" s="50" t="s">
        <v>3573</v>
      </c>
      <c r="F184" s="50" t="s">
        <v>3705</v>
      </c>
      <c r="G184" s="50" t="s">
        <v>3742</v>
      </c>
      <c r="H184" s="50" t="s">
        <v>3563</v>
      </c>
      <c r="I184" s="50" t="s">
        <v>2817</v>
      </c>
      <c r="J184" s="50" t="s">
        <v>3707</v>
      </c>
      <c r="K184" s="586">
        <v>5.5E-2</v>
      </c>
      <c r="L184" s="595" t="s">
        <v>3602</v>
      </c>
      <c r="M184" s="50" t="s">
        <v>3739</v>
      </c>
      <c r="N184" s="50">
        <v>90</v>
      </c>
      <c r="O184" s="50">
        <v>1</v>
      </c>
      <c r="P184" s="50" t="s">
        <v>1061</v>
      </c>
      <c r="Q184" s="585">
        <v>45749.673229166663</v>
      </c>
      <c r="R184" s="50" t="s">
        <v>4376</v>
      </c>
      <c r="S184" s="50" t="str">
        <f t="shared" si="2"/>
        <v>YES</v>
      </c>
    </row>
    <row r="185" spans="1:19" ht="14.5" x14ac:dyDescent="0.25">
      <c r="A185" s="584" t="s">
        <v>1059</v>
      </c>
      <c r="B185" s="50" t="s">
        <v>3426</v>
      </c>
      <c r="C185" s="50" t="s">
        <v>3737</v>
      </c>
      <c r="D185" s="57" t="s">
        <v>3906</v>
      </c>
      <c r="E185" s="50" t="s">
        <v>3573</v>
      </c>
      <c r="F185" s="50" t="s">
        <v>3705</v>
      </c>
      <c r="G185" s="50" t="s">
        <v>3742</v>
      </c>
      <c r="H185" s="50" t="s">
        <v>3563</v>
      </c>
      <c r="I185" s="50" t="s">
        <v>2817</v>
      </c>
      <c r="J185" s="50" t="s">
        <v>3707</v>
      </c>
      <c r="K185" s="586">
        <v>5.5E-2</v>
      </c>
      <c r="L185" s="595" t="s">
        <v>3602</v>
      </c>
      <c r="M185" s="50" t="s">
        <v>3739</v>
      </c>
      <c r="N185" s="50">
        <v>90</v>
      </c>
      <c r="O185" s="50">
        <v>1</v>
      </c>
      <c r="P185" s="50" t="s">
        <v>1059</v>
      </c>
      <c r="Q185" s="585">
        <v>45749.680127314816</v>
      </c>
      <c r="R185" s="50" t="s">
        <v>4376</v>
      </c>
      <c r="S185" s="50" t="str">
        <f t="shared" si="2"/>
        <v>YES</v>
      </c>
    </row>
    <row r="186" spans="1:19" ht="14.5" x14ac:dyDescent="0.25">
      <c r="A186" s="584" t="s">
        <v>1054</v>
      </c>
      <c r="B186" s="50" t="s">
        <v>3424</v>
      </c>
      <c r="C186" s="50" t="s">
        <v>3737</v>
      </c>
      <c r="D186" s="57" t="s">
        <v>3905</v>
      </c>
      <c r="E186" s="50" t="s">
        <v>3573</v>
      </c>
      <c r="F186" s="50" t="s">
        <v>3705</v>
      </c>
      <c r="G186" s="50" t="s">
        <v>3742</v>
      </c>
      <c r="H186" s="50" t="s">
        <v>3563</v>
      </c>
      <c r="I186" s="50" t="s">
        <v>2817</v>
      </c>
      <c r="J186" s="50" t="s">
        <v>3707</v>
      </c>
      <c r="K186" s="586">
        <v>5.5E-2</v>
      </c>
      <c r="L186" s="595" t="s">
        <v>3602</v>
      </c>
      <c r="M186" s="50" t="s">
        <v>3739</v>
      </c>
      <c r="N186" s="50">
        <v>90</v>
      </c>
      <c r="O186" s="50">
        <v>1</v>
      </c>
      <c r="P186" s="50" t="s">
        <v>1054</v>
      </c>
      <c r="Q186" s="585">
        <v>45749.681134259263</v>
      </c>
      <c r="R186" s="50" t="s">
        <v>4376</v>
      </c>
      <c r="S186" s="50" t="str">
        <f t="shared" si="2"/>
        <v>YES</v>
      </c>
    </row>
    <row r="187" spans="1:19" ht="14.5" x14ac:dyDescent="0.25">
      <c r="A187" s="584" t="s">
        <v>1057</v>
      </c>
      <c r="B187" s="50" t="s">
        <v>3425</v>
      </c>
      <c r="C187" s="50" t="s">
        <v>3737</v>
      </c>
      <c r="D187" s="57" t="s">
        <v>3904</v>
      </c>
      <c r="E187" s="50" t="s">
        <v>3573</v>
      </c>
      <c r="F187" s="50" t="s">
        <v>3705</v>
      </c>
      <c r="G187" s="50" t="s">
        <v>3742</v>
      </c>
      <c r="H187" s="50" t="s">
        <v>3563</v>
      </c>
      <c r="I187" s="50" t="s">
        <v>2817</v>
      </c>
      <c r="J187" s="50" t="s">
        <v>3707</v>
      </c>
      <c r="K187" s="586">
        <v>5.5E-2</v>
      </c>
      <c r="L187" s="595" t="s">
        <v>3602</v>
      </c>
      <c r="M187" s="50" t="s">
        <v>3739</v>
      </c>
      <c r="N187" s="50">
        <v>90</v>
      </c>
      <c r="O187" s="50">
        <v>1</v>
      </c>
      <c r="P187" s="50" t="s">
        <v>1057</v>
      </c>
      <c r="Q187" s="585">
        <v>45749.681932870371</v>
      </c>
      <c r="R187" s="50" t="s">
        <v>4376</v>
      </c>
      <c r="S187" s="50" t="str">
        <f t="shared" si="2"/>
        <v>YES</v>
      </c>
    </row>
    <row r="188" spans="1:19" ht="14.5" x14ac:dyDescent="0.25">
      <c r="A188" s="584" t="s">
        <v>3903</v>
      </c>
      <c r="B188" s="50" t="s">
        <v>3431</v>
      </c>
      <c r="C188" s="50" t="s">
        <v>3700</v>
      </c>
      <c r="D188" s="57" t="s">
        <v>3903</v>
      </c>
      <c r="E188" s="50" t="s">
        <v>3560</v>
      </c>
      <c r="F188" s="50" t="s">
        <v>3561</v>
      </c>
      <c r="G188" s="50" t="s">
        <v>3745</v>
      </c>
      <c r="H188" s="50" t="s">
        <v>3563</v>
      </c>
      <c r="I188" s="50" t="s">
        <v>2817</v>
      </c>
      <c r="J188" s="50" t="s">
        <v>2818</v>
      </c>
      <c r="K188" s="586">
        <v>8.1000000000000003E-2</v>
      </c>
      <c r="L188" s="591" t="s">
        <v>3564</v>
      </c>
      <c r="M188" s="50" t="s">
        <v>3701</v>
      </c>
      <c r="N188" s="50">
        <v>30</v>
      </c>
      <c r="O188" s="50">
        <v>1</v>
      </c>
      <c r="P188" s="50" t="s">
        <v>3903</v>
      </c>
      <c r="Q188" s="585">
        <v>45765.691701388889</v>
      </c>
      <c r="R188" s="50" t="s">
        <v>3562</v>
      </c>
      <c r="S188" s="50" t="str">
        <f t="shared" ref="S188:S237" si="3">IF(A188=P188,"YES","NO")</f>
        <v>YES</v>
      </c>
    </row>
    <row r="189" spans="1:19" ht="14.5" x14ac:dyDescent="0.25">
      <c r="A189" s="584" t="s">
        <v>1190</v>
      </c>
      <c r="B189" s="50" t="s">
        <v>3432</v>
      </c>
      <c r="C189" s="50" t="s">
        <v>3700</v>
      </c>
      <c r="D189" s="57" t="s">
        <v>3902</v>
      </c>
      <c r="E189" s="50" t="s">
        <v>3560</v>
      </c>
      <c r="F189" s="50" t="s">
        <v>3561</v>
      </c>
      <c r="G189" s="50" t="s">
        <v>3745</v>
      </c>
      <c r="H189" s="50" t="s">
        <v>3563</v>
      </c>
      <c r="I189" s="50" t="s">
        <v>2817</v>
      </c>
      <c r="J189" s="50" t="s">
        <v>2818</v>
      </c>
      <c r="K189" s="586">
        <v>8.1000000000000003E-2</v>
      </c>
      <c r="L189" s="591" t="s">
        <v>3564</v>
      </c>
      <c r="M189" s="50" t="s">
        <v>3701</v>
      </c>
      <c r="N189" s="50">
        <v>30</v>
      </c>
      <c r="O189" s="50">
        <v>1</v>
      </c>
      <c r="P189" s="50" t="s">
        <v>3902</v>
      </c>
      <c r="Q189" s="585">
        <v>45765.701041666667</v>
      </c>
      <c r="R189" s="50" t="s">
        <v>3562</v>
      </c>
      <c r="S189" s="50" t="str">
        <f t="shared" si="3"/>
        <v>YES</v>
      </c>
    </row>
    <row r="190" spans="1:19" ht="14.5" x14ac:dyDescent="0.25">
      <c r="A190" s="584" t="s">
        <v>1195</v>
      </c>
      <c r="B190" s="50" t="s">
        <v>3433</v>
      </c>
      <c r="C190" s="50" t="s">
        <v>3694</v>
      </c>
      <c r="D190" s="57" t="s">
        <v>3901</v>
      </c>
      <c r="E190" s="50" t="s">
        <v>3560</v>
      </c>
      <c r="F190" s="50" t="s">
        <v>3561</v>
      </c>
      <c r="G190" s="50" t="s">
        <v>3745</v>
      </c>
      <c r="H190" s="50" t="s">
        <v>3563</v>
      </c>
      <c r="I190" s="50" t="s">
        <v>2817</v>
      </c>
      <c r="J190" s="50" t="s">
        <v>2818</v>
      </c>
      <c r="K190" s="586">
        <v>8.1000000000000003E-2</v>
      </c>
      <c r="L190" s="591" t="s">
        <v>3564</v>
      </c>
      <c r="M190" s="50" t="s">
        <v>3701</v>
      </c>
      <c r="N190" s="50">
        <v>30</v>
      </c>
      <c r="O190" s="50">
        <v>1</v>
      </c>
      <c r="P190" s="50" t="s">
        <v>3901</v>
      </c>
      <c r="Q190" s="585">
        <v>45765.704340277778</v>
      </c>
      <c r="R190" s="50" t="s">
        <v>3562</v>
      </c>
      <c r="S190" s="50" t="str">
        <f t="shared" si="3"/>
        <v>YES</v>
      </c>
    </row>
    <row r="191" spans="1:19" ht="14.5" x14ac:dyDescent="0.25">
      <c r="A191" s="584" t="s">
        <v>1198</v>
      </c>
      <c r="B191" s="50" t="s">
        <v>3434</v>
      </c>
      <c r="C191" s="50" t="s">
        <v>3694</v>
      </c>
      <c r="D191" s="57" t="s">
        <v>3900</v>
      </c>
      <c r="E191" s="50" t="s">
        <v>3560</v>
      </c>
      <c r="F191" s="50" t="s">
        <v>3561</v>
      </c>
      <c r="G191" s="50" t="s">
        <v>3745</v>
      </c>
      <c r="H191" s="50" t="s">
        <v>3563</v>
      </c>
      <c r="I191" s="50" t="s">
        <v>2817</v>
      </c>
      <c r="J191" s="50" t="s">
        <v>2818</v>
      </c>
      <c r="K191" s="586">
        <v>8.1000000000000003E-2</v>
      </c>
      <c r="L191" s="591" t="s">
        <v>3564</v>
      </c>
      <c r="M191" s="50" t="s">
        <v>3701</v>
      </c>
      <c r="N191" s="50">
        <v>30</v>
      </c>
      <c r="O191" s="50">
        <v>1</v>
      </c>
      <c r="P191" s="50" t="s">
        <v>3900</v>
      </c>
      <c r="Q191" s="585">
        <v>45765.706377314818</v>
      </c>
      <c r="R191" s="50" t="s">
        <v>3562</v>
      </c>
      <c r="S191" s="50" t="str">
        <f t="shared" si="3"/>
        <v>YES</v>
      </c>
    </row>
    <row r="192" spans="1:19" ht="14.5" x14ac:dyDescent="0.25">
      <c r="A192" s="584" t="s">
        <v>2828</v>
      </c>
      <c r="B192" s="50" t="s">
        <v>3651</v>
      </c>
      <c r="C192" s="50" t="s">
        <v>2829</v>
      </c>
      <c r="D192" s="57" t="s">
        <v>3899</v>
      </c>
      <c r="E192" s="50" t="s">
        <v>3560</v>
      </c>
      <c r="F192" s="50" t="s">
        <v>3649</v>
      </c>
      <c r="G192" s="50" t="s">
        <v>3897</v>
      </c>
      <c r="H192" s="50" t="s">
        <v>3712</v>
      </c>
      <c r="I192" s="50" t="s">
        <v>2817</v>
      </c>
      <c r="J192" s="50" t="s">
        <v>2818</v>
      </c>
      <c r="K192" s="586">
        <v>8.1000000000000003E-2</v>
      </c>
      <c r="L192" s="592" t="s">
        <v>3650</v>
      </c>
      <c r="M192" s="50" t="s">
        <v>3898</v>
      </c>
      <c r="N192" s="50">
        <v>6</v>
      </c>
      <c r="O192" s="50">
        <v>1</v>
      </c>
      <c r="P192" s="50" t="s">
        <v>2828</v>
      </c>
      <c r="Q192" s="585">
        <v>45769.749467592592</v>
      </c>
      <c r="R192" s="50" t="s">
        <v>3649</v>
      </c>
      <c r="S192" s="50" t="str">
        <f t="shared" si="3"/>
        <v>YES</v>
      </c>
    </row>
    <row r="193" spans="1:19" ht="14.5" x14ac:dyDescent="0.25">
      <c r="A193" s="584" t="s">
        <v>2830</v>
      </c>
      <c r="B193" s="50" t="s">
        <v>3648</v>
      </c>
      <c r="C193" s="50" t="s">
        <v>2829</v>
      </c>
      <c r="D193" s="57" t="s">
        <v>3896</v>
      </c>
      <c r="E193" s="50" t="s">
        <v>3560</v>
      </c>
      <c r="F193" s="50" t="s">
        <v>3649</v>
      </c>
      <c r="G193" s="50" t="s">
        <v>3897</v>
      </c>
      <c r="H193" s="50" t="s">
        <v>3712</v>
      </c>
      <c r="I193" s="50" t="s">
        <v>2817</v>
      </c>
      <c r="J193" s="50" t="s">
        <v>2818</v>
      </c>
      <c r="K193" s="586">
        <v>8.1000000000000003E-2</v>
      </c>
      <c r="L193" s="592" t="s">
        <v>3650</v>
      </c>
      <c r="M193" s="50" t="s">
        <v>3898</v>
      </c>
      <c r="N193" s="50">
        <v>6</v>
      </c>
      <c r="O193" s="50">
        <v>1</v>
      </c>
      <c r="P193" s="50" t="s">
        <v>2830</v>
      </c>
      <c r="Q193" s="585">
        <v>45769.75136574074</v>
      </c>
      <c r="R193" s="50" t="s">
        <v>3649</v>
      </c>
      <c r="S193" s="50" t="str">
        <f t="shared" si="3"/>
        <v>YES</v>
      </c>
    </row>
    <row r="194" spans="1:19" ht="14.5" x14ac:dyDescent="0.25">
      <c r="A194" s="584" t="s">
        <v>2848</v>
      </c>
      <c r="B194" s="50" t="s">
        <v>3647</v>
      </c>
      <c r="C194" s="50" t="s">
        <v>3704</v>
      </c>
      <c r="D194" s="57" t="s">
        <v>2848</v>
      </c>
      <c r="E194" s="50" t="s">
        <v>3573</v>
      </c>
      <c r="F194" s="50" t="s">
        <v>3705</v>
      </c>
      <c r="G194" s="50" t="s">
        <v>3706</v>
      </c>
      <c r="H194" s="50" t="s">
        <v>3563</v>
      </c>
      <c r="I194" s="50" t="s">
        <v>2817</v>
      </c>
      <c r="J194" s="50"/>
      <c r="K194" s="586"/>
      <c r="L194" s="603" t="s">
        <v>3708</v>
      </c>
      <c r="M194" s="50" t="s">
        <v>3709</v>
      </c>
      <c r="N194" s="50"/>
      <c r="O194" s="50"/>
      <c r="P194" s="50" t="s">
        <v>2848</v>
      </c>
      <c r="Q194" s="585">
        <v>45770.695659722223</v>
      </c>
      <c r="R194" s="50" t="s">
        <v>4362</v>
      </c>
      <c r="S194" s="50" t="str">
        <f t="shared" si="3"/>
        <v>YES</v>
      </c>
    </row>
    <row r="195" spans="1:19" ht="14.5" x14ac:dyDescent="0.25">
      <c r="A195" s="584" t="s">
        <v>1997</v>
      </c>
      <c r="B195" s="50" t="s">
        <v>3465</v>
      </c>
      <c r="C195" s="50" t="s">
        <v>3892</v>
      </c>
      <c r="D195" s="57" t="s">
        <v>3895</v>
      </c>
      <c r="E195" s="50" t="s">
        <v>3617</v>
      </c>
      <c r="F195" s="50" t="s">
        <v>3629</v>
      </c>
      <c r="G195" s="50" t="s">
        <v>3854</v>
      </c>
      <c r="H195" s="50" t="s">
        <v>3569</v>
      </c>
      <c r="I195" s="50" t="s">
        <v>3817</v>
      </c>
      <c r="J195" s="50" t="s">
        <v>3818</v>
      </c>
      <c r="K195" s="586">
        <v>8.6999999999999994E-2</v>
      </c>
      <c r="L195" s="601" t="s">
        <v>3630</v>
      </c>
      <c r="M195" s="50" t="s">
        <v>3855</v>
      </c>
      <c r="N195" s="50">
        <v>16</v>
      </c>
      <c r="O195" s="50">
        <v>1</v>
      </c>
      <c r="P195" s="50" t="s">
        <v>1997</v>
      </c>
      <c r="Q195" s="585">
        <v>45783.650405092594</v>
      </c>
      <c r="R195" s="50" t="s">
        <v>4364</v>
      </c>
      <c r="S195" s="50" t="str">
        <f t="shared" si="3"/>
        <v>YES</v>
      </c>
    </row>
    <row r="196" spans="1:19" ht="14.5" x14ac:dyDescent="0.25">
      <c r="A196" s="584" t="s">
        <v>2809</v>
      </c>
      <c r="B196" s="50" t="s">
        <v>3646</v>
      </c>
      <c r="C196" s="50" t="s">
        <v>3892</v>
      </c>
      <c r="D196" s="57" t="s">
        <v>3894</v>
      </c>
      <c r="E196" s="50" t="s">
        <v>3617</v>
      </c>
      <c r="F196" s="50" t="s">
        <v>3629</v>
      </c>
      <c r="G196" s="50" t="s">
        <v>3854</v>
      </c>
      <c r="H196" s="50" t="s">
        <v>3569</v>
      </c>
      <c r="I196" s="50" t="s">
        <v>3817</v>
      </c>
      <c r="J196" s="50" t="s">
        <v>3818</v>
      </c>
      <c r="K196" s="586">
        <v>8.6999999999999994E-2</v>
      </c>
      <c r="L196" s="601" t="s">
        <v>3630</v>
      </c>
      <c r="M196" s="50" t="s">
        <v>3855</v>
      </c>
      <c r="N196" s="50">
        <v>16</v>
      </c>
      <c r="O196" s="50">
        <v>1</v>
      </c>
      <c r="P196" s="50" t="s">
        <v>2809</v>
      </c>
      <c r="Q196" s="585">
        <v>45783.653668981482</v>
      </c>
      <c r="R196" s="50" t="s">
        <v>4364</v>
      </c>
      <c r="S196" s="50" t="str">
        <f t="shared" si="3"/>
        <v>YES</v>
      </c>
    </row>
    <row r="197" spans="1:19" ht="14.5" x14ac:dyDescent="0.25">
      <c r="A197" s="584" t="s">
        <v>2153</v>
      </c>
      <c r="B197" s="50" t="s">
        <v>3891</v>
      </c>
      <c r="C197" s="50" t="s">
        <v>3892</v>
      </c>
      <c r="D197" s="57" t="s">
        <v>3893</v>
      </c>
      <c r="E197" s="50" t="s">
        <v>3617</v>
      </c>
      <c r="F197" s="50" t="s">
        <v>3629</v>
      </c>
      <c r="G197" s="50" t="s">
        <v>3854</v>
      </c>
      <c r="H197" s="50" t="s">
        <v>3569</v>
      </c>
      <c r="I197" s="50" t="s">
        <v>3817</v>
      </c>
      <c r="J197" s="50" t="s">
        <v>3818</v>
      </c>
      <c r="K197" s="586">
        <v>8.6999999999999994E-2</v>
      </c>
      <c r="L197" s="601" t="s">
        <v>3630</v>
      </c>
      <c r="M197" s="50" t="s">
        <v>3855</v>
      </c>
      <c r="N197" s="50">
        <v>16</v>
      </c>
      <c r="O197" s="50">
        <v>1</v>
      </c>
      <c r="P197" s="50" t="s">
        <v>2153</v>
      </c>
      <c r="Q197" s="585">
        <v>45783.654606481483</v>
      </c>
      <c r="R197" s="50" t="s">
        <v>4364</v>
      </c>
      <c r="S197" s="50" t="str">
        <f t="shared" si="3"/>
        <v>YES</v>
      </c>
    </row>
    <row r="198" spans="1:19" ht="14.5" x14ac:dyDescent="0.25">
      <c r="A198" s="584" t="s">
        <v>1312</v>
      </c>
      <c r="B198" s="50" t="s">
        <v>3441</v>
      </c>
      <c r="C198" s="50" t="s">
        <v>3737</v>
      </c>
      <c r="D198" s="57" t="s">
        <v>3890</v>
      </c>
      <c r="E198" s="50" t="s">
        <v>3573</v>
      </c>
      <c r="F198" s="50" t="s">
        <v>3705</v>
      </c>
      <c r="G198" s="50" t="s">
        <v>3742</v>
      </c>
      <c r="H198" s="50" t="s">
        <v>3563</v>
      </c>
      <c r="I198" s="50" t="s">
        <v>2817</v>
      </c>
      <c r="J198" s="50" t="s">
        <v>3707</v>
      </c>
      <c r="K198" s="586">
        <v>5.5E-2</v>
      </c>
      <c r="L198" s="595" t="s">
        <v>3602</v>
      </c>
      <c r="M198" s="50" t="s">
        <v>3739</v>
      </c>
      <c r="N198" s="50">
        <v>20</v>
      </c>
      <c r="O198" s="50">
        <v>1</v>
      </c>
      <c r="P198" s="50" t="s">
        <v>1312</v>
      </c>
      <c r="Q198" s="585">
        <v>45786.688668981478</v>
      </c>
      <c r="R198" s="50" t="s">
        <v>4375</v>
      </c>
      <c r="S198" s="50" t="str">
        <f t="shared" si="3"/>
        <v>YES</v>
      </c>
    </row>
    <row r="199" spans="1:19" ht="14.5" x14ac:dyDescent="0.25">
      <c r="A199" s="584" t="s">
        <v>1213</v>
      </c>
      <c r="B199" s="50" t="s">
        <v>3435</v>
      </c>
      <c r="C199" s="50" t="s">
        <v>3744</v>
      </c>
      <c r="D199" s="57" t="s">
        <v>3889</v>
      </c>
      <c r="E199" s="50" t="s">
        <v>3560</v>
      </c>
      <c r="F199" s="50" t="s">
        <v>3561</v>
      </c>
      <c r="G199" s="50" t="s">
        <v>3785</v>
      </c>
      <c r="H199" s="50" t="s">
        <v>3563</v>
      </c>
      <c r="I199" s="50" t="s">
        <v>2817</v>
      </c>
      <c r="J199" s="50" t="s">
        <v>2818</v>
      </c>
      <c r="K199" s="586">
        <v>8.1000000000000003E-2</v>
      </c>
      <c r="L199" s="591" t="s">
        <v>3564</v>
      </c>
      <c r="M199" s="50" t="s">
        <v>3701</v>
      </c>
      <c r="N199" s="50">
        <v>40</v>
      </c>
      <c r="O199" s="50">
        <v>1</v>
      </c>
      <c r="P199" s="50" t="s">
        <v>1213</v>
      </c>
      <c r="Q199" s="585">
        <v>45790.620486111111</v>
      </c>
      <c r="R199" s="50" t="s">
        <v>3615</v>
      </c>
      <c r="S199" s="50" t="str">
        <f t="shared" si="3"/>
        <v>YES</v>
      </c>
    </row>
    <row r="200" spans="1:19" ht="14.5" x14ac:dyDescent="0.25">
      <c r="A200" s="584" t="s">
        <v>1217</v>
      </c>
      <c r="B200" s="50" t="s">
        <v>3437</v>
      </c>
      <c r="C200" s="50" t="s">
        <v>3744</v>
      </c>
      <c r="D200" s="57" t="s">
        <v>3888</v>
      </c>
      <c r="E200" s="50" t="s">
        <v>3560</v>
      </c>
      <c r="F200" s="50" t="s">
        <v>3561</v>
      </c>
      <c r="G200" s="50" t="s">
        <v>3762</v>
      </c>
      <c r="H200" s="50" t="s">
        <v>3563</v>
      </c>
      <c r="I200" s="50" t="s">
        <v>2817</v>
      </c>
      <c r="J200" s="50" t="s">
        <v>2818</v>
      </c>
      <c r="K200" s="586">
        <v>8.1000000000000003E-2</v>
      </c>
      <c r="L200" s="591" t="s">
        <v>3564</v>
      </c>
      <c r="M200" s="50" t="s">
        <v>3701</v>
      </c>
      <c r="N200" s="50">
        <v>20</v>
      </c>
      <c r="O200" s="50">
        <v>2</v>
      </c>
      <c r="P200" s="50" t="s">
        <v>1217</v>
      </c>
      <c r="Q200" s="585">
        <v>45790.621990740743</v>
      </c>
      <c r="R200" s="50" t="s">
        <v>4370</v>
      </c>
      <c r="S200" s="50" t="str">
        <f t="shared" si="3"/>
        <v>YES</v>
      </c>
    </row>
    <row r="201" spans="1:19" ht="14.5" x14ac:dyDescent="0.25">
      <c r="A201" s="584" t="s">
        <v>1215</v>
      </c>
      <c r="B201" s="50" t="s">
        <v>3436</v>
      </c>
      <c r="C201" s="50" t="s">
        <v>3744</v>
      </c>
      <c r="D201" s="57" t="s">
        <v>1215</v>
      </c>
      <c r="E201" s="50" t="s">
        <v>3560</v>
      </c>
      <c r="F201" s="50" t="s">
        <v>3561</v>
      </c>
      <c r="G201" s="50" t="s">
        <v>3745</v>
      </c>
      <c r="H201" s="50" t="s">
        <v>3563</v>
      </c>
      <c r="I201" s="50" t="s">
        <v>2817</v>
      </c>
      <c r="J201" s="50" t="s">
        <v>2818</v>
      </c>
      <c r="K201" s="586">
        <v>8.1000000000000003E-2</v>
      </c>
      <c r="L201" s="591" t="s">
        <v>3564</v>
      </c>
      <c r="M201" s="50" t="s">
        <v>3701</v>
      </c>
      <c r="N201" s="50">
        <v>30</v>
      </c>
      <c r="O201" s="50">
        <v>1</v>
      </c>
      <c r="P201" s="50" t="s">
        <v>3887</v>
      </c>
      <c r="Q201" s="585">
        <v>45790.629502314812</v>
      </c>
      <c r="R201" s="50" t="s">
        <v>3562</v>
      </c>
      <c r="S201" s="50" t="str">
        <f t="shared" si="3"/>
        <v>YES</v>
      </c>
    </row>
    <row r="202" spans="1:19" ht="14.5" x14ac:dyDescent="0.25">
      <c r="A202" s="584" t="s">
        <v>2853</v>
      </c>
      <c r="B202" s="50" t="s">
        <v>3645</v>
      </c>
      <c r="C202" s="50" t="s">
        <v>3704</v>
      </c>
      <c r="D202" s="57" t="s">
        <v>2853</v>
      </c>
      <c r="E202" s="50" t="s">
        <v>3573</v>
      </c>
      <c r="F202" s="50" t="s">
        <v>3705</v>
      </c>
      <c r="G202" s="50" t="s">
        <v>3706</v>
      </c>
      <c r="H202" s="50" t="s">
        <v>3563</v>
      </c>
      <c r="I202" s="50" t="s">
        <v>2817</v>
      </c>
      <c r="J202" s="50"/>
      <c r="K202" s="586"/>
      <c r="L202" s="595" t="s">
        <v>3602</v>
      </c>
      <c r="M202" s="50" t="s">
        <v>3739</v>
      </c>
      <c r="N202" s="50"/>
      <c r="O202" s="50"/>
      <c r="P202" s="50" t="s">
        <v>2853</v>
      </c>
      <c r="Q202" s="585">
        <v>45790.630162037036</v>
      </c>
      <c r="R202" s="50" t="s">
        <v>4362</v>
      </c>
      <c r="S202" s="50" t="str">
        <f t="shared" si="3"/>
        <v>YES</v>
      </c>
    </row>
    <row r="203" spans="1:19" ht="14.5" x14ac:dyDescent="0.25">
      <c r="A203" s="584" t="s">
        <v>1272</v>
      </c>
      <c r="B203" s="50" t="s">
        <v>3439</v>
      </c>
      <c r="C203" s="50" t="s">
        <v>3775</v>
      </c>
      <c r="D203" s="57" t="s">
        <v>1272</v>
      </c>
      <c r="E203" s="50" t="s">
        <v>3560</v>
      </c>
      <c r="F203" s="50" t="s">
        <v>3567</v>
      </c>
      <c r="G203" s="50" t="s">
        <v>3725</v>
      </c>
      <c r="H203" s="50" t="s">
        <v>3712</v>
      </c>
      <c r="I203" s="50" t="s">
        <v>2817</v>
      </c>
      <c r="J203" s="50" t="s">
        <v>3713</v>
      </c>
      <c r="K203" s="586">
        <v>8.1000000000000003E-2</v>
      </c>
      <c r="L203" s="600" t="s">
        <v>3570</v>
      </c>
      <c r="M203" s="50" t="s">
        <v>3714</v>
      </c>
      <c r="N203" s="50">
        <v>12</v>
      </c>
      <c r="O203" s="50">
        <v>1</v>
      </c>
      <c r="P203" s="50" t="s">
        <v>4351</v>
      </c>
      <c r="Q203" s="585">
        <v>45790.786886574075</v>
      </c>
      <c r="R203" s="50" t="s">
        <v>3568</v>
      </c>
      <c r="S203" s="50" t="str">
        <f t="shared" si="3"/>
        <v>NO</v>
      </c>
    </row>
    <row r="204" spans="1:19" ht="14.5" x14ac:dyDescent="0.25">
      <c r="A204" s="584" t="s">
        <v>1274</v>
      </c>
      <c r="B204" s="50" t="s">
        <v>3440</v>
      </c>
      <c r="C204" s="50" t="s">
        <v>3775</v>
      </c>
      <c r="D204" s="57" t="s">
        <v>1274</v>
      </c>
      <c r="E204" s="50" t="s">
        <v>3560</v>
      </c>
      <c r="F204" s="50" t="s">
        <v>3567</v>
      </c>
      <c r="G204" s="50" t="s">
        <v>3725</v>
      </c>
      <c r="H204" s="50" t="s">
        <v>3712</v>
      </c>
      <c r="I204" s="50" t="s">
        <v>2817</v>
      </c>
      <c r="J204" s="50" t="s">
        <v>3713</v>
      </c>
      <c r="K204" s="586">
        <v>8.1000000000000003E-2</v>
      </c>
      <c r="L204" s="600" t="s">
        <v>3570</v>
      </c>
      <c r="M204" s="50" t="s">
        <v>3714</v>
      </c>
      <c r="N204" s="50">
        <v>12</v>
      </c>
      <c r="O204" s="50">
        <v>1</v>
      </c>
      <c r="P204" s="50" t="s">
        <v>4352</v>
      </c>
      <c r="Q204" s="585">
        <v>45790.79042824074</v>
      </c>
      <c r="R204" s="50" t="s">
        <v>3568</v>
      </c>
      <c r="S204" s="50" t="str">
        <f t="shared" si="3"/>
        <v>NO</v>
      </c>
    </row>
    <row r="205" spans="1:19" ht="14.5" x14ac:dyDescent="0.25">
      <c r="A205" s="584" t="s">
        <v>1503</v>
      </c>
      <c r="B205" s="50" t="s">
        <v>3449</v>
      </c>
      <c r="C205" s="50" t="s">
        <v>3778</v>
      </c>
      <c r="D205" s="57" t="s">
        <v>3886</v>
      </c>
      <c r="E205" s="50" t="s">
        <v>3560</v>
      </c>
      <c r="F205" s="50" t="s">
        <v>3567</v>
      </c>
      <c r="G205" s="50" t="s">
        <v>3725</v>
      </c>
      <c r="H205" s="50" t="s">
        <v>3712</v>
      </c>
      <c r="I205" s="50" t="s">
        <v>2817</v>
      </c>
      <c r="J205" s="50" t="s">
        <v>2818</v>
      </c>
      <c r="K205" s="586">
        <v>8.1000000000000003E-2</v>
      </c>
      <c r="L205" s="600" t="s">
        <v>3570</v>
      </c>
      <c r="M205" s="50" t="s">
        <v>3714</v>
      </c>
      <c r="N205" s="50">
        <v>12</v>
      </c>
      <c r="O205" s="50">
        <v>1</v>
      </c>
      <c r="P205" s="50" t="s">
        <v>4353</v>
      </c>
      <c r="Q205" s="585">
        <v>45790.791273148148</v>
      </c>
      <c r="R205" s="50" t="s">
        <v>3568</v>
      </c>
      <c r="S205" s="50" t="str">
        <f t="shared" si="3"/>
        <v>NO</v>
      </c>
    </row>
    <row r="206" spans="1:19" ht="14.5" x14ac:dyDescent="0.25">
      <c r="A206" s="584" t="s">
        <v>1501</v>
      </c>
      <c r="B206" s="50" t="s">
        <v>3448</v>
      </c>
      <c r="C206" s="50" t="s">
        <v>3778</v>
      </c>
      <c r="D206" s="57" t="s">
        <v>3885</v>
      </c>
      <c r="E206" s="50" t="s">
        <v>3560</v>
      </c>
      <c r="F206" s="50" t="s">
        <v>3567</v>
      </c>
      <c r="G206" s="50" t="s">
        <v>3725</v>
      </c>
      <c r="H206" s="50" t="s">
        <v>3712</v>
      </c>
      <c r="I206" s="50" t="s">
        <v>2817</v>
      </c>
      <c r="J206" s="50" t="s">
        <v>2818</v>
      </c>
      <c r="K206" s="586">
        <v>8.1000000000000003E-2</v>
      </c>
      <c r="L206" s="600" t="s">
        <v>3570</v>
      </c>
      <c r="M206" s="50" t="s">
        <v>3714</v>
      </c>
      <c r="N206" s="50">
        <v>12</v>
      </c>
      <c r="O206" s="50">
        <v>1</v>
      </c>
      <c r="P206" s="50" t="s">
        <v>4354</v>
      </c>
      <c r="Q206" s="585">
        <v>45790.793368055558</v>
      </c>
      <c r="R206" s="50" t="s">
        <v>3568</v>
      </c>
      <c r="S206" s="50" t="str">
        <f t="shared" si="3"/>
        <v>NO</v>
      </c>
    </row>
    <row r="207" spans="1:19" ht="14.5" x14ac:dyDescent="0.25">
      <c r="A207" s="584" t="s">
        <v>2860</v>
      </c>
      <c r="B207" s="50" t="s">
        <v>3644</v>
      </c>
      <c r="C207" s="50" t="s">
        <v>3704</v>
      </c>
      <c r="D207" s="57" t="s">
        <v>2860</v>
      </c>
      <c r="E207" s="50" t="s">
        <v>3573</v>
      </c>
      <c r="F207" s="50" t="s">
        <v>3705</v>
      </c>
      <c r="G207" s="50" t="s">
        <v>3706</v>
      </c>
      <c r="H207" s="50" t="s">
        <v>3563</v>
      </c>
      <c r="I207" s="50" t="s">
        <v>2817</v>
      </c>
      <c r="J207" s="50"/>
      <c r="K207" s="586"/>
      <c r="L207" s="603" t="s">
        <v>3708</v>
      </c>
      <c r="M207" s="50" t="s">
        <v>3709</v>
      </c>
      <c r="N207" s="50"/>
      <c r="O207" s="50"/>
      <c r="P207" s="50" t="s">
        <v>2860</v>
      </c>
      <c r="Q207" s="585">
        <v>45790.797592592593</v>
      </c>
      <c r="R207" s="50" t="s">
        <v>4362</v>
      </c>
      <c r="S207" s="50" t="str">
        <f t="shared" si="3"/>
        <v>YES</v>
      </c>
    </row>
    <row r="208" spans="1:19" ht="14.5" x14ac:dyDescent="0.25">
      <c r="A208" s="584" t="s">
        <v>2838</v>
      </c>
      <c r="B208" s="50" t="s">
        <v>3643</v>
      </c>
      <c r="C208" s="50" t="s">
        <v>3704</v>
      </c>
      <c r="D208" s="57" t="s">
        <v>2838</v>
      </c>
      <c r="E208" s="50" t="s">
        <v>3573</v>
      </c>
      <c r="F208" s="50" t="s">
        <v>3705</v>
      </c>
      <c r="G208" s="50" t="s">
        <v>3706</v>
      </c>
      <c r="H208" s="50" t="s">
        <v>3563</v>
      </c>
      <c r="I208" s="50" t="s">
        <v>2817</v>
      </c>
      <c r="J208" s="50"/>
      <c r="K208" s="586"/>
      <c r="L208" s="603" t="s">
        <v>3708</v>
      </c>
      <c r="M208" s="50" t="s">
        <v>3709</v>
      </c>
      <c r="N208" s="50"/>
      <c r="O208" s="50"/>
      <c r="P208" s="50" t="s">
        <v>2838</v>
      </c>
      <c r="Q208" s="585">
        <v>45790.798958333333</v>
      </c>
      <c r="R208" s="50" t="s">
        <v>4362</v>
      </c>
      <c r="S208" s="50" t="str">
        <f t="shared" si="3"/>
        <v>YES</v>
      </c>
    </row>
    <row r="209" spans="1:19" ht="14.5" x14ac:dyDescent="0.25">
      <c r="A209" s="584" t="s">
        <v>2839</v>
      </c>
      <c r="B209" s="50" t="s">
        <v>3642</v>
      </c>
      <c r="C209" s="50" t="s">
        <v>3704</v>
      </c>
      <c r="D209" s="57" t="s">
        <v>2839</v>
      </c>
      <c r="E209" s="50" t="s">
        <v>3573</v>
      </c>
      <c r="F209" s="50" t="s">
        <v>3705</v>
      </c>
      <c r="G209" s="50" t="s">
        <v>3706</v>
      </c>
      <c r="H209" s="50" t="s">
        <v>3563</v>
      </c>
      <c r="I209" s="50" t="s">
        <v>2817</v>
      </c>
      <c r="J209" s="50"/>
      <c r="K209" s="586"/>
      <c r="L209" s="603" t="s">
        <v>3708</v>
      </c>
      <c r="M209" s="50" t="s">
        <v>3709</v>
      </c>
      <c r="N209" s="50"/>
      <c r="O209" s="50"/>
      <c r="P209" s="50" t="s">
        <v>2839</v>
      </c>
      <c r="Q209" s="585">
        <v>45790.800798611112</v>
      </c>
      <c r="R209" s="50" t="s">
        <v>4362</v>
      </c>
      <c r="S209" s="50" t="str">
        <f t="shared" si="3"/>
        <v>YES</v>
      </c>
    </row>
    <row r="210" spans="1:19" ht="14.5" x14ac:dyDescent="0.25">
      <c r="A210" s="584" t="s">
        <v>2846</v>
      </c>
      <c r="B210" s="50" t="s">
        <v>3641</v>
      </c>
      <c r="C210" s="50" t="s">
        <v>3704</v>
      </c>
      <c r="D210" s="57" t="s">
        <v>2846</v>
      </c>
      <c r="E210" s="50" t="s">
        <v>3573</v>
      </c>
      <c r="F210" s="50" t="s">
        <v>3705</v>
      </c>
      <c r="G210" s="50" t="s">
        <v>3706</v>
      </c>
      <c r="H210" s="50" t="s">
        <v>3563</v>
      </c>
      <c r="I210" s="50" t="s">
        <v>2817</v>
      </c>
      <c r="J210" s="50"/>
      <c r="K210" s="586"/>
      <c r="L210" s="603" t="s">
        <v>3708</v>
      </c>
      <c r="M210" s="50" t="s">
        <v>3709</v>
      </c>
      <c r="N210" s="50"/>
      <c r="O210" s="50"/>
      <c r="P210" s="50" t="s">
        <v>2846</v>
      </c>
      <c r="Q210" s="585">
        <v>45790.801550925928</v>
      </c>
      <c r="R210" s="50" t="s">
        <v>4362</v>
      </c>
      <c r="S210" s="50" t="str">
        <f t="shared" si="3"/>
        <v>YES</v>
      </c>
    </row>
    <row r="211" spans="1:19" ht="14.5" x14ac:dyDescent="0.25">
      <c r="A211" s="584" t="s">
        <v>2897</v>
      </c>
      <c r="B211" s="50" t="s">
        <v>3256</v>
      </c>
      <c r="C211" s="50" t="s">
        <v>3692</v>
      </c>
      <c r="D211" s="57" t="s">
        <v>2897</v>
      </c>
      <c r="E211" s="50" t="s">
        <v>3690</v>
      </c>
      <c r="F211" s="50" t="s">
        <v>3690</v>
      </c>
      <c r="G211" s="50" t="s">
        <v>3690</v>
      </c>
      <c r="H211" s="50" t="s">
        <v>3690</v>
      </c>
      <c r="I211" s="50"/>
      <c r="J211" s="50"/>
      <c r="K211" s="50"/>
      <c r="L211" s="600" t="s">
        <v>3570</v>
      </c>
      <c r="M211" s="50" t="s">
        <v>3714</v>
      </c>
      <c r="N211" s="50"/>
      <c r="O211" s="50"/>
      <c r="P211" s="50" t="s">
        <v>2897</v>
      </c>
      <c r="Q211" s="585">
        <v>45799.451932870368</v>
      </c>
      <c r="R211" s="50" t="s">
        <v>4362</v>
      </c>
      <c r="S211" s="50" t="str">
        <f t="shared" si="3"/>
        <v>YES</v>
      </c>
    </row>
    <row r="212" spans="1:19" ht="14.5" x14ac:dyDescent="0.25">
      <c r="A212" s="584" t="s">
        <v>3884</v>
      </c>
      <c r="B212" s="50" t="s">
        <v>3518</v>
      </c>
      <c r="C212" s="50" t="s">
        <v>3882</v>
      </c>
      <c r="D212" s="57" t="s">
        <v>3884</v>
      </c>
      <c r="E212" s="50" t="s">
        <v>3617</v>
      </c>
      <c r="F212" s="50" t="s">
        <v>3618</v>
      </c>
      <c r="G212" s="50" t="s">
        <v>3816</v>
      </c>
      <c r="H212" s="50" t="s">
        <v>3563</v>
      </c>
      <c r="I212" s="50" t="s">
        <v>3817</v>
      </c>
      <c r="J212" s="50" t="s">
        <v>3818</v>
      </c>
      <c r="K212" s="586">
        <v>8.6999999999999994E-2</v>
      </c>
      <c r="L212" s="596" t="s">
        <v>3619</v>
      </c>
      <c r="M212" s="50" t="s">
        <v>3819</v>
      </c>
      <c r="N212" s="50">
        <v>16</v>
      </c>
      <c r="O212" s="50">
        <v>1</v>
      </c>
      <c r="P212" s="50" t="s">
        <v>2439</v>
      </c>
      <c r="Q212" s="585">
        <v>45803.738263888888</v>
      </c>
      <c r="R212" s="50" t="s">
        <v>4361</v>
      </c>
      <c r="S212" s="50" t="str">
        <f t="shared" si="3"/>
        <v>YES</v>
      </c>
    </row>
    <row r="213" spans="1:19" ht="14.5" x14ac:dyDescent="0.25">
      <c r="A213" s="584" t="s">
        <v>3883</v>
      </c>
      <c r="B213" s="50" t="s">
        <v>3520</v>
      </c>
      <c r="C213" s="50" t="s">
        <v>3882</v>
      </c>
      <c r="D213" s="57" t="s">
        <v>3883</v>
      </c>
      <c r="E213" s="50" t="s">
        <v>3617</v>
      </c>
      <c r="F213" s="50" t="s">
        <v>3618</v>
      </c>
      <c r="G213" s="50" t="s">
        <v>3816</v>
      </c>
      <c r="H213" s="50" t="s">
        <v>3563</v>
      </c>
      <c r="I213" s="50" t="s">
        <v>3817</v>
      </c>
      <c r="J213" s="50" t="s">
        <v>3818</v>
      </c>
      <c r="K213" s="586">
        <v>8.6999999999999994E-2</v>
      </c>
      <c r="L213" s="596" t="s">
        <v>3619</v>
      </c>
      <c r="M213" s="50" t="s">
        <v>3819</v>
      </c>
      <c r="N213" s="50">
        <v>16</v>
      </c>
      <c r="O213" s="50">
        <v>1</v>
      </c>
      <c r="P213" s="50" t="s">
        <v>2443</v>
      </c>
      <c r="Q213" s="585">
        <v>45804.445787037039</v>
      </c>
      <c r="R213" s="50" t="s">
        <v>4361</v>
      </c>
      <c r="S213" s="50" t="str">
        <f t="shared" si="3"/>
        <v>YES</v>
      </c>
    </row>
    <row r="214" spans="1:19" ht="14.5" x14ac:dyDescent="0.25">
      <c r="A214" s="584" t="s">
        <v>3881</v>
      </c>
      <c r="B214" s="50" t="s">
        <v>3519</v>
      </c>
      <c r="C214" s="50" t="s">
        <v>3882</v>
      </c>
      <c r="D214" s="57" t="s">
        <v>3881</v>
      </c>
      <c r="E214" s="50" t="s">
        <v>3617</v>
      </c>
      <c r="F214" s="50" t="s">
        <v>3618</v>
      </c>
      <c r="G214" s="50" t="s">
        <v>3816</v>
      </c>
      <c r="H214" s="50" t="s">
        <v>3563</v>
      </c>
      <c r="I214" s="50" t="s">
        <v>3817</v>
      </c>
      <c r="J214" s="50" t="s">
        <v>3818</v>
      </c>
      <c r="K214" s="586">
        <v>8.6999999999999994E-2</v>
      </c>
      <c r="L214" s="596" t="s">
        <v>3619</v>
      </c>
      <c r="M214" s="50" t="s">
        <v>3819</v>
      </c>
      <c r="N214" s="50">
        <v>16</v>
      </c>
      <c r="O214" s="50">
        <v>1</v>
      </c>
      <c r="P214" s="50" t="s">
        <v>2441</v>
      </c>
      <c r="Q214" s="585">
        <v>45804.456203703703</v>
      </c>
      <c r="R214" s="50" t="s">
        <v>4361</v>
      </c>
      <c r="S214" s="50" t="str">
        <f t="shared" si="3"/>
        <v>YES</v>
      </c>
    </row>
    <row r="215" spans="1:19" ht="14.5" x14ac:dyDescent="0.25">
      <c r="A215" s="584" t="s">
        <v>3874</v>
      </c>
      <c r="B215" s="50" t="s">
        <v>3875</v>
      </c>
      <c r="C215" s="50" t="s">
        <v>3876</v>
      </c>
      <c r="D215" s="57" t="s">
        <v>3877</v>
      </c>
      <c r="E215" s="50" t="s">
        <v>3878</v>
      </c>
      <c r="F215" s="50" t="s">
        <v>3878</v>
      </c>
      <c r="G215" s="50" t="s">
        <v>3878</v>
      </c>
      <c r="H215" s="50" t="s">
        <v>3712</v>
      </c>
      <c r="I215" s="50"/>
      <c r="J215" s="50"/>
      <c r="K215" s="586"/>
      <c r="L215" s="593" t="s">
        <v>3879</v>
      </c>
      <c r="M215" s="50" t="s">
        <v>3880</v>
      </c>
      <c r="N215" s="50"/>
      <c r="O215" s="50"/>
      <c r="P215" s="50" t="s">
        <v>2835</v>
      </c>
      <c r="Q215" s="585">
        <v>45805.604421296295</v>
      </c>
      <c r="R215" s="50" t="s">
        <v>4362</v>
      </c>
      <c r="S215" s="50" t="str">
        <f t="shared" si="3"/>
        <v>YES</v>
      </c>
    </row>
    <row r="216" spans="1:19" ht="14.5" x14ac:dyDescent="0.25">
      <c r="A216" s="584" t="s">
        <v>3868</v>
      </c>
      <c r="B216" s="50" t="s">
        <v>3869</v>
      </c>
      <c r="C216" s="50" t="s">
        <v>3870</v>
      </c>
      <c r="D216" s="57" t="s">
        <v>3871</v>
      </c>
      <c r="E216" s="50" t="s">
        <v>3617</v>
      </c>
      <c r="F216" s="50" t="s">
        <v>3618</v>
      </c>
      <c r="G216" s="50" t="s">
        <v>3816</v>
      </c>
      <c r="H216" s="50" t="s">
        <v>3872</v>
      </c>
      <c r="I216" s="50" t="s">
        <v>3817</v>
      </c>
      <c r="J216" s="50"/>
      <c r="K216" s="586"/>
      <c r="L216" s="599" t="s">
        <v>3873</v>
      </c>
      <c r="M216" s="50" t="s">
        <v>3819</v>
      </c>
      <c r="N216" s="50"/>
      <c r="O216" s="50"/>
      <c r="P216" s="50" t="s">
        <v>2914</v>
      </c>
      <c r="Q216" s="585">
        <v>45826.444027777776</v>
      </c>
      <c r="R216" s="50" t="s">
        <v>4362</v>
      </c>
      <c r="S216" s="50" t="str">
        <f t="shared" si="3"/>
        <v>YES</v>
      </c>
    </row>
    <row r="217" spans="1:19" ht="14.5" x14ac:dyDescent="0.25">
      <c r="A217" s="584" t="s">
        <v>2889</v>
      </c>
      <c r="B217" s="50" t="s">
        <v>3640</v>
      </c>
      <c r="C217" s="50" t="s">
        <v>3856</v>
      </c>
      <c r="D217" s="57" t="s">
        <v>3867</v>
      </c>
      <c r="E217" s="50" t="s">
        <v>3858</v>
      </c>
      <c r="F217" s="50" t="s">
        <v>3858</v>
      </c>
      <c r="G217" s="50" t="s">
        <v>3858</v>
      </c>
      <c r="H217" s="50" t="s">
        <v>3712</v>
      </c>
      <c r="I217" s="50" t="s">
        <v>2817</v>
      </c>
      <c r="J217" s="50" t="s">
        <v>3713</v>
      </c>
      <c r="K217" s="586">
        <v>8.1000000000000003E-2</v>
      </c>
      <c r="L217" s="604" t="s">
        <v>3632</v>
      </c>
      <c r="M217" s="50" t="s">
        <v>3859</v>
      </c>
      <c r="N217" s="50">
        <v>120</v>
      </c>
      <c r="O217" s="50">
        <v>1</v>
      </c>
      <c r="P217" s="50" t="s">
        <v>2889</v>
      </c>
      <c r="Q217" s="585">
        <v>45833.640439814815</v>
      </c>
      <c r="R217" s="50" t="s">
        <v>4373</v>
      </c>
      <c r="S217" s="50" t="str">
        <f t="shared" si="3"/>
        <v>YES</v>
      </c>
    </row>
    <row r="218" spans="1:19" ht="14.5" x14ac:dyDescent="0.25">
      <c r="A218" s="584" t="s">
        <v>2893</v>
      </c>
      <c r="B218" s="50" t="s">
        <v>3639</v>
      </c>
      <c r="C218" s="50" t="s">
        <v>3856</v>
      </c>
      <c r="D218" s="57" t="s">
        <v>3866</v>
      </c>
      <c r="E218" s="50" t="s">
        <v>3858</v>
      </c>
      <c r="F218" s="50" t="s">
        <v>3858</v>
      </c>
      <c r="G218" s="50" t="s">
        <v>3858</v>
      </c>
      <c r="H218" s="50" t="s">
        <v>3712</v>
      </c>
      <c r="I218" s="50" t="s">
        <v>2817</v>
      </c>
      <c r="J218" s="50" t="s">
        <v>3713</v>
      </c>
      <c r="K218" s="586">
        <v>8.1000000000000003E-2</v>
      </c>
      <c r="L218" s="604" t="s">
        <v>3632</v>
      </c>
      <c r="M218" s="50" t="s">
        <v>3859</v>
      </c>
      <c r="N218" s="50">
        <v>120</v>
      </c>
      <c r="O218" s="50">
        <v>1</v>
      </c>
      <c r="P218" s="50" t="s">
        <v>2893</v>
      </c>
      <c r="Q218" s="585">
        <v>45833.650682870371</v>
      </c>
      <c r="R218" s="50" t="s">
        <v>4373</v>
      </c>
      <c r="S218" s="50" t="str">
        <f t="shared" si="3"/>
        <v>YES</v>
      </c>
    </row>
    <row r="219" spans="1:19" ht="14.5" x14ac:dyDescent="0.25">
      <c r="A219" s="584" t="s">
        <v>2850</v>
      </c>
      <c r="B219" s="50" t="s">
        <v>3638</v>
      </c>
      <c r="C219" s="50" t="s">
        <v>3704</v>
      </c>
      <c r="D219" s="57" t="s">
        <v>2850</v>
      </c>
      <c r="E219" s="50" t="s">
        <v>3573</v>
      </c>
      <c r="F219" s="50" t="s">
        <v>3705</v>
      </c>
      <c r="G219" s="50" t="s">
        <v>3706</v>
      </c>
      <c r="H219" s="50" t="s">
        <v>3563</v>
      </c>
      <c r="I219" s="50" t="s">
        <v>2817</v>
      </c>
      <c r="J219" s="50"/>
      <c r="K219" s="586"/>
      <c r="L219" s="595" t="s">
        <v>3602</v>
      </c>
      <c r="M219" s="50" t="s">
        <v>3739</v>
      </c>
      <c r="N219" s="50"/>
      <c r="O219" s="50"/>
      <c r="P219" s="50" t="s">
        <v>2850</v>
      </c>
      <c r="Q219" s="585">
        <v>45834.780925925923</v>
      </c>
      <c r="R219" s="50" t="s">
        <v>4362</v>
      </c>
      <c r="S219" s="50" t="str">
        <f t="shared" si="3"/>
        <v>YES</v>
      </c>
    </row>
    <row r="220" spans="1:19" ht="14.5" x14ac:dyDescent="0.25">
      <c r="A220" s="584" t="s">
        <v>3865</v>
      </c>
      <c r="B220" s="50" t="s">
        <v>3446</v>
      </c>
      <c r="C220" s="50" t="s">
        <v>3694</v>
      </c>
      <c r="D220" s="57" t="s">
        <v>3865</v>
      </c>
      <c r="E220" s="50" t="s">
        <v>3560</v>
      </c>
      <c r="F220" s="50" t="s">
        <v>3561</v>
      </c>
      <c r="G220" s="50" t="s">
        <v>3745</v>
      </c>
      <c r="H220" s="50" t="s">
        <v>3563</v>
      </c>
      <c r="I220" s="50" t="s">
        <v>2817</v>
      </c>
      <c r="J220" s="50" t="s">
        <v>2818</v>
      </c>
      <c r="K220" s="586">
        <v>8.1000000000000003E-2</v>
      </c>
      <c r="L220" s="591" t="s">
        <v>3564</v>
      </c>
      <c r="M220" s="50" t="s">
        <v>3701</v>
      </c>
      <c r="N220" s="50">
        <v>30</v>
      </c>
      <c r="O220" s="50">
        <v>1</v>
      </c>
      <c r="P220" s="50" t="s">
        <v>3865</v>
      </c>
      <c r="Q220" s="585">
        <v>45834.783472222225</v>
      </c>
      <c r="R220" s="50" t="s">
        <v>3562</v>
      </c>
      <c r="S220" s="50" t="str">
        <f t="shared" si="3"/>
        <v>YES</v>
      </c>
    </row>
    <row r="221" spans="1:19" ht="14.5" x14ac:dyDescent="0.25">
      <c r="A221" s="584" t="s">
        <v>3864</v>
      </c>
      <c r="B221" s="50" t="s">
        <v>3637</v>
      </c>
      <c r="C221" s="50" t="s">
        <v>3778</v>
      </c>
      <c r="D221" s="57" t="s">
        <v>3864</v>
      </c>
      <c r="E221" s="50" t="s">
        <v>3560</v>
      </c>
      <c r="F221" s="50" t="s">
        <v>3567</v>
      </c>
      <c r="G221" s="50" t="s">
        <v>3729</v>
      </c>
      <c r="H221" s="50" t="s">
        <v>3712</v>
      </c>
      <c r="I221" s="50" t="s">
        <v>2817</v>
      </c>
      <c r="J221" s="50" t="s">
        <v>2818</v>
      </c>
      <c r="K221" s="586">
        <v>8.1000000000000003E-2</v>
      </c>
      <c r="L221" s="600" t="s">
        <v>3570</v>
      </c>
      <c r="M221" s="50" t="s">
        <v>3714</v>
      </c>
      <c r="N221" s="50">
        <v>12</v>
      </c>
      <c r="O221" s="50">
        <v>1</v>
      </c>
      <c r="P221" s="50" t="s">
        <v>2872</v>
      </c>
      <c r="Q221" s="585">
        <v>45859.796770833331</v>
      </c>
      <c r="R221" s="50" t="s">
        <v>3590</v>
      </c>
      <c r="S221" s="50" t="str">
        <f t="shared" si="3"/>
        <v>YES</v>
      </c>
    </row>
    <row r="222" spans="1:19" ht="14.5" x14ac:dyDescent="0.25">
      <c r="A222" s="584" t="s">
        <v>3863</v>
      </c>
      <c r="B222" s="50" t="s">
        <v>3636</v>
      </c>
      <c r="C222" s="50" t="s">
        <v>3778</v>
      </c>
      <c r="D222" s="57" t="s">
        <v>3863</v>
      </c>
      <c r="E222" s="50" t="s">
        <v>3560</v>
      </c>
      <c r="F222" s="50" t="s">
        <v>3567</v>
      </c>
      <c r="G222" s="50" t="s">
        <v>3729</v>
      </c>
      <c r="H222" s="50" t="s">
        <v>3712</v>
      </c>
      <c r="I222" s="50" t="s">
        <v>2817</v>
      </c>
      <c r="J222" s="50" t="s">
        <v>2818</v>
      </c>
      <c r="K222" s="586">
        <v>8.1000000000000003E-2</v>
      </c>
      <c r="L222" s="600" t="s">
        <v>3570</v>
      </c>
      <c r="M222" s="50" t="s">
        <v>3714</v>
      </c>
      <c r="N222" s="50">
        <v>12</v>
      </c>
      <c r="O222" s="50">
        <v>1</v>
      </c>
      <c r="P222" s="50" t="s">
        <v>2871</v>
      </c>
      <c r="Q222" s="585">
        <v>45859.798900462964</v>
      </c>
      <c r="R222" s="50" t="s">
        <v>3590</v>
      </c>
      <c r="S222" s="50" t="str">
        <f t="shared" si="3"/>
        <v>YES</v>
      </c>
    </row>
    <row r="223" spans="1:19" ht="14.5" x14ac:dyDescent="0.25">
      <c r="A223" s="584" t="s">
        <v>2894</v>
      </c>
      <c r="B223" s="50" t="s">
        <v>3635</v>
      </c>
      <c r="C223" s="50" t="s">
        <v>3856</v>
      </c>
      <c r="D223" s="57" t="s">
        <v>3862</v>
      </c>
      <c r="E223" s="50" t="s">
        <v>3858</v>
      </c>
      <c r="F223" s="50" t="s">
        <v>3858</v>
      </c>
      <c r="G223" s="50" t="s">
        <v>3858</v>
      </c>
      <c r="H223" s="50" t="s">
        <v>3712</v>
      </c>
      <c r="I223" s="50" t="s">
        <v>2817</v>
      </c>
      <c r="J223" s="50" t="s">
        <v>3713</v>
      </c>
      <c r="K223" s="586">
        <v>8.1000000000000003E-2</v>
      </c>
      <c r="L223" s="604" t="s">
        <v>3632</v>
      </c>
      <c r="M223" s="50" t="s">
        <v>3859</v>
      </c>
      <c r="N223" s="50">
        <v>120</v>
      </c>
      <c r="O223" s="50">
        <v>1</v>
      </c>
      <c r="P223" s="50" t="s">
        <v>2894</v>
      </c>
      <c r="Q223" s="585">
        <v>45860.757222222222</v>
      </c>
      <c r="R223" s="50" t="s">
        <v>4373</v>
      </c>
      <c r="S223" s="50" t="str">
        <f t="shared" si="3"/>
        <v>YES</v>
      </c>
    </row>
    <row r="224" spans="1:19" ht="14.5" x14ac:dyDescent="0.25">
      <c r="A224" s="584" t="s">
        <v>2890</v>
      </c>
      <c r="B224" s="50" t="s">
        <v>3634</v>
      </c>
      <c r="C224" s="50" t="s">
        <v>3856</v>
      </c>
      <c r="D224" s="57" t="s">
        <v>3861</v>
      </c>
      <c r="E224" s="50" t="s">
        <v>3858</v>
      </c>
      <c r="F224" s="50" t="s">
        <v>3858</v>
      </c>
      <c r="G224" s="50" t="s">
        <v>3858</v>
      </c>
      <c r="H224" s="50" t="s">
        <v>3712</v>
      </c>
      <c r="I224" s="50" t="s">
        <v>2817</v>
      </c>
      <c r="J224" s="50" t="s">
        <v>3713</v>
      </c>
      <c r="K224" s="586">
        <v>8.1000000000000003E-2</v>
      </c>
      <c r="L224" s="604" t="s">
        <v>3632</v>
      </c>
      <c r="M224" s="50" t="s">
        <v>3859</v>
      </c>
      <c r="N224" s="50">
        <v>120</v>
      </c>
      <c r="O224" s="50">
        <v>1</v>
      </c>
      <c r="P224" s="50" t="s">
        <v>2890</v>
      </c>
      <c r="Q224" s="585">
        <v>45860.759247685186</v>
      </c>
      <c r="R224" s="50" t="s">
        <v>4373</v>
      </c>
      <c r="S224" s="50" t="str">
        <f t="shared" si="3"/>
        <v>YES</v>
      </c>
    </row>
    <row r="225" spans="1:19" ht="14.5" x14ac:dyDescent="0.25">
      <c r="A225" s="584" t="s">
        <v>2892</v>
      </c>
      <c r="B225" s="50" t="s">
        <v>3633</v>
      </c>
      <c r="C225" s="50" t="s">
        <v>3856</v>
      </c>
      <c r="D225" s="57" t="s">
        <v>3860</v>
      </c>
      <c r="E225" s="50" t="s">
        <v>3858</v>
      </c>
      <c r="F225" s="50" t="s">
        <v>3858</v>
      </c>
      <c r="G225" s="50" t="s">
        <v>3858</v>
      </c>
      <c r="H225" s="50" t="s">
        <v>3712</v>
      </c>
      <c r="I225" s="50" t="s">
        <v>2817</v>
      </c>
      <c r="J225" s="50" t="s">
        <v>3713</v>
      </c>
      <c r="K225" s="586">
        <v>8.1000000000000003E-2</v>
      </c>
      <c r="L225" s="604" t="s">
        <v>3632</v>
      </c>
      <c r="M225" s="50" t="s">
        <v>3859</v>
      </c>
      <c r="N225" s="50">
        <v>120</v>
      </c>
      <c r="O225" s="50">
        <v>2</v>
      </c>
      <c r="P225" s="50" t="s">
        <v>2892</v>
      </c>
      <c r="Q225" s="585">
        <v>45860.761423611111</v>
      </c>
      <c r="R225" s="50" t="s">
        <v>4373</v>
      </c>
      <c r="S225" s="50" t="str">
        <f t="shared" si="3"/>
        <v>YES</v>
      </c>
    </row>
    <row r="226" spans="1:19" ht="14.5" x14ac:dyDescent="0.25">
      <c r="A226" s="584" t="s">
        <v>2891</v>
      </c>
      <c r="B226" s="50" t="s">
        <v>3631</v>
      </c>
      <c r="C226" s="50" t="s">
        <v>3856</v>
      </c>
      <c r="D226" s="57" t="s">
        <v>3857</v>
      </c>
      <c r="E226" s="50" t="s">
        <v>3858</v>
      </c>
      <c r="F226" s="50" t="s">
        <v>3858</v>
      </c>
      <c r="G226" s="50" t="s">
        <v>3858</v>
      </c>
      <c r="H226" s="50" t="s">
        <v>3712</v>
      </c>
      <c r="I226" s="50" t="s">
        <v>2817</v>
      </c>
      <c r="J226" s="50" t="s">
        <v>3713</v>
      </c>
      <c r="K226" s="586">
        <v>8.1000000000000003E-2</v>
      </c>
      <c r="L226" s="604" t="s">
        <v>3632</v>
      </c>
      <c r="M226" s="50" t="s">
        <v>3859</v>
      </c>
      <c r="N226" s="50">
        <v>120</v>
      </c>
      <c r="O226" s="50">
        <v>2</v>
      </c>
      <c r="P226" s="50" t="s">
        <v>2891</v>
      </c>
      <c r="Q226" s="585">
        <v>45860.762789351851</v>
      </c>
      <c r="R226" s="50" t="s">
        <v>4373</v>
      </c>
      <c r="S226" s="50" t="str">
        <f t="shared" si="3"/>
        <v>YES</v>
      </c>
    </row>
    <row r="227" spans="1:19" ht="14.5" x14ac:dyDescent="0.25">
      <c r="A227" s="584" t="s">
        <v>3852</v>
      </c>
      <c r="B227" s="50" t="s">
        <v>3464</v>
      </c>
      <c r="C227" s="50" t="s">
        <v>3853</v>
      </c>
      <c r="D227" s="57" t="s">
        <v>3852</v>
      </c>
      <c r="E227" s="50" t="s">
        <v>3617</v>
      </c>
      <c r="F227" s="50" t="s">
        <v>3629</v>
      </c>
      <c r="G227" s="50" t="s">
        <v>3854</v>
      </c>
      <c r="H227" s="50" t="s">
        <v>3569</v>
      </c>
      <c r="I227" s="50" t="s">
        <v>3817</v>
      </c>
      <c r="J227" s="50" t="s">
        <v>3818</v>
      </c>
      <c r="K227" s="586">
        <v>8.6999999999999994E-2</v>
      </c>
      <c r="L227" s="601" t="s">
        <v>3630</v>
      </c>
      <c r="M227" s="50" t="s">
        <v>3855</v>
      </c>
      <c r="N227" s="50">
        <v>16</v>
      </c>
      <c r="O227" s="50">
        <v>1</v>
      </c>
      <c r="P227" s="50" t="s">
        <v>1994</v>
      </c>
      <c r="Q227" s="585">
        <v>45861.470752314817</v>
      </c>
      <c r="R227" s="50" t="s">
        <v>4364</v>
      </c>
      <c r="S227" s="50" t="str">
        <f t="shared" si="3"/>
        <v>YES</v>
      </c>
    </row>
    <row r="228" spans="1:19" ht="14.5" x14ac:dyDescent="0.25">
      <c r="A228" s="584" t="s">
        <v>2854</v>
      </c>
      <c r="B228" s="50" t="s">
        <v>3628</v>
      </c>
      <c r="C228" s="50" t="s">
        <v>3704</v>
      </c>
      <c r="D228" s="57" t="s">
        <v>2854</v>
      </c>
      <c r="E228" s="50" t="s">
        <v>3573</v>
      </c>
      <c r="F228" s="50" t="s">
        <v>3705</v>
      </c>
      <c r="G228" s="50" t="s">
        <v>3706</v>
      </c>
      <c r="H228" s="50" t="s">
        <v>3563</v>
      </c>
      <c r="I228" s="50" t="s">
        <v>2817</v>
      </c>
      <c r="J228" s="50"/>
      <c r="K228" s="586"/>
      <c r="L228" s="603" t="s">
        <v>3708</v>
      </c>
      <c r="M228" s="50" t="s">
        <v>3709</v>
      </c>
      <c r="N228" s="50"/>
      <c r="O228" s="50"/>
      <c r="P228" s="50" t="s">
        <v>2854</v>
      </c>
      <c r="Q228" s="585">
        <v>45866.571828703702</v>
      </c>
      <c r="R228" s="50" t="s">
        <v>4362</v>
      </c>
      <c r="S228" s="50" t="str">
        <f t="shared" si="3"/>
        <v>YES</v>
      </c>
    </row>
    <row r="229" spans="1:19" ht="14.5" x14ac:dyDescent="0.25">
      <c r="A229" s="584" t="s">
        <v>3850</v>
      </c>
      <c r="B229" s="50" t="s">
        <v>3456</v>
      </c>
      <c r="C229" s="50" t="s">
        <v>3732</v>
      </c>
      <c r="D229" s="57" t="s">
        <v>1879</v>
      </c>
      <c r="E229" s="50" t="s">
        <v>3560</v>
      </c>
      <c r="F229" s="50" t="s">
        <v>3561</v>
      </c>
      <c r="G229" s="50" t="s">
        <v>3745</v>
      </c>
      <c r="H229" s="50" t="s">
        <v>3563</v>
      </c>
      <c r="I229" s="50" t="s">
        <v>3759</v>
      </c>
      <c r="J229" s="50" t="s">
        <v>2818</v>
      </c>
      <c r="K229" s="586">
        <v>8.1000000000000003E-2</v>
      </c>
      <c r="L229" s="591" t="s">
        <v>3564</v>
      </c>
      <c r="M229" s="50" t="s">
        <v>3701</v>
      </c>
      <c r="N229" s="50">
        <v>20</v>
      </c>
      <c r="O229" s="50">
        <v>2</v>
      </c>
      <c r="P229" s="50" t="s">
        <v>3851</v>
      </c>
      <c r="Q229" s="585">
        <v>45866.740995370368</v>
      </c>
      <c r="R229" s="50" t="s">
        <v>3562</v>
      </c>
      <c r="S229" s="50" t="str">
        <f t="shared" si="3"/>
        <v>YES</v>
      </c>
    </row>
    <row r="230" spans="1:19" ht="14.5" x14ac:dyDescent="0.25">
      <c r="A230" s="584" t="s">
        <v>2849</v>
      </c>
      <c r="B230" s="50" t="s">
        <v>3627</v>
      </c>
      <c r="C230" s="50" t="s">
        <v>3704</v>
      </c>
      <c r="D230" s="57" t="s">
        <v>2849</v>
      </c>
      <c r="E230" s="50" t="s">
        <v>3573</v>
      </c>
      <c r="F230" s="50" t="s">
        <v>3705</v>
      </c>
      <c r="G230" s="50" t="s">
        <v>3706</v>
      </c>
      <c r="H230" s="50" t="s">
        <v>3563</v>
      </c>
      <c r="I230" s="50" t="s">
        <v>2817</v>
      </c>
      <c r="J230" s="50"/>
      <c r="K230" s="586"/>
      <c r="L230" s="603" t="s">
        <v>3708</v>
      </c>
      <c r="M230" s="50" t="s">
        <v>3709</v>
      </c>
      <c r="N230" s="50"/>
      <c r="O230" s="50"/>
      <c r="P230" s="50" t="s">
        <v>2849</v>
      </c>
      <c r="Q230" s="585">
        <v>45869.694861111115</v>
      </c>
      <c r="R230" s="50" t="s">
        <v>4362</v>
      </c>
      <c r="S230" s="50" t="str">
        <f t="shared" si="3"/>
        <v>YES</v>
      </c>
    </row>
    <row r="231" spans="1:19" ht="14.5" x14ac:dyDescent="0.25">
      <c r="A231" s="584" t="s">
        <v>2844</v>
      </c>
      <c r="B231" s="50" t="s">
        <v>3626</v>
      </c>
      <c r="C231" s="50" t="s">
        <v>3704</v>
      </c>
      <c r="D231" s="57" t="s">
        <v>2844</v>
      </c>
      <c r="E231" s="50" t="s">
        <v>3573</v>
      </c>
      <c r="F231" s="50" t="s">
        <v>3705</v>
      </c>
      <c r="G231" s="50" t="s">
        <v>3706</v>
      </c>
      <c r="H231" s="50" t="s">
        <v>3563</v>
      </c>
      <c r="I231" s="50" t="s">
        <v>2817</v>
      </c>
      <c r="J231" s="50"/>
      <c r="K231" s="586"/>
      <c r="L231" s="603" t="s">
        <v>3708</v>
      </c>
      <c r="M231" s="50" t="s">
        <v>3709</v>
      </c>
      <c r="N231" s="50"/>
      <c r="O231" s="50"/>
      <c r="P231" s="50" t="s">
        <v>2844</v>
      </c>
      <c r="Q231" s="585">
        <v>45869.740428240744</v>
      </c>
      <c r="R231" s="50" t="s">
        <v>4362</v>
      </c>
      <c r="S231" s="50" t="str">
        <f t="shared" si="3"/>
        <v>YES</v>
      </c>
    </row>
    <row r="232" spans="1:19" ht="14.5" x14ac:dyDescent="0.25">
      <c r="A232" s="584" t="s">
        <v>2847</v>
      </c>
      <c r="B232" s="50" t="s">
        <v>3625</v>
      </c>
      <c r="C232" s="50" t="s">
        <v>3704</v>
      </c>
      <c r="D232" s="57" t="s">
        <v>2847</v>
      </c>
      <c r="E232" s="50" t="s">
        <v>3573</v>
      </c>
      <c r="F232" s="50" t="s">
        <v>3705</v>
      </c>
      <c r="G232" s="50" t="s">
        <v>3706</v>
      </c>
      <c r="H232" s="50" t="s">
        <v>3563</v>
      </c>
      <c r="I232" s="50" t="s">
        <v>2817</v>
      </c>
      <c r="J232" s="50"/>
      <c r="K232" s="586"/>
      <c r="L232" s="603" t="s">
        <v>3708</v>
      </c>
      <c r="M232" s="50" t="s">
        <v>3709</v>
      </c>
      <c r="N232" s="50"/>
      <c r="O232" s="50"/>
      <c r="P232" s="50" t="s">
        <v>2847</v>
      </c>
      <c r="Q232" s="585">
        <v>45880.647974537038</v>
      </c>
      <c r="R232" s="50" t="s">
        <v>4362</v>
      </c>
      <c r="S232" s="50" t="str">
        <f t="shared" si="3"/>
        <v>YES</v>
      </c>
    </row>
    <row r="233" spans="1:19" ht="14.5" x14ac:dyDescent="0.25">
      <c r="A233" s="584" t="s">
        <v>3847</v>
      </c>
      <c r="B233" s="50" t="s">
        <v>3452</v>
      </c>
      <c r="C233" s="605" t="s">
        <v>3848</v>
      </c>
      <c r="D233" s="57" t="s">
        <v>3849</v>
      </c>
      <c r="E233" s="50" t="s">
        <v>3560</v>
      </c>
      <c r="F233" s="50" t="s">
        <v>3561</v>
      </c>
      <c r="G233" s="50" t="s">
        <v>3745</v>
      </c>
      <c r="H233" s="50" t="s">
        <v>3563</v>
      </c>
      <c r="I233" s="50" t="s">
        <v>2817</v>
      </c>
      <c r="J233" s="50" t="s">
        <v>2818</v>
      </c>
      <c r="K233" s="586">
        <v>8.1000000000000003E-2</v>
      </c>
      <c r="L233" s="591" t="s">
        <v>3564</v>
      </c>
      <c r="M233" s="50" t="s">
        <v>3701</v>
      </c>
      <c r="N233" s="50">
        <v>30</v>
      </c>
      <c r="O233" s="50">
        <v>1</v>
      </c>
      <c r="P233" s="50" t="s">
        <v>3849</v>
      </c>
      <c r="Q233" s="585">
        <v>45880.696331018517</v>
      </c>
      <c r="R233" s="50" t="s">
        <v>3562</v>
      </c>
      <c r="S233" s="50" t="str">
        <f t="shared" si="3"/>
        <v>YES</v>
      </c>
    </row>
    <row r="234" spans="1:19" ht="14.5" x14ac:dyDescent="0.25">
      <c r="A234" s="584" t="s">
        <v>3845</v>
      </c>
      <c r="B234" s="50" t="s">
        <v>3454</v>
      </c>
      <c r="C234" s="605" t="s">
        <v>2867</v>
      </c>
      <c r="D234" s="57" t="s">
        <v>3846</v>
      </c>
      <c r="E234" s="50" t="s">
        <v>3560</v>
      </c>
      <c r="F234" s="50" t="s">
        <v>3561</v>
      </c>
      <c r="G234" s="50" t="s">
        <v>3745</v>
      </c>
      <c r="H234" s="50" t="s">
        <v>3563</v>
      </c>
      <c r="I234" s="50" t="s">
        <v>2817</v>
      </c>
      <c r="J234" s="50" t="s">
        <v>2818</v>
      </c>
      <c r="K234" s="586">
        <v>8.1000000000000003E-2</v>
      </c>
      <c r="L234" s="591" t="s">
        <v>3564</v>
      </c>
      <c r="M234" s="50" t="s">
        <v>3701</v>
      </c>
      <c r="N234" s="50">
        <v>30</v>
      </c>
      <c r="O234" s="50">
        <v>1</v>
      </c>
      <c r="P234" s="50" t="s">
        <v>3846</v>
      </c>
      <c r="Q234" s="585">
        <v>45880.704432870371</v>
      </c>
      <c r="R234" s="50" t="s">
        <v>3562</v>
      </c>
      <c r="S234" s="50" t="str">
        <f t="shared" si="3"/>
        <v>YES</v>
      </c>
    </row>
    <row r="235" spans="1:19" ht="14.5" x14ac:dyDescent="0.25">
      <c r="A235" s="584" t="s">
        <v>3843</v>
      </c>
      <c r="B235" s="50" t="s">
        <v>3451</v>
      </c>
      <c r="C235" s="605" t="s">
        <v>2868</v>
      </c>
      <c r="D235" s="57" t="s">
        <v>3844</v>
      </c>
      <c r="E235" s="50" t="s">
        <v>3560</v>
      </c>
      <c r="F235" s="50" t="s">
        <v>3561</v>
      </c>
      <c r="G235" s="50" t="s">
        <v>3762</v>
      </c>
      <c r="H235" s="50" t="s">
        <v>3563</v>
      </c>
      <c r="I235" s="50" t="s">
        <v>2817</v>
      </c>
      <c r="J235" s="50" t="s">
        <v>2818</v>
      </c>
      <c r="K235" s="586">
        <v>8.1000000000000003E-2</v>
      </c>
      <c r="L235" s="591" t="s">
        <v>3564</v>
      </c>
      <c r="M235" s="50" t="s">
        <v>3701</v>
      </c>
      <c r="N235" s="50">
        <v>16</v>
      </c>
      <c r="O235" s="50">
        <v>2</v>
      </c>
      <c r="P235" s="50" t="s">
        <v>1825</v>
      </c>
      <c r="Q235" s="585">
        <v>45880.710428240738</v>
      </c>
      <c r="R235" s="50" t="s">
        <v>4370</v>
      </c>
      <c r="S235" s="50" t="str">
        <f t="shared" si="3"/>
        <v>YES</v>
      </c>
    </row>
    <row r="236" spans="1:19" ht="14.5" x14ac:dyDescent="0.25">
      <c r="A236" s="584" t="s">
        <v>3841</v>
      </c>
      <c r="B236" s="50" t="s">
        <v>3453</v>
      </c>
      <c r="C236" s="605" t="s">
        <v>2868</v>
      </c>
      <c r="D236" s="57" t="s">
        <v>3842</v>
      </c>
      <c r="E236" s="50" t="s">
        <v>3560</v>
      </c>
      <c r="F236" s="50" t="s">
        <v>3561</v>
      </c>
      <c r="G236" s="50" t="s">
        <v>3745</v>
      </c>
      <c r="H236" s="50" t="s">
        <v>3563</v>
      </c>
      <c r="I236" s="50" t="s">
        <v>2817</v>
      </c>
      <c r="J236" s="50" t="s">
        <v>2818</v>
      </c>
      <c r="K236" s="586">
        <v>8.1000000000000003E-2</v>
      </c>
      <c r="L236" s="591" t="s">
        <v>3564</v>
      </c>
      <c r="M236" s="50" t="s">
        <v>3701</v>
      </c>
      <c r="N236" s="50">
        <v>30</v>
      </c>
      <c r="O236" s="50">
        <v>1</v>
      </c>
      <c r="P236" s="50" t="s">
        <v>3842</v>
      </c>
      <c r="Q236" s="585">
        <v>45880.712395833332</v>
      </c>
      <c r="R236" s="50" t="s">
        <v>3562</v>
      </c>
      <c r="S236" s="50" t="str">
        <f t="shared" si="3"/>
        <v>YES</v>
      </c>
    </row>
    <row r="237" spans="1:19" ht="14.5" x14ac:dyDescent="0.25">
      <c r="A237" s="584" t="s">
        <v>1902</v>
      </c>
      <c r="B237" s="50" t="s">
        <v>3457</v>
      </c>
      <c r="C237" s="605" t="s">
        <v>2867</v>
      </c>
      <c r="D237" s="57" t="s">
        <v>3840</v>
      </c>
      <c r="E237" s="50" t="s">
        <v>3560</v>
      </c>
      <c r="F237" s="50" t="s">
        <v>3561</v>
      </c>
      <c r="G237" s="50" t="s">
        <v>3745</v>
      </c>
      <c r="H237" s="50" t="s">
        <v>3563</v>
      </c>
      <c r="I237" s="50" t="s">
        <v>2817</v>
      </c>
      <c r="J237" s="50" t="s">
        <v>2818</v>
      </c>
      <c r="K237" s="586">
        <v>8.1000000000000003E-2</v>
      </c>
      <c r="L237" s="591" t="s">
        <v>3564</v>
      </c>
      <c r="M237" s="50" t="s">
        <v>3701</v>
      </c>
      <c r="N237" s="50">
        <v>30</v>
      </c>
      <c r="O237" s="50">
        <v>1</v>
      </c>
      <c r="P237" s="50" t="s">
        <v>3840</v>
      </c>
      <c r="Q237" s="585">
        <v>45889.688564814816</v>
      </c>
      <c r="R237" s="50" t="s">
        <v>3562</v>
      </c>
      <c r="S237" s="50" t="str">
        <f t="shared" si="3"/>
        <v>YES</v>
      </c>
    </row>
    <row r="238" spans="1:19" ht="14.5" x14ac:dyDescent="0.25">
      <c r="A238" s="584" t="s">
        <v>3839</v>
      </c>
      <c r="B238" s="50" t="s">
        <v>3455</v>
      </c>
      <c r="C238" s="50" t="s">
        <v>3700</v>
      </c>
      <c r="D238" s="57" t="s">
        <v>3839</v>
      </c>
      <c r="E238" s="50" t="s">
        <v>3560</v>
      </c>
      <c r="F238" s="50" t="s">
        <v>3561</v>
      </c>
      <c r="G238" s="50" t="s">
        <v>3745</v>
      </c>
      <c r="H238" s="50" t="s">
        <v>3563</v>
      </c>
      <c r="I238" s="50" t="s">
        <v>2817</v>
      </c>
      <c r="J238" s="50" t="s">
        <v>2818</v>
      </c>
      <c r="K238" s="586">
        <v>8.1000000000000003E-2</v>
      </c>
      <c r="L238" s="591" t="s">
        <v>3564</v>
      </c>
      <c r="M238" s="50" t="s">
        <v>3701</v>
      </c>
      <c r="N238" s="50">
        <v>30</v>
      </c>
      <c r="O238" s="50">
        <v>1</v>
      </c>
      <c r="P238" s="50" t="s">
        <v>3839</v>
      </c>
      <c r="Q238" s="585">
        <v>45894.663460648146</v>
      </c>
      <c r="R238" s="50" t="s">
        <v>3562</v>
      </c>
      <c r="S238" s="50" t="str">
        <f t="shared" ref="S238:S288" si="4">IF(A238=P238,"YES","NO")</f>
        <v>YES</v>
      </c>
    </row>
    <row r="239" spans="1:19" ht="14.5" x14ac:dyDescent="0.25">
      <c r="A239" s="584" t="s">
        <v>3838</v>
      </c>
      <c r="B239" s="50" t="s">
        <v>3466</v>
      </c>
      <c r="C239" s="50" t="s">
        <v>3694</v>
      </c>
      <c r="D239" s="57" t="s">
        <v>3838</v>
      </c>
      <c r="E239" s="50" t="s">
        <v>3560</v>
      </c>
      <c r="F239" s="50" t="s">
        <v>3561</v>
      </c>
      <c r="G239" s="50" t="s">
        <v>3745</v>
      </c>
      <c r="H239" s="50" t="s">
        <v>3563</v>
      </c>
      <c r="I239" s="50" t="s">
        <v>2817</v>
      </c>
      <c r="J239" s="50" t="s">
        <v>2818</v>
      </c>
      <c r="K239" s="586">
        <v>8.1000000000000003E-2</v>
      </c>
      <c r="L239" s="591" t="s">
        <v>3564</v>
      </c>
      <c r="M239" s="50" t="s">
        <v>3701</v>
      </c>
      <c r="N239" s="50">
        <v>20</v>
      </c>
      <c r="O239" s="50">
        <v>2</v>
      </c>
      <c r="P239" s="50" t="s">
        <v>3838</v>
      </c>
      <c r="Q239" s="585">
        <v>45900.888622685183</v>
      </c>
      <c r="R239" s="50" t="s">
        <v>3562</v>
      </c>
      <c r="S239" s="50" t="str">
        <f t="shared" si="4"/>
        <v>YES</v>
      </c>
    </row>
    <row r="240" spans="1:19" ht="14.5" x14ac:dyDescent="0.25">
      <c r="A240" s="584" t="s">
        <v>3837</v>
      </c>
      <c r="B240" s="50" t="s">
        <v>3461</v>
      </c>
      <c r="C240" s="605" t="s">
        <v>2867</v>
      </c>
      <c r="D240" s="57" t="s">
        <v>3837</v>
      </c>
      <c r="E240" s="50" t="s">
        <v>3560</v>
      </c>
      <c r="F240" s="50" t="s">
        <v>3561</v>
      </c>
      <c r="G240" s="50" t="s">
        <v>3745</v>
      </c>
      <c r="H240" s="50" t="s">
        <v>3563</v>
      </c>
      <c r="I240" s="50" t="s">
        <v>2817</v>
      </c>
      <c r="J240" s="50" t="s">
        <v>2818</v>
      </c>
      <c r="K240" s="586">
        <v>8.1000000000000003E-2</v>
      </c>
      <c r="L240" s="591" t="s">
        <v>3564</v>
      </c>
      <c r="M240" s="50" t="s">
        <v>3701</v>
      </c>
      <c r="N240" s="50">
        <v>20</v>
      </c>
      <c r="O240" s="50">
        <v>2</v>
      </c>
      <c r="P240" s="50" t="s">
        <v>3837</v>
      </c>
      <c r="Q240" s="585">
        <v>45900.889768518522</v>
      </c>
      <c r="R240" s="50" t="s">
        <v>3562</v>
      </c>
      <c r="S240" s="50" t="str">
        <f t="shared" si="4"/>
        <v>YES</v>
      </c>
    </row>
    <row r="241" spans="1:19" ht="14.5" x14ac:dyDescent="0.25">
      <c r="A241" s="584" t="s">
        <v>3836</v>
      </c>
      <c r="B241" s="50" t="s">
        <v>3460</v>
      </c>
      <c r="C241" s="50" t="s">
        <v>3721</v>
      </c>
      <c r="D241" s="57" t="s">
        <v>3836</v>
      </c>
      <c r="E241" s="50" t="s">
        <v>3573</v>
      </c>
      <c r="F241" s="50" t="s">
        <v>3705</v>
      </c>
      <c r="G241" s="50" t="s">
        <v>3742</v>
      </c>
      <c r="H241" s="50" t="s">
        <v>3563</v>
      </c>
      <c r="I241" s="50" t="s">
        <v>2817</v>
      </c>
      <c r="J241" s="50" t="s">
        <v>3707</v>
      </c>
      <c r="K241" s="586">
        <v>5.5E-2</v>
      </c>
      <c r="L241" s="603" t="s">
        <v>3708</v>
      </c>
      <c r="M241" s="50" t="s">
        <v>3709</v>
      </c>
      <c r="N241" s="50">
        <v>64</v>
      </c>
      <c r="O241" s="50">
        <v>1</v>
      </c>
      <c r="P241" s="50" t="s">
        <v>1929</v>
      </c>
      <c r="Q241" s="585">
        <v>45900.890868055554</v>
      </c>
      <c r="R241" s="50" t="s">
        <v>4376</v>
      </c>
      <c r="S241" s="50" t="str">
        <f t="shared" si="4"/>
        <v>YES</v>
      </c>
    </row>
    <row r="242" spans="1:19" ht="14.5" x14ac:dyDescent="0.25">
      <c r="A242" s="584" t="s">
        <v>3835</v>
      </c>
      <c r="B242" s="50" t="s">
        <v>3458</v>
      </c>
      <c r="C242" s="50" t="s">
        <v>3721</v>
      </c>
      <c r="D242" s="57" t="s">
        <v>3835</v>
      </c>
      <c r="E242" s="50" t="s">
        <v>3573</v>
      </c>
      <c r="F242" s="50" t="s">
        <v>3705</v>
      </c>
      <c r="G242" s="50" t="s">
        <v>3742</v>
      </c>
      <c r="H242" s="50" t="s">
        <v>3563</v>
      </c>
      <c r="I242" s="50" t="s">
        <v>2817</v>
      </c>
      <c r="J242" s="50" t="s">
        <v>3707</v>
      </c>
      <c r="K242" s="586">
        <v>5.5E-2</v>
      </c>
      <c r="L242" s="603" t="s">
        <v>3708</v>
      </c>
      <c r="M242" s="50" t="s">
        <v>3709</v>
      </c>
      <c r="N242" s="50">
        <v>64</v>
      </c>
      <c r="O242" s="50">
        <v>1</v>
      </c>
      <c r="P242" s="50" t="s">
        <v>1925</v>
      </c>
      <c r="Q242" s="585">
        <v>45900.891770833332</v>
      </c>
      <c r="R242" s="50" t="s">
        <v>4376</v>
      </c>
      <c r="S242" s="50" t="str">
        <f t="shared" si="4"/>
        <v>YES</v>
      </c>
    </row>
    <row r="243" spans="1:19" ht="14.5" x14ac:dyDescent="0.25">
      <c r="A243" s="584" t="s">
        <v>3834</v>
      </c>
      <c r="B243" s="50" t="s">
        <v>3459</v>
      </c>
      <c r="C243" s="50" t="s">
        <v>3721</v>
      </c>
      <c r="D243" s="57" t="s">
        <v>3834</v>
      </c>
      <c r="E243" s="50" t="s">
        <v>3573</v>
      </c>
      <c r="F243" s="50" t="s">
        <v>3705</v>
      </c>
      <c r="G243" s="50" t="s">
        <v>3742</v>
      </c>
      <c r="H243" s="50" t="s">
        <v>3563</v>
      </c>
      <c r="I243" s="50" t="s">
        <v>2817</v>
      </c>
      <c r="J243" s="50" t="s">
        <v>3707</v>
      </c>
      <c r="K243" s="586">
        <v>5.5E-2</v>
      </c>
      <c r="L243" s="603" t="s">
        <v>3708</v>
      </c>
      <c r="M243" s="50" t="s">
        <v>3709</v>
      </c>
      <c r="N243" s="50">
        <v>64</v>
      </c>
      <c r="O243" s="50">
        <v>1</v>
      </c>
      <c r="P243" s="50" t="s">
        <v>1927</v>
      </c>
      <c r="Q243" s="585">
        <v>45900.892812500002</v>
      </c>
      <c r="R243" s="50" t="s">
        <v>4376</v>
      </c>
      <c r="S243" s="50" t="str">
        <f t="shared" si="4"/>
        <v>YES</v>
      </c>
    </row>
    <row r="244" spans="1:19" ht="14.5" x14ac:dyDescent="0.25">
      <c r="A244" s="584" t="s">
        <v>3832</v>
      </c>
      <c r="B244" s="50" t="s">
        <v>3833</v>
      </c>
      <c r="C244" s="50" t="s">
        <v>3748</v>
      </c>
      <c r="D244" s="57" t="s">
        <v>3832</v>
      </c>
      <c r="E244" s="50" t="s">
        <v>3560</v>
      </c>
      <c r="F244" s="50" t="s">
        <v>3561</v>
      </c>
      <c r="G244" s="50" t="s">
        <v>3785</v>
      </c>
      <c r="H244" s="50" t="s">
        <v>3563</v>
      </c>
      <c r="I244" s="50" t="s">
        <v>2817</v>
      </c>
      <c r="J244" s="50" t="s">
        <v>2818</v>
      </c>
      <c r="K244" s="586">
        <v>8.1000000000000003E-2</v>
      </c>
      <c r="L244" s="591" t="s">
        <v>3564</v>
      </c>
      <c r="M244" s="50" t="s">
        <v>3701</v>
      </c>
      <c r="N244" s="50">
        <v>30</v>
      </c>
      <c r="O244" s="50">
        <v>1</v>
      </c>
      <c r="P244" s="50" t="s">
        <v>2279</v>
      </c>
      <c r="Q244" s="585">
        <v>45903.463356481479</v>
      </c>
      <c r="R244" s="50" t="s">
        <v>3615</v>
      </c>
      <c r="S244" s="50" t="str">
        <f t="shared" si="4"/>
        <v>YES</v>
      </c>
    </row>
    <row r="245" spans="1:19" ht="14.5" x14ac:dyDescent="0.25">
      <c r="A245" s="584" t="s">
        <v>3830</v>
      </c>
      <c r="B245" s="50" t="s">
        <v>3831</v>
      </c>
      <c r="C245" s="50" t="s">
        <v>3748</v>
      </c>
      <c r="D245" s="57" t="s">
        <v>3830</v>
      </c>
      <c r="E245" s="50" t="s">
        <v>3560</v>
      </c>
      <c r="F245" s="50" t="s">
        <v>3561</v>
      </c>
      <c r="G245" s="50" t="s">
        <v>3785</v>
      </c>
      <c r="H245" s="50" t="s">
        <v>3563</v>
      </c>
      <c r="I245" s="50" t="s">
        <v>2817</v>
      </c>
      <c r="J245" s="50" t="s">
        <v>2818</v>
      </c>
      <c r="K245" s="586">
        <v>8.1000000000000003E-2</v>
      </c>
      <c r="L245" s="591" t="s">
        <v>3564</v>
      </c>
      <c r="M245" s="50" t="s">
        <v>3701</v>
      </c>
      <c r="N245" s="50">
        <v>30</v>
      </c>
      <c r="O245" s="50">
        <v>1</v>
      </c>
      <c r="P245" s="50" t="s">
        <v>2281</v>
      </c>
      <c r="Q245" s="585">
        <v>45903.464837962965</v>
      </c>
      <c r="R245" s="50" t="s">
        <v>3615</v>
      </c>
      <c r="S245" s="50" t="str">
        <f t="shared" si="4"/>
        <v>YES</v>
      </c>
    </row>
    <row r="246" spans="1:19" ht="14.5" x14ac:dyDescent="0.25">
      <c r="A246" s="584" t="s">
        <v>2845</v>
      </c>
      <c r="B246" s="50" t="s">
        <v>3624</v>
      </c>
      <c r="C246" s="50" t="s">
        <v>3704</v>
      </c>
      <c r="D246" s="57" t="s">
        <v>2845</v>
      </c>
      <c r="E246" s="50" t="s">
        <v>3573</v>
      </c>
      <c r="F246" s="50" t="s">
        <v>3705</v>
      </c>
      <c r="G246" s="50" t="s">
        <v>3706</v>
      </c>
      <c r="H246" s="50" t="s">
        <v>3563</v>
      </c>
      <c r="I246" s="50" t="s">
        <v>2817</v>
      </c>
      <c r="J246" s="50"/>
      <c r="K246" s="586"/>
      <c r="L246" s="603" t="s">
        <v>3708</v>
      </c>
      <c r="M246" s="50" t="s">
        <v>3709</v>
      </c>
      <c r="N246" s="50"/>
      <c r="O246" s="50"/>
      <c r="P246" s="50" t="s">
        <v>2845</v>
      </c>
      <c r="Q246" s="585">
        <v>45904.595601851855</v>
      </c>
      <c r="R246" s="50" t="s">
        <v>4362</v>
      </c>
      <c r="S246" s="50" t="str">
        <f t="shared" si="4"/>
        <v>YES</v>
      </c>
    </row>
    <row r="247" spans="1:19" ht="14.5" x14ac:dyDescent="0.25">
      <c r="A247" s="584" t="s">
        <v>3828</v>
      </c>
      <c r="B247" s="50" t="s">
        <v>3829</v>
      </c>
      <c r="C247" s="50" t="s">
        <v>3826</v>
      </c>
      <c r="D247" s="57" t="s">
        <v>3828</v>
      </c>
      <c r="E247" s="50" t="s">
        <v>3560</v>
      </c>
      <c r="F247" s="50" t="s">
        <v>3711</v>
      </c>
      <c r="G247" s="50" t="s">
        <v>3827</v>
      </c>
      <c r="H247" s="50" t="s">
        <v>3712</v>
      </c>
      <c r="I247" s="50" t="s">
        <v>2817</v>
      </c>
      <c r="J247" s="50" t="s">
        <v>3713</v>
      </c>
      <c r="K247" s="586">
        <v>8.1000000000000003E-2</v>
      </c>
      <c r="L247" s="600" t="s">
        <v>3570</v>
      </c>
      <c r="M247" s="50" t="s">
        <v>3714</v>
      </c>
      <c r="N247" s="50">
        <v>90</v>
      </c>
      <c r="O247" s="50">
        <v>1</v>
      </c>
      <c r="P247" s="50" t="s">
        <v>1984</v>
      </c>
      <c r="Q247" s="585">
        <v>45909.681550925925</v>
      </c>
      <c r="R247" s="50" t="s">
        <v>3577</v>
      </c>
      <c r="S247" s="50" t="str">
        <f t="shared" si="4"/>
        <v>YES</v>
      </c>
    </row>
    <row r="248" spans="1:19" ht="14.5" x14ac:dyDescent="0.25">
      <c r="A248" s="584" t="s">
        <v>3824</v>
      </c>
      <c r="B248" s="50" t="s">
        <v>3825</v>
      </c>
      <c r="C248" s="50" t="s">
        <v>3826</v>
      </c>
      <c r="D248" s="57" t="s">
        <v>3824</v>
      </c>
      <c r="E248" s="50" t="s">
        <v>3560</v>
      </c>
      <c r="F248" s="50" t="s">
        <v>3711</v>
      </c>
      <c r="G248" s="50" t="s">
        <v>3827</v>
      </c>
      <c r="H248" s="50" t="s">
        <v>3712</v>
      </c>
      <c r="I248" s="50" t="s">
        <v>2817</v>
      </c>
      <c r="J248" s="50" t="s">
        <v>3713</v>
      </c>
      <c r="K248" s="586">
        <v>8.1000000000000003E-2</v>
      </c>
      <c r="L248" s="600" t="s">
        <v>3570</v>
      </c>
      <c r="M248" s="50" t="s">
        <v>3714</v>
      </c>
      <c r="N248" s="50">
        <v>90</v>
      </c>
      <c r="O248" s="50">
        <v>1</v>
      </c>
      <c r="P248" s="50" t="s">
        <v>1986</v>
      </c>
      <c r="Q248" s="585">
        <v>45909.684745370374</v>
      </c>
      <c r="R248" s="50" t="s">
        <v>3577</v>
      </c>
      <c r="S248" s="50" t="str">
        <f t="shared" si="4"/>
        <v>YES</v>
      </c>
    </row>
    <row r="249" spans="1:19" ht="14.5" x14ac:dyDescent="0.25">
      <c r="A249" s="584" t="s">
        <v>2750</v>
      </c>
      <c r="B249" s="50" t="s">
        <v>3623</v>
      </c>
      <c r="C249" s="50" t="s">
        <v>3692</v>
      </c>
      <c r="D249" s="57" t="s">
        <v>2750</v>
      </c>
      <c r="E249" s="50" t="s">
        <v>3690</v>
      </c>
      <c r="F249" s="50" t="s">
        <v>3690</v>
      </c>
      <c r="G249" s="50" t="s">
        <v>3690</v>
      </c>
      <c r="H249" s="50" t="s">
        <v>3690</v>
      </c>
      <c r="I249" s="50"/>
      <c r="J249" s="50"/>
      <c r="K249" s="50"/>
      <c r="L249" s="599" t="s">
        <v>3873</v>
      </c>
      <c r="M249" s="50" t="s">
        <v>3819</v>
      </c>
      <c r="N249" s="50"/>
      <c r="O249" s="50"/>
      <c r="P249" s="50" t="s">
        <v>2750</v>
      </c>
      <c r="Q249" s="585">
        <v>45911.685046296298</v>
      </c>
      <c r="R249" s="50" t="s">
        <v>4362</v>
      </c>
      <c r="S249" s="50" t="str">
        <f t="shared" si="4"/>
        <v>YES</v>
      </c>
    </row>
    <row r="250" spans="1:19" ht="14.5" x14ac:dyDescent="0.25">
      <c r="A250" s="584" t="s">
        <v>2756</v>
      </c>
      <c r="B250" s="50" t="s">
        <v>3622</v>
      </c>
      <c r="C250" s="50" t="s">
        <v>3692</v>
      </c>
      <c r="D250" s="57" t="s">
        <v>2756</v>
      </c>
      <c r="E250" s="50" t="s">
        <v>3690</v>
      </c>
      <c r="F250" s="50" t="s">
        <v>3690</v>
      </c>
      <c r="G250" s="50" t="s">
        <v>3690</v>
      </c>
      <c r="H250" s="50" t="s">
        <v>3690</v>
      </c>
      <c r="I250" s="50"/>
      <c r="J250" s="50"/>
      <c r="K250" s="50"/>
      <c r="L250" s="599" t="s">
        <v>3873</v>
      </c>
      <c r="M250" s="50" t="s">
        <v>3819</v>
      </c>
      <c r="N250" s="50"/>
      <c r="O250" s="50"/>
      <c r="P250" s="50" t="s">
        <v>2756</v>
      </c>
      <c r="Q250" s="585">
        <v>45911.744791666664</v>
      </c>
      <c r="R250" s="50" t="s">
        <v>4362</v>
      </c>
      <c r="S250" s="50" t="str">
        <f t="shared" si="4"/>
        <v>YES</v>
      </c>
    </row>
    <row r="251" spans="1:19" ht="14.5" x14ac:dyDescent="0.25">
      <c r="A251" s="584" t="s">
        <v>2898</v>
      </c>
      <c r="B251" s="50" t="s">
        <v>3621</v>
      </c>
      <c r="C251" s="50" t="s">
        <v>3692</v>
      </c>
      <c r="D251" s="57" t="s">
        <v>2898</v>
      </c>
      <c r="E251" s="50" t="s">
        <v>3690</v>
      </c>
      <c r="F251" s="50" t="s">
        <v>3690</v>
      </c>
      <c r="G251" s="50" t="s">
        <v>3690</v>
      </c>
      <c r="H251" s="50" t="s">
        <v>3690</v>
      </c>
      <c r="I251" s="50"/>
      <c r="J251" s="50"/>
      <c r="K251" s="50"/>
      <c r="L251" s="599" t="s">
        <v>3873</v>
      </c>
      <c r="M251" s="50" t="s">
        <v>3819</v>
      </c>
      <c r="N251" s="50"/>
      <c r="O251" s="50"/>
      <c r="P251" s="50" t="s">
        <v>2898</v>
      </c>
      <c r="Q251" s="585">
        <v>45911.746574074074</v>
      </c>
      <c r="R251" s="50" t="s">
        <v>4362</v>
      </c>
      <c r="S251" s="50" t="str">
        <f t="shared" si="4"/>
        <v>YES</v>
      </c>
    </row>
    <row r="252" spans="1:19" ht="14.5" x14ac:dyDescent="0.25">
      <c r="A252" s="584" t="s">
        <v>2899</v>
      </c>
      <c r="B252" s="50" t="s">
        <v>3620</v>
      </c>
      <c r="C252" s="50" t="s">
        <v>3692</v>
      </c>
      <c r="D252" s="57" t="s">
        <v>2899</v>
      </c>
      <c r="E252" s="50" t="s">
        <v>3690</v>
      </c>
      <c r="F252" s="50" t="s">
        <v>3690</v>
      </c>
      <c r="G252" s="50" t="s">
        <v>3690</v>
      </c>
      <c r="H252" s="50" t="s">
        <v>3690</v>
      </c>
      <c r="I252" s="50"/>
      <c r="J252" s="50"/>
      <c r="K252" s="50"/>
      <c r="L252" s="599" t="s">
        <v>3873</v>
      </c>
      <c r="M252" s="50" t="s">
        <v>3819</v>
      </c>
      <c r="N252" s="50"/>
      <c r="O252" s="50"/>
      <c r="P252" s="50" t="s">
        <v>2899</v>
      </c>
      <c r="Q252" s="585">
        <v>45911.757662037038</v>
      </c>
      <c r="R252" s="50" t="s">
        <v>4362</v>
      </c>
      <c r="S252" s="50" t="str">
        <f t="shared" si="4"/>
        <v>YES</v>
      </c>
    </row>
    <row r="253" spans="1:19" ht="14.5" x14ac:dyDescent="0.25">
      <c r="A253" s="584" t="s">
        <v>3822</v>
      </c>
      <c r="B253" s="50" t="s">
        <v>3823</v>
      </c>
      <c r="C253" s="50" t="s">
        <v>3815</v>
      </c>
      <c r="D253" s="57" t="s">
        <v>3822</v>
      </c>
      <c r="E253" s="50" t="s">
        <v>3617</v>
      </c>
      <c r="F253" s="50" t="s">
        <v>3618</v>
      </c>
      <c r="G253" s="50" t="s">
        <v>3816</v>
      </c>
      <c r="H253" s="50" t="s">
        <v>3712</v>
      </c>
      <c r="I253" s="50" t="s">
        <v>3817</v>
      </c>
      <c r="J253" s="50" t="s">
        <v>3818</v>
      </c>
      <c r="K253" s="586">
        <v>8.6999999999999994E-2</v>
      </c>
      <c r="L253" s="596" t="s">
        <v>3619</v>
      </c>
      <c r="M253" s="50" t="s">
        <v>3819</v>
      </c>
      <c r="N253" s="50">
        <v>16</v>
      </c>
      <c r="O253" s="50">
        <v>1</v>
      </c>
      <c r="P253" s="50" t="s">
        <v>2913</v>
      </c>
      <c r="Q253" s="585">
        <v>45911.759722222225</v>
      </c>
      <c r="R253" s="50" t="s">
        <v>4361</v>
      </c>
      <c r="S253" s="50" t="str">
        <f t="shared" si="4"/>
        <v>YES</v>
      </c>
    </row>
    <row r="254" spans="1:19" ht="14.5" x14ac:dyDescent="0.25">
      <c r="A254" s="584" t="s">
        <v>3820</v>
      </c>
      <c r="B254" s="50" t="s">
        <v>3821</v>
      </c>
      <c r="C254" s="50" t="s">
        <v>3815</v>
      </c>
      <c r="D254" s="57" t="s">
        <v>3820</v>
      </c>
      <c r="E254" s="50" t="s">
        <v>3617</v>
      </c>
      <c r="F254" s="50" t="s">
        <v>3618</v>
      </c>
      <c r="G254" s="50" t="s">
        <v>3816</v>
      </c>
      <c r="H254" s="50" t="s">
        <v>3712</v>
      </c>
      <c r="I254" s="50" t="s">
        <v>3817</v>
      </c>
      <c r="J254" s="50" t="s">
        <v>3818</v>
      </c>
      <c r="K254" s="586">
        <v>8.6999999999999994E-2</v>
      </c>
      <c r="L254" s="596" t="s">
        <v>3619</v>
      </c>
      <c r="M254" s="50" t="s">
        <v>3819</v>
      </c>
      <c r="N254" s="50">
        <v>16</v>
      </c>
      <c r="O254" s="50">
        <v>1</v>
      </c>
      <c r="P254" s="50" t="s">
        <v>2911</v>
      </c>
      <c r="Q254" s="585">
        <v>45911.778217592589</v>
      </c>
      <c r="R254" s="50" t="s">
        <v>4361</v>
      </c>
      <c r="S254" s="50" t="str">
        <f t="shared" si="4"/>
        <v>YES</v>
      </c>
    </row>
    <row r="255" spans="1:19" ht="14.5" x14ac:dyDescent="0.25">
      <c r="A255" s="584" t="s">
        <v>3813</v>
      </c>
      <c r="B255" s="50" t="s">
        <v>3814</v>
      </c>
      <c r="C255" s="50" t="s">
        <v>3815</v>
      </c>
      <c r="D255" s="57" t="s">
        <v>3813</v>
      </c>
      <c r="E255" s="50" t="s">
        <v>3617</v>
      </c>
      <c r="F255" s="50" t="s">
        <v>3618</v>
      </c>
      <c r="G255" s="50" t="s">
        <v>3816</v>
      </c>
      <c r="H255" s="50" t="s">
        <v>3712</v>
      </c>
      <c r="I255" s="50" t="s">
        <v>3817</v>
      </c>
      <c r="J255" s="50" t="s">
        <v>3818</v>
      </c>
      <c r="K255" s="586">
        <v>8.6999999999999994E-2</v>
      </c>
      <c r="L255" s="596" t="s">
        <v>3619</v>
      </c>
      <c r="M255" s="50" t="s">
        <v>3819</v>
      </c>
      <c r="N255" s="50">
        <v>16</v>
      </c>
      <c r="O255" s="50">
        <v>1</v>
      </c>
      <c r="P255" s="50" t="s">
        <v>2912</v>
      </c>
      <c r="Q255" s="585">
        <v>45911.779074074075</v>
      </c>
      <c r="R255" s="50" t="s">
        <v>4361</v>
      </c>
      <c r="S255" s="50" t="str">
        <f t="shared" si="4"/>
        <v>YES</v>
      </c>
    </row>
    <row r="256" spans="1:19" ht="14.5" x14ac:dyDescent="0.25">
      <c r="A256" s="584" t="s">
        <v>3811</v>
      </c>
      <c r="B256" s="50" t="s">
        <v>3812</v>
      </c>
      <c r="C256" s="50" t="s">
        <v>3721</v>
      </c>
      <c r="D256" s="57" t="s">
        <v>3811</v>
      </c>
      <c r="E256" s="50" t="s">
        <v>3573</v>
      </c>
      <c r="F256" s="50" t="s">
        <v>3705</v>
      </c>
      <c r="G256" s="50" t="s">
        <v>3742</v>
      </c>
      <c r="H256" s="50" t="s">
        <v>3563</v>
      </c>
      <c r="I256" s="50" t="s">
        <v>2817</v>
      </c>
      <c r="J256" s="50" t="s">
        <v>3707</v>
      </c>
      <c r="K256" s="586">
        <v>5.5E-2</v>
      </c>
      <c r="L256" s="603" t="s">
        <v>3708</v>
      </c>
      <c r="M256" s="50" t="s">
        <v>3709</v>
      </c>
      <c r="N256" s="50">
        <v>64</v>
      </c>
      <c r="O256" s="50">
        <v>1</v>
      </c>
      <c r="P256" s="50" t="s">
        <v>2295</v>
      </c>
      <c r="Q256" s="585">
        <v>45912.77820601852</v>
      </c>
      <c r="R256" s="50" t="s">
        <v>4376</v>
      </c>
      <c r="S256" s="50" t="str">
        <f t="shared" si="4"/>
        <v>YES</v>
      </c>
    </row>
    <row r="257" spans="1:19" ht="14.5" x14ac:dyDescent="0.25">
      <c r="A257" s="584" t="s">
        <v>3809</v>
      </c>
      <c r="B257" s="50" t="s">
        <v>3810</v>
      </c>
      <c r="C257" s="50" t="s">
        <v>3721</v>
      </c>
      <c r="D257" s="57" t="s">
        <v>3809</v>
      </c>
      <c r="E257" s="50" t="s">
        <v>3573</v>
      </c>
      <c r="F257" s="50" t="s">
        <v>3705</v>
      </c>
      <c r="G257" s="50" t="s">
        <v>3742</v>
      </c>
      <c r="H257" s="50" t="s">
        <v>3563</v>
      </c>
      <c r="I257" s="50" t="s">
        <v>2817</v>
      </c>
      <c r="J257" s="50" t="s">
        <v>3707</v>
      </c>
      <c r="K257" s="586">
        <v>5.5E-2</v>
      </c>
      <c r="L257" s="603" t="s">
        <v>3708</v>
      </c>
      <c r="M257" s="50" t="s">
        <v>3709</v>
      </c>
      <c r="N257" s="50">
        <v>364</v>
      </c>
      <c r="O257" s="50">
        <v>1</v>
      </c>
      <c r="P257" s="50" t="s">
        <v>2766</v>
      </c>
      <c r="Q257" s="585">
        <v>45912.779444444444</v>
      </c>
      <c r="R257" s="50" t="s">
        <v>4376</v>
      </c>
      <c r="S257" s="50" t="str">
        <f t="shared" si="4"/>
        <v>YES</v>
      </c>
    </row>
    <row r="258" spans="1:19" ht="14.5" x14ac:dyDescent="0.25">
      <c r="A258" s="584" t="s">
        <v>3807</v>
      </c>
      <c r="B258" s="50" t="s">
        <v>3808</v>
      </c>
      <c r="C258" s="50" t="s">
        <v>3721</v>
      </c>
      <c r="D258" s="57" t="s">
        <v>3807</v>
      </c>
      <c r="E258" s="50" t="s">
        <v>3573</v>
      </c>
      <c r="F258" s="50" t="s">
        <v>3705</v>
      </c>
      <c r="G258" s="50" t="s">
        <v>3742</v>
      </c>
      <c r="H258" s="50" t="s">
        <v>3563</v>
      </c>
      <c r="I258" s="50" t="s">
        <v>2817</v>
      </c>
      <c r="J258" s="50" t="s">
        <v>3707</v>
      </c>
      <c r="K258" s="586">
        <v>5.5E-2</v>
      </c>
      <c r="L258" s="603" t="s">
        <v>3708</v>
      </c>
      <c r="M258" s="50" t="s">
        <v>3709</v>
      </c>
      <c r="N258" s="50">
        <v>64</v>
      </c>
      <c r="O258" s="50">
        <v>1</v>
      </c>
      <c r="P258" s="50" t="s">
        <v>2862</v>
      </c>
      <c r="Q258" s="585">
        <v>45916.758310185185</v>
      </c>
      <c r="R258" s="50" t="s">
        <v>4376</v>
      </c>
      <c r="S258" s="50" t="str">
        <f t="shared" si="4"/>
        <v>YES</v>
      </c>
    </row>
    <row r="259" spans="1:19" ht="14.5" x14ac:dyDescent="0.25">
      <c r="A259" s="584" t="s">
        <v>3805</v>
      </c>
      <c r="B259" s="50" t="s">
        <v>3806</v>
      </c>
      <c r="C259" s="50" t="s">
        <v>3737</v>
      </c>
      <c r="D259" s="57" t="s">
        <v>3805</v>
      </c>
      <c r="E259" s="50" t="s">
        <v>3573</v>
      </c>
      <c r="F259" s="50" t="s">
        <v>3705</v>
      </c>
      <c r="G259" s="50" t="s">
        <v>3742</v>
      </c>
      <c r="H259" s="50" t="s">
        <v>3563</v>
      </c>
      <c r="I259" s="50" t="s">
        <v>2817</v>
      </c>
      <c r="J259" s="50" t="s">
        <v>3707</v>
      </c>
      <c r="K259" s="586">
        <v>5.5E-2</v>
      </c>
      <c r="L259" s="595" t="s">
        <v>3602</v>
      </c>
      <c r="M259" s="50" t="s">
        <v>3739</v>
      </c>
      <c r="N259" s="50">
        <v>90</v>
      </c>
      <c r="O259" s="50">
        <v>1</v>
      </c>
      <c r="P259" s="50" t="s">
        <v>2207</v>
      </c>
      <c r="Q259" s="585">
        <v>45923.618888888886</v>
      </c>
      <c r="R259" s="50" t="s">
        <v>4376</v>
      </c>
      <c r="S259" s="50" t="str">
        <f t="shared" si="4"/>
        <v>YES</v>
      </c>
    </row>
    <row r="260" spans="1:19" ht="14.5" x14ac:dyDescent="0.25">
      <c r="A260" s="584" t="s">
        <v>3803</v>
      </c>
      <c r="B260" s="50" t="s">
        <v>3804</v>
      </c>
      <c r="C260" s="50" t="s">
        <v>3737</v>
      </c>
      <c r="D260" s="57" t="s">
        <v>3803</v>
      </c>
      <c r="E260" s="50" t="s">
        <v>3573</v>
      </c>
      <c r="F260" s="50" t="s">
        <v>3705</v>
      </c>
      <c r="G260" s="50" t="s">
        <v>3742</v>
      </c>
      <c r="H260" s="50" t="s">
        <v>3563</v>
      </c>
      <c r="I260" s="50" t="s">
        <v>2817</v>
      </c>
      <c r="J260" s="50" t="s">
        <v>3707</v>
      </c>
      <c r="K260" s="586">
        <v>5.5E-2</v>
      </c>
      <c r="L260" s="595" t="s">
        <v>3602</v>
      </c>
      <c r="M260" s="50" t="s">
        <v>3739</v>
      </c>
      <c r="N260" s="50">
        <v>90</v>
      </c>
      <c r="O260" s="50">
        <v>1</v>
      </c>
      <c r="P260" s="50" t="s">
        <v>2203</v>
      </c>
      <c r="Q260" s="585">
        <v>45923.62232638889</v>
      </c>
      <c r="R260" s="50" t="s">
        <v>4376</v>
      </c>
      <c r="S260" s="50" t="str">
        <f t="shared" si="4"/>
        <v>YES</v>
      </c>
    </row>
    <row r="261" spans="1:19" ht="14.5" x14ac:dyDescent="0.25">
      <c r="A261" s="584" t="s">
        <v>3801</v>
      </c>
      <c r="B261" s="50" t="s">
        <v>3802</v>
      </c>
      <c r="C261" s="50" t="s">
        <v>3737</v>
      </c>
      <c r="D261" s="57" t="s">
        <v>3801</v>
      </c>
      <c r="E261" s="50" t="s">
        <v>3573</v>
      </c>
      <c r="F261" s="50" t="s">
        <v>3705</v>
      </c>
      <c r="G261" s="50" t="s">
        <v>3742</v>
      </c>
      <c r="H261" s="50" t="s">
        <v>3563</v>
      </c>
      <c r="I261" s="50" t="s">
        <v>2817</v>
      </c>
      <c r="J261" s="50" t="s">
        <v>3707</v>
      </c>
      <c r="K261" s="586">
        <v>5.5E-2</v>
      </c>
      <c r="L261" s="595" t="s">
        <v>3602</v>
      </c>
      <c r="M261" s="50" t="s">
        <v>3739</v>
      </c>
      <c r="N261" s="50">
        <v>90</v>
      </c>
      <c r="O261" s="50">
        <v>1</v>
      </c>
      <c r="P261" s="50" t="s">
        <v>2201</v>
      </c>
      <c r="Q261" s="585">
        <v>45923.62672453704</v>
      </c>
      <c r="R261" s="50" t="s">
        <v>4376</v>
      </c>
      <c r="S261" s="50" t="str">
        <f t="shared" si="4"/>
        <v>YES</v>
      </c>
    </row>
    <row r="262" spans="1:19" ht="14.5" x14ac:dyDescent="0.25">
      <c r="A262" s="584" t="s">
        <v>2340</v>
      </c>
      <c r="B262" s="50" t="s">
        <v>3514</v>
      </c>
      <c r="C262" s="50" t="s">
        <v>3748</v>
      </c>
      <c r="D262" s="57" t="s">
        <v>3800</v>
      </c>
      <c r="E262" s="50" t="s">
        <v>3560</v>
      </c>
      <c r="F262" s="50" t="s">
        <v>3561</v>
      </c>
      <c r="G262" s="50" t="s">
        <v>3745</v>
      </c>
      <c r="H262" s="50" t="s">
        <v>3563</v>
      </c>
      <c r="I262" s="50" t="s">
        <v>2817</v>
      </c>
      <c r="J262" s="50" t="s">
        <v>2818</v>
      </c>
      <c r="K262" s="586">
        <v>8.1000000000000003E-2</v>
      </c>
      <c r="L262" s="591" t="s">
        <v>3564</v>
      </c>
      <c r="M262" s="50" t="s">
        <v>3701</v>
      </c>
      <c r="N262" s="50">
        <v>20</v>
      </c>
      <c r="O262" s="50">
        <v>1</v>
      </c>
      <c r="P262" s="50" t="s">
        <v>3800</v>
      </c>
      <c r="Q262" s="585">
        <v>45925.712175925924</v>
      </c>
      <c r="R262" s="50" t="s">
        <v>3562</v>
      </c>
      <c r="S262" s="50" t="str">
        <f t="shared" si="4"/>
        <v>YES</v>
      </c>
    </row>
    <row r="263" spans="1:19" ht="14.5" x14ac:dyDescent="0.25">
      <c r="A263" s="584" t="s">
        <v>2342</v>
      </c>
      <c r="B263" s="50" t="s">
        <v>3515</v>
      </c>
      <c r="C263" s="50" t="s">
        <v>3748</v>
      </c>
      <c r="D263" s="57" t="s">
        <v>3799</v>
      </c>
      <c r="E263" s="50" t="s">
        <v>3560</v>
      </c>
      <c r="F263" s="50" t="s">
        <v>3561</v>
      </c>
      <c r="G263" s="50" t="s">
        <v>3745</v>
      </c>
      <c r="H263" s="50" t="s">
        <v>3563</v>
      </c>
      <c r="I263" s="50" t="s">
        <v>2817</v>
      </c>
      <c r="J263" s="50" t="s">
        <v>2818</v>
      </c>
      <c r="K263" s="586">
        <v>8.1000000000000003E-2</v>
      </c>
      <c r="L263" s="591" t="s">
        <v>3564</v>
      </c>
      <c r="M263" s="50" t="s">
        <v>3701</v>
      </c>
      <c r="N263" s="50">
        <v>20</v>
      </c>
      <c r="O263" s="50">
        <v>1</v>
      </c>
      <c r="P263" s="50" t="s">
        <v>3799</v>
      </c>
      <c r="Q263" s="585">
        <v>45925.716527777775</v>
      </c>
      <c r="R263" s="50" t="s">
        <v>3562</v>
      </c>
      <c r="S263" s="50" t="str">
        <f t="shared" si="4"/>
        <v>YES</v>
      </c>
    </row>
    <row r="264" spans="1:19" ht="14.5" x14ac:dyDescent="0.25">
      <c r="A264" s="584" t="s">
        <v>3783</v>
      </c>
      <c r="B264" s="50" t="s">
        <v>3784</v>
      </c>
      <c r="C264" s="50" t="s">
        <v>3732</v>
      </c>
      <c r="D264" s="57" t="s">
        <v>3783</v>
      </c>
      <c r="E264" s="50" t="s">
        <v>3560</v>
      </c>
      <c r="F264" s="50" t="s">
        <v>3561</v>
      </c>
      <c r="G264" s="50" t="s">
        <v>3785</v>
      </c>
      <c r="H264" s="50" t="s">
        <v>3563</v>
      </c>
      <c r="I264" s="50" t="s">
        <v>3759</v>
      </c>
      <c r="J264" s="50" t="s">
        <v>2818</v>
      </c>
      <c r="K264" s="586">
        <v>8.1000000000000003E-2</v>
      </c>
      <c r="L264" s="591" t="s">
        <v>3564</v>
      </c>
      <c r="M264" s="50" t="s">
        <v>3701</v>
      </c>
      <c r="N264" s="50">
        <v>40</v>
      </c>
      <c r="O264" s="50">
        <v>1</v>
      </c>
      <c r="P264" s="50" t="s">
        <v>2197</v>
      </c>
      <c r="Q264" s="585">
        <v>45925.721597222226</v>
      </c>
      <c r="R264" s="50" t="s">
        <v>3615</v>
      </c>
      <c r="S264" s="50" t="str">
        <f t="shared" si="4"/>
        <v>YES</v>
      </c>
    </row>
    <row r="265" spans="1:19" ht="14.5" x14ac:dyDescent="0.25">
      <c r="A265" s="584" t="s">
        <v>3786</v>
      </c>
      <c r="B265" s="50" t="s">
        <v>3787</v>
      </c>
      <c r="C265" s="50" t="s">
        <v>3732</v>
      </c>
      <c r="D265" s="57" t="s">
        <v>3786</v>
      </c>
      <c r="E265" s="50" t="s">
        <v>3560</v>
      </c>
      <c r="F265" s="50" t="s">
        <v>3561</v>
      </c>
      <c r="G265" s="50" t="s">
        <v>3785</v>
      </c>
      <c r="H265" s="50" t="s">
        <v>3563</v>
      </c>
      <c r="I265" s="50" t="s">
        <v>3759</v>
      </c>
      <c r="J265" s="50" t="s">
        <v>2818</v>
      </c>
      <c r="K265" s="586">
        <v>8.1000000000000003E-2</v>
      </c>
      <c r="L265" s="591" t="s">
        <v>3564</v>
      </c>
      <c r="M265" s="50" t="s">
        <v>3701</v>
      </c>
      <c r="N265" s="50">
        <v>40</v>
      </c>
      <c r="O265" s="50">
        <v>1</v>
      </c>
      <c r="P265" s="50" t="s">
        <v>2195</v>
      </c>
      <c r="Q265" s="585">
        <v>45925.721597222226</v>
      </c>
      <c r="R265" s="50" t="s">
        <v>3615</v>
      </c>
      <c r="S265" s="50" t="str">
        <f t="shared" si="4"/>
        <v>YES</v>
      </c>
    </row>
    <row r="266" spans="1:19" ht="14.5" x14ac:dyDescent="0.25">
      <c r="A266" s="584" t="s">
        <v>3788</v>
      </c>
      <c r="B266" s="50" t="s">
        <v>3789</v>
      </c>
      <c r="C266" s="50" t="s">
        <v>3744</v>
      </c>
      <c r="D266" s="57" t="s">
        <v>3788</v>
      </c>
      <c r="E266" s="50" t="s">
        <v>3560</v>
      </c>
      <c r="F266" s="50" t="s">
        <v>3561</v>
      </c>
      <c r="G266" s="50" t="s">
        <v>3785</v>
      </c>
      <c r="H266" s="50" t="s">
        <v>3563</v>
      </c>
      <c r="I266" s="50" t="s">
        <v>2817</v>
      </c>
      <c r="J266" s="50" t="s">
        <v>2818</v>
      </c>
      <c r="K266" s="586">
        <v>8.1000000000000003E-2</v>
      </c>
      <c r="L266" s="591" t="s">
        <v>3564</v>
      </c>
      <c r="M266" s="50" t="s">
        <v>3701</v>
      </c>
      <c r="N266" s="50">
        <v>40</v>
      </c>
      <c r="O266" s="50">
        <v>1</v>
      </c>
      <c r="P266" s="50" t="s">
        <v>2136</v>
      </c>
      <c r="Q266" s="585">
        <v>45925.721597222226</v>
      </c>
      <c r="R266" s="50" t="s">
        <v>3615</v>
      </c>
      <c r="S266" s="50" t="str">
        <f t="shared" si="4"/>
        <v>YES</v>
      </c>
    </row>
    <row r="267" spans="1:19" ht="14.5" x14ac:dyDescent="0.25">
      <c r="A267" s="584" t="s">
        <v>2884</v>
      </c>
      <c r="B267" s="50" t="s">
        <v>3616</v>
      </c>
      <c r="C267" s="50" t="s">
        <v>3700</v>
      </c>
      <c r="D267" s="57" t="s">
        <v>3790</v>
      </c>
      <c r="E267" s="50" t="s">
        <v>3560</v>
      </c>
      <c r="F267" s="50" t="s">
        <v>3561</v>
      </c>
      <c r="G267" s="50" t="s">
        <v>3745</v>
      </c>
      <c r="H267" s="50" t="s">
        <v>3563</v>
      </c>
      <c r="I267" s="50" t="s">
        <v>2817</v>
      </c>
      <c r="J267" s="50" t="s">
        <v>2818</v>
      </c>
      <c r="K267" s="586">
        <v>8.1000000000000003E-2</v>
      </c>
      <c r="L267" s="591" t="s">
        <v>3564</v>
      </c>
      <c r="M267" s="50" t="s">
        <v>3701</v>
      </c>
      <c r="N267" s="50">
        <v>30</v>
      </c>
      <c r="O267" s="50">
        <v>1</v>
      </c>
      <c r="P267" s="50" t="s">
        <v>3790</v>
      </c>
      <c r="Q267" s="585">
        <v>45925.721597222226</v>
      </c>
      <c r="R267" s="50" t="s">
        <v>3562</v>
      </c>
      <c r="S267" s="50" t="str">
        <f t="shared" si="4"/>
        <v>YES</v>
      </c>
    </row>
    <row r="268" spans="1:19" ht="14.5" x14ac:dyDescent="0.25">
      <c r="A268" s="584" t="s">
        <v>2264</v>
      </c>
      <c r="B268" s="50" t="s">
        <v>3506</v>
      </c>
      <c r="C268" s="50" t="s">
        <v>3700</v>
      </c>
      <c r="D268" s="57" t="s">
        <v>3791</v>
      </c>
      <c r="E268" s="50" t="s">
        <v>3560</v>
      </c>
      <c r="F268" s="50" t="s">
        <v>3561</v>
      </c>
      <c r="G268" s="50" t="s">
        <v>3745</v>
      </c>
      <c r="H268" s="50" t="s">
        <v>3563</v>
      </c>
      <c r="I268" s="50" t="s">
        <v>2817</v>
      </c>
      <c r="J268" s="50" t="s">
        <v>2818</v>
      </c>
      <c r="K268" s="586">
        <v>8.1000000000000003E-2</v>
      </c>
      <c r="L268" s="591" t="s">
        <v>3564</v>
      </c>
      <c r="M268" s="50" t="s">
        <v>3701</v>
      </c>
      <c r="N268" s="50">
        <v>30</v>
      </c>
      <c r="O268" s="50">
        <v>1</v>
      </c>
      <c r="P268" s="50" t="s">
        <v>3791</v>
      </c>
      <c r="Q268" s="585">
        <v>45925.721597222226</v>
      </c>
      <c r="R268" s="50" t="s">
        <v>3562</v>
      </c>
      <c r="S268" s="50" t="str">
        <f t="shared" si="4"/>
        <v>YES</v>
      </c>
    </row>
    <row r="269" spans="1:19" ht="14.5" x14ac:dyDescent="0.25">
      <c r="A269" s="584" t="s">
        <v>2235</v>
      </c>
      <c r="B269" s="50" t="s">
        <v>3499</v>
      </c>
      <c r="C269" s="50" t="s">
        <v>3694</v>
      </c>
      <c r="D269" s="57" t="s">
        <v>3792</v>
      </c>
      <c r="E269" s="50" t="s">
        <v>3560</v>
      </c>
      <c r="F269" s="50" t="s">
        <v>3561</v>
      </c>
      <c r="G269" s="50" t="s">
        <v>3745</v>
      </c>
      <c r="H269" s="50" t="s">
        <v>3563</v>
      </c>
      <c r="I269" s="50" t="s">
        <v>2817</v>
      </c>
      <c r="J269" s="50" t="s">
        <v>2818</v>
      </c>
      <c r="K269" s="586">
        <v>8.1000000000000003E-2</v>
      </c>
      <c r="L269" s="591" t="s">
        <v>3564</v>
      </c>
      <c r="M269" s="50" t="s">
        <v>3701</v>
      </c>
      <c r="N269" s="50">
        <v>30</v>
      </c>
      <c r="O269" s="50">
        <v>1</v>
      </c>
      <c r="P269" s="50" t="s">
        <v>3792</v>
      </c>
      <c r="Q269" s="585">
        <v>45925.721597222226</v>
      </c>
      <c r="R269" s="50" t="s">
        <v>3562</v>
      </c>
      <c r="S269" s="50" t="str">
        <f t="shared" si="4"/>
        <v>YES</v>
      </c>
    </row>
    <row r="270" spans="1:19" ht="14.5" x14ac:dyDescent="0.25">
      <c r="A270" s="584" t="s">
        <v>2228</v>
      </c>
      <c r="B270" s="50" t="s">
        <v>3496</v>
      </c>
      <c r="C270" s="50" t="s">
        <v>3694</v>
      </c>
      <c r="D270" s="57" t="s">
        <v>3793</v>
      </c>
      <c r="E270" s="50" t="s">
        <v>3560</v>
      </c>
      <c r="F270" s="50" t="s">
        <v>3561</v>
      </c>
      <c r="G270" s="50" t="s">
        <v>3745</v>
      </c>
      <c r="H270" s="50" t="s">
        <v>3563</v>
      </c>
      <c r="I270" s="50" t="s">
        <v>2817</v>
      </c>
      <c r="J270" s="50" t="s">
        <v>2818</v>
      </c>
      <c r="K270" s="586">
        <v>8.1000000000000003E-2</v>
      </c>
      <c r="L270" s="591" t="s">
        <v>3564</v>
      </c>
      <c r="M270" s="50" t="s">
        <v>3701</v>
      </c>
      <c r="N270" s="50">
        <v>30</v>
      </c>
      <c r="O270" s="50">
        <v>1</v>
      </c>
      <c r="P270" s="50" t="s">
        <v>3793</v>
      </c>
      <c r="Q270" s="585">
        <v>45925.721597222226</v>
      </c>
      <c r="R270" s="50" t="s">
        <v>3562</v>
      </c>
      <c r="S270" s="50" t="str">
        <f t="shared" si="4"/>
        <v>YES</v>
      </c>
    </row>
    <row r="271" spans="1:19" ht="14.5" x14ac:dyDescent="0.25">
      <c r="A271" s="584" t="s">
        <v>2840</v>
      </c>
      <c r="B271" s="50" t="s">
        <v>3606</v>
      </c>
      <c r="C271" s="50" t="s">
        <v>3704</v>
      </c>
      <c r="D271" s="57" t="s">
        <v>2840</v>
      </c>
      <c r="E271" s="50" t="s">
        <v>3573</v>
      </c>
      <c r="F271" s="50" t="s">
        <v>3705</v>
      </c>
      <c r="G271" s="50" t="s">
        <v>3706</v>
      </c>
      <c r="H271" s="50" t="s">
        <v>3563</v>
      </c>
      <c r="I271" s="50" t="s">
        <v>2817</v>
      </c>
      <c r="J271" s="50"/>
      <c r="K271" s="586"/>
      <c r="L271" s="595" t="s">
        <v>3602</v>
      </c>
      <c r="M271" s="50" t="s">
        <v>3739</v>
      </c>
      <c r="N271" s="50"/>
      <c r="O271" s="50"/>
      <c r="P271" s="50" t="s">
        <v>2840</v>
      </c>
      <c r="Q271" s="585">
        <v>45925.721597222226</v>
      </c>
      <c r="R271" s="50" t="s">
        <v>4362</v>
      </c>
      <c r="S271" s="50" t="str">
        <f t="shared" si="4"/>
        <v>YES</v>
      </c>
    </row>
    <row r="272" spans="1:19" ht="14.5" x14ac:dyDescent="0.25">
      <c r="A272" s="584" t="s">
        <v>2841</v>
      </c>
      <c r="B272" s="50" t="s">
        <v>3607</v>
      </c>
      <c r="C272" s="50" t="s">
        <v>3704</v>
      </c>
      <c r="D272" s="57" t="s">
        <v>2841</v>
      </c>
      <c r="E272" s="50" t="s">
        <v>3573</v>
      </c>
      <c r="F272" s="50" t="s">
        <v>3705</v>
      </c>
      <c r="G272" s="50" t="s">
        <v>3706</v>
      </c>
      <c r="H272" s="50" t="s">
        <v>3563</v>
      </c>
      <c r="I272" s="50" t="s">
        <v>2817</v>
      </c>
      <c r="J272" s="50"/>
      <c r="K272" s="586"/>
      <c r="L272" s="595" t="s">
        <v>3602</v>
      </c>
      <c r="M272" s="50" t="s">
        <v>3739</v>
      </c>
      <c r="N272" s="50"/>
      <c r="O272" s="50"/>
      <c r="P272" s="50" t="s">
        <v>2841</v>
      </c>
      <c r="Q272" s="585">
        <v>45925.721597222226</v>
      </c>
      <c r="R272" s="50" t="s">
        <v>4362</v>
      </c>
      <c r="S272" s="50" t="str">
        <f t="shared" si="4"/>
        <v>YES</v>
      </c>
    </row>
    <row r="273" spans="1:19" ht="14.5" x14ac:dyDescent="0.25">
      <c r="A273" s="584" t="s">
        <v>2842</v>
      </c>
      <c r="B273" s="50" t="s">
        <v>3608</v>
      </c>
      <c r="C273" s="50" t="s">
        <v>3704</v>
      </c>
      <c r="D273" s="57" t="s">
        <v>2842</v>
      </c>
      <c r="E273" s="50" t="s">
        <v>3573</v>
      </c>
      <c r="F273" s="50" t="s">
        <v>3705</v>
      </c>
      <c r="G273" s="50" t="s">
        <v>3706</v>
      </c>
      <c r="H273" s="50" t="s">
        <v>3563</v>
      </c>
      <c r="I273" s="50" t="s">
        <v>2817</v>
      </c>
      <c r="J273" s="50"/>
      <c r="K273" s="586"/>
      <c r="L273" s="595" t="s">
        <v>3602</v>
      </c>
      <c r="M273" s="50" t="s">
        <v>3739</v>
      </c>
      <c r="N273" s="50"/>
      <c r="O273" s="50"/>
      <c r="P273" s="50" t="s">
        <v>2842</v>
      </c>
      <c r="Q273" s="585">
        <v>45925.721597222226</v>
      </c>
      <c r="R273" s="50" t="s">
        <v>4362</v>
      </c>
      <c r="S273" s="50" t="str">
        <f t="shared" si="4"/>
        <v>YES</v>
      </c>
    </row>
    <row r="274" spans="1:19" ht="14.5" x14ac:dyDescent="0.25">
      <c r="A274" s="584" t="s">
        <v>2843</v>
      </c>
      <c r="B274" s="50" t="s">
        <v>3609</v>
      </c>
      <c r="C274" s="50" t="s">
        <v>3704</v>
      </c>
      <c r="D274" s="57" t="s">
        <v>2843</v>
      </c>
      <c r="E274" s="50" t="s">
        <v>3573</v>
      </c>
      <c r="F274" s="50" t="s">
        <v>3705</v>
      </c>
      <c r="G274" s="50" t="s">
        <v>3706</v>
      </c>
      <c r="H274" s="50" t="s">
        <v>3563</v>
      </c>
      <c r="I274" s="50" t="s">
        <v>2817</v>
      </c>
      <c r="J274" s="50"/>
      <c r="K274" s="586"/>
      <c r="L274" s="595" t="s">
        <v>3602</v>
      </c>
      <c r="M274" s="50" t="s">
        <v>3739</v>
      </c>
      <c r="N274" s="50"/>
      <c r="O274" s="50"/>
      <c r="P274" s="50" t="s">
        <v>2843</v>
      </c>
      <c r="Q274" s="585">
        <v>45925.721597222226</v>
      </c>
      <c r="R274" s="50" t="s">
        <v>4362</v>
      </c>
      <c r="S274" s="50" t="str">
        <f t="shared" si="4"/>
        <v>YES</v>
      </c>
    </row>
    <row r="275" spans="1:19" ht="14.5" x14ac:dyDescent="0.25">
      <c r="A275" s="584" t="s">
        <v>2852</v>
      </c>
      <c r="B275" s="50" t="s">
        <v>3610</v>
      </c>
      <c r="C275" s="50" t="s">
        <v>3704</v>
      </c>
      <c r="D275" s="57" t="s">
        <v>2852</v>
      </c>
      <c r="E275" s="50" t="s">
        <v>3573</v>
      </c>
      <c r="F275" s="50" t="s">
        <v>3705</v>
      </c>
      <c r="G275" s="50" t="s">
        <v>3706</v>
      </c>
      <c r="H275" s="50" t="s">
        <v>3563</v>
      </c>
      <c r="I275" s="50" t="s">
        <v>2817</v>
      </c>
      <c r="J275" s="50"/>
      <c r="K275" s="586"/>
      <c r="L275" s="595" t="s">
        <v>3602</v>
      </c>
      <c r="M275" s="50" t="s">
        <v>3739</v>
      </c>
      <c r="N275" s="50"/>
      <c r="O275" s="50"/>
      <c r="P275" s="50" t="s">
        <v>2852</v>
      </c>
      <c r="Q275" s="585">
        <v>45925.721597222226</v>
      </c>
      <c r="R275" s="50" t="s">
        <v>4362</v>
      </c>
      <c r="S275" s="50" t="str">
        <f t="shared" si="4"/>
        <v>YES</v>
      </c>
    </row>
    <row r="276" spans="1:19" ht="14.5" x14ac:dyDescent="0.25">
      <c r="A276" s="584" t="s">
        <v>2856</v>
      </c>
      <c r="B276" s="50" t="s">
        <v>3611</v>
      </c>
      <c r="C276" s="50" t="s">
        <v>3704</v>
      </c>
      <c r="D276" s="57" t="s">
        <v>2856</v>
      </c>
      <c r="E276" s="50" t="s">
        <v>3573</v>
      </c>
      <c r="F276" s="50" t="s">
        <v>3705</v>
      </c>
      <c r="G276" s="50" t="s">
        <v>3706</v>
      </c>
      <c r="H276" s="50" t="s">
        <v>3563</v>
      </c>
      <c r="I276" s="50" t="s">
        <v>2817</v>
      </c>
      <c r="J276" s="50"/>
      <c r="K276" s="586"/>
      <c r="L276" s="595" t="s">
        <v>3602</v>
      </c>
      <c r="M276" s="50" t="s">
        <v>3739</v>
      </c>
      <c r="N276" s="50"/>
      <c r="O276" s="50"/>
      <c r="P276" s="50" t="s">
        <v>2856</v>
      </c>
      <c r="Q276" s="585">
        <v>45925.721597222226</v>
      </c>
      <c r="R276" s="50" t="s">
        <v>4362</v>
      </c>
      <c r="S276" s="50" t="str">
        <f t="shared" si="4"/>
        <v>YES</v>
      </c>
    </row>
    <row r="277" spans="1:19" ht="14.5" x14ac:dyDescent="0.25">
      <c r="A277" s="584" t="s">
        <v>2857</v>
      </c>
      <c r="B277" s="50" t="s">
        <v>3612</v>
      </c>
      <c r="C277" s="50" t="s">
        <v>3704</v>
      </c>
      <c r="D277" s="57" t="s">
        <v>2857</v>
      </c>
      <c r="E277" s="50" t="s">
        <v>3573</v>
      </c>
      <c r="F277" s="50" t="s">
        <v>3705</v>
      </c>
      <c r="G277" s="50" t="s">
        <v>3706</v>
      </c>
      <c r="H277" s="50" t="s">
        <v>3563</v>
      </c>
      <c r="I277" s="50" t="s">
        <v>2817</v>
      </c>
      <c r="J277" s="50"/>
      <c r="K277" s="586"/>
      <c r="L277" s="595" t="s">
        <v>3602</v>
      </c>
      <c r="M277" s="50" t="s">
        <v>3739</v>
      </c>
      <c r="N277" s="50"/>
      <c r="O277" s="50"/>
      <c r="P277" s="50" t="s">
        <v>2857</v>
      </c>
      <c r="Q277" s="585">
        <v>45925.721597222226</v>
      </c>
      <c r="R277" s="50" t="s">
        <v>4362</v>
      </c>
      <c r="S277" s="50" t="str">
        <f t="shared" si="4"/>
        <v>YES</v>
      </c>
    </row>
    <row r="278" spans="1:19" ht="14.5" x14ac:dyDescent="0.25">
      <c r="A278" s="584" t="s">
        <v>2858</v>
      </c>
      <c r="B278" s="50" t="s">
        <v>3613</v>
      </c>
      <c r="C278" s="50" t="s">
        <v>3704</v>
      </c>
      <c r="D278" s="57" t="s">
        <v>2858</v>
      </c>
      <c r="E278" s="50" t="s">
        <v>3573</v>
      </c>
      <c r="F278" s="50" t="s">
        <v>3705</v>
      </c>
      <c r="G278" s="50" t="s">
        <v>3706</v>
      </c>
      <c r="H278" s="50" t="s">
        <v>3563</v>
      </c>
      <c r="I278" s="50" t="s">
        <v>2817</v>
      </c>
      <c r="J278" s="50"/>
      <c r="K278" s="586"/>
      <c r="L278" s="595" t="s">
        <v>3602</v>
      </c>
      <c r="M278" s="50" t="s">
        <v>3739</v>
      </c>
      <c r="N278" s="50"/>
      <c r="O278" s="50"/>
      <c r="P278" s="50" t="s">
        <v>2858</v>
      </c>
      <c r="Q278" s="585">
        <v>45925.721597222226</v>
      </c>
      <c r="R278" s="50" t="s">
        <v>4362</v>
      </c>
      <c r="S278" s="50" t="str">
        <f t="shared" si="4"/>
        <v>YES</v>
      </c>
    </row>
    <row r="279" spans="1:19" ht="14.5" x14ac:dyDescent="0.25">
      <c r="A279" s="584" t="s">
        <v>2859</v>
      </c>
      <c r="B279" s="50" t="s">
        <v>3614</v>
      </c>
      <c r="C279" s="50" t="s">
        <v>3704</v>
      </c>
      <c r="D279" s="57" t="s">
        <v>2859</v>
      </c>
      <c r="E279" s="50" t="s">
        <v>3573</v>
      </c>
      <c r="F279" s="50" t="s">
        <v>3705</v>
      </c>
      <c r="G279" s="50" t="s">
        <v>3706</v>
      </c>
      <c r="H279" s="50" t="s">
        <v>3563</v>
      </c>
      <c r="I279" s="50" t="s">
        <v>2817</v>
      </c>
      <c r="J279" s="50"/>
      <c r="K279" s="586"/>
      <c r="L279" s="595" t="s">
        <v>3602</v>
      </c>
      <c r="M279" s="50" t="s">
        <v>3739</v>
      </c>
      <c r="N279" s="50"/>
      <c r="O279" s="50"/>
      <c r="P279" s="50" t="s">
        <v>2859</v>
      </c>
      <c r="Q279" s="585">
        <v>45925.721597222226</v>
      </c>
      <c r="R279" s="50" t="s">
        <v>4362</v>
      </c>
      <c r="S279" s="50" t="str">
        <f t="shared" si="4"/>
        <v>YES</v>
      </c>
    </row>
    <row r="280" spans="1:19" ht="14.5" x14ac:dyDescent="0.25">
      <c r="A280" s="584" t="s">
        <v>3794</v>
      </c>
      <c r="B280" s="50" t="s">
        <v>3382</v>
      </c>
      <c r="C280" s="50" t="s">
        <v>3737</v>
      </c>
      <c r="D280" s="57" t="s">
        <v>3795</v>
      </c>
      <c r="E280" s="50" t="s">
        <v>3573</v>
      </c>
      <c r="F280" s="50" t="s">
        <v>3722</v>
      </c>
      <c r="G280" s="50" t="s">
        <v>3796</v>
      </c>
      <c r="H280" s="50" t="s">
        <v>3563</v>
      </c>
      <c r="I280" s="50" t="s">
        <v>2817</v>
      </c>
      <c r="J280" s="50" t="s">
        <v>3707</v>
      </c>
      <c r="K280" s="586">
        <v>5.5E-2</v>
      </c>
      <c r="L280" s="595" t="s">
        <v>3602</v>
      </c>
      <c r="M280" s="50" t="s">
        <v>3739</v>
      </c>
      <c r="N280" s="50">
        <v>90</v>
      </c>
      <c r="O280" s="50">
        <v>1</v>
      </c>
      <c r="P280" s="50" t="s">
        <v>652</v>
      </c>
      <c r="Q280" s="585">
        <v>45925.721597222226</v>
      </c>
      <c r="R280" s="50" t="s">
        <v>4376</v>
      </c>
      <c r="S280" s="50" t="str">
        <f t="shared" si="4"/>
        <v>YES</v>
      </c>
    </row>
    <row r="281" spans="1:19" ht="14.5" x14ac:dyDescent="0.25">
      <c r="A281" s="584" t="s">
        <v>3797</v>
      </c>
      <c r="B281" s="50" t="s">
        <v>3380</v>
      </c>
      <c r="C281" s="50" t="s">
        <v>3737</v>
      </c>
      <c r="D281" s="57" t="s">
        <v>3798</v>
      </c>
      <c r="E281" s="50" t="s">
        <v>3573</v>
      </c>
      <c r="F281" s="50" t="s">
        <v>3722</v>
      </c>
      <c r="G281" s="50" t="s">
        <v>3796</v>
      </c>
      <c r="H281" s="50" t="s">
        <v>3563</v>
      </c>
      <c r="I281" s="50" t="s">
        <v>2817</v>
      </c>
      <c r="J281" s="50" t="s">
        <v>3707</v>
      </c>
      <c r="K281" s="586">
        <v>5.5E-2</v>
      </c>
      <c r="L281" s="595" t="s">
        <v>3602</v>
      </c>
      <c r="M281" s="50" t="s">
        <v>3739</v>
      </c>
      <c r="N281" s="50">
        <v>90</v>
      </c>
      <c r="O281" s="50">
        <v>1</v>
      </c>
      <c r="P281" s="50" t="s">
        <v>648</v>
      </c>
      <c r="Q281" s="585">
        <v>45925.721597222226</v>
      </c>
      <c r="R281" s="50" t="s">
        <v>4376</v>
      </c>
      <c r="S281" s="50" t="str">
        <f t="shared" si="4"/>
        <v>YES</v>
      </c>
    </row>
    <row r="282" spans="1:19" ht="14.5" x14ac:dyDescent="0.25">
      <c r="A282" s="584" t="s">
        <v>3781</v>
      </c>
      <c r="B282" s="50" t="s">
        <v>3782</v>
      </c>
      <c r="C282" s="50" t="s">
        <v>3721</v>
      </c>
      <c r="D282" s="57" t="s">
        <v>3781</v>
      </c>
      <c r="E282" s="50" t="s">
        <v>3573</v>
      </c>
      <c r="F282" s="50" t="s">
        <v>3705</v>
      </c>
      <c r="G282" s="50" t="s">
        <v>3742</v>
      </c>
      <c r="H282" s="50" t="s">
        <v>3563</v>
      </c>
      <c r="I282" s="50" t="s">
        <v>2817</v>
      </c>
      <c r="J282" s="50" t="s">
        <v>3707</v>
      </c>
      <c r="K282" s="586">
        <v>5.5E-2</v>
      </c>
      <c r="L282" s="603" t="s">
        <v>3708</v>
      </c>
      <c r="M282" s="50" t="s">
        <v>3709</v>
      </c>
      <c r="N282" s="50">
        <v>64</v>
      </c>
      <c r="O282" s="50">
        <v>1</v>
      </c>
      <c r="P282" s="50" t="s">
        <v>3781</v>
      </c>
      <c r="Q282" s="585">
        <v>45930.69939814815</v>
      </c>
      <c r="R282" s="50" t="s">
        <v>4376</v>
      </c>
      <c r="S282" s="50" t="str">
        <f t="shared" si="4"/>
        <v>YES</v>
      </c>
    </row>
    <row r="283" spans="1:19" ht="14.5" x14ac:dyDescent="0.25">
      <c r="A283" s="584" t="s">
        <v>2855</v>
      </c>
      <c r="B283" s="50" t="s">
        <v>3605</v>
      </c>
      <c r="C283" s="50" t="s">
        <v>3704</v>
      </c>
      <c r="D283" s="57" t="s">
        <v>2855</v>
      </c>
      <c r="E283" s="50" t="s">
        <v>3573</v>
      </c>
      <c r="F283" s="50" t="s">
        <v>3705</v>
      </c>
      <c r="G283" s="50" t="s">
        <v>3706</v>
      </c>
      <c r="H283" s="50" t="s">
        <v>3563</v>
      </c>
      <c r="I283" s="50" t="s">
        <v>2817</v>
      </c>
      <c r="J283" s="50"/>
      <c r="K283" s="586"/>
      <c r="L283" s="603" t="s">
        <v>3708</v>
      </c>
      <c r="M283" s="50" t="s">
        <v>3709</v>
      </c>
      <c r="N283" s="50"/>
      <c r="O283" s="50"/>
      <c r="P283" s="50" t="s">
        <v>2855</v>
      </c>
      <c r="Q283" s="585">
        <v>45930.702175925922</v>
      </c>
      <c r="R283" s="50" t="s">
        <v>4362</v>
      </c>
      <c r="S283" s="50" t="str">
        <f t="shared" si="4"/>
        <v>YES</v>
      </c>
    </row>
    <row r="284" spans="1:19" ht="14.5" x14ac:dyDescent="0.25">
      <c r="A284" s="584" t="s">
        <v>2355</v>
      </c>
      <c r="B284" s="50" t="s">
        <v>3516</v>
      </c>
      <c r="C284" s="50" t="s">
        <v>3778</v>
      </c>
      <c r="D284" s="57" t="s">
        <v>3780</v>
      </c>
      <c r="E284" s="50" t="s">
        <v>3560</v>
      </c>
      <c r="F284" s="50" t="s">
        <v>3711</v>
      </c>
      <c r="G284" s="50" t="s">
        <v>3725</v>
      </c>
      <c r="H284" s="50" t="s">
        <v>3712</v>
      </c>
      <c r="I284" s="50" t="s">
        <v>2817</v>
      </c>
      <c r="J284" s="50" t="s">
        <v>3713</v>
      </c>
      <c r="K284" s="586">
        <v>8.1000000000000003E-2</v>
      </c>
      <c r="L284" s="600" t="s">
        <v>3570</v>
      </c>
      <c r="M284" s="50" t="s">
        <v>3714</v>
      </c>
      <c r="N284" s="50">
        <v>12</v>
      </c>
      <c r="O284" s="50">
        <v>1</v>
      </c>
      <c r="P284" s="50" t="s">
        <v>4355</v>
      </c>
      <c r="Q284" s="585">
        <v>45930.704652777778</v>
      </c>
      <c r="R284" s="50" t="s">
        <v>3568</v>
      </c>
      <c r="S284" s="50" t="str">
        <f t="shared" si="4"/>
        <v>NO</v>
      </c>
    </row>
    <row r="285" spans="1:19" ht="14.5" x14ac:dyDescent="0.25">
      <c r="A285" s="584" t="s">
        <v>2357</v>
      </c>
      <c r="B285" s="50" t="s">
        <v>3517</v>
      </c>
      <c r="C285" s="50" t="s">
        <v>3778</v>
      </c>
      <c r="D285" s="57" t="s">
        <v>3779</v>
      </c>
      <c r="E285" s="50" t="s">
        <v>3560</v>
      </c>
      <c r="F285" s="50" t="s">
        <v>3711</v>
      </c>
      <c r="G285" s="50" t="s">
        <v>3725</v>
      </c>
      <c r="H285" s="50" t="s">
        <v>3712</v>
      </c>
      <c r="I285" s="50" t="s">
        <v>2817</v>
      </c>
      <c r="J285" s="50" t="s">
        <v>3713</v>
      </c>
      <c r="K285" s="586">
        <v>8.1000000000000003E-2</v>
      </c>
      <c r="L285" s="600" t="s">
        <v>3570</v>
      </c>
      <c r="M285" s="50" t="s">
        <v>3714</v>
      </c>
      <c r="N285" s="50">
        <v>12</v>
      </c>
      <c r="O285" s="50">
        <v>1</v>
      </c>
      <c r="P285" s="50" t="s">
        <v>4356</v>
      </c>
      <c r="Q285" s="585">
        <v>45930.706354166665</v>
      </c>
      <c r="R285" s="50" t="s">
        <v>3568</v>
      </c>
      <c r="S285" s="50" t="str">
        <f t="shared" si="4"/>
        <v>NO</v>
      </c>
    </row>
    <row r="286" spans="1:19" ht="14.5" x14ac:dyDescent="0.25">
      <c r="A286" s="584" t="s">
        <v>2177</v>
      </c>
      <c r="B286" s="50" t="s">
        <v>3487</v>
      </c>
      <c r="C286" s="50" t="s">
        <v>3775</v>
      </c>
      <c r="D286" s="57" t="s">
        <v>3777</v>
      </c>
      <c r="E286" s="50" t="s">
        <v>3560</v>
      </c>
      <c r="F286" s="50" t="s">
        <v>3711</v>
      </c>
      <c r="G286" s="50" t="s">
        <v>3725</v>
      </c>
      <c r="H286" s="50" t="s">
        <v>3712</v>
      </c>
      <c r="I286" s="50" t="s">
        <v>2817</v>
      </c>
      <c r="J286" s="50" t="s">
        <v>3713</v>
      </c>
      <c r="K286" s="586">
        <v>8.1000000000000003E-2</v>
      </c>
      <c r="L286" s="600" t="s">
        <v>3570</v>
      </c>
      <c r="M286" s="50" t="s">
        <v>3714</v>
      </c>
      <c r="N286" s="50">
        <v>12</v>
      </c>
      <c r="O286" s="50">
        <v>1</v>
      </c>
      <c r="P286" s="50" t="s">
        <v>4357</v>
      </c>
      <c r="Q286" s="585">
        <v>45930.708680555559</v>
      </c>
      <c r="R286" s="50" t="s">
        <v>3568</v>
      </c>
      <c r="S286" s="50" t="str">
        <f t="shared" si="4"/>
        <v>NO</v>
      </c>
    </row>
    <row r="287" spans="1:19" ht="14.5" x14ac:dyDescent="0.25">
      <c r="A287" s="584" t="s">
        <v>2179</v>
      </c>
      <c r="B287" s="50" t="s">
        <v>3488</v>
      </c>
      <c r="C287" s="50" t="s">
        <v>3775</v>
      </c>
      <c r="D287" s="57" t="s">
        <v>3776</v>
      </c>
      <c r="E287" s="50" t="s">
        <v>3560</v>
      </c>
      <c r="F287" s="50" t="s">
        <v>3711</v>
      </c>
      <c r="G287" s="50" t="s">
        <v>3725</v>
      </c>
      <c r="H287" s="50" t="s">
        <v>3712</v>
      </c>
      <c r="I287" s="50" t="s">
        <v>2817</v>
      </c>
      <c r="J287" s="50" t="s">
        <v>3713</v>
      </c>
      <c r="K287" s="586">
        <v>8.1000000000000003E-2</v>
      </c>
      <c r="L287" s="600" t="s">
        <v>3570</v>
      </c>
      <c r="M287" s="50" t="s">
        <v>3714</v>
      </c>
      <c r="N287" s="50">
        <v>12</v>
      </c>
      <c r="O287" s="50">
        <v>1</v>
      </c>
      <c r="P287" s="50" t="s">
        <v>4358</v>
      </c>
      <c r="Q287" s="585">
        <v>45930.709976851853</v>
      </c>
      <c r="R287" s="50" t="s">
        <v>3568</v>
      </c>
      <c r="S287" s="50" t="str">
        <f t="shared" si="4"/>
        <v>NO</v>
      </c>
    </row>
    <row r="288" spans="1:19" ht="14.5" x14ac:dyDescent="0.25">
      <c r="A288" s="584" t="s">
        <v>3771</v>
      </c>
      <c r="B288" s="50" t="s">
        <v>3772</v>
      </c>
      <c r="C288" s="50" t="s">
        <v>3773</v>
      </c>
      <c r="D288" s="57" t="s">
        <v>3771</v>
      </c>
      <c r="E288" s="50" t="s">
        <v>3560</v>
      </c>
      <c r="F288" s="50" t="s">
        <v>3561</v>
      </c>
      <c r="G288" s="50" t="s">
        <v>3774</v>
      </c>
      <c r="H288" s="50" t="s">
        <v>3563</v>
      </c>
      <c r="I288" s="50" t="s">
        <v>2817</v>
      </c>
      <c r="J288" s="50" t="s">
        <v>2818</v>
      </c>
      <c r="K288" s="586">
        <v>8.1000000000000003E-2</v>
      </c>
      <c r="L288" s="591" t="s">
        <v>3564</v>
      </c>
      <c r="M288" s="50" t="s">
        <v>3701</v>
      </c>
      <c r="N288" s="50">
        <v>200</v>
      </c>
      <c r="O288" s="50">
        <v>1</v>
      </c>
      <c r="P288" s="50" t="s">
        <v>2138</v>
      </c>
      <c r="Q288" s="585">
        <v>45939.438263888886</v>
      </c>
      <c r="R288" s="50" t="s">
        <v>3579</v>
      </c>
      <c r="S288" s="50" t="str">
        <f t="shared" si="4"/>
        <v>YES</v>
      </c>
    </row>
    <row r="289" spans="1:19" ht="14.5" x14ac:dyDescent="0.25">
      <c r="A289" s="584" t="s">
        <v>2251</v>
      </c>
      <c r="B289" s="50" t="s">
        <v>3505</v>
      </c>
      <c r="C289" s="50" t="s">
        <v>3744</v>
      </c>
      <c r="D289" s="57" t="s">
        <v>3770</v>
      </c>
      <c r="E289" s="50" t="s">
        <v>3560</v>
      </c>
      <c r="F289" s="50" t="s">
        <v>3561</v>
      </c>
      <c r="G289" s="50" t="s">
        <v>3745</v>
      </c>
      <c r="H289" s="50" t="s">
        <v>3563</v>
      </c>
      <c r="I289" s="50" t="s">
        <v>2817</v>
      </c>
      <c r="J289" s="50" t="s">
        <v>2818</v>
      </c>
      <c r="K289" s="586">
        <v>8.1000000000000003E-2</v>
      </c>
      <c r="L289" s="591" t="s">
        <v>3564</v>
      </c>
      <c r="M289" s="50" t="s">
        <v>3701</v>
      </c>
      <c r="N289" s="50">
        <v>30</v>
      </c>
      <c r="O289" s="50">
        <v>1</v>
      </c>
      <c r="P289" s="50" t="s">
        <v>3770</v>
      </c>
      <c r="Q289" s="585">
        <v>45940.452847222223</v>
      </c>
      <c r="R289" s="50" t="s">
        <v>3562</v>
      </c>
      <c r="S289" s="50" t="str">
        <f t="shared" ref="S289:S339" si="5">IF(A289=P289,"YES","NO")</f>
        <v>YES</v>
      </c>
    </row>
    <row r="290" spans="1:19" ht="14.5" x14ac:dyDescent="0.25">
      <c r="A290" s="584" t="s">
        <v>2247</v>
      </c>
      <c r="B290" s="50" t="s">
        <v>3504</v>
      </c>
      <c r="C290" s="50" t="s">
        <v>3744</v>
      </c>
      <c r="D290" s="57" t="s">
        <v>3769</v>
      </c>
      <c r="E290" s="50" t="s">
        <v>3560</v>
      </c>
      <c r="F290" s="50" t="s">
        <v>3561</v>
      </c>
      <c r="G290" s="50" t="s">
        <v>3745</v>
      </c>
      <c r="H290" s="50" t="s">
        <v>3563</v>
      </c>
      <c r="I290" s="50" t="s">
        <v>2817</v>
      </c>
      <c r="J290" s="50" t="s">
        <v>2818</v>
      </c>
      <c r="K290" s="586">
        <v>8.1000000000000003E-2</v>
      </c>
      <c r="L290" s="591" t="s">
        <v>3564</v>
      </c>
      <c r="M290" s="50" t="s">
        <v>3701</v>
      </c>
      <c r="N290" s="50">
        <v>30</v>
      </c>
      <c r="O290" s="50">
        <v>1</v>
      </c>
      <c r="P290" s="50" t="s">
        <v>3769</v>
      </c>
      <c r="Q290" s="585">
        <v>45940.457326388889</v>
      </c>
      <c r="R290" s="50" t="s">
        <v>3562</v>
      </c>
      <c r="S290" s="50" t="str">
        <f t="shared" si="5"/>
        <v>YES</v>
      </c>
    </row>
    <row r="291" spans="1:19" ht="14.5" x14ac:dyDescent="0.25">
      <c r="A291" s="584" t="s">
        <v>2242</v>
      </c>
      <c r="B291" s="50" t="s">
        <v>3502</v>
      </c>
      <c r="C291" s="50" t="s">
        <v>3744</v>
      </c>
      <c r="D291" s="57" t="s">
        <v>3768</v>
      </c>
      <c r="E291" s="50" t="s">
        <v>3560</v>
      </c>
      <c r="F291" s="50" t="s">
        <v>3561</v>
      </c>
      <c r="G291" s="50" t="s">
        <v>3745</v>
      </c>
      <c r="H291" s="50" t="s">
        <v>3563</v>
      </c>
      <c r="I291" s="50" t="s">
        <v>2817</v>
      </c>
      <c r="J291" s="50" t="s">
        <v>2818</v>
      </c>
      <c r="K291" s="586">
        <v>8.1000000000000003E-2</v>
      </c>
      <c r="L291" s="591" t="s">
        <v>3564</v>
      </c>
      <c r="M291" s="50" t="s">
        <v>3701</v>
      </c>
      <c r="N291" s="50">
        <v>30</v>
      </c>
      <c r="O291" s="50">
        <v>1</v>
      </c>
      <c r="P291" s="50" t="s">
        <v>3768</v>
      </c>
      <c r="Q291" s="585">
        <v>45940.458252314813</v>
      </c>
      <c r="R291" s="50" t="s">
        <v>3562</v>
      </c>
      <c r="S291" s="50" t="str">
        <f t="shared" si="5"/>
        <v>YES</v>
      </c>
    </row>
    <row r="292" spans="1:19" ht="14.5" x14ac:dyDescent="0.25">
      <c r="A292" s="584" t="s">
        <v>2245</v>
      </c>
      <c r="B292" s="50" t="s">
        <v>3503</v>
      </c>
      <c r="C292" s="50" t="s">
        <v>3744</v>
      </c>
      <c r="D292" s="57" t="s">
        <v>3767</v>
      </c>
      <c r="E292" s="50" t="s">
        <v>3560</v>
      </c>
      <c r="F292" s="50" t="s">
        <v>3561</v>
      </c>
      <c r="G292" s="50" t="s">
        <v>3745</v>
      </c>
      <c r="H292" s="50" t="s">
        <v>3563</v>
      </c>
      <c r="I292" s="50" t="s">
        <v>2817</v>
      </c>
      <c r="J292" s="50" t="s">
        <v>2818</v>
      </c>
      <c r="K292" s="586">
        <v>8.1000000000000003E-2</v>
      </c>
      <c r="L292" s="591" t="s">
        <v>3564</v>
      </c>
      <c r="M292" s="50" t="s">
        <v>3701</v>
      </c>
      <c r="N292" s="50">
        <v>30</v>
      </c>
      <c r="O292" s="50">
        <v>1</v>
      </c>
      <c r="P292" s="50" t="s">
        <v>3767</v>
      </c>
      <c r="Q292" s="585">
        <v>45940.459270833337</v>
      </c>
      <c r="R292" s="50" t="s">
        <v>3562</v>
      </c>
      <c r="S292" s="50" t="str">
        <f t="shared" si="5"/>
        <v>YES</v>
      </c>
    </row>
    <row r="293" spans="1:19" ht="14.5" x14ac:dyDescent="0.25">
      <c r="A293" s="584" t="s">
        <v>2230</v>
      </c>
      <c r="B293" s="50" t="s">
        <v>3497</v>
      </c>
      <c r="C293" s="50" t="s">
        <v>3694</v>
      </c>
      <c r="D293" s="57" t="s">
        <v>3766</v>
      </c>
      <c r="E293" s="50" t="s">
        <v>3560</v>
      </c>
      <c r="F293" s="50" t="s">
        <v>3561</v>
      </c>
      <c r="G293" s="50" t="s">
        <v>3745</v>
      </c>
      <c r="H293" s="50" t="s">
        <v>3563</v>
      </c>
      <c r="I293" s="50" t="s">
        <v>2817</v>
      </c>
      <c r="J293" s="50" t="s">
        <v>2818</v>
      </c>
      <c r="K293" s="586">
        <v>8.1000000000000003E-2</v>
      </c>
      <c r="L293" s="591" t="s">
        <v>3564</v>
      </c>
      <c r="M293" s="50" t="s">
        <v>3701</v>
      </c>
      <c r="N293" s="50">
        <v>30</v>
      </c>
      <c r="O293" s="50">
        <v>1</v>
      </c>
      <c r="P293" s="50" t="s">
        <v>3766</v>
      </c>
      <c r="Q293" s="585">
        <v>45940.461770833332</v>
      </c>
      <c r="R293" s="50" t="s">
        <v>3562</v>
      </c>
      <c r="S293" s="50" t="str">
        <f t="shared" si="5"/>
        <v>YES</v>
      </c>
    </row>
    <row r="294" spans="1:19" ht="14.5" x14ac:dyDescent="0.25">
      <c r="A294" s="584" t="s">
        <v>2238</v>
      </c>
      <c r="B294" s="50" t="s">
        <v>3500</v>
      </c>
      <c r="C294" s="50" t="s">
        <v>3694</v>
      </c>
      <c r="D294" s="57" t="s">
        <v>3765</v>
      </c>
      <c r="E294" s="50" t="s">
        <v>3560</v>
      </c>
      <c r="F294" s="50" t="s">
        <v>3561</v>
      </c>
      <c r="G294" s="50" t="s">
        <v>3745</v>
      </c>
      <c r="H294" s="50" t="s">
        <v>3563</v>
      </c>
      <c r="I294" s="50" t="s">
        <v>2817</v>
      </c>
      <c r="J294" s="50" t="s">
        <v>2818</v>
      </c>
      <c r="K294" s="586">
        <v>8.1000000000000003E-2</v>
      </c>
      <c r="L294" s="591" t="s">
        <v>3564</v>
      </c>
      <c r="M294" s="50" t="s">
        <v>3701</v>
      </c>
      <c r="N294" s="50">
        <v>30</v>
      </c>
      <c r="O294" s="50">
        <v>1</v>
      </c>
      <c r="P294" s="50" t="s">
        <v>3765</v>
      </c>
      <c r="Q294" s="585">
        <v>45940.463726851849</v>
      </c>
      <c r="R294" s="50" t="s">
        <v>3562</v>
      </c>
      <c r="S294" s="50" t="str">
        <f t="shared" si="5"/>
        <v>YES</v>
      </c>
    </row>
    <row r="295" spans="1:19" ht="14.5" x14ac:dyDescent="0.25">
      <c r="A295" s="584" t="s">
        <v>2232</v>
      </c>
      <c r="B295" s="50" t="s">
        <v>3498</v>
      </c>
      <c r="C295" s="50" t="s">
        <v>3694</v>
      </c>
      <c r="D295" s="57" t="s">
        <v>3764</v>
      </c>
      <c r="E295" s="50" t="s">
        <v>3560</v>
      </c>
      <c r="F295" s="50" t="s">
        <v>3561</v>
      </c>
      <c r="G295" s="50" t="s">
        <v>3745</v>
      </c>
      <c r="H295" s="50" t="s">
        <v>3563</v>
      </c>
      <c r="I295" s="50" t="s">
        <v>2817</v>
      </c>
      <c r="J295" s="50" t="s">
        <v>2818</v>
      </c>
      <c r="K295" s="586">
        <v>8.1000000000000003E-2</v>
      </c>
      <c r="L295" s="591" t="s">
        <v>3564</v>
      </c>
      <c r="M295" s="50" t="s">
        <v>3701</v>
      </c>
      <c r="N295" s="50">
        <v>30</v>
      </c>
      <c r="O295" s="50">
        <v>1</v>
      </c>
      <c r="P295" s="50" t="s">
        <v>3764</v>
      </c>
      <c r="Q295" s="585">
        <v>45940.464270833334</v>
      </c>
      <c r="R295" s="50" t="s">
        <v>3562</v>
      </c>
      <c r="S295" s="50" t="str">
        <f t="shared" si="5"/>
        <v>YES</v>
      </c>
    </row>
    <row r="296" spans="1:19" ht="14.5" x14ac:dyDescent="0.25">
      <c r="A296" s="584" t="s">
        <v>2240</v>
      </c>
      <c r="B296" s="50" t="s">
        <v>3501</v>
      </c>
      <c r="C296" s="50" t="s">
        <v>3694</v>
      </c>
      <c r="D296" s="57" t="s">
        <v>3763</v>
      </c>
      <c r="E296" s="50" t="s">
        <v>3560</v>
      </c>
      <c r="F296" s="50" t="s">
        <v>3561</v>
      </c>
      <c r="G296" s="50" t="s">
        <v>3745</v>
      </c>
      <c r="H296" s="50" t="s">
        <v>3563</v>
      </c>
      <c r="I296" s="50" t="s">
        <v>2817</v>
      </c>
      <c r="J296" s="50" t="s">
        <v>2818</v>
      </c>
      <c r="K296" s="586">
        <v>8.1000000000000003E-2</v>
      </c>
      <c r="L296" s="591" t="s">
        <v>3564</v>
      </c>
      <c r="M296" s="50" t="s">
        <v>3701</v>
      </c>
      <c r="N296" s="50">
        <v>30</v>
      </c>
      <c r="O296" s="50">
        <v>1</v>
      </c>
      <c r="P296" s="50" t="s">
        <v>3763</v>
      </c>
      <c r="Q296" s="585">
        <v>45940.464907407404</v>
      </c>
      <c r="R296" s="50" t="s">
        <v>3562</v>
      </c>
      <c r="S296" s="50" t="str">
        <f t="shared" si="5"/>
        <v>YES</v>
      </c>
    </row>
    <row r="297" spans="1:19" ht="14.5" x14ac:dyDescent="0.25">
      <c r="A297" s="584" t="s">
        <v>2900</v>
      </c>
      <c r="B297" s="50" t="s">
        <v>3257</v>
      </c>
      <c r="C297" s="50" t="s">
        <v>3692</v>
      </c>
      <c r="D297" s="57" t="s">
        <v>2900</v>
      </c>
      <c r="E297" s="50" t="s">
        <v>3690</v>
      </c>
      <c r="F297" s="50" t="s">
        <v>3690</v>
      </c>
      <c r="G297" s="50" t="s">
        <v>3690</v>
      </c>
      <c r="H297" s="50" t="s">
        <v>3690</v>
      </c>
      <c r="I297" s="50"/>
      <c r="J297" s="50"/>
      <c r="K297" s="50"/>
      <c r="L297" s="600" t="s">
        <v>3570</v>
      </c>
      <c r="M297" s="50" t="s">
        <v>3714</v>
      </c>
      <c r="N297" s="50"/>
      <c r="O297" s="50"/>
      <c r="P297" s="50" t="s">
        <v>2900</v>
      </c>
      <c r="Q297" s="585">
        <v>45940.467627314814</v>
      </c>
      <c r="R297" s="50" t="s">
        <v>4362</v>
      </c>
      <c r="S297" s="50" t="str">
        <f t="shared" si="5"/>
        <v>YES</v>
      </c>
    </row>
    <row r="298" spans="1:19" ht="14.5" x14ac:dyDescent="0.25">
      <c r="A298" s="584" t="s">
        <v>2866</v>
      </c>
      <c r="B298" s="50" t="s">
        <v>3760</v>
      </c>
      <c r="C298" s="50" t="s">
        <v>3732</v>
      </c>
      <c r="D298" s="57" t="s">
        <v>3761</v>
      </c>
      <c r="E298" s="50" t="s">
        <v>3560</v>
      </c>
      <c r="F298" s="50" t="s">
        <v>3561</v>
      </c>
      <c r="G298" s="50" t="s">
        <v>3762</v>
      </c>
      <c r="H298" s="50" t="s">
        <v>3563</v>
      </c>
      <c r="I298" s="50" t="s">
        <v>3759</v>
      </c>
      <c r="J298" s="50" t="s">
        <v>2818</v>
      </c>
      <c r="K298" s="586">
        <v>8.1000000000000003E-2</v>
      </c>
      <c r="L298" s="591" t="s">
        <v>3564</v>
      </c>
      <c r="M298" s="50" t="s">
        <v>3701</v>
      </c>
      <c r="N298" s="50">
        <v>20</v>
      </c>
      <c r="O298" s="50">
        <v>2</v>
      </c>
      <c r="P298" s="50" t="s">
        <v>2866</v>
      </c>
      <c r="Q298" s="585">
        <v>45941.563611111109</v>
      </c>
      <c r="R298" s="50" t="s">
        <v>4370</v>
      </c>
      <c r="S298" s="50" t="str">
        <f t="shared" si="5"/>
        <v>YES</v>
      </c>
    </row>
    <row r="299" spans="1:19" ht="14.5" x14ac:dyDescent="0.25">
      <c r="A299" s="584" t="s">
        <v>2851</v>
      </c>
      <c r="B299" s="50" t="s">
        <v>3604</v>
      </c>
      <c r="C299" s="50" t="s">
        <v>3704</v>
      </c>
      <c r="D299" s="57" t="s">
        <v>2851</v>
      </c>
      <c r="E299" s="50" t="s">
        <v>3573</v>
      </c>
      <c r="F299" s="50" t="s">
        <v>3705</v>
      </c>
      <c r="G299" s="50" t="s">
        <v>3706</v>
      </c>
      <c r="H299" s="50" t="s">
        <v>3563</v>
      </c>
      <c r="I299" s="50" t="s">
        <v>2817</v>
      </c>
      <c r="J299" s="50"/>
      <c r="K299" s="586"/>
      <c r="L299" s="603" t="s">
        <v>3708</v>
      </c>
      <c r="M299" s="50" t="s">
        <v>3709</v>
      </c>
      <c r="N299" s="50"/>
      <c r="O299" s="50"/>
      <c r="P299" s="50" t="s">
        <v>2851</v>
      </c>
      <c r="Q299" s="585">
        <v>45943.817928240744</v>
      </c>
      <c r="R299" s="50" t="s">
        <v>4362</v>
      </c>
      <c r="S299" s="50" t="str">
        <f t="shared" si="5"/>
        <v>YES</v>
      </c>
    </row>
    <row r="300" spans="1:19" ht="14.5" x14ac:dyDescent="0.25">
      <c r="A300" s="584" t="s">
        <v>2297</v>
      </c>
      <c r="B300" s="50" t="s">
        <v>3509</v>
      </c>
      <c r="C300" s="50" t="s">
        <v>3721</v>
      </c>
      <c r="D300" s="57" t="s">
        <v>2297</v>
      </c>
      <c r="E300" s="50" t="s">
        <v>3573</v>
      </c>
      <c r="F300" s="50" t="s">
        <v>3705</v>
      </c>
      <c r="G300" s="50" t="s">
        <v>3600</v>
      </c>
      <c r="H300" s="50" t="s">
        <v>3563</v>
      </c>
      <c r="I300" s="50" t="s">
        <v>2817</v>
      </c>
      <c r="J300" s="50" t="s">
        <v>3707</v>
      </c>
      <c r="K300" s="586">
        <v>5.5E-2</v>
      </c>
      <c r="L300" s="603" t="s">
        <v>3708</v>
      </c>
      <c r="M300" s="50" t="s">
        <v>3709</v>
      </c>
      <c r="N300" s="50">
        <v>64</v>
      </c>
      <c r="O300" s="50">
        <v>1</v>
      </c>
      <c r="P300" s="50" t="s">
        <v>2297</v>
      </c>
      <c r="Q300" s="585">
        <v>45950.757650462961</v>
      </c>
      <c r="R300" s="50" t="s">
        <v>4376</v>
      </c>
      <c r="S300" s="50" t="str">
        <f t="shared" si="5"/>
        <v>YES</v>
      </c>
    </row>
    <row r="301" spans="1:19" ht="14.5" x14ac:dyDescent="0.25">
      <c r="A301" s="584" t="s">
        <v>3757</v>
      </c>
      <c r="B301" s="50" t="s">
        <v>3758</v>
      </c>
      <c r="C301" s="50" t="s">
        <v>3732</v>
      </c>
      <c r="D301" s="57" t="s">
        <v>3757</v>
      </c>
      <c r="E301" s="50" t="s">
        <v>3560</v>
      </c>
      <c r="F301" s="50" t="s">
        <v>3561</v>
      </c>
      <c r="G301" s="50" t="s">
        <v>3745</v>
      </c>
      <c r="H301" s="50" t="s">
        <v>3563</v>
      </c>
      <c r="I301" s="50" t="s">
        <v>3759</v>
      </c>
      <c r="J301" s="50" t="s">
        <v>2818</v>
      </c>
      <c r="K301" s="586">
        <v>8.1000000000000003E-2</v>
      </c>
      <c r="L301" s="591" t="s">
        <v>3564</v>
      </c>
      <c r="M301" s="50" t="s">
        <v>3701</v>
      </c>
      <c r="N301" s="50">
        <v>30</v>
      </c>
      <c r="O301" s="50">
        <v>1</v>
      </c>
      <c r="P301" s="50" t="s">
        <v>3757</v>
      </c>
      <c r="Q301" s="585">
        <v>45964.723912037036</v>
      </c>
      <c r="R301" s="50" t="s">
        <v>3562</v>
      </c>
      <c r="S301" s="50" t="str">
        <f t="shared" si="5"/>
        <v>YES</v>
      </c>
    </row>
    <row r="302" spans="1:19" ht="14.5" x14ac:dyDescent="0.25">
      <c r="A302" s="584" t="s">
        <v>3755</v>
      </c>
      <c r="B302" s="50" t="s">
        <v>3756</v>
      </c>
      <c r="C302" s="50" t="s">
        <v>3704</v>
      </c>
      <c r="D302" s="57" t="s">
        <v>3755</v>
      </c>
      <c r="E302" s="50" t="s">
        <v>3573</v>
      </c>
      <c r="F302" s="50" t="s">
        <v>3705</v>
      </c>
      <c r="G302" s="50" t="s">
        <v>3706</v>
      </c>
      <c r="H302" s="50" t="s">
        <v>3563</v>
      </c>
      <c r="I302" s="50" t="s">
        <v>2817</v>
      </c>
      <c r="J302" s="50"/>
      <c r="K302" s="50"/>
      <c r="L302" s="603" t="s">
        <v>3708</v>
      </c>
      <c r="M302" s="50" t="s">
        <v>3709</v>
      </c>
      <c r="N302" s="50"/>
      <c r="O302" s="50"/>
      <c r="P302" s="50" t="s">
        <v>3755</v>
      </c>
      <c r="Q302" s="585">
        <v>46001.584490740737</v>
      </c>
      <c r="R302" s="50" t="s">
        <v>4362</v>
      </c>
      <c r="S302" s="50" t="str">
        <f t="shared" si="5"/>
        <v>YES</v>
      </c>
    </row>
    <row r="303" spans="1:19" ht="14.5" x14ac:dyDescent="0.25">
      <c r="A303" s="584" t="s">
        <v>3753</v>
      </c>
      <c r="B303" s="50" t="s">
        <v>3754</v>
      </c>
      <c r="C303" s="50" t="s">
        <v>3704</v>
      </c>
      <c r="D303" s="57" t="s">
        <v>3753</v>
      </c>
      <c r="E303" s="50" t="s">
        <v>3573</v>
      </c>
      <c r="F303" s="50" t="s">
        <v>3705</v>
      </c>
      <c r="G303" s="50" t="s">
        <v>3706</v>
      </c>
      <c r="H303" s="50" t="s">
        <v>3563</v>
      </c>
      <c r="I303" s="50" t="s">
        <v>2817</v>
      </c>
      <c r="J303" s="50"/>
      <c r="K303" s="50"/>
      <c r="L303" s="603" t="s">
        <v>3708</v>
      </c>
      <c r="M303" s="50" t="s">
        <v>3709</v>
      </c>
      <c r="N303" s="50"/>
      <c r="O303" s="50"/>
      <c r="P303" s="50" t="s">
        <v>3753</v>
      </c>
      <c r="Q303" s="585">
        <v>46001.586817129632</v>
      </c>
      <c r="R303" s="50" t="s">
        <v>4362</v>
      </c>
      <c r="S303" s="50" t="str">
        <f t="shared" si="5"/>
        <v>YES</v>
      </c>
    </row>
    <row r="304" spans="1:19" ht="14.5" x14ac:dyDescent="0.25">
      <c r="A304" s="584" t="s">
        <v>3751</v>
      </c>
      <c r="B304" s="50" t="s">
        <v>3752</v>
      </c>
      <c r="C304" s="50" t="s">
        <v>3704</v>
      </c>
      <c r="D304" s="57" t="s">
        <v>3751</v>
      </c>
      <c r="E304" s="50" t="s">
        <v>3573</v>
      </c>
      <c r="F304" s="50" t="s">
        <v>3705</v>
      </c>
      <c r="G304" s="50" t="s">
        <v>3706</v>
      </c>
      <c r="H304" s="50" t="s">
        <v>3563</v>
      </c>
      <c r="I304" s="50" t="s">
        <v>2817</v>
      </c>
      <c r="J304" s="50"/>
      <c r="K304" s="50"/>
      <c r="L304" s="603" t="s">
        <v>3708</v>
      </c>
      <c r="M304" s="50" t="s">
        <v>3709</v>
      </c>
      <c r="N304" s="50"/>
      <c r="O304" s="50"/>
      <c r="P304" s="50" t="s">
        <v>3751</v>
      </c>
      <c r="Q304" s="585">
        <v>46001.587997685187</v>
      </c>
      <c r="R304" s="50" t="s">
        <v>4362</v>
      </c>
      <c r="S304" s="50" t="str">
        <f t="shared" si="5"/>
        <v>YES</v>
      </c>
    </row>
    <row r="305" spans="1:19" ht="14.5" x14ac:dyDescent="0.25">
      <c r="A305" s="584" t="s">
        <v>3749</v>
      </c>
      <c r="B305" s="50" t="s">
        <v>3750</v>
      </c>
      <c r="C305" s="50" t="s">
        <v>3704</v>
      </c>
      <c r="D305" s="57" t="s">
        <v>3749</v>
      </c>
      <c r="E305" s="50" t="s">
        <v>3573</v>
      </c>
      <c r="F305" s="50" t="s">
        <v>3705</v>
      </c>
      <c r="G305" s="50" t="s">
        <v>3706</v>
      </c>
      <c r="H305" s="50" t="s">
        <v>3563</v>
      </c>
      <c r="I305" s="50" t="s">
        <v>2817</v>
      </c>
      <c r="J305" s="50"/>
      <c r="K305" s="50"/>
      <c r="L305" s="603" t="s">
        <v>3708</v>
      </c>
      <c r="M305" s="50" t="s">
        <v>3709</v>
      </c>
      <c r="N305" s="50"/>
      <c r="O305" s="50"/>
      <c r="P305" s="50" t="s">
        <v>3749</v>
      </c>
      <c r="Q305" s="585">
        <v>46001.58866898148</v>
      </c>
      <c r="R305" s="50" t="s">
        <v>4362</v>
      </c>
      <c r="S305" s="50" t="str">
        <f t="shared" si="5"/>
        <v>YES</v>
      </c>
    </row>
    <row r="306" spans="1:19" ht="14.5" x14ac:dyDescent="0.25">
      <c r="A306" s="584" t="s">
        <v>4144</v>
      </c>
      <c r="B306" s="50" t="s">
        <v>4145</v>
      </c>
      <c r="C306" s="50" t="s">
        <v>3748</v>
      </c>
      <c r="D306" s="57" t="s">
        <v>3747</v>
      </c>
      <c r="E306" s="50" t="s">
        <v>3560</v>
      </c>
      <c r="F306" s="50" t="s">
        <v>3561</v>
      </c>
      <c r="G306" s="50" t="s">
        <v>3745</v>
      </c>
      <c r="H306" s="50" t="s">
        <v>3563</v>
      </c>
      <c r="I306" s="50" t="s">
        <v>2817</v>
      </c>
      <c r="J306" s="50" t="s">
        <v>2818</v>
      </c>
      <c r="K306" s="586">
        <v>8.1000000000000003E-2</v>
      </c>
      <c r="L306" s="591" t="s">
        <v>3564</v>
      </c>
      <c r="M306" s="50" t="s">
        <v>3701</v>
      </c>
      <c r="N306" s="50">
        <v>20</v>
      </c>
      <c r="O306" s="50">
        <v>1</v>
      </c>
      <c r="P306" s="584" t="s">
        <v>4144</v>
      </c>
      <c r="Q306" s="585">
        <v>46001.6565625</v>
      </c>
      <c r="R306" s="50" t="s">
        <v>3562</v>
      </c>
      <c r="S306" s="50" t="str">
        <f t="shared" si="5"/>
        <v>YES</v>
      </c>
    </row>
    <row r="307" spans="1:19" ht="14.5" x14ac:dyDescent="0.25">
      <c r="A307" s="584" t="s">
        <v>3746</v>
      </c>
      <c r="B307" s="50" t="s">
        <v>4371</v>
      </c>
      <c r="C307" s="50" t="s">
        <v>3744</v>
      </c>
      <c r="D307" s="57" t="s">
        <v>3746</v>
      </c>
      <c r="E307" s="50" t="s">
        <v>3560</v>
      </c>
      <c r="F307" s="50" t="s">
        <v>3561</v>
      </c>
      <c r="G307" s="50" t="s">
        <v>3745</v>
      </c>
      <c r="H307" s="50" t="s">
        <v>3563</v>
      </c>
      <c r="I307" s="50" t="s">
        <v>2817</v>
      </c>
      <c r="J307" s="50" t="s">
        <v>2818</v>
      </c>
      <c r="K307" s="586">
        <v>8.1000000000000003E-2</v>
      </c>
      <c r="L307" s="591" t="s">
        <v>3564</v>
      </c>
      <c r="M307" s="50" t="s">
        <v>3701</v>
      </c>
      <c r="N307" s="50">
        <v>30</v>
      </c>
      <c r="O307" s="50">
        <v>1</v>
      </c>
      <c r="P307" s="50" t="s">
        <v>3746</v>
      </c>
      <c r="Q307" s="585">
        <v>46001.658541666664</v>
      </c>
      <c r="R307" s="50" t="s">
        <v>3562</v>
      </c>
      <c r="S307" s="50" t="str">
        <f t="shared" si="5"/>
        <v>YES</v>
      </c>
    </row>
    <row r="308" spans="1:19" ht="14.5" x14ac:dyDescent="0.25">
      <c r="A308" s="584" t="s">
        <v>3743</v>
      </c>
      <c r="B308" s="50" t="s">
        <v>4372</v>
      </c>
      <c r="C308" s="50" t="s">
        <v>3744</v>
      </c>
      <c r="D308" s="57" t="s">
        <v>3743</v>
      </c>
      <c r="E308" s="50" t="s">
        <v>3560</v>
      </c>
      <c r="F308" s="50" t="s">
        <v>3561</v>
      </c>
      <c r="G308" s="50" t="s">
        <v>3745</v>
      </c>
      <c r="H308" s="50" t="s">
        <v>3563</v>
      </c>
      <c r="I308" s="50" t="s">
        <v>2817</v>
      </c>
      <c r="J308" s="50" t="s">
        <v>2818</v>
      </c>
      <c r="K308" s="586">
        <v>8.1000000000000003E-2</v>
      </c>
      <c r="L308" s="591" t="s">
        <v>3564</v>
      </c>
      <c r="M308" s="50" t="s">
        <v>3701</v>
      </c>
      <c r="N308" s="50">
        <v>30</v>
      </c>
      <c r="O308" s="50">
        <v>1</v>
      </c>
      <c r="P308" s="50" t="s">
        <v>3743</v>
      </c>
      <c r="Q308" s="585">
        <v>46001.659537037034</v>
      </c>
      <c r="R308" s="50" t="s">
        <v>3562</v>
      </c>
      <c r="S308" s="50" t="str">
        <f t="shared" si="5"/>
        <v>YES</v>
      </c>
    </row>
    <row r="309" spans="1:19" ht="14.5" x14ac:dyDescent="0.25">
      <c r="A309" s="584" t="s">
        <v>2863</v>
      </c>
      <c r="B309" s="50" t="s">
        <v>3603</v>
      </c>
      <c r="C309" s="50" t="s">
        <v>3721</v>
      </c>
      <c r="D309" s="57" t="s">
        <v>2863</v>
      </c>
      <c r="E309" s="50" t="s">
        <v>3573</v>
      </c>
      <c r="F309" s="50" t="s">
        <v>3705</v>
      </c>
      <c r="G309" s="50" t="s">
        <v>3742</v>
      </c>
      <c r="H309" s="50" t="s">
        <v>3563</v>
      </c>
      <c r="I309" s="50" t="s">
        <v>2817</v>
      </c>
      <c r="J309" s="50" t="s">
        <v>3707</v>
      </c>
      <c r="K309" s="586">
        <v>5.5E-2</v>
      </c>
      <c r="L309" s="603" t="s">
        <v>3708</v>
      </c>
      <c r="M309" s="50" t="s">
        <v>3709</v>
      </c>
      <c r="N309" s="50">
        <v>64</v>
      </c>
      <c r="O309" s="50">
        <v>1</v>
      </c>
      <c r="P309" s="50" t="s">
        <v>2863</v>
      </c>
      <c r="Q309" s="585">
        <v>46001.662534722222</v>
      </c>
      <c r="R309" s="50" t="s">
        <v>4376</v>
      </c>
      <c r="S309" s="50" t="str">
        <f t="shared" si="5"/>
        <v>YES</v>
      </c>
    </row>
    <row r="310" spans="1:19" ht="14.5" x14ac:dyDescent="0.25">
      <c r="A310" s="584" t="s">
        <v>3740</v>
      </c>
      <c r="B310" s="50" t="s">
        <v>3741</v>
      </c>
      <c r="C310" s="50" t="s">
        <v>3704</v>
      </c>
      <c r="D310" s="57" t="s">
        <v>3740</v>
      </c>
      <c r="E310" s="50" t="s">
        <v>3573</v>
      </c>
      <c r="F310" s="50" t="s">
        <v>3705</v>
      </c>
      <c r="G310" s="50" t="s">
        <v>3706</v>
      </c>
      <c r="H310" s="50" t="s">
        <v>3563</v>
      </c>
      <c r="I310" s="50" t="s">
        <v>2817</v>
      </c>
      <c r="J310" s="50"/>
      <c r="K310" s="586"/>
      <c r="L310" s="595" t="s">
        <v>3602</v>
      </c>
      <c r="M310" s="50" t="s">
        <v>3739</v>
      </c>
      <c r="N310" s="50"/>
      <c r="O310" s="50"/>
      <c r="P310" s="50" t="s">
        <v>3740</v>
      </c>
      <c r="Q310" s="585">
        <v>46001.66778935185</v>
      </c>
      <c r="R310" s="50" t="s">
        <v>4362</v>
      </c>
      <c r="S310" s="50" t="str">
        <f t="shared" si="5"/>
        <v>YES</v>
      </c>
    </row>
    <row r="311" spans="1:19" ht="14.5" x14ac:dyDescent="0.25">
      <c r="A311" s="584" t="s">
        <v>3735</v>
      </c>
      <c r="B311" s="50" t="s">
        <v>3736</v>
      </c>
      <c r="C311" s="50" t="s">
        <v>3737</v>
      </c>
      <c r="D311" s="57" t="s">
        <v>3735</v>
      </c>
      <c r="E311" s="50" t="s">
        <v>3573</v>
      </c>
      <c r="F311" s="50" t="s">
        <v>3705</v>
      </c>
      <c r="G311" s="50" t="s">
        <v>3738</v>
      </c>
      <c r="H311" s="50" t="s">
        <v>3563</v>
      </c>
      <c r="I311" s="50" t="s">
        <v>2817</v>
      </c>
      <c r="J311" s="50" t="s">
        <v>3707</v>
      </c>
      <c r="K311" s="586">
        <v>5.5E-2</v>
      </c>
      <c r="L311" s="595" t="s">
        <v>3602</v>
      </c>
      <c r="M311" s="50" t="s">
        <v>3739</v>
      </c>
      <c r="N311" s="50">
        <v>76</v>
      </c>
      <c r="O311" s="50">
        <v>6</v>
      </c>
      <c r="P311" s="50" t="s">
        <v>3735</v>
      </c>
      <c r="Q311" s="585">
        <v>46001.670057870368</v>
      </c>
      <c r="R311" s="50" t="s">
        <v>4374</v>
      </c>
      <c r="S311" s="50" t="str">
        <f t="shared" si="5"/>
        <v>YES</v>
      </c>
    </row>
    <row r="312" spans="1:19" ht="14.5" x14ac:dyDescent="0.25">
      <c r="A312" s="584" t="s">
        <v>2886</v>
      </c>
      <c r="B312" s="605" t="s">
        <v>3601</v>
      </c>
      <c r="C312" s="50" t="s">
        <v>3694</v>
      </c>
      <c r="D312" s="57" t="s">
        <v>2886</v>
      </c>
      <c r="E312" s="605" t="s">
        <v>3581</v>
      </c>
      <c r="F312" s="605" t="s">
        <v>3582</v>
      </c>
      <c r="G312" s="605" t="s">
        <v>3731</v>
      </c>
      <c r="H312" s="50" t="s">
        <v>3563</v>
      </c>
      <c r="I312" s="50" t="s">
        <v>2817</v>
      </c>
      <c r="J312" s="50" t="s">
        <v>2818</v>
      </c>
      <c r="K312" s="586">
        <v>8.1000000000000003E-2</v>
      </c>
      <c r="L312" s="591" t="s">
        <v>3564</v>
      </c>
      <c r="M312" s="50" t="s">
        <v>3701</v>
      </c>
      <c r="N312" s="50">
        <v>30</v>
      </c>
      <c r="O312" s="50">
        <v>1</v>
      </c>
      <c r="P312" s="605" t="s">
        <v>2886</v>
      </c>
      <c r="Q312" s="585">
        <v>46013.720902777779</v>
      </c>
      <c r="R312" s="50" t="s">
        <v>3562</v>
      </c>
      <c r="S312" s="50" t="str">
        <f t="shared" si="5"/>
        <v>YES</v>
      </c>
    </row>
    <row r="313" spans="1:19" ht="14.5" x14ac:dyDescent="0.25">
      <c r="A313" s="584" t="s">
        <v>2864</v>
      </c>
      <c r="B313" s="605" t="s">
        <v>3599</v>
      </c>
      <c r="C313" s="50" t="s">
        <v>3721</v>
      </c>
      <c r="D313" s="57" t="s">
        <v>2864</v>
      </c>
      <c r="E313" s="605" t="s">
        <v>3597</v>
      </c>
      <c r="F313" s="605" t="s">
        <v>3598</v>
      </c>
      <c r="G313" s="605" t="s">
        <v>3734</v>
      </c>
      <c r="H313" s="50" t="s">
        <v>3563</v>
      </c>
      <c r="I313" s="50" t="s">
        <v>2817</v>
      </c>
      <c r="J313" s="50" t="s">
        <v>2818</v>
      </c>
      <c r="K313" s="586">
        <v>8.1000000000000003E-2</v>
      </c>
      <c r="L313" s="603" t="s">
        <v>3708</v>
      </c>
      <c r="M313" s="50" t="s">
        <v>3709</v>
      </c>
      <c r="N313" s="50">
        <v>64</v>
      </c>
      <c r="O313" s="50">
        <v>1</v>
      </c>
      <c r="P313" s="605" t="s">
        <v>2864</v>
      </c>
      <c r="Q313" s="585">
        <v>46015.593414351853</v>
      </c>
      <c r="R313" s="50" t="s">
        <v>4376</v>
      </c>
      <c r="S313" s="50" t="str">
        <f t="shared" si="5"/>
        <v>YES</v>
      </c>
    </row>
    <row r="314" spans="1:19" ht="14.5" x14ac:dyDescent="0.25">
      <c r="A314" s="584" t="s">
        <v>2861</v>
      </c>
      <c r="B314" s="605" t="s">
        <v>3596</v>
      </c>
      <c r="C314" s="50" t="s">
        <v>3704</v>
      </c>
      <c r="D314" s="57" t="s">
        <v>2861</v>
      </c>
      <c r="E314" s="605" t="s">
        <v>3597</v>
      </c>
      <c r="F314" s="605" t="s">
        <v>3598</v>
      </c>
      <c r="G314" s="605" t="s">
        <v>3733</v>
      </c>
      <c r="H314" s="50" t="s">
        <v>3563</v>
      </c>
      <c r="I314" s="50" t="s">
        <v>2817</v>
      </c>
      <c r="J314" s="50"/>
      <c r="K314" s="586"/>
      <c r="L314" s="603" t="s">
        <v>3708</v>
      </c>
      <c r="M314" s="50" t="s">
        <v>3709</v>
      </c>
      <c r="N314" s="50"/>
      <c r="O314" s="50"/>
      <c r="P314" s="605" t="s">
        <v>2861</v>
      </c>
      <c r="Q314" s="585">
        <v>46015.596666666665</v>
      </c>
      <c r="R314" s="50" t="s">
        <v>4362</v>
      </c>
      <c r="S314" s="50" t="str">
        <f t="shared" si="5"/>
        <v>YES</v>
      </c>
    </row>
    <row r="315" spans="1:19" ht="14.5" x14ac:dyDescent="0.25">
      <c r="A315" s="584" t="s">
        <v>2885</v>
      </c>
      <c r="B315" s="605" t="s">
        <v>3595</v>
      </c>
      <c r="C315" s="50" t="s">
        <v>3732</v>
      </c>
      <c r="D315" s="57" t="s">
        <v>2885</v>
      </c>
      <c r="E315" s="605" t="s">
        <v>3581</v>
      </c>
      <c r="F315" s="605" t="s">
        <v>3582</v>
      </c>
      <c r="G315" s="605" t="s">
        <v>3731</v>
      </c>
      <c r="H315" s="50" t="s">
        <v>3563</v>
      </c>
      <c r="I315" s="50" t="s">
        <v>3759</v>
      </c>
      <c r="J315" s="50" t="s">
        <v>2818</v>
      </c>
      <c r="K315" s="586">
        <v>8.1000000000000003E-2</v>
      </c>
      <c r="L315" s="591" t="s">
        <v>3564</v>
      </c>
      <c r="M315" s="50" t="s">
        <v>3701</v>
      </c>
      <c r="N315" s="50">
        <v>30</v>
      </c>
      <c r="O315" s="50">
        <v>1</v>
      </c>
      <c r="P315" s="605" t="s">
        <v>2885</v>
      </c>
      <c r="Q315" s="585">
        <v>46015.608067129629</v>
      </c>
      <c r="R315" s="50" t="s">
        <v>3562</v>
      </c>
      <c r="S315" s="50" t="str">
        <f t="shared" si="5"/>
        <v>YES</v>
      </c>
    </row>
    <row r="316" spans="1:19" ht="14.5" x14ac:dyDescent="0.25">
      <c r="A316" s="584" t="s">
        <v>2888</v>
      </c>
      <c r="B316" s="605" t="s">
        <v>3594</v>
      </c>
      <c r="C316" s="50" t="s">
        <v>3730</v>
      </c>
      <c r="D316" s="57" t="s">
        <v>2888</v>
      </c>
      <c r="E316" s="605" t="s">
        <v>3581</v>
      </c>
      <c r="F316" s="605" t="s">
        <v>3582</v>
      </c>
      <c r="G316" s="605" t="s">
        <v>3731</v>
      </c>
      <c r="H316" s="50" t="s">
        <v>3563</v>
      </c>
      <c r="I316" s="50" t="s">
        <v>2817</v>
      </c>
      <c r="J316" s="50" t="s">
        <v>2818</v>
      </c>
      <c r="K316" s="586">
        <v>8.1000000000000003E-2</v>
      </c>
      <c r="L316" s="591" t="s">
        <v>3564</v>
      </c>
      <c r="M316" s="50" t="s">
        <v>3701</v>
      </c>
      <c r="N316" s="50">
        <v>30</v>
      </c>
      <c r="O316" s="50">
        <v>1</v>
      </c>
      <c r="P316" s="605" t="s">
        <v>2888</v>
      </c>
      <c r="Q316" s="585">
        <v>46015.611805555556</v>
      </c>
      <c r="R316" s="50" t="s">
        <v>3562</v>
      </c>
      <c r="S316" s="50" t="str">
        <f t="shared" si="5"/>
        <v>YES</v>
      </c>
    </row>
    <row r="317" spans="1:19" ht="14.5" x14ac:dyDescent="0.25">
      <c r="A317" s="584" t="s">
        <v>2887</v>
      </c>
      <c r="B317" s="605" t="s">
        <v>3593</v>
      </c>
      <c r="C317" s="50" t="s">
        <v>3730</v>
      </c>
      <c r="D317" s="57" t="s">
        <v>2887</v>
      </c>
      <c r="E317" s="605" t="s">
        <v>3581</v>
      </c>
      <c r="F317" s="605" t="s">
        <v>3582</v>
      </c>
      <c r="G317" s="605" t="s">
        <v>3731</v>
      </c>
      <c r="H317" s="50" t="s">
        <v>3563</v>
      </c>
      <c r="I317" s="50" t="s">
        <v>2817</v>
      </c>
      <c r="J317" s="50" t="s">
        <v>2818</v>
      </c>
      <c r="K317" s="586">
        <v>8.1000000000000003E-2</v>
      </c>
      <c r="L317" s="591" t="s">
        <v>3564</v>
      </c>
      <c r="M317" s="50" t="s">
        <v>3701</v>
      </c>
      <c r="N317" s="50">
        <v>30</v>
      </c>
      <c r="O317" s="50">
        <v>1</v>
      </c>
      <c r="P317" s="605" t="s">
        <v>2887</v>
      </c>
      <c r="Q317" s="585">
        <v>46015.61509259259</v>
      </c>
      <c r="R317" s="50" t="s">
        <v>3562</v>
      </c>
      <c r="S317" s="50" t="str">
        <f t="shared" si="5"/>
        <v>YES</v>
      </c>
    </row>
    <row r="318" spans="1:19" ht="14.5" x14ac:dyDescent="0.25">
      <c r="A318" s="584" t="s">
        <v>2932</v>
      </c>
      <c r="B318" s="50" t="s">
        <v>3592</v>
      </c>
      <c r="C318" s="50" t="s">
        <v>3724</v>
      </c>
      <c r="D318" s="57" t="s">
        <v>2932</v>
      </c>
      <c r="E318" s="50" t="s">
        <v>3560</v>
      </c>
      <c r="F318" s="50" t="s">
        <v>3567</v>
      </c>
      <c r="G318" s="50" t="s">
        <v>3729</v>
      </c>
      <c r="H318" s="50" t="s">
        <v>3712</v>
      </c>
      <c r="I318" s="50" t="s">
        <v>2817</v>
      </c>
      <c r="J318" s="50" t="s">
        <v>3713</v>
      </c>
      <c r="K318" s="586">
        <v>8.1000000000000003E-2</v>
      </c>
      <c r="L318" s="591" t="s">
        <v>3726</v>
      </c>
      <c r="M318" s="50" t="s">
        <v>3701</v>
      </c>
      <c r="N318" s="50">
        <v>9</v>
      </c>
      <c r="O318" s="50">
        <v>1</v>
      </c>
      <c r="P318" s="50" t="s">
        <v>2932</v>
      </c>
      <c r="Q318" s="585">
        <v>46027.751423611109</v>
      </c>
      <c r="R318" s="50" t="s">
        <v>4363</v>
      </c>
      <c r="S318" s="50" t="str">
        <f t="shared" si="5"/>
        <v>YES</v>
      </c>
    </row>
    <row r="319" spans="1:19" ht="14.5" x14ac:dyDescent="0.25">
      <c r="A319" s="584" t="s">
        <v>3183</v>
      </c>
      <c r="B319" s="50" t="s">
        <v>3591</v>
      </c>
      <c r="C319" s="50" t="s">
        <v>3182</v>
      </c>
      <c r="D319" s="57" t="s">
        <v>3183</v>
      </c>
      <c r="E319" s="50" t="s">
        <v>3560</v>
      </c>
      <c r="F319" s="50" t="s">
        <v>3567</v>
      </c>
      <c r="G319" s="50" t="s">
        <v>3590</v>
      </c>
      <c r="H319" s="50" t="s">
        <v>3569</v>
      </c>
      <c r="I319" s="50" t="s">
        <v>2817</v>
      </c>
      <c r="J319" s="50" t="s">
        <v>2818</v>
      </c>
      <c r="K319" s="586">
        <v>8.1000000000000003E-2</v>
      </c>
      <c r="L319" s="591" t="s">
        <v>3564</v>
      </c>
      <c r="M319" s="50" t="s">
        <v>3565</v>
      </c>
      <c r="N319" s="50">
        <v>9</v>
      </c>
      <c r="O319" s="50">
        <v>1</v>
      </c>
      <c r="P319" s="50" t="s">
        <v>3183</v>
      </c>
      <c r="Q319" s="585">
        <v>46027.756527777776</v>
      </c>
      <c r="R319" s="50" t="s">
        <v>4363</v>
      </c>
      <c r="S319" s="50" t="str">
        <f t="shared" si="5"/>
        <v>YES</v>
      </c>
    </row>
    <row r="320" spans="1:19" ht="14.5" x14ac:dyDescent="0.25">
      <c r="A320" s="584" t="s">
        <v>2933</v>
      </c>
      <c r="B320" s="50" t="s">
        <v>3589</v>
      </c>
      <c r="C320" s="50" t="s">
        <v>3724</v>
      </c>
      <c r="D320" s="57" t="s">
        <v>2933</v>
      </c>
      <c r="E320" s="50" t="s">
        <v>3560</v>
      </c>
      <c r="F320" s="50" t="s">
        <v>3567</v>
      </c>
      <c r="G320" s="50" t="s">
        <v>3729</v>
      </c>
      <c r="H320" s="50" t="s">
        <v>3712</v>
      </c>
      <c r="I320" s="50" t="s">
        <v>2817</v>
      </c>
      <c r="J320" s="50" t="s">
        <v>3713</v>
      </c>
      <c r="K320" s="586">
        <v>8.1000000000000003E-2</v>
      </c>
      <c r="L320" s="591" t="s">
        <v>3726</v>
      </c>
      <c r="M320" s="50" t="s">
        <v>3701</v>
      </c>
      <c r="N320" s="50">
        <v>9</v>
      </c>
      <c r="O320" s="50">
        <v>1</v>
      </c>
      <c r="P320" s="50" t="s">
        <v>2933</v>
      </c>
      <c r="Q320" s="585">
        <v>46027.757696759261</v>
      </c>
      <c r="R320" s="50" t="s">
        <v>4363</v>
      </c>
      <c r="S320" s="50" t="str">
        <f t="shared" si="5"/>
        <v>YES</v>
      </c>
    </row>
    <row r="321" spans="1:19" ht="14.5" x14ac:dyDescent="0.25">
      <c r="A321" s="584" t="s">
        <v>2938</v>
      </c>
      <c r="B321" s="50" t="s">
        <v>3588</v>
      </c>
      <c r="C321" s="50" t="s">
        <v>3724</v>
      </c>
      <c r="D321" s="57" t="s">
        <v>2938</v>
      </c>
      <c r="E321" s="50" t="s">
        <v>3560</v>
      </c>
      <c r="F321" s="50" t="s">
        <v>3711</v>
      </c>
      <c r="G321" s="50" t="s">
        <v>3725</v>
      </c>
      <c r="H321" s="50" t="s">
        <v>3712</v>
      </c>
      <c r="I321" s="50" t="s">
        <v>2817</v>
      </c>
      <c r="J321" s="50" t="s">
        <v>2818</v>
      </c>
      <c r="K321" s="586">
        <v>8.1000000000000003E-2</v>
      </c>
      <c r="L321" s="591" t="s">
        <v>3726</v>
      </c>
      <c r="M321" s="50" t="s">
        <v>3701</v>
      </c>
      <c r="N321" s="50">
        <v>9</v>
      </c>
      <c r="O321" s="50">
        <v>1</v>
      </c>
      <c r="P321" s="50" t="s">
        <v>2938</v>
      </c>
      <c r="Q321" s="585">
        <v>46027.764502314814</v>
      </c>
      <c r="R321" s="50" t="s">
        <v>4350</v>
      </c>
      <c r="S321" s="50" t="str">
        <f t="shared" si="5"/>
        <v>YES</v>
      </c>
    </row>
    <row r="322" spans="1:19" ht="14.5" x14ac:dyDescent="0.25">
      <c r="A322" s="584" t="s">
        <v>2939</v>
      </c>
      <c r="B322" s="50" t="s">
        <v>3587</v>
      </c>
      <c r="C322" s="50" t="s">
        <v>3724</v>
      </c>
      <c r="D322" s="57" t="s">
        <v>2939</v>
      </c>
      <c r="E322" s="50" t="s">
        <v>3560</v>
      </c>
      <c r="F322" s="50" t="s">
        <v>3711</v>
      </c>
      <c r="G322" s="50" t="s">
        <v>3725</v>
      </c>
      <c r="H322" s="50" t="s">
        <v>3712</v>
      </c>
      <c r="I322" s="50" t="s">
        <v>2817</v>
      </c>
      <c r="J322" s="50" t="s">
        <v>2818</v>
      </c>
      <c r="K322" s="586">
        <v>8.1000000000000003E-2</v>
      </c>
      <c r="L322" s="591" t="s">
        <v>3726</v>
      </c>
      <c r="M322" s="50" t="s">
        <v>3701</v>
      </c>
      <c r="N322" s="50">
        <v>9</v>
      </c>
      <c r="O322" s="50">
        <v>1</v>
      </c>
      <c r="P322" s="50" t="s">
        <v>2939</v>
      </c>
      <c r="Q322" s="585">
        <v>46027.772824074076</v>
      </c>
      <c r="R322" s="50" t="s">
        <v>4350</v>
      </c>
      <c r="S322" s="50" t="str">
        <f t="shared" si="5"/>
        <v>YES</v>
      </c>
    </row>
    <row r="323" spans="1:19" ht="14.5" x14ac:dyDescent="0.25">
      <c r="A323" s="584" t="s">
        <v>3719</v>
      </c>
      <c r="B323" s="50" t="s">
        <v>3720</v>
      </c>
      <c r="C323" s="50" t="s">
        <v>3721</v>
      </c>
      <c r="D323" s="57" t="s">
        <v>3719</v>
      </c>
      <c r="E323" s="50" t="s">
        <v>3573</v>
      </c>
      <c r="F323" s="50" t="s">
        <v>3722</v>
      </c>
      <c r="G323" s="50" t="s">
        <v>3723</v>
      </c>
      <c r="H323" s="50" t="s">
        <v>3563</v>
      </c>
      <c r="I323" s="50" t="s">
        <v>2817</v>
      </c>
      <c r="J323" s="50" t="s">
        <v>3707</v>
      </c>
      <c r="K323" s="586">
        <v>5.5E-2</v>
      </c>
      <c r="L323" s="603" t="s">
        <v>3708</v>
      </c>
      <c r="M323" s="50" t="s">
        <v>3709</v>
      </c>
      <c r="N323" s="50">
        <v>60</v>
      </c>
      <c r="O323" s="50">
        <v>6</v>
      </c>
      <c r="P323" s="50" t="s">
        <v>3719</v>
      </c>
      <c r="Q323" s="585">
        <v>46028.485844907409</v>
      </c>
      <c r="R323" s="50" t="s">
        <v>4374</v>
      </c>
      <c r="S323" s="50" t="str">
        <f t="shared" si="5"/>
        <v>YES</v>
      </c>
    </row>
    <row r="324" spans="1:19" ht="14.5" x14ac:dyDescent="0.25">
      <c r="A324" s="584" t="s">
        <v>3717</v>
      </c>
      <c r="B324" s="50" t="s">
        <v>3718</v>
      </c>
      <c r="C324" s="50" t="s">
        <v>3704</v>
      </c>
      <c r="D324" s="57" t="s">
        <v>3717</v>
      </c>
      <c r="E324" s="50" t="s">
        <v>3573</v>
      </c>
      <c r="F324" s="50" t="s">
        <v>3574</v>
      </c>
      <c r="G324" s="50" t="s">
        <v>3575</v>
      </c>
      <c r="H324" s="50" t="s">
        <v>3563</v>
      </c>
      <c r="I324" s="50" t="s">
        <v>2817</v>
      </c>
      <c r="J324" s="50"/>
      <c r="K324" s="586"/>
      <c r="L324" s="603" t="s">
        <v>3708</v>
      </c>
      <c r="M324" s="50" t="s">
        <v>3709</v>
      </c>
      <c r="N324" s="50"/>
      <c r="O324" s="50"/>
      <c r="P324" s="50" t="s">
        <v>3717</v>
      </c>
      <c r="Q324" s="585">
        <v>46028.712500000001</v>
      </c>
      <c r="R324" s="50" t="s">
        <v>4362</v>
      </c>
      <c r="S324" s="50" t="str">
        <f t="shared" si="5"/>
        <v>YES</v>
      </c>
    </row>
    <row r="325" spans="1:19" ht="14.5" x14ac:dyDescent="0.25">
      <c r="A325" s="584" t="s">
        <v>2934</v>
      </c>
      <c r="B325" s="50" t="s">
        <v>3586</v>
      </c>
      <c r="C325" s="50" t="s">
        <v>3704</v>
      </c>
      <c r="D325" s="57" t="s">
        <v>2934</v>
      </c>
      <c r="E325" s="50" t="s">
        <v>3573</v>
      </c>
      <c r="F325" s="50" t="s">
        <v>3574</v>
      </c>
      <c r="G325" s="50" t="s">
        <v>3575</v>
      </c>
      <c r="H325" s="50" t="s">
        <v>3563</v>
      </c>
      <c r="I325" s="50" t="s">
        <v>2817</v>
      </c>
      <c r="J325" s="50"/>
      <c r="K325" s="586"/>
      <c r="L325" s="603" t="s">
        <v>3708</v>
      </c>
      <c r="M325" s="50" t="s">
        <v>3709</v>
      </c>
      <c r="N325" s="50"/>
      <c r="O325" s="50"/>
      <c r="P325" s="50" t="s">
        <v>2934</v>
      </c>
      <c r="Q325" s="585">
        <v>46028.716354166667</v>
      </c>
      <c r="R325" s="50" t="s">
        <v>4362</v>
      </c>
      <c r="S325" s="50" t="str">
        <f t="shared" si="5"/>
        <v>YES</v>
      </c>
    </row>
    <row r="326" spans="1:19" ht="14.5" x14ac:dyDescent="0.25">
      <c r="A326" s="584" t="s">
        <v>2935</v>
      </c>
      <c r="B326" s="50" t="s">
        <v>3585</v>
      </c>
      <c r="C326" s="50" t="s">
        <v>3704</v>
      </c>
      <c r="D326" s="57" t="s">
        <v>2935</v>
      </c>
      <c r="E326" s="50" t="s">
        <v>3573</v>
      </c>
      <c r="F326" s="50" t="s">
        <v>3574</v>
      </c>
      <c r="G326" s="50" t="s">
        <v>3575</v>
      </c>
      <c r="H326" s="50" t="s">
        <v>3563</v>
      </c>
      <c r="I326" s="50" t="s">
        <v>2817</v>
      </c>
      <c r="J326" s="50"/>
      <c r="K326" s="586"/>
      <c r="L326" s="603" t="s">
        <v>3708</v>
      </c>
      <c r="M326" s="50" t="s">
        <v>3709</v>
      </c>
      <c r="N326" s="50"/>
      <c r="O326" s="50"/>
      <c r="P326" s="50" t="s">
        <v>2935</v>
      </c>
      <c r="Q326" s="585">
        <v>46030.47896990741</v>
      </c>
      <c r="R326" s="50" t="s">
        <v>4362</v>
      </c>
      <c r="S326" s="50" t="str">
        <f t="shared" si="5"/>
        <v>YES</v>
      </c>
    </row>
    <row r="327" spans="1:19" ht="14.5" x14ac:dyDescent="0.25">
      <c r="A327" s="584" t="s">
        <v>2936</v>
      </c>
      <c r="B327" s="50" t="s">
        <v>3584</v>
      </c>
      <c r="C327" s="50" t="s">
        <v>3692</v>
      </c>
      <c r="D327" s="57" t="s">
        <v>2936</v>
      </c>
      <c r="E327" s="50" t="s">
        <v>3690</v>
      </c>
      <c r="F327" s="50" t="s">
        <v>3690</v>
      </c>
      <c r="G327" s="50" t="s">
        <v>3690</v>
      </c>
      <c r="H327" s="50" t="s">
        <v>3690</v>
      </c>
      <c r="I327" s="50"/>
      <c r="J327" s="50"/>
      <c r="K327" s="50"/>
      <c r="L327" s="591" t="s">
        <v>3564</v>
      </c>
      <c r="M327" s="50" t="s">
        <v>3701</v>
      </c>
      <c r="N327" s="50"/>
      <c r="O327" s="50"/>
      <c r="P327" s="50" t="s">
        <v>2936</v>
      </c>
      <c r="Q327" s="585">
        <v>46030.480520833335</v>
      </c>
      <c r="R327" s="50" t="s">
        <v>4362</v>
      </c>
      <c r="S327" s="50" t="str">
        <f t="shared" si="5"/>
        <v>YES</v>
      </c>
    </row>
    <row r="328" spans="1:19" ht="14.5" x14ac:dyDescent="0.25">
      <c r="A328" s="584" t="s">
        <v>2962</v>
      </c>
      <c r="B328" s="50" t="s">
        <v>3583</v>
      </c>
      <c r="C328" s="50" t="s">
        <v>3694</v>
      </c>
      <c r="D328" s="57" t="s">
        <v>2962</v>
      </c>
      <c r="E328" s="605" t="s">
        <v>3581</v>
      </c>
      <c r="F328" s="605" t="s">
        <v>3582</v>
      </c>
      <c r="G328" s="605" t="s">
        <v>3716</v>
      </c>
      <c r="H328" s="50" t="s">
        <v>3563</v>
      </c>
      <c r="I328" s="50" t="s">
        <v>2817</v>
      </c>
      <c r="J328" s="50" t="s">
        <v>2818</v>
      </c>
      <c r="K328" s="586">
        <v>8.1000000000000003E-2</v>
      </c>
      <c r="L328" s="591" t="s">
        <v>3564</v>
      </c>
      <c r="M328" s="50" t="s">
        <v>3701</v>
      </c>
      <c r="N328" s="50">
        <v>30</v>
      </c>
      <c r="O328" s="50">
        <v>1</v>
      </c>
      <c r="P328" s="50" t="s">
        <v>2962</v>
      </c>
      <c r="Q328" s="585">
        <v>46035.631249999999</v>
      </c>
      <c r="R328" s="50" t="s">
        <v>3562</v>
      </c>
      <c r="S328" s="50" t="str">
        <f t="shared" si="5"/>
        <v>YES</v>
      </c>
    </row>
    <row r="329" spans="1:19" ht="14.5" x14ac:dyDescent="0.25">
      <c r="A329" s="584" t="s">
        <v>2963</v>
      </c>
      <c r="B329" s="50" t="s">
        <v>3580</v>
      </c>
      <c r="C329" s="50" t="s">
        <v>3694</v>
      </c>
      <c r="D329" s="57" t="s">
        <v>2963</v>
      </c>
      <c r="E329" s="605" t="s">
        <v>3581</v>
      </c>
      <c r="F329" s="605" t="s">
        <v>3582</v>
      </c>
      <c r="G329" s="605" t="s">
        <v>3716</v>
      </c>
      <c r="H329" s="50" t="s">
        <v>3563</v>
      </c>
      <c r="I329" s="50" t="s">
        <v>2817</v>
      </c>
      <c r="J329" s="50" t="s">
        <v>2818</v>
      </c>
      <c r="K329" s="586">
        <v>8.1000000000000003E-2</v>
      </c>
      <c r="L329" s="591" t="s">
        <v>3564</v>
      </c>
      <c r="M329" s="50" t="s">
        <v>3701</v>
      </c>
      <c r="N329" s="50">
        <v>30</v>
      </c>
      <c r="O329" s="50">
        <v>1</v>
      </c>
      <c r="P329" s="50" t="s">
        <v>2963</v>
      </c>
      <c r="Q329" s="585">
        <v>46035.633969907409</v>
      </c>
      <c r="R329" s="50" t="s">
        <v>3562</v>
      </c>
      <c r="S329" s="50" t="str">
        <f t="shared" si="5"/>
        <v>YES</v>
      </c>
    </row>
    <row r="330" spans="1:19" ht="14.5" x14ac:dyDescent="0.25">
      <c r="A330" s="584" t="s">
        <v>2964</v>
      </c>
      <c r="B330" s="50" t="s">
        <v>3578</v>
      </c>
      <c r="C330" s="50" t="s">
        <v>3715</v>
      </c>
      <c r="D330" s="57" t="s">
        <v>2964</v>
      </c>
      <c r="E330" s="50" t="s">
        <v>3560</v>
      </c>
      <c r="F330" s="50" t="s">
        <v>3561</v>
      </c>
      <c r="G330" s="50" t="s">
        <v>3579</v>
      </c>
      <c r="H330" s="50" t="s">
        <v>3563</v>
      </c>
      <c r="I330" s="50" t="s">
        <v>2817</v>
      </c>
      <c r="J330" s="50" t="s">
        <v>2818</v>
      </c>
      <c r="K330" s="586">
        <v>8.1000000000000003E-2</v>
      </c>
      <c r="L330" s="591" t="s">
        <v>3564</v>
      </c>
      <c r="M330" s="50" t="s">
        <v>3701</v>
      </c>
      <c r="N330" s="50">
        <v>60</v>
      </c>
      <c r="O330" s="50">
        <v>1</v>
      </c>
      <c r="P330" s="50" t="s">
        <v>2964</v>
      </c>
      <c r="Q330" s="585">
        <v>46035.634548611109</v>
      </c>
      <c r="R330" s="50" t="s">
        <v>3579</v>
      </c>
      <c r="S330" s="50" t="str">
        <f t="shared" si="5"/>
        <v>YES</v>
      </c>
    </row>
    <row r="331" spans="1:19" ht="14.5" x14ac:dyDescent="0.25">
      <c r="A331" s="584" t="s">
        <v>2966</v>
      </c>
      <c r="B331" s="50" t="s">
        <v>4545</v>
      </c>
      <c r="C331" s="50" t="s">
        <v>3704</v>
      </c>
      <c r="D331" s="57" t="s">
        <v>2966</v>
      </c>
      <c r="E331" s="50" t="s">
        <v>3573</v>
      </c>
      <c r="F331" s="50" t="s">
        <v>3705</v>
      </c>
      <c r="G331" s="50" t="s">
        <v>3706</v>
      </c>
      <c r="H331" s="50" t="s">
        <v>3563</v>
      </c>
      <c r="I331" s="50" t="s">
        <v>2817</v>
      </c>
      <c r="J331" s="50"/>
      <c r="K331" s="586"/>
      <c r="L331" s="603" t="s">
        <v>3708</v>
      </c>
      <c r="M331" s="50" t="s">
        <v>3709</v>
      </c>
      <c r="N331" s="50"/>
      <c r="O331" s="50"/>
      <c r="P331" s="50" t="s">
        <v>2966</v>
      </c>
      <c r="Q331" s="585">
        <v>46037</v>
      </c>
      <c r="R331" s="50" t="s">
        <v>4362</v>
      </c>
      <c r="S331" s="50" t="str">
        <f t="shared" si="5"/>
        <v>YES</v>
      </c>
    </row>
    <row r="332" spans="1:19" ht="14.5" x14ac:dyDescent="0.25">
      <c r="A332" s="584" t="s">
        <v>2965</v>
      </c>
      <c r="B332" s="50" t="s">
        <v>3576</v>
      </c>
      <c r="C332" s="50" t="s">
        <v>3710</v>
      </c>
      <c r="D332" s="57" t="s">
        <v>2965</v>
      </c>
      <c r="E332" s="50" t="s">
        <v>3560</v>
      </c>
      <c r="F332" s="50" t="s">
        <v>3711</v>
      </c>
      <c r="G332" s="50" t="s">
        <v>3577</v>
      </c>
      <c r="H332" s="50" t="s">
        <v>3712</v>
      </c>
      <c r="I332" s="50" t="s">
        <v>2817</v>
      </c>
      <c r="J332" s="50" t="s">
        <v>3713</v>
      </c>
      <c r="K332" s="586">
        <v>8.1000000000000003E-2</v>
      </c>
      <c r="L332" s="600" t="s">
        <v>3570</v>
      </c>
      <c r="M332" s="50" t="s">
        <v>3714</v>
      </c>
      <c r="N332" s="50">
        <v>100</v>
      </c>
      <c r="O332" s="50">
        <v>1</v>
      </c>
      <c r="P332" s="50" t="s">
        <v>2965</v>
      </c>
      <c r="Q332" s="585">
        <v>46037</v>
      </c>
      <c r="R332" s="50" t="s">
        <v>3579</v>
      </c>
      <c r="S332" s="50" t="str">
        <f t="shared" si="5"/>
        <v>YES</v>
      </c>
    </row>
    <row r="333" spans="1:19" ht="14.5" x14ac:dyDescent="0.25">
      <c r="A333" s="584" t="s">
        <v>2987</v>
      </c>
      <c r="B333" s="50" t="s">
        <v>4546</v>
      </c>
      <c r="C333" s="50" t="s">
        <v>3704</v>
      </c>
      <c r="D333" s="57" t="s">
        <v>2987</v>
      </c>
      <c r="E333" s="50" t="s">
        <v>3573</v>
      </c>
      <c r="F333" s="50" t="s">
        <v>3705</v>
      </c>
      <c r="G333" s="50" t="s">
        <v>3706</v>
      </c>
      <c r="H333" s="50" t="s">
        <v>3563</v>
      </c>
      <c r="I333" s="50" t="s">
        <v>2817</v>
      </c>
      <c r="J333" s="50"/>
      <c r="K333" s="586"/>
      <c r="L333" s="603" t="s">
        <v>3708</v>
      </c>
      <c r="M333" s="50" t="s">
        <v>3709</v>
      </c>
      <c r="N333" s="50"/>
      <c r="O333" s="50"/>
      <c r="P333" s="50" t="s">
        <v>2987</v>
      </c>
      <c r="Q333" s="585">
        <v>46041</v>
      </c>
      <c r="R333" s="50" t="s">
        <v>4362</v>
      </c>
      <c r="S333" s="50" t="str">
        <f t="shared" si="5"/>
        <v>YES</v>
      </c>
    </row>
    <row r="334" spans="1:19" ht="14.5" x14ac:dyDescent="0.25">
      <c r="A334" s="584" t="s">
        <v>2989</v>
      </c>
      <c r="B334" s="50" t="s">
        <v>4547</v>
      </c>
      <c r="C334" s="50" t="s">
        <v>3704</v>
      </c>
      <c r="D334" s="57" t="s">
        <v>2989</v>
      </c>
      <c r="E334" s="50" t="s">
        <v>3573</v>
      </c>
      <c r="F334" s="50" t="s">
        <v>3705</v>
      </c>
      <c r="G334" s="50" t="s">
        <v>3706</v>
      </c>
      <c r="H334" s="50" t="s">
        <v>3563</v>
      </c>
      <c r="I334" s="50" t="s">
        <v>2817</v>
      </c>
      <c r="J334" s="50"/>
      <c r="K334" s="586"/>
      <c r="L334" s="603" t="s">
        <v>3708</v>
      </c>
      <c r="M334" s="50" t="s">
        <v>3709</v>
      </c>
      <c r="N334" s="50"/>
      <c r="O334" s="50"/>
      <c r="P334" s="50" t="s">
        <v>2989</v>
      </c>
      <c r="Q334" s="585">
        <v>46041</v>
      </c>
      <c r="R334" s="50" t="s">
        <v>4362</v>
      </c>
      <c r="S334" s="50" t="str">
        <f t="shared" si="5"/>
        <v>YES</v>
      </c>
    </row>
    <row r="335" spans="1:19" ht="14.5" x14ac:dyDescent="0.25">
      <c r="A335" s="584" t="s">
        <v>2984</v>
      </c>
      <c r="B335" s="50" t="s">
        <v>3566</v>
      </c>
      <c r="C335" s="50" t="s">
        <v>2985</v>
      </c>
      <c r="D335" s="57" t="s">
        <v>2984</v>
      </c>
      <c r="E335" s="50" t="s">
        <v>3560</v>
      </c>
      <c r="F335" s="50" t="s">
        <v>3567</v>
      </c>
      <c r="G335" s="50" t="s">
        <v>3568</v>
      </c>
      <c r="H335" s="50" t="s">
        <v>3569</v>
      </c>
      <c r="I335" s="50" t="s">
        <v>2817</v>
      </c>
      <c r="J335" s="50" t="s">
        <v>2818</v>
      </c>
      <c r="K335" s="586">
        <v>8.1000000000000003E-2</v>
      </c>
      <c r="L335" s="600" t="s">
        <v>3570</v>
      </c>
      <c r="M335" s="50" t="s">
        <v>3571</v>
      </c>
      <c r="N335" s="50">
        <v>32</v>
      </c>
      <c r="O335" s="50">
        <v>1</v>
      </c>
      <c r="P335" s="50" t="s">
        <v>4359</v>
      </c>
      <c r="Q335" s="585">
        <v>46041</v>
      </c>
      <c r="R335" s="50" t="s">
        <v>3568</v>
      </c>
      <c r="S335" s="50" t="str">
        <f t="shared" si="5"/>
        <v>NO</v>
      </c>
    </row>
    <row r="336" spans="1:19" ht="14.5" x14ac:dyDescent="0.25">
      <c r="A336" s="584" t="s">
        <v>2986</v>
      </c>
      <c r="B336" s="50" t="s">
        <v>3572</v>
      </c>
      <c r="C336" s="50" t="s">
        <v>2985</v>
      </c>
      <c r="D336" s="57" t="s">
        <v>2986</v>
      </c>
      <c r="E336" s="50" t="s">
        <v>3560</v>
      </c>
      <c r="F336" s="50" t="s">
        <v>3567</v>
      </c>
      <c r="G336" s="50" t="s">
        <v>3568</v>
      </c>
      <c r="H336" s="50" t="s">
        <v>3569</v>
      </c>
      <c r="I336" s="50" t="s">
        <v>2817</v>
      </c>
      <c r="J336" s="50" t="s">
        <v>2818</v>
      </c>
      <c r="K336" s="586">
        <v>8.1000000000000003E-2</v>
      </c>
      <c r="L336" s="600" t="s">
        <v>3570</v>
      </c>
      <c r="M336" s="50" t="s">
        <v>3571</v>
      </c>
      <c r="N336" s="50">
        <v>32</v>
      </c>
      <c r="O336" s="50">
        <v>1</v>
      </c>
      <c r="P336" s="50" t="s">
        <v>4360</v>
      </c>
      <c r="Q336" s="585">
        <v>46041</v>
      </c>
      <c r="R336" s="50" t="s">
        <v>3568</v>
      </c>
      <c r="S336" s="50" t="str">
        <f t="shared" si="5"/>
        <v>NO</v>
      </c>
    </row>
    <row r="337" spans="1:19" ht="14.5" x14ac:dyDescent="0.25">
      <c r="A337" s="584" t="s">
        <v>3699</v>
      </c>
      <c r="B337" s="50" t="s">
        <v>3559</v>
      </c>
      <c r="C337" s="50" t="s">
        <v>3700</v>
      </c>
      <c r="D337" s="57" t="s">
        <v>3699</v>
      </c>
      <c r="E337" s="50" t="s">
        <v>3560</v>
      </c>
      <c r="F337" s="50" t="s">
        <v>3561</v>
      </c>
      <c r="G337" s="50" t="s">
        <v>3562</v>
      </c>
      <c r="H337" s="50" t="s">
        <v>3563</v>
      </c>
      <c r="I337" s="50" t="s">
        <v>2817</v>
      </c>
      <c r="J337" s="50" t="s">
        <v>2818</v>
      </c>
      <c r="K337" s="586">
        <v>8.1000000000000003E-2</v>
      </c>
      <c r="L337" s="591" t="s">
        <v>3564</v>
      </c>
      <c r="M337" s="50" t="s">
        <v>3701</v>
      </c>
      <c r="N337" s="50">
        <v>30</v>
      </c>
      <c r="O337" s="50">
        <v>1</v>
      </c>
      <c r="P337" s="50" t="s">
        <v>3699</v>
      </c>
      <c r="Q337" s="585">
        <v>46042</v>
      </c>
      <c r="R337" s="50" t="s">
        <v>3562</v>
      </c>
      <c r="S337" s="50" t="str">
        <f t="shared" si="5"/>
        <v>YES</v>
      </c>
    </row>
    <row r="338" spans="1:19" ht="14.5" x14ac:dyDescent="0.25">
      <c r="A338" s="584" t="s">
        <v>3702</v>
      </c>
      <c r="B338" s="50" t="s">
        <v>3703</v>
      </c>
      <c r="C338" s="50" t="s">
        <v>3700</v>
      </c>
      <c r="D338" s="57" t="s">
        <v>3702</v>
      </c>
      <c r="E338" s="50" t="s">
        <v>3560</v>
      </c>
      <c r="F338" s="50" t="s">
        <v>3561</v>
      </c>
      <c r="G338" s="50" t="s">
        <v>3562</v>
      </c>
      <c r="H338" s="50" t="s">
        <v>3563</v>
      </c>
      <c r="I338" s="50" t="s">
        <v>2817</v>
      </c>
      <c r="J338" s="50" t="s">
        <v>2818</v>
      </c>
      <c r="K338" s="586">
        <v>8.1000000000000003E-2</v>
      </c>
      <c r="L338" s="591" t="s">
        <v>3564</v>
      </c>
      <c r="M338" s="50" t="s">
        <v>3701</v>
      </c>
      <c r="N338" s="50">
        <v>30</v>
      </c>
      <c r="O338" s="50">
        <v>1</v>
      </c>
      <c r="P338" s="50" t="s">
        <v>3702</v>
      </c>
      <c r="Q338" s="585">
        <v>46042</v>
      </c>
      <c r="R338" s="50" t="s">
        <v>3562</v>
      </c>
      <c r="S338" s="50" t="str">
        <f t="shared" si="5"/>
        <v>YES</v>
      </c>
    </row>
    <row r="339" spans="1:19" ht="14.5" x14ac:dyDescent="0.25">
      <c r="A339" s="584" t="s">
        <v>3727</v>
      </c>
      <c r="B339" s="50" t="s">
        <v>3728</v>
      </c>
      <c r="C339" s="50" t="s">
        <v>3724</v>
      </c>
      <c r="D339" s="57" t="s">
        <v>3150</v>
      </c>
      <c r="E339" s="50" t="s">
        <v>3560</v>
      </c>
      <c r="F339" s="50" t="s">
        <v>3711</v>
      </c>
      <c r="G339" s="50" t="s">
        <v>3725</v>
      </c>
      <c r="H339" s="50" t="s">
        <v>3712</v>
      </c>
      <c r="I339" s="50" t="s">
        <v>2817</v>
      </c>
      <c r="J339" s="50" t="s">
        <v>2818</v>
      </c>
      <c r="K339" s="586">
        <v>8.1000000000000003E-2</v>
      </c>
      <c r="L339" s="591" t="s">
        <v>3726</v>
      </c>
      <c r="M339" s="50" t="s">
        <v>3701</v>
      </c>
      <c r="N339" s="50">
        <v>9</v>
      </c>
      <c r="O339" s="50">
        <v>1</v>
      </c>
      <c r="P339" s="50" t="s">
        <v>3150</v>
      </c>
      <c r="Q339" s="585">
        <v>46050.771643518521</v>
      </c>
      <c r="R339" s="50" t="s">
        <v>4350</v>
      </c>
      <c r="S339" s="50" t="str">
        <f t="shared" si="5"/>
        <v>YES</v>
      </c>
    </row>
    <row r="340" spans="1:19" ht="14.5" x14ac:dyDescent="0.25">
      <c r="A340" s="584" t="s">
        <v>4118</v>
      </c>
      <c r="B340" s="50" t="s">
        <v>4119</v>
      </c>
      <c r="C340" s="50" t="s">
        <v>4115</v>
      </c>
      <c r="D340" s="57" t="s">
        <v>4118</v>
      </c>
      <c r="E340" s="50" t="s">
        <v>3560</v>
      </c>
      <c r="F340" s="50" t="s">
        <v>3711</v>
      </c>
      <c r="G340" s="50" t="s">
        <v>3568</v>
      </c>
      <c r="H340" s="50" t="s">
        <v>3712</v>
      </c>
      <c r="I340" s="50" t="s">
        <v>2817</v>
      </c>
      <c r="J340" s="50" t="s">
        <v>2818</v>
      </c>
      <c r="K340" s="586">
        <v>8.1000000000000003E-2</v>
      </c>
      <c r="L340" s="600" t="s">
        <v>3570</v>
      </c>
      <c r="M340" s="50" t="s">
        <v>3714</v>
      </c>
      <c r="N340" s="50">
        <v>9</v>
      </c>
      <c r="O340" s="50">
        <v>1</v>
      </c>
      <c r="P340" s="50" t="s">
        <v>4120</v>
      </c>
      <c r="Q340" s="585">
        <v>46056</v>
      </c>
      <c r="R340" s="50" t="s">
        <v>4350</v>
      </c>
      <c r="S340" s="50" t="str">
        <f t="shared" ref="S340:S383" si="6">IF(A340=P340,"YES","NO")</f>
        <v>NO</v>
      </c>
    </row>
    <row r="341" spans="1:19" ht="14.5" x14ac:dyDescent="0.25">
      <c r="A341" s="584" t="s">
        <v>4121</v>
      </c>
      <c r="B341" s="50" t="s">
        <v>4122</v>
      </c>
      <c r="C341" s="50" t="s">
        <v>4115</v>
      </c>
      <c r="D341" s="57" t="s">
        <v>4121</v>
      </c>
      <c r="E341" s="50" t="s">
        <v>3560</v>
      </c>
      <c r="F341" s="50" t="s">
        <v>3711</v>
      </c>
      <c r="G341" s="50" t="s">
        <v>3568</v>
      </c>
      <c r="H341" s="50" t="s">
        <v>3712</v>
      </c>
      <c r="I341" s="50" t="s">
        <v>2817</v>
      </c>
      <c r="J341" s="50" t="s">
        <v>2818</v>
      </c>
      <c r="K341" s="586">
        <v>8.1000000000000003E-2</v>
      </c>
      <c r="L341" s="600" t="s">
        <v>3570</v>
      </c>
      <c r="M341" s="50" t="s">
        <v>3714</v>
      </c>
      <c r="N341" s="50">
        <v>9</v>
      </c>
      <c r="O341" s="50">
        <v>1</v>
      </c>
      <c r="P341" s="50" t="s">
        <v>4123</v>
      </c>
      <c r="Q341" s="585">
        <v>46056</v>
      </c>
      <c r="R341" s="50" t="s">
        <v>4350</v>
      </c>
      <c r="S341" s="50" t="str">
        <f t="shared" si="6"/>
        <v>NO</v>
      </c>
    </row>
    <row r="342" spans="1:19" ht="14.5" x14ac:dyDescent="0.25">
      <c r="A342" s="584" t="s">
        <v>4113</v>
      </c>
      <c r="B342" s="50" t="s">
        <v>4114</v>
      </c>
      <c r="C342" s="50" t="s">
        <v>4115</v>
      </c>
      <c r="D342" s="57" t="s">
        <v>4113</v>
      </c>
      <c r="E342" s="50" t="s">
        <v>3560</v>
      </c>
      <c r="F342" s="50" t="s">
        <v>3711</v>
      </c>
      <c r="G342" s="50" t="s">
        <v>3729</v>
      </c>
      <c r="H342" s="50" t="s">
        <v>3712</v>
      </c>
      <c r="I342" s="50" t="s">
        <v>2817</v>
      </c>
      <c r="J342" s="50" t="s">
        <v>2818</v>
      </c>
      <c r="K342" s="586">
        <v>8.1000000000000003E-2</v>
      </c>
      <c r="L342" s="600" t="s">
        <v>3570</v>
      </c>
      <c r="M342" s="50" t="s">
        <v>3714</v>
      </c>
      <c r="N342" s="50">
        <v>9</v>
      </c>
      <c r="O342" s="50">
        <v>1</v>
      </c>
      <c r="P342" s="50" t="s">
        <v>4113</v>
      </c>
      <c r="Q342" s="585">
        <v>46056</v>
      </c>
      <c r="R342" s="50" t="s">
        <v>4363</v>
      </c>
      <c r="S342" s="50" t="str">
        <f t="shared" si="6"/>
        <v>YES</v>
      </c>
    </row>
    <row r="343" spans="1:19" ht="14.5" x14ac:dyDescent="0.25">
      <c r="A343" s="584" t="s">
        <v>4116</v>
      </c>
      <c r="B343" s="50" t="s">
        <v>4117</v>
      </c>
      <c r="C343" s="50" t="s">
        <v>4115</v>
      </c>
      <c r="D343" s="57" t="s">
        <v>4116</v>
      </c>
      <c r="E343" s="50" t="s">
        <v>3560</v>
      </c>
      <c r="F343" s="50" t="s">
        <v>3711</v>
      </c>
      <c r="G343" s="50" t="s">
        <v>3729</v>
      </c>
      <c r="H343" s="50" t="s">
        <v>3712</v>
      </c>
      <c r="I343" s="50" t="s">
        <v>2817</v>
      </c>
      <c r="J343" s="50" t="s">
        <v>2818</v>
      </c>
      <c r="K343" s="586">
        <v>8.1000000000000003E-2</v>
      </c>
      <c r="L343" s="600" t="s">
        <v>3570</v>
      </c>
      <c r="M343" s="50" t="s">
        <v>3714</v>
      </c>
      <c r="N343" s="50">
        <v>9</v>
      </c>
      <c r="O343" s="50">
        <v>1</v>
      </c>
      <c r="P343" s="50" t="s">
        <v>4116</v>
      </c>
      <c r="Q343" s="585">
        <v>46056</v>
      </c>
      <c r="R343" s="50" t="s">
        <v>4363</v>
      </c>
      <c r="S343" s="50" t="str">
        <f t="shared" si="6"/>
        <v>YES</v>
      </c>
    </row>
    <row r="344" spans="1:19" ht="14.5" x14ac:dyDescent="0.25">
      <c r="A344" s="57" t="s">
        <v>4281</v>
      </c>
      <c r="B344" s="50" t="s">
        <v>4418</v>
      </c>
      <c r="C344" s="50" t="s">
        <v>4115</v>
      </c>
      <c r="D344" s="57" t="s">
        <v>4281</v>
      </c>
      <c r="E344" s="50" t="s">
        <v>3560</v>
      </c>
      <c r="F344" s="50" t="s">
        <v>3711</v>
      </c>
      <c r="G344" s="50" t="s">
        <v>3729</v>
      </c>
      <c r="H344" s="50" t="s">
        <v>3712</v>
      </c>
      <c r="I344" s="50" t="s">
        <v>2817</v>
      </c>
      <c r="J344" s="50" t="s">
        <v>2818</v>
      </c>
      <c r="K344" s="586">
        <v>8.1000000000000003E-2</v>
      </c>
      <c r="L344" s="600" t="s">
        <v>3570</v>
      </c>
      <c r="M344" s="50" t="s">
        <v>3714</v>
      </c>
      <c r="N344" s="50">
        <v>9</v>
      </c>
      <c r="O344" s="50">
        <v>1</v>
      </c>
      <c r="P344" s="50" t="s">
        <v>4281</v>
      </c>
      <c r="Q344" s="585">
        <v>46056</v>
      </c>
      <c r="R344" s="50" t="s">
        <v>4363</v>
      </c>
      <c r="S344" s="50" t="str">
        <f t="shared" si="6"/>
        <v>YES</v>
      </c>
    </row>
    <row r="345" spans="1:19" ht="14.5" x14ac:dyDescent="0.25">
      <c r="A345" s="584" t="s">
        <v>4285</v>
      </c>
      <c r="B345" s="50" t="s">
        <v>4286</v>
      </c>
      <c r="C345" s="50" t="s">
        <v>3704</v>
      </c>
      <c r="D345" s="584" t="s">
        <v>4285</v>
      </c>
      <c r="E345" s="605" t="s">
        <v>3597</v>
      </c>
      <c r="F345" s="605" t="s">
        <v>3598</v>
      </c>
      <c r="G345" s="605" t="s">
        <v>4141</v>
      </c>
      <c r="H345" s="50" t="s">
        <v>3563</v>
      </c>
      <c r="I345" s="605" t="s">
        <v>2817</v>
      </c>
      <c r="J345" s="50"/>
      <c r="K345" s="50"/>
      <c r="L345" s="606" t="s">
        <v>4163</v>
      </c>
      <c r="M345" s="50" t="s">
        <v>3709</v>
      </c>
      <c r="N345" s="50"/>
      <c r="O345" s="50"/>
      <c r="P345" s="597" t="s">
        <v>4285</v>
      </c>
      <c r="Q345" s="585">
        <v>46057</v>
      </c>
      <c r="R345" s="50" t="s">
        <v>4362</v>
      </c>
      <c r="S345" s="50" t="str">
        <f t="shared" si="6"/>
        <v>YES</v>
      </c>
    </row>
    <row r="346" spans="1:19" ht="14.5" x14ac:dyDescent="0.25">
      <c r="A346" s="584" t="s">
        <v>4287</v>
      </c>
      <c r="B346" s="50" t="s">
        <v>4288</v>
      </c>
      <c r="C346" s="50" t="s">
        <v>3704</v>
      </c>
      <c r="D346" s="584" t="s">
        <v>4287</v>
      </c>
      <c r="E346" s="605" t="s">
        <v>3597</v>
      </c>
      <c r="F346" s="605" t="s">
        <v>3598</v>
      </c>
      <c r="G346" s="605" t="s">
        <v>4141</v>
      </c>
      <c r="H346" s="50" t="s">
        <v>3563</v>
      </c>
      <c r="I346" s="605" t="s">
        <v>2817</v>
      </c>
      <c r="J346" s="50"/>
      <c r="K346" s="50"/>
      <c r="L346" s="606" t="s">
        <v>4163</v>
      </c>
      <c r="M346" s="50" t="s">
        <v>3709</v>
      </c>
      <c r="N346" s="50"/>
      <c r="O346" s="50"/>
      <c r="P346" s="597" t="s">
        <v>4287</v>
      </c>
      <c r="Q346" s="585">
        <v>46057</v>
      </c>
      <c r="R346" s="50" t="s">
        <v>4362</v>
      </c>
      <c r="S346" s="50" t="str">
        <f t="shared" si="6"/>
        <v>YES</v>
      </c>
    </row>
    <row r="347" spans="1:19" ht="14.5" x14ac:dyDescent="0.25">
      <c r="A347" s="584" t="s">
        <v>4124</v>
      </c>
      <c r="B347" s="50" t="s">
        <v>4125</v>
      </c>
      <c r="C347" s="50" t="s">
        <v>4126</v>
      </c>
      <c r="D347" s="57" t="s">
        <v>4124</v>
      </c>
      <c r="E347" s="50" t="s">
        <v>3560</v>
      </c>
      <c r="F347" s="50" t="s">
        <v>3561</v>
      </c>
      <c r="G347" s="50" t="s">
        <v>3615</v>
      </c>
      <c r="H347" s="50" t="s">
        <v>3563</v>
      </c>
      <c r="I347" s="50" t="s">
        <v>2817</v>
      </c>
      <c r="J347" s="50" t="s">
        <v>2818</v>
      </c>
      <c r="K347" s="586">
        <v>8.1000000000000003E-2</v>
      </c>
      <c r="L347" s="591" t="s">
        <v>3564</v>
      </c>
      <c r="M347" s="50" t="s">
        <v>3701</v>
      </c>
      <c r="N347" s="50">
        <v>30</v>
      </c>
      <c r="O347" s="50">
        <v>1</v>
      </c>
      <c r="P347" s="50" t="s">
        <v>4124</v>
      </c>
      <c r="Q347" s="585">
        <v>46078</v>
      </c>
      <c r="R347" s="50" t="s">
        <v>3615</v>
      </c>
      <c r="S347" s="50" t="str">
        <f t="shared" si="6"/>
        <v>YES</v>
      </c>
    </row>
    <row r="348" spans="1:19" ht="14.5" x14ac:dyDescent="0.25">
      <c r="A348" s="584" t="s">
        <v>4127</v>
      </c>
      <c r="B348" s="50" t="s">
        <v>4128</v>
      </c>
      <c r="C348" s="50" t="s">
        <v>4126</v>
      </c>
      <c r="D348" s="57" t="s">
        <v>4127</v>
      </c>
      <c r="E348" s="50" t="s">
        <v>3560</v>
      </c>
      <c r="F348" s="50" t="s">
        <v>3561</v>
      </c>
      <c r="G348" s="50" t="s">
        <v>3615</v>
      </c>
      <c r="H348" s="50" t="s">
        <v>3563</v>
      </c>
      <c r="I348" s="50" t="s">
        <v>2817</v>
      </c>
      <c r="J348" s="50" t="s">
        <v>2818</v>
      </c>
      <c r="K348" s="586">
        <v>8.1000000000000003E-2</v>
      </c>
      <c r="L348" s="591" t="s">
        <v>3564</v>
      </c>
      <c r="M348" s="50" t="s">
        <v>3701</v>
      </c>
      <c r="N348" s="50">
        <v>30</v>
      </c>
      <c r="O348" s="50">
        <v>1</v>
      </c>
      <c r="P348" s="50" t="s">
        <v>4127</v>
      </c>
      <c r="Q348" s="585">
        <v>46078</v>
      </c>
      <c r="R348" s="50" t="s">
        <v>3615</v>
      </c>
      <c r="S348" s="50" t="str">
        <f t="shared" si="6"/>
        <v>YES</v>
      </c>
    </row>
    <row r="349" spans="1:19" ht="14.5" x14ac:dyDescent="0.25">
      <c r="A349" s="584" t="s">
        <v>4129</v>
      </c>
      <c r="B349" s="50" t="s">
        <v>4149</v>
      </c>
      <c r="C349" s="50" t="s">
        <v>4126</v>
      </c>
      <c r="D349" s="57" t="s">
        <v>4129</v>
      </c>
      <c r="E349" s="50" t="s">
        <v>3560</v>
      </c>
      <c r="F349" s="50" t="s">
        <v>3561</v>
      </c>
      <c r="G349" s="50" t="s">
        <v>3562</v>
      </c>
      <c r="H349" s="50" t="s">
        <v>3563</v>
      </c>
      <c r="I349" s="50" t="s">
        <v>2817</v>
      </c>
      <c r="J349" s="50" t="s">
        <v>2818</v>
      </c>
      <c r="K349" s="586">
        <v>8.1000000000000003E-2</v>
      </c>
      <c r="L349" s="591" t="s">
        <v>3564</v>
      </c>
      <c r="M349" s="50" t="s">
        <v>3701</v>
      </c>
      <c r="N349" s="50">
        <v>20</v>
      </c>
      <c r="O349" s="50">
        <v>1</v>
      </c>
      <c r="P349" s="50" t="s">
        <v>4129</v>
      </c>
      <c r="Q349" s="585">
        <v>46078</v>
      </c>
      <c r="R349" s="50" t="s">
        <v>3562</v>
      </c>
      <c r="S349" s="50" t="str">
        <f t="shared" si="6"/>
        <v>YES</v>
      </c>
    </row>
    <row r="350" spans="1:19" ht="14.5" x14ac:dyDescent="0.25">
      <c r="A350" s="584" t="s">
        <v>4130</v>
      </c>
      <c r="B350" s="50" t="s">
        <v>4150</v>
      </c>
      <c r="C350" s="50" t="s">
        <v>4126</v>
      </c>
      <c r="D350" s="57" t="s">
        <v>4130</v>
      </c>
      <c r="E350" s="50" t="s">
        <v>3560</v>
      </c>
      <c r="F350" s="50" t="s">
        <v>3561</v>
      </c>
      <c r="G350" s="50" t="s">
        <v>3562</v>
      </c>
      <c r="H350" s="50" t="s">
        <v>3563</v>
      </c>
      <c r="I350" s="50" t="s">
        <v>2817</v>
      </c>
      <c r="J350" s="50" t="s">
        <v>2818</v>
      </c>
      <c r="K350" s="586">
        <v>8.1000000000000003E-2</v>
      </c>
      <c r="L350" s="591" t="s">
        <v>3564</v>
      </c>
      <c r="M350" s="50" t="s">
        <v>3701</v>
      </c>
      <c r="N350" s="50">
        <v>20</v>
      </c>
      <c r="O350" s="50">
        <v>1</v>
      </c>
      <c r="P350" s="50" t="s">
        <v>4130</v>
      </c>
      <c r="Q350" s="585">
        <v>46078</v>
      </c>
      <c r="R350" s="50" t="s">
        <v>3562</v>
      </c>
      <c r="S350" s="50" t="str">
        <f t="shared" si="6"/>
        <v>YES</v>
      </c>
    </row>
    <row r="351" spans="1:19" ht="14.5" x14ac:dyDescent="0.25">
      <c r="A351" s="584" t="s">
        <v>4131</v>
      </c>
      <c r="B351" s="50" t="s">
        <v>4132</v>
      </c>
      <c r="C351" s="50" t="s">
        <v>3732</v>
      </c>
      <c r="D351" s="57" t="s">
        <v>4131</v>
      </c>
      <c r="E351" s="605" t="s">
        <v>3581</v>
      </c>
      <c r="F351" s="605" t="s">
        <v>3582</v>
      </c>
      <c r="G351" s="605" t="s">
        <v>3716</v>
      </c>
      <c r="H351" s="50" t="s">
        <v>3563</v>
      </c>
      <c r="I351" s="50" t="s">
        <v>3759</v>
      </c>
      <c r="J351" s="50" t="s">
        <v>2818</v>
      </c>
      <c r="K351" s="586">
        <v>8.1000000000000003E-2</v>
      </c>
      <c r="L351" s="591" t="s">
        <v>3564</v>
      </c>
      <c r="M351" s="50" t="s">
        <v>3701</v>
      </c>
      <c r="N351" s="50">
        <v>30</v>
      </c>
      <c r="O351" s="50">
        <v>1</v>
      </c>
      <c r="P351" s="50" t="s">
        <v>4131</v>
      </c>
      <c r="Q351" s="585">
        <v>46078</v>
      </c>
      <c r="R351" s="50" t="s">
        <v>3562</v>
      </c>
      <c r="S351" s="50" t="str">
        <f t="shared" si="6"/>
        <v>YES</v>
      </c>
    </row>
    <row r="352" spans="1:19" ht="14.5" x14ac:dyDescent="0.25">
      <c r="A352" s="584" t="s">
        <v>4133</v>
      </c>
      <c r="B352" s="50" t="s">
        <v>4134</v>
      </c>
      <c r="C352" s="50" t="s">
        <v>3732</v>
      </c>
      <c r="D352" s="57" t="s">
        <v>4133</v>
      </c>
      <c r="E352" s="605" t="s">
        <v>3581</v>
      </c>
      <c r="F352" s="605" t="s">
        <v>3582</v>
      </c>
      <c r="G352" s="605" t="s">
        <v>3716</v>
      </c>
      <c r="H352" s="50" t="s">
        <v>3563</v>
      </c>
      <c r="I352" s="50" t="s">
        <v>3759</v>
      </c>
      <c r="J352" s="50" t="s">
        <v>2818</v>
      </c>
      <c r="K352" s="586">
        <v>8.1000000000000003E-2</v>
      </c>
      <c r="L352" s="591" t="s">
        <v>3564</v>
      </c>
      <c r="M352" s="50" t="s">
        <v>3701</v>
      </c>
      <c r="N352" s="50">
        <v>30</v>
      </c>
      <c r="O352" s="50">
        <v>1</v>
      </c>
      <c r="P352" s="50" t="s">
        <v>4133</v>
      </c>
      <c r="Q352" s="585">
        <v>46078</v>
      </c>
      <c r="R352" s="50" t="s">
        <v>3562</v>
      </c>
      <c r="S352" s="50" t="str">
        <f t="shared" si="6"/>
        <v>YES</v>
      </c>
    </row>
    <row r="353" spans="1:19" ht="14.5" x14ac:dyDescent="0.25">
      <c r="A353" s="584" t="s">
        <v>4140</v>
      </c>
      <c r="B353" s="50" t="s">
        <v>4152</v>
      </c>
      <c r="C353" s="50" t="s">
        <v>2988</v>
      </c>
      <c r="D353" s="57" t="s">
        <v>4140</v>
      </c>
      <c r="E353" s="605" t="s">
        <v>3597</v>
      </c>
      <c r="F353" s="605" t="s">
        <v>3598</v>
      </c>
      <c r="G353" s="605" t="s">
        <v>4141</v>
      </c>
      <c r="H353" s="50" t="s">
        <v>3563</v>
      </c>
      <c r="I353" s="605" t="s">
        <v>2817</v>
      </c>
      <c r="J353" s="50"/>
      <c r="K353" s="50"/>
      <c r="L353" s="603" t="s">
        <v>3708</v>
      </c>
      <c r="M353" s="50" t="s">
        <v>3709</v>
      </c>
      <c r="N353" s="50"/>
      <c r="O353" s="50"/>
      <c r="P353" s="50" t="s">
        <v>4140</v>
      </c>
      <c r="Q353" s="585">
        <v>46078</v>
      </c>
      <c r="R353" s="50" t="s">
        <v>4362</v>
      </c>
      <c r="S353" s="50" t="str">
        <f t="shared" si="6"/>
        <v>YES</v>
      </c>
    </row>
    <row r="354" spans="1:19" ht="14.5" x14ac:dyDescent="0.25">
      <c r="A354" s="584" t="s">
        <v>4142</v>
      </c>
      <c r="B354" s="50" t="s">
        <v>4153</v>
      </c>
      <c r="C354" s="50" t="s">
        <v>2988</v>
      </c>
      <c r="D354" s="57" t="s">
        <v>4142</v>
      </c>
      <c r="E354" s="605" t="s">
        <v>3597</v>
      </c>
      <c r="F354" s="605" t="s">
        <v>3598</v>
      </c>
      <c r="G354" s="605" t="s">
        <v>4141</v>
      </c>
      <c r="H354" s="50" t="s">
        <v>3563</v>
      </c>
      <c r="I354" s="605" t="s">
        <v>2817</v>
      </c>
      <c r="J354" s="50"/>
      <c r="K354" s="50"/>
      <c r="L354" s="603" t="s">
        <v>3708</v>
      </c>
      <c r="M354" s="50" t="s">
        <v>3709</v>
      </c>
      <c r="N354" s="50"/>
      <c r="O354" s="50"/>
      <c r="P354" s="50" t="s">
        <v>4142</v>
      </c>
      <c r="Q354" s="585">
        <v>46078</v>
      </c>
      <c r="R354" s="50" t="s">
        <v>4362</v>
      </c>
      <c r="S354" s="50" t="str">
        <f t="shared" si="6"/>
        <v>YES</v>
      </c>
    </row>
    <row r="355" spans="1:19" ht="14.5" x14ac:dyDescent="0.25">
      <c r="A355" s="584" t="s">
        <v>4143</v>
      </c>
      <c r="B355" s="50" t="s">
        <v>4154</v>
      </c>
      <c r="C355" s="50" t="s">
        <v>2988</v>
      </c>
      <c r="D355" s="57" t="s">
        <v>4143</v>
      </c>
      <c r="E355" s="605" t="s">
        <v>3597</v>
      </c>
      <c r="F355" s="605" t="s">
        <v>3598</v>
      </c>
      <c r="G355" s="605" t="s">
        <v>4141</v>
      </c>
      <c r="H355" s="50" t="s">
        <v>3563</v>
      </c>
      <c r="I355" s="605" t="s">
        <v>2817</v>
      </c>
      <c r="J355" s="50"/>
      <c r="K355" s="50"/>
      <c r="L355" s="603" t="s">
        <v>3708</v>
      </c>
      <c r="M355" s="50" t="s">
        <v>3709</v>
      </c>
      <c r="N355" s="50"/>
      <c r="O355" s="50"/>
      <c r="P355" s="50" t="s">
        <v>4143</v>
      </c>
      <c r="Q355" s="585">
        <v>46078</v>
      </c>
      <c r="R355" s="50" t="s">
        <v>4362</v>
      </c>
      <c r="S355" s="50" t="str">
        <f t="shared" si="6"/>
        <v>YES</v>
      </c>
    </row>
    <row r="356" spans="1:19" ht="14.5" x14ac:dyDescent="0.25">
      <c r="A356" s="584" t="s">
        <v>4135</v>
      </c>
      <c r="B356" s="50" t="s">
        <v>4136</v>
      </c>
      <c r="C356" s="50" t="s">
        <v>3721</v>
      </c>
      <c r="D356" s="57" t="s">
        <v>4135</v>
      </c>
      <c r="E356" s="605" t="s">
        <v>3597</v>
      </c>
      <c r="F356" s="605" t="s">
        <v>3598</v>
      </c>
      <c r="G356" s="605" t="s">
        <v>4137</v>
      </c>
      <c r="H356" s="50" t="s">
        <v>3563</v>
      </c>
      <c r="I356" s="50" t="s">
        <v>2817</v>
      </c>
      <c r="J356" s="50" t="s">
        <v>3707</v>
      </c>
      <c r="K356" s="586">
        <v>5.5E-2</v>
      </c>
      <c r="L356" s="603" t="s">
        <v>3708</v>
      </c>
      <c r="M356" s="50" t="s">
        <v>3709</v>
      </c>
      <c r="N356" s="50">
        <v>64</v>
      </c>
      <c r="O356" s="50">
        <v>1</v>
      </c>
      <c r="P356" s="50" t="s">
        <v>4135</v>
      </c>
      <c r="Q356" s="585">
        <v>46078</v>
      </c>
      <c r="R356" s="50" t="s">
        <v>4376</v>
      </c>
      <c r="S356" s="50" t="str">
        <f t="shared" si="6"/>
        <v>YES</v>
      </c>
    </row>
    <row r="357" spans="1:19" ht="14.5" x14ac:dyDescent="0.25">
      <c r="A357" s="584" t="s">
        <v>4151</v>
      </c>
      <c r="B357" s="50" t="s">
        <v>4138</v>
      </c>
      <c r="C357" s="50" t="s">
        <v>4139</v>
      </c>
      <c r="D357" s="57" t="s">
        <v>4151</v>
      </c>
      <c r="E357" s="50" t="s">
        <v>3945</v>
      </c>
      <c r="F357" s="50" t="s">
        <v>3945</v>
      </c>
      <c r="G357" s="50" t="s">
        <v>4367</v>
      </c>
      <c r="H357" s="50" t="s">
        <v>3563</v>
      </c>
      <c r="I357" s="50" t="s">
        <v>2817</v>
      </c>
      <c r="J357" s="50" t="s">
        <v>2818</v>
      </c>
      <c r="K357" s="586">
        <v>8.1000000000000003E-2</v>
      </c>
      <c r="L357" s="602" t="s">
        <v>3652</v>
      </c>
      <c r="M357" s="50" t="s">
        <v>3947</v>
      </c>
      <c r="N357" s="50">
        <v>24</v>
      </c>
      <c r="O357" s="50">
        <v>2</v>
      </c>
      <c r="P357" s="50" t="s">
        <v>4151</v>
      </c>
      <c r="Q357" s="585">
        <v>46078</v>
      </c>
      <c r="R357" s="50" t="s">
        <v>4366</v>
      </c>
      <c r="S357" s="50" t="str">
        <f t="shared" si="6"/>
        <v>YES</v>
      </c>
    </row>
    <row r="358" spans="1:19" ht="14.5" x14ac:dyDescent="0.25">
      <c r="A358" s="584" t="s">
        <v>3058</v>
      </c>
      <c r="B358" s="50" t="s">
        <v>4155</v>
      </c>
      <c r="C358" s="50" t="s">
        <v>4139</v>
      </c>
      <c r="D358" s="57" t="s">
        <v>3058</v>
      </c>
      <c r="E358" s="50" t="s">
        <v>3945</v>
      </c>
      <c r="F358" s="50" t="s">
        <v>3945</v>
      </c>
      <c r="G358" s="50" t="s">
        <v>3989</v>
      </c>
      <c r="H358" s="50" t="s">
        <v>3563</v>
      </c>
      <c r="I358" s="50" t="s">
        <v>2817</v>
      </c>
      <c r="J358" s="50" t="s">
        <v>2818</v>
      </c>
      <c r="K358" s="586">
        <v>8.1000000000000003E-2</v>
      </c>
      <c r="L358" s="602" t="s">
        <v>3652</v>
      </c>
      <c r="M358" s="50" t="s">
        <v>3947</v>
      </c>
      <c r="N358" s="50">
        <v>70</v>
      </c>
      <c r="O358" s="50">
        <v>1</v>
      </c>
      <c r="P358" s="50" t="s">
        <v>3058</v>
      </c>
      <c r="Q358" s="585">
        <v>46080</v>
      </c>
      <c r="R358" s="50" t="s">
        <v>4369</v>
      </c>
      <c r="S358" s="50" t="str">
        <f t="shared" si="6"/>
        <v>YES</v>
      </c>
    </row>
    <row r="359" spans="1:19" ht="14.5" x14ac:dyDescent="0.25">
      <c r="A359" s="584" t="s">
        <v>4156</v>
      </c>
      <c r="B359" s="50" t="s">
        <v>4157</v>
      </c>
      <c r="C359" s="50" t="s">
        <v>2867</v>
      </c>
      <c r="D359" s="57" t="s">
        <v>4156</v>
      </c>
      <c r="E359" s="605" t="s">
        <v>3581</v>
      </c>
      <c r="F359" s="605" t="s">
        <v>3582</v>
      </c>
      <c r="G359" s="50" t="s">
        <v>3562</v>
      </c>
      <c r="H359" s="50" t="s">
        <v>3563</v>
      </c>
      <c r="I359" s="605" t="s">
        <v>2817</v>
      </c>
      <c r="J359" s="50" t="s">
        <v>2818</v>
      </c>
      <c r="K359" s="586">
        <v>8.1000000000000003E-2</v>
      </c>
      <c r="L359" s="607" t="s">
        <v>4158</v>
      </c>
      <c r="M359" s="50" t="s">
        <v>3701</v>
      </c>
      <c r="N359" s="50">
        <v>30</v>
      </c>
      <c r="O359" s="50">
        <v>1</v>
      </c>
      <c r="P359" s="50" t="s">
        <v>4156</v>
      </c>
      <c r="Q359" s="585">
        <v>46083</v>
      </c>
      <c r="R359" s="50" t="s">
        <v>3562</v>
      </c>
      <c r="S359" s="50" t="str">
        <f t="shared" si="6"/>
        <v>YES</v>
      </c>
    </row>
    <row r="360" spans="1:19" ht="14.5" x14ac:dyDescent="0.25">
      <c r="A360" s="584" t="s">
        <v>4159</v>
      </c>
      <c r="B360" s="50" t="s">
        <v>4160</v>
      </c>
      <c r="C360" s="50" t="s">
        <v>2867</v>
      </c>
      <c r="D360" s="57" t="s">
        <v>4159</v>
      </c>
      <c r="E360" s="605" t="s">
        <v>3581</v>
      </c>
      <c r="F360" s="605" t="s">
        <v>3582</v>
      </c>
      <c r="G360" s="50" t="s">
        <v>3562</v>
      </c>
      <c r="H360" s="50" t="s">
        <v>3563</v>
      </c>
      <c r="I360" s="605" t="s">
        <v>2817</v>
      </c>
      <c r="J360" s="50" t="s">
        <v>2818</v>
      </c>
      <c r="K360" s="586">
        <v>8.1000000000000003E-2</v>
      </c>
      <c r="L360" s="607" t="s">
        <v>4158</v>
      </c>
      <c r="M360" s="50" t="s">
        <v>3701</v>
      </c>
      <c r="N360" s="50">
        <v>30</v>
      </c>
      <c r="O360" s="50">
        <v>1</v>
      </c>
      <c r="P360" s="50" t="s">
        <v>4159</v>
      </c>
      <c r="Q360" s="585">
        <v>46083</v>
      </c>
      <c r="R360" s="50" t="s">
        <v>3562</v>
      </c>
      <c r="S360" s="50" t="str">
        <f t="shared" si="6"/>
        <v>YES</v>
      </c>
    </row>
    <row r="361" spans="1:19" ht="14.5" x14ac:dyDescent="0.25">
      <c r="A361" s="584" t="s">
        <v>4161</v>
      </c>
      <c r="B361" s="50" t="s">
        <v>4162</v>
      </c>
      <c r="C361" s="50" t="s">
        <v>2988</v>
      </c>
      <c r="D361" s="57" t="s">
        <v>4161</v>
      </c>
      <c r="E361" s="605" t="s">
        <v>3597</v>
      </c>
      <c r="F361" s="605" t="s">
        <v>3598</v>
      </c>
      <c r="G361" s="605" t="s">
        <v>4141</v>
      </c>
      <c r="H361" s="50" t="s">
        <v>3563</v>
      </c>
      <c r="I361" s="605" t="s">
        <v>2817</v>
      </c>
      <c r="J361" s="50"/>
      <c r="K361" s="50"/>
      <c r="L361" s="603" t="s">
        <v>3708</v>
      </c>
      <c r="M361" s="50" t="s">
        <v>3709</v>
      </c>
      <c r="N361" s="50"/>
      <c r="O361" s="50"/>
      <c r="P361" s="597" t="s">
        <v>4161</v>
      </c>
      <c r="Q361" s="585">
        <v>46083</v>
      </c>
      <c r="R361" s="50" t="s">
        <v>4362</v>
      </c>
      <c r="S361" s="50" t="str">
        <f t="shared" si="6"/>
        <v>YES</v>
      </c>
    </row>
    <row r="362" spans="1:19" ht="14.5" x14ac:dyDescent="0.25">
      <c r="A362" s="584" t="s">
        <v>4164</v>
      </c>
      <c r="B362" s="50" t="s">
        <v>4165</v>
      </c>
      <c r="C362" s="50" t="s">
        <v>3105</v>
      </c>
      <c r="D362" s="57" t="s">
        <v>4164</v>
      </c>
      <c r="E362" s="50" t="s">
        <v>3573</v>
      </c>
      <c r="F362" s="50" t="s">
        <v>3705</v>
      </c>
      <c r="G362" s="605" t="s">
        <v>4166</v>
      </c>
      <c r="H362" s="50" t="s">
        <v>3563</v>
      </c>
      <c r="I362" s="605" t="s">
        <v>2817</v>
      </c>
      <c r="J362" s="50" t="s">
        <v>3707</v>
      </c>
      <c r="K362" s="586">
        <v>5.5E-2</v>
      </c>
      <c r="L362" s="606" t="s">
        <v>4163</v>
      </c>
      <c r="M362" s="50" t="s">
        <v>3709</v>
      </c>
      <c r="N362" s="50">
        <v>60</v>
      </c>
      <c r="O362" s="50">
        <v>6</v>
      </c>
      <c r="P362" s="50" t="s">
        <v>4164</v>
      </c>
      <c r="Q362" s="585">
        <v>46083</v>
      </c>
      <c r="R362" s="50" t="s">
        <v>4374</v>
      </c>
      <c r="S362" s="50" t="str">
        <f t="shared" si="6"/>
        <v>YES</v>
      </c>
    </row>
    <row r="363" spans="1:19" ht="14.5" x14ac:dyDescent="0.25">
      <c r="A363" s="584" t="s">
        <v>4167</v>
      </c>
      <c r="B363" s="50" t="s">
        <v>4168</v>
      </c>
      <c r="C363" s="50" t="s">
        <v>3105</v>
      </c>
      <c r="D363" s="57" t="s">
        <v>4167</v>
      </c>
      <c r="E363" s="605" t="s">
        <v>3597</v>
      </c>
      <c r="F363" s="605" t="s">
        <v>3598</v>
      </c>
      <c r="G363" s="605" t="s">
        <v>4137</v>
      </c>
      <c r="H363" s="50" t="s">
        <v>3563</v>
      </c>
      <c r="I363" s="605" t="s">
        <v>2817</v>
      </c>
      <c r="J363" s="50" t="s">
        <v>3707</v>
      </c>
      <c r="K363" s="586">
        <v>5.5E-2</v>
      </c>
      <c r="L363" s="606" t="s">
        <v>4163</v>
      </c>
      <c r="M363" s="50" t="s">
        <v>3709</v>
      </c>
      <c r="N363" s="50">
        <v>64</v>
      </c>
      <c r="O363" s="50">
        <v>1</v>
      </c>
      <c r="P363" s="50" t="s">
        <v>4167</v>
      </c>
      <c r="Q363" s="585">
        <v>46083</v>
      </c>
      <c r="R363" s="50" t="s">
        <v>4376</v>
      </c>
      <c r="S363" s="50" t="str">
        <f t="shared" si="6"/>
        <v>YES</v>
      </c>
    </row>
    <row r="364" spans="1:19" ht="14.5" x14ac:dyDescent="0.25">
      <c r="A364" s="608" t="s">
        <v>4177</v>
      </c>
      <c r="B364" s="50" t="s">
        <v>4178</v>
      </c>
      <c r="C364" s="50" t="s">
        <v>3105</v>
      </c>
      <c r="D364" s="57" t="s">
        <v>4177</v>
      </c>
      <c r="E364" s="605" t="s">
        <v>3597</v>
      </c>
      <c r="F364" s="605" t="s">
        <v>3598</v>
      </c>
      <c r="G364" s="605" t="s">
        <v>4137</v>
      </c>
      <c r="H364" s="50" t="s">
        <v>3563</v>
      </c>
      <c r="I364" s="605" t="s">
        <v>2817</v>
      </c>
      <c r="J364" s="50" t="s">
        <v>3707</v>
      </c>
      <c r="K364" s="586">
        <v>5.5E-2</v>
      </c>
      <c r="L364" s="606" t="s">
        <v>4163</v>
      </c>
      <c r="M364" s="50" t="s">
        <v>3709</v>
      </c>
      <c r="N364" s="50">
        <v>20</v>
      </c>
      <c r="O364" s="50">
        <v>1</v>
      </c>
      <c r="P364" s="50" t="s">
        <v>4177</v>
      </c>
      <c r="Q364" s="585">
        <v>46090</v>
      </c>
      <c r="R364" s="50" t="s">
        <v>4375</v>
      </c>
      <c r="S364" s="50" t="str">
        <f t="shared" si="6"/>
        <v>YES</v>
      </c>
    </row>
    <row r="365" spans="1:19" ht="14.5" x14ac:dyDescent="0.25">
      <c r="A365" s="57" t="s">
        <v>4209</v>
      </c>
      <c r="B365" s="50" t="s">
        <v>4210</v>
      </c>
      <c r="C365" s="50" t="s">
        <v>3104</v>
      </c>
      <c r="D365" s="57" t="s">
        <v>4209</v>
      </c>
      <c r="E365" s="50" t="s">
        <v>3560</v>
      </c>
      <c r="F365" s="50" t="s">
        <v>3561</v>
      </c>
      <c r="G365" s="50" t="s">
        <v>3562</v>
      </c>
      <c r="H365" s="50" t="s">
        <v>3563</v>
      </c>
      <c r="I365" s="50" t="s">
        <v>4211</v>
      </c>
      <c r="J365" s="50" t="s">
        <v>2818</v>
      </c>
      <c r="K365" s="586">
        <v>8.1000000000000003E-2</v>
      </c>
      <c r="L365" s="591" t="s">
        <v>3564</v>
      </c>
      <c r="M365" s="50" t="s">
        <v>3701</v>
      </c>
      <c r="N365" s="50">
        <v>30</v>
      </c>
      <c r="O365" s="50">
        <v>1</v>
      </c>
      <c r="P365" s="50" t="s">
        <v>4209</v>
      </c>
      <c r="Q365" s="585">
        <v>46098</v>
      </c>
      <c r="R365" s="50" t="s">
        <v>3562</v>
      </c>
      <c r="S365" s="50" t="str">
        <f t="shared" si="6"/>
        <v>YES</v>
      </c>
    </row>
    <row r="366" spans="1:19" ht="14.5" x14ac:dyDescent="0.25">
      <c r="A366" s="57" t="s">
        <v>4212</v>
      </c>
      <c r="B366" s="50" t="s">
        <v>4213</v>
      </c>
      <c r="C366" s="50" t="s">
        <v>3104</v>
      </c>
      <c r="D366" s="57" t="s">
        <v>4212</v>
      </c>
      <c r="E366" s="50" t="s">
        <v>3560</v>
      </c>
      <c r="F366" s="50" t="s">
        <v>3561</v>
      </c>
      <c r="G366" s="50" t="s">
        <v>3562</v>
      </c>
      <c r="H366" s="50" t="s">
        <v>3563</v>
      </c>
      <c r="I366" s="50" t="s">
        <v>4211</v>
      </c>
      <c r="J366" s="50" t="s">
        <v>2818</v>
      </c>
      <c r="K366" s="586">
        <v>8.1000000000000003E-2</v>
      </c>
      <c r="L366" s="591" t="s">
        <v>3564</v>
      </c>
      <c r="M366" s="50" t="s">
        <v>3701</v>
      </c>
      <c r="N366" s="50">
        <v>30</v>
      </c>
      <c r="O366" s="50">
        <v>1</v>
      </c>
      <c r="P366" s="50" t="s">
        <v>4212</v>
      </c>
      <c r="Q366" s="585">
        <v>46098</v>
      </c>
      <c r="R366" s="50" t="s">
        <v>3562</v>
      </c>
      <c r="S366" s="50" t="str">
        <f t="shared" si="6"/>
        <v>YES</v>
      </c>
    </row>
    <row r="367" spans="1:19" ht="14.5" x14ac:dyDescent="0.25">
      <c r="A367" s="57" t="s">
        <v>4214</v>
      </c>
      <c r="B367" s="50" t="s">
        <v>4215</v>
      </c>
      <c r="C367" s="50" t="s">
        <v>3105</v>
      </c>
      <c r="D367" s="57" t="s">
        <v>4214</v>
      </c>
      <c r="E367" s="50" t="s">
        <v>3573</v>
      </c>
      <c r="F367" s="50" t="s">
        <v>3574</v>
      </c>
      <c r="G367" s="50" t="s">
        <v>3600</v>
      </c>
      <c r="H367" s="50" t="s">
        <v>3563</v>
      </c>
      <c r="I367" s="50" t="s">
        <v>2817</v>
      </c>
      <c r="J367" s="50" t="s">
        <v>3707</v>
      </c>
      <c r="K367" s="586">
        <v>5.5E-2</v>
      </c>
      <c r="L367" s="603" t="s">
        <v>3708</v>
      </c>
      <c r="M367" s="50" t="s">
        <v>3709</v>
      </c>
      <c r="N367" s="50">
        <v>64</v>
      </c>
      <c r="O367" s="50">
        <v>1</v>
      </c>
      <c r="P367" s="50" t="s">
        <v>4214</v>
      </c>
      <c r="Q367" s="585">
        <v>46098</v>
      </c>
      <c r="R367" s="50" t="s">
        <v>4376</v>
      </c>
      <c r="S367" s="50" t="str">
        <f t="shared" si="6"/>
        <v>YES</v>
      </c>
    </row>
    <row r="368" spans="1:19" ht="14.5" x14ac:dyDescent="0.25">
      <c r="A368" s="57" t="s">
        <v>4216</v>
      </c>
      <c r="B368" s="50" t="s">
        <v>4217</v>
      </c>
      <c r="C368" s="605" t="s">
        <v>4410</v>
      </c>
      <c r="D368" s="57" t="s">
        <v>4216</v>
      </c>
      <c r="E368" s="50" t="s">
        <v>3617</v>
      </c>
      <c r="F368" s="50" t="s">
        <v>3618</v>
      </c>
      <c r="G368" s="50" t="s">
        <v>3618</v>
      </c>
      <c r="H368" s="50" t="s">
        <v>3563</v>
      </c>
      <c r="I368" s="50" t="s">
        <v>3817</v>
      </c>
      <c r="J368" s="50" t="s">
        <v>3818</v>
      </c>
      <c r="K368" s="586">
        <v>8.6999999999999994E-2</v>
      </c>
      <c r="L368" s="601" t="s">
        <v>3630</v>
      </c>
      <c r="M368" s="50" t="s">
        <v>3855</v>
      </c>
      <c r="N368" s="50">
        <v>16</v>
      </c>
      <c r="O368" s="50">
        <v>1</v>
      </c>
      <c r="P368" s="50" t="s">
        <v>4216</v>
      </c>
      <c r="Q368" s="585">
        <v>46099</v>
      </c>
      <c r="R368" s="50" t="s">
        <v>4361</v>
      </c>
      <c r="S368" s="50" t="str">
        <f t="shared" si="6"/>
        <v>YES</v>
      </c>
    </row>
    <row r="369" spans="1:19" ht="14.5" x14ac:dyDescent="0.25">
      <c r="A369" s="57" t="s">
        <v>4218</v>
      </c>
      <c r="B369" s="50" t="s">
        <v>4219</v>
      </c>
      <c r="C369" s="605" t="s">
        <v>4410</v>
      </c>
      <c r="D369" s="57" t="s">
        <v>4218</v>
      </c>
      <c r="E369" s="50" t="s">
        <v>3617</v>
      </c>
      <c r="F369" s="50" t="s">
        <v>3618</v>
      </c>
      <c r="G369" s="50" t="s">
        <v>3618</v>
      </c>
      <c r="H369" s="50" t="s">
        <v>3563</v>
      </c>
      <c r="I369" s="50" t="s">
        <v>3817</v>
      </c>
      <c r="J369" s="50" t="s">
        <v>3818</v>
      </c>
      <c r="K369" s="586">
        <v>8.6999999999999994E-2</v>
      </c>
      <c r="L369" s="601" t="s">
        <v>3630</v>
      </c>
      <c r="M369" s="50" t="s">
        <v>3855</v>
      </c>
      <c r="N369" s="50">
        <v>16</v>
      </c>
      <c r="O369" s="50">
        <v>1</v>
      </c>
      <c r="P369" s="50" t="s">
        <v>4218</v>
      </c>
      <c r="Q369" s="585">
        <v>46099</v>
      </c>
      <c r="R369" s="50" t="s">
        <v>4361</v>
      </c>
      <c r="S369" s="50" t="str">
        <f t="shared" si="6"/>
        <v>YES</v>
      </c>
    </row>
    <row r="370" spans="1:19" ht="14.5" x14ac:dyDescent="0.25">
      <c r="A370" s="57" t="s">
        <v>4220</v>
      </c>
      <c r="B370" s="50" t="s">
        <v>4221</v>
      </c>
      <c r="C370" s="605" t="s">
        <v>4410</v>
      </c>
      <c r="D370" s="57" t="s">
        <v>4220</v>
      </c>
      <c r="E370" s="50" t="s">
        <v>3617</v>
      </c>
      <c r="F370" s="50" t="s">
        <v>3618</v>
      </c>
      <c r="G370" s="50" t="s">
        <v>3618</v>
      </c>
      <c r="H370" s="50" t="s">
        <v>3563</v>
      </c>
      <c r="I370" s="50" t="s">
        <v>3817</v>
      </c>
      <c r="J370" s="50" t="s">
        <v>3818</v>
      </c>
      <c r="K370" s="586">
        <v>8.6999999999999994E-2</v>
      </c>
      <c r="L370" s="601" t="s">
        <v>3630</v>
      </c>
      <c r="M370" s="50" t="s">
        <v>3855</v>
      </c>
      <c r="N370" s="50">
        <v>16</v>
      </c>
      <c r="O370" s="50">
        <v>1</v>
      </c>
      <c r="P370" s="50" t="s">
        <v>4220</v>
      </c>
      <c r="Q370" s="585">
        <v>46099</v>
      </c>
      <c r="R370" s="50" t="s">
        <v>4361</v>
      </c>
      <c r="S370" s="50" t="str">
        <f t="shared" si="6"/>
        <v>YES</v>
      </c>
    </row>
    <row r="371" spans="1:19" ht="14.5" x14ac:dyDescent="0.25">
      <c r="A371" s="57" t="s">
        <v>4282</v>
      </c>
      <c r="B371" s="50" t="s">
        <v>4283</v>
      </c>
      <c r="C371" s="605" t="s">
        <v>4115</v>
      </c>
      <c r="D371" s="57" t="s">
        <v>4282</v>
      </c>
      <c r="E371" s="50" t="s">
        <v>3560</v>
      </c>
      <c r="F371" s="50" t="s">
        <v>3711</v>
      </c>
      <c r="G371" s="50" t="s">
        <v>3568</v>
      </c>
      <c r="H371" s="50" t="s">
        <v>3712</v>
      </c>
      <c r="I371" s="50" t="s">
        <v>2817</v>
      </c>
      <c r="J371" s="50" t="s">
        <v>2818</v>
      </c>
      <c r="K371" s="586">
        <v>8.1000000000000003E-2</v>
      </c>
      <c r="L371" s="600" t="s">
        <v>3570</v>
      </c>
      <c r="M371" s="50" t="s">
        <v>3714</v>
      </c>
      <c r="N371" s="50">
        <v>9</v>
      </c>
      <c r="O371" s="50">
        <v>1</v>
      </c>
      <c r="P371" s="50" t="s">
        <v>4284</v>
      </c>
      <c r="Q371" s="585">
        <v>46105</v>
      </c>
      <c r="R371" s="50" t="s">
        <v>3568</v>
      </c>
      <c r="S371" s="50" t="str">
        <f t="shared" si="6"/>
        <v>NO</v>
      </c>
    </row>
    <row r="372" spans="1:19" s="50" customFormat="1" ht="14.5" x14ac:dyDescent="0.25">
      <c r="A372" s="57" t="s">
        <v>4342</v>
      </c>
      <c r="B372" s="50" t="s">
        <v>4345</v>
      </c>
      <c r="C372" s="50" t="s">
        <v>4409</v>
      </c>
      <c r="D372" s="57" t="s">
        <v>4342</v>
      </c>
      <c r="E372" s="50" t="s">
        <v>3617</v>
      </c>
      <c r="F372" s="50" t="s">
        <v>3618</v>
      </c>
      <c r="G372" s="50" t="s">
        <v>3618</v>
      </c>
      <c r="H372" s="50" t="s">
        <v>3563</v>
      </c>
      <c r="I372" s="50" t="s">
        <v>3817</v>
      </c>
      <c r="J372" s="50" t="s">
        <v>3818</v>
      </c>
      <c r="K372" s="586">
        <v>8.6999999999999994E-2</v>
      </c>
      <c r="L372" s="601" t="s">
        <v>3630</v>
      </c>
      <c r="M372" s="50" t="s">
        <v>3855</v>
      </c>
      <c r="N372" s="50">
        <v>16</v>
      </c>
      <c r="O372" s="50">
        <v>1</v>
      </c>
      <c r="P372" s="50" t="s">
        <v>4342</v>
      </c>
      <c r="Q372" s="585">
        <v>46119</v>
      </c>
      <c r="R372" s="50" t="s">
        <v>4361</v>
      </c>
      <c r="S372" s="50" t="str">
        <f t="shared" si="6"/>
        <v>YES</v>
      </c>
    </row>
    <row r="373" spans="1:19" ht="14.5" x14ac:dyDescent="0.25">
      <c r="A373" s="57" t="s">
        <v>4343</v>
      </c>
      <c r="B373" s="50" t="s">
        <v>4346</v>
      </c>
      <c r="C373" s="50" t="s">
        <v>4409</v>
      </c>
      <c r="D373" s="57" t="s">
        <v>4343</v>
      </c>
      <c r="E373" s="50" t="s">
        <v>3617</v>
      </c>
      <c r="F373" s="50" t="s">
        <v>3618</v>
      </c>
      <c r="G373" s="50" t="s">
        <v>3618</v>
      </c>
      <c r="H373" s="50" t="s">
        <v>3563</v>
      </c>
      <c r="I373" s="50" t="s">
        <v>3817</v>
      </c>
      <c r="J373" s="50" t="s">
        <v>3818</v>
      </c>
      <c r="K373" s="586">
        <v>8.6999999999999994E-2</v>
      </c>
      <c r="L373" s="601" t="s">
        <v>3630</v>
      </c>
      <c r="M373" s="50" t="s">
        <v>3855</v>
      </c>
      <c r="N373" s="50">
        <v>16</v>
      </c>
      <c r="O373" s="50">
        <v>1</v>
      </c>
      <c r="P373" s="50" t="s">
        <v>4343</v>
      </c>
      <c r="Q373" s="585">
        <v>46119</v>
      </c>
      <c r="R373" s="50" t="s">
        <v>4361</v>
      </c>
      <c r="S373" s="50" t="str">
        <f t="shared" si="6"/>
        <v>YES</v>
      </c>
    </row>
    <row r="374" spans="1:19" ht="14.5" x14ac:dyDescent="0.25">
      <c r="A374" s="57" t="s">
        <v>4344</v>
      </c>
      <c r="B374" s="50" t="s">
        <v>4347</v>
      </c>
      <c r="C374" s="50" t="s">
        <v>4409</v>
      </c>
      <c r="D374" s="57" t="s">
        <v>4344</v>
      </c>
      <c r="E374" s="50" t="s">
        <v>3617</v>
      </c>
      <c r="F374" s="50" t="s">
        <v>3618</v>
      </c>
      <c r="G374" s="50" t="s">
        <v>3618</v>
      </c>
      <c r="H374" s="50" t="s">
        <v>3563</v>
      </c>
      <c r="I374" s="50" t="s">
        <v>3817</v>
      </c>
      <c r="J374" s="50" t="s">
        <v>3818</v>
      </c>
      <c r="K374" s="586">
        <v>8.6999999999999994E-2</v>
      </c>
      <c r="L374" s="601" t="s">
        <v>3630</v>
      </c>
      <c r="M374" s="50" t="s">
        <v>3855</v>
      </c>
      <c r="N374" s="50">
        <v>16</v>
      </c>
      <c r="O374" s="50">
        <v>1</v>
      </c>
      <c r="P374" s="50" t="s">
        <v>4344</v>
      </c>
      <c r="Q374" s="585">
        <v>46119</v>
      </c>
      <c r="R374" s="50" t="s">
        <v>4361</v>
      </c>
      <c r="S374" s="50" t="str">
        <f t="shared" si="6"/>
        <v>YES</v>
      </c>
    </row>
    <row r="375" spans="1:19" s="57" customFormat="1" ht="14.5" x14ac:dyDescent="0.25">
      <c r="A375" s="584" t="s">
        <v>4377</v>
      </c>
      <c r="B375" s="57" t="s">
        <v>4378</v>
      </c>
      <c r="C375" s="57" t="s">
        <v>3748</v>
      </c>
      <c r="D375" s="584" t="s">
        <v>4377</v>
      </c>
      <c r="E375" s="57" t="s">
        <v>4379</v>
      </c>
      <c r="F375" s="57" t="s">
        <v>4380</v>
      </c>
      <c r="G375" s="57" t="s">
        <v>4381</v>
      </c>
      <c r="H375" s="57" t="s">
        <v>4382</v>
      </c>
      <c r="I375" s="57" t="s">
        <v>2817</v>
      </c>
      <c r="J375" s="57" t="s">
        <v>2818</v>
      </c>
      <c r="K375" s="609">
        <v>8.1000000000000003E-2</v>
      </c>
      <c r="L375" s="610" t="s">
        <v>4383</v>
      </c>
      <c r="M375" s="57" t="s">
        <v>4384</v>
      </c>
      <c r="N375" s="57">
        <v>30</v>
      </c>
      <c r="O375" s="57">
        <v>1</v>
      </c>
      <c r="P375" s="584" t="s">
        <v>4377</v>
      </c>
      <c r="Q375" s="611">
        <v>46111</v>
      </c>
      <c r="R375" s="57" t="s">
        <v>4381</v>
      </c>
      <c r="S375" s="50" t="str">
        <f t="shared" si="6"/>
        <v>YES</v>
      </c>
    </row>
    <row r="376" spans="1:19" s="57" customFormat="1" ht="14.5" x14ac:dyDescent="0.25">
      <c r="A376" s="584" t="s">
        <v>4411</v>
      </c>
      <c r="B376" s="57" t="s">
        <v>4412</v>
      </c>
      <c r="C376" s="57" t="s">
        <v>3732</v>
      </c>
      <c r="D376" s="584" t="s">
        <v>4411</v>
      </c>
      <c r="E376" s="57" t="s">
        <v>4379</v>
      </c>
      <c r="F376" s="57" t="s">
        <v>4380</v>
      </c>
      <c r="G376" s="57" t="s">
        <v>4413</v>
      </c>
      <c r="H376" s="57" t="s">
        <v>4382</v>
      </c>
      <c r="I376" s="57" t="s">
        <v>4211</v>
      </c>
      <c r="J376" s="57" t="s">
        <v>2818</v>
      </c>
      <c r="K376" s="609">
        <v>8.1000000000000003E-2</v>
      </c>
      <c r="L376" s="610" t="s">
        <v>4383</v>
      </c>
      <c r="M376" s="57" t="s">
        <v>4384</v>
      </c>
      <c r="N376" s="57">
        <v>30</v>
      </c>
      <c r="O376" s="57">
        <v>1</v>
      </c>
      <c r="P376" s="584" t="s">
        <v>4411</v>
      </c>
      <c r="Q376" s="611">
        <v>46125</v>
      </c>
      <c r="R376" s="57" t="s">
        <v>4413</v>
      </c>
      <c r="S376" s="50" t="str">
        <f t="shared" si="6"/>
        <v>YES</v>
      </c>
    </row>
    <row r="377" spans="1:19" s="57" customFormat="1" ht="14.5" x14ac:dyDescent="0.25">
      <c r="A377" s="584" t="s">
        <v>4414</v>
      </c>
      <c r="B377" s="57" t="s">
        <v>4415</v>
      </c>
      <c r="C377" s="57" t="s">
        <v>3732</v>
      </c>
      <c r="D377" s="584" t="s">
        <v>4414</v>
      </c>
      <c r="E377" s="57" t="s">
        <v>4379</v>
      </c>
      <c r="F377" s="57" t="s">
        <v>4380</v>
      </c>
      <c r="G377" s="57" t="s">
        <v>4413</v>
      </c>
      <c r="H377" s="57" t="s">
        <v>4382</v>
      </c>
      <c r="I377" s="57" t="s">
        <v>4211</v>
      </c>
      <c r="J377" s="57" t="s">
        <v>2818</v>
      </c>
      <c r="K377" s="609">
        <v>8.1000000000000003E-2</v>
      </c>
      <c r="L377" s="610" t="s">
        <v>4383</v>
      </c>
      <c r="M377" s="57" t="s">
        <v>4384</v>
      </c>
      <c r="N377" s="57">
        <v>30</v>
      </c>
      <c r="O377" s="57">
        <v>1</v>
      </c>
      <c r="P377" s="584" t="s">
        <v>4414</v>
      </c>
      <c r="Q377" s="611">
        <v>46125</v>
      </c>
      <c r="R377" s="57" t="s">
        <v>4413</v>
      </c>
      <c r="S377" s="50" t="str">
        <f t="shared" si="6"/>
        <v>YES</v>
      </c>
    </row>
    <row r="378" spans="1:19" ht="14.5" x14ac:dyDescent="0.25">
      <c r="A378" s="50" t="s">
        <v>4457</v>
      </c>
      <c r="B378" s="50" t="s">
        <v>4548</v>
      </c>
      <c r="C378" s="50" t="s">
        <v>3099</v>
      </c>
      <c r="D378" s="50" t="s">
        <v>4457</v>
      </c>
      <c r="E378" s="50" t="s">
        <v>3560</v>
      </c>
      <c r="F378" s="50" t="s">
        <v>3561</v>
      </c>
      <c r="G378" s="50" t="s">
        <v>3568</v>
      </c>
      <c r="H378" s="50" t="s">
        <v>3569</v>
      </c>
      <c r="I378" s="50" t="s">
        <v>2817</v>
      </c>
      <c r="J378" s="50" t="s">
        <v>2818</v>
      </c>
      <c r="K378" s="50">
        <v>8.1000000000000003E-2</v>
      </c>
      <c r="L378" s="50" t="s">
        <v>3570</v>
      </c>
      <c r="M378" s="50" t="s">
        <v>3571</v>
      </c>
      <c r="N378" s="50">
        <v>12</v>
      </c>
      <c r="O378" s="50">
        <v>1</v>
      </c>
      <c r="P378" s="50" t="s">
        <v>4462</v>
      </c>
      <c r="Q378" s="585">
        <v>46132</v>
      </c>
      <c r="R378" s="50" t="s">
        <v>3568</v>
      </c>
      <c r="S378" s="50" t="str">
        <f t="shared" si="6"/>
        <v>NO</v>
      </c>
    </row>
    <row r="379" spans="1:19" ht="14.5" x14ac:dyDescent="0.25">
      <c r="A379" s="50" t="s">
        <v>4458</v>
      </c>
      <c r="B379" s="50" t="s">
        <v>4549</v>
      </c>
      <c r="C379" s="50" t="s">
        <v>3099</v>
      </c>
      <c r="D379" s="50" t="s">
        <v>4458</v>
      </c>
      <c r="E379" s="50" t="s">
        <v>3560</v>
      </c>
      <c r="F379" s="50" t="s">
        <v>3561</v>
      </c>
      <c r="G379" s="50" t="s">
        <v>3568</v>
      </c>
      <c r="H379" s="50" t="s">
        <v>3569</v>
      </c>
      <c r="I379" s="50" t="s">
        <v>2817</v>
      </c>
      <c r="J379" s="50" t="s">
        <v>2818</v>
      </c>
      <c r="K379" s="50">
        <v>8.1000000000000003E-2</v>
      </c>
      <c r="L379" s="50" t="s">
        <v>3570</v>
      </c>
      <c r="M379" s="50" t="s">
        <v>3571</v>
      </c>
      <c r="N379" s="50">
        <v>12</v>
      </c>
      <c r="O379" s="50">
        <v>1</v>
      </c>
      <c r="P379" s="50" t="s">
        <v>4463</v>
      </c>
      <c r="Q379" s="585">
        <v>46132</v>
      </c>
      <c r="R379" s="50" t="s">
        <v>3568</v>
      </c>
      <c r="S379" s="50" t="str">
        <f t="shared" si="6"/>
        <v>NO</v>
      </c>
    </row>
    <row r="380" spans="1:19" ht="14.5" x14ac:dyDescent="0.25">
      <c r="A380" s="50" t="s">
        <v>4459</v>
      </c>
      <c r="B380" s="50" t="s">
        <v>4550</v>
      </c>
      <c r="C380" s="50" t="s">
        <v>2985</v>
      </c>
      <c r="D380" s="50" t="s">
        <v>4459</v>
      </c>
      <c r="E380" s="50" t="s">
        <v>3560</v>
      </c>
      <c r="F380" s="50" t="s">
        <v>3561</v>
      </c>
      <c r="G380" s="50" t="s">
        <v>3590</v>
      </c>
      <c r="H380" s="50" t="s">
        <v>3569</v>
      </c>
      <c r="I380" s="50" t="s">
        <v>2817</v>
      </c>
      <c r="J380" s="50" t="s">
        <v>2818</v>
      </c>
      <c r="K380" s="50">
        <v>8.1000000000000003E-2</v>
      </c>
      <c r="L380" s="50" t="s">
        <v>3570</v>
      </c>
      <c r="M380" s="50" t="s">
        <v>3571</v>
      </c>
      <c r="N380" s="50">
        <v>32</v>
      </c>
      <c r="O380" s="50">
        <v>1</v>
      </c>
      <c r="P380" s="50" t="s">
        <v>4459</v>
      </c>
      <c r="Q380" s="585">
        <v>46132</v>
      </c>
      <c r="R380" s="50" t="s">
        <v>3590</v>
      </c>
      <c r="S380" s="50" t="str">
        <f t="shared" si="6"/>
        <v>YES</v>
      </c>
    </row>
    <row r="381" spans="1:19" ht="14.5" x14ac:dyDescent="0.25">
      <c r="A381" s="50" t="s">
        <v>4460</v>
      </c>
      <c r="B381" s="50" t="s">
        <v>4551</v>
      </c>
      <c r="C381" s="50" t="s">
        <v>2985</v>
      </c>
      <c r="D381" s="50" t="s">
        <v>4460</v>
      </c>
      <c r="E381" s="50" t="s">
        <v>3560</v>
      </c>
      <c r="F381" s="50" t="s">
        <v>3561</v>
      </c>
      <c r="G381" s="50" t="s">
        <v>3568</v>
      </c>
      <c r="H381" s="50" t="s">
        <v>3569</v>
      </c>
      <c r="I381" s="50" t="s">
        <v>2817</v>
      </c>
      <c r="J381" s="50" t="s">
        <v>2818</v>
      </c>
      <c r="K381" s="50">
        <v>8.1000000000000003E-2</v>
      </c>
      <c r="L381" s="50" t="s">
        <v>3570</v>
      </c>
      <c r="M381" s="50" t="s">
        <v>3571</v>
      </c>
      <c r="N381" s="50">
        <v>32</v>
      </c>
      <c r="O381" s="50">
        <v>1</v>
      </c>
      <c r="P381" s="50" t="s">
        <v>4461</v>
      </c>
      <c r="Q381" s="585">
        <v>46132</v>
      </c>
      <c r="R381" s="50" t="s">
        <v>3568</v>
      </c>
      <c r="S381" s="50" t="str">
        <f t="shared" si="6"/>
        <v>NO</v>
      </c>
    </row>
    <row r="382" spans="1:19" s="57" customFormat="1" ht="14.5" x14ac:dyDescent="0.25">
      <c r="A382" s="584" t="s">
        <v>4464</v>
      </c>
      <c r="B382" s="584" t="s">
        <v>4552</v>
      </c>
      <c r="C382" s="57" t="s">
        <v>3721</v>
      </c>
      <c r="D382" s="584" t="s">
        <v>4464</v>
      </c>
      <c r="E382" s="57" t="s">
        <v>4465</v>
      </c>
      <c r="F382" s="57" t="s">
        <v>4466</v>
      </c>
      <c r="G382" s="57" t="s">
        <v>4467</v>
      </c>
      <c r="H382" s="57" t="s">
        <v>4382</v>
      </c>
      <c r="I382" s="57" t="s">
        <v>2817</v>
      </c>
      <c r="J382" s="57" t="s">
        <v>3707</v>
      </c>
      <c r="K382" s="609">
        <v>5.5E-2</v>
      </c>
      <c r="L382" s="612" t="s">
        <v>4468</v>
      </c>
      <c r="M382" s="57" t="s">
        <v>4469</v>
      </c>
      <c r="N382" s="57">
        <v>20</v>
      </c>
      <c r="O382" s="57">
        <v>1</v>
      </c>
      <c r="P382" s="584" t="s">
        <v>4464</v>
      </c>
      <c r="Q382" s="611">
        <v>46133</v>
      </c>
      <c r="R382" s="57" t="s">
        <v>4470</v>
      </c>
      <c r="S382" s="50" t="str">
        <f t="shared" si="6"/>
        <v>YES</v>
      </c>
    </row>
    <row r="383" spans="1:19" s="57" customFormat="1" ht="14.5" x14ac:dyDescent="0.25">
      <c r="A383" s="584" t="s">
        <v>4471</v>
      </c>
      <c r="B383" s="584" t="s">
        <v>4553</v>
      </c>
      <c r="C383" s="57" t="s">
        <v>3721</v>
      </c>
      <c r="D383" s="584" t="s">
        <v>4471</v>
      </c>
      <c r="E383" s="57" t="s">
        <v>4465</v>
      </c>
      <c r="F383" s="57" t="s">
        <v>4466</v>
      </c>
      <c r="G383" s="57" t="s">
        <v>4467</v>
      </c>
      <c r="H383" s="57" t="s">
        <v>4382</v>
      </c>
      <c r="I383" s="57" t="s">
        <v>2817</v>
      </c>
      <c r="J383" s="57" t="s">
        <v>3707</v>
      </c>
      <c r="K383" s="609">
        <v>5.5E-2</v>
      </c>
      <c r="L383" s="612" t="s">
        <v>4468</v>
      </c>
      <c r="M383" s="57" t="s">
        <v>4469</v>
      </c>
      <c r="N383" s="57">
        <v>20</v>
      </c>
      <c r="O383" s="57">
        <v>1</v>
      </c>
      <c r="P383" s="584" t="s">
        <v>4471</v>
      </c>
      <c r="Q383" s="611">
        <v>46133</v>
      </c>
      <c r="R383" s="57" t="s">
        <v>4470</v>
      </c>
      <c r="S383" s="50" t="str">
        <f t="shared" si="6"/>
        <v>YES</v>
      </c>
    </row>
    <row r="384" spans="1:19" s="57" customFormat="1" ht="14.5" x14ac:dyDescent="0.25">
      <c r="A384" s="584" t="s">
        <v>4472</v>
      </c>
      <c r="B384" s="57" t="s">
        <v>4473</v>
      </c>
      <c r="C384" s="57" t="s">
        <v>3724</v>
      </c>
      <c r="D384" s="584" t="s">
        <v>4472</v>
      </c>
      <c r="E384" s="57" t="s">
        <v>4379</v>
      </c>
      <c r="F384" s="57" t="s">
        <v>4474</v>
      </c>
      <c r="G384" s="57" t="s">
        <v>4475</v>
      </c>
      <c r="H384" s="57" t="s">
        <v>4476</v>
      </c>
      <c r="I384" s="57" t="s">
        <v>2817</v>
      </c>
      <c r="J384" s="57" t="s">
        <v>2818</v>
      </c>
      <c r="K384" s="609">
        <v>8.1000000000000003E-2</v>
      </c>
      <c r="L384" s="610" t="s">
        <v>4477</v>
      </c>
      <c r="M384" s="57" t="s">
        <v>4384</v>
      </c>
      <c r="N384" s="57">
        <v>9</v>
      </c>
      <c r="O384" s="57">
        <v>1</v>
      </c>
      <c r="P384" s="584" t="s">
        <v>4472</v>
      </c>
      <c r="Q384" s="611">
        <v>46133</v>
      </c>
      <c r="R384" s="57" t="s">
        <v>4478</v>
      </c>
      <c r="S384" s="57" t="str">
        <f t="shared" ref="S384:S394" si="7">IF(A384=P384,"YES","NO")</f>
        <v>YES</v>
      </c>
    </row>
    <row r="385" spans="1:19" s="57" customFormat="1" ht="14.5" x14ac:dyDescent="0.25">
      <c r="A385" s="584" t="s">
        <v>4479</v>
      </c>
      <c r="B385" s="57" t="s">
        <v>4480</v>
      </c>
      <c r="C385" s="57" t="s">
        <v>3724</v>
      </c>
      <c r="D385" s="584" t="s">
        <v>4479</v>
      </c>
      <c r="E385" s="57" t="s">
        <v>4379</v>
      </c>
      <c r="F385" s="57" t="s">
        <v>4481</v>
      </c>
      <c r="G385" s="57" t="s">
        <v>4482</v>
      </c>
      <c r="H385" s="57" t="s">
        <v>4476</v>
      </c>
      <c r="I385" s="57" t="s">
        <v>2817</v>
      </c>
      <c r="J385" s="57" t="s">
        <v>3713</v>
      </c>
      <c r="K385" s="609">
        <v>8.1000000000000003E-2</v>
      </c>
      <c r="L385" s="610" t="s">
        <v>4477</v>
      </c>
      <c r="M385" s="57" t="s">
        <v>4384</v>
      </c>
      <c r="N385" s="57">
        <v>9</v>
      </c>
      <c r="O385" s="57">
        <v>1</v>
      </c>
      <c r="P385" s="584" t="s">
        <v>4479</v>
      </c>
      <c r="Q385" s="611">
        <v>46133</v>
      </c>
      <c r="R385" s="57" t="s">
        <v>4483</v>
      </c>
      <c r="S385" s="57" t="str">
        <f t="shared" si="7"/>
        <v>YES</v>
      </c>
    </row>
    <row r="386" spans="1:19" s="57" customFormat="1" ht="14.5" x14ac:dyDescent="0.25">
      <c r="A386" s="584" t="s">
        <v>4591</v>
      </c>
      <c r="B386" s="57" t="s">
        <v>4592</v>
      </c>
      <c r="C386" s="57" t="s">
        <v>3744</v>
      </c>
      <c r="D386" s="584" t="s">
        <v>4591</v>
      </c>
      <c r="E386" s="57" t="s">
        <v>4379</v>
      </c>
      <c r="F386" s="57" t="s">
        <v>4380</v>
      </c>
      <c r="G386" s="57" t="s">
        <v>4413</v>
      </c>
      <c r="H386" s="57" t="s">
        <v>4382</v>
      </c>
      <c r="I386" s="57" t="s">
        <v>2817</v>
      </c>
      <c r="J386" s="57" t="s">
        <v>2818</v>
      </c>
      <c r="K386" s="609">
        <v>8.1000000000000003E-2</v>
      </c>
      <c r="L386" s="610" t="s">
        <v>4383</v>
      </c>
      <c r="M386" s="57" t="s">
        <v>4384</v>
      </c>
      <c r="N386" s="57">
        <v>30</v>
      </c>
      <c r="O386" s="57">
        <v>1</v>
      </c>
      <c r="P386" s="584" t="s">
        <v>4591</v>
      </c>
      <c r="Q386" s="611">
        <v>46153</v>
      </c>
      <c r="R386" s="57" t="s">
        <v>4413</v>
      </c>
      <c r="S386" s="57" t="str">
        <f t="shared" si="7"/>
        <v>YES</v>
      </c>
    </row>
    <row r="387" spans="1:19" s="57" customFormat="1" ht="14.5" x14ac:dyDescent="0.25">
      <c r="A387" s="584" t="s">
        <v>4693</v>
      </c>
      <c r="B387" s="57" t="s">
        <v>4694</v>
      </c>
      <c r="C387" s="57" t="s">
        <v>4695</v>
      </c>
      <c r="D387" s="584" t="s">
        <v>4693</v>
      </c>
      <c r="E387" s="57" t="s">
        <v>4379</v>
      </c>
      <c r="F387" s="57" t="s">
        <v>4481</v>
      </c>
      <c r="G387" s="57" t="s">
        <v>4696</v>
      </c>
      <c r="H387" s="57" t="s">
        <v>4382</v>
      </c>
      <c r="I387" s="57" t="s">
        <v>2817</v>
      </c>
      <c r="J387" s="57" t="s">
        <v>2818</v>
      </c>
      <c r="K387" s="609">
        <v>8.1000000000000003E-2</v>
      </c>
      <c r="L387" s="610" t="s">
        <v>4383</v>
      </c>
      <c r="M387" s="57" t="s">
        <v>4384</v>
      </c>
      <c r="N387" s="57">
        <v>30</v>
      </c>
      <c r="O387" s="57">
        <v>1</v>
      </c>
      <c r="P387" s="584" t="s">
        <v>4693</v>
      </c>
      <c r="Q387" s="611">
        <v>46174</v>
      </c>
      <c r="R387" s="57" t="s">
        <v>4696</v>
      </c>
      <c r="S387" s="57" t="str">
        <f t="shared" si="7"/>
        <v>YES</v>
      </c>
    </row>
    <row r="388" spans="1:19" s="57" customFormat="1" ht="14.5" x14ac:dyDescent="0.25">
      <c r="A388" s="584" t="s">
        <v>4738</v>
      </c>
      <c r="B388" s="57" t="s">
        <v>4809</v>
      </c>
      <c r="C388" s="57" t="s">
        <v>3721</v>
      </c>
      <c r="D388" s="584" t="s">
        <v>4738</v>
      </c>
      <c r="E388" s="57" t="s">
        <v>4465</v>
      </c>
      <c r="F388" s="57" t="s">
        <v>4466</v>
      </c>
      <c r="G388" s="57" t="s">
        <v>4467</v>
      </c>
      <c r="H388" s="57" t="s">
        <v>4382</v>
      </c>
      <c r="I388" s="57" t="s">
        <v>2817</v>
      </c>
      <c r="J388" s="57" t="s">
        <v>3707</v>
      </c>
      <c r="K388" s="609">
        <v>5.5E-2</v>
      </c>
      <c r="L388" s="612" t="s">
        <v>4468</v>
      </c>
      <c r="M388" s="57" t="s">
        <v>4469</v>
      </c>
      <c r="N388" s="57">
        <v>64</v>
      </c>
      <c r="O388" s="57">
        <v>1</v>
      </c>
      <c r="P388" s="584" t="s">
        <v>4738</v>
      </c>
      <c r="Q388" s="611">
        <v>46185</v>
      </c>
      <c r="R388" s="57" t="s">
        <v>4739</v>
      </c>
      <c r="S388" s="57" t="str">
        <f t="shared" si="7"/>
        <v>YES</v>
      </c>
    </row>
    <row r="389" spans="1:19" s="57" customFormat="1" ht="14.5" x14ac:dyDescent="0.25">
      <c r="A389" s="584" t="s">
        <v>4740</v>
      </c>
      <c r="B389" s="57" t="s">
        <v>4810</v>
      </c>
      <c r="C389" s="57" t="s">
        <v>3721</v>
      </c>
      <c r="D389" s="584" t="s">
        <v>4740</v>
      </c>
      <c r="E389" s="57" t="s">
        <v>4465</v>
      </c>
      <c r="F389" s="57" t="s">
        <v>4466</v>
      </c>
      <c r="G389" s="57" t="s">
        <v>4467</v>
      </c>
      <c r="H389" s="57" t="s">
        <v>4382</v>
      </c>
      <c r="I389" s="57" t="s">
        <v>2817</v>
      </c>
      <c r="J389" s="57" t="s">
        <v>3707</v>
      </c>
      <c r="K389" s="609">
        <v>5.5E-2</v>
      </c>
      <c r="L389" s="612" t="s">
        <v>4468</v>
      </c>
      <c r="M389" s="57" t="s">
        <v>4469</v>
      </c>
      <c r="N389" s="57">
        <v>64</v>
      </c>
      <c r="O389" s="57">
        <v>1</v>
      </c>
      <c r="P389" s="584" t="s">
        <v>4740</v>
      </c>
      <c r="Q389" s="611">
        <v>46183</v>
      </c>
      <c r="R389" s="57" t="s">
        <v>4739</v>
      </c>
      <c r="S389" s="57" t="str">
        <f t="shared" si="7"/>
        <v>YES</v>
      </c>
    </row>
    <row r="390" spans="1:19" s="57" customFormat="1" ht="14.5" x14ac:dyDescent="0.25">
      <c r="A390" s="584" t="s">
        <v>4741</v>
      </c>
      <c r="B390" s="57" t="s">
        <v>4811</v>
      </c>
      <c r="C390" s="57" t="s">
        <v>4742</v>
      </c>
      <c r="D390" s="584" t="s">
        <v>4741</v>
      </c>
      <c r="E390" s="57" t="s">
        <v>4379</v>
      </c>
      <c r="F390" s="57" t="s">
        <v>4380</v>
      </c>
      <c r="G390" s="57" t="s">
        <v>4413</v>
      </c>
      <c r="H390" s="57" t="s">
        <v>4382</v>
      </c>
      <c r="I390" s="57" t="s">
        <v>2817</v>
      </c>
      <c r="J390" s="57" t="s">
        <v>2818</v>
      </c>
      <c r="K390" s="609">
        <v>8.1000000000000003E-2</v>
      </c>
      <c r="L390" s="610" t="s">
        <v>4477</v>
      </c>
      <c r="M390" s="57" t="s">
        <v>4384</v>
      </c>
      <c r="N390" s="57">
        <v>18</v>
      </c>
      <c r="O390" s="57">
        <v>1</v>
      </c>
      <c r="P390" s="584" t="s">
        <v>4741</v>
      </c>
      <c r="Q390" s="611">
        <v>46185</v>
      </c>
      <c r="R390" s="57" t="s">
        <v>4743</v>
      </c>
      <c r="S390" s="57" t="str">
        <f t="shared" si="7"/>
        <v>YES</v>
      </c>
    </row>
    <row r="391" spans="1:19" s="57" customFormat="1" ht="14.5" x14ac:dyDescent="0.25">
      <c r="A391" s="584" t="s">
        <v>4744</v>
      </c>
      <c r="B391" s="57" t="s">
        <v>4812</v>
      </c>
      <c r="C391" s="57" t="s">
        <v>4742</v>
      </c>
      <c r="D391" s="584" t="s">
        <v>4744</v>
      </c>
      <c r="E391" s="57" t="s">
        <v>4379</v>
      </c>
      <c r="F391" s="57" t="s">
        <v>4380</v>
      </c>
      <c r="G391" s="57" t="s">
        <v>4413</v>
      </c>
      <c r="H391" s="57" t="s">
        <v>4382</v>
      </c>
      <c r="I391" s="57" t="s">
        <v>2817</v>
      </c>
      <c r="J391" s="57" t="s">
        <v>2818</v>
      </c>
      <c r="K391" s="609">
        <v>8.1000000000000003E-2</v>
      </c>
      <c r="L391" s="610" t="s">
        <v>4477</v>
      </c>
      <c r="M391" s="57" t="s">
        <v>4384</v>
      </c>
      <c r="N391" s="57">
        <v>18</v>
      </c>
      <c r="O391" s="57">
        <v>1</v>
      </c>
      <c r="P391" s="584" t="s">
        <v>4744</v>
      </c>
      <c r="Q391" s="611">
        <v>46185</v>
      </c>
      <c r="R391" s="57" t="s">
        <v>4743</v>
      </c>
      <c r="S391" s="57" t="str">
        <f t="shared" si="7"/>
        <v>YES</v>
      </c>
    </row>
    <row r="392" spans="1:19" s="57" customFormat="1" ht="14.5" x14ac:dyDescent="0.25">
      <c r="A392" s="584" t="s">
        <v>4745</v>
      </c>
      <c r="B392" s="57" t="s">
        <v>4813</v>
      </c>
      <c r="C392" s="57" t="s">
        <v>4742</v>
      </c>
      <c r="D392" s="584" t="s">
        <v>4745</v>
      </c>
      <c r="E392" s="57" t="s">
        <v>4379</v>
      </c>
      <c r="F392" s="57" t="s">
        <v>4380</v>
      </c>
      <c r="G392" s="57" t="s">
        <v>4413</v>
      </c>
      <c r="H392" s="57" t="s">
        <v>4382</v>
      </c>
      <c r="I392" s="57" t="s">
        <v>2817</v>
      </c>
      <c r="J392" s="57" t="s">
        <v>2818</v>
      </c>
      <c r="K392" s="609">
        <v>8.1000000000000003E-2</v>
      </c>
      <c r="L392" s="610" t="s">
        <v>4383</v>
      </c>
      <c r="M392" s="57" t="s">
        <v>4384</v>
      </c>
      <c r="N392" s="57">
        <v>24</v>
      </c>
      <c r="O392" s="57">
        <v>1</v>
      </c>
      <c r="P392" s="584" t="s">
        <v>4745</v>
      </c>
      <c r="Q392" s="611">
        <v>46185</v>
      </c>
      <c r="R392" s="57" t="s">
        <v>4743</v>
      </c>
      <c r="S392" s="57" t="str">
        <f t="shared" si="7"/>
        <v>YES</v>
      </c>
    </row>
    <row r="393" spans="1:19" s="57" customFormat="1" ht="14.5" x14ac:dyDescent="0.25">
      <c r="A393" s="584" t="s">
        <v>4746</v>
      </c>
      <c r="B393" s="57" t="s">
        <v>4814</v>
      </c>
      <c r="C393" s="57" t="s">
        <v>4742</v>
      </c>
      <c r="D393" s="584" t="s">
        <v>4746</v>
      </c>
      <c r="E393" s="57" t="s">
        <v>4379</v>
      </c>
      <c r="F393" s="57" t="s">
        <v>4380</v>
      </c>
      <c r="G393" s="57" t="s">
        <v>4413</v>
      </c>
      <c r="H393" s="57" t="s">
        <v>4382</v>
      </c>
      <c r="I393" s="57" t="s">
        <v>2817</v>
      </c>
      <c r="J393" s="57" t="s">
        <v>2818</v>
      </c>
      <c r="K393" s="609">
        <v>8.1000000000000003E-2</v>
      </c>
      <c r="L393" s="610" t="s">
        <v>4383</v>
      </c>
      <c r="M393" s="57" t="s">
        <v>4384</v>
      </c>
      <c r="N393" s="57">
        <v>24</v>
      </c>
      <c r="O393" s="57">
        <v>1</v>
      </c>
      <c r="P393" s="584" t="s">
        <v>4746</v>
      </c>
      <c r="Q393" s="611">
        <v>46185</v>
      </c>
      <c r="R393" s="57" t="s">
        <v>4743</v>
      </c>
      <c r="S393" s="57" t="str">
        <f t="shared" si="7"/>
        <v>YES</v>
      </c>
    </row>
    <row r="394" spans="1:19" s="57" customFormat="1" ht="14.5" x14ac:dyDescent="0.25">
      <c r="A394" s="584" t="s">
        <v>4747</v>
      </c>
      <c r="B394" s="57" t="s">
        <v>4815</v>
      </c>
      <c r="C394" s="57" t="s">
        <v>3694</v>
      </c>
      <c r="D394" s="584" t="s">
        <v>4747</v>
      </c>
      <c r="E394" s="57" t="s">
        <v>4379</v>
      </c>
      <c r="F394" s="57" t="s">
        <v>4380</v>
      </c>
      <c r="G394" s="57" t="s">
        <v>4413</v>
      </c>
      <c r="H394" s="57" t="s">
        <v>4382</v>
      </c>
      <c r="I394" s="57" t="s">
        <v>2817</v>
      </c>
      <c r="J394" s="57" t="s">
        <v>2818</v>
      </c>
      <c r="K394" s="609">
        <v>8.1000000000000003E-2</v>
      </c>
      <c r="L394" s="610" t="s">
        <v>4477</v>
      </c>
      <c r="M394" s="57" t="s">
        <v>4384</v>
      </c>
      <c r="N394" s="57">
        <v>30</v>
      </c>
      <c r="O394" s="57">
        <v>1</v>
      </c>
      <c r="P394" s="584" t="s">
        <v>4747</v>
      </c>
      <c r="Q394" s="611">
        <v>46185</v>
      </c>
      <c r="R394" s="57" t="s">
        <v>4413</v>
      </c>
      <c r="S394" s="57" t="str">
        <f t="shared" si="7"/>
        <v>YES</v>
      </c>
    </row>
    <row r="395" spans="1:19" s="57" customFormat="1" ht="14.5" x14ac:dyDescent="0.25">
      <c r="A395" s="584" t="s">
        <v>4798</v>
      </c>
      <c r="B395" s="57" t="s">
        <v>4858</v>
      </c>
      <c r="C395" s="57" t="s">
        <v>3724</v>
      </c>
      <c r="D395" s="584" t="s">
        <v>4798</v>
      </c>
      <c r="E395" s="57" t="s">
        <v>4379</v>
      </c>
      <c r="F395" s="57" t="s">
        <v>4481</v>
      </c>
      <c r="G395" s="57" t="s">
        <v>4482</v>
      </c>
      <c r="H395" s="57" t="s">
        <v>4476</v>
      </c>
      <c r="I395" s="57" t="s">
        <v>2817</v>
      </c>
      <c r="J395" s="57" t="s">
        <v>3713</v>
      </c>
      <c r="K395" s="609">
        <v>8.1000000000000003E-2</v>
      </c>
      <c r="L395" s="610" t="s">
        <v>4477</v>
      </c>
      <c r="M395" s="57" t="s">
        <v>4384</v>
      </c>
      <c r="N395" s="57">
        <v>9</v>
      </c>
      <c r="O395" s="57">
        <v>1</v>
      </c>
      <c r="P395" s="584" t="s">
        <v>4798</v>
      </c>
      <c r="Q395" s="611">
        <v>46191</v>
      </c>
      <c r="R395" s="57" t="s">
        <v>4483</v>
      </c>
      <c r="S395" s="57" t="str">
        <f t="shared" ref="S395:S400" si="8">IF(A395=P395,"YES","NO")</f>
        <v>YES</v>
      </c>
    </row>
    <row r="396" spans="1:19" s="57" customFormat="1" ht="14.5" x14ac:dyDescent="0.25">
      <c r="A396" s="584" t="s">
        <v>4799</v>
      </c>
      <c r="B396" s="57" t="s">
        <v>4819</v>
      </c>
      <c r="C396" s="57" t="s">
        <v>3724</v>
      </c>
      <c r="D396" s="584" t="s">
        <v>4799</v>
      </c>
      <c r="E396" s="57" t="s">
        <v>4379</v>
      </c>
      <c r="F396" s="57" t="s">
        <v>4481</v>
      </c>
      <c r="G396" s="57" t="s">
        <v>4800</v>
      </c>
      <c r="H396" s="57" t="s">
        <v>4476</v>
      </c>
      <c r="I396" s="57" t="s">
        <v>2817</v>
      </c>
      <c r="J396" s="57" t="s">
        <v>3713</v>
      </c>
      <c r="K396" s="609">
        <v>8.1000000000000003E-2</v>
      </c>
      <c r="L396" s="610" t="s">
        <v>4477</v>
      </c>
      <c r="M396" s="57" t="s">
        <v>4384</v>
      </c>
      <c r="N396" s="57">
        <v>9</v>
      </c>
      <c r="O396" s="57">
        <v>1</v>
      </c>
      <c r="P396" s="584" t="s">
        <v>4799</v>
      </c>
      <c r="Q396" s="611">
        <v>46191</v>
      </c>
      <c r="R396" s="57" t="s">
        <v>4478</v>
      </c>
      <c r="S396" s="57" t="str">
        <f t="shared" si="8"/>
        <v>YES</v>
      </c>
    </row>
    <row r="397" spans="1:19" s="50" customFormat="1" ht="14.5" x14ac:dyDescent="0.25">
      <c r="A397" s="584" t="s">
        <v>4801</v>
      </c>
      <c r="B397" s="50" t="s">
        <v>4816</v>
      </c>
      <c r="C397" s="50" t="s">
        <v>3911</v>
      </c>
      <c r="D397" s="584" t="s">
        <v>4801</v>
      </c>
      <c r="E397" s="57" t="s">
        <v>4379</v>
      </c>
      <c r="F397" s="57" t="s">
        <v>4380</v>
      </c>
      <c r="G397" s="57" t="s">
        <v>4800</v>
      </c>
      <c r="H397" s="57" t="s">
        <v>4476</v>
      </c>
      <c r="I397" s="57" t="s">
        <v>2817</v>
      </c>
      <c r="J397" s="57" t="s">
        <v>2818</v>
      </c>
      <c r="K397" s="609">
        <v>8.1000000000000003E-2</v>
      </c>
      <c r="L397" s="613" t="s">
        <v>4802</v>
      </c>
      <c r="M397" s="57" t="s">
        <v>4803</v>
      </c>
      <c r="N397" s="57">
        <v>32</v>
      </c>
      <c r="O397" s="57">
        <v>1</v>
      </c>
      <c r="P397" s="584" t="s">
        <v>4804</v>
      </c>
      <c r="Q397" s="611">
        <v>46191</v>
      </c>
      <c r="R397" s="57" t="s">
        <v>4800</v>
      </c>
      <c r="S397" s="57" t="str">
        <f t="shared" si="8"/>
        <v>NO</v>
      </c>
    </row>
    <row r="398" spans="1:19" s="50" customFormat="1" ht="14.5" x14ac:dyDescent="0.25">
      <c r="A398" s="584" t="s">
        <v>4805</v>
      </c>
      <c r="B398" s="50" t="s">
        <v>4817</v>
      </c>
      <c r="C398" s="50" t="s">
        <v>3911</v>
      </c>
      <c r="D398" s="584" t="s">
        <v>4805</v>
      </c>
      <c r="E398" s="57" t="s">
        <v>4379</v>
      </c>
      <c r="F398" s="57" t="s">
        <v>4380</v>
      </c>
      <c r="G398" s="57" t="s">
        <v>4800</v>
      </c>
      <c r="H398" s="57" t="s">
        <v>4476</v>
      </c>
      <c r="I398" s="57" t="s">
        <v>2817</v>
      </c>
      <c r="J398" s="57" t="s">
        <v>2818</v>
      </c>
      <c r="K398" s="609">
        <v>8.1000000000000003E-2</v>
      </c>
      <c r="L398" s="613" t="s">
        <v>4802</v>
      </c>
      <c r="M398" s="57" t="s">
        <v>4803</v>
      </c>
      <c r="N398" s="57">
        <v>32</v>
      </c>
      <c r="O398" s="57">
        <v>1</v>
      </c>
      <c r="P398" s="584" t="s">
        <v>4806</v>
      </c>
      <c r="Q398" s="611">
        <v>46191</v>
      </c>
      <c r="R398" s="57" t="s">
        <v>4800</v>
      </c>
      <c r="S398" s="57" t="str">
        <f t="shared" si="8"/>
        <v>NO</v>
      </c>
    </row>
    <row r="399" spans="1:19" s="50" customFormat="1" ht="14.5" x14ac:dyDescent="0.25">
      <c r="A399" s="584" t="s">
        <v>4807</v>
      </c>
      <c r="B399" s="50" t="s">
        <v>4818</v>
      </c>
      <c r="C399" s="50" t="s">
        <v>3911</v>
      </c>
      <c r="D399" s="584" t="s">
        <v>4807</v>
      </c>
      <c r="E399" s="57" t="s">
        <v>4379</v>
      </c>
      <c r="F399" s="57" t="s">
        <v>4380</v>
      </c>
      <c r="G399" s="57" t="s">
        <v>4800</v>
      </c>
      <c r="H399" s="57" t="s">
        <v>4476</v>
      </c>
      <c r="I399" s="57" t="s">
        <v>2817</v>
      </c>
      <c r="J399" s="57" t="s">
        <v>2818</v>
      </c>
      <c r="K399" s="609">
        <v>8.1000000000000003E-2</v>
      </c>
      <c r="L399" s="613" t="s">
        <v>4802</v>
      </c>
      <c r="M399" s="57" t="s">
        <v>4803</v>
      </c>
      <c r="N399" s="57">
        <v>32</v>
      </c>
      <c r="O399" s="57">
        <v>1</v>
      </c>
      <c r="P399" s="584" t="s">
        <v>4808</v>
      </c>
      <c r="Q399" s="611">
        <v>46191</v>
      </c>
      <c r="R399" s="57" t="s">
        <v>4800</v>
      </c>
      <c r="S399" s="57" t="str">
        <f t="shared" si="8"/>
        <v>NO</v>
      </c>
    </row>
    <row r="400" spans="1:19" s="57" customFormat="1" ht="14.5" x14ac:dyDescent="0.25">
      <c r="A400" s="584" t="s">
        <v>4820</v>
      </c>
      <c r="B400" s="57" t="s">
        <v>4822</v>
      </c>
      <c r="C400" s="57" t="s">
        <v>3721</v>
      </c>
      <c r="D400" s="584" t="s">
        <v>4821</v>
      </c>
      <c r="E400" s="57" t="s">
        <v>4465</v>
      </c>
      <c r="F400" s="57" t="s">
        <v>4466</v>
      </c>
      <c r="G400" s="57" t="s">
        <v>4467</v>
      </c>
      <c r="H400" s="57" t="s">
        <v>4382</v>
      </c>
      <c r="I400" s="57" t="s">
        <v>2817</v>
      </c>
      <c r="J400" s="57" t="s">
        <v>3707</v>
      </c>
      <c r="K400" s="609">
        <v>5.5E-2</v>
      </c>
      <c r="L400" s="612" t="s">
        <v>4468</v>
      </c>
      <c r="M400" s="57" t="s">
        <v>4469</v>
      </c>
      <c r="N400" s="57">
        <v>64</v>
      </c>
      <c r="O400" s="57">
        <v>1</v>
      </c>
      <c r="P400" s="584" t="s">
        <v>4820</v>
      </c>
      <c r="Q400" s="611">
        <v>46195</v>
      </c>
      <c r="R400" s="57" t="s">
        <v>4739</v>
      </c>
      <c r="S400" s="57" t="str">
        <f t="shared" si="8"/>
        <v>YES</v>
      </c>
    </row>
    <row r="401" spans="1:19" s="50" customFormat="1" ht="14.5" x14ac:dyDescent="0.25">
      <c r="A401" s="605" t="s">
        <v>4823</v>
      </c>
      <c r="B401" s="50" t="s">
        <v>4859</v>
      </c>
      <c r="C401" s="50" t="s">
        <v>3099</v>
      </c>
      <c r="D401" s="605" t="s">
        <v>4823</v>
      </c>
      <c r="E401" s="50" t="s">
        <v>3560</v>
      </c>
      <c r="F401" s="50" t="s">
        <v>3561</v>
      </c>
      <c r="G401" s="50" t="s">
        <v>3590</v>
      </c>
      <c r="H401" s="57" t="s">
        <v>4476</v>
      </c>
      <c r="I401" s="57" t="s">
        <v>2817</v>
      </c>
      <c r="J401" s="57" t="s">
        <v>3707</v>
      </c>
      <c r="K401" s="609">
        <v>5.5E-2</v>
      </c>
      <c r="L401" s="613" t="s">
        <v>4802</v>
      </c>
      <c r="M401" s="57" t="s">
        <v>4803</v>
      </c>
      <c r="N401" s="50">
        <v>12</v>
      </c>
      <c r="O401" s="57">
        <v>1</v>
      </c>
      <c r="P401" s="605" t="s">
        <v>4823</v>
      </c>
      <c r="Q401" s="611">
        <v>46195</v>
      </c>
      <c r="R401" s="57" t="s">
        <v>4482</v>
      </c>
      <c r="S401" s="57" t="str">
        <f t="shared" ref="S401:S407" si="9">IF(A401=P401,"YES","NO")</f>
        <v>YES</v>
      </c>
    </row>
    <row r="402" spans="1:19" s="50" customFormat="1" ht="14.5" x14ac:dyDescent="0.25">
      <c r="A402" s="605" t="s">
        <v>4824</v>
      </c>
      <c r="B402" s="50" t="s">
        <v>4825</v>
      </c>
      <c r="C402" s="50" t="s">
        <v>3099</v>
      </c>
      <c r="D402" s="605" t="s">
        <v>4824</v>
      </c>
      <c r="E402" s="50" t="s">
        <v>3560</v>
      </c>
      <c r="F402" s="50" t="s">
        <v>3561</v>
      </c>
      <c r="G402" s="50" t="s">
        <v>3568</v>
      </c>
      <c r="H402" s="57" t="s">
        <v>4476</v>
      </c>
      <c r="I402" s="57" t="s">
        <v>2817</v>
      </c>
      <c r="J402" s="57" t="s">
        <v>3707</v>
      </c>
      <c r="K402" s="609">
        <v>5.5E-2</v>
      </c>
      <c r="L402" s="613" t="s">
        <v>4802</v>
      </c>
      <c r="M402" s="57" t="s">
        <v>4803</v>
      </c>
      <c r="N402" s="50">
        <v>12</v>
      </c>
      <c r="O402" s="57">
        <v>1</v>
      </c>
      <c r="P402" s="605" t="s">
        <v>4826</v>
      </c>
      <c r="Q402" s="611">
        <v>46195</v>
      </c>
      <c r="R402" s="57" t="s">
        <v>4800</v>
      </c>
      <c r="S402" s="57" t="str">
        <f t="shared" si="9"/>
        <v>NO</v>
      </c>
    </row>
    <row r="403" spans="1:19" s="50" customFormat="1" ht="14.5" x14ac:dyDescent="0.25">
      <c r="A403" s="605" t="s">
        <v>4827</v>
      </c>
      <c r="B403" s="50" t="s">
        <v>4828</v>
      </c>
      <c r="C403" s="50" t="s">
        <v>3182</v>
      </c>
      <c r="D403" s="605" t="s">
        <v>4827</v>
      </c>
      <c r="E403" s="50" t="s">
        <v>3560</v>
      </c>
      <c r="F403" s="50" t="s">
        <v>3561</v>
      </c>
      <c r="G403" s="50" t="s">
        <v>3568</v>
      </c>
      <c r="H403" s="57" t="s">
        <v>4476</v>
      </c>
      <c r="I403" s="57" t="s">
        <v>2817</v>
      </c>
      <c r="J403" s="57" t="s">
        <v>3707</v>
      </c>
      <c r="K403" s="609">
        <v>5.5E-2</v>
      </c>
      <c r="L403" s="610" t="s">
        <v>4477</v>
      </c>
      <c r="M403" s="57" t="s">
        <v>4384</v>
      </c>
      <c r="N403" s="50">
        <v>9</v>
      </c>
      <c r="O403" s="57">
        <v>1</v>
      </c>
      <c r="P403" s="605" t="s">
        <v>4827</v>
      </c>
      <c r="Q403" s="611">
        <v>46195</v>
      </c>
      <c r="R403" s="57" t="s">
        <v>4478</v>
      </c>
      <c r="S403" s="57" t="str">
        <f t="shared" si="9"/>
        <v>YES</v>
      </c>
    </row>
    <row r="404" spans="1:19" s="50" customFormat="1" ht="14.5" x14ac:dyDescent="0.25">
      <c r="A404" s="605" t="s">
        <v>4829</v>
      </c>
      <c r="B404" s="50" t="s">
        <v>4830</v>
      </c>
      <c r="C404" s="50" t="s">
        <v>3182</v>
      </c>
      <c r="D404" s="605" t="s">
        <v>4829</v>
      </c>
      <c r="E404" s="50" t="s">
        <v>3560</v>
      </c>
      <c r="F404" s="50" t="s">
        <v>3561</v>
      </c>
      <c r="G404" s="50" t="s">
        <v>3590</v>
      </c>
      <c r="H404" s="57" t="s">
        <v>4476</v>
      </c>
      <c r="I404" s="57" t="s">
        <v>2817</v>
      </c>
      <c r="J404" s="57" t="s">
        <v>3707</v>
      </c>
      <c r="K404" s="609">
        <v>5.5E-2</v>
      </c>
      <c r="L404" s="610" t="s">
        <v>4477</v>
      </c>
      <c r="M404" s="57" t="s">
        <v>4384</v>
      </c>
      <c r="N404" s="50">
        <v>9</v>
      </c>
      <c r="O404" s="57">
        <v>1</v>
      </c>
      <c r="P404" s="605" t="s">
        <v>4829</v>
      </c>
      <c r="Q404" s="611">
        <v>46195</v>
      </c>
      <c r="R404" s="57" t="s">
        <v>4483</v>
      </c>
      <c r="S404" s="57" t="str">
        <f t="shared" si="9"/>
        <v>YES</v>
      </c>
    </row>
    <row r="405" spans="1:19" s="57" customFormat="1" ht="14.5" x14ac:dyDescent="0.25">
      <c r="A405" s="584" t="s">
        <v>4831</v>
      </c>
      <c r="B405" s="57" t="s">
        <v>4832</v>
      </c>
      <c r="C405" s="57" t="s">
        <v>3778</v>
      </c>
      <c r="D405" s="57" t="s">
        <v>4833</v>
      </c>
      <c r="E405" s="50" t="s">
        <v>3560</v>
      </c>
      <c r="F405" s="50" t="s">
        <v>3561</v>
      </c>
      <c r="G405" s="50" t="s">
        <v>3568</v>
      </c>
      <c r="H405" s="57" t="s">
        <v>4476</v>
      </c>
      <c r="I405" s="57" t="s">
        <v>2817</v>
      </c>
      <c r="J405" s="57" t="s">
        <v>3707</v>
      </c>
      <c r="K405" s="609">
        <v>5.5E-2</v>
      </c>
      <c r="L405" s="613" t="s">
        <v>4802</v>
      </c>
      <c r="M405" s="57" t="s">
        <v>4803</v>
      </c>
      <c r="N405" s="50">
        <v>12</v>
      </c>
      <c r="O405" s="57">
        <v>1</v>
      </c>
      <c r="P405" s="584" t="s">
        <v>4831</v>
      </c>
      <c r="Q405" s="611">
        <v>46196</v>
      </c>
      <c r="R405" s="57" t="s">
        <v>4800</v>
      </c>
      <c r="S405" s="57" t="str">
        <f t="shared" si="9"/>
        <v>YES</v>
      </c>
    </row>
    <row r="406" spans="1:19" s="57" customFormat="1" ht="14.5" x14ac:dyDescent="0.25">
      <c r="A406" s="584" t="s">
        <v>4834</v>
      </c>
      <c r="B406" s="57" t="s">
        <v>4835</v>
      </c>
      <c r="C406" s="57" t="s">
        <v>3724</v>
      </c>
      <c r="D406" s="57" t="s">
        <v>4836</v>
      </c>
      <c r="E406" s="50" t="s">
        <v>3560</v>
      </c>
      <c r="F406" s="50" t="s">
        <v>3561</v>
      </c>
      <c r="G406" s="50" t="s">
        <v>3568</v>
      </c>
      <c r="H406" s="57" t="s">
        <v>4476</v>
      </c>
      <c r="I406" s="57" t="s">
        <v>2817</v>
      </c>
      <c r="J406" s="57" t="s">
        <v>3707</v>
      </c>
      <c r="K406" s="609">
        <v>5.5E-2</v>
      </c>
      <c r="L406" s="610" t="s">
        <v>4477</v>
      </c>
      <c r="M406" s="57" t="s">
        <v>4384</v>
      </c>
      <c r="N406" s="50">
        <v>9</v>
      </c>
      <c r="O406" s="57">
        <v>1</v>
      </c>
      <c r="P406" s="584" t="s">
        <v>4834</v>
      </c>
      <c r="Q406" s="611">
        <v>46196</v>
      </c>
      <c r="R406" s="57" t="s">
        <v>4478</v>
      </c>
      <c r="S406" s="57" t="str">
        <f t="shared" si="9"/>
        <v>YES</v>
      </c>
    </row>
    <row r="407" spans="1:19" s="57" customFormat="1" ht="14.5" x14ac:dyDescent="0.25">
      <c r="A407" s="584" t="s">
        <v>4837</v>
      </c>
      <c r="B407" s="57" t="s">
        <v>4838</v>
      </c>
      <c r="C407" s="57" t="s">
        <v>3724</v>
      </c>
      <c r="D407" s="57" t="s">
        <v>4837</v>
      </c>
      <c r="E407" s="50" t="s">
        <v>3560</v>
      </c>
      <c r="F407" s="50" t="s">
        <v>3561</v>
      </c>
      <c r="G407" s="50" t="s">
        <v>3590</v>
      </c>
      <c r="H407" s="57" t="s">
        <v>4476</v>
      </c>
      <c r="I407" s="57" t="s">
        <v>2817</v>
      </c>
      <c r="J407" s="57" t="s">
        <v>3707</v>
      </c>
      <c r="K407" s="609">
        <v>5.5E-2</v>
      </c>
      <c r="L407" s="610" t="s">
        <v>4477</v>
      </c>
      <c r="M407" s="57" t="s">
        <v>4384</v>
      </c>
      <c r="N407" s="50">
        <v>9</v>
      </c>
      <c r="O407" s="57">
        <v>1</v>
      </c>
      <c r="P407" s="584" t="s">
        <v>4837</v>
      </c>
      <c r="Q407" s="611">
        <v>46196</v>
      </c>
      <c r="R407" s="57" t="s">
        <v>4483</v>
      </c>
      <c r="S407" s="57" t="str">
        <f t="shared" si="9"/>
        <v>YES</v>
      </c>
    </row>
    <row r="408" spans="1:19" x14ac:dyDescent="0.25">
      <c r="A408" s="26" t="s">
        <v>4839</v>
      </c>
      <c r="B408" s="26" t="s">
        <v>4840</v>
      </c>
      <c r="C408" s="26" t="s">
        <v>3099</v>
      </c>
      <c r="D408" s="26" t="s">
        <v>4839</v>
      </c>
      <c r="E408" s="26" t="s">
        <v>4841</v>
      </c>
      <c r="F408" s="26" t="s">
        <v>4842</v>
      </c>
      <c r="G408" s="26" t="s">
        <v>4843</v>
      </c>
      <c r="H408" s="26" t="s">
        <v>4844</v>
      </c>
      <c r="I408" s="26" t="s">
        <v>2817</v>
      </c>
      <c r="J408" s="26" t="s">
        <v>4845</v>
      </c>
      <c r="K408" s="26">
        <v>5.5E-2</v>
      </c>
      <c r="L408" s="26" t="s">
        <v>4846</v>
      </c>
      <c r="M408" s="26" t="s">
        <v>4847</v>
      </c>
      <c r="N408" s="26">
        <v>12</v>
      </c>
      <c r="O408" s="26">
        <v>1</v>
      </c>
      <c r="P408" s="26" t="s">
        <v>4839</v>
      </c>
      <c r="Q408" s="26">
        <v>46196</v>
      </c>
      <c r="R408" s="26" t="s">
        <v>4843</v>
      </c>
      <c r="S408" s="26" t="s">
        <v>4848</v>
      </c>
    </row>
    <row r="409" spans="1:19" x14ac:dyDescent="0.25">
      <c r="A409" s="26" t="s">
        <v>4849</v>
      </c>
      <c r="B409" s="26" t="s">
        <v>4850</v>
      </c>
      <c r="C409" s="26" t="s">
        <v>4851</v>
      </c>
      <c r="D409" s="26" t="s">
        <v>4849</v>
      </c>
      <c r="E409" s="26" t="s">
        <v>4841</v>
      </c>
      <c r="F409" s="26" t="s">
        <v>4842</v>
      </c>
      <c r="G409" s="26" t="s">
        <v>4852</v>
      </c>
      <c r="H409" s="26" t="s">
        <v>4853</v>
      </c>
      <c r="I409" s="26" t="s">
        <v>2817</v>
      </c>
      <c r="J409" s="26" t="s">
        <v>2818</v>
      </c>
      <c r="K409" s="26">
        <v>8.1000000000000003E-2</v>
      </c>
      <c r="L409" s="26" t="s">
        <v>4854</v>
      </c>
      <c r="M409" s="26" t="s">
        <v>4855</v>
      </c>
      <c r="N409" s="26">
        <v>200</v>
      </c>
      <c r="O409" s="26">
        <v>1</v>
      </c>
      <c r="P409" s="26" t="s">
        <v>4849</v>
      </c>
      <c r="Q409" s="26">
        <v>46196</v>
      </c>
      <c r="R409" s="26" t="s">
        <v>4852</v>
      </c>
      <c r="S409" s="26" t="s">
        <v>4848</v>
      </c>
    </row>
    <row r="410" spans="1:19" x14ac:dyDescent="0.25">
      <c r="A410" s="26" t="s">
        <v>4856</v>
      </c>
      <c r="B410" s="26" t="s">
        <v>4857</v>
      </c>
      <c r="C410" s="26" t="s">
        <v>4851</v>
      </c>
      <c r="D410" s="26" t="s">
        <v>4856</v>
      </c>
      <c r="E410" s="26" t="s">
        <v>4841</v>
      </c>
      <c r="F410" s="26" t="s">
        <v>4842</v>
      </c>
      <c r="G410" s="26" t="s">
        <v>4852</v>
      </c>
      <c r="H410" s="26" t="s">
        <v>4853</v>
      </c>
      <c r="I410" s="26" t="s">
        <v>2817</v>
      </c>
      <c r="J410" s="26" t="s">
        <v>2818</v>
      </c>
      <c r="K410" s="26">
        <v>8.1000000000000003E-2</v>
      </c>
      <c r="L410" s="26" t="s">
        <v>4854</v>
      </c>
      <c r="M410" s="26" t="s">
        <v>4855</v>
      </c>
      <c r="N410" s="26">
        <v>200</v>
      </c>
      <c r="O410" s="26">
        <v>1</v>
      </c>
      <c r="P410" s="26" t="s">
        <v>4856</v>
      </c>
      <c r="Q410" s="26">
        <v>46196</v>
      </c>
      <c r="R410" s="26" t="s">
        <v>4852</v>
      </c>
      <c r="S410" s="26" t="s">
        <v>4848</v>
      </c>
    </row>
  </sheetData>
  <phoneticPr fontId="25" type="noConversion"/>
  <conditionalFormatting sqref="A341">
    <cfRule type="duplicateValues" dxfId="42" priority="45"/>
  </conditionalFormatting>
  <conditionalFormatting sqref="D341">
    <cfRule type="duplicateValues" dxfId="41" priority="44"/>
  </conditionalFormatting>
  <conditionalFormatting sqref="P341">
    <cfRule type="duplicateValues" dxfId="40" priority="43"/>
  </conditionalFormatting>
  <conditionalFormatting sqref="A408:A1048576 A1:A381">
    <cfRule type="duplicateValues" dxfId="39" priority="42"/>
  </conditionalFormatting>
  <conditionalFormatting sqref="A382:A383">
    <cfRule type="duplicateValues" dxfId="38" priority="41"/>
  </conditionalFormatting>
  <conditionalFormatting sqref="B382:B383">
    <cfRule type="duplicateValues" dxfId="37" priority="40"/>
  </conditionalFormatting>
  <conditionalFormatting sqref="D382:D383">
    <cfRule type="duplicateValues" dxfId="36" priority="39"/>
  </conditionalFormatting>
  <conditionalFormatting sqref="P382:P383">
    <cfRule type="duplicateValues" dxfId="35" priority="38"/>
  </conditionalFormatting>
  <conditionalFormatting sqref="S1:S383 S411:S1048576 Q408:Q410">
    <cfRule type="containsText" dxfId="34" priority="36" operator="containsText" text="no">
      <formula>NOT(ISERROR(SEARCH("no",Q1)))</formula>
    </cfRule>
  </conditionalFormatting>
  <conditionalFormatting sqref="A384">
    <cfRule type="duplicateValues" dxfId="33" priority="35"/>
  </conditionalFormatting>
  <conditionalFormatting sqref="S384">
    <cfRule type="containsText" dxfId="32" priority="34" operator="containsText" text="NO">
      <formula>NOT(ISERROR(SEARCH("NO",S384)))</formula>
    </cfRule>
  </conditionalFormatting>
  <conditionalFormatting sqref="D384">
    <cfRule type="duplicateValues" dxfId="31" priority="33"/>
  </conditionalFormatting>
  <conditionalFormatting sqref="P384">
    <cfRule type="duplicateValues" dxfId="30" priority="32"/>
  </conditionalFormatting>
  <conditionalFormatting sqref="A385">
    <cfRule type="duplicateValues" dxfId="29" priority="31"/>
  </conditionalFormatting>
  <conditionalFormatting sqref="S385">
    <cfRule type="containsText" dxfId="28" priority="30" operator="containsText" text="NO">
      <formula>NOT(ISERROR(SEARCH("NO",S385)))</formula>
    </cfRule>
  </conditionalFormatting>
  <conditionalFormatting sqref="D385">
    <cfRule type="duplicateValues" dxfId="27" priority="29"/>
  </conditionalFormatting>
  <conditionalFormatting sqref="P385">
    <cfRule type="duplicateValues" dxfId="26" priority="28"/>
  </conditionalFormatting>
  <conditionalFormatting sqref="A386">
    <cfRule type="duplicateValues" dxfId="25" priority="27"/>
  </conditionalFormatting>
  <conditionalFormatting sqref="S386">
    <cfRule type="containsText" dxfId="24" priority="26" operator="containsText" text="NO">
      <formula>NOT(ISERROR(SEARCH("NO",S386)))</formula>
    </cfRule>
  </conditionalFormatting>
  <conditionalFormatting sqref="D386">
    <cfRule type="duplicateValues" dxfId="23" priority="25"/>
  </conditionalFormatting>
  <conditionalFormatting sqref="P386">
    <cfRule type="duplicateValues" dxfId="22" priority="24"/>
  </conditionalFormatting>
  <conditionalFormatting sqref="A387">
    <cfRule type="duplicateValues" dxfId="21" priority="23"/>
  </conditionalFormatting>
  <conditionalFormatting sqref="S387">
    <cfRule type="containsText" dxfId="20" priority="22" operator="containsText" text="NO">
      <formula>NOT(ISERROR(SEARCH("NO",S387)))</formula>
    </cfRule>
  </conditionalFormatting>
  <conditionalFormatting sqref="D387">
    <cfRule type="duplicateValues" dxfId="19" priority="21"/>
  </conditionalFormatting>
  <conditionalFormatting sqref="P387">
    <cfRule type="duplicateValues" dxfId="18" priority="20"/>
  </conditionalFormatting>
  <conditionalFormatting sqref="A388:A393">
    <cfRule type="duplicateValues" dxfId="17" priority="19"/>
  </conditionalFormatting>
  <conditionalFormatting sqref="A394">
    <cfRule type="duplicateValues" dxfId="16" priority="16"/>
  </conditionalFormatting>
  <conditionalFormatting sqref="D388:D393">
    <cfRule type="duplicateValues" dxfId="15" priority="18"/>
  </conditionalFormatting>
  <conditionalFormatting sqref="D394">
    <cfRule type="duplicateValues" dxfId="14" priority="14"/>
  </conditionalFormatting>
  <conditionalFormatting sqref="P388:P393">
    <cfRule type="duplicateValues" dxfId="13" priority="17"/>
  </conditionalFormatting>
  <conditionalFormatting sqref="P394">
    <cfRule type="duplicateValues" dxfId="12" priority="13"/>
  </conditionalFormatting>
  <conditionalFormatting sqref="S388:S394">
    <cfRule type="containsText" dxfId="11" priority="15" operator="containsText" text="NO">
      <formula>NOT(ISERROR(SEARCH("NO",S388)))</formula>
    </cfRule>
  </conditionalFormatting>
  <conditionalFormatting sqref="A395:A396">
    <cfRule type="duplicateValues" dxfId="10" priority="12"/>
  </conditionalFormatting>
  <conditionalFormatting sqref="D395:D396">
    <cfRule type="duplicateValues" dxfId="9" priority="10"/>
  </conditionalFormatting>
  <conditionalFormatting sqref="P395:P396">
    <cfRule type="duplicateValues" dxfId="8" priority="9"/>
  </conditionalFormatting>
  <conditionalFormatting sqref="S395:S396">
    <cfRule type="containsText" dxfId="7" priority="11" operator="containsText" text="NO">
      <formula>NOT(ISERROR(SEARCH("NO",S395)))</formula>
    </cfRule>
  </conditionalFormatting>
  <conditionalFormatting sqref="A400">
    <cfRule type="duplicateValues" dxfId="6" priority="8"/>
  </conditionalFormatting>
  <conditionalFormatting sqref="D400">
    <cfRule type="duplicateValues" dxfId="5" priority="7"/>
  </conditionalFormatting>
  <conditionalFormatting sqref="S400">
    <cfRule type="containsText" dxfId="4" priority="6" operator="containsText" text="NO">
      <formula>NOT(ISERROR(SEARCH("NO",S400)))</formula>
    </cfRule>
  </conditionalFormatting>
  <conditionalFormatting sqref="P400">
    <cfRule type="duplicateValues" dxfId="3" priority="4"/>
  </conditionalFormatting>
  <conditionalFormatting sqref="A405:A407">
    <cfRule type="duplicateValues" dxfId="2" priority="3"/>
  </conditionalFormatting>
  <conditionalFormatting sqref="P405:P407">
    <cfRule type="duplicateValues" dxfId="1" priority="1"/>
  </conditionalFormatting>
  <conditionalFormatting sqref="S401:S407">
    <cfRule type="containsText" dxfId="0" priority="2" operator="containsText" text="NO">
      <formula>NOT(ISERROR(SEARCH("NO",S401)))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4"/>
  <dimension ref="A1:H1834"/>
  <sheetViews>
    <sheetView zoomScale="85" zoomScaleNormal="85" workbookViewId="0">
      <pane ySplit="1" topLeftCell="A1713" activePane="bottomLeft" state="frozen"/>
      <selection pane="bottomLeft" activeCell="B1725" sqref="B1725"/>
    </sheetView>
  </sheetViews>
  <sheetFormatPr defaultColWidth="8.81640625" defaultRowHeight="13" x14ac:dyDescent="0.25"/>
  <cols>
    <col min="1" max="1" width="15" style="9" customWidth="1"/>
    <col min="2" max="2" width="15.54296875" style="10" customWidth="1"/>
    <col min="3" max="3" width="5.81640625" style="9" customWidth="1"/>
    <col min="4" max="4" width="7.54296875" style="9" customWidth="1"/>
    <col min="5" max="5" width="8.1796875" style="11" customWidth="1"/>
    <col min="6" max="6" width="11.453125" style="12" customWidth="1"/>
    <col min="7" max="16384" width="8.81640625" style="9"/>
  </cols>
  <sheetData>
    <row r="1" spans="1:8" s="1" customFormat="1" ht="14.5" x14ac:dyDescent="0.25">
      <c r="A1" s="275" t="s">
        <v>3681</v>
      </c>
      <c r="B1" s="276" t="s">
        <v>2924</v>
      </c>
      <c r="C1" s="276" t="s">
        <v>2925</v>
      </c>
      <c r="D1" s="276" t="s">
        <v>2926</v>
      </c>
      <c r="E1" s="276" t="s">
        <v>2927</v>
      </c>
      <c r="F1" s="277" t="s">
        <v>3682</v>
      </c>
      <c r="G1" s="276"/>
      <c r="H1" s="276"/>
    </row>
    <row r="2" spans="1:8" s="2" customFormat="1" x14ac:dyDescent="0.25">
      <c r="A2" s="278">
        <v>1</v>
      </c>
      <c r="B2" s="279" t="s">
        <v>393</v>
      </c>
      <c r="C2" s="278" t="s">
        <v>2928</v>
      </c>
      <c r="D2" s="278">
        <v>540</v>
      </c>
      <c r="E2" s="280">
        <v>183.6</v>
      </c>
      <c r="F2" s="281">
        <v>0.34</v>
      </c>
      <c r="G2" s="278"/>
      <c r="H2" s="278"/>
    </row>
    <row r="3" spans="1:8" s="2" customFormat="1" x14ac:dyDescent="0.25">
      <c r="A3" s="278">
        <f>IF(B3=B2,A2,A2+1)</f>
        <v>2</v>
      </c>
      <c r="B3" s="279" t="s">
        <v>395</v>
      </c>
      <c r="C3" s="278" t="s">
        <v>2928</v>
      </c>
      <c r="D3" s="278">
        <v>858</v>
      </c>
      <c r="E3" s="280">
        <v>291.72000000000003</v>
      </c>
      <c r="F3" s="281">
        <v>0.34</v>
      </c>
      <c r="G3" s="278"/>
      <c r="H3" s="278"/>
    </row>
    <row r="4" spans="1:8" x14ac:dyDescent="0.25">
      <c r="A4" s="91">
        <f t="shared" ref="A4:A67" si="0">IF(B4=B3,A3,A3+1)</f>
        <v>3</v>
      </c>
      <c r="B4" s="53" t="s">
        <v>402</v>
      </c>
      <c r="C4" s="91" t="s">
        <v>2928</v>
      </c>
      <c r="D4" s="91">
        <v>72</v>
      </c>
      <c r="E4" s="269">
        <v>91.8</v>
      </c>
      <c r="F4" s="268">
        <v>0.34</v>
      </c>
      <c r="G4" s="91"/>
      <c r="H4" s="91"/>
    </row>
    <row r="5" spans="1:8" s="3" customFormat="1" x14ac:dyDescent="0.25">
      <c r="A5" s="282">
        <f t="shared" si="0"/>
        <v>3</v>
      </c>
      <c r="B5" s="283" t="s">
        <v>402</v>
      </c>
      <c r="C5" s="282" t="s">
        <v>2928</v>
      </c>
      <c r="D5" s="282">
        <v>198</v>
      </c>
      <c r="E5" s="284"/>
      <c r="F5" s="285">
        <v>0.34</v>
      </c>
      <c r="G5" s="282"/>
      <c r="H5" s="282"/>
    </row>
    <row r="6" spans="1:8" x14ac:dyDescent="0.25">
      <c r="A6" s="91">
        <f t="shared" si="0"/>
        <v>4</v>
      </c>
      <c r="B6" s="53" t="s">
        <v>406</v>
      </c>
      <c r="C6" s="91" t="s">
        <v>2928</v>
      </c>
      <c r="D6" s="91">
        <v>54</v>
      </c>
      <c r="E6" s="269">
        <v>67.319999999999993</v>
      </c>
      <c r="F6" s="268">
        <v>0.34</v>
      </c>
      <c r="G6" s="91"/>
      <c r="H6" s="91"/>
    </row>
    <row r="7" spans="1:8" s="3" customFormat="1" x14ac:dyDescent="0.25">
      <c r="A7" s="282">
        <f t="shared" si="0"/>
        <v>4</v>
      </c>
      <c r="B7" s="283" t="s">
        <v>406</v>
      </c>
      <c r="C7" s="282" t="s">
        <v>2928</v>
      </c>
      <c r="D7" s="282">
        <v>144</v>
      </c>
      <c r="E7" s="284"/>
      <c r="F7" s="285">
        <v>0.34</v>
      </c>
      <c r="G7" s="282"/>
      <c r="H7" s="282"/>
    </row>
    <row r="8" spans="1:8" x14ac:dyDescent="0.25">
      <c r="A8" s="91">
        <f t="shared" si="0"/>
        <v>5</v>
      </c>
      <c r="B8" s="53" t="s">
        <v>410</v>
      </c>
      <c r="C8" s="91" t="s">
        <v>2928</v>
      </c>
      <c r="D8" s="91">
        <v>72</v>
      </c>
      <c r="E8" s="269">
        <v>79.56</v>
      </c>
      <c r="F8" s="268">
        <v>0.34</v>
      </c>
      <c r="G8" s="91"/>
      <c r="H8" s="91"/>
    </row>
    <row r="9" spans="1:8" s="3" customFormat="1" x14ac:dyDescent="0.25">
      <c r="A9" s="282">
        <f t="shared" si="0"/>
        <v>5</v>
      </c>
      <c r="B9" s="283" t="s">
        <v>410</v>
      </c>
      <c r="C9" s="282" t="s">
        <v>2928</v>
      </c>
      <c r="D9" s="282">
        <v>162</v>
      </c>
      <c r="E9" s="284"/>
      <c r="F9" s="285">
        <v>0.34</v>
      </c>
      <c r="G9" s="282"/>
      <c r="H9" s="282"/>
    </row>
    <row r="10" spans="1:8" x14ac:dyDescent="0.25">
      <c r="A10" s="91">
        <f t="shared" si="0"/>
        <v>6</v>
      </c>
      <c r="B10" s="53" t="s">
        <v>382</v>
      </c>
      <c r="C10" s="91" t="s">
        <v>2928</v>
      </c>
      <c r="D10" s="91">
        <v>80</v>
      </c>
      <c r="E10" s="269">
        <v>196.4</v>
      </c>
      <c r="F10" s="268">
        <v>0.26904109589041098</v>
      </c>
      <c r="G10" s="91"/>
      <c r="H10" s="91"/>
    </row>
    <row r="11" spans="1:8" x14ac:dyDescent="0.25">
      <c r="A11" s="91">
        <f t="shared" si="0"/>
        <v>6</v>
      </c>
      <c r="B11" s="53" t="s">
        <v>382</v>
      </c>
      <c r="C11" s="91" t="s">
        <v>2928</v>
      </c>
      <c r="D11" s="91">
        <v>120</v>
      </c>
      <c r="E11" s="269"/>
      <c r="F11" s="268">
        <v>0.26904109589041098</v>
      </c>
      <c r="G11" s="91"/>
      <c r="H11" s="91"/>
    </row>
    <row r="12" spans="1:8" x14ac:dyDescent="0.25">
      <c r="A12" s="91">
        <f t="shared" si="0"/>
        <v>6</v>
      </c>
      <c r="B12" s="53" t="s">
        <v>382</v>
      </c>
      <c r="C12" s="91" t="s">
        <v>2928</v>
      </c>
      <c r="D12" s="91">
        <v>80</v>
      </c>
      <c r="E12" s="269"/>
      <c r="F12" s="268">
        <v>0.26904109589041098</v>
      </c>
      <c r="G12" s="91"/>
      <c r="H12" s="91"/>
    </row>
    <row r="13" spans="1:8" x14ac:dyDescent="0.25">
      <c r="A13" s="91">
        <f t="shared" si="0"/>
        <v>6</v>
      </c>
      <c r="B13" s="53" t="s">
        <v>382</v>
      </c>
      <c r="C13" s="91" t="s">
        <v>2928</v>
      </c>
      <c r="D13" s="91">
        <v>210</v>
      </c>
      <c r="E13" s="269"/>
      <c r="F13" s="268">
        <v>0.26904109589041098</v>
      </c>
      <c r="G13" s="91"/>
      <c r="H13" s="91"/>
    </row>
    <row r="14" spans="1:8" x14ac:dyDescent="0.25">
      <c r="A14" s="91">
        <f t="shared" si="0"/>
        <v>6</v>
      </c>
      <c r="B14" s="53" t="s">
        <v>382</v>
      </c>
      <c r="C14" s="91" t="s">
        <v>2928</v>
      </c>
      <c r="D14" s="91">
        <v>150</v>
      </c>
      <c r="E14" s="269"/>
      <c r="F14" s="268">
        <v>0.26904109589041098</v>
      </c>
      <c r="G14" s="91"/>
      <c r="H14" s="91"/>
    </row>
    <row r="15" spans="1:8" x14ac:dyDescent="0.25">
      <c r="A15" s="91">
        <f t="shared" si="0"/>
        <v>6</v>
      </c>
      <c r="B15" s="53" t="s">
        <v>382</v>
      </c>
      <c r="C15" s="91" t="s">
        <v>2928</v>
      </c>
      <c r="D15" s="91">
        <v>30</v>
      </c>
      <c r="E15" s="269"/>
      <c r="F15" s="268">
        <v>0.26904109589041098</v>
      </c>
      <c r="G15" s="91"/>
      <c r="H15" s="91"/>
    </row>
    <row r="16" spans="1:8" s="3" customFormat="1" x14ac:dyDescent="0.25">
      <c r="A16" s="282">
        <f t="shared" si="0"/>
        <v>6</v>
      </c>
      <c r="B16" s="283" t="s">
        <v>382</v>
      </c>
      <c r="C16" s="282" t="s">
        <v>2928</v>
      </c>
      <c r="D16" s="282">
        <v>60</v>
      </c>
      <c r="E16" s="284"/>
      <c r="F16" s="285">
        <v>0.26904109589041098</v>
      </c>
      <c r="G16" s="282"/>
      <c r="H16" s="282"/>
    </row>
    <row r="17" spans="1:8" x14ac:dyDescent="0.25">
      <c r="A17" s="91">
        <f t="shared" si="0"/>
        <v>7</v>
      </c>
      <c r="B17" s="53" t="s">
        <v>360</v>
      </c>
      <c r="C17" s="91" t="s">
        <v>2928</v>
      </c>
      <c r="D17" s="91">
        <v>100</v>
      </c>
      <c r="E17" s="269">
        <v>220</v>
      </c>
      <c r="F17" s="268">
        <v>0.26829268292682901</v>
      </c>
      <c r="G17" s="91"/>
      <c r="H17" s="91"/>
    </row>
    <row r="18" spans="1:8" x14ac:dyDescent="0.25">
      <c r="A18" s="91">
        <f t="shared" si="0"/>
        <v>7</v>
      </c>
      <c r="B18" s="53" t="s">
        <v>360</v>
      </c>
      <c r="C18" s="91" t="s">
        <v>2928</v>
      </c>
      <c r="D18" s="91">
        <v>120</v>
      </c>
      <c r="E18" s="269"/>
      <c r="F18" s="268">
        <v>0.27</v>
      </c>
      <c r="G18" s="91"/>
      <c r="H18" s="91"/>
    </row>
    <row r="19" spans="1:8" x14ac:dyDescent="0.25">
      <c r="A19" s="91">
        <f t="shared" si="0"/>
        <v>7</v>
      </c>
      <c r="B19" s="53" t="s">
        <v>360</v>
      </c>
      <c r="C19" s="91" t="s">
        <v>2928</v>
      </c>
      <c r="D19" s="91">
        <v>120</v>
      </c>
      <c r="E19" s="269"/>
      <c r="F19" s="268">
        <v>0.27</v>
      </c>
      <c r="G19" s="91"/>
      <c r="H19" s="91"/>
    </row>
    <row r="20" spans="1:8" x14ac:dyDescent="0.25">
      <c r="A20" s="91">
        <f t="shared" si="0"/>
        <v>7</v>
      </c>
      <c r="B20" s="53" t="s">
        <v>360</v>
      </c>
      <c r="C20" s="91" t="s">
        <v>2928</v>
      </c>
      <c r="D20" s="91">
        <v>210</v>
      </c>
      <c r="E20" s="269"/>
      <c r="F20" s="268">
        <v>0.27</v>
      </c>
      <c r="G20" s="91"/>
      <c r="H20" s="91"/>
    </row>
    <row r="21" spans="1:8" x14ac:dyDescent="0.25">
      <c r="A21" s="91">
        <f t="shared" si="0"/>
        <v>7</v>
      </c>
      <c r="B21" s="53" t="s">
        <v>360</v>
      </c>
      <c r="C21" s="91" t="s">
        <v>2928</v>
      </c>
      <c r="D21" s="91">
        <v>180</v>
      </c>
      <c r="E21" s="269"/>
      <c r="F21" s="268">
        <v>0.27</v>
      </c>
      <c r="G21" s="91"/>
      <c r="H21" s="91"/>
    </row>
    <row r="22" spans="1:8" x14ac:dyDescent="0.25">
      <c r="A22" s="91">
        <f t="shared" si="0"/>
        <v>7</v>
      </c>
      <c r="B22" s="53" t="s">
        <v>360</v>
      </c>
      <c r="C22" s="91" t="s">
        <v>2928</v>
      </c>
      <c r="D22" s="91">
        <v>30</v>
      </c>
      <c r="E22" s="269"/>
      <c r="F22" s="268">
        <v>0.27</v>
      </c>
      <c r="G22" s="91"/>
      <c r="H22" s="91"/>
    </row>
    <row r="23" spans="1:8" s="3" customFormat="1" x14ac:dyDescent="0.25">
      <c r="A23" s="282">
        <f t="shared" si="0"/>
        <v>7</v>
      </c>
      <c r="B23" s="283" t="s">
        <v>360</v>
      </c>
      <c r="C23" s="282" t="s">
        <v>2928</v>
      </c>
      <c r="D23" s="282">
        <v>60</v>
      </c>
      <c r="E23" s="284"/>
      <c r="F23" s="285">
        <v>0.27</v>
      </c>
      <c r="G23" s="282"/>
      <c r="H23" s="282"/>
    </row>
    <row r="24" spans="1:8" x14ac:dyDescent="0.25">
      <c r="A24" s="91">
        <f t="shared" si="0"/>
        <v>8</v>
      </c>
      <c r="B24" s="53" t="s">
        <v>371</v>
      </c>
      <c r="C24" s="91" t="s">
        <v>2928</v>
      </c>
      <c r="D24" s="91">
        <v>60</v>
      </c>
      <c r="E24" s="269">
        <v>164.4</v>
      </c>
      <c r="F24" s="268">
        <v>0.27864406779661</v>
      </c>
      <c r="G24" s="91"/>
      <c r="H24" s="91"/>
    </row>
    <row r="25" spans="1:8" x14ac:dyDescent="0.25">
      <c r="A25" s="91">
        <f t="shared" si="0"/>
        <v>8</v>
      </c>
      <c r="B25" s="53" t="s">
        <v>371</v>
      </c>
      <c r="C25" s="91" t="s">
        <v>2928</v>
      </c>
      <c r="D25" s="91">
        <v>60</v>
      </c>
      <c r="E25" s="269"/>
      <c r="F25" s="268">
        <v>0.28000000000000003</v>
      </c>
      <c r="G25" s="91"/>
      <c r="H25" s="91"/>
    </row>
    <row r="26" spans="1:8" x14ac:dyDescent="0.25">
      <c r="A26" s="91">
        <f t="shared" si="0"/>
        <v>8</v>
      </c>
      <c r="B26" s="53" t="s">
        <v>371</v>
      </c>
      <c r="C26" s="91" t="s">
        <v>2928</v>
      </c>
      <c r="D26" s="91">
        <v>80</v>
      </c>
      <c r="E26" s="269"/>
      <c r="F26" s="268">
        <v>0.28000000000000003</v>
      </c>
      <c r="G26" s="91"/>
      <c r="H26" s="91"/>
    </row>
    <row r="27" spans="1:8" x14ac:dyDescent="0.25">
      <c r="A27" s="91">
        <f t="shared" si="0"/>
        <v>8</v>
      </c>
      <c r="B27" s="53" t="s">
        <v>371</v>
      </c>
      <c r="C27" s="91" t="s">
        <v>2928</v>
      </c>
      <c r="D27" s="91">
        <v>180</v>
      </c>
      <c r="E27" s="269"/>
      <c r="F27" s="268">
        <v>0.28000000000000003</v>
      </c>
      <c r="G27" s="91"/>
      <c r="H27" s="91"/>
    </row>
    <row r="28" spans="1:8" x14ac:dyDescent="0.25">
      <c r="A28" s="91">
        <f t="shared" si="0"/>
        <v>8</v>
      </c>
      <c r="B28" s="53" t="s">
        <v>371</v>
      </c>
      <c r="C28" s="91" t="s">
        <v>2928</v>
      </c>
      <c r="D28" s="91">
        <v>150</v>
      </c>
      <c r="E28" s="269"/>
      <c r="F28" s="268">
        <v>0.28000000000000003</v>
      </c>
      <c r="G28" s="91"/>
      <c r="H28" s="91"/>
    </row>
    <row r="29" spans="1:8" s="3" customFormat="1" x14ac:dyDescent="0.25">
      <c r="A29" s="282">
        <f t="shared" si="0"/>
        <v>8</v>
      </c>
      <c r="B29" s="283" t="s">
        <v>371</v>
      </c>
      <c r="C29" s="282" t="s">
        <v>2928</v>
      </c>
      <c r="D29" s="282">
        <v>60</v>
      </c>
      <c r="E29" s="284"/>
      <c r="F29" s="285">
        <v>0.28000000000000003</v>
      </c>
      <c r="G29" s="282"/>
      <c r="H29" s="282"/>
    </row>
    <row r="30" spans="1:8" x14ac:dyDescent="0.25">
      <c r="A30" s="91">
        <f t="shared" si="0"/>
        <v>9</v>
      </c>
      <c r="B30" s="53" t="s">
        <v>226</v>
      </c>
      <c r="C30" s="91" t="s">
        <v>2928</v>
      </c>
      <c r="D30" s="91">
        <v>32</v>
      </c>
      <c r="E30" s="269">
        <v>470.56</v>
      </c>
      <c r="F30" s="268">
        <v>0.24871035940803399</v>
      </c>
      <c r="G30" s="91"/>
      <c r="H30" s="91"/>
    </row>
    <row r="31" spans="1:8" x14ac:dyDescent="0.25">
      <c r="A31" s="91">
        <f t="shared" si="0"/>
        <v>9</v>
      </c>
      <c r="B31" s="53" t="s">
        <v>226</v>
      </c>
      <c r="C31" s="91" t="s">
        <v>2928</v>
      </c>
      <c r="D31" s="91">
        <v>200</v>
      </c>
      <c r="E31" s="269"/>
      <c r="F31" s="268">
        <v>0.25</v>
      </c>
      <c r="G31" s="91"/>
      <c r="H31" s="91"/>
    </row>
    <row r="32" spans="1:8" x14ac:dyDescent="0.25">
      <c r="A32" s="91">
        <f t="shared" si="0"/>
        <v>9</v>
      </c>
      <c r="B32" s="53" t="s">
        <v>226</v>
      </c>
      <c r="C32" s="91" t="s">
        <v>2928</v>
      </c>
      <c r="D32" s="91">
        <v>1000</v>
      </c>
      <c r="E32" s="269"/>
      <c r="F32" s="268">
        <v>0.25</v>
      </c>
      <c r="G32" s="91"/>
      <c r="H32" s="91"/>
    </row>
    <row r="33" spans="1:8" x14ac:dyDescent="0.25">
      <c r="A33" s="91">
        <f t="shared" si="0"/>
        <v>9</v>
      </c>
      <c r="B33" s="53" t="s">
        <v>226</v>
      </c>
      <c r="C33" s="91" t="s">
        <v>2928</v>
      </c>
      <c r="D33" s="91">
        <v>60</v>
      </c>
      <c r="E33" s="269"/>
      <c r="F33" s="268">
        <v>0.25</v>
      </c>
      <c r="G33" s="91"/>
      <c r="H33" s="91"/>
    </row>
    <row r="34" spans="1:8" x14ac:dyDescent="0.25">
      <c r="A34" s="91">
        <f t="shared" si="0"/>
        <v>9</v>
      </c>
      <c r="B34" s="53" t="s">
        <v>226</v>
      </c>
      <c r="C34" s="91" t="s">
        <v>2928</v>
      </c>
      <c r="D34" s="91">
        <v>480</v>
      </c>
      <c r="E34" s="269"/>
      <c r="F34" s="268">
        <v>0.25</v>
      </c>
      <c r="G34" s="91"/>
      <c r="H34" s="91"/>
    </row>
    <row r="35" spans="1:8" x14ac:dyDescent="0.25">
      <c r="A35" s="91">
        <f t="shared" si="0"/>
        <v>9</v>
      </c>
      <c r="B35" s="53" t="s">
        <v>226</v>
      </c>
      <c r="C35" s="91" t="s">
        <v>2928</v>
      </c>
      <c r="D35" s="91">
        <v>30</v>
      </c>
      <c r="E35" s="269"/>
      <c r="F35" s="268">
        <v>0.25</v>
      </c>
      <c r="G35" s="91"/>
      <c r="H35" s="91"/>
    </row>
    <row r="36" spans="1:8" s="3" customFormat="1" x14ac:dyDescent="0.25">
      <c r="A36" s="282">
        <f t="shared" si="0"/>
        <v>9</v>
      </c>
      <c r="B36" s="283" t="s">
        <v>226</v>
      </c>
      <c r="C36" s="282" t="s">
        <v>2928</v>
      </c>
      <c r="D36" s="282">
        <v>90</v>
      </c>
      <c r="E36" s="284"/>
      <c r="F36" s="285">
        <v>0.25</v>
      </c>
      <c r="G36" s="282"/>
      <c r="H36" s="282"/>
    </row>
    <row r="37" spans="1:8" x14ac:dyDescent="0.25">
      <c r="A37" s="91">
        <f t="shared" si="0"/>
        <v>10</v>
      </c>
      <c r="B37" s="53" t="s">
        <v>236</v>
      </c>
      <c r="C37" s="91" t="s">
        <v>2928</v>
      </c>
      <c r="D37" s="91">
        <v>64</v>
      </c>
      <c r="E37" s="269">
        <v>547.12</v>
      </c>
      <c r="F37" s="268">
        <v>0.24937101185050101</v>
      </c>
      <c r="G37" s="91"/>
      <c r="H37" s="91"/>
    </row>
    <row r="38" spans="1:8" x14ac:dyDescent="0.25">
      <c r="A38" s="91">
        <f t="shared" si="0"/>
        <v>10</v>
      </c>
      <c r="B38" s="53" t="s">
        <v>236</v>
      </c>
      <c r="C38" s="91" t="s">
        <v>2928</v>
      </c>
      <c r="D38" s="91">
        <v>220</v>
      </c>
      <c r="E38" s="269"/>
      <c r="F38" s="268">
        <v>0.25</v>
      </c>
      <c r="G38" s="91"/>
      <c r="H38" s="91"/>
    </row>
    <row r="39" spans="1:8" x14ac:dyDescent="0.25">
      <c r="A39" s="91">
        <f t="shared" si="0"/>
        <v>10</v>
      </c>
      <c r="B39" s="53" t="s">
        <v>236</v>
      </c>
      <c r="C39" s="91" t="s">
        <v>2928</v>
      </c>
      <c r="D39" s="91">
        <v>1160</v>
      </c>
      <c r="E39" s="269"/>
      <c r="F39" s="268">
        <v>0.25</v>
      </c>
      <c r="G39" s="91"/>
      <c r="H39" s="91"/>
    </row>
    <row r="40" spans="1:8" x14ac:dyDescent="0.25">
      <c r="A40" s="91">
        <f t="shared" si="0"/>
        <v>10</v>
      </c>
      <c r="B40" s="53" t="s">
        <v>236</v>
      </c>
      <c r="C40" s="91" t="s">
        <v>2928</v>
      </c>
      <c r="D40" s="91">
        <v>80</v>
      </c>
      <c r="E40" s="269"/>
      <c r="F40" s="268">
        <v>0.25</v>
      </c>
      <c r="G40" s="91"/>
      <c r="H40" s="91"/>
    </row>
    <row r="41" spans="1:8" x14ac:dyDescent="0.25">
      <c r="A41" s="91">
        <f t="shared" si="0"/>
        <v>10</v>
      </c>
      <c r="B41" s="53" t="s">
        <v>236</v>
      </c>
      <c r="C41" s="91" t="s">
        <v>2928</v>
      </c>
      <c r="D41" s="91">
        <v>520</v>
      </c>
      <c r="E41" s="269"/>
      <c r="F41" s="268">
        <v>0.25</v>
      </c>
      <c r="G41" s="91"/>
      <c r="H41" s="91"/>
    </row>
    <row r="42" spans="1:8" x14ac:dyDescent="0.25">
      <c r="A42" s="91">
        <f t="shared" si="0"/>
        <v>10</v>
      </c>
      <c r="B42" s="53" t="s">
        <v>236</v>
      </c>
      <c r="C42" s="91" t="s">
        <v>2928</v>
      </c>
      <c r="D42" s="91">
        <v>30</v>
      </c>
      <c r="E42" s="269"/>
      <c r="F42" s="268">
        <v>0.25</v>
      </c>
      <c r="G42" s="91"/>
      <c r="H42" s="91"/>
    </row>
    <row r="43" spans="1:8" s="3" customFormat="1" x14ac:dyDescent="0.25">
      <c r="A43" s="282">
        <f t="shared" si="0"/>
        <v>10</v>
      </c>
      <c r="B43" s="283" t="s">
        <v>236</v>
      </c>
      <c r="C43" s="282" t="s">
        <v>2928</v>
      </c>
      <c r="D43" s="282">
        <v>120</v>
      </c>
      <c r="E43" s="284"/>
      <c r="F43" s="285">
        <v>0.25</v>
      </c>
      <c r="G43" s="282"/>
      <c r="H43" s="282"/>
    </row>
    <row r="44" spans="1:8" x14ac:dyDescent="0.25">
      <c r="A44" s="91">
        <f t="shared" si="0"/>
        <v>11</v>
      </c>
      <c r="B44" s="53" t="s">
        <v>244</v>
      </c>
      <c r="C44" s="91" t="s">
        <v>2928</v>
      </c>
      <c r="D44" s="91">
        <v>32</v>
      </c>
      <c r="E44" s="269">
        <v>401.76</v>
      </c>
      <c r="F44" s="268">
        <v>0.24923076923076901</v>
      </c>
      <c r="G44" s="91"/>
      <c r="H44" s="91"/>
    </row>
    <row r="45" spans="1:8" x14ac:dyDescent="0.25">
      <c r="A45" s="91">
        <f t="shared" si="0"/>
        <v>11</v>
      </c>
      <c r="B45" s="53" t="s">
        <v>244</v>
      </c>
      <c r="C45" s="91" t="s">
        <v>2928</v>
      </c>
      <c r="D45" s="91">
        <v>160</v>
      </c>
      <c r="E45" s="269"/>
      <c r="F45" s="268">
        <v>0.25</v>
      </c>
      <c r="G45" s="91"/>
      <c r="H45" s="91"/>
    </row>
    <row r="46" spans="1:8" x14ac:dyDescent="0.25">
      <c r="A46" s="91">
        <f t="shared" si="0"/>
        <v>11</v>
      </c>
      <c r="B46" s="53" t="s">
        <v>244</v>
      </c>
      <c r="C46" s="91" t="s">
        <v>2928</v>
      </c>
      <c r="D46" s="91">
        <v>840</v>
      </c>
      <c r="E46" s="269"/>
      <c r="F46" s="268">
        <v>0.25</v>
      </c>
      <c r="G46" s="91"/>
      <c r="H46" s="91"/>
    </row>
    <row r="47" spans="1:8" x14ac:dyDescent="0.25">
      <c r="A47" s="91">
        <f t="shared" si="0"/>
        <v>11</v>
      </c>
      <c r="B47" s="53" t="s">
        <v>244</v>
      </c>
      <c r="C47" s="91" t="s">
        <v>2928</v>
      </c>
      <c r="D47" s="91">
        <v>60</v>
      </c>
      <c r="E47" s="269"/>
      <c r="F47" s="268">
        <v>0.25</v>
      </c>
      <c r="G47" s="91"/>
      <c r="H47" s="91"/>
    </row>
    <row r="48" spans="1:8" x14ac:dyDescent="0.25">
      <c r="A48" s="91">
        <f t="shared" si="0"/>
        <v>11</v>
      </c>
      <c r="B48" s="53" t="s">
        <v>244</v>
      </c>
      <c r="C48" s="91" t="s">
        <v>2928</v>
      </c>
      <c r="D48" s="91">
        <v>400</v>
      </c>
      <c r="E48" s="269"/>
      <c r="F48" s="268">
        <v>0.25</v>
      </c>
      <c r="G48" s="91"/>
      <c r="H48" s="91"/>
    </row>
    <row r="49" spans="1:8" x14ac:dyDescent="0.25">
      <c r="A49" s="91">
        <f t="shared" si="0"/>
        <v>11</v>
      </c>
      <c r="B49" s="53" t="s">
        <v>244</v>
      </c>
      <c r="C49" s="91" t="s">
        <v>2928</v>
      </c>
      <c r="D49" s="91">
        <v>30</v>
      </c>
      <c r="E49" s="269"/>
      <c r="F49" s="268">
        <v>0.25</v>
      </c>
      <c r="G49" s="91"/>
      <c r="H49" s="91"/>
    </row>
    <row r="50" spans="1:8" s="3" customFormat="1" x14ac:dyDescent="0.25">
      <c r="A50" s="282">
        <f t="shared" si="0"/>
        <v>11</v>
      </c>
      <c r="B50" s="283" t="s">
        <v>244</v>
      </c>
      <c r="C50" s="282" t="s">
        <v>2928</v>
      </c>
      <c r="D50" s="282">
        <v>90</v>
      </c>
      <c r="E50" s="284"/>
      <c r="F50" s="285">
        <v>0.25</v>
      </c>
      <c r="G50" s="282"/>
      <c r="H50" s="282"/>
    </row>
    <row r="51" spans="1:8" x14ac:dyDescent="0.25">
      <c r="A51" s="91">
        <f t="shared" si="0"/>
        <v>12</v>
      </c>
      <c r="B51" s="53" t="s">
        <v>318</v>
      </c>
      <c r="C51" s="91" t="s">
        <v>2928</v>
      </c>
      <c r="D51" s="91">
        <v>468</v>
      </c>
      <c r="E51" s="269">
        <v>132.84</v>
      </c>
      <c r="F51" s="268">
        <v>0.18</v>
      </c>
      <c r="G51" s="91"/>
      <c r="H51" s="91"/>
    </row>
    <row r="52" spans="1:8" x14ac:dyDescent="0.25">
      <c r="A52" s="91">
        <f t="shared" si="0"/>
        <v>12</v>
      </c>
      <c r="B52" s="53" t="s">
        <v>318</v>
      </c>
      <c r="C52" s="91" t="s">
        <v>2928</v>
      </c>
      <c r="D52" s="91">
        <v>90</v>
      </c>
      <c r="E52" s="269"/>
      <c r="F52" s="268">
        <v>0.18</v>
      </c>
      <c r="G52" s="91"/>
      <c r="H52" s="91"/>
    </row>
    <row r="53" spans="1:8" x14ac:dyDescent="0.25">
      <c r="A53" s="91">
        <f t="shared" si="0"/>
        <v>12</v>
      </c>
      <c r="B53" s="53" t="s">
        <v>318</v>
      </c>
      <c r="C53" s="91" t="s">
        <v>2928</v>
      </c>
      <c r="D53" s="91">
        <v>90</v>
      </c>
      <c r="E53" s="269"/>
      <c r="F53" s="268">
        <v>0.18</v>
      </c>
      <c r="G53" s="91"/>
      <c r="H53" s="91"/>
    </row>
    <row r="54" spans="1:8" s="3" customFormat="1" x14ac:dyDescent="0.25">
      <c r="A54" s="282">
        <f t="shared" si="0"/>
        <v>12</v>
      </c>
      <c r="B54" s="283" t="s">
        <v>318</v>
      </c>
      <c r="C54" s="282" t="s">
        <v>2928</v>
      </c>
      <c r="D54" s="282">
        <v>90</v>
      </c>
      <c r="E54" s="284"/>
      <c r="F54" s="285">
        <v>0.18</v>
      </c>
      <c r="G54" s="282"/>
      <c r="H54" s="282"/>
    </row>
    <row r="55" spans="1:8" x14ac:dyDescent="0.25">
      <c r="A55" s="91">
        <f t="shared" si="0"/>
        <v>13</v>
      </c>
      <c r="B55" s="53" t="s">
        <v>160</v>
      </c>
      <c r="C55" s="91" t="s">
        <v>2928</v>
      </c>
      <c r="D55" s="91">
        <v>64</v>
      </c>
      <c r="E55" s="269">
        <v>374.32</v>
      </c>
      <c r="F55" s="268">
        <v>0.25394843962008101</v>
      </c>
      <c r="G55" s="91"/>
      <c r="H55" s="91"/>
    </row>
    <row r="56" spans="1:8" x14ac:dyDescent="0.25">
      <c r="A56" s="91">
        <f t="shared" si="0"/>
        <v>13</v>
      </c>
      <c r="B56" s="53" t="s">
        <v>160</v>
      </c>
      <c r="C56" s="91" t="s">
        <v>2928</v>
      </c>
      <c r="D56" s="91">
        <v>680</v>
      </c>
      <c r="E56" s="269"/>
      <c r="F56" s="268">
        <v>0.25394843962008101</v>
      </c>
      <c r="G56" s="91"/>
      <c r="H56" s="91"/>
    </row>
    <row r="57" spans="1:8" x14ac:dyDescent="0.25">
      <c r="A57" s="91">
        <f t="shared" si="0"/>
        <v>13</v>
      </c>
      <c r="B57" s="53" t="s">
        <v>160</v>
      </c>
      <c r="C57" s="91" t="s">
        <v>2928</v>
      </c>
      <c r="D57" s="91">
        <v>280</v>
      </c>
      <c r="E57" s="269"/>
      <c r="F57" s="268">
        <v>0.25394843962008101</v>
      </c>
      <c r="G57" s="91"/>
      <c r="H57" s="91"/>
    </row>
    <row r="58" spans="1:8" x14ac:dyDescent="0.25">
      <c r="A58" s="91">
        <f t="shared" si="0"/>
        <v>13</v>
      </c>
      <c r="B58" s="53" t="s">
        <v>160</v>
      </c>
      <c r="C58" s="91" t="s">
        <v>2928</v>
      </c>
      <c r="D58" s="91">
        <v>90</v>
      </c>
      <c r="E58" s="269"/>
      <c r="F58" s="268">
        <v>0.25394843962008101</v>
      </c>
      <c r="G58" s="91"/>
      <c r="H58" s="91"/>
    </row>
    <row r="59" spans="1:8" x14ac:dyDescent="0.25">
      <c r="A59" s="91">
        <f t="shared" si="0"/>
        <v>13</v>
      </c>
      <c r="B59" s="53" t="s">
        <v>160</v>
      </c>
      <c r="C59" s="91" t="s">
        <v>2928</v>
      </c>
      <c r="D59" s="91">
        <v>60</v>
      </c>
      <c r="E59" s="269"/>
      <c r="F59" s="268">
        <v>0.25394843962008101</v>
      </c>
      <c r="G59" s="91"/>
      <c r="H59" s="91"/>
    </row>
    <row r="60" spans="1:8" x14ac:dyDescent="0.25">
      <c r="A60" s="91">
        <f t="shared" si="0"/>
        <v>13</v>
      </c>
      <c r="B60" s="53" t="s">
        <v>160</v>
      </c>
      <c r="C60" s="91" t="s">
        <v>2928</v>
      </c>
      <c r="D60" s="91">
        <v>60</v>
      </c>
      <c r="E60" s="269"/>
      <c r="F60" s="268">
        <v>0.25394843962008101</v>
      </c>
      <c r="G60" s="91"/>
      <c r="H60" s="91"/>
    </row>
    <row r="61" spans="1:8" x14ac:dyDescent="0.25">
      <c r="A61" s="91">
        <f t="shared" si="0"/>
        <v>13</v>
      </c>
      <c r="B61" s="53" t="s">
        <v>160</v>
      </c>
      <c r="C61" s="91" t="s">
        <v>2928</v>
      </c>
      <c r="D61" s="91">
        <v>30</v>
      </c>
      <c r="E61" s="269"/>
      <c r="F61" s="268">
        <v>0.25394843962008101</v>
      </c>
      <c r="G61" s="91"/>
      <c r="H61" s="91"/>
    </row>
    <row r="62" spans="1:8" x14ac:dyDescent="0.25">
      <c r="A62" s="91">
        <f t="shared" si="0"/>
        <v>13</v>
      </c>
      <c r="B62" s="53" t="s">
        <v>160</v>
      </c>
      <c r="C62" s="91" t="s">
        <v>2928</v>
      </c>
      <c r="D62" s="91">
        <v>60</v>
      </c>
      <c r="E62" s="269"/>
      <c r="F62" s="268">
        <v>0.25394843962008101</v>
      </c>
      <c r="G62" s="91"/>
      <c r="H62" s="91"/>
    </row>
    <row r="63" spans="1:8" x14ac:dyDescent="0.25">
      <c r="A63" s="91">
        <f t="shared" si="0"/>
        <v>13</v>
      </c>
      <c r="B63" s="53" t="s">
        <v>160</v>
      </c>
      <c r="C63" s="91" t="s">
        <v>2928</v>
      </c>
      <c r="D63" s="91">
        <v>90</v>
      </c>
      <c r="E63" s="269"/>
      <c r="F63" s="268">
        <v>0.25394843962008101</v>
      </c>
      <c r="G63" s="91"/>
      <c r="H63" s="91"/>
    </row>
    <row r="64" spans="1:8" s="3" customFormat="1" x14ac:dyDescent="0.25">
      <c r="A64" s="282">
        <f t="shared" si="0"/>
        <v>13</v>
      </c>
      <c r="B64" s="283" t="s">
        <v>160</v>
      </c>
      <c r="C64" s="282" t="s">
        <v>2928</v>
      </c>
      <c r="D64" s="282">
        <v>60</v>
      </c>
      <c r="E64" s="284"/>
      <c r="F64" s="285">
        <v>0.25394843962008101</v>
      </c>
      <c r="G64" s="282"/>
      <c r="H64" s="282"/>
    </row>
    <row r="65" spans="1:8" x14ac:dyDescent="0.25">
      <c r="A65" s="91">
        <f t="shared" si="0"/>
        <v>14</v>
      </c>
      <c r="B65" s="53" t="s">
        <v>182</v>
      </c>
      <c r="C65" s="91" t="s">
        <v>2928</v>
      </c>
      <c r="D65" s="91">
        <v>64</v>
      </c>
      <c r="E65" s="269">
        <v>301.12</v>
      </c>
      <c r="F65" s="268">
        <v>0.254324324324324</v>
      </c>
      <c r="G65" s="91"/>
      <c r="H65" s="91"/>
    </row>
    <row r="66" spans="1:8" x14ac:dyDescent="0.25">
      <c r="A66" s="91">
        <f t="shared" si="0"/>
        <v>14</v>
      </c>
      <c r="B66" s="53" t="s">
        <v>182</v>
      </c>
      <c r="C66" s="91" t="s">
        <v>2928</v>
      </c>
      <c r="D66" s="91">
        <v>560</v>
      </c>
      <c r="E66" s="269"/>
      <c r="F66" s="268">
        <v>0.254324324324324</v>
      </c>
      <c r="G66" s="91"/>
      <c r="H66" s="91"/>
    </row>
    <row r="67" spans="1:8" x14ac:dyDescent="0.25">
      <c r="A67" s="91">
        <f t="shared" si="0"/>
        <v>14</v>
      </c>
      <c r="B67" s="53" t="s">
        <v>182</v>
      </c>
      <c r="C67" s="91" t="s">
        <v>2928</v>
      </c>
      <c r="D67" s="91">
        <v>200</v>
      </c>
      <c r="E67" s="269"/>
      <c r="F67" s="268">
        <v>0.254324324324324</v>
      </c>
      <c r="G67" s="91"/>
      <c r="H67" s="91"/>
    </row>
    <row r="68" spans="1:8" x14ac:dyDescent="0.25">
      <c r="A68" s="91">
        <f t="shared" ref="A68:A131" si="1">IF(B68=B67,A67,A67+1)</f>
        <v>14</v>
      </c>
      <c r="B68" s="53" t="s">
        <v>182</v>
      </c>
      <c r="C68" s="91" t="s">
        <v>2928</v>
      </c>
      <c r="D68" s="91">
        <v>90</v>
      </c>
      <c r="E68" s="269"/>
      <c r="F68" s="268">
        <v>0.254324324324324</v>
      </c>
      <c r="G68" s="91"/>
      <c r="H68" s="91"/>
    </row>
    <row r="69" spans="1:8" x14ac:dyDescent="0.25">
      <c r="A69" s="91">
        <f t="shared" si="1"/>
        <v>14</v>
      </c>
      <c r="B69" s="53" t="s">
        <v>182</v>
      </c>
      <c r="C69" s="91" t="s">
        <v>2928</v>
      </c>
      <c r="D69" s="91">
        <v>30</v>
      </c>
      <c r="E69" s="269"/>
      <c r="F69" s="268">
        <v>0.254324324324324</v>
      </c>
      <c r="G69" s="91"/>
      <c r="H69" s="91"/>
    </row>
    <row r="70" spans="1:8" x14ac:dyDescent="0.25">
      <c r="A70" s="91">
        <f t="shared" si="1"/>
        <v>14</v>
      </c>
      <c r="B70" s="53" t="s">
        <v>182</v>
      </c>
      <c r="C70" s="91" t="s">
        <v>2928</v>
      </c>
      <c r="D70" s="91">
        <v>60</v>
      </c>
      <c r="E70" s="269"/>
      <c r="F70" s="268">
        <v>0.254324324324324</v>
      </c>
      <c r="G70" s="91"/>
      <c r="H70" s="91"/>
    </row>
    <row r="71" spans="1:8" x14ac:dyDescent="0.25">
      <c r="A71" s="91">
        <f t="shared" si="1"/>
        <v>14</v>
      </c>
      <c r="B71" s="53" t="s">
        <v>182</v>
      </c>
      <c r="C71" s="91" t="s">
        <v>2928</v>
      </c>
      <c r="D71" s="91">
        <v>30</v>
      </c>
      <c r="E71" s="269"/>
      <c r="F71" s="268">
        <v>0.254324324324324</v>
      </c>
      <c r="G71" s="91"/>
      <c r="H71" s="91"/>
    </row>
    <row r="72" spans="1:8" x14ac:dyDescent="0.25">
      <c r="A72" s="91">
        <f t="shared" si="1"/>
        <v>14</v>
      </c>
      <c r="B72" s="53" t="s">
        <v>182</v>
      </c>
      <c r="C72" s="91" t="s">
        <v>2928</v>
      </c>
      <c r="D72" s="91">
        <v>30</v>
      </c>
      <c r="E72" s="269"/>
      <c r="F72" s="268">
        <v>0.254324324324324</v>
      </c>
      <c r="G72" s="91"/>
      <c r="H72" s="91"/>
    </row>
    <row r="73" spans="1:8" x14ac:dyDescent="0.25">
      <c r="A73" s="91">
        <f t="shared" si="1"/>
        <v>14</v>
      </c>
      <c r="B73" s="53" t="s">
        <v>182</v>
      </c>
      <c r="C73" s="91" t="s">
        <v>2928</v>
      </c>
      <c r="D73" s="91">
        <v>90</v>
      </c>
      <c r="E73" s="269"/>
      <c r="F73" s="268">
        <v>0.254324324324324</v>
      </c>
      <c r="G73" s="91"/>
      <c r="H73" s="91"/>
    </row>
    <row r="74" spans="1:8" s="3" customFormat="1" x14ac:dyDescent="0.25">
      <c r="A74" s="282">
        <f t="shared" si="1"/>
        <v>14</v>
      </c>
      <c r="B74" s="283" t="s">
        <v>182</v>
      </c>
      <c r="C74" s="282" t="s">
        <v>2928</v>
      </c>
      <c r="D74" s="282">
        <v>30</v>
      </c>
      <c r="E74" s="284"/>
      <c r="F74" s="285">
        <v>0.254324324324324</v>
      </c>
      <c r="G74" s="282"/>
      <c r="H74" s="282"/>
    </row>
    <row r="75" spans="1:8" x14ac:dyDescent="0.25">
      <c r="A75" s="91">
        <f t="shared" si="1"/>
        <v>15</v>
      </c>
      <c r="B75" s="53" t="s">
        <v>193</v>
      </c>
      <c r="C75" s="91" t="s">
        <v>2928</v>
      </c>
      <c r="D75" s="91">
        <v>64</v>
      </c>
      <c r="E75" s="269">
        <v>436.72</v>
      </c>
      <c r="F75" s="268">
        <v>0.254795799299883</v>
      </c>
      <c r="G75" s="91"/>
      <c r="H75" s="91"/>
    </row>
    <row r="76" spans="1:8" x14ac:dyDescent="0.25">
      <c r="A76" s="91">
        <f t="shared" si="1"/>
        <v>15</v>
      </c>
      <c r="B76" s="53" t="s">
        <v>193</v>
      </c>
      <c r="C76" s="91" t="s">
        <v>2928</v>
      </c>
      <c r="D76" s="91">
        <v>760</v>
      </c>
      <c r="E76" s="269"/>
      <c r="F76" s="268">
        <v>0.254795799299883</v>
      </c>
      <c r="G76" s="91"/>
      <c r="H76" s="91"/>
    </row>
    <row r="77" spans="1:8" x14ac:dyDescent="0.25">
      <c r="A77" s="91">
        <f t="shared" si="1"/>
        <v>15</v>
      </c>
      <c r="B77" s="53" t="s">
        <v>193</v>
      </c>
      <c r="C77" s="91" t="s">
        <v>2928</v>
      </c>
      <c r="D77" s="91">
        <v>320</v>
      </c>
      <c r="E77" s="269"/>
      <c r="F77" s="268">
        <v>0.254795799299883</v>
      </c>
      <c r="G77" s="91"/>
      <c r="H77" s="91"/>
    </row>
    <row r="78" spans="1:8" x14ac:dyDescent="0.25">
      <c r="A78" s="91">
        <f t="shared" si="1"/>
        <v>15</v>
      </c>
      <c r="B78" s="53" t="s">
        <v>193</v>
      </c>
      <c r="C78" s="91" t="s">
        <v>2928</v>
      </c>
      <c r="D78" s="91">
        <v>120</v>
      </c>
      <c r="E78" s="269"/>
      <c r="F78" s="268">
        <v>0.254795799299883</v>
      </c>
      <c r="G78" s="91"/>
      <c r="H78" s="91"/>
    </row>
    <row r="79" spans="1:8" x14ac:dyDescent="0.25">
      <c r="A79" s="91">
        <f t="shared" si="1"/>
        <v>15</v>
      </c>
      <c r="B79" s="53" t="s">
        <v>193</v>
      </c>
      <c r="C79" s="91" t="s">
        <v>2928</v>
      </c>
      <c r="D79" s="91">
        <v>60</v>
      </c>
      <c r="E79" s="269"/>
      <c r="F79" s="268">
        <v>0.254795799299883</v>
      </c>
      <c r="G79" s="91"/>
      <c r="H79" s="91"/>
    </row>
    <row r="80" spans="1:8" x14ac:dyDescent="0.25">
      <c r="A80" s="91">
        <f t="shared" si="1"/>
        <v>15</v>
      </c>
      <c r="B80" s="53" t="s">
        <v>193</v>
      </c>
      <c r="C80" s="91" t="s">
        <v>2928</v>
      </c>
      <c r="D80" s="91">
        <v>90</v>
      </c>
      <c r="E80" s="269"/>
      <c r="F80" s="268">
        <v>0.254795799299883</v>
      </c>
      <c r="G80" s="91"/>
      <c r="H80" s="91"/>
    </row>
    <row r="81" spans="1:8" x14ac:dyDescent="0.25">
      <c r="A81" s="91">
        <f t="shared" si="1"/>
        <v>15</v>
      </c>
      <c r="B81" s="53" t="s">
        <v>193</v>
      </c>
      <c r="C81" s="91" t="s">
        <v>2928</v>
      </c>
      <c r="D81" s="91">
        <v>60</v>
      </c>
      <c r="E81" s="269"/>
      <c r="F81" s="268">
        <v>0.254795799299883</v>
      </c>
      <c r="G81" s="91"/>
      <c r="H81" s="91"/>
    </row>
    <row r="82" spans="1:8" x14ac:dyDescent="0.25">
      <c r="A82" s="91">
        <f t="shared" si="1"/>
        <v>15</v>
      </c>
      <c r="B82" s="53" t="s">
        <v>193</v>
      </c>
      <c r="C82" s="91" t="s">
        <v>2928</v>
      </c>
      <c r="D82" s="91">
        <v>60</v>
      </c>
      <c r="E82" s="269"/>
      <c r="F82" s="268">
        <v>0.254795799299883</v>
      </c>
      <c r="G82" s="91"/>
      <c r="H82" s="91"/>
    </row>
    <row r="83" spans="1:8" x14ac:dyDescent="0.25">
      <c r="A83" s="91">
        <f t="shared" si="1"/>
        <v>15</v>
      </c>
      <c r="B83" s="53" t="s">
        <v>193</v>
      </c>
      <c r="C83" s="91" t="s">
        <v>2928</v>
      </c>
      <c r="D83" s="91">
        <v>120</v>
      </c>
      <c r="E83" s="269"/>
      <c r="F83" s="268">
        <v>0.254795799299883</v>
      </c>
      <c r="G83" s="91"/>
      <c r="H83" s="91"/>
    </row>
    <row r="84" spans="1:8" s="3" customFormat="1" x14ac:dyDescent="0.25">
      <c r="A84" s="282">
        <f t="shared" si="1"/>
        <v>15</v>
      </c>
      <c r="B84" s="283" t="s">
        <v>193</v>
      </c>
      <c r="C84" s="282" t="s">
        <v>2928</v>
      </c>
      <c r="D84" s="282">
        <v>60</v>
      </c>
      <c r="E84" s="284"/>
      <c r="F84" s="285">
        <v>0.254795799299883</v>
      </c>
      <c r="G84" s="282"/>
      <c r="H84" s="282"/>
    </row>
    <row r="85" spans="1:8" x14ac:dyDescent="0.25">
      <c r="A85" s="91">
        <f t="shared" si="1"/>
        <v>16</v>
      </c>
      <c r="B85" s="53" t="s">
        <v>104</v>
      </c>
      <c r="C85" s="91" t="s">
        <v>2928</v>
      </c>
      <c r="D85" s="91">
        <v>144</v>
      </c>
      <c r="E85" s="269">
        <v>116.28</v>
      </c>
      <c r="F85" s="268">
        <v>0.34</v>
      </c>
      <c r="G85" s="91"/>
      <c r="H85" s="91"/>
    </row>
    <row r="86" spans="1:8" s="3" customFormat="1" x14ac:dyDescent="0.25">
      <c r="A86" s="282">
        <f t="shared" si="1"/>
        <v>16</v>
      </c>
      <c r="B86" s="283" t="s">
        <v>104</v>
      </c>
      <c r="C86" s="282" t="s">
        <v>2928</v>
      </c>
      <c r="D86" s="282">
        <v>198</v>
      </c>
      <c r="E86" s="284"/>
      <c r="F86" s="285">
        <v>0.34</v>
      </c>
      <c r="G86" s="282"/>
      <c r="H86" s="282"/>
    </row>
    <row r="87" spans="1:8" x14ac:dyDescent="0.25">
      <c r="A87" s="91">
        <f t="shared" si="1"/>
        <v>17</v>
      </c>
      <c r="B87" s="53" t="s">
        <v>107</v>
      </c>
      <c r="C87" s="91" t="s">
        <v>2928</v>
      </c>
      <c r="D87" s="91">
        <v>90</v>
      </c>
      <c r="E87" s="269">
        <v>79.56</v>
      </c>
      <c r="F87" s="268">
        <v>0.27625</v>
      </c>
      <c r="G87" s="91"/>
      <c r="H87" s="91"/>
    </row>
    <row r="88" spans="1:8" s="3" customFormat="1" x14ac:dyDescent="0.25">
      <c r="A88" s="282">
        <f t="shared" si="1"/>
        <v>17</v>
      </c>
      <c r="B88" s="283" t="s">
        <v>107</v>
      </c>
      <c r="C88" s="282" t="s">
        <v>2928</v>
      </c>
      <c r="D88" s="282">
        <v>198</v>
      </c>
      <c r="E88" s="284"/>
      <c r="F88" s="285">
        <v>0.27625</v>
      </c>
      <c r="G88" s="282"/>
      <c r="H88" s="282"/>
    </row>
    <row r="89" spans="1:8" x14ac:dyDescent="0.25">
      <c r="A89" s="91">
        <f t="shared" si="1"/>
        <v>18</v>
      </c>
      <c r="B89" s="53" t="s">
        <v>110</v>
      </c>
      <c r="C89" s="91" t="s">
        <v>2928</v>
      </c>
      <c r="D89" s="91">
        <v>126</v>
      </c>
      <c r="E89" s="269">
        <v>97.92</v>
      </c>
      <c r="F89" s="268">
        <v>0.34</v>
      </c>
      <c r="G89" s="91"/>
      <c r="H89" s="91"/>
    </row>
    <row r="90" spans="1:8" s="3" customFormat="1" x14ac:dyDescent="0.25">
      <c r="A90" s="282">
        <f t="shared" si="1"/>
        <v>18</v>
      </c>
      <c r="B90" s="283" t="s">
        <v>110</v>
      </c>
      <c r="C90" s="282" t="s">
        <v>2928</v>
      </c>
      <c r="D90" s="282">
        <v>162</v>
      </c>
      <c r="E90" s="284"/>
      <c r="F90" s="285">
        <v>0.34</v>
      </c>
      <c r="G90" s="282"/>
      <c r="H90" s="282"/>
    </row>
    <row r="91" spans="1:8" x14ac:dyDescent="0.25">
      <c r="A91" s="91">
        <f t="shared" si="1"/>
        <v>19</v>
      </c>
      <c r="B91" s="53" t="s">
        <v>96</v>
      </c>
      <c r="C91" s="91" t="s">
        <v>2928</v>
      </c>
      <c r="D91" s="91">
        <v>60</v>
      </c>
      <c r="E91" s="269">
        <v>61.2</v>
      </c>
      <c r="F91" s="268">
        <v>0.34</v>
      </c>
      <c r="G91" s="91"/>
      <c r="H91" s="91"/>
    </row>
    <row r="92" spans="1:8" s="3" customFormat="1" x14ac:dyDescent="0.25">
      <c r="A92" s="282">
        <f t="shared" si="1"/>
        <v>19</v>
      </c>
      <c r="B92" s="283" t="s">
        <v>96</v>
      </c>
      <c r="C92" s="282" t="s">
        <v>2928</v>
      </c>
      <c r="D92" s="282">
        <v>120</v>
      </c>
      <c r="E92" s="284"/>
      <c r="F92" s="285">
        <v>0.34</v>
      </c>
      <c r="G92" s="282"/>
      <c r="H92" s="282"/>
    </row>
    <row r="93" spans="1:8" s="2" customFormat="1" x14ac:dyDescent="0.25">
      <c r="A93" s="278">
        <f t="shared" si="1"/>
        <v>20</v>
      </c>
      <c r="B93" s="279" t="s">
        <v>286</v>
      </c>
      <c r="C93" s="278" t="s">
        <v>2929</v>
      </c>
      <c r="D93" s="278">
        <v>64</v>
      </c>
      <c r="E93" s="280">
        <v>21.76</v>
      </c>
      <c r="F93" s="281">
        <v>0.34</v>
      </c>
      <c r="G93" s="278"/>
      <c r="H93" s="278"/>
    </row>
    <row r="94" spans="1:8" s="2" customFormat="1" x14ac:dyDescent="0.25">
      <c r="A94" s="278">
        <f t="shared" si="1"/>
        <v>21</v>
      </c>
      <c r="B94" s="279" t="s">
        <v>290</v>
      </c>
      <c r="C94" s="278" t="s">
        <v>2929</v>
      </c>
      <c r="D94" s="278">
        <v>48</v>
      </c>
      <c r="E94" s="280">
        <v>16.32</v>
      </c>
      <c r="F94" s="281">
        <v>0.34</v>
      </c>
      <c r="G94" s="278"/>
      <c r="H94" s="278"/>
    </row>
    <row r="95" spans="1:8" s="2" customFormat="1" x14ac:dyDescent="0.25">
      <c r="A95" s="278">
        <f t="shared" si="1"/>
        <v>22</v>
      </c>
      <c r="B95" s="279" t="s">
        <v>292</v>
      </c>
      <c r="C95" s="278" t="s">
        <v>2929</v>
      </c>
      <c r="D95" s="278">
        <v>48</v>
      </c>
      <c r="E95" s="280">
        <v>16.32</v>
      </c>
      <c r="F95" s="281">
        <v>0.34</v>
      </c>
      <c r="G95" s="278"/>
      <c r="H95" s="278"/>
    </row>
    <row r="96" spans="1:8" x14ac:dyDescent="0.25">
      <c r="A96" s="91">
        <f t="shared" si="1"/>
        <v>23</v>
      </c>
      <c r="B96" s="53" t="s">
        <v>415</v>
      </c>
      <c r="C96" s="91" t="s">
        <v>2930</v>
      </c>
      <c r="D96" s="91">
        <v>320</v>
      </c>
      <c r="E96" s="269">
        <v>176.4</v>
      </c>
      <c r="F96" s="268">
        <v>0.21</v>
      </c>
      <c r="G96" s="91"/>
      <c r="H96" s="91"/>
    </row>
    <row r="97" spans="1:8" s="4" customFormat="1" x14ac:dyDescent="0.25">
      <c r="A97" s="286">
        <f t="shared" si="1"/>
        <v>23</v>
      </c>
      <c r="B97" s="287" t="s">
        <v>415</v>
      </c>
      <c r="C97" s="286" t="s">
        <v>2930</v>
      </c>
      <c r="D97" s="286">
        <v>200</v>
      </c>
      <c r="E97" s="276"/>
      <c r="F97" s="288">
        <v>0.21</v>
      </c>
      <c r="G97" s="286"/>
      <c r="H97" s="286"/>
    </row>
    <row r="98" spans="1:8" s="5" customFormat="1" x14ac:dyDescent="0.25">
      <c r="A98" s="289">
        <f t="shared" si="1"/>
        <v>24</v>
      </c>
      <c r="B98" s="290" t="s">
        <v>423</v>
      </c>
      <c r="C98" s="289" t="s">
        <v>2930</v>
      </c>
      <c r="D98" s="289">
        <v>320</v>
      </c>
      <c r="E98" s="291"/>
      <c r="F98" s="292">
        <v>0.21</v>
      </c>
      <c r="G98" s="289"/>
      <c r="H98" s="289"/>
    </row>
    <row r="99" spans="1:8" x14ac:dyDescent="0.25">
      <c r="A99" s="91">
        <f t="shared" si="1"/>
        <v>25</v>
      </c>
      <c r="B99" s="53" t="s">
        <v>457</v>
      </c>
      <c r="C99" s="91" t="s">
        <v>2931</v>
      </c>
      <c r="D99" s="91">
        <v>30</v>
      </c>
      <c r="E99" s="269">
        <v>28.56</v>
      </c>
      <c r="F99" s="268">
        <v>0.34</v>
      </c>
      <c r="G99" s="91"/>
      <c r="H99" s="91"/>
    </row>
    <row r="100" spans="1:8" s="3" customFormat="1" x14ac:dyDescent="0.25">
      <c r="A100" s="282">
        <f t="shared" si="1"/>
        <v>25</v>
      </c>
      <c r="B100" s="283" t="s">
        <v>457</v>
      </c>
      <c r="C100" s="282" t="s">
        <v>2931</v>
      </c>
      <c r="D100" s="282">
        <v>54</v>
      </c>
      <c r="E100" s="284"/>
      <c r="F100" s="285">
        <v>0.34</v>
      </c>
      <c r="G100" s="282"/>
      <c r="H100" s="282"/>
    </row>
    <row r="101" spans="1:8" x14ac:dyDescent="0.25">
      <c r="A101" s="91">
        <f t="shared" si="1"/>
        <v>26</v>
      </c>
      <c r="B101" s="53" t="s">
        <v>462</v>
      </c>
      <c r="C101" s="91" t="s">
        <v>2931</v>
      </c>
      <c r="D101" s="91">
        <v>144</v>
      </c>
      <c r="E101" s="269">
        <v>143.76</v>
      </c>
      <c r="F101" s="268">
        <v>0.24</v>
      </c>
      <c r="G101" s="91"/>
      <c r="H101" s="91"/>
    </row>
    <row r="102" spans="1:8" x14ac:dyDescent="0.25">
      <c r="A102" s="91">
        <f t="shared" si="1"/>
        <v>26</v>
      </c>
      <c r="B102" s="53" t="s">
        <v>462</v>
      </c>
      <c r="C102" s="91" t="s">
        <v>2931</v>
      </c>
      <c r="D102" s="91">
        <v>105</v>
      </c>
      <c r="E102" s="269"/>
      <c r="F102" s="268">
        <v>0.24</v>
      </c>
      <c r="G102" s="91"/>
      <c r="H102" s="91"/>
    </row>
    <row r="103" spans="1:8" s="3" customFormat="1" x14ac:dyDescent="0.25">
      <c r="A103" s="282">
        <f t="shared" si="1"/>
        <v>26</v>
      </c>
      <c r="B103" s="283" t="s">
        <v>462</v>
      </c>
      <c r="C103" s="282" t="s">
        <v>2931</v>
      </c>
      <c r="D103" s="282">
        <v>350</v>
      </c>
      <c r="E103" s="284"/>
      <c r="F103" s="285">
        <v>0.24</v>
      </c>
      <c r="G103" s="282"/>
      <c r="H103" s="282"/>
    </row>
    <row r="104" spans="1:8" x14ac:dyDescent="0.25">
      <c r="A104" s="91">
        <f t="shared" si="1"/>
        <v>27</v>
      </c>
      <c r="B104" s="53" t="s">
        <v>467</v>
      </c>
      <c r="C104" s="91" t="s">
        <v>2931</v>
      </c>
      <c r="D104" s="91">
        <v>120</v>
      </c>
      <c r="E104" s="269">
        <v>96</v>
      </c>
      <c r="F104" s="268">
        <v>0.24</v>
      </c>
      <c r="G104" s="91"/>
      <c r="H104" s="91"/>
    </row>
    <row r="105" spans="1:8" s="3" customFormat="1" x14ac:dyDescent="0.25">
      <c r="A105" s="282">
        <f t="shared" si="1"/>
        <v>27</v>
      </c>
      <c r="B105" s="283" t="s">
        <v>467</v>
      </c>
      <c r="C105" s="282" t="s">
        <v>2931</v>
      </c>
      <c r="D105" s="282">
        <v>280</v>
      </c>
      <c r="E105" s="284"/>
      <c r="F105" s="285">
        <v>0.24</v>
      </c>
      <c r="G105" s="282"/>
      <c r="H105" s="282"/>
    </row>
    <row r="106" spans="1:8" x14ac:dyDescent="0.25">
      <c r="A106" s="91">
        <f t="shared" si="1"/>
        <v>28</v>
      </c>
      <c r="B106" s="53" t="s">
        <v>470</v>
      </c>
      <c r="C106" s="91" t="s">
        <v>2931</v>
      </c>
      <c r="D106" s="91">
        <v>120</v>
      </c>
      <c r="E106" s="269">
        <v>96</v>
      </c>
      <c r="F106" s="268">
        <v>0.24</v>
      </c>
      <c r="G106" s="91"/>
      <c r="H106" s="91"/>
    </row>
    <row r="107" spans="1:8" s="3" customFormat="1" x14ac:dyDescent="0.25">
      <c r="A107" s="282">
        <f t="shared" si="1"/>
        <v>28</v>
      </c>
      <c r="B107" s="283" t="s">
        <v>470</v>
      </c>
      <c r="C107" s="282" t="s">
        <v>2931</v>
      </c>
      <c r="D107" s="282">
        <v>280</v>
      </c>
      <c r="E107" s="284"/>
      <c r="F107" s="285">
        <v>0.24</v>
      </c>
      <c r="G107" s="282"/>
      <c r="H107" s="282"/>
    </row>
    <row r="108" spans="1:8" s="2" customFormat="1" x14ac:dyDescent="0.25">
      <c r="A108" s="278">
        <f t="shared" si="1"/>
        <v>29</v>
      </c>
      <c r="B108" s="279" t="s">
        <v>397</v>
      </c>
      <c r="C108" s="278" t="s">
        <v>2931</v>
      </c>
      <c r="D108" s="278">
        <v>540</v>
      </c>
      <c r="E108" s="280">
        <v>183.6</v>
      </c>
      <c r="F108" s="281">
        <v>0.34</v>
      </c>
      <c r="G108" s="278"/>
      <c r="H108" s="278"/>
    </row>
    <row r="109" spans="1:8" s="2" customFormat="1" x14ac:dyDescent="0.25">
      <c r="A109" s="278">
        <f t="shared" si="1"/>
        <v>30</v>
      </c>
      <c r="B109" s="279" t="s">
        <v>399</v>
      </c>
      <c r="C109" s="278" t="s">
        <v>2931</v>
      </c>
      <c r="D109" s="278">
        <v>312</v>
      </c>
      <c r="E109" s="280">
        <v>106.08</v>
      </c>
      <c r="F109" s="281">
        <v>0.34</v>
      </c>
      <c r="G109" s="278"/>
      <c r="H109" s="278"/>
    </row>
    <row r="110" spans="1:8" x14ac:dyDescent="0.25">
      <c r="A110" s="91">
        <f t="shared" si="1"/>
        <v>31</v>
      </c>
      <c r="B110" s="53" t="s">
        <v>378</v>
      </c>
      <c r="C110" s="91" t="s">
        <v>2931</v>
      </c>
      <c r="D110" s="91">
        <v>240</v>
      </c>
      <c r="E110" s="269">
        <v>96.4</v>
      </c>
      <c r="F110" s="268">
        <v>0.292121212121212</v>
      </c>
      <c r="G110" s="91"/>
      <c r="H110" s="91"/>
    </row>
    <row r="111" spans="1:8" s="3" customFormat="1" x14ac:dyDescent="0.25">
      <c r="A111" s="282">
        <f t="shared" si="1"/>
        <v>31</v>
      </c>
      <c r="B111" s="283" t="s">
        <v>378</v>
      </c>
      <c r="C111" s="282" t="s">
        <v>2931</v>
      </c>
      <c r="D111" s="282">
        <v>90</v>
      </c>
      <c r="E111" s="284"/>
      <c r="F111" s="285">
        <v>0.292121212121212</v>
      </c>
      <c r="G111" s="282"/>
      <c r="H111" s="282"/>
    </row>
    <row r="112" spans="1:8" x14ac:dyDescent="0.25">
      <c r="A112" s="91">
        <f t="shared" si="1"/>
        <v>32</v>
      </c>
      <c r="B112" s="53" t="s">
        <v>368</v>
      </c>
      <c r="C112" s="91" t="s">
        <v>2931</v>
      </c>
      <c r="D112" s="91">
        <v>360</v>
      </c>
      <c r="E112" s="269">
        <v>126</v>
      </c>
      <c r="F112" s="268">
        <v>0.28000000000000003</v>
      </c>
      <c r="G112" s="91"/>
      <c r="H112" s="91"/>
    </row>
    <row r="113" spans="1:8" s="3" customFormat="1" x14ac:dyDescent="0.25">
      <c r="A113" s="282">
        <f t="shared" si="1"/>
        <v>32</v>
      </c>
      <c r="B113" s="283" t="s">
        <v>368</v>
      </c>
      <c r="C113" s="282" t="s">
        <v>2931</v>
      </c>
      <c r="D113" s="282">
        <v>90</v>
      </c>
      <c r="E113" s="284"/>
      <c r="F113" s="285">
        <v>0.28000000000000003</v>
      </c>
      <c r="G113" s="282"/>
      <c r="H113" s="282"/>
    </row>
    <row r="114" spans="1:8" x14ac:dyDescent="0.25">
      <c r="A114" s="91">
        <f t="shared" si="1"/>
        <v>33</v>
      </c>
      <c r="B114" s="53" t="s">
        <v>390</v>
      </c>
      <c r="C114" s="91" t="s">
        <v>2931</v>
      </c>
      <c r="D114" s="91">
        <v>300</v>
      </c>
      <c r="E114" s="269">
        <v>109.2</v>
      </c>
      <c r="F114" s="268">
        <v>0.28000000000000003</v>
      </c>
      <c r="G114" s="91"/>
      <c r="H114" s="91"/>
    </row>
    <row r="115" spans="1:8" s="3" customFormat="1" x14ac:dyDescent="0.25">
      <c r="A115" s="282">
        <f t="shared" si="1"/>
        <v>33</v>
      </c>
      <c r="B115" s="283" t="s">
        <v>390</v>
      </c>
      <c r="C115" s="282" t="s">
        <v>2931</v>
      </c>
      <c r="D115" s="282">
        <v>90</v>
      </c>
      <c r="E115" s="284"/>
      <c r="F115" s="285">
        <v>0.28000000000000003</v>
      </c>
      <c r="G115" s="282"/>
      <c r="H115" s="282"/>
    </row>
    <row r="116" spans="1:8" x14ac:dyDescent="0.25">
      <c r="A116" s="91">
        <f t="shared" si="1"/>
        <v>34</v>
      </c>
      <c r="B116" s="53" t="s">
        <v>205</v>
      </c>
      <c r="C116" s="91" t="s">
        <v>2931</v>
      </c>
      <c r="D116" s="91">
        <v>120</v>
      </c>
      <c r="E116" s="269">
        <v>198.16</v>
      </c>
      <c r="F116" s="268">
        <v>0.28553314121037499</v>
      </c>
      <c r="G116" s="91"/>
      <c r="H116" s="91"/>
    </row>
    <row r="117" spans="1:8" x14ac:dyDescent="0.25">
      <c r="A117" s="91">
        <f t="shared" si="1"/>
        <v>34</v>
      </c>
      <c r="B117" s="53" t="s">
        <v>205</v>
      </c>
      <c r="C117" s="91" t="s">
        <v>2931</v>
      </c>
      <c r="D117" s="91">
        <v>64</v>
      </c>
      <c r="E117" s="269"/>
      <c r="F117" s="268">
        <v>0.28553314121037499</v>
      </c>
      <c r="G117" s="91"/>
      <c r="H117" s="91"/>
    </row>
    <row r="118" spans="1:8" x14ac:dyDescent="0.25">
      <c r="A118" s="91">
        <f t="shared" si="1"/>
        <v>34</v>
      </c>
      <c r="B118" s="53" t="s">
        <v>205</v>
      </c>
      <c r="C118" s="91" t="s">
        <v>2931</v>
      </c>
      <c r="D118" s="91">
        <v>450</v>
      </c>
      <c r="E118" s="269"/>
      <c r="F118" s="268">
        <v>0.28553314121037499</v>
      </c>
      <c r="G118" s="91"/>
      <c r="H118" s="91"/>
    </row>
    <row r="119" spans="1:8" s="3" customFormat="1" x14ac:dyDescent="0.25">
      <c r="A119" s="282">
        <f t="shared" si="1"/>
        <v>34</v>
      </c>
      <c r="B119" s="283" t="s">
        <v>205</v>
      </c>
      <c r="C119" s="282" t="s">
        <v>2931</v>
      </c>
      <c r="D119" s="282">
        <v>60</v>
      </c>
      <c r="E119" s="284"/>
      <c r="F119" s="285">
        <v>0.28553314121037499</v>
      </c>
      <c r="G119" s="282"/>
      <c r="H119" s="282"/>
    </row>
    <row r="120" spans="1:8" x14ac:dyDescent="0.25">
      <c r="A120" s="91">
        <f t="shared" si="1"/>
        <v>35</v>
      </c>
      <c r="B120" s="53" t="s">
        <v>215</v>
      </c>
      <c r="C120" s="91" t="s">
        <v>2931</v>
      </c>
      <c r="D120" s="91">
        <v>90</v>
      </c>
      <c r="E120" s="269">
        <v>142.32</v>
      </c>
      <c r="F120" s="268">
        <v>0.28578313253012</v>
      </c>
      <c r="G120" s="91"/>
      <c r="H120" s="91"/>
    </row>
    <row r="121" spans="1:8" x14ac:dyDescent="0.25">
      <c r="A121" s="91">
        <f t="shared" si="1"/>
        <v>35</v>
      </c>
      <c r="B121" s="53" t="s">
        <v>215</v>
      </c>
      <c r="C121" s="91" t="s">
        <v>2931</v>
      </c>
      <c r="D121" s="91">
        <v>48</v>
      </c>
      <c r="E121" s="269"/>
      <c r="F121" s="268">
        <v>0.28578313253012</v>
      </c>
      <c r="G121" s="91"/>
      <c r="H121" s="91"/>
    </row>
    <row r="122" spans="1:8" x14ac:dyDescent="0.25">
      <c r="A122" s="91">
        <f t="shared" si="1"/>
        <v>35</v>
      </c>
      <c r="B122" s="53" t="s">
        <v>215</v>
      </c>
      <c r="C122" s="91" t="s">
        <v>2931</v>
      </c>
      <c r="D122" s="91">
        <v>330</v>
      </c>
      <c r="E122" s="269"/>
      <c r="F122" s="268">
        <v>0.28578313253012</v>
      </c>
      <c r="G122" s="91"/>
      <c r="H122" s="91"/>
    </row>
    <row r="123" spans="1:8" s="3" customFormat="1" x14ac:dyDescent="0.25">
      <c r="A123" s="282">
        <f t="shared" si="1"/>
        <v>35</v>
      </c>
      <c r="B123" s="283" t="s">
        <v>215</v>
      </c>
      <c r="C123" s="282" t="s">
        <v>2931</v>
      </c>
      <c r="D123" s="282">
        <v>30</v>
      </c>
      <c r="E123" s="284"/>
      <c r="F123" s="285">
        <v>0.28578313253012</v>
      </c>
      <c r="G123" s="282"/>
      <c r="H123" s="282"/>
    </row>
    <row r="124" spans="1:8" x14ac:dyDescent="0.25">
      <c r="A124" s="91">
        <f t="shared" si="1"/>
        <v>36</v>
      </c>
      <c r="B124" s="53" t="s">
        <v>221</v>
      </c>
      <c r="C124" s="91" t="s">
        <v>2931</v>
      </c>
      <c r="D124" s="91">
        <v>90</v>
      </c>
      <c r="E124" s="269">
        <v>167.52</v>
      </c>
      <c r="F124" s="268">
        <v>0.284897959183673</v>
      </c>
      <c r="G124" s="91"/>
      <c r="H124" s="91"/>
    </row>
    <row r="125" spans="1:8" x14ac:dyDescent="0.25">
      <c r="A125" s="91">
        <f t="shared" si="1"/>
        <v>36</v>
      </c>
      <c r="B125" s="53" t="s">
        <v>221</v>
      </c>
      <c r="C125" s="91" t="s">
        <v>2931</v>
      </c>
      <c r="D125" s="91">
        <v>48</v>
      </c>
      <c r="E125" s="269"/>
      <c r="F125" s="268">
        <v>0.284897959183673</v>
      </c>
      <c r="G125" s="91"/>
      <c r="H125" s="91"/>
    </row>
    <row r="126" spans="1:8" x14ac:dyDescent="0.25">
      <c r="A126" s="91">
        <f t="shared" si="1"/>
        <v>36</v>
      </c>
      <c r="B126" s="53" t="s">
        <v>221</v>
      </c>
      <c r="C126" s="91" t="s">
        <v>2931</v>
      </c>
      <c r="D126" s="91">
        <v>420</v>
      </c>
      <c r="E126" s="269"/>
      <c r="F126" s="268">
        <v>0.284897959183673</v>
      </c>
      <c r="G126" s="91"/>
      <c r="H126" s="91"/>
    </row>
    <row r="127" spans="1:8" s="3" customFormat="1" x14ac:dyDescent="0.25">
      <c r="A127" s="282">
        <f t="shared" si="1"/>
        <v>36</v>
      </c>
      <c r="B127" s="283" t="s">
        <v>221</v>
      </c>
      <c r="C127" s="282" t="s">
        <v>2931</v>
      </c>
      <c r="D127" s="282">
        <v>30</v>
      </c>
      <c r="E127" s="284"/>
      <c r="F127" s="285">
        <v>0.284897959183673</v>
      </c>
      <c r="G127" s="282"/>
      <c r="H127" s="282"/>
    </row>
    <row r="128" spans="1:8" x14ac:dyDescent="0.25">
      <c r="A128" s="91">
        <f t="shared" si="1"/>
        <v>37</v>
      </c>
      <c r="B128" s="53" t="s">
        <v>304</v>
      </c>
      <c r="C128" s="91" t="s">
        <v>2931</v>
      </c>
      <c r="D128" s="91">
        <v>312</v>
      </c>
      <c r="E128" s="269">
        <v>165.96</v>
      </c>
      <c r="F128" s="268">
        <v>0.21779527559055101</v>
      </c>
      <c r="G128" s="91"/>
      <c r="H128" s="91"/>
    </row>
    <row r="129" spans="1:8" x14ac:dyDescent="0.25">
      <c r="A129" s="91">
        <f t="shared" si="1"/>
        <v>37</v>
      </c>
      <c r="B129" s="53" t="s">
        <v>304</v>
      </c>
      <c r="C129" s="91" t="s">
        <v>2931</v>
      </c>
      <c r="D129" s="91">
        <v>90</v>
      </c>
      <c r="E129" s="269"/>
      <c r="F129" s="268">
        <v>0.21779527559055101</v>
      </c>
      <c r="G129" s="91"/>
      <c r="H129" s="91"/>
    </row>
    <row r="130" spans="1:8" x14ac:dyDescent="0.25">
      <c r="A130" s="91">
        <f t="shared" si="1"/>
        <v>37</v>
      </c>
      <c r="B130" s="53" t="s">
        <v>304</v>
      </c>
      <c r="C130" s="91" t="s">
        <v>2931</v>
      </c>
      <c r="D130" s="91">
        <v>90</v>
      </c>
      <c r="E130" s="269"/>
      <c r="F130" s="268">
        <v>0.21779527559055101</v>
      </c>
      <c r="G130" s="91"/>
      <c r="H130" s="91"/>
    </row>
    <row r="131" spans="1:8" s="4" customFormat="1" x14ac:dyDescent="0.25">
      <c r="A131" s="286">
        <f t="shared" si="1"/>
        <v>37</v>
      </c>
      <c r="B131" s="287" t="s">
        <v>304</v>
      </c>
      <c r="C131" s="286" t="s">
        <v>2931</v>
      </c>
      <c r="D131" s="286">
        <v>90</v>
      </c>
      <c r="E131" s="276"/>
      <c r="F131" s="288">
        <v>0.21779527559055101</v>
      </c>
      <c r="G131" s="286"/>
      <c r="H131" s="286"/>
    </row>
    <row r="132" spans="1:8" s="5" customFormat="1" x14ac:dyDescent="0.25">
      <c r="A132" s="289">
        <f t="shared" ref="A132:A195" si="2">IF(B132=B131,A131,A131+1)</f>
        <v>38</v>
      </c>
      <c r="B132" s="290" t="s">
        <v>315</v>
      </c>
      <c r="C132" s="289" t="s">
        <v>2931</v>
      </c>
      <c r="D132" s="289">
        <v>180</v>
      </c>
      <c r="E132" s="291"/>
      <c r="F132" s="292">
        <v>0.21779527559055101</v>
      </c>
      <c r="G132" s="289"/>
      <c r="H132" s="289"/>
    </row>
    <row r="133" spans="1:8" x14ac:dyDescent="0.25">
      <c r="A133" s="91">
        <f t="shared" si="2"/>
        <v>39</v>
      </c>
      <c r="B133" s="53" t="s">
        <v>141</v>
      </c>
      <c r="C133" s="91" t="s">
        <v>2931</v>
      </c>
      <c r="D133" s="91">
        <v>180</v>
      </c>
      <c r="E133" s="269">
        <v>109.2</v>
      </c>
      <c r="F133" s="268">
        <v>0.28000000000000003</v>
      </c>
      <c r="G133" s="91"/>
      <c r="H133" s="91"/>
    </row>
    <row r="134" spans="1:8" x14ac:dyDescent="0.25">
      <c r="A134" s="91">
        <f t="shared" si="2"/>
        <v>39</v>
      </c>
      <c r="B134" s="53" t="s">
        <v>141</v>
      </c>
      <c r="C134" s="91" t="s">
        <v>2931</v>
      </c>
      <c r="D134" s="91">
        <v>60</v>
      </c>
      <c r="E134" s="269"/>
      <c r="F134" s="268">
        <v>0.28000000000000003</v>
      </c>
      <c r="G134" s="91"/>
      <c r="H134" s="91"/>
    </row>
    <row r="135" spans="1:8" x14ac:dyDescent="0.25">
      <c r="A135" s="91">
        <f t="shared" si="2"/>
        <v>39</v>
      </c>
      <c r="B135" s="53" t="s">
        <v>141</v>
      </c>
      <c r="C135" s="91" t="s">
        <v>2931</v>
      </c>
      <c r="D135" s="91">
        <v>60</v>
      </c>
      <c r="E135" s="269"/>
      <c r="F135" s="268">
        <v>0.28000000000000003</v>
      </c>
      <c r="G135" s="91"/>
      <c r="H135" s="91"/>
    </row>
    <row r="136" spans="1:8" s="3" customFormat="1" x14ac:dyDescent="0.25">
      <c r="A136" s="282">
        <f t="shared" si="2"/>
        <v>39</v>
      </c>
      <c r="B136" s="283" t="s">
        <v>141</v>
      </c>
      <c r="C136" s="282" t="s">
        <v>2931</v>
      </c>
      <c r="D136" s="282">
        <v>90</v>
      </c>
      <c r="E136" s="284"/>
      <c r="F136" s="285">
        <v>0.28000000000000003</v>
      </c>
      <c r="G136" s="282"/>
      <c r="H136" s="282"/>
    </row>
    <row r="137" spans="1:8" x14ac:dyDescent="0.25">
      <c r="A137" s="91">
        <f t="shared" si="2"/>
        <v>40</v>
      </c>
      <c r="B137" s="53" t="s">
        <v>150</v>
      </c>
      <c r="C137" s="91" t="s">
        <v>2931</v>
      </c>
      <c r="D137" s="91">
        <v>180</v>
      </c>
      <c r="E137" s="269">
        <v>117.6</v>
      </c>
      <c r="F137" s="268">
        <v>0.28000000000000003</v>
      </c>
      <c r="G137" s="91"/>
      <c r="H137" s="91"/>
    </row>
    <row r="138" spans="1:8" x14ac:dyDescent="0.25">
      <c r="A138" s="91">
        <f t="shared" si="2"/>
        <v>40</v>
      </c>
      <c r="B138" s="53" t="s">
        <v>150</v>
      </c>
      <c r="C138" s="91" t="s">
        <v>2931</v>
      </c>
      <c r="D138" s="91">
        <v>60</v>
      </c>
      <c r="E138" s="269"/>
      <c r="F138" s="268">
        <v>0.28000000000000003</v>
      </c>
      <c r="G138" s="91"/>
      <c r="H138" s="91"/>
    </row>
    <row r="139" spans="1:8" x14ac:dyDescent="0.25">
      <c r="A139" s="91">
        <f t="shared" si="2"/>
        <v>40</v>
      </c>
      <c r="B139" s="53" t="s">
        <v>150</v>
      </c>
      <c r="C139" s="91" t="s">
        <v>2931</v>
      </c>
      <c r="D139" s="91">
        <v>60</v>
      </c>
      <c r="E139" s="269"/>
      <c r="F139" s="268">
        <v>0.28000000000000003</v>
      </c>
      <c r="G139" s="91"/>
      <c r="H139" s="91"/>
    </row>
    <row r="140" spans="1:8" s="3" customFormat="1" x14ac:dyDescent="0.25">
      <c r="A140" s="282">
        <f t="shared" si="2"/>
        <v>40</v>
      </c>
      <c r="B140" s="283" t="s">
        <v>150</v>
      </c>
      <c r="C140" s="282" t="s">
        <v>2931</v>
      </c>
      <c r="D140" s="282">
        <v>120</v>
      </c>
      <c r="E140" s="284"/>
      <c r="F140" s="285">
        <v>0.28000000000000003</v>
      </c>
      <c r="G140" s="282"/>
      <c r="H140" s="282"/>
    </row>
    <row r="141" spans="1:8" x14ac:dyDescent="0.25">
      <c r="A141" s="91">
        <f t="shared" si="2"/>
        <v>41</v>
      </c>
      <c r="B141" s="53" t="s">
        <v>155</v>
      </c>
      <c r="C141" s="91" t="s">
        <v>2931</v>
      </c>
      <c r="D141" s="91">
        <v>150</v>
      </c>
      <c r="E141" s="269">
        <v>84</v>
      </c>
      <c r="F141" s="268">
        <v>0.28000000000000003</v>
      </c>
      <c r="G141" s="91"/>
      <c r="H141" s="91"/>
    </row>
    <row r="142" spans="1:8" x14ac:dyDescent="0.25">
      <c r="A142" s="91">
        <f t="shared" si="2"/>
        <v>41</v>
      </c>
      <c r="B142" s="53" t="s">
        <v>155</v>
      </c>
      <c r="C142" s="91" t="s">
        <v>2931</v>
      </c>
      <c r="D142" s="91">
        <v>30</v>
      </c>
      <c r="E142" s="269"/>
      <c r="F142" s="268">
        <v>0.28000000000000003</v>
      </c>
      <c r="G142" s="91"/>
      <c r="H142" s="91"/>
    </row>
    <row r="143" spans="1:8" x14ac:dyDescent="0.25">
      <c r="A143" s="91">
        <f t="shared" si="2"/>
        <v>41</v>
      </c>
      <c r="B143" s="53" t="s">
        <v>155</v>
      </c>
      <c r="C143" s="91" t="s">
        <v>2931</v>
      </c>
      <c r="D143" s="91">
        <v>30</v>
      </c>
      <c r="E143" s="269"/>
      <c r="F143" s="268">
        <v>0.28000000000000003</v>
      </c>
      <c r="G143" s="91"/>
      <c r="H143" s="91"/>
    </row>
    <row r="144" spans="1:8" s="3" customFormat="1" x14ac:dyDescent="0.25">
      <c r="A144" s="282">
        <f t="shared" si="2"/>
        <v>41</v>
      </c>
      <c r="B144" s="283" t="s">
        <v>155</v>
      </c>
      <c r="C144" s="282" t="s">
        <v>2931</v>
      </c>
      <c r="D144" s="282">
        <v>90</v>
      </c>
      <c r="E144" s="284"/>
      <c r="F144" s="285">
        <v>0.28000000000000003</v>
      </c>
      <c r="G144" s="282"/>
      <c r="H144" s="282"/>
    </row>
    <row r="145" spans="1:8" x14ac:dyDescent="0.25">
      <c r="A145" s="91">
        <f t="shared" si="2"/>
        <v>42</v>
      </c>
      <c r="B145" s="53" t="s">
        <v>480</v>
      </c>
      <c r="C145" s="91" t="s">
        <v>2931</v>
      </c>
      <c r="D145" s="91">
        <v>300</v>
      </c>
      <c r="E145" s="269">
        <v>628.4</v>
      </c>
      <c r="F145" s="268">
        <v>0.41342105263157902</v>
      </c>
      <c r="G145" s="91"/>
      <c r="H145" s="91"/>
    </row>
    <row r="146" spans="1:8" x14ac:dyDescent="0.25">
      <c r="A146" s="91">
        <f t="shared" si="2"/>
        <v>42</v>
      </c>
      <c r="B146" s="53" t="s">
        <v>480</v>
      </c>
      <c r="C146" s="91" t="s">
        <v>2931</v>
      </c>
      <c r="D146" s="91">
        <v>600</v>
      </c>
      <c r="E146" s="269"/>
      <c r="F146" s="268">
        <v>0.41342105263157902</v>
      </c>
      <c r="G146" s="91"/>
      <c r="H146" s="91"/>
    </row>
    <row r="147" spans="1:8" x14ac:dyDescent="0.25">
      <c r="A147" s="91">
        <f t="shared" si="2"/>
        <v>42</v>
      </c>
      <c r="B147" s="53" t="s">
        <v>480</v>
      </c>
      <c r="C147" s="91" t="s">
        <v>2931</v>
      </c>
      <c r="D147" s="91">
        <v>200</v>
      </c>
      <c r="E147" s="269"/>
      <c r="F147" s="268">
        <v>0.41342105263157902</v>
      </c>
      <c r="G147" s="91"/>
      <c r="H147" s="91"/>
    </row>
    <row r="148" spans="1:8" x14ac:dyDescent="0.25">
      <c r="A148" s="91">
        <f t="shared" si="2"/>
        <v>42</v>
      </c>
      <c r="B148" s="53" t="s">
        <v>480</v>
      </c>
      <c r="C148" s="91" t="s">
        <v>2931</v>
      </c>
      <c r="D148" s="91">
        <v>120</v>
      </c>
      <c r="E148" s="269"/>
      <c r="F148" s="268">
        <v>0.41342105263157902</v>
      </c>
      <c r="G148" s="91"/>
      <c r="H148" s="91"/>
    </row>
    <row r="149" spans="1:8" x14ac:dyDescent="0.25">
      <c r="A149" s="91">
        <f t="shared" si="2"/>
        <v>42</v>
      </c>
      <c r="B149" s="53" t="s">
        <v>480</v>
      </c>
      <c r="C149" s="91" t="s">
        <v>2931</v>
      </c>
      <c r="D149" s="91">
        <v>60</v>
      </c>
      <c r="E149" s="269"/>
      <c r="F149" s="268">
        <v>0.41342105263157902</v>
      </c>
      <c r="G149" s="91"/>
      <c r="H149" s="91"/>
    </row>
    <row r="150" spans="1:8" s="3" customFormat="1" x14ac:dyDescent="0.25">
      <c r="A150" s="282">
        <f t="shared" si="2"/>
        <v>42</v>
      </c>
      <c r="B150" s="283" t="s">
        <v>480</v>
      </c>
      <c r="C150" s="282" t="s">
        <v>2931</v>
      </c>
      <c r="D150" s="282">
        <v>240</v>
      </c>
      <c r="E150" s="284"/>
      <c r="F150" s="285">
        <v>0.41342105263157902</v>
      </c>
      <c r="G150" s="282"/>
      <c r="H150" s="282"/>
    </row>
    <row r="151" spans="1:8" x14ac:dyDescent="0.25">
      <c r="A151" s="91">
        <f t="shared" si="2"/>
        <v>43</v>
      </c>
      <c r="B151" s="53" t="s">
        <v>507</v>
      </c>
      <c r="C151" s="91" t="s">
        <v>2931</v>
      </c>
      <c r="D151" s="91">
        <v>160</v>
      </c>
      <c r="E151" s="269">
        <v>361.3</v>
      </c>
      <c r="F151" s="268">
        <v>0.42505882352941199</v>
      </c>
      <c r="G151" s="91"/>
      <c r="H151" s="91"/>
    </row>
    <row r="152" spans="1:8" x14ac:dyDescent="0.25">
      <c r="A152" s="91">
        <f t="shared" si="2"/>
        <v>43</v>
      </c>
      <c r="B152" s="53" t="s">
        <v>507</v>
      </c>
      <c r="C152" s="91" t="s">
        <v>2931</v>
      </c>
      <c r="D152" s="91">
        <v>150</v>
      </c>
      <c r="E152" s="269"/>
      <c r="F152" s="268">
        <v>0.42505882352941199</v>
      </c>
      <c r="G152" s="91"/>
      <c r="H152" s="91"/>
    </row>
    <row r="153" spans="1:8" x14ac:dyDescent="0.25">
      <c r="A153" s="91">
        <f t="shared" si="2"/>
        <v>43</v>
      </c>
      <c r="B153" s="53" t="s">
        <v>507</v>
      </c>
      <c r="C153" s="91" t="s">
        <v>2931</v>
      </c>
      <c r="D153" s="91">
        <v>180</v>
      </c>
      <c r="E153" s="269"/>
      <c r="F153" s="268">
        <v>0.42505882352941199</v>
      </c>
      <c r="G153" s="91"/>
      <c r="H153" s="91"/>
    </row>
    <row r="154" spans="1:8" x14ac:dyDescent="0.25">
      <c r="A154" s="91">
        <f t="shared" si="2"/>
        <v>43</v>
      </c>
      <c r="B154" s="53" t="s">
        <v>507</v>
      </c>
      <c r="C154" s="91" t="s">
        <v>2931</v>
      </c>
      <c r="D154" s="91">
        <v>90</v>
      </c>
      <c r="E154" s="269"/>
      <c r="F154" s="268">
        <v>0.42505882352941199</v>
      </c>
      <c r="G154" s="91"/>
      <c r="H154" s="91"/>
    </row>
    <row r="155" spans="1:8" s="3" customFormat="1" x14ac:dyDescent="0.25">
      <c r="A155" s="282">
        <f t="shared" si="2"/>
        <v>43</v>
      </c>
      <c r="B155" s="283" t="s">
        <v>507</v>
      </c>
      <c r="C155" s="282" t="s">
        <v>2931</v>
      </c>
      <c r="D155" s="282">
        <v>270</v>
      </c>
      <c r="E155" s="284"/>
      <c r="F155" s="285">
        <v>0.42505882352941199</v>
      </c>
      <c r="G155" s="282"/>
      <c r="H155" s="282"/>
    </row>
    <row r="156" spans="1:8" x14ac:dyDescent="0.25">
      <c r="A156" s="91">
        <f t="shared" si="2"/>
        <v>44</v>
      </c>
      <c r="B156" s="53" t="s">
        <v>513</v>
      </c>
      <c r="C156" s="91" t="s">
        <v>2928</v>
      </c>
      <c r="D156" s="91">
        <v>120</v>
      </c>
      <c r="E156" s="269">
        <v>110.7</v>
      </c>
      <c r="F156" s="268">
        <v>0.41</v>
      </c>
      <c r="G156" s="91"/>
      <c r="H156" s="91"/>
    </row>
    <row r="157" spans="1:8" x14ac:dyDescent="0.25">
      <c r="A157" s="91">
        <f t="shared" si="2"/>
        <v>44</v>
      </c>
      <c r="B157" s="53" t="s">
        <v>513</v>
      </c>
      <c r="C157" s="91" t="s">
        <v>2928</v>
      </c>
      <c r="D157" s="91">
        <v>60</v>
      </c>
      <c r="E157" s="269"/>
      <c r="F157" s="268">
        <v>0.41</v>
      </c>
      <c r="G157" s="91"/>
      <c r="H157" s="91"/>
    </row>
    <row r="158" spans="1:8" s="3" customFormat="1" x14ac:dyDescent="0.25">
      <c r="A158" s="282">
        <f t="shared" si="2"/>
        <v>44</v>
      </c>
      <c r="B158" s="283" t="s">
        <v>513</v>
      </c>
      <c r="C158" s="282" t="s">
        <v>2928</v>
      </c>
      <c r="D158" s="282">
        <v>90</v>
      </c>
      <c r="E158" s="284"/>
      <c r="F158" s="285">
        <v>0.41</v>
      </c>
      <c r="G158" s="282"/>
      <c r="H158" s="282"/>
    </row>
    <row r="159" spans="1:8" x14ac:dyDescent="0.25">
      <c r="A159" s="91">
        <f t="shared" si="2"/>
        <v>45</v>
      </c>
      <c r="B159" s="53" t="s">
        <v>490</v>
      </c>
      <c r="C159" s="91" t="s">
        <v>2928</v>
      </c>
      <c r="D159" s="91">
        <v>90</v>
      </c>
      <c r="E159" s="269">
        <v>322.10000000000002</v>
      </c>
      <c r="F159" s="268">
        <v>0.388072289156627</v>
      </c>
      <c r="G159" s="91"/>
      <c r="H159" s="91"/>
    </row>
    <row r="160" spans="1:8" x14ac:dyDescent="0.25">
      <c r="A160" s="91">
        <f t="shared" si="2"/>
        <v>45</v>
      </c>
      <c r="B160" s="53" t="s">
        <v>490</v>
      </c>
      <c r="C160" s="91" t="s">
        <v>2928</v>
      </c>
      <c r="D160" s="91">
        <v>300</v>
      </c>
      <c r="E160" s="269"/>
      <c r="F160" s="268">
        <v>0.388072289156627</v>
      </c>
      <c r="G160" s="91"/>
      <c r="H160" s="91"/>
    </row>
    <row r="161" spans="1:8" x14ac:dyDescent="0.25">
      <c r="A161" s="91">
        <f t="shared" si="2"/>
        <v>45</v>
      </c>
      <c r="B161" s="53" t="s">
        <v>490</v>
      </c>
      <c r="C161" s="91" t="s">
        <v>2928</v>
      </c>
      <c r="D161" s="91">
        <v>90</v>
      </c>
      <c r="E161" s="269"/>
      <c r="F161" s="268">
        <v>0.388072289156627</v>
      </c>
      <c r="G161" s="91"/>
      <c r="H161" s="91"/>
    </row>
    <row r="162" spans="1:8" x14ac:dyDescent="0.25">
      <c r="A162" s="91">
        <f t="shared" si="2"/>
        <v>45</v>
      </c>
      <c r="B162" s="53" t="s">
        <v>490</v>
      </c>
      <c r="C162" s="91" t="s">
        <v>2928</v>
      </c>
      <c r="D162" s="91">
        <v>200</v>
      </c>
      <c r="E162" s="269"/>
      <c r="F162" s="268">
        <v>0.388072289156627</v>
      </c>
      <c r="G162" s="91"/>
      <c r="H162" s="91"/>
    </row>
    <row r="163" spans="1:8" x14ac:dyDescent="0.25">
      <c r="A163" s="91">
        <f t="shared" si="2"/>
        <v>45</v>
      </c>
      <c r="B163" s="53" t="s">
        <v>490</v>
      </c>
      <c r="C163" s="91" t="s">
        <v>2928</v>
      </c>
      <c r="D163" s="91">
        <v>90</v>
      </c>
      <c r="E163" s="269"/>
      <c r="F163" s="268">
        <v>0.388072289156627</v>
      </c>
      <c r="G163" s="91"/>
      <c r="H163" s="91"/>
    </row>
    <row r="164" spans="1:8" s="3" customFormat="1" x14ac:dyDescent="0.25">
      <c r="A164" s="282">
        <f t="shared" si="2"/>
        <v>45</v>
      </c>
      <c r="B164" s="283" t="s">
        <v>490</v>
      </c>
      <c r="C164" s="282" t="s">
        <v>2928</v>
      </c>
      <c r="D164" s="282">
        <v>60</v>
      </c>
      <c r="E164" s="284"/>
      <c r="F164" s="285">
        <v>0.388072289156627</v>
      </c>
      <c r="G164" s="282"/>
      <c r="H164" s="282"/>
    </row>
    <row r="165" spans="1:8" x14ac:dyDescent="0.25">
      <c r="A165" s="91">
        <f t="shared" si="2"/>
        <v>46</v>
      </c>
      <c r="B165" s="53" t="s">
        <v>498</v>
      </c>
      <c r="C165" s="91" t="s">
        <v>2928</v>
      </c>
      <c r="D165" s="91">
        <v>378</v>
      </c>
      <c r="E165" s="269">
        <v>388.08</v>
      </c>
      <c r="F165" s="268">
        <v>0.49</v>
      </c>
      <c r="G165" s="91"/>
      <c r="H165" s="91"/>
    </row>
    <row r="166" spans="1:8" s="3" customFormat="1" x14ac:dyDescent="0.25">
      <c r="A166" s="282">
        <f t="shared" si="2"/>
        <v>46</v>
      </c>
      <c r="B166" s="283" t="s">
        <v>498</v>
      </c>
      <c r="C166" s="282" t="s">
        <v>2928</v>
      </c>
      <c r="D166" s="282">
        <v>414</v>
      </c>
      <c r="E166" s="284"/>
      <c r="F166" s="285">
        <v>0.49</v>
      </c>
      <c r="G166" s="282"/>
      <c r="H166" s="282"/>
    </row>
    <row r="167" spans="1:8" x14ac:dyDescent="0.25">
      <c r="A167" s="91">
        <f t="shared" si="2"/>
        <v>47</v>
      </c>
      <c r="B167" s="53" t="s">
        <v>501</v>
      </c>
      <c r="C167" s="91" t="s">
        <v>2931</v>
      </c>
      <c r="D167" s="91">
        <v>490</v>
      </c>
      <c r="E167" s="269">
        <v>297.16000000000003</v>
      </c>
      <c r="F167" s="268">
        <v>0.34</v>
      </c>
      <c r="G167" s="91"/>
      <c r="H167" s="91"/>
    </row>
    <row r="168" spans="1:8" s="3" customFormat="1" x14ac:dyDescent="0.25">
      <c r="A168" s="282">
        <f t="shared" si="2"/>
        <v>47</v>
      </c>
      <c r="B168" s="283" t="s">
        <v>501</v>
      </c>
      <c r="C168" s="282" t="s">
        <v>2931</v>
      </c>
      <c r="D168" s="282">
        <v>384</v>
      </c>
      <c r="E168" s="284"/>
      <c r="F168" s="285">
        <v>0.34</v>
      </c>
      <c r="G168" s="282"/>
      <c r="H168" s="282"/>
    </row>
    <row r="169" spans="1:8" x14ac:dyDescent="0.25">
      <c r="A169" s="91">
        <f t="shared" si="2"/>
        <v>48</v>
      </c>
      <c r="B169" s="53" t="s">
        <v>517</v>
      </c>
      <c r="C169" s="91" t="s">
        <v>2931</v>
      </c>
      <c r="D169" s="91">
        <v>156</v>
      </c>
      <c r="E169" s="269">
        <v>119.28</v>
      </c>
      <c r="F169" s="268">
        <v>0.28000000000000003</v>
      </c>
      <c r="G169" s="91"/>
      <c r="H169" s="91"/>
    </row>
    <row r="170" spans="1:8" x14ac:dyDescent="0.25">
      <c r="A170" s="91">
        <f t="shared" si="2"/>
        <v>48</v>
      </c>
      <c r="B170" s="53" t="s">
        <v>517</v>
      </c>
      <c r="C170" s="91" t="s">
        <v>2931</v>
      </c>
      <c r="D170" s="91">
        <v>120</v>
      </c>
      <c r="E170" s="269"/>
      <c r="F170" s="268">
        <v>0.28000000000000003</v>
      </c>
      <c r="G170" s="91"/>
      <c r="H170" s="91"/>
    </row>
    <row r="171" spans="1:8" x14ac:dyDescent="0.25">
      <c r="A171" s="91">
        <f t="shared" si="2"/>
        <v>48</v>
      </c>
      <c r="B171" s="53" t="s">
        <v>517</v>
      </c>
      <c r="C171" s="91" t="s">
        <v>2931</v>
      </c>
      <c r="D171" s="91">
        <v>90</v>
      </c>
      <c r="E171" s="269"/>
      <c r="F171" s="268">
        <v>0.28000000000000003</v>
      </c>
      <c r="G171" s="91"/>
      <c r="H171" s="91"/>
    </row>
    <row r="172" spans="1:8" s="3" customFormat="1" x14ac:dyDescent="0.25">
      <c r="A172" s="282">
        <f t="shared" si="2"/>
        <v>48</v>
      </c>
      <c r="B172" s="283" t="s">
        <v>517</v>
      </c>
      <c r="C172" s="282" t="s">
        <v>2931</v>
      </c>
      <c r="D172" s="282">
        <v>60</v>
      </c>
      <c r="E172" s="284"/>
      <c r="F172" s="285">
        <v>0.28000000000000003</v>
      </c>
      <c r="G172" s="282"/>
      <c r="H172" s="282"/>
    </row>
    <row r="173" spans="1:8" x14ac:dyDescent="0.25">
      <c r="A173" s="91">
        <f t="shared" si="2"/>
        <v>49</v>
      </c>
      <c r="B173" s="53" t="s">
        <v>524</v>
      </c>
      <c r="C173" s="91" t="s">
        <v>2928</v>
      </c>
      <c r="D173" s="91">
        <v>690</v>
      </c>
      <c r="E173" s="269">
        <v>336.6</v>
      </c>
      <c r="F173" s="268">
        <v>0.34</v>
      </c>
      <c r="G173" s="91"/>
      <c r="H173" s="91"/>
    </row>
    <row r="174" spans="1:8" s="3" customFormat="1" x14ac:dyDescent="0.25">
      <c r="A174" s="282">
        <f t="shared" si="2"/>
        <v>49</v>
      </c>
      <c r="B174" s="283" t="s">
        <v>524</v>
      </c>
      <c r="C174" s="282" t="s">
        <v>2928</v>
      </c>
      <c r="D174" s="282">
        <v>300</v>
      </c>
      <c r="E174" s="284"/>
      <c r="F174" s="285">
        <v>0.34</v>
      </c>
      <c r="G174" s="282"/>
      <c r="H174" s="282"/>
    </row>
    <row r="175" spans="1:8" x14ac:dyDescent="0.25">
      <c r="A175" s="91">
        <f t="shared" si="2"/>
        <v>50</v>
      </c>
      <c r="B175" s="53" t="s">
        <v>539</v>
      </c>
      <c r="C175" s="91" t="s">
        <v>2931</v>
      </c>
      <c r="D175" s="91">
        <v>300</v>
      </c>
      <c r="E175" s="269">
        <v>1143.9000000000001</v>
      </c>
      <c r="F175" s="268">
        <v>0.41</v>
      </c>
      <c r="G175" s="91"/>
      <c r="H175" s="91"/>
    </row>
    <row r="176" spans="1:8" x14ac:dyDescent="0.25">
      <c r="A176" s="91">
        <f t="shared" si="2"/>
        <v>50</v>
      </c>
      <c r="B176" s="53" t="s">
        <v>539</v>
      </c>
      <c r="C176" s="91" t="s">
        <v>2931</v>
      </c>
      <c r="D176" s="91">
        <v>180</v>
      </c>
      <c r="E176" s="269"/>
      <c r="F176" s="268">
        <v>0.41</v>
      </c>
      <c r="G176" s="91"/>
      <c r="H176" s="91"/>
    </row>
    <row r="177" spans="1:8" x14ac:dyDescent="0.25">
      <c r="A177" s="91">
        <f t="shared" si="2"/>
        <v>50</v>
      </c>
      <c r="B177" s="53" t="s">
        <v>539</v>
      </c>
      <c r="C177" s="91" t="s">
        <v>2931</v>
      </c>
      <c r="D177" s="91">
        <v>300</v>
      </c>
      <c r="E177" s="269"/>
      <c r="F177" s="268">
        <v>0.41</v>
      </c>
      <c r="G177" s="91"/>
      <c r="H177" s="91"/>
    </row>
    <row r="178" spans="1:8" x14ac:dyDescent="0.25">
      <c r="A178" s="91">
        <f t="shared" si="2"/>
        <v>50</v>
      </c>
      <c r="B178" s="53" t="s">
        <v>539</v>
      </c>
      <c r="C178" s="91" t="s">
        <v>2931</v>
      </c>
      <c r="D178" s="91">
        <v>90</v>
      </c>
      <c r="E178" s="269"/>
      <c r="F178" s="268">
        <v>0.41</v>
      </c>
      <c r="G178" s="91"/>
      <c r="H178" s="91"/>
    </row>
    <row r="179" spans="1:8" x14ac:dyDescent="0.25">
      <c r="A179" s="91">
        <f t="shared" si="2"/>
        <v>50</v>
      </c>
      <c r="B179" s="53" t="s">
        <v>539</v>
      </c>
      <c r="C179" s="91" t="s">
        <v>2931</v>
      </c>
      <c r="D179" s="91">
        <v>120</v>
      </c>
      <c r="E179" s="269"/>
      <c r="F179" s="268">
        <v>0.41</v>
      </c>
      <c r="G179" s="91"/>
      <c r="H179" s="91"/>
    </row>
    <row r="180" spans="1:8" x14ac:dyDescent="0.25">
      <c r="A180" s="91">
        <f t="shared" si="2"/>
        <v>50</v>
      </c>
      <c r="B180" s="53" t="s">
        <v>539</v>
      </c>
      <c r="C180" s="91" t="s">
        <v>2931</v>
      </c>
      <c r="D180" s="91">
        <v>1530</v>
      </c>
      <c r="E180" s="269"/>
      <c r="F180" s="268">
        <v>0.41</v>
      </c>
      <c r="G180" s="91"/>
      <c r="H180" s="91"/>
    </row>
    <row r="181" spans="1:8" s="3" customFormat="1" x14ac:dyDescent="0.25">
      <c r="A181" s="282">
        <f t="shared" si="2"/>
        <v>50</v>
      </c>
      <c r="B181" s="283" t="s">
        <v>539</v>
      </c>
      <c r="C181" s="282" t="s">
        <v>2931</v>
      </c>
      <c r="D181" s="282">
        <v>270</v>
      </c>
      <c r="E181" s="284"/>
      <c r="F181" s="285">
        <v>0.41</v>
      </c>
      <c r="G181" s="282"/>
      <c r="H181" s="282"/>
    </row>
    <row r="182" spans="1:8" x14ac:dyDescent="0.25">
      <c r="A182" s="91">
        <f t="shared" si="2"/>
        <v>51</v>
      </c>
      <c r="B182" s="53" t="s">
        <v>548</v>
      </c>
      <c r="C182" s="91" t="s">
        <v>2929</v>
      </c>
      <c r="D182" s="91">
        <v>160</v>
      </c>
      <c r="E182" s="269">
        <v>101.92</v>
      </c>
      <c r="F182" s="268">
        <v>0.49</v>
      </c>
      <c r="G182" s="91"/>
      <c r="H182" s="91"/>
    </row>
    <row r="183" spans="1:8" s="3" customFormat="1" x14ac:dyDescent="0.25">
      <c r="A183" s="282">
        <f t="shared" si="2"/>
        <v>51</v>
      </c>
      <c r="B183" s="283" t="s">
        <v>548</v>
      </c>
      <c r="C183" s="282" t="s">
        <v>2929</v>
      </c>
      <c r="D183" s="282">
        <v>48</v>
      </c>
      <c r="E183" s="284"/>
      <c r="F183" s="285">
        <v>0.49</v>
      </c>
      <c r="G183" s="282"/>
      <c r="H183" s="282"/>
    </row>
    <row r="184" spans="1:8" x14ac:dyDescent="0.25">
      <c r="A184" s="91">
        <f t="shared" si="2"/>
        <v>52</v>
      </c>
      <c r="B184" s="53" t="s">
        <v>619</v>
      </c>
      <c r="C184" s="91" t="s">
        <v>2930</v>
      </c>
      <c r="D184" s="91">
        <v>140</v>
      </c>
      <c r="E184" s="269">
        <v>142.80000000000001</v>
      </c>
      <c r="F184" s="268">
        <v>0.34</v>
      </c>
      <c r="G184" s="91"/>
      <c r="H184" s="91"/>
    </row>
    <row r="185" spans="1:8" s="3" customFormat="1" x14ac:dyDescent="0.25">
      <c r="A185" s="282">
        <f t="shared" si="2"/>
        <v>52</v>
      </c>
      <c r="B185" s="283" t="s">
        <v>619</v>
      </c>
      <c r="C185" s="282" t="s">
        <v>2930</v>
      </c>
      <c r="D185" s="282">
        <v>280</v>
      </c>
      <c r="E185" s="284"/>
      <c r="F185" s="285">
        <v>0.34</v>
      </c>
      <c r="G185" s="282"/>
      <c r="H185" s="282"/>
    </row>
    <row r="186" spans="1:8" x14ac:dyDescent="0.25">
      <c r="A186" s="91">
        <f t="shared" si="2"/>
        <v>53</v>
      </c>
      <c r="B186" s="53" t="s">
        <v>622</v>
      </c>
      <c r="C186" s="91" t="s">
        <v>2931</v>
      </c>
      <c r="D186" s="91">
        <v>420</v>
      </c>
      <c r="E186" s="269">
        <v>208.08</v>
      </c>
      <c r="F186" s="268">
        <v>0.34</v>
      </c>
      <c r="G186" s="91"/>
      <c r="H186" s="91"/>
    </row>
    <row r="187" spans="1:8" s="3" customFormat="1" x14ac:dyDescent="0.25">
      <c r="A187" s="282">
        <f t="shared" si="2"/>
        <v>53</v>
      </c>
      <c r="B187" s="283" t="s">
        <v>622</v>
      </c>
      <c r="C187" s="282" t="s">
        <v>2931</v>
      </c>
      <c r="D187" s="282">
        <v>192</v>
      </c>
      <c r="E187" s="284"/>
      <c r="F187" s="285">
        <v>0.34</v>
      </c>
      <c r="G187" s="282"/>
      <c r="H187" s="282"/>
    </row>
    <row r="188" spans="1:8" x14ac:dyDescent="0.25">
      <c r="A188" s="91">
        <f t="shared" si="2"/>
        <v>54</v>
      </c>
      <c r="B188" s="53" t="s">
        <v>604</v>
      </c>
      <c r="C188" s="91" t="s">
        <v>2931</v>
      </c>
      <c r="D188" s="91">
        <v>496</v>
      </c>
      <c r="E188" s="91">
        <v>1479.66</v>
      </c>
      <c r="F188" s="268">
        <v>0.42251856082238698</v>
      </c>
      <c r="G188" s="91"/>
      <c r="H188" s="91"/>
    </row>
    <row r="189" spans="1:8" x14ac:dyDescent="0.25">
      <c r="A189" s="91">
        <f t="shared" si="2"/>
        <v>54</v>
      </c>
      <c r="B189" s="53" t="s">
        <v>604</v>
      </c>
      <c r="C189" s="91" t="s">
        <v>2931</v>
      </c>
      <c r="D189" s="91">
        <v>210</v>
      </c>
      <c r="E189" s="269"/>
      <c r="F189" s="268">
        <v>0.42251856082238698</v>
      </c>
      <c r="G189" s="91"/>
      <c r="H189" s="91"/>
    </row>
    <row r="190" spans="1:8" x14ac:dyDescent="0.25">
      <c r="A190" s="91">
        <f t="shared" si="2"/>
        <v>54</v>
      </c>
      <c r="B190" s="53" t="s">
        <v>604</v>
      </c>
      <c r="C190" s="91" t="s">
        <v>2931</v>
      </c>
      <c r="D190" s="91">
        <v>240</v>
      </c>
      <c r="E190" s="269"/>
      <c r="F190" s="268">
        <v>0.42251856082238698</v>
      </c>
      <c r="G190" s="91"/>
      <c r="H190" s="91"/>
    </row>
    <row r="191" spans="1:8" x14ac:dyDescent="0.25">
      <c r="A191" s="91">
        <f t="shared" si="2"/>
        <v>54</v>
      </c>
      <c r="B191" s="53" t="s">
        <v>604</v>
      </c>
      <c r="C191" s="91" t="s">
        <v>2931</v>
      </c>
      <c r="D191" s="91">
        <v>1080</v>
      </c>
      <c r="E191" s="269"/>
      <c r="F191" s="268">
        <v>0.42251856082238698</v>
      </c>
      <c r="G191" s="91"/>
      <c r="H191" s="91"/>
    </row>
    <row r="192" spans="1:8" x14ac:dyDescent="0.25">
      <c r="A192" s="91">
        <f t="shared" si="2"/>
        <v>54</v>
      </c>
      <c r="B192" s="53" t="s">
        <v>604</v>
      </c>
      <c r="C192" s="91" t="s">
        <v>2931</v>
      </c>
      <c r="D192" s="91">
        <v>300</v>
      </c>
      <c r="E192" s="269"/>
      <c r="F192" s="268">
        <v>0.42251856082238698</v>
      </c>
      <c r="G192" s="91"/>
      <c r="H192" s="91"/>
    </row>
    <row r="193" spans="1:8" x14ac:dyDescent="0.25">
      <c r="A193" s="91">
        <f t="shared" si="2"/>
        <v>54</v>
      </c>
      <c r="B193" s="53" t="s">
        <v>604</v>
      </c>
      <c r="C193" s="91" t="s">
        <v>2931</v>
      </c>
      <c r="D193" s="91">
        <v>330</v>
      </c>
      <c r="E193" s="269"/>
      <c r="F193" s="268">
        <v>0.42251856082238698</v>
      </c>
      <c r="G193" s="91"/>
      <c r="H193" s="91"/>
    </row>
    <row r="194" spans="1:8" x14ac:dyDescent="0.25">
      <c r="A194" s="91">
        <f t="shared" si="2"/>
        <v>54</v>
      </c>
      <c r="B194" s="53" t="s">
        <v>604</v>
      </c>
      <c r="C194" s="91" t="s">
        <v>2931</v>
      </c>
      <c r="D194" s="91">
        <v>450</v>
      </c>
      <c r="E194" s="269"/>
      <c r="F194" s="268">
        <v>0.42251856082238698</v>
      </c>
      <c r="G194" s="91"/>
      <c r="H194" s="91"/>
    </row>
    <row r="195" spans="1:8" x14ac:dyDescent="0.25">
      <c r="A195" s="91">
        <f t="shared" si="2"/>
        <v>54</v>
      </c>
      <c r="B195" s="53" t="s">
        <v>604</v>
      </c>
      <c r="C195" s="91" t="s">
        <v>2931</v>
      </c>
      <c r="D195" s="91">
        <v>52</v>
      </c>
      <c r="E195" s="269"/>
      <c r="F195" s="268">
        <v>0.42251856082238698</v>
      </c>
      <c r="G195" s="91"/>
      <c r="H195" s="91"/>
    </row>
    <row r="196" spans="1:8" s="3" customFormat="1" x14ac:dyDescent="0.25">
      <c r="A196" s="282">
        <f t="shared" ref="A196:A259" si="3">IF(B196=B195,A195,A195+1)</f>
        <v>54</v>
      </c>
      <c r="B196" s="283" t="s">
        <v>604</v>
      </c>
      <c r="C196" s="282" t="s">
        <v>2931</v>
      </c>
      <c r="D196" s="282">
        <v>344</v>
      </c>
      <c r="E196" s="284"/>
      <c r="F196" s="285">
        <v>0.42251856082238698</v>
      </c>
      <c r="G196" s="282"/>
      <c r="H196" s="282"/>
    </row>
    <row r="197" spans="1:8" x14ac:dyDescent="0.25">
      <c r="A197" s="91">
        <f t="shared" si="3"/>
        <v>55</v>
      </c>
      <c r="B197" s="53" t="s">
        <v>639</v>
      </c>
      <c r="C197" s="91" t="s">
        <v>2931</v>
      </c>
      <c r="D197" s="91">
        <v>180</v>
      </c>
      <c r="E197" s="269">
        <v>627.29999999999995</v>
      </c>
      <c r="F197" s="268">
        <v>0.41</v>
      </c>
      <c r="G197" s="91"/>
      <c r="H197" s="91"/>
    </row>
    <row r="198" spans="1:8" x14ac:dyDescent="0.25">
      <c r="A198" s="91">
        <f t="shared" si="3"/>
        <v>55</v>
      </c>
      <c r="B198" s="53" t="s">
        <v>639</v>
      </c>
      <c r="C198" s="91" t="s">
        <v>2931</v>
      </c>
      <c r="D198" s="91">
        <v>240</v>
      </c>
      <c r="E198" s="269"/>
      <c r="F198" s="268">
        <v>0.41</v>
      </c>
      <c r="G198" s="91"/>
      <c r="H198" s="91"/>
    </row>
    <row r="199" spans="1:8" x14ac:dyDescent="0.25">
      <c r="A199" s="91">
        <f t="shared" si="3"/>
        <v>55</v>
      </c>
      <c r="B199" s="53" t="s">
        <v>639</v>
      </c>
      <c r="C199" s="91" t="s">
        <v>2931</v>
      </c>
      <c r="D199" s="91">
        <v>390</v>
      </c>
      <c r="E199" s="269"/>
      <c r="F199" s="268">
        <v>0.41</v>
      </c>
      <c r="G199" s="91"/>
      <c r="H199" s="91"/>
    </row>
    <row r="200" spans="1:8" x14ac:dyDescent="0.25">
      <c r="A200" s="91">
        <f t="shared" si="3"/>
        <v>55</v>
      </c>
      <c r="B200" s="53" t="s">
        <v>639</v>
      </c>
      <c r="C200" s="91" t="s">
        <v>2931</v>
      </c>
      <c r="D200" s="91">
        <v>420</v>
      </c>
      <c r="E200" s="269"/>
      <c r="F200" s="268">
        <v>0.41</v>
      </c>
      <c r="G200" s="91"/>
      <c r="H200" s="91"/>
    </row>
    <row r="201" spans="1:8" x14ac:dyDescent="0.25">
      <c r="A201" s="91">
        <f t="shared" si="3"/>
        <v>55</v>
      </c>
      <c r="B201" s="53" t="s">
        <v>639</v>
      </c>
      <c r="C201" s="91" t="s">
        <v>2931</v>
      </c>
      <c r="D201" s="91">
        <v>90</v>
      </c>
      <c r="E201" s="269"/>
      <c r="F201" s="268">
        <v>0.41</v>
      </c>
      <c r="G201" s="91"/>
      <c r="H201" s="91"/>
    </row>
    <row r="202" spans="1:8" s="3" customFormat="1" x14ac:dyDescent="0.25">
      <c r="A202" s="282">
        <f t="shared" si="3"/>
        <v>55</v>
      </c>
      <c r="B202" s="283" t="s">
        <v>639</v>
      </c>
      <c r="C202" s="282" t="s">
        <v>2931</v>
      </c>
      <c r="D202" s="282">
        <v>210</v>
      </c>
      <c r="E202" s="284"/>
      <c r="F202" s="285">
        <v>0.41</v>
      </c>
      <c r="G202" s="282"/>
      <c r="H202" s="282"/>
    </row>
    <row r="203" spans="1:8" x14ac:dyDescent="0.25">
      <c r="A203" s="91">
        <f t="shared" si="3"/>
        <v>56</v>
      </c>
      <c r="B203" s="53" t="s">
        <v>646</v>
      </c>
      <c r="C203" s="91" t="s">
        <v>2931</v>
      </c>
      <c r="D203" s="91">
        <v>450</v>
      </c>
      <c r="E203" s="269">
        <v>397.8</v>
      </c>
      <c r="F203" s="268">
        <v>0.34</v>
      </c>
      <c r="G203" s="91"/>
      <c r="H203" s="91"/>
    </row>
    <row r="204" spans="1:8" x14ac:dyDescent="0.25">
      <c r="A204" s="91">
        <f t="shared" si="3"/>
        <v>56</v>
      </c>
      <c r="B204" s="53" t="s">
        <v>646</v>
      </c>
      <c r="C204" s="91" t="s">
        <v>2931</v>
      </c>
      <c r="D204" s="91">
        <v>180</v>
      </c>
      <c r="E204" s="269"/>
      <c r="F204" s="268">
        <v>0.34</v>
      </c>
      <c r="G204" s="91"/>
      <c r="H204" s="91"/>
    </row>
    <row r="205" spans="1:8" x14ac:dyDescent="0.25">
      <c r="A205" s="91">
        <f t="shared" si="3"/>
        <v>56</v>
      </c>
      <c r="B205" s="53" t="s">
        <v>646</v>
      </c>
      <c r="C205" s="91" t="s">
        <v>2931</v>
      </c>
      <c r="D205" s="91">
        <v>360</v>
      </c>
      <c r="E205" s="269"/>
      <c r="F205" s="268">
        <v>0.34</v>
      </c>
      <c r="G205" s="91"/>
      <c r="H205" s="91"/>
    </row>
    <row r="206" spans="1:8" s="3" customFormat="1" x14ac:dyDescent="0.25">
      <c r="A206" s="282">
        <f t="shared" si="3"/>
        <v>56</v>
      </c>
      <c r="B206" s="283" t="s">
        <v>646</v>
      </c>
      <c r="C206" s="282" t="s">
        <v>2931</v>
      </c>
      <c r="D206" s="282">
        <v>180</v>
      </c>
      <c r="E206" s="284"/>
      <c r="F206" s="285">
        <v>0.34</v>
      </c>
      <c r="G206" s="282"/>
      <c r="H206" s="282"/>
    </row>
    <row r="207" spans="1:8" x14ac:dyDescent="0.25">
      <c r="A207" s="91">
        <f t="shared" si="3"/>
        <v>57</v>
      </c>
      <c r="B207" s="53" t="s">
        <v>654</v>
      </c>
      <c r="C207" s="91" t="s">
        <v>2928</v>
      </c>
      <c r="D207" s="91">
        <v>720</v>
      </c>
      <c r="E207" s="269">
        <v>550.79999999999995</v>
      </c>
      <c r="F207" s="268">
        <v>0.34</v>
      </c>
      <c r="G207" s="91"/>
      <c r="H207" s="91"/>
    </row>
    <row r="208" spans="1:8" x14ac:dyDescent="0.25">
      <c r="A208" s="91">
        <f t="shared" si="3"/>
        <v>57</v>
      </c>
      <c r="B208" s="53" t="s">
        <v>654</v>
      </c>
      <c r="C208" s="91" t="s">
        <v>2928</v>
      </c>
      <c r="D208" s="91">
        <v>180</v>
      </c>
      <c r="E208" s="269"/>
      <c r="F208" s="268">
        <v>0.34</v>
      </c>
      <c r="G208" s="91"/>
      <c r="H208" s="91"/>
    </row>
    <row r="209" spans="1:8" x14ac:dyDescent="0.25">
      <c r="A209" s="91">
        <f t="shared" si="3"/>
        <v>57</v>
      </c>
      <c r="B209" s="53" t="s">
        <v>654</v>
      </c>
      <c r="C209" s="91" t="s">
        <v>2928</v>
      </c>
      <c r="D209" s="91">
        <v>540</v>
      </c>
      <c r="E209" s="269"/>
      <c r="F209" s="268">
        <v>0.34</v>
      </c>
      <c r="G209" s="91"/>
      <c r="H209" s="91"/>
    </row>
    <row r="210" spans="1:8" s="3" customFormat="1" x14ac:dyDescent="0.25">
      <c r="A210" s="282">
        <f t="shared" si="3"/>
        <v>57</v>
      </c>
      <c r="B210" s="283" t="s">
        <v>654</v>
      </c>
      <c r="C210" s="282" t="s">
        <v>2928</v>
      </c>
      <c r="D210" s="282">
        <v>180</v>
      </c>
      <c r="E210" s="284"/>
      <c r="F210" s="285">
        <v>0.34</v>
      </c>
      <c r="G210" s="282"/>
      <c r="H210" s="282"/>
    </row>
    <row r="211" spans="1:8" x14ac:dyDescent="0.25">
      <c r="A211" s="91">
        <f t="shared" si="3"/>
        <v>58</v>
      </c>
      <c r="B211" s="53" t="s">
        <v>681</v>
      </c>
      <c r="C211" s="91" t="s">
        <v>2928</v>
      </c>
      <c r="D211" s="91">
        <v>600</v>
      </c>
      <c r="E211" s="269">
        <v>949.2</v>
      </c>
      <c r="F211" s="268">
        <v>0.37666666666666698</v>
      </c>
      <c r="G211" s="91"/>
      <c r="H211" s="91"/>
    </row>
    <row r="212" spans="1:8" x14ac:dyDescent="0.25">
      <c r="A212" s="91">
        <f t="shared" si="3"/>
        <v>58</v>
      </c>
      <c r="B212" s="53" t="s">
        <v>681</v>
      </c>
      <c r="C212" s="91" t="s">
        <v>2928</v>
      </c>
      <c r="D212" s="91">
        <v>320</v>
      </c>
      <c r="E212" s="269"/>
      <c r="F212" s="268">
        <v>0.37666666666666698</v>
      </c>
      <c r="G212" s="91"/>
      <c r="H212" s="91"/>
    </row>
    <row r="213" spans="1:8" x14ac:dyDescent="0.25">
      <c r="A213" s="91">
        <f t="shared" si="3"/>
        <v>58</v>
      </c>
      <c r="B213" s="53" t="s">
        <v>681</v>
      </c>
      <c r="C213" s="91" t="s">
        <v>2928</v>
      </c>
      <c r="D213" s="91">
        <v>200</v>
      </c>
      <c r="E213" s="269"/>
      <c r="F213" s="268">
        <v>0.37666666666666698</v>
      </c>
      <c r="G213" s="91"/>
      <c r="H213" s="91"/>
    </row>
    <row r="214" spans="1:8" x14ac:dyDescent="0.25">
      <c r="A214" s="91">
        <f t="shared" si="3"/>
        <v>58</v>
      </c>
      <c r="B214" s="53" t="s">
        <v>681</v>
      </c>
      <c r="C214" s="91" t="s">
        <v>2928</v>
      </c>
      <c r="D214" s="91">
        <v>200</v>
      </c>
      <c r="E214" s="269"/>
      <c r="F214" s="268">
        <v>0.37666666666666698</v>
      </c>
      <c r="G214" s="91"/>
      <c r="H214" s="91"/>
    </row>
    <row r="215" spans="1:8" x14ac:dyDescent="0.25">
      <c r="A215" s="91">
        <f t="shared" si="3"/>
        <v>58</v>
      </c>
      <c r="B215" s="53" t="s">
        <v>681</v>
      </c>
      <c r="C215" s="91" t="s">
        <v>2928</v>
      </c>
      <c r="D215" s="91">
        <v>400</v>
      </c>
      <c r="E215" s="269"/>
      <c r="F215" s="268">
        <v>0.37666666666666698</v>
      </c>
      <c r="G215" s="91"/>
      <c r="H215" s="91"/>
    </row>
    <row r="216" spans="1:8" s="3" customFormat="1" x14ac:dyDescent="0.25">
      <c r="A216" s="282">
        <f t="shared" si="3"/>
        <v>58</v>
      </c>
      <c r="B216" s="283" t="s">
        <v>681</v>
      </c>
      <c r="C216" s="282" t="s">
        <v>2928</v>
      </c>
      <c r="D216" s="282">
        <v>800</v>
      </c>
      <c r="E216" s="284"/>
      <c r="F216" s="285">
        <v>0.37666666666666698</v>
      </c>
      <c r="G216" s="282"/>
      <c r="H216" s="282"/>
    </row>
    <row r="217" spans="1:8" x14ac:dyDescent="0.25">
      <c r="A217" s="91">
        <f t="shared" si="3"/>
        <v>59</v>
      </c>
      <c r="B217" s="53" t="s">
        <v>689</v>
      </c>
      <c r="C217" s="91" t="s">
        <v>2931</v>
      </c>
      <c r="D217" s="91">
        <v>384</v>
      </c>
      <c r="E217" s="269">
        <v>1504.26</v>
      </c>
      <c r="F217" s="268">
        <v>0.41854757929883102</v>
      </c>
      <c r="G217" s="91"/>
      <c r="H217" s="91"/>
    </row>
    <row r="218" spans="1:8" x14ac:dyDescent="0.25">
      <c r="A218" s="91">
        <f t="shared" si="3"/>
        <v>59</v>
      </c>
      <c r="B218" s="53" t="s">
        <v>689</v>
      </c>
      <c r="C218" s="91" t="s">
        <v>2931</v>
      </c>
      <c r="D218" s="91">
        <v>870</v>
      </c>
      <c r="E218" s="269"/>
      <c r="F218" s="268">
        <v>0.41854757929883102</v>
      </c>
      <c r="G218" s="91"/>
      <c r="H218" s="91"/>
    </row>
    <row r="219" spans="1:8" x14ac:dyDescent="0.25">
      <c r="A219" s="91">
        <f t="shared" si="3"/>
        <v>59</v>
      </c>
      <c r="B219" s="53" t="s">
        <v>689</v>
      </c>
      <c r="C219" s="91" t="s">
        <v>2931</v>
      </c>
      <c r="D219" s="91">
        <v>180</v>
      </c>
      <c r="E219" s="269"/>
      <c r="F219" s="268">
        <v>0.41854757929883102</v>
      </c>
      <c r="G219" s="91"/>
      <c r="H219" s="91"/>
    </row>
    <row r="220" spans="1:8" x14ac:dyDescent="0.25">
      <c r="A220" s="91">
        <f t="shared" si="3"/>
        <v>59</v>
      </c>
      <c r="B220" s="53" t="s">
        <v>689</v>
      </c>
      <c r="C220" s="91" t="s">
        <v>2931</v>
      </c>
      <c r="D220" s="91">
        <v>900</v>
      </c>
      <c r="E220" s="269"/>
      <c r="F220" s="268">
        <v>0.41854757929883102</v>
      </c>
      <c r="G220" s="91"/>
      <c r="H220" s="91"/>
    </row>
    <row r="221" spans="1:8" x14ac:dyDescent="0.25">
      <c r="A221" s="91">
        <f t="shared" si="3"/>
        <v>59</v>
      </c>
      <c r="B221" s="53" t="s">
        <v>689</v>
      </c>
      <c r="C221" s="91" t="s">
        <v>2931</v>
      </c>
      <c r="D221" s="91">
        <v>600</v>
      </c>
      <c r="E221" s="269"/>
      <c r="F221" s="268">
        <v>0.41854757929883102</v>
      </c>
      <c r="G221" s="91"/>
      <c r="H221" s="91"/>
    </row>
    <row r="222" spans="1:8" x14ac:dyDescent="0.25">
      <c r="A222" s="91">
        <f t="shared" si="3"/>
        <v>59</v>
      </c>
      <c r="B222" s="53" t="s">
        <v>689</v>
      </c>
      <c r="C222" s="91" t="s">
        <v>2931</v>
      </c>
      <c r="D222" s="91">
        <v>360</v>
      </c>
      <c r="E222" s="269"/>
      <c r="F222" s="268">
        <v>0.41854757929883102</v>
      </c>
      <c r="G222" s="91"/>
      <c r="H222" s="91"/>
    </row>
    <row r="223" spans="1:8" s="3" customFormat="1" x14ac:dyDescent="0.25">
      <c r="A223" s="282">
        <f t="shared" si="3"/>
        <v>59</v>
      </c>
      <c r="B223" s="283" t="s">
        <v>689</v>
      </c>
      <c r="C223" s="282" t="s">
        <v>2931</v>
      </c>
      <c r="D223" s="282">
        <v>300</v>
      </c>
      <c r="E223" s="284"/>
      <c r="F223" s="285">
        <v>0.41854757929883102</v>
      </c>
      <c r="G223" s="282"/>
      <c r="H223" s="282"/>
    </row>
    <row r="224" spans="1:8" x14ac:dyDescent="0.25">
      <c r="A224" s="91">
        <f t="shared" si="3"/>
        <v>60</v>
      </c>
      <c r="B224" s="53" t="s">
        <v>697</v>
      </c>
      <c r="C224" s="91" t="s">
        <v>2931</v>
      </c>
      <c r="D224" s="91">
        <v>720</v>
      </c>
      <c r="E224" s="269">
        <v>590.4</v>
      </c>
      <c r="F224" s="268">
        <v>0.41</v>
      </c>
      <c r="G224" s="91"/>
      <c r="H224" s="91"/>
    </row>
    <row r="225" spans="1:8" s="3" customFormat="1" x14ac:dyDescent="0.25">
      <c r="A225" s="282">
        <f t="shared" si="3"/>
        <v>60</v>
      </c>
      <c r="B225" s="283" t="s">
        <v>697</v>
      </c>
      <c r="C225" s="282" t="s">
        <v>2931</v>
      </c>
      <c r="D225" s="282">
        <v>720</v>
      </c>
      <c r="E225" s="284"/>
      <c r="F225" s="285">
        <v>0.41</v>
      </c>
      <c r="G225" s="282"/>
      <c r="H225" s="282"/>
    </row>
    <row r="226" spans="1:8" x14ac:dyDescent="0.25">
      <c r="A226" s="91">
        <f t="shared" si="3"/>
        <v>61</v>
      </c>
      <c r="B226" s="53" t="s">
        <v>703</v>
      </c>
      <c r="C226" s="91" t="s">
        <v>2931</v>
      </c>
      <c r="D226" s="91">
        <v>240</v>
      </c>
      <c r="E226" s="269">
        <v>196.8</v>
      </c>
      <c r="F226" s="268">
        <v>0.41</v>
      </c>
      <c r="G226" s="91"/>
      <c r="H226" s="91"/>
    </row>
    <row r="227" spans="1:8" s="3" customFormat="1" x14ac:dyDescent="0.25">
      <c r="A227" s="282">
        <f t="shared" si="3"/>
        <v>61</v>
      </c>
      <c r="B227" s="283" t="s">
        <v>703</v>
      </c>
      <c r="C227" s="282" t="s">
        <v>2931</v>
      </c>
      <c r="D227" s="282">
        <v>240</v>
      </c>
      <c r="E227" s="284"/>
      <c r="F227" s="285">
        <v>0.41</v>
      </c>
      <c r="G227" s="282"/>
      <c r="H227" s="282"/>
    </row>
    <row r="228" spans="1:8" x14ac:dyDescent="0.25">
      <c r="A228" s="91">
        <f t="shared" si="3"/>
        <v>62</v>
      </c>
      <c r="B228" s="53" t="s">
        <v>660</v>
      </c>
      <c r="C228" s="91" t="s">
        <v>2929</v>
      </c>
      <c r="D228" s="91">
        <v>160</v>
      </c>
      <c r="E228" s="269">
        <v>462.56</v>
      </c>
      <c r="F228" s="268">
        <v>0.49</v>
      </c>
      <c r="G228" s="91"/>
      <c r="H228" s="91"/>
    </row>
    <row r="229" spans="1:8" x14ac:dyDescent="0.25">
      <c r="A229" s="91">
        <f t="shared" si="3"/>
        <v>62</v>
      </c>
      <c r="B229" s="53" t="s">
        <v>660</v>
      </c>
      <c r="C229" s="91" t="s">
        <v>2929</v>
      </c>
      <c r="D229" s="91">
        <v>688</v>
      </c>
      <c r="E229" s="269"/>
      <c r="F229" s="268">
        <v>0.49</v>
      </c>
      <c r="G229" s="91"/>
      <c r="H229" s="91"/>
    </row>
    <row r="230" spans="1:8" s="3" customFormat="1" x14ac:dyDescent="0.25">
      <c r="A230" s="282">
        <f t="shared" si="3"/>
        <v>62</v>
      </c>
      <c r="B230" s="283" t="s">
        <v>660</v>
      </c>
      <c r="C230" s="282" t="s">
        <v>2929</v>
      </c>
      <c r="D230" s="282">
        <v>96</v>
      </c>
      <c r="E230" s="284"/>
      <c r="F230" s="285">
        <v>0.49</v>
      </c>
      <c r="G230" s="282"/>
      <c r="H230" s="282"/>
    </row>
    <row r="231" spans="1:8" x14ac:dyDescent="0.25">
      <c r="A231" s="91">
        <f t="shared" si="3"/>
        <v>63</v>
      </c>
      <c r="B231" s="53" t="s">
        <v>748</v>
      </c>
      <c r="C231" s="91" t="s">
        <v>2928</v>
      </c>
      <c r="D231" s="91">
        <v>360</v>
      </c>
      <c r="E231" s="269">
        <v>668.9</v>
      </c>
      <c r="F231" s="268">
        <v>0.391169590643275</v>
      </c>
      <c r="G231" s="91"/>
      <c r="H231" s="91"/>
    </row>
    <row r="232" spans="1:8" x14ac:dyDescent="0.25">
      <c r="A232" s="91">
        <f t="shared" si="3"/>
        <v>63</v>
      </c>
      <c r="B232" s="53" t="s">
        <v>748</v>
      </c>
      <c r="C232" s="91" t="s">
        <v>2928</v>
      </c>
      <c r="D232" s="91">
        <v>200</v>
      </c>
      <c r="E232" s="269"/>
      <c r="F232" s="268">
        <v>0.391169590643275</v>
      </c>
      <c r="G232" s="91"/>
      <c r="H232" s="91"/>
    </row>
    <row r="233" spans="1:8" x14ac:dyDescent="0.25">
      <c r="A233" s="91">
        <f t="shared" si="3"/>
        <v>63</v>
      </c>
      <c r="B233" s="53" t="s">
        <v>748</v>
      </c>
      <c r="C233" s="91" t="s">
        <v>2928</v>
      </c>
      <c r="D233" s="91">
        <v>180</v>
      </c>
      <c r="E233" s="269"/>
      <c r="F233" s="268">
        <v>0.391169590643275</v>
      </c>
      <c r="G233" s="91"/>
      <c r="H233" s="91"/>
    </row>
    <row r="234" spans="1:8" x14ac:dyDescent="0.25">
      <c r="A234" s="91">
        <f t="shared" si="3"/>
        <v>63</v>
      </c>
      <c r="B234" s="53" t="s">
        <v>748</v>
      </c>
      <c r="C234" s="91" t="s">
        <v>2928</v>
      </c>
      <c r="D234" s="91">
        <v>360</v>
      </c>
      <c r="E234" s="269"/>
      <c r="F234" s="268">
        <v>0.391169590643275</v>
      </c>
      <c r="G234" s="91"/>
      <c r="H234" s="91"/>
    </row>
    <row r="235" spans="1:8" x14ac:dyDescent="0.25">
      <c r="A235" s="91">
        <f t="shared" si="3"/>
        <v>63</v>
      </c>
      <c r="B235" s="53" t="s">
        <v>748</v>
      </c>
      <c r="C235" s="91" t="s">
        <v>2928</v>
      </c>
      <c r="D235" s="91">
        <v>150</v>
      </c>
      <c r="E235" s="269"/>
      <c r="F235" s="268">
        <v>0.391169590643275</v>
      </c>
      <c r="G235" s="91"/>
      <c r="H235" s="91"/>
    </row>
    <row r="236" spans="1:8" x14ac:dyDescent="0.25">
      <c r="A236" s="91">
        <f t="shared" si="3"/>
        <v>63</v>
      </c>
      <c r="B236" s="53" t="s">
        <v>748</v>
      </c>
      <c r="C236" s="91" t="s">
        <v>2928</v>
      </c>
      <c r="D236" s="91">
        <v>60</v>
      </c>
      <c r="E236" s="269"/>
      <c r="F236" s="268">
        <v>0.391169590643275</v>
      </c>
      <c r="G236" s="91"/>
      <c r="H236" s="91"/>
    </row>
    <row r="237" spans="1:8" x14ac:dyDescent="0.25">
      <c r="A237" s="91">
        <f t="shared" si="3"/>
        <v>63</v>
      </c>
      <c r="B237" s="53" t="s">
        <v>748</v>
      </c>
      <c r="C237" s="91" t="s">
        <v>2928</v>
      </c>
      <c r="D237" s="91">
        <v>300</v>
      </c>
      <c r="E237" s="269"/>
      <c r="F237" s="268">
        <v>0.391169590643275</v>
      </c>
      <c r="G237" s="91"/>
      <c r="H237" s="91"/>
    </row>
    <row r="238" spans="1:8" s="3" customFormat="1" x14ac:dyDescent="0.25">
      <c r="A238" s="282">
        <f t="shared" si="3"/>
        <v>63</v>
      </c>
      <c r="B238" s="283" t="s">
        <v>748</v>
      </c>
      <c r="C238" s="282" t="s">
        <v>2928</v>
      </c>
      <c r="D238" s="282">
        <v>100</v>
      </c>
      <c r="E238" s="284"/>
      <c r="F238" s="285">
        <v>0.391169590643275</v>
      </c>
      <c r="G238" s="282"/>
      <c r="H238" s="282"/>
    </row>
    <row r="239" spans="1:8" x14ac:dyDescent="0.25">
      <c r="A239" s="91">
        <f t="shared" si="3"/>
        <v>64</v>
      </c>
      <c r="B239" s="53" t="s">
        <v>758</v>
      </c>
      <c r="C239" s="91" t="s">
        <v>2931</v>
      </c>
      <c r="D239" s="91">
        <v>180</v>
      </c>
      <c r="E239" s="269">
        <v>455.1</v>
      </c>
      <c r="F239" s="268">
        <v>0.41</v>
      </c>
      <c r="G239" s="91"/>
      <c r="H239" s="91"/>
    </row>
    <row r="240" spans="1:8" x14ac:dyDescent="0.25">
      <c r="A240" s="91">
        <f t="shared" si="3"/>
        <v>64</v>
      </c>
      <c r="B240" s="53" t="s">
        <v>758</v>
      </c>
      <c r="C240" s="91" t="s">
        <v>2931</v>
      </c>
      <c r="D240" s="91">
        <v>450</v>
      </c>
      <c r="E240" s="269"/>
      <c r="F240" s="268">
        <v>0.41</v>
      </c>
      <c r="G240" s="91"/>
      <c r="H240" s="91"/>
    </row>
    <row r="241" spans="1:8" x14ac:dyDescent="0.25">
      <c r="A241" s="91">
        <f t="shared" si="3"/>
        <v>64</v>
      </c>
      <c r="B241" s="53" t="s">
        <v>758</v>
      </c>
      <c r="C241" s="91" t="s">
        <v>2931</v>
      </c>
      <c r="D241" s="91">
        <v>270</v>
      </c>
      <c r="E241" s="269"/>
      <c r="F241" s="268">
        <v>0.41</v>
      </c>
      <c r="G241" s="91"/>
      <c r="H241" s="91"/>
    </row>
    <row r="242" spans="1:8" s="3" customFormat="1" x14ac:dyDescent="0.25">
      <c r="A242" s="282">
        <f t="shared" si="3"/>
        <v>64</v>
      </c>
      <c r="B242" s="283" t="s">
        <v>758</v>
      </c>
      <c r="C242" s="282" t="s">
        <v>2931</v>
      </c>
      <c r="D242" s="282">
        <v>210</v>
      </c>
      <c r="E242" s="284"/>
      <c r="F242" s="285">
        <v>0.41</v>
      </c>
      <c r="G242" s="282"/>
      <c r="H242" s="282"/>
    </row>
    <row r="243" spans="1:8" x14ac:dyDescent="0.25">
      <c r="A243" s="91">
        <f t="shared" si="3"/>
        <v>65</v>
      </c>
      <c r="B243" s="53" t="s">
        <v>736</v>
      </c>
      <c r="C243" s="91" t="s">
        <v>2931</v>
      </c>
      <c r="D243" s="91">
        <v>180</v>
      </c>
      <c r="E243" s="269">
        <v>367.2</v>
      </c>
      <c r="F243" s="268">
        <v>0.34</v>
      </c>
      <c r="G243" s="91"/>
      <c r="H243" s="91"/>
    </row>
    <row r="244" spans="1:8" x14ac:dyDescent="0.25">
      <c r="A244" s="91">
        <f t="shared" si="3"/>
        <v>65</v>
      </c>
      <c r="B244" s="53" t="s">
        <v>736</v>
      </c>
      <c r="C244" s="91" t="s">
        <v>2931</v>
      </c>
      <c r="D244" s="91">
        <v>90</v>
      </c>
      <c r="E244" s="269"/>
      <c r="F244" s="268">
        <v>0.34</v>
      </c>
      <c r="G244" s="91"/>
      <c r="H244" s="91"/>
    </row>
    <row r="245" spans="1:8" x14ac:dyDescent="0.25">
      <c r="A245" s="91">
        <f t="shared" si="3"/>
        <v>65</v>
      </c>
      <c r="B245" s="53" t="s">
        <v>736</v>
      </c>
      <c r="C245" s="91" t="s">
        <v>2931</v>
      </c>
      <c r="D245" s="91">
        <v>90</v>
      </c>
      <c r="E245" s="269"/>
      <c r="F245" s="268">
        <v>0.34</v>
      </c>
      <c r="G245" s="91"/>
      <c r="H245" s="91"/>
    </row>
    <row r="246" spans="1:8" x14ac:dyDescent="0.25">
      <c r="A246" s="91">
        <f t="shared" si="3"/>
        <v>65</v>
      </c>
      <c r="B246" s="53" t="s">
        <v>736</v>
      </c>
      <c r="C246" s="91" t="s">
        <v>2931</v>
      </c>
      <c r="D246" s="91">
        <v>90</v>
      </c>
      <c r="E246" s="269"/>
      <c r="F246" s="268">
        <v>0.34</v>
      </c>
      <c r="G246" s="91"/>
      <c r="H246" s="91"/>
    </row>
    <row r="247" spans="1:8" s="3" customFormat="1" x14ac:dyDescent="0.25">
      <c r="A247" s="282">
        <f t="shared" si="3"/>
        <v>65</v>
      </c>
      <c r="B247" s="283" t="s">
        <v>736</v>
      </c>
      <c r="C247" s="282" t="s">
        <v>2931</v>
      </c>
      <c r="D247" s="282">
        <v>630</v>
      </c>
      <c r="E247" s="284"/>
      <c r="F247" s="285">
        <v>0.34</v>
      </c>
      <c r="G247" s="282"/>
      <c r="H247" s="282"/>
    </row>
    <row r="248" spans="1:8" x14ac:dyDescent="0.25">
      <c r="A248" s="91">
        <f t="shared" si="3"/>
        <v>66</v>
      </c>
      <c r="B248" s="53" t="s">
        <v>742</v>
      </c>
      <c r="C248" s="91" t="s">
        <v>2928</v>
      </c>
      <c r="D248" s="91">
        <v>90</v>
      </c>
      <c r="E248" s="269">
        <v>244.8</v>
      </c>
      <c r="F248" s="268">
        <v>0.34</v>
      </c>
      <c r="G248" s="91"/>
      <c r="H248" s="91"/>
    </row>
    <row r="249" spans="1:8" x14ac:dyDescent="0.25">
      <c r="A249" s="91">
        <f t="shared" si="3"/>
        <v>66</v>
      </c>
      <c r="B249" s="53" t="s">
        <v>742</v>
      </c>
      <c r="C249" s="91" t="s">
        <v>2928</v>
      </c>
      <c r="D249" s="91">
        <v>90</v>
      </c>
      <c r="E249" s="269"/>
      <c r="F249" s="268">
        <v>0.34</v>
      </c>
      <c r="G249" s="91"/>
      <c r="H249" s="91"/>
    </row>
    <row r="250" spans="1:8" x14ac:dyDescent="0.25">
      <c r="A250" s="91">
        <f t="shared" si="3"/>
        <v>66</v>
      </c>
      <c r="B250" s="53" t="s">
        <v>742</v>
      </c>
      <c r="C250" s="91" t="s">
        <v>2928</v>
      </c>
      <c r="D250" s="91">
        <v>90</v>
      </c>
      <c r="E250" s="269"/>
      <c r="F250" s="268">
        <v>0.34</v>
      </c>
      <c r="G250" s="91"/>
      <c r="H250" s="91"/>
    </row>
    <row r="251" spans="1:8" s="3" customFormat="1" x14ac:dyDescent="0.25">
      <c r="A251" s="282">
        <f t="shared" si="3"/>
        <v>66</v>
      </c>
      <c r="B251" s="283" t="s">
        <v>742</v>
      </c>
      <c r="C251" s="282" t="s">
        <v>2928</v>
      </c>
      <c r="D251" s="282">
        <v>450</v>
      </c>
      <c r="E251" s="284"/>
      <c r="F251" s="285">
        <v>0.34</v>
      </c>
      <c r="G251" s="282"/>
      <c r="H251" s="282"/>
    </row>
    <row r="252" spans="1:8" x14ac:dyDescent="0.25">
      <c r="A252" s="91">
        <f t="shared" si="3"/>
        <v>67</v>
      </c>
      <c r="B252" s="53" t="s">
        <v>764</v>
      </c>
      <c r="C252" s="91"/>
      <c r="D252" s="91">
        <v>2000</v>
      </c>
      <c r="E252" s="269">
        <v>1743.5</v>
      </c>
      <c r="F252" s="268">
        <v>0.38318681318681302</v>
      </c>
      <c r="G252" s="91"/>
      <c r="H252" s="91"/>
    </row>
    <row r="253" spans="1:8" x14ac:dyDescent="0.25">
      <c r="A253" s="91">
        <f t="shared" si="3"/>
        <v>67</v>
      </c>
      <c r="B253" s="53" t="s">
        <v>764</v>
      </c>
      <c r="C253" s="91"/>
      <c r="D253" s="91">
        <v>200</v>
      </c>
      <c r="E253" s="269"/>
      <c r="F253" s="268">
        <v>0.38318681318681302</v>
      </c>
      <c r="G253" s="91"/>
      <c r="H253" s="91"/>
    </row>
    <row r="254" spans="1:8" x14ac:dyDescent="0.25">
      <c r="A254" s="91">
        <f t="shared" si="3"/>
        <v>67</v>
      </c>
      <c r="B254" s="53" t="s">
        <v>764</v>
      </c>
      <c r="C254" s="91"/>
      <c r="D254" s="91">
        <v>400</v>
      </c>
      <c r="E254" s="269"/>
      <c r="F254" s="268">
        <v>0.38318681318681302</v>
      </c>
      <c r="G254" s="91"/>
      <c r="H254" s="91"/>
    </row>
    <row r="255" spans="1:8" x14ac:dyDescent="0.25">
      <c r="A255" s="91">
        <f t="shared" si="3"/>
        <v>67</v>
      </c>
      <c r="B255" s="53" t="s">
        <v>764</v>
      </c>
      <c r="C255" s="91"/>
      <c r="D255" s="91">
        <v>810</v>
      </c>
      <c r="E255" s="269"/>
      <c r="F255" s="268">
        <v>0.38318681318681302</v>
      </c>
      <c r="G255" s="91"/>
      <c r="H255" s="91"/>
    </row>
    <row r="256" spans="1:8" x14ac:dyDescent="0.25">
      <c r="A256" s="91">
        <f t="shared" si="3"/>
        <v>67</v>
      </c>
      <c r="B256" s="53" t="s">
        <v>764</v>
      </c>
      <c r="C256" s="91"/>
      <c r="D256" s="91">
        <v>390</v>
      </c>
      <c r="E256" s="269"/>
      <c r="F256" s="268">
        <v>0.38318681318681302</v>
      </c>
      <c r="G256" s="91"/>
      <c r="H256" s="91"/>
    </row>
    <row r="257" spans="1:8" x14ac:dyDescent="0.25">
      <c r="A257" s="91">
        <f t="shared" si="3"/>
        <v>67</v>
      </c>
      <c r="B257" s="53" t="s">
        <v>764</v>
      </c>
      <c r="C257" s="91"/>
      <c r="D257" s="91">
        <v>600</v>
      </c>
      <c r="E257" s="269"/>
      <c r="F257" s="268">
        <v>0.38318681318681302</v>
      </c>
      <c r="G257" s="91"/>
      <c r="H257" s="91"/>
    </row>
    <row r="258" spans="1:8" s="4" customFormat="1" x14ac:dyDescent="0.25">
      <c r="A258" s="286">
        <f t="shared" si="3"/>
        <v>67</v>
      </c>
      <c r="B258" s="287" t="s">
        <v>764</v>
      </c>
      <c r="C258" s="286"/>
      <c r="D258" s="286">
        <v>150</v>
      </c>
      <c r="E258" s="276"/>
      <c r="F258" s="288">
        <v>0.38318681318681302</v>
      </c>
      <c r="G258" s="286"/>
      <c r="H258" s="286"/>
    </row>
    <row r="259" spans="1:8" s="6" customFormat="1" x14ac:dyDescent="0.25">
      <c r="A259" s="293">
        <f t="shared" si="3"/>
        <v>68</v>
      </c>
      <c r="B259" s="294" t="s">
        <v>772</v>
      </c>
      <c r="C259" s="293"/>
      <c r="D259" s="293">
        <v>600</v>
      </c>
      <c r="E259" s="295">
        <v>246</v>
      </c>
      <c r="F259" s="296">
        <v>0.41</v>
      </c>
      <c r="G259" s="293"/>
      <c r="H259" s="293"/>
    </row>
    <row r="260" spans="1:8" x14ac:dyDescent="0.25">
      <c r="A260" s="91">
        <f t="shared" ref="A260:A323" si="4">IF(B260=B259,A259,A259+1)</f>
        <v>69</v>
      </c>
      <c r="B260" s="53" t="s">
        <v>774</v>
      </c>
      <c r="C260" s="91"/>
      <c r="D260" s="91">
        <v>256</v>
      </c>
      <c r="E260" s="269">
        <v>689.92</v>
      </c>
      <c r="F260" s="268">
        <v>0.49</v>
      </c>
      <c r="G260" s="91"/>
      <c r="H260" s="91"/>
    </row>
    <row r="261" spans="1:8" x14ac:dyDescent="0.25">
      <c r="A261" s="91">
        <f t="shared" si="4"/>
        <v>69</v>
      </c>
      <c r="B261" s="53" t="s">
        <v>774</v>
      </c>
      <c r="C261" s="91"/>
      <c r="D261" s="91">
        <v>336</v>
      </c>
      <c r="E261" s="269"/>
      <c r="F261" s="268">
        <v>0.49</v>
      </c>
      <c r="G261" s="91"/>
      <c r="H261" s="91"/>
    </row>
    <row r="262" spans="1:8" x14ac:dyDescent="0.25">
      <c r="A262" s="91">
        <f t="shared" si="4"/>
        <v>69</v>
      </c>
      <c r="B262" s="53" t="s">
        <v>774</v>
      </c>
      <c r="C262" s="91"/>
      <c r="D262" s="91">
        <v>288</v>
      </c>
      <c r="E262" s="269"/>
      <c r="F262" s="268">
        <v>0.49</v>
      </c>
      <c r="G262" s="91"/>
      <c r="H262" s="91"/>
    </row>
    <row r="263" spans="1:8" x14ac:dyDescent="0.25">
      <c r="A263" s="91">
        <f t="shared" si="4"/>
        <v>69</v>
      </c>
      <c r="B263" s="53" t="s">
        <v>774</v>
      </c>
      <c r="C263" s="91"/>
      <c r="D263" s="91">
        <v>304</v>
      </c>
      <c r="E263" s="269"/>
      <c r="F263" s="268">
        <v>0.49</v>
      </c>
      <c r="G263" s="91"/>
      <c r="H263" s="91"/>
    </row>
    <row r="264" spans="1:8" x14ac:dyDescent="0.25">
      <c r="A264" s="91">
        <f t="shared" si="4"/>
        <v>69</v>
      </c>
      <c r="B264" s="53" t="s">
        <v>774</v>
      </c>
      <c r="C264" s="91"/>
      <c r="D264" s="91">
        <v>192</v>
      </c>
      <c r="E264" s="269"/>
      <c r="F264" s="268">
        <v>0.49</v>
      </c>
      <c r="G264" s="91"/>
      <c r="H264" s="91"/>
    </row>
    <row r="265" spans="1:8" x14ac:dyDescent="0.25">
      <c r="A265" s="91">
        <f t="shared" si="4"/>
        <v>69</v>
      </c>
      <c r="B265" s="53" t="s">
        <v>774</v>
      </c>
      <c r="C265" s="91"/>
      <c r="D265" s="91">
        <v>16</v>
      </c>
      <c r="E265" s="269"/>
      <c r="F265" s="268">
        <v>0.49</v>
      </c>
      <c r="G265" s="91"/>
      <c r="H265" s="91"/>
    </row>
    <row r="266" spans="1:8" x14ac:dyDescent="0.25">
      <c r="A266" s="91">
        <f t="shared" si="4"/>
        <v>69</v>
      </c>
      <c r="B266" s="53" t="s">
        <v>774</v>
      </c>
      <c r="C266" s="91"/>
      <c r="D266" s="91">
        <v>8</v>
      </c>
      <c r="E266" s="269"/>
      <c r="F266" s="268">
        <v>0.49</v>
      </c>
      <c r="G266" s="91"/>
      <c r="H266" s="91"/>
    </row>
    <row r="267" spans="1:8" s="4" customFormat="1" x14ac:dyDescent="0.25">
      <c r="A267" s="286">
        <f t="shared" si="4"/>
        <v>69</v>
      </c>
      <c r="B267" s="287" t="s">
        <v>774</v>
      </c>
      <c r="C267" s="286"/>
      <c r="D267" s="286">
        <v>8</v>
      </c>
      <c r="E267" s="276"/>
      <c r="F267" s="288">
        <v>0.49</v>
      </c>
      <c r="G267" s="286"/>
      <c r="H267" s="286"/>
    </row>
    <row r="268" spans="1:8" s="6" customFormat="1" x14ac:dyDescent="0.25">
      <c r="A268" s="293">
        <f t="shared" si="4"/>
        <v>70</v>
      </c>
      <c r="B268" s="294" t="s">
        <v>785</v>
      </c>
      <c r="C268" s="293"/>
      <c r="D268" s="293">
        <v>80</v>
      </c>
      <c r="E268" s="295">
        <v>27.2</v>
      </c>
      <c r="F268" s="296">
        <v>0.34</v>
      </c>
      <c r="G268" s="293"/>
      <c r="H268" s="293"/>
    </row>
    <row r="269" spans="1:8" x14ac:dyDescent="0.25">
      <c r="A269" s="91">
        <f t="shared" si="4"/>
        <v>71</v>
      </c>
      <c r="B269" s="53" t="s">
        <v>790</v>
      </c>
      <c r="C269" s="91"/>
      <c r="D269" s="91">
        <v>480</v>
      </c>
      <c r="E269" s="269">
        <v>848.7</v>
      </c>
      <c r="F269" s="268">
        <v>0.41</v>
      </c>
      <c r="G269" s="91"/>
      <c r="H269" s="91"/>
    </row>
    <row r="270" spans="1:8" x14ac:dyDescent="0.25">
      <c r="A270" s="91">
        <f t="shared" si="4"/>
        <v>71</v>
      </c>
      <c r="B270" s="53" t="s">
        <v>790</v>
      </c>
      <c r="C270" s="91"/>
      <c r="D270" s="91">
        <v>990</v>
      </c>
      <c r="E270" s="269"/>
      <c r="F270" s="268">
        <v>0.41</v>
      </c>
      <c r="G270" s="91"/>
      <c r="H270" s="91"/>
    </row>
    <row r="271" spans="1:8" x14ac:dyDescent="0.25">
      <c r="A271" s="91">
        <f t="shared" si="4"/>
        <v>71</v>
      </c>
      <c r="B271" s="53" t="s">
        <v>790</v>
      </c>
      <c r="C271" s="91"/>
      <c r="D271" s="91">
        <v>180</v>
      </c>
      <c r="E271" s="269"/>
      <c r="F271" s="268">
        <v>0.41</v>
      </c>
      <c r="G271" s="91"/>
      <c r="H271" s="91"/>
    </row>
    <row r="272" spans="1:8" x14ac:dyDescent="0.25">
      <c r="A272" s="91">
        <f t="shared" si="4"/>
        <v>71</v>
      </c>
      <c r="B272" s="53" t="s">
        <v>790</v>
      </c>
      <c r="C272" s="91"/>
      <c r="D272" s="91">
        <v>120</v>
      </c>
      <c r="E272" s="269"/>
      <c r="F272" s="268">
        <v>0.41</v>
      </c>
      <c r="G272" s="91"/>
      <c r="H272" s="91"/>
    </row>
    <row r="273" spans="1:8" s="4" customFormat="1" x14ac:dyDescent="0.25">
      <c r="A273" s="286">
        <f t="shared" si="4"/>
        <v>71</v>
      </c>
      <c r="B273" s="287" t="s">
        <v>790</v>
      </c>
      <c r="C273" s="286"/>
      <c r="D273" s="286">
        <v>300</v>
      </c>
      <c r="E273" s="276"/>
      <c r="F273" s="288">
        <v>0.41</v>
      </c>
      <c r="G273" s="286"/>
      <c r="H273" s="286"/>
    </row>
    <row r="274" spans="1:8" x14ac:dyDescent="0.25">
      <c r="A274" s="91">
        <f t="shared" si="4"/>
        <v>72</v>
      </c>
      <c r="B274" s="53" t="s">
        <v>796</v>
      </c>
      <c r="C274" s="91"/>
      <c r="D274" s="91">
        <v>400</v>
      </c>
      <c r="E274" s="269">
        <v>1477.3</v>
      </c>
      <c r="F274" s="268">
        <v>0.40696969696969698</v>
      </c>
      <c r="G274" s="91"/>
      <c r="H274" s="91"/>
    </row>
    <row r="275" spans="1:8" x14ac:dyDescent="0.25">
      <c r="A275" s="91">
        <f t="shared" si="4"/>
        <v>72</v>
      </c>
      <c r="B275" s="53" t="s">
        <v>796</v>
      </c>
      <c r="C275" s="91"/>
      <c r="D275" s="91">
        <v>1000</v>
      </c>
      <c r="E275" s="269"/>
      <c r="F275" s="268">
        <v>0.40696969696969698</v>
      </c>
      <c r="G275" s="91"/>
      <c r="H275" s="91"/>
    </row>
    <row r="276" spans="1:8" x14ac:dyDescent="0.25">
      <c r="A276" s="91">
        <f t="shared" si="4"/>
        <v>72</v>
      </c>
      <c r="B276" s="53" t="s">
        <v>796</v>
      </c>
      <c r="C276" s="91"/>
      <c r="D276" s="91">
        <v>240</v>
      </c>
      <c r="E276" s="269"/>
      <c r="F276" s="268">
        <v>0.40696969696969698</v>
      </c>
      <c r="G276" s="91"/>
      <c r="H276" s="91"/>
    </row>
    <row r="277" spans="1:8" x14ac:dyDescent="0.25">
      <c r="A277" s="91">
        <f t="shared" si="4"/>
        <v>72</v>
      </c>
      <c r="B277" s="53" t="s">
        <v>796</v>
      </c>
      <c r="C277" s="91"/>
      <c r="D277" s="91">
        <v>1000</v>
      </c>
      <c r="E277" s="269"/>
      <c r="F277" s="268">
        <v>0.40696969696969698</v>
      </c>
      <c r="G277" s="91"/>
      <c r="H277" s="91"/>
    </row>
    <row r="278" spans="1:8" x14ac:dyDescent="0.25">
      <c r="A278" s="91">
        <f t="shared" si="4"/>
        <v>72</v>
      </c>
      <c r="B278" s="53" t="s">
        <v>796</v>
      </c>
      <c r="C278" s="91"/>
      <c r="D278" s="91">
        <v>600</v>
      </c>
      <c r="E278" s="269"/>
      <c r="F278" s="268">
        <v>0.40696969696969698</v>
      </c>
      <c r="G278" s="91"/>
      <c r="H278" s="91"/>
    </row>
    <row r="279" spans="1:8" x14ac:dyDescent="0.25">
      <c r="A279" s="91">
        <f t="shared" si="4"/>
        <v>72</v>
      </c>
      <c r="B279" s="53" t="s">
        <v>796</v>
      </c>
      <c r="C279" s="91"/>
      <c r="D279" s="91">
        <v>180</v>
      </c>
      <c r="E279" s="269"/>
      <c r="F279" s="268">
        <v>0.40696969696969698</v>
      </c>
      <c r="G279" s="91"/>
      <c r="H279" s="91"/>
    </row>
    <row r="280" spans="1:8" x14ac:dyDescent="0.25">
      <c r="A280" s="91">
        <f t="shared" si="4"/>
        <v>72</v>
      </c>
      <c r="B280" s="53" t="s">
        <v>796</v>
      </c>
      <c r="C280" s="91"/>
      <c r="D280" s="91">
        <v>150</v>
      </c>
      <c r="E280" s="269"/>
      <c r="F280" s="268">
        <v>0.40696969696969698</v>
      </c>
      <c r="G280" s="91"/>
      <c r="H280" s="91"/>
    </row>
    <row r="281" spans="1:8" s="4" customFormat="1" x14ac:dyDescent="0.25">
      <c r="A281" s="286">
        <f t="shared" si="4"/>
        <v>72</v>
      </c>
      <c r="B281" s="287" t="s">
        <v>796</v>
      </c>
      <c r="C281" s="286"/>
      <c r="D281" s="286">
        <v>60</v>
      </c>
      <c r="E281" s="276"/>
      <c r="F281" s="288">
        <v>0.40696969696969698</v>
      </c>
      <c r="G281" s="286"/>
      <c r="H281" s="286"/>
    </row>
    <row r="282" spans="1:8" x14ac:dyDescent="0.25">
      <c r="A282" s="91">
        <f t="shared" si="4"/>
        <v>73</v>
      </c>
      <c r="B282" s="53" t="s">
        <v>822</v>
      </c>
      <c r="C282" s="91"/>
      <c r="D282" s="91">
        <v>600</v>
      </c>
      <c r="E282" s="269">
        <v>1371.9</v>
      </c>
      <c r="F282" s="268">
        <v>0.40469026548672599</v>
      </c>
      <c r="G282" s="91"/>
      <c r="H282" s="91"/>
    </row>
    <row r="283" spans="1:8" x14ac:dyDescent="0.25">
      <c r="A283" s="91">
        <f t="shared" si="4"/>
        <v>73</v>
      </c>
      <c r="B283" s="53" t="s">
        <v>822</v>
      </c>
      <c r="C283" s="91"/>
      <c r="D283" s="91">
        <v>600</v>
      </c>
      <c r="E283" s="269"/>
      <c r="F283" s="268">
        <v>0.40469026548672599</v>
      </c>
      <c r="G283" s="91"/>
      <c r="H283" s="91"/>
    </row>
    <row r="284" spans="1:8" x14ac:dyDescent="0.25">
      <c r="A284" s="91">
        <f t="shared" si="4"/>
        <v>73</v>
      </c>
      <c r="B284" s="53" t="s">
        <v>822</v>
      </c>
      <c r="C284" s="91"/>
      <c r="D284" s="91">
        <v>400</v>
      </c>
      <c r="E284" s="269"/>
      <c r="F284" s="268">
        <v>0.40469026548672599</v>
      </c>
      <c r="G284" s="91"/>
      <c r="H284" s="91"/>
    </row>
    <row r="285" spans="1:8" x14ac:dyDescent="0.25">
      <c r="A285" s="91">
        <f t="shared" si="4"/>
        <v>73</v>
      </c>
      <c r="B285" s="53" t="s">
        <v>822</v>
      </c>
      <c r="C285" s="91"/>
      <c r="D285" s="91">
        <v>1000</v>
      </c>
      <c r="E285" s="269"/>
      <c r="F285" s="268">
        <v>0.40469026548672599</v>
      </c>
      <c r="G285" s="91"/>
      <c r="H285" s="91"/>
    </row>
    <row r="286" spans="1:8" x14ac:dyDescent="0.25">
      <c r="A286" s="91">
        <f t="shared" si="4"/>
        <v>73</v>
      </c>
      <c r="B286" s="53" t="s">
        <v>822</v>
      </c>
      <c r="C286" s="91"/>
      <c r="D286" s="91">
        <v>400</v>
      </c>
      <c r="E286" s="269"/>
      <c r="F286" s="268">
        <v>0.40469026548672599</v>
      </c>
      <c r="G286" s="91"/>
      <c r="H286" s="91"/>
    </row>
    <row r="287" spans="1:8" s="4" customFormat="1" x14ac:dyDescent="0.25">
      <c r="A287" s="286">
        <f t="shared" si="4"/>
        <v>73</v>
      </c>
      <c r="B287" s="287" t="s">
        <v>822</v>
      </c>
      <c r="C287" s="286"/>
      <c r="D287" s="286">
        <v>390</v>
      </c>
      <c r="E287" s="276"/>
      <c r="F287" s="288">
        <v>0.40469026548672599</v>
      </c>
      <c r="G287" s="286"/>
      <c r="H287" s="286"/>
    </row>
    <row r="288" spans="1:8" x14ac:dyDescent="0.25">
      <c r="A288" s="91">
        <f t="shared" si="4"/>
        <v>74</v>
      </c>
      <c r="B288" s="53" t="s">
        <v>829</v>
      </c>
      <c r="C288" s="91"/>
      <c r="D288" s="91">
        <v>990</v>
      </c>
      <c r="E288" s="269">
        <v>841.4</v>
      </c>
      <c r="F288" s="268">
        <v>0.42070000000000002</v>
      </c>
      <c r="G288" s="91"/>
      <c r="H288" s="91"/>
    </row>
    <row r="289" spans="1:8" x14ac:dyDescent="0.25">
      <c r="A289" s="91">
        <f t="shared" si="4"/>
        <v>74</v>
      </c>
      <c r="B289" s="53" t="s">
        <v>829</v>
      </c>
      <c r="C289" s="91"/>
      <c r="D289" s="91">
        <v>160</v>
      </c>
      <c r="E289" s="269"/>
      <c r="F289" s="268">
        <v>0.42070000000000002</v>
      </c>
      <c r="G289" s="91"/>
      <c r="H289" s="91"/>
    </row>
    <row r="290" spans="1:8" x14ac:dyDescent="0.25">
      <c r="A290" s="91">
        <f t="shared" si="4"/>
        <v>74</v>
      </c>
      <c r="B290" s="53" t="s">
        <v>829</v>
      </c>
      <c r="C290" s="91"/>
      <c r="D290" s="91">
        <v>160</v>
      </c>
      <c r="E290" s="269"/>
      <c r="F290" s="268">
        <v>0.42070000000000002</v>
      </c>
      <c r="G290" s="91"/>
      <c r="H290" s="91"/>
    </row>
    <row r="291" spans="1:8" x14ac:dyDescent="0.25">
      <c r="A291" s="91">
        <f t="shared" si="4"/>
        <v>74</v>
      </c>
      <c r="B291" s="53" t="s">
        <v>829</v>
      </c>
      <c r="C291" s="91"/>
      <c r="D291" s="91">
        <v>390</v>
      </c>
      <c r="E291" s="269"/>
      <c r="F291" s="268">
        <v>0.42070000000000002</v>
      </c>
      <c r="G291" s="91"/>
      <c r="H291" s="91"/>
    </row>
    <row r="292" spans="1:8" x14ac:dyDescent="0.25">
      <c r="A292" s="91">
        <f t="shared" si="4"/>
        <v>74</v>
      </c>
      <c r="B292" s="53" t="s">
        <v>829</v>
      </c>
      <c r="C292" s="91"/>
      <c r="D292" s="91">
        <v>240</v>
      </c>
      <c r="E292" s="269"/>
      <c r="F292" s="268">
        <v>0.42070000000000002</v>
      </c>
      <c r="G292" s="91"/>
      <c r="H292" s="91"/>
    </row>
    <row r="293" spans="1:8" s="4" customFormat="1" x14ac:dyDescent="0.25">
      <c r="A293" s="286">
        <f t="shared" si="4"/>
        <v>74</v>
      </c>
      <c r="B293" s="287" t="s">
        <v>829</v>
      </c>
      <c r="C293" s="286"/>
      <c r="D293" s="286">
        <v>60</v>
      </c>
      <c r="E293" s="276"/>
      <c r="F293" s="288">
        <v>0.42070000000000002</v>
      </c>
      <c r="G293" s="286"/>
      <c r="H293" s="286"/>
    </row>
    <row r="294" spans="1:8" x14ac:dyDescent="0.25">
      <c r="A294" s="91">
        <f t="shared" si="4"/>
        <v>75</v>
      </c>
      <c r="B294" s="53" t="s">
        <v>836</v>
      </c>
      <c r="C294" s="91"/>
      <c r="D294" s="91">
        <v>72</v>
      </c>
      <c r="E294" s="269">
        <v>212.4</v>
      </c>
      <c r="F294" s="268">
        <v>0.42142857142857099</v>
      </c>
      <c r="G294" s="91"/>
      <c r="H294" s="91"/>
    </row>
    <row r="295" spans="1:8" s="4" customFormat="1" x14ac:dyDescent="0.25">
      <c r="A295" s="286">
        <f t="shared" si="4"/>
        <v>75</v>
      </c>
      <c r="B295" s="287" t="s">
        <v>836</v>
      </c>
      <c r="C295" s="286"/>
      <c r="D295" s="286">
        <v>432</v>
      </c>
      <c r="E295" s="276"/>
      <c r="F295" s="288">
        <v>0.42142857142857099</v>
      </c>
      <c r="G295" s="286"/>
      <c r="H295" s="286"/>
    </row>
    <row r="296" spans="1:8" s="6" customFormat="1" x14ac:dyDescent="0.25">
      <c r="A296" s="293">
        <f t="shared" si="4"/>
        <v>76</v>
      </c>
      <c r="B296" s="294" t="s">
        <v>839</v>
      </c>
      <c r="C296" s="293"/>
      <c r="D296" s="293">
        <v>630</v>
      </c>
      <c r="E296" s="295">
        <v>214.2</v>
      </c>
      <c r="F296" s="296">
        <v>0.34</v>
      </c>
      <c r="G296" s="293"/>
      <c r="H296" s="293"/>
    </row>
    <row r="297" spans="1:8" s="6" customFormat="1" x14ac:dyDescent="0.25">
      <c r="A297" s="293">
        <f t="shared" si="4"/>
        <v>77</v>
      </c>
      <c r="B297" s="294" t="s">
        <v>852</v>
      </c>
      <c r="C297" s="293"/>
      <c r="D297" s="293">
        <v>80</v>
      </c>
      <c r="E297" s="295">
        <v>27.2</v>
      </c>
      <c r="F297" s="296">
        <v>0.34</v>
      </c>
      <c r="G297" s="293"/>
      <c r="H297" s="293"/>
    </row>
    <row r="298" spans="1:8" x14ac:dyDescent="0.25">
      <c r="A298" s="91">
        <f t="shared" si="4"/>
        <v>78</v>
      </c>
      <c r="B298" s="53" t="s">
        <v>857</v>
      </c>
      <c r="C298" s="91"/>
      <c r="D298" s="91">
        <v>216</v>
      </c>
      <c r="E298" s="269">
        <v>211.68</v>
      </c>
      <c r="F298" s="268">
        <v>0.49</v>
      </c>
      <c r="G298" s="91"/>
      <c r="H298" s="91"/>
    </row>
    <row r="299" spans="1:8" s="4" customFormat="1" x14ac:dyDescent="0.25">
      <c r="A299" s="286">
        <f t="shared" si="4"/>
        <v>78</v>
      </c>
      <c r="B299" s="287" t="s">
        <v>857</v>
      </c>
      <c r="C299" s="286"/>
      <c r="D299" s="286">
        <v>216</v>
      </c>
      <c r="E299" s="276"/>
      <c r="F299" s="288">
        <v>0.49</v>
      </c>
      <c r="G299" s="286"/>
      <c r="H299" s="286"/>
    </row>
    <row r="300" spans="1:8" x14ac:dyDescent="0.25">
      <c r="A300" s="91">
        <f t="shared" si="4"/>
        <v>79</v>
      </c>
      <c r="B300" s="53" t="s">
        <v>862</v>
      </c>
      <c r="C300" s="91"/>
      <c r="D300" s="91">
        <v>300</v>
      </c>
      <c r="E300" s="269">
        <v>762.2</v>
      </c>
      <c r="F300" s="268">
        <v>0.40978494623655898</v>
      </c>
      <c r="G300" s="91"/>
      <c r="H300" s="91"/>
    </row>
    <row r="301" spans="1:8" x14ac:dyDescent="0.25">
      <c r="A301" s="91">
        <f t="shared" si="4"/>
        <v>79</v>
      </c>
      <c r="B301" s="53" t="s">
        <v>862</v>
      </c>
      <c r="C301" s="91"/>
      <c r="D301" s="91">
        <v>600</v>
      </c>
      <c r="E301" s="269"/>
      <c r="F301" s="268">
        <v>0.40978494623655898</v>
      </c>
      <c r="G301" s="91"/>
      <c r="H301" s="91"/>
    </row>
    <row r="302" spans="1:8" x14ac:dyDescent="0.25">
      <c r="A302" s="91">
        <f t="shared" si="4"/>
        <v>79</v>
      </c>
      <c r="B302" s="53" t="s">
        <v>862</v>
      </c>
      <c r="C302" s="91"/>
      <c r="D302" s="91">
        <v>600</v>
      </c>
      <c r="E302" s="269"/>
      <c r="F302" s="268">
        <v>0.40978494623655898</v>
      </c>
      <c r="G302" s="91"/>
      <c r="H302" s="91"/>
    </row>
    <row r="303" spans="1:8" s="4" customFormat="1" x14ac:dyDescent="0.25">
      <c r="A303" s="286">
        <f t="shared" si="4"/>
        <v>79</v>
      </c>
      <c r="B303" s="287" t="s">
        <v>862</v>
      </c>
      <c r="C303" s="286"/>
      <c r="D303" s="286">
        <v>360</v>
      </c>
      <c r="E303" s="276"/>
      <c r="F303" s="288">
        <v>0.40978494623655898</v>
      </c>
      <c r="G303" s="286"/>
      <c r="H303" s="286"/>
    </row>
    <row r="304" spans="1:8" x14ac:dyDescent="0.25">
      <c r="A304" s="91">
        <f t="shared" si="4"/>
        <v>80</v>
      </c>
      <c r="B304" s="53" t="s">
        <v>869</v>
      </c>
      <c r="C304" s="91"/>
      <c r="D304" s="91">
        <v>160</v>
      </c>
      <c r="E304" s="269">
        <v>1237.5999999999999</v>
      </c>
      <c r="F304" s="268">
        <v>0.36833333333333301</v>
      </c>
      <c r="G304" s="91"/>
      <c r="H304" s="91"/>
    </row>
    <row r="305" spans="1:8" x14ac:dyDescent="0.25">
      <c r="A305" s="91">
        <f t="shared" si="4"/>
        <v>80</v>
      </c>
      <c r="B305" s="53" t="s">
        <v>869</v>
      </c>
      <c r="C305" s="91"/>
      <c r="D305" s="91">
        <v>1200</v>
      </c>
      <c r="E305" s="269"/>
      <c r="F305" s="268">
        <v>0.36833333333333301</v>
      </c>
      <c r="G305" s="91"/>
      <c r="H305" s="91"/>
    </row>
    <row r="306" spans="1:8" x14ac:dyDescent="0.25">
      <c r="A306" s="91">
        <f t="shared" si="4"/>
        <v>80</v>
      </c>
      <c r="B306" s="53" t="s">
        <v>869</v>
      </c>
      <c r="C306" s="91"/>
      <c r="D306" s="91">
        <v>600</v>
      </c>
      <c r="E306" s="269"/>
      <c r="F306" s="268">
        <v>0.36833333333333301</v>
      </c>
      <c r="G306" s="91"/>
      <c r="H306" s="91"/>
    </row>
    <row r="307" spans="1:8" x14ac:dyDescent="0.25">
      <c r="A307" s="91">
        <f t="shared" si="4"/>
        <v>80</v>
      </c>
      <c r="B307" s="53" t="s">
        <v>869</v>
      </c>
      <c r="C307" s="91"/>
      <c r="D307" s="91">
        <v>200</v>
      </c>
      <c r="E307" s="269"/>
      <c r="F307" s="268">
        <v>0.36833333333333301</v>
      </c>
      <c r="G307" s="91"/>
      <c r="H307" s="91"/>
    </row>
    <row r="308" spans="1:8" x14ac:dyDescent="0.25">
      <c r="A308" s="91">
        <f t="shared" si="4"/>
        <v>80</v>
      </c>
      <c r="B308" s="53" t="s">
        <v>869</v>
      </c>
      <c r="C308" s="91"/>
      <c r="D308" s="91">
        <v>400</v>
      </c>
      <c r="E308" s="269"/>
      <c r="F308" s="268">
        <v>0.36833333333333301</v>
      </c>
      <c r="G308" s="91"/>
      <c r="H308" s="91"/>
    </row>
    <row r="309" spans="1:8" x14ac:dyDescent="0.25">
      <c r="A309" s="91">
        <f t="shared" si="4"/>
        <v>80</v>
      </c>
      <c r="B309" s="53" t="s">
        <v>869</v>
      </c>
      <c r="C309" s="91"/>
      <c r="D309" s="91">
        <v>200</v>
      </c>
      <c r="E309" s="269"/>
      <c r="F309" s="268">
        <v>0.36833333333333301</v>
      </c>
      <c r="G309" s="91"/>
      <c r="H309" s="91"/>
    </row>
    <row r="310" spans="1:8" s="4" customFormat="1" x14ac:dyDescent="0.25">
      <c r="A310" s="286">
        <f t="shared" si="4"/>
        <v>80</v>
      </c>
      <c r="B310" s="287" t="s">
        <v>869</v>
      </c>
      <c r="C310" s="286"/>
      <c r="D310" s="286">
        <v>600</v>
      </c>
      <c r="E310" s="276"/>
      <c r="F310" s="288">
        <v>0.36833333333333301</v>
      </c>
      <c r="G310" s="286"/>
      <c r="H310" s="286"/>
    </row>
    <row r="311" spans="1:8" x14ac:dyDescent="0.25">
      <c r="A311" s="91">
        <f t="shared" si="4"/>
        <v>81</v>
      </c>
      <c r="B311" s="53" t="s">
        <v>880</v>
      </c>
      <c r="C311" s="91"/>
      <c r="D311" s="91">
        <v>592</v>
      </c>
      <c r="E311" s="269">
        <v>329.28</v>
      </c>
      <c r="F311" s="268">
        <v>0.49</v>
      </c>
      <c r="G311" s="91"/>
      <c r="H311" s="91"/>
    </row>
    <row r="312" spans="1:8" s="4" customFormat="1" x14ac:dyDescent="0.25">
      <c r="A312" s="286">
        <f t="shared" si="4"/>
        <v>81</v>
      </c>
      <c r="B312" s="287" t="s">
        <v>880</v>
      </c>
      <c r="C312" s="286"/>
      <c r="D312" s="286">
        <v>80</v>
      </c>
      <c r="E312" s="276"/>
      <c r="F312" s="288">
        <v>0.49</v>
      </c>
      <c r="G312" s="286"/>
      <c r="H312" s="286"/>
    </row>
    <row r="313" spans="1:8" x14ac:dyDescent="0.25">
      <c r="A313" s="91">
        <f t="shared" si="4"/>
        <v>82</v>
      </c>
      <c r="B313" s="53" t="s">
        <v>883</v>
      </c>
      <c r="C313" s="91"/>
      <c r="D313" s="91">
        <v>688</v>
      </c>
      <c r="E313" s="269">
        <v>493.42</v>
      </c>
      <c r="F313" s="268">
        <v>0.48950396825396802</v>
      </c>
      <c r="G313" s="91"/>
      <c r="H313" s="91"/>
    </row>
    <row r="314" spans="1:8" s="4" customFormat="1" x14ac:dyDescent="0.25">
      <c r="A314" s="286">
        <f t="shared" si="4"/>
        <v>82</v>
      </c>
      <c r="B314" s="287" t="s">
        <v>883</v>
      </c>
      <c r="C314" s="286"/>
      <c r="D314" s="286">
        <v>320</v>
      </c>
      <c r="E314" s="276"/>
      <c r="F314" s="288">
        <v>0.48950396825396802</v>
      </c>
      <c r="G314" s="286"/>
      <c r="H314" s="286"/>
    </row>
    <row r="315" spans="1:8" s="6" customFormat="1" x14ac:dyDescent="0.25">
      <c r="A315" s="293">
        <f t="shared" si="4"/>
        <v>83</v>
      </c>
      <c r="B315" s="294" t="s">
        <v>889</v>
      </c>
      <c r="C315" s="293"/>
      <c r="D315" s="293">
        <v>80</v>
      </c>
      <c r="E315" s="295">
        <v>27.2</v>
      </c>
      <c r="F315" s="296">
        <v>0.34</v>
      </c>
      <c r="G315" s="293"/>
      <c r="H315" s="293"/>
    </row>
    <row r="316" spans="1:8" x14ac:dyDescent="0.25">
      <c r="A316" s="91">
        <f t="shared" si="4"/>
        <v>84</v>
      </c>
      <c r="B316" s="53" t="s">
        <v>892</v>
      </c>
      <c r="C316" s="91"/>
      <c r="D316" s="91">
        <v>320</v>
      </c>
      <c r="E316" s="269">
        <v>259.5</v>
      </c>
      <c r="F316" s="268">
        <v>0.3</v>
      </c>
      <c r="G316" s="91"/>
      <c r="H316" s="91"/>
    </row>
    <row r="317" spans="1:8" x14ac:dyDescent="0.25">
      <c r="A317" s="91">
        <f t="shared" si="4"/>
        <v>84</v>
      </c>
      <c r="B317" s="53" t="s">
        <v>892</v>
      </c>
      <c r="C317" s="91"/>
      <c r="D317" s="91">
        <v>200</v>
      </c>
      <c r="E317" s="269"/>
      <c r="F317" s="268">
        <v>0.3</v>
      </c>
      <c r="G317" s="91"/>
      <c r="H317" s="91"/>
    </row>
    <row r="318" spans="1:8" x14ac:dyDescent="0.25">
      <c r="A318" s="91">
        <f t="shared" si="4"/>
        <v>84</v>
      </c>
      <c r="B318" s="53" t="s">
        <v>892</v>
      </c>
      <c r="C318" s="91"/>
      <c r="D318" s="91">
        <v>45</v>
      </c>
      <c r="E318" s="269"/>
      <c r="F318" s="268">
        <v>0.3</v>
      </c>
      <c r="G318" s="91"/>
      <c r="H318" s="91"/>
    </row>
    <row r="319" spans="1:8" x14ac:dyDescent="0.25">
      <c r="A319" s="91">
        <f t="shared" si="4"/>
        <v>84</v>
      </c>
      <c r="B319" s="53" t="s">
        <v>892</v>
      </c>
      <c r="C319" s="91"/>
      <c r="D319" s="91">
        <v>60</v>
      </c>
      <c r="E319" s="269"/>
      <c r="F319" s="268">
        <v>0.3</v>
      </c>
      <c r="G319" s="91"/>
      <c r="H319" s="91"/>
    </row>
    <row r="320" spans="1:8" s="4" customFormat="1" x14ac:dyDescent="0.25">
      <c r="A320" s="286">
        <f t="shared" si="4"/>
        <v>84</v>
      </c>
      <c r="B320" s="287" t="s">
        <v>892</v>
      </c>
      <c r="C320" s="286"/>
      <c r="D320" s="286">
        <v>240</v>
      </c>
      <c r="E320" s="276"/>
      <c r="F320" s="288">
        <v>0.3</v>
      </c>
      <c r="G320" s="286"/>
      <c r="H320" s="286"/>
    </row>
    <row r="321" spans="1:8" x14ac:dyDescent="0.25">
      <c r="A321" s="91">
        <f t="shared" si="4"/>
        <v>85</v>
      </c>
      <c r="B321" s="53" t="s">
        <v>911</v>
      </c>
      <c r="C321" s="91"/>
      <c r="D321" s="91">
        <v>160</v>
      </c>
      <c r="E321" s="269">
        <v>1615.2</v>
      </c>
      <c r="F321" s="268">
        <v>0.35734513274336299</v>
      </c>
      <c r="G321" s="91"/>
      <c r="H321" s="91"/>
    </row>
    <row r="322" spans="1:8" x14ac:dyDescent="0.25">
      <c r="A322" s="91">
        <f t="shared" si="4"/>
        <v>85</v>
      </c>
      <c r="B322" s="53" t="s">
        <v>911</v>
      </c>
      <c r="C322" s="91"/>
      <c r="D322" s="91">
        <v>540</v>
      </c>
      <c r="E322" s="269"/>
      <c r="F322" s="268">
        <v>0.35734513274336299</v>
      </c>
      <c r="G322" s="91"/>
      <c r="H322" s="91"/>
    </row>
    <row r="323" spans="1:8" x14ac:dyDescent="0.25">
      <c r="A323" s="91">
        <f t="shared" si="4"/>
        <v>85</v>
      </c>
      <c r="B323" s="53" t="s">
        <v>911</v>
      </c>
      <c r="C323" s="91"/>
      <c r="D323" s="91">
        <v>2400</v>
      </c>
      <c r="E323" s="269"/>
      <c r="F323" s="268">
        <v>0.35734513274336299</v>
      </c>
      <c r="G323" s="91"/>
      <c r="H323" s="91"/>
    </row>
    <row r="324" spans="1:8" x14ac:dyDescent="0.25">
      <c r="A324" s="91">
        <f t="shared" ref="A324:A387" si="5">IF(B324=B323,A323,A323+1)</f>
        <v>85</v>
      </c>
      <c r="B324" s="53" t="s">
        <v>911</v>
      </c>
      <c r="C324" s="91"/>
      <c r="D324" s="91">
        <v>800</v>
      </c>
      <c r="E324" s="269"/>
      <c r="F324" s="268">
        <v>0.35734513274336299</v>
      </c>
      <c r="G324" s="91"/>
      <c r="H324" s="91"/>
    </row>
    <row r="325" spans="1:8" x14ac:dyDescent="0.25">
      <c r="A325" s="91">
        <f t="shared" si="5"/>
        <v>85</v>
      </c>
      <c r="B325" s="53" t="s">
        <v>911</v>
      </c>
      <c r="C325" s="91"/>
      <c r="D325" s="91">
        <v>150</v>
      </c>
      <c r="E325" s="269"/>
      <c r="F325" s="268">
        <v>0.35734513274336299</v>
      </c>
      <c r="G325" s="91"/>
      <c r="H325" s="91"/>
    </row>
    <row r="326" spans="1:8" x14ac:dyDescent="0.25">
      <c r="A326" s="91">
        <f t="shared" si="5"/>
        <v>85</v>
      </c>
      <c r="B326" s="53" t="s">
        <v>911</v>
      </c>
      <c r="C326" s="91"/>
      <c r="D326" s="91">
        <v>90</v>
      </c>
      <c r="E326" s="269"/>
      <c r="F326" s="268">
        <v>0.35734513274336299</v>
      </c>
      <c r="G326" s="91"/>
      <c r="H326" s="91"/>
    </row>
    <row r="327" spans="1:8" x14ac:dyDescent="0.25">
      <c r="A327" s="91">
        <f t="shared" si="5"/>
        <v>85</v>
      </c>
      <c r="B327" s="53" t="s">
        <v>911</v>
      </c>
      <c r="C327" s="91"/>
      <c r="D327" s="91">
        <v>180</v>
      </c>
      <c r="E327" s="269"/>
      <c r="F327" s="268">
        <v>0.35734513274336299</v>
      </c>
      <c r="G327" s="91"/>
      <c r="H327" s="91"/>
    </row>
    <row r="328" spans="1:8" s="4" customFormat="1" x14ac:dyDescent="0.25">
      <c r="A328" s="286">
        <f t="shared" si="5"/>
        <v>85</v>
      </c>
      <c r="B328" s="287" t="s">
        <v>911</v>
      </c>
      <c r="C328" s="286"/>
      <c r="D328" s="286">
        <v>200</v>
      </c>
      <c r="E328" s="276"/>
      <c r="F328" s="288">
        <v>0.35734513274336299</v>
      </c>
      <c r="G328" s="286"/>
      <c r="H328" s="286"/>
    </row>
    <row r="329" spans="1:8" x14ac:dyDescent="0.25">
      <c r="A329" s="91">
        <f t="shared" si="5"/>
        <v>86</v>
      </c>
      <c r="B329" s="53" t="s">
        <v>920</v>
      </c>
      <c r="C329" s="91"/>
      <c r="D329" s="91">
        <v>450</v>
      </c>
      <c r="E329" s="269">
        <v>1005.5</v>
      </c>
      <c r="F329" s="268">
        <v>0.42071129707112997</v>
      </c>
      <c r="G329" s="91"/>
      <c r="H329" s="91"/>
    </row>
    <row r="330" spans="1:8" x14ac:dyDescent="0.25">
      <c r="A330" s="91">
        <f t="shared" si="5"/>
        <v>86</v>
      </c>
      <c r="B330" s="53" t="s">
        <v>920</v>
      </c>
      <c r="C330" s="91"/>
      <c r="D330" s="91">
        <v>320</v>
      </c>
      <c r="E330" s="269"/>
      <c r="F330" s="268">
        <v>0.42071129707112997</v>
      </c>
      <c r="G330" s="91"/>
      <c r="H330" s="91"/>
    </row>
    <row r="331" spans="1:8" x14ac:dyDescent="0.25">
      <c r="A331" s="91">
        <f t="shared" si="5"/>
        <v>86</v>
      </c>
      <c r="B331" s="53" t="s">
        <v>920</v>
      </c>
      <c r="C331" s="91"/>
      <c r="D331" s="91">
        <v>1020</v>
      </c>
      <c r="E331" s="269"/>
      <c r="F331" s="268">
        <v>0.42071129707112997</v>
      </c>
      <c r="G331" s="91"/>
      <c r="H331" s="91"/>
    </row>
    <row r="332" spans="1:8" s="4" customFormat="1" x14ac:dyDescent="0.25">
      <c r="A332" s="286">
        <f t="shared" si="5"/>
        <v>86</v>
      </c>
      <c r="B332" s="287" t="s">
        <v>920</v>
      </c>
      <c r="C332" s="286"/>
      <c r="D332" s="286">
        <v>600</v>
      </c>
      <c r="E332" s="276"/>
      <c r="F332" s="288">
        <v>0.42071129707112997</v>
      </c>
      <c r="G332" s="286"/>
      <c r="H332" s="286"/>
    </row>
    <row r="333" spans="1:8" x14ac:dyDescent="0.25">
      <c r="A333" s="91">
        <f t="shared" si="5"/>
        <v>87</v>
      </c>
      <c r="B333" s="53" t="s">
        <v>926</v>
      </c>
      <c r="C333" s="91"/>
      <c r="D333" s="91">
        <v>108</v>
      </c>
      <c r="E333" s="269">
        <v>194.04</v>
      </c>
      <c r="F333" s="268">
        <v>0.49</v>
      </c>
      <c r="G333" s="91"/>
      <c r="H333" s="91"/>
    </row>
    <row r="334" spans="1:8" s="4" customFormat="1" x14ac:dyDescent="0.25">
      <c r="A334" s="286">
        <f t="shared" si="5"/>
        <v>87</v>
      </c>
      <c r="B334" s="287" t="s">
        <v>926</v>
      </c>
      <c r="C334" s="286"/>
      <c r="D334" s="286">
        <v>288</v>
      </c>
      <c r="E334" s="276"/>
      <c r="F334" s="288">
        <v>0.49</v>
      </c>
      <c r="G334" s="286"/>
      <c r="H334" s="286"/>
    </row>
    <row r="335" spans="1:8" x14ac:dyDescent="0.25">
      <c r="A335" s="91">
        <f t="shared" si="5"/>
        <v>88</v>
      </c>
      <c r="B335" s="53" t="s">
        <v>930</v>
      </c>
      <c r="C335" s="91"/>
      <c r="D335" s="91">
        <v>198</v>
      </c>
      <c r="E335" s="269">
        <v>194.04</v>
      </c>
      <c r="F335" s="268">
        <v>0.49</v>
      </c>
      <c r="G335" s="91"/>
      <c r="H335" s="91"/>
    </row>
    <row r="336" spans="1:8" s="4" customFormat="1" x14ac:dyDescent="0.25">
      <c r="A336" s="286">
        <f t="shared" si="5"/>
        <v>88</v>
      </c>
      <c r="B336" s="287" t="s">
        <v>930</v>
      </c>
      <c r="C336" s="286"/>
      <c r="D336" s="286">
        <v>198</v>
      </c>
      <c r="E336" s="276"/>
      <c r="F336" s="288">
        <v>0.49</v>
      </c>
      <c r="G336" s="286"/>
      <c r="H336" s="286"/>
    </row>
    <row r="337" spans="1:8" x14ac:dyDescent="0.25">
      <c r="A337" s="91">
        <f t="shared" si="5"/>
        <v>89</v>
      </c>
      <c r="B337" s="53" t="s">
        <v>933</v>
      </c>
      <c r="C337" s="91"/>
      <c r="D337" s="91">
        <v>198</v>
      </c>
      <c r="E337" s="269">
        <v>202.86</v>
      </c>
      <c r="F337" s="268">
        <v>0.49</v>
      </c>
      <c r="G337" s="91"/>
      <c r="H337" s="91"/>
    </row>
    <row r="338" spans="1:8" s="4" customFormat="1" x14ac:dyDescent="0.25">
      <c r="A338" s="286">
        <f t="shared" si="5"/>
        <v>89</v>
      </c>
      <c r="B338" s="287" t="s">
        <v>933</v>
      </c>
      <c r="C338" s="286"/>
      <c r="D338" s="286">
        <v>216</v>
      </c>
      <c r="E338" s="276"/>
      <c r="F338" s="288">
        <v>0.49</v>
      </c>
      <c r="G338" s="286"/>
      <c r="H338" s="286"/>
    </row>
    <row r="339" spans="1:8" x14ac:dyDescent="0.25">
      <c r="A339" s="91">
        <f t="shared" si="5"/>
        <v>90</v>
      </c>
      <c r="B339" s="53" t="s">
        <v>936</v>
      </c>
      <c r="C339" s="91"/>
      <c r="D339" s="91">
        <v>198</v>
      </c>
      <c r="E339" s="269">
        <v>202.86</v>
      </c>
      <c r="F339" s="268">
        <v>0.49</v>
      </c>
      <c r="G339" s="91"/>
      <c r="H339" s="91"/>
    </row>
    <row r="340" spans="1:8" s="4" customFormat="1" x14ac:dyDescent="0.25">
      <c r="A340" s="286">
        <f t="shared" si="5"/>
        <v>90</v>
      </c>
      <c r="B340" s="287" t="s">
        <v>936</v>
      </c>
      <c r="C340" s="286"/>
      <c r="D340" s="286">
        <v>216</v>
      </c>
      <c r="E340" s="276"/>
      <c r="F340" s="288">
        <v>0.49</v>
      </c>
      <c r="G340" s="286"/>
      <c r="H340" s="286"/>
    </row>
    <row r="341" spans="1:8" x14ac:dyDescent="0.25">
      <c r="A341" s="91">
        <f t="shared" si="5"/>
        <v>91</v>
      </c>
      <c r="B341" s="53" t="s">
        <v>940</v>
      </c>
      <c r="C341" s="91"/>
      <c r="D341" s="91">
        <v>306</v>
      </c>
      <c r="E341" s="269">
        <v>282.24</v>
      </c>
      <c r="F341" s="268">
        <v>0.49</v>
      </c>
      <c r="G341" s="91"/>
      <c r="H341" s="91"/>
    </row>
    <row r="342" spans="1:8" s="4" customFormat="1" x14ac:dyDescent="0.25">
      <c r="A342" s="286">
        <f t="shared" si="5"/>
        <v>91</v>
      </c>
      <c r="B342" s="287" t="s">
        <v>940</v>
      </c>
      <c r="C342" s="286"/>
      <c r="D342" s="286">
        <v>270</v>
      </c>
      <c r="E342" s="276"/>
      <c r="F342" s="288">
        <v>0.49</v>
      </c>
      <c r="G342" s="286"/>
      <c r="H342" s="286"/>
    </row>
    <row r="343" spans="1:8" x14ac:dyDescent="0.25">
      <c r="A343" s="91">
        <f t="shared" si="5"/>
        <v>92</v>
      </c>
      <c r="B343" s="53" t="s">
        <v>952</v>
      </c>
      <c r="C343" s="91"/>
      <c r="D343" s="91">
        <v>600</v>
      </c>
      <c r="E343" s="269">
        <v>861</v>
      </c>
      <c r="F343" s="268">
        <v>0.41</v>
      </c>
      <c r="G343" s="91"/>
      <c r="H343" s="91"/>
    </row>
    <row r="344" spans="1:8" x14ac:dyDescent="0.25">
      <c r="A344" s="91">
        <f t="shared" si="5"/>
        <v>92</v>
      </c>
      <c r="B344" s="53" t="s">
        <v>952</v>
      </c>
      <c r="C344" s="91"/>
      <c r="D344" s="91">
        <v>60</v>
      </c>
      <c r="E344" s="269"/>
      <c r="F344" s="268">
        <v>0.41</v>
      </c>
      <c r="G344" s="91"/>
      <c r="H344" s="91"/>
    </row>
    <row r="345" spans="1:8" x14ac:dyDescent="0.25">
      <c r="A345" s="91">
        <f t="shared" si="5"/>
        <v>92</v>
      </c>
      <c r="B345" s="53" t="s">
        <v>952</v>
      </c>
      <c r="C345" s="91"/>
      <c r="D345" s="91">
        <v>300</v>
      </c>
      <c r="E345" s="269"/>
      <c r="F345" s="268">
        <v>0.41</v>
      </c>
      <c r="G345" s="91"/>
      <c r="H345" s="91"/>
    </row>
    <row r="346" spans="1:8" x14ac:dyDescent="0.25">
      <c r="A346" s="91">
        <f t="shared" si="5"/>
        <v>92</v>
      </c>
      <c r="B346" s="53" t="s">
        <v>952</v>
      </c>
      <c r="C346" s="91"/>
      <c r="D346" s="91">
        <v>120</v>
      </c>
      <c r="E346" s="269"/>
      <c r="F346" s="268">
        <v>0.41</v>
      </c>
      <c r="G346" s="91"/>
      <c r="H346" s="91"/>
    </row>
    <row r="347" spans="1:8" x14ac:dyDescent="0.25">
      <c r="A347" s="91">
        <f t="shared" si="5"/>
        <v>92</v>
      </c>
      <c r="B347" s="53" t="s">
        <v>952</v>
      </c>
      <c r="C347" s="91"/>
      <c r="D347" s="91">
        <v>120</v>
      </c>
      <c r="E347" s="269"/>
      <c r="F347" s="268">
        <v>0.41</v>
      </c>
      <c r="G347" s="91"/>
      <c r="H347" s="91"/>
    </row>
    <row r="348" spans="1:8" x14ac:dyDescent="0.25">
      <c r="A348" s="91">
        <f t="shared" si="5"/>
        <v>92</v>
      </c>
      <c r="B348" s="53" t="s">
        <v>952</v>
      </c>
      <c r="C348" s="91"/>
      <c r="D348" s="91">
        <v>300</v>
      </c>
      <c r="E348" s="269"/>
      <c r="F348" s="268">
        <v>0.41</v>
      </c>
      <c r="G348" s="91"/>
      <c r="H348" s="91"/>
    </row>
    <row r="349" spans="1:8" x14ac:dyDescent="0.25">
      <c r="A349" s="91">
        <f t="shared" si="5"/>
        <v>92</v>
      </c>
      <c r="B349" s="53" t="s">
        <v>952</v>
      </c>
      <c r="C349" s="91"/>
      <c r="D349" s="91">
        <v>90</v>
      </c>
      <c r="E349" s="269"/>
      <c r="F349" s="268">
        <v>0.41</v>
      </c>
      <c r="G349" s="91"/>
      <c r="H349" s="91"/>
    </row>
    <row r="350" spans="1:8" x14ac:dyDescent="0.25">
      <c r="A350" s="91">
        <f t="shared" si="5"/>
        <v>92</v>
      </c>
      <c r="B350" s="53" t="s">
        <v>952</v>
      </c>
      <c r="C350" s="91"/>
      <c r="D350" s="91">
        <v>150</v>
      </c>
      <c r="E350" s="269"/>
      <c r="F350" s="268">
        <v>0.41</v>
      </c>
      <c r="G350" s="91"/>
      <c r="H350" s="91"/>
    </row>
    <row r="351" spans="1:8" x14ac:dyDescent="0.25">
      <c r="A351" s="91">
        <f t="shared" si="5"/>
        <v>92</v>
      </c>
      <c r="B351" s="53" t="s">
        <v>952</v>
      </c>
      <c r="C351" s="91"/>
      <c r="D351" s="91">
        <v>60</v>
      </c>
      <c r="E351" s="269"/>
      <c r="F351" s="268">
        <v>0.41</v>
      </c>
      <c r="G351" s="91"/>
      <c r="H351" s="91"/>
    </row>
    <row r="352" spans="1:8" s="4" customFormat="1" x14ac:dyDescent="0.25">
      <c r="A352" s="286">
        <f t="shared" si="5"/>
        <v>92</v>
      </c>
      <c r="B352" s="287" t="s">
        <v>952</v>
      </c>
      <c r="C352" s="286"/>
      <c r="D352" s="286">
        <v>300</v>
      </c>
      <c r="E352" s="276"/>
      <c r="F352" s="288">
        <v>0.41</v>
      </c>
      <c r="G352" s="286"/>
      <c r="H352" s="286"/>
    </row>
    <row r="353" spans="1:8" x14ac:dyDescent="0.25">
      <c r="A353" s="91">
        <f t="shared" si="5"/>
        <v>93</v>
      </c>
      <c r="B353" s="53" t="s">
        <v>974</v>
      </c>
      <c r="C353" s="91"/>
      <c r="D353" s="91">
        <v>320</v>
      </c>
      <c r="E353" s="269">
        <v>392</v>
      </c>
      <c r="F353" s="268">
        <v>0.49</v>
      </c>
      <c r="G353" s="91"/>
      <c r="H353" s="91"/>
    </row>
    <row r="354" spans="1:8" s="4" customFormat="1" x14ac:dyDescent="0.25">
      <c r="A354" s="286">
        <f t="shared" si="5"/>
        <v>93</v>
      </c>
      <c r="B354" s="287" t="s">
        <v>974</v>
      </c>
      <c r="C354" s="286"/>
      <c r="D354" s="286">
        <v>480</v>
      </c>
      <c r="E354" s="276"/>
      <c r="F354" s="288">
        <v>0.49</v>
      </c>
      <c r="G354" s="286"/>
      <c r="H354" s="286"/>
    </row>
    <row r="355" spans="1:8" x14ac:dyDescent="0.25">
      <c r="A355" s="91">
        <f t="shared" si="5"/>
        <v>94</v>
      </c>
      <c r="B355" s="53" t="s">
        <v>997</v>
      </c>
      <c r="C355" s="91"/>
      <c r="D355" s="91">
        <v>540</v>
      </c>
      <c r="E355" s="269">
        <v>214.2</v>
      </c>
      <c r="F355" s="268">
        <v>0.34</v>
      </c>
      <c r="G355" s="91"/>
      <c r="H355" s="91"/>
    </row>
    <row r="356" spans="1:8" s="4" customFormat="1" x14ac:dyDescent="0.25">
      <c r="A356" s="286">
        <f t="shared" si="5"/>
        <v>94</v>
      </c>
      <c r="B356" s="287" t="s">
        <v>997</v>
      </c>
      <c r="C356" s="286"/>
      <c r="D356" s="286">
        <v>90</v>
      </c>
      <c r="E356" s="276"/>
      <c r="F356" s="288">
        <v>0.34</v>
      </c>
      <c r="G356" s="286"/>
      <c r="H356" s="286"/>
    </row>
    <row r="357" spans="1:8" x14ac:dyDescent="0.25">
      <c r="A357" s="91">
        <f t="shared" si="5"/>
        <v>95</v>
      </c>
      <c r="B357" s="53" t="s">
        <v>1001</v>
      </c>
      <c r="C357" s="91"/>
      <c r="D357" s="91">
        <v>1476</v>
      </c>
      <c r="E357" s="269">
        <v>873.18</v>
      </c>
      <c r="F357" s="268">
        <v>0.49</v>
      </c>
      <c r="G357" s="91"/>
      <c r="H357" s="91"/>
    </row>
    <row r="358" spans="1:8" s="4" customFormat="1" x14ac:dyDescent="0.25">
      <c r="A358" s="286">
        <f t="shared" si="5"/>
        <v>95</v>
      </c>
      <c r="B358" s="287" t="s">
        <v>1001</v>
      </c>
      <c r="C358" s="286"/>
      <c r="D358" s="286">
        <v>306</v>
      </c>
      <c r="E358" s="276"/>
      <c r="F358" s="288">
        <v>0.49</v>
      </c>
      <c r="G358" s="286"/>
      <c r="H358" s="286"/>
    </row>
    <row r="359" spans="1:8" x14ac:dyDescent="0.25">
      <c r="A359" s="91">
        <f t="shared" si="5"/>
        <v>96</v>
      </c>
      <c r="B359" s="53" t="s">
        <v>1004</v>
      </c>
      <c r="C359" s="91"/>
      <c r="D359" s="91">
        <v>400</v>
      </c>
      <c r="E359" s="269">
        <v>446.88</v>
      </c>
      <c r="F359" s="268">
        <v>0.49</v>
      </c>
      <c r="G359" s="91"/>
      <c r="H359" s="91"/>
    </row>
    <row r="360" spans="1:8" x14ac:dyDescent="0.25">
      <c r="A360" s="91">
        <f t="shared" si="5"/>
        <v>96</v>
      </c>
      <c r="B360" s="53" t="s">
        <v>1004</v>
      </c>
      <c r="C360" s="91"/>
      <c r="D360" s="91">
        <v>272</v>
      </c>
      <c r="E360" s="269"/>
      <c r="F360" s="268">
        <v>0.49</v>
      </c>
      <c r="G360" s="91"/>
      <c r="H360" s="91"/>
    </row>
    <row r="361" spans="1:8" s="4" customFormat="1" x14ac:dyDescent="0.25">
      <c r="A361" s="286">
        <f t="shared" si="5"/>
        <v>96</v>
      </c>
      <c r="B361" s="287" t="s">
        <v>1004</v>
      </c>
      <c r="C361" s="286"/>
      <c r="D361" s="286">
        <v>240</v>
      </c>
      <c r="E361" s="276"/>
      <c r="F361" s="288">
        <v>0.49</v>
      </c>
      <c r="G361" s="286"/>
      <c r="H361" s="286"/>
    </row>
    <row r="362" spans="1:8" x14ac:dyDescent="0.25">
      <c r="A362" s="91">
        <f t="shared" si="5"/>
        <v>97</v>
      </c>
      <c r="B362" s="53" t="s">
        <v>1009</v>
      </c>
      <c r="C362" s="91"/>
      <c r="D362" s="91">
        <v>420</v>
      </c>
      <c r="E362" s="269">
        <v>559</v>
      </c>
      <c r="F362" s="268">
        <v>0.37266666666666698</v>
      </c>
      <c r="G362" s="91"/>
      <c r="H362" s="91"/>
    </row>
    <row r="363" spans="1:8" x14ac:dyDescent="0.25">
      <c r="A363" s="91">
        <f t="shared" si="5"/>
        <v>97</v>
      </c>
      <c r="B363" s="53" t="s">
        <v>1009</v>
      </c>
      <c r="C363" s="91"/>
      <c r="D363" s="91">
        <v>280</v>
      </c>
      <c r="E363" s="269"/>
      <c r="F363" s="268">
        <v>0.37266666666666698</v>
      </c>
      <c r="G363" s="91"/>
      <c r="H363" s="91"/>
    </row>
    <row r="364" spans="1:8" x14ac:dyDescent="0.25">
      <c r="A364" s="91">
        <f t="shared" si="5"/>
        <v>97</v>
      </c>
      <c r="B364" s="53" t="s">
        <v>1009</v>
      </c>
      <c r="C364" s="91"/>
      <c r="D364" s="91">
        <v>280</v>
      </c>
      <c r="E364" s="269"/>
      <c r="F364" s="268">
        <v>0.37266666666666698</v>
      </c>
      <c r="G364" s="91"/>
      <c r="H364" s="91"/>
    </row>
    <row r="365" spans="1:8" x14ac:dyDescent="0.25">
      <c r="A365" s="91">
        <f t="shared" si="5"/>
        <v>97</v>
      </c>
      <c r="B365" s="53" t="s">
        <v>1009</v>
      </c>
      <c r="C365" s="91"/>
      <c r="D365" s="91">
        <v>120</v>
      </c>
      <c r="E365" s="269"/>
      <c r="F365" s="268">
        <v>0.37266666666666698</v>
      </c>
      <c r="G365" s="91"/>
      <c r="H365" s="91"/>
    </row>
    <row r="366" spans="1:8" x14ac:dyDescent="0.25">
      <c r="A366" s="91">
        <f t="shared" si="5"/>
        <v>97</v>
      </c>
      <c r="B366" s="53" t="s">
        <v>1009</v>
      </c>
      <c r="C366" s="91"/>
      <c r="D366" s="91">
        <v>200</v>
      </c>
      <c r="E366" s="269"/>
      <c r="F366" s="268">
        <v>0.37266666666666698</v>
      </c>
      <c r="G366" s="91"/>
      <c r="H366" s="91"/>
    </row>
    <row r="367" spans="1:8" x14ac:dyDescent="0.25">
      <c r="A367" s="91">
        <f t="shared" si="5"/>
        <v>97</v>
      </c>
      <c r="B367" s="53" t="s">
        <v>1009</v>
      </c>
      <c r="C367" s="91"/>
      <c r="D367" s="91">
        <v>100</v>
      </c>
      <c r="E367" s="269"/>
      <c r="F367" s="268">
        <v>0.37266666666666698</v>
      </c>
      <c r="G367" s="91"/>
      <c r="H367" s="91"/>
    </row>
    <row r="368" spans="1:8" s="4" customFormat="1" x14ac:dyDescent="0.25">
      <c r="A368" s="286">
        <f t="shared" si="5"/>
        <v>97</v>
      </c>
      <c r="B368" s="287" t="s">
        <v>1009</v>
      </c>
      <c r="C368" s="286"/>
      <c r="D368" s="286">
        <v>100</v>
      </c>
      <c r="E368" s="276"/>
      <c r="F368" s="288">
        <v>0.37266666666666698</v>
      </c>
      <c r="G368" s="286"/>
      <c r="H368" s="286"/>
    </row>
    <row r="369" spans="1:8" x14ac:dyDescent="0.25">
      <c r="A369" s="91">
        <f t="shared" si="5"/>
        <v>98</v>
      </c>
      <c r="B369" s="53" t="s">
        <v>1017</v>
      </c>
      <c r="C369" s="91"/>
      <c r="D369" s="91">
        <v>192</v>
      </c>
      <c r="E369" s="269">
        <v>795.18</v>
      </c>
      <c r="F369" s="268">
        <v>0.41807570977918002</v>
      </c>
      <c r="G369" s="91"/>
      <c r="H369" s="91"/>
    </row>
    <row r="370" spans="1:8" x14ac:dyDescent="0.25">
      <c r="A370" s="91">
        <f t="shared" si="5"/>
        <v>98</v>
      </c>
      <c r="B370" s="53" t="s">
        <v>1017</v>
      </c>
      <c r="C370" s="91"/>
      <c r="D370" s="91">
        <v>840</v>
      </c>
      <c r="E370" s="269"/>
      <c r="F370" s="268">
        <v>0.41807570977918002</v>
      </c>
      <c r="G370" s="91"/>
      <c r="H370" s="91"/>
    </row>
    <row r="371" spans="1:8" x14ac:dyDescent="0.25">
      <c r="A371" s="91">
        <f t="shared" si="5"/>
        <v>98</v>
      </c>
      <c r="B371" s="53" t="s">
        <v>1017</v>
      </c>
      <c r="C371" s="91"/>
      <c r="D371" s="91">
        <v>300</v>
      </c>
      <c r="E371" s="269"/>
      <c r="F371" s="268">
        <v>0.41807570977918002</v>
      </c>
      <c r="G371" s="91"/>
      <c r="H371" s="91"/>
    </row>
    <row r="372" spans="1:8" x14ac:dyDescent="0.25">
      <c r="A372" s="91">
        <f t="shared" si="5"/>
        <v>98</v>
      </c>
      <c r="B372" s="53" t="s">
        <v>1017</v>
      </c>
      <c r="C372" s="91"/>
      <c r="D372" s="91">
        <v>330</v>
      </c>
      <c r="E372" s="269"/>
      <c r="F372" s="268">
        <v>0.41807570977918002</v>
      </c>
      <c r="G372" s="91"/>
      <c r="H372" s="91"/>
    </row>
    <row r="373" spans="1:8" s="4" customFormat="1" x14ac:dyDescent="0.25">
      <c r="A373" s="286">
        <f t="shared" si="5"/>
        <v>98</v>
      </c>
      <c r="B373" s="287" t="s">
        <v>1017</v>
      </c>
      <c r="C373" s="286"/>
      <c r="D373" s="286">
        <v>240</v>
      </c>
      <c r="E373" s="276"/>
      <c r="F373" s="288">
        <v>0.41807570977918002</v>
      </c>
      <c r="G373" s="286"/>
      <c r="H373" s="286"/>
    </row>
    <row r="374" spans="1:8" x14ac:dyDescent="0.25">
      <c r="A374" s="91">
        <f t="shared" si="5"/>
        <v>99</v>
      </c>
      <c r="B374" s="53" t="s">
        <v>1024</v>
      </c>
      <c r="C374" s="91"/>
      <c r="D374" s="91">
        <v>200</v>
      </c>
      <c r="E374" s="269">
        <v>1322.8</v>
      </c>
      <c r="F374" s="268">
        <v>0.40329268292682902</v>
      </c>
      <c r="G374" s="91"/>
      <c r="H374" s="91"/>
    </row>
    <row r="375" spans="1:8" x14ac:dyDescent="0.25">
      <c r="A375" s="91">
        <f t="shared" si="5"/>
        <v>99</v>
      </c>
      <c r="B375" s="53" t="s">
        <v>1024</v>
      </c>
      <c r="C375" s="91"/>
      <c r="D375" s="91">
        <v>1000</v>
      </c>
      <c r="E375" s="269"/>
      <c r="F375" s="268">
        <v>0.40329268292682902</v>
      </c>
      <c r="G375" s="91"/>
      <c r="H375" s="91"/>
    </row>
    <row r="376" spans="1:8" x14ac:dyDescent="0.25">
      <c r="A376" s="91">
        <f t="shared" si="5"/>
        <v>99</v>
      </c>
      <c r="B376" s="53" t="s">
        <v>1024</v>
      </c>
      <c r="C376" s="91"/>
      <c r="D376" s="91">
        <v>280</v>
      </c>
      <c r="E376" s="269"/>
      <c r="F376" s="268">
        <v>0.40329268292682902</v>
      </c>
      <c r="G376" s="91"/>
      <c r="H376" s="91"/>
    </row>
    <row r="377" spans="1:8" x14ac:dyDescent="0.25">
      <c r="A377" s="91">
        <f t="shared" si="5"/>
        <v>99</v>
      </c>
      <c r="B377" s="53" t="s">
        <v>1024</v>
      </c>
      <c r="C377" s="91"/>
      <c r="D377" s="91">
        <v>600</v>
      </c>
      <c r="E377" s="269"/>
      <c r="F377" s="268">
        <v>0.40329268292682902</v>
      </c>
      <c r="G377" s="91"/>
      <c r="H377" s="91"/>
    </row>
    <row r="378" spans="1:8" x14ac:dyDescent="0.25">
      <c r="A378" s="91">
        <f t="shared" si="5"/>
        <v>99</v>
      </c>
      <c r="B378" s="53" t="s">
        <v>1024</v>
      </c>
      <c r="C378" s="91"/>
      <c r="D378" s="91">
        <v>300</v>
      </c>
      <c r="E378" s="269"/>
      <c r="F378" s="268">
        <v>0.40329268292682902</v>
      </c>
      <c r="G378" s="91"/>
      <c r="H378" s="91"/>
    </row>
    <row r="379" spans="1:8" x14ac:dyDescent="0.25">
      <c r="A379" s="91">
        <f t="shared" si="5"/>
        <v>99</v>
      </c>
      <c r="B379" s="53" t="s">
        <v>1024</v>
      </c>
      <c r="C379" s="91"/>
      <c r="D379" s="91">
        <v>300</v>
      </c>
      <c r="E379" s="269"/>
      <c r="F379" s="268">
        <v>0.40329268292682902</v>
      </c>
      <c r="G379" s="91"/>
      <c r="H379" s="91"/>
    </row>
    <row r="380" spans="1:8" x14ac:dyDescent="0.25">
      <c r="A380" s="91">
        <f t="shared" si="5"/>
        <v>99</v>
      </c>
      <c r="B380" s="53" t="s">
        <v>1024</v>
      </c>
      <c r="C380" s="91"/>
      <c r="D380" s="91">
        <v>210</v>
      </c>
      <c r="E380" s="269"/>
      <c r="F380" s="268">
        <v>0.40329268292682902</v>
      </c>
      <c r="G380" s="91"/>
      <c r="H380" s="91"/>
    </row>
    <row r="381" spans="1:8" x14ac:dyDescent="0.25">
      <c r="A381" s="91">
        <f t="shared" si="5"/>
        <v>99</v>
      </c>
      <c r="B381" s="53" t="s">
        <v>1024</v>
      </c>
      <c r="C381" s="91"/>
      <c r="D381" s="91">
        <v>120</v>
      </c>
      <c r="E381" s="269"/>
      <c r="F381" s="268">
        <v>0.40329268292682902</v>
      </c>
      <c r="G381" s="91"/>
      <c r="H381" s="91"/>
    </row>
    <row r="382" spans="1:8" x14ac:dyDescent="0.25">
      <c r="A382" s="91">
        <f t="shared" si="5"/>
        <v>99</v>
      </c>
      <c r="B382" s="53" t="s">
        <v>1024</v>
      </c>
      <c r="C382" s="91"/>
      <c r="D382" s="91">
        <v>60</v>
      </c>
      <c r="E382" s="269"/>
      <c r="F382" s="268">
        <v>0.40329268292682902</v>
      </c>
      <c r="G382" s="91"/>
      <c r="H382" s="91"/>
    </row>
    <row r="383" spans="1:8" s="4" customFormat="1" x14ac:dyDescent="0.25">
      <c r="A383" s="286">
        <f t="shared" si="5"/>
        <v>99</v>
      </c>
      <c r="B383" s="287" t="s">
        <v>1024</v>
      </c>
      <c r="C383" s="286"/>
      <c r="D383" s="286">
        <v>210</v>
      </c>
      <c r="E383" s="276"/>
      <c r="F383" s="288">
        <v>0.40329268292682902</v>
      </c>
      <c r="G383" s="286"/>
      <c r="H383" s="286"/>
    </row>
    <row r="384" spans="1:8" s="6" customFormat="1" x14ac:dyDescent="0.25">
      <c r="A384" s="293">
        <f t="shared" si="5"/>
        <v>100</v>
      </c>
      <c r="B384" s="294" t="s">
        <v>1036</v>
      </c>
      <c r="C384" s="293"/>
      <c r="D384" s="293">
        <v>280</v>
      </c>
      <c r="E384" s="295">
        <v>114.8</v>
      </c>
      <c r="F384" s="296">
        <v>0.41</v>
      </c>
      <c r="G384" s="293"/>
      <c r="H384" s="293"/>
    </row>
    <row r="385" spans="1:8" x14ac:dyDescent="0.25">
      <c r="A385" s="91">
        <f t="shared" si="5"/>
        <v>101</v>
      </c>
      <c r="B385" s="53" t="s">
        <v>1046</v>
      </c>
      <c r="C385" s="91"/>
      <c r="D385" s="91">
        <v>368</v>
      </c>
      <c r="E385" s="269">
        <v>509.6</v>
      </c>
      <c r="F385" s="268">
        <v>0.49</v>
      </c>
      <c r="G385" s="91"/>
      <c r="H385" s="91"/>
    </row>
    <row r="386" spans="1:8" x14ac:dyDescent="0.25">
      <c r="A386" s="91">
        <f t="shared" si="5"/>
        <v>101</v>
      </c>
      <c r="B386" s="53" t="s">
        <v>1046</v>
      </c>
      <c r="C386" s="91"/>
      <c r="D386" s="91">
        <v>160</v>
      </c>
      <c r="E386" s="269"/>
      <c r="F386" s="268">
        <v>0.49</v>
      </c>
      <c r="G386" s="91"/>
      <c r="H386" s="91"/>
    </row>
    <row r="387" spans="1:8" x14ac:dyDescent="0.25">
      <c r="A387" s="91">
        <f t="shared" si="5"/>
        <v>101</v>
      </c>
      <c r="B387" s="53" t="s">
        <v>1046</v>
      </c>
      <c r="C387" s="91"/>
      <c r="D387" s="91">
        <v>272</v>
      </c>
      <c r="E387" s="269"/>
      <c r="F387" s="268">
        <v>0.49</v>
      </c>
      <c r="G387" s="91"/>
      <c r="H387" s="91"/>
    </row>
    <row r="388" spans="1:8" s="4" customFormat="1" x14ac:dyDescent="0.25">
      <c r="A388" s="286">
        <f t="shared" ref="A388:A451" si="6">IF(B388=B387,A387,A387+1)</f>
        <v>101</v>
      </c>
      <c r="B388" s="287" t="s">
        <v>1046</v>
      </c>
      <c r="C388" s="286"/>
      <c r="D388" s="286">
        <v>240</v>
      </c>
      <c r="E388" s="276"/>
      <c r="F388" s="288">
        <v>0.49</v>
      </c>
      <c r="G388" s="286"/>
      <c r="H388" s="286"/>
    </row>
    <row r="389" spans="1:8" x14ac:dyDescent="0.25">
      <c r="A389" s="91">
        <f t="shared" si="6"/>
        <v>102</v>
      </c>
      <c r="B389" s="53" t="s">
        <v>1051</v>
      </c>
      <c r="C389" s="91"/>
      <c r="D389" s="91">
        <v>546</v>
      </c>
      <c r="E389" s="269">
        <v>757.14</v>
      </c>
      <c r="F389" s="268">
        <v>0.381238670694864</v>
      </c>
      <c r="G389" s="91"/>
      <c r="H389" s="91"/>
    </row>
    <row r="390" spans="1:8" x14ac:dyDescent="0.25">
      <c r="A390" s="91">
        <f t="shared" si="6"/>
        <v>102</v>
      </c>
      <c r="B390" s="53" t="s">
        <v>1051</v>
      </c>
      <c r="C390" s="91"/>
      <c r="D390" s="91">
        <v>90</v>
      </c>
      <c r="E390" s="269"/>
      <c r="F390" s="268">
        <v>0.381238670694864</v>
      </c>
      <c r="G390" s="91"/>
      <c r="H390" s="91"/>
    </row>
    <row r="391" spans="1:8" x14ac:dyDescent="0.25">
      <c r="A391" s="91">
        <f t="shared" si="6"/>
        <v>102</v>
      </c>
      <c r="B391" s="53" t="s">
        <v>1051</v>
      </c>
      <c r="C391" s="91"/>
      <c r="D391" s="91">
        <v>720</v>
      </c>
      <c r="E391" s="269"/>
      <c r="F391" s="268">
        <v>0.381238670694864</v>
      </c>
      <c r="G391" s="91"/>
      <c r="H391" s="91"/>
    </row>
    <row r="392" spans="1:8" x14ac:dyDescent="0.25">
      <c r="A392" s="91">
        <f t="shared" si="6"/>
        <v>102</v>
      </c>
      <c r="B392" s="53" t="s">
        <v>1051</v>
      </c>
      <c r="C392" s="91"/>
      <c r="D392" s="91">
        <v>90</v>
      </c>
      <c r="E392" s="269"/>
      <c r="F392" s="268">
        <v>0.381238670694864</v>
      </c>
      <c r="G392" s="91"/>
      <c r="H392" s="91"/>
    </row>
    <row r="393" spans="1:8" x14ac:dyDescent="0.25">
      <c r="A393" s="91">
        <f t="shared" si="6"/>
        <v>102</v>
      </c>
      <c r="B393" s="53" t="s">
        <v>1051</v>
      </c>
      <c r="C393" s="91"/>
      <c r="D393" s="91">
        <v>90</v>
      </c>
      <c r="E393" s="269"/>
      <c r="F393" s="268">
        <v>0.381238670694864</v>
      </c>
      <c r="G393" s="91"/>
      <c r="H393" s="91"/>
    </row>
    <row r="394" spans="1:8" x14ac:dyDescent="0.25">
      <c r="A394" s="91">
        <f t="shared" si="6"/>
        <v>102</v>
      </c>
      <c r="B394" s="53" t="s">
        <v>1051</v>
      </c>
      <c r="C394" s="91"/>
      <c r="D394" s="91">
        <v>180</v>
      </c>
      <c r="E394" s="269"/>
      <c r="F394" s="268">
        <v>0.381238670694864</v>
      </c>
      <c r="G394" s="91"/>
      <c r="H394" s="91"/>
    </row>
    <row r="395" spans="1:8" s="4" customFormat="1" x14ac:dyDescent="0.25">
      <c r="A395" s="286">
        <f t="shared" si="6"/>
        <v>102</v>
      </c>
      <c r="B395" s="287" t="s">
        <v>1051</v>
      </c>
      <c r="C395" s="286"/>
      <c r="D395" s="286">
        <v>270</v>
      </c>
      <c r="E395" s="276"/>
      <c r="F395" s="288">
        <v>0.381238670694864</v>
      </c>
      <c r="G395" s="286"/>
      <c r="H395" s="286"/>
    </row>
    <row r="396" spans="1:8" x14ac:dyDescent="0.25">
      <c r="A396" s="91">
        <f t="shared" si="6"/>
        <v>103</v>
      </c>
      <c r="B396" s="53" t="s">
        <v>1064</v>
      </c>
      <c r="C396" s="91"/>
      <c r="D396" s="91">
        <v>390</v>
      </c>
      <c r="E396" s="269">
        <v>344.1</v>
      </c>
      <c r="F396" s="268">
        <v>0.40964285714285698</v>
      </c>
      <c r="G396" s="91"/>
      <c r="H396" s="91"/>
    </row>
    <row r="397" spans="1:8" x14ac:dyDescent="0.25">
      <c r="A397" s="91">
        <f t="shared" si="6"/>
        <v>103</v>
      </c>
      <c r="B397" s="53" t="s">
        <v>1064</v>
      </c>
      <c r="C397" s="91"/>
      <c r="D397" s="91">
        <v>90</v>
      </c>
      <c r="E397" s="269"/>
      <c r="F397" s="268">
        <v>0.40964285714285698</v>
      </c>
      <c r="G397" s="91"/>
      <c r="H397" s="91"/>
    </row>
    <row r="398" spans="1:8" x14ac:dyDescent="0.25">
      <c r="A398" s="91">
        <f t="shared" si="6"/>
        <v>103</v>
      </c>
      <c r="B398" s="53" t="s">
        <v>1064</v>
      </c>
      <c r="C398" s="91"/>
      <c r="D398" s="91">
        <v>90</v>
      </c>
      <c r="E398" s="269"/>
      <c r="F398" s="268">
        <v>0.40964285714285698</v>
      </c>
      <c r="G398" s="91"/>
      <c r="H398" s="91"/>
    </row>
    <row r="399" spans="1:8" x14ac:dyDescent="0.25">
      <c r="A399" s="91">
        <f t="shared" si="6"/>
        <v>103</v>
      </c>
      <c r="B399" s="53" t="s">
        <v>1064</v>
      </c>
      <c r="C399" s="91"/>
      <c r="D399" s="91">
        <v>90</v>
      </c>
      <c r="E399" s="269"/>
      <c r="F399" s="268">
        <v>0.40964285714285698</v>
      </c>
      <c r="G399" s="91"/>
      <c r="H399" s="91"/>
    </row>
    <row r="400" spans="1:8" s="4" customFormat="1" x14ac:dyDescent="0.25">
      <c r="A400" s="286">
        <f t="shared" si="6"/>
        <v>103</v>
      </c>
      <c r="B400" s="287" t="s">
        <v>1064</v>
      </c>
      <c r="C400" s="286"/>
      <c r="D400" s="286">
        <v>180</v>
      </c>
      <c r="E400" s="276"/>
      <c r="F400" s="288">
        <v>0.40964285714285698</v>
      </c>
      <c r="G400" s="286"/>
      <c r="H400" s="286"/>
    </row>
    <row r="401" spans="1:8" x14ac:dyDescent="0.25">
      <c r="A401" s="91">
        <f t="shared" si="6"/>
        <v>104</v>
      </c>
      <c r="B401" s="53" t="s">
        <v>1088</v>
      </c>
      <c r="C401" s="91"/>
      <c r="D401" s="91">
        <v>160</v>
      </c>
      <c r="E401" s="269">
        <v>1570.6</v>
      </c>
      <c r="F401" s="268">
        <v>0.39069651741293498</v>
      </c>
      <c r="G401" s="91"/>
      <c r="H401" s="91"/>
    </row>
    <row r="402" spans="1:8" x14ac:dyDescent="0.25">
      <c r="A402" s="91">
        <f t="shared" si="6"/>
        <v>104</v>
      </c>
      <c r="B402" s="53" t="s">
        <v>1088</v>
      </c>
      <c r="C402" s="91"/>
      <c r="D402" s="91">
        <v>2000</v>
      </c>
      <c r="E402" s="269"/>
      <c r="F402" s="268">
        <v>0.39069651741293498</v>
      </c>
      <c r="G402" s="91"/>
      <c r="H402" s="91"/>
    </row>
    <row r="403" spans="1:8" x14ac:dyDescent="0.25">
      <c r="A403" s="91">
        <f t="shared" si="6"/>
        <v>104</v>
      </c>
      <c r="B403" s="53" t="s">
        <v>1088</v>
      </c>
      <c r="C403" s="91"/>
      <c r="D403" s="91">
        <v>180</v>
      </c>
      <c r="E403" s="269"/>
      <c r="F403" s="268">
        <v>0.39069651741293498</v>
      </c>
      <c r="G403" s="91"/>
      <c r="H403" s="91"/>
    </row>
    <row r="404" spans="1:8" x14ac:dyDescent="0.25">
      <c r="A404" s="91">
        <f t="shared" si="6"/>
        <v>104</v>
      </c>
      <c r="B404" s="53" t="s">
        <v>1088</v>
      </c>
      <c r="C404" s="91"/>
      <c r="D404" s="91">
        <v>360</v>
      </c>
      <c r="E404" s="269"/>
      <c r="F404" s="268">
        <v>0.39069651741293498</v>
      </c>
      <c r="G404" s="91"/>
      <c r="H404" s="91"/>
    </row>
    <row r="405" spans="1:8" x14ac:dyDescent="0.25">
      <c r="A405" s="91">
        <f t="shared" si="6"/>
        <v>104</v>
      </c>
      <c r="B405" s="53" t="s">
        <v>1088</v>
      </c>
      <c r="C405" s="91"/>
      <c r="D405" s="91">
        <v>1200</v>
      </c>
      <c r="E405" s="269"/>
      <c r="F405" s="268">
        <v>0.39069651741293498</v>
      </c>
      <c r="G405" s="91"/>
      <c r="H405" s="91"/>
    </row>
    <row r="406" spans="1:8" s="4" customFormat="1" x14ac:dyDescent="0.25">
      <c r="A406" s="286">
        <f t="shared" si="6"/>
        <v>104</v>
      </c>
      <c r="B406" s="287" t="s">
        <v>1088</v>
      </c>
      <c r="C406" s="286"/>
      <c r="D406" s="286">
        <v>120</v>
      </c>
      <c r="E406" s="276"/>
      <c r="F406" s="288">
        <v>0.39069651741293498</v>
      </c>
      <c r="G406" s="286"/>
      <c r="H406" s="286"/>
    </row>
    <row r="407" spans="1:8" s="6" customFormat="1" x14ac:dyDescent="0.25">
      <c r="A407" s="293">
        <f t="shared" si="6"/>
        <v>105</v>
      </c>
      <c r="B407" s="294" t="s">
        <v>1113</v>
      </c>
      <c r="C407" s="293"/>
      <c r="D407" s="293">
        <v>612</v>
      </c>
      <c r="E407" s="295">
        <v>299.88</v>
      </c>
      <c r="F407" s="296">
        <v>0.49</v>
      </c>
      <c r="G407" s="293"/>
      <c r="H407" s="293"/>
    </row>
    <row r="408" spans="1:8" x14ac:dyDescent="0.25">
      <c r="A408" s="91">
        <f t="shared" si="6"/>
        <v>106</v>
      </c>
      <c r="B408" s="53" t="s">
        <v>1119</v>
      </c>
      <c r="C408" s="91"/>
      <c r="D408" s="91">
        <v>270</v>
      </c>
      <c r="E408" s="269">
        <v>485.1</v>
      </c>
      <c r="F408" s="268">
        <v>0.49</v>
      </c>
      <c r="G408" s="91"/>
      <c r="H408" s="91"/>
    </row>
    <row r="409" spans="1:8" s="4" customFormat="1" x14ac:dyDescent="0.25">
      <c r="A409" s="286">
        <f t="shared" si="6"/>
        <v>106</v>
      </c>
      <c r="B409" s="287" t="s">
        <v>1119</v>
      </c>
      <c r="C409" s="286"/>
      <c r="D409" s="286">
        <v>720</v>
      </c>
      <c r="E409" s="276"/>
      <c r="F409" s="288">
        <v>0.49</v>
      </c>
      <c r="G409" s="286"/>
      <c r="H409" s="286"/>
    </row>
    <row r="410" spans="1:8" x14ac:dyDescent="0.25">
      <c r="A410" s="91">
        <f t="shared" si="6"/>
        <v>107</v>
      </c>
      <c r="B410" s="53" t="s">
        <v>1123</v>
      </c>
      <c r="C410" s="91"/>
      <c r="D410" s="91">
        <v>774</v>
      </c>
      <c r="E410" s="269">
        <v>1122.32</v>
      </c>
      <c r="F410" s="268">
        <v>0.48417601380500402</v>
      </c>
      <c r="G410" s="91"/>
      <c r="H410" s="91"/>
    </row>
    <row r="411" spans="1:8" x14ac:dyDescent="0.25">
      <c r="A411" s="91">
        <f t="shared" si="6"/>
        <v>107</v>
      </c>
      <c r="B411" s="53" t="s">
        <v>1123</v>
      </c>
      <c r="C411" s="91"/>
      <c r="D411" s="91">
        <v>16</v>
      </c>
      <c r="E411" s="269"/>
      <c r="F411" s="268">
        <v>0.48417601380500402</v>
      </c>
      <c r="G411" s="91"/>
      <c r="H411" s="91"/>
    </row>
    <row r="412" spans="1:8" x14ac:dyDescent="0.25">
      <c r="A412" s="91">
        <f t="shared" si="6"/>
        <v>107</v>
      </c>
      <c r="B412" s="53" t="s">
        <v>1123</v>
      </c>
      <c r="C412" s="91"/>
      <c r="D412" s="91">
        <v>1422</v>
      </c>
      <c r="E412" s="269"/>
      <c r="F412" s="268">
        <v>0.48417601380500402</v>
      </c>
      <c r="G412" s="91"/>
      <c r="H412" s="91"/>
    </row>
    <row r="413" spans="1:8" x14ac:dyDescent="0.25">
      <c r="A413" s="91">
        <f t="shared" si="6"/>
        <v>107</v>
      </c>
      <c r="B413" s="53" t="s">
        <v>1123</v>
      </c>
      <c r="C413" s="91"/>
      <c r="D413" s="91">
        <v>16</v>
      </c>
      <c r="E413" s="269"/>
      <c r="F413" s="268">
        <v>0.48417601380500402</v>
      </c>
      <c r="G413" s="91"/>
      <c r="H413" s="91"/>
    </row>
    <row r="414" spans="1:8" x14ac:dyDescent="0.25">
      <c r="A414" s="91">
        <f t="shared" si="6"/>
        <v>107</v>
      </c>
      <c r="B414" s="53" t="s">
        <v>1123</v>
      </c>
      <c r="C414" s="91"/>
      <c r="D414" s="91">
        <v>30</v>
      </c>
      <c r="E414" s="269"/>
      <c r="F414" s="268">
        <v>0.48417601380500402</v>
      </c>
      <c r="G414" s="91"/>
      <c r="H414" s="91"/>
    </row>
    <row r="415" spans="1:8" s="4" customFormat="1" x14ac:dyDescent="0.25">
      <c r="A415" s="286">
        <f t="shared" si="6"/>
        <v>107</v>
      </c>
      <c r="B415" s="287" t="s">
        <v>1123</v>
      </c>
      <c r="C415" s="286"/>
      <c r="D415" s="286">
        <v>60</v>
      </c>
      <c r="E415" s="276"/>
      <c r="F415" s="288">
        <v>0.48417601380500402</v>
      </c>
      <c r="G415" s="286"/>
      <c r="H415" s="286"/>
    </row>
    <row r="416" spans="1:8" x14ac:dyDescent="0.25">
      <c r="A416" s="91">
        <f t="shared" si="6"/>
        <v>108</v>
      </c>
      <c r="B416" s="53" t="s">
        <v>1131</v>
      </c>
      <c r="C416" s="91"/>
      <c r="D416" s="91">
        <v>464</v>
      </c>
      <c r="E416" s="269">
        <v>446.88</v>
      </c>
      <c r="F416" s="268">
        <v>0.49</v>
      </c>
      <c r="G416" s="91"/>
      <c r="H416" s="91"/>
    </row>
    <row r="417" spans="1:8" x14ac:dyDescent="0.25">
      <c r="A417" s="91">
        <f t="shared" si="6"/>
        <v>108</v>
      </c>
      <c r="B417" s="53" t="s">
        <v>1131</v>
      </c>
      <c r="C417" s="91"/>
      <c r="D417" s="91">
        <v>336</v>
      </c>
      <c r="E417" s="269"/>
      <c r="F417" s="268">
        <v>0.49</v>
      </c>
      <c r="G417" s="91"/>
      <c r="H417" s="91"/>
    </row>
    <row r="418" spans="1:8" s="4" customFormat="1" x14ac:dyDescent="0.25">
      <c r="A418" s="286">
        <f t="shared" si="6"/>
        <v>108</v>
      </c>
      <c r="B418" s="287" t="s">
        <v>1131</v>
      </c>
      <c r="C418" s="286"/>
      <c r="D418" s="286">
        <v>112</v>
      </c>
      <c r="E418" s="276"/>
      <c r="F418" s="288">
        <v>0.49</v>
      </c>
      <c r="G418" s="286"/>
      <c r="H418" s="286"/>
    </row>
    <row r="419" spans="1:8" s="6" customFormat="1" x14ac:dyDescent="0.25">
      <c r="A419" s="293">
        <f t="shared" si="6"/>
        <v>109</v>
      </c>
      <c r="B419" s="294" t="s">
        <v>1135</v>
      </c>
      <c r="C419" s="293"/>
      <c r="D419" s="293">
        <v>630</v>
      </c>
      <c r="E419" s="295">
        <v>214.2</v>
      </c>
      <c r="F419" s="296">
        <v>0.34</v>
      </c>
      <c r="G419" s="293"/>
      <c r="H419" s="293"/>
    </row>
    <row r="420" spans="1:8" x14ac:dyDescent="0.25">
      <c r="A420" s="91">
        <f t="shared" si="6"/>
        <v>110</v>
      </c>
      <c r="B420" s="53" t="s">
        <v>571</v>
      </c>
      <c r="C420" s="91"/>
      <c r="D420" s="91">
        <v>20</v>
      </c>
      <c r="E420" s="269">
        <v>0</v>
      </c>
      <c r="F420" s="268"/>
      <c r="G420" s="91"/>
      <c r="H420" s="91"/>
    </row>
    <row r="421" spans="1:8" s="7" customFormat="1" x14ac:dyDescent="0.25">
      <c r="A421" s="297">
        <f t="shared" si="6"/>
        <v>110</v>
      </c>
      <c r="B421" s="298" t="s">
        <v>571</v>
      </c>
      <c r="C421" s="297"/>
      <c r="D421" s="297">
        <v>72</v>
      </c>
      <c r="E421" s="299"/>
      <c r="F421" s="300"/>
      <c r="G421" s="297"/>
      <c r="H421" s="297"/>
    </row>
    <row r="422" spans="1:8" x14ac:dyDescent="0.25">
      <c r="A422" s="91">
        <f t="shared" si="6"/>
        <v>111</v>
      </c>
      <c r="B422" s="53" t="s">
        <v>574</v>
      </c>
      <c r="C422" s="91"/>
      <c r="D422" s="91">
        <v>8</v>
      </c>
      <c r="E422" s="269">
        <v>0</v>
      </c>
      <c r="F422" s="268"/>
      <c r="G422" s="91"/>
      <c r="H422" s="91"/>
    </row>
    <row r="423" spans="1:8" x14ac:dyDescent="0.25">
      <c r="A423" s="91">
        <f t="shared" si="6"/>
        <v>111</v>
      </c>
      <c r="B423" s="53" t="s">
        <v>574</v>
      </c>
      <c r="C423" s="91"/>
      <c r="D423" s="91">
        <v>28</v>
      </c>
      <c r="E423" s="269"/>
      <c r="F423" s="268"/>
      <c r="G423" s="91"/>
      <c r="H423" s="91"/>
    </row>
    <row r="424" spans="1:8" x14ac:dyDescent="0.25">
      <c r="A424" s="91">
        <f t="shared" si="6"/>
        <v>111</v>
      </c>
      <c r="B424" s="53" t="s">
        <v>574</v>
      </c>
      <c r="C424" s="91"/>
      <c r="D424" s="91">
        <v>2</v>
      </c>
      <c r="E424" s="269"/>
      <c r="F424" s="268"/>
      <c r="G424" s="91"/>
      <c r="H424" s="91"/>
    </row>
    <row r="425" spans="1:8" s="7" customFormat="1" x14ac:dyDescent="0.25">
      <c r="A425" s="297">
        <f t="shared" si="6"/>
        <v>111</v>
      </c>
      <c r="B425" s="298" t="s">
        <v>574</v>
      </c>
      <c r="C425" s="297"/>
      <c r="D425" s="297">
        <v>2</v>
      </c>
      <c r="E425" s="299"/>
      <c r="F425" s="300"/>
      <c r="G425" s="297"/>
      <c r="H425" s="297"/>
    </row>
    <row r="426" spans="1:8" x14ac:dyDescent="0.25">
      <c r="A426" s="91">
        <f t="shared" si="6"/>
        <v>112</v>
      </c>
      <c r="B426" s="53" t="s">
        <v>1184</v>
      </c>
      <c r="C426" s="91"/>
      <c r="D426" s="91">
        <v>128</v>
      </c>
      <c r="E426" s="269">
        <v>387.12</v>
      </c>
      <c r="F426" s="268">
        <v>0.43594594594594599</v>
      </c>
      <c r="G426" s="91"/>
      <c r="H426" s="91"/>
    </row>
    <row r="427" spans="1:8" x14ac:dyDescent="0.25">
      <c r="A427" s="91">
        <f t="shared" si="6"/>
        <v>112</v>
      </c>
      <c r="B427" s="53" t="s">
        <v>1184</v>
      </c>
      <c r="C427" s="91"/>
      <c r="D427" s="91">
        <v>210</v>
      </c>
      <c r="E427" s="269"/>
      <c r="F427" s="268">
        <v>0.43594594594594599</v>
      </c>
      <c r="G427" s="91"/>
      <c r="H427" s="91"/>
    </row>
    <row r="428" spans="1:8" x14ac:dyDescent="0.25">
      <c r="A428" s="91">
        <f t="shared" si="6"/>
        <v>112</v>
      </c>
      <c r="B428" s="53" t="s">
        <v>1184</v>
      </c>
      <c r="C428" s="91"/>
      <c r="D428" s="91">
        <v>160</v>
      </c>
      <c r="E428" s="269"/>
      <c r="F428" s="268">
        <v>0.43594594594594599</v>
      </c>
      <c r="G428" s="91"/>
      <c r="H428" s="91"/>
    </row>
    <row r="429" spans="1:8" x14ac:dyDescent="0.25">
      <c r="A429" s="91">
        <f t="shared" si="6"/>
        <v>112</v>
      </c>
      <c r="B429" s="53" t="s">
        <v>1184</v>
      </c>
      <c r="C429" s="91"/>
      <c r="D429" s="91">
        <v>90</v>
      </c>
      <c r="E429" s="269"/>
      <c r="F429" s="268">
        <v>0.43594594594594599</v>
      </c>
      <c r="G429" s="91"/>
      <c r="H429" s="91"/>
    </row>
    <row r="430" spans="1:8" x14ac:dyDescent="0.25">
      <c r="A430" s="91">
        <f t="shared" si="6"/>
        <v>112</v>
      </c>
      <c r="B430" s="53" t="s">
        <v>1184</v>
      </c>
      <c r="C430" s="91"/>
      <c r="D430" s="91">
        <v>210</v>
      </c>
      <c r="E430" s="269"/>
      <c r="F430" s="268">
        <v>0.43594594594594599</v>
      </c>
      <c r="G430" s="91"/>
      <c r="H430" s="91"/>
    </row>
    <row r="431" spans="1:8" s="7" customFormat="1" x14ac:dyDescent="0.25">
      <c r="A431" s="297">
        <f t="shared" si="6"/>
        <v>112</v>
      </c>
      <c r="B431" s="298" t="s">
        <v>1184</v>
      </c>
      <c r="C431" s="297"/>
      <c r="D431" s="297">
        <v>90</v>
      </c>
      <c r="E431" s="299"/>
      <c r="F431" s="300">
        <v>0.43594594594594599</v>
      </c>
      <c r="G431" s="297"/>
      <c r="H431" s="297"/>
    </row>
    <row r="432" spans="1:8" x14ac:dyDescent="0.25">
      <c r="A432" s="91">
        <f t="shared" si="6"/>
        <v>113</v>
      </c>
      <c r="B432" s="53" t="s">
        <v>1194</v>
      </c>
      <c r="C432" s="91"/>
      <c r="D432" s="91">
        <v>420</v>
      </c>
      <c r="E432" s="269">
        <v>554.20000000000005</v>
      </c>
      <c r="F432" s="268">
        <v>0.39028169014084502</v>
      </c>
      <c r="G432" s="91"/>
      <c r="H432" s="91"/>
    </row>
    <row r="433" spans="1:8" x14ac:dyDescent="0.25">
      <c r="A433" s="91">
        <f t="shared" si="6"/>
        <v>113</v>
      </c>
      <c r="B433" s="53" t="s">
        <v>1194</v>
      </c>
      <c r="C433" s="91"/>
      <c r="D433" s="91">
        <v>200</v>
      </c>
      <c r="E433" s="269"/>
      <c r="F433" s="268">
        <v>0.39028169014084502</v>
      </c>
      <c r="G433" s="91"/>
      <c r="H433" s="91"/>
    </row>
    <row r="434" spans="1:8" x14ac:dyDescent="0.25">
      <c r="A434" s="91">
        <f t="shared" si="6"/>
        <v>113</v>
      </c>
      <c r="B434" s="53" t="s">
        <v>1194</v>
      </c>
      <c r="C434" s="91"/>
      <c r="D434" s="91">
        <v>300</v>
      </c>
      <c r="E434" s="269"/>
      <c r="F434" s="268">
        <v>0.39028169014084502</v>
      </c>
      <c r="G434" s="91"/>
      <c r="H434" s="91"/>
    </row>
    <row r="435" spans="1:8" x14ac:dyDescent="0.25">
      <c r="A435" s="91">
        <f t="shared" si="6"/>
        <v>113</v>
      </c>
      <c r="B435" s="53" t="s">
        <v>1194</v>
      </c>
      <c r="C435" s="91"/>
      <c r="D435" s="91">
        <v>300</v>
      </c>
      <c r="E435" s="269"/>
      <c r="F435" s="268">
        <v>0.39028169014084502</v>
      </c>
      <c r="G435" s="91"/>
      <c r="H435" s="91"/>
    </row>
    <row r="436" spans="1:8" s="7" customFormat="1" x14ac:dyDescent="0.25">
      <c r="A436" s="297">
        <f t="shared" si="6"/>
        <v>113</v>
      </c>
      <c r="B436" s="298" t="s">
        <v>1194</v>
      </c>
      <c r="C436" s="297"/>
      <c r="D436" s="297">
        <v>200</v>
      </c>
      <c r="E436" s="299"/>
      <c r="F436" s="300">
        <v>0.39028169014084502</v>
      </c>
      <c r="G436" s="297"/>
      <c r="H436" s="297"/>
    </row>
    <row r="437" spans="1:8" s="8" customFormat="1" x14ac:dyDescent="0.25">
      <c r="A437" s="301">
        <f t="shared" si="6"/>
        <v>114</v>
      </c>
      <c r="B437" s="302" t="s">
        <v>1202</v>
      </c>
      <c r="C437" s="301"/>
      <c r="D437" s="301">
        <v>630</v>
      </c>
      <c r="E437" s="303">
        <v>308.7</v>
      </c>
      <c r="F437" s="304">
        <v>0.49</v>
      </c>
      <c r="G437" s="301"/>
      <c r="H437" s="301"/>
    </row>
    <row r="438" spans="1:8" x14ac:dyDescent="0.25">
      <c r="A438" s="91">
        <f t="shared" si="6"/>
        <v>115</v>
      </c>
      <c r="B438" s="53" t="s">
        <v>1204</v>
      </c>
      <c r="C438" s="91"/>
      <c r="D438" s="91">
        <v>36</v>
      </c>
      <c r="E438" s="269">
        <v>120.96</v>
      </c>
      <c r="F438" s="268">
        <v>0.42</v>
      </c>
      <c r="G438" s="91"/>
      <c r="H438" s="91"/>
    </row>
    <row r="439" spans="1:8" s="7" customFormat="1" x14ac:dyDescent="0.25">
      <c r="A439" s="297">
        <f t="shared" si="6"/>
        <v>115</v>
      </c>
      <c r="B439" s="298" t="s">
        <v>1204</v>
      </c>
      <c r="C439" s="297"/>
      <c r="D439" s="297">
        <v>252</v>
      </c>
      <c r="E439" s="299"/>
      <c r="F439" s="300">
        <v>0.42</v>
      </c>
      <c r="G439" s="297"/>
      <c r="H439" s="297"/>
    </row>
    <row r="440" spans="1:8" x14ac:dyDescent="0.25">
      <c r="A440" s="91">
        <f t="shared" si="6"/>
        <v>116</v>
      </c>
      <c r="B440" s="53" t="s">
        <v>1208</v>
      </c>
      <c r="C440" s="91"/>
      <c r="D440" s="91">
        <v>288</v>
      </c>
      <c r="E440" s="269">
        <v>937.78</v>
      </c>
      <c r="F440" s="268">
        <v>0.38152156224572797</v>
      </c>
      <c r="G440" s="91"/>
      <c r="H440" s="91"/>
    </row>
    <row r="441" spans="1:8" x14ac:dyDescent="0.25">
      <c r="A441" s="91">
        <f t="shared" si="6"/>
        <v>116</v>
      </c>
      <c r="B441" s="53" t="s">
        <v>1208</v>
      </c>
      <c r="C441" s="91"/>
      <c r="D441" s="91">
        <v>180</v>
      </c>
      <c r="E441" s="269"/>
      <c r="F441" s="268">
        <v>0.38152156224572797</v>
      </c>
      <c r="G441" s="91"/>
      <c r="H441" s="91"/>
    </row>
    <row r="442" spans="1:8" x14ac:dyDescent="0.25">
      <c r="A442" s="91">
        <f t="shared" si="6"/>
        <v>116</v>
      </c>
      <c r="B442" s="53" t="s">
        <v>1208</v>
      </c>
      <c r="C442" s="91"/>
      <c r="D442" s="91">
        <v>600</v>
      </c>
      <c r="E442" s="269"/>
      <c r="F442" s="268">
        <v>0.38152156224572797</v>
      </c>
      <c r="G442" s="91"/>
      <c r="H442" s="91"/>
    </row>
    <row r="443" spans="1:8" x14ac:dyDescent="0.25">
      <c r="A443" s="91">
        <f t="shared" si="6"/>
        <v>116</v>
      </c>
      <c r="B443" s="53" t="s">
        <v>1208</v>
      </c>
      <c r="C443" s="91"/>
      <c r="D443" s="91">
        <v>120</v>
      </c>
      <c r="E443" s="269"/>
      <c r="F443" s="268">
        <v>0.38152156224572797</v>
      </c>
      <c r="G443" s="91"/>
      <c r="H443" s="91"/>
    </row>
    <row r="444" spans="1:8" x14ac:dyDescent="0.25">
      <c r="A444" s="91">
        <f t="shared" si="6"/>
        <v>116</v>
      </c>
      <c r="B444" s="53" t="s">
        <v>1208</v>
      </c>
      <c r="C444" s="91"/>
      <c r="D444" s="91">
        <v>320</v>
      </c>
      <c r="E444" s="269"/>
      <c r="F444" s="268">
        <v>0.38152156224572797</v>
      </c>
      <c r="G444" s="91"/>
      <c r="H444" s="91"/>
    </row>
    <row r="445" spans="1:8" x14ac:dyDescent="0.25">
      <c r="A445" s="91">
        <f t="shared" si="6"/>
        <v>116</v>
      </c>
      <c r="B445" s="53" t="s">
        <v>1208</v>
      </c>
      <c r="C445" s="91"/>
      <c r="D445" s="91">
        <v>480</v>
      </c>
      <c r="E445" s="269"/>
      <c r="F445" s="268">
        <v>0.38152156224572797</v>
      </c>
      <c r="G445" s="91"/>
      <c r="H445" s="91"/>
    </row>
    <row r="446" spans="1:8" x14ac:dyDescent="0.25">
      <c r="A446" s="91">
        <f t="shared" si="6"/>
        <v>116</v>
      </c>
      <c r="B446" s="53" t="s">
        <v>1208</v>
      </c>
      <c r="C446" s="91"/>
      <c r="D446" s="91">
        <v>200</v>
      </c>
      <c r="E446" s="269"/>
      <c r="F446" s="268">
        <v>0.38152156224572797</v>
      </c>
      <c r="G446" s="91"/>
      <c r="H446" s="91"/>
    </row>
    <row r="447" spans="1:8" x14ac:dyDescent="0.25">
      <c r="A447" s="91">
        <f t="shared" si="6"/>
        <v>116</v>
      </c>
      <c r="B447" s="53" t="s">
        <v>1208</v>
      </c>
      <c r="C447" s="91"/>
      <c r="D447" s="91">
        <v>90</v>
      </c>
      <c r="E447" s="269"/>
      <c r="F447" s="268">
        <v>0.38152156224572797</v>
      </c>
      <c r="G447" s="91"/>
      <c r="H447" s="91"/>
    </row>
    <row r="448" spans="1:8" s="7" customFormat="1" x14ac:dyDescent="0.25">
      <c r="A448" s="297">
        <f t="shared" si="6"/>
        <v>116</v>
      </c>
      <c r="B448" s="298" t="s">
        <v>1208</v>
      </c>
      <c r="C448" s="297"/>
      <c r="D448" s="297">
        <v>180</v>
      </c>
      <c r="E448" s="299"/>
      <c r="F448" s="300">
        <v>0.38152156224572797</v>
      </c>
      <c r="G448" s="297"/>
      <c r="H448" s="297"/>
    </row>
    <row r="449" spans="1:8" x14ac:dyDescent="0.25">
      <c r="A449" s="91">
        <f t="shared" si="6"/>
        <v>117</v>
      </c>
      <c r="B449" s="53" t="s">
        <v>1221</v>
      </c>
      <c r="C449" s="91"/>
      <c r="D449" s="91">
        <v>60</v>
      </c>
      <c r="E449" s="269">
        <v>73.8</v>
      </c>
      <c r="F449" s="268">
        <v>0.41</v>
      </c>
      <c r="G449" s="91"/>
      <c r="H449" s="91"/>
    </row>
    <row r="450" spans="1:8" s="7" customFormat="1" x14ac:dyDescent="0.25">
      <c r="A450" s="297">
        <f t="shared" si="6"/>
        <v>117</v>
      </c>
      <c r="B450" s="298" t="s">
        <v>1221</v>
      </c>
      <c r="C450" s="297"/>
      <c r="D450" s="297">
        <v>120</v>
      </c>
      <c r="E450" s="299"/>
      <c r="F450" s="300">
        <v>0.41</v>
      </c>
      <c r="G450" s="297"/>
      <c r="H450" s="297"/>
    </row>
    <row r="451" spans="1:8" s="8" customFormat="1" x14ac:dyDescent="0.25">
      <c r="A451" s="301">
        <f t="shared" si="6"/>
        <v>118</v>
      </c>
      <c r="B451" s="302" t="s">
        <v>1226</v>
      </c>
      <c r="C451" s="301"/>
      <c r="D451" s="301">
        <v>80</v>
      </c>
      <c r="E451" s="303">
        <v>27.2</v>
      </c>
      <c r="F451" s="304">
        <v>0.34</v>
      </c>
      <c r="G451" s="301"/>
      <c r="H451" s="301"/>
    </row>
    <row r="452" spans="1:8" s="8" customFormat="1" x14ac:dyDescent="0.25">
      <c r="A452" s="301">
        <f t="shared" ref="A452:A515" si="7">IF(B452=B451,A451,A451+1)</f>
        <v>119</v>
      </c>
      <c r="B452" s="302" t="s">
        <v>1231</v>
      </c>
      <c r="C452" s="301"/>
      <c r="D452" s="301">
        <v>300</v>
      </c>
      <c r="E452" s="303">
        <v>123</v>
      </c>
      <c r="F452" s="304">
        <v>0.41</v>
      </c>
      <c r="G452" s="301"/>
      <c r="H452" s="301"/>
    </row>
    <row r="453" spans="1:8" s="8" customFormat="1" x14ac:dyDescent="0.25">
      <c r="A453" s="301">
        <f t="shared" si="7"/>
        <v>120</v>
      </c>
      <c r="B453" s="302" t="s">
        <v>1233</v>
      </c>
      <c r="C453" s="301"/>
      <c r="D453" s="301">
        <v>450</v>
      </c>
      <c r="E453" s="303">
        <v>153</v>
      </c>
      <c r="F453" s="304">
        <v>0.34</v>
      </c>
      <c r="G453" s="301"/>
      <c r="H453" s="301"/>
    </row>
    <row r="454" spans="1:8" s="8" customFormat="1" x14ac:dyDescent="0.25">
      <c r="A454" s="301">
        <f t="shared" si="7"/>
        <v>121</v>
      </c>
      <c r="B454" s="302" t="s">
        <v>1236</v>
      </c>
      <c r="C454" s="301"/>
      <c r="D454" s="301">
        <v>270</v>
      </c>
      <c r="E454" s="303">
        <v>91.8</v>
      </c>
      <c r="F454" s="304">
        <v>0.34</v>
      </c>
      <c r="G454" s="301"/>
      <c r="H454" s="301"/>
    </row>
    <row r="455" spans="1:8" s="8" customFormat="1" x14ac:dyDescent="0.25">
      <c r="A455" s="301">
        <f t="shared" si="7"/>
        <v>122</v>
      </c>
      <c r="B455" s="302" t="s">
        <v>1238</v>
      </c>
      <c r="C455" s="301"/>
      <c r="D455" s="301">
        <v>270</v>
      </c>
      <c r="E455" s="303">
        <v>91.8</v>
      </c>
      <c r="F455" s="304">
        <v>0.34</v>
      </c>
      <c r="G455" s="301"/>
      <c r="H455" s="301"/>
    </row>
    <row r="456" spans="1:8" s="8" customFormat="1" x14ac:dyDescent="0.25">
      <c r="A456" s="301">
        <f t="shared" si="7"/>
        <v>123</v>
      </c>
      <c r="B456" s="302" t="s">
        <v>1240</v>
      </c>
      <c r="C456" s="301"/>
      <c r="D456" s="301">
        <v>180</v>
      </c>
      <c r="E456" s="303">
        <v>61.2</v>
      </c>
      <c r="F456" s="304">
        <v>0.34</v>
      </c>
      <c r="G456" s="301"/>
      <c r="H456" s="301"/>
    </row>
    <row r="457" spans="1:8" x14ac:dyDescent="0.25">
      <c r="A457" s="91">
        <f t="shared" si="7"/>
        <v>124</v>
      </c>
      <c r="B457" s="53" t="s">
        <v>1242</v>
      </c>
      <c r="C457" s="91"/>
      <c r="D457" s="91">
        <v>592</v>
      </c>
      <c r="E457" s="269">
        <v>948.64</v>
      </c>
      <c r="F457" s="268">
        <v>0.49</v>
      </c>
      <c r="G457" s="91"/>
      <c r="H457" s="91"/>
    </row>
    <row r="458" spans="1:8" x14ac:dyDescent="0.25">
      <c r="A458" s="91">
        <f t="shared" si="7"/>
        <v>124</v>
      </c>
      <c r="B458" s="53" t="s">
        <v>1242</v>
      </c>
      <c r="C458" s="91"/>
      <c r="D458" s="91">
        <v>688</v>
      </c>
      <c r="E458" s="269"/>
      <c r="F458" s="268">
        <v>0.49</v>
      </c>
      <c r="G458" s="91"/>
      <c r="H458" s="91"/>
    </row>
    <row r="459" spans="1:8" x14ac:dyDescent="0.25">
      <c r="A459" s="91">
        <f t="shared" si="7"/>
        <v>124</v>
      </c>
      <c r="B459" s="53" t="s">
        <v>1242</v>
      </c>
      <c r="C459" s="91"/>
      <c r="D459" s="91">
        <v>240</v>
      </c>
      <c r="E459" s="269"/>
      <c r="F459" s="268">
        <v>0.49</v>
      </c>
      <c r="G459" s="91"/>
      <c r="H459" s="91"/>
    </row>
    <row r="460" spans="1:8" x14ac:dyDescent="0.25">
      <c r="A460" s="91">
        <f t="shared" si="7"/>
        <v>124</v>
      </c>
      <c r="B460" s="53" t="s">
        <v>1242</v>
      </c>
      <c r="C460" s="91"/>
      <c r="D460" s="91">
        <v>320</v>
      </c>
      <c r="E460" s="269"/>
      <c r="F460" s="268">
        <v>0.49</v>
      </c>
      <c r="G460" s="91"/>
      <c r="H460" s="91"/>
    </row>
    <row r="461" spans="1:8" s="7" customFormat="1" x14ac:dyDescent="0.25">
      <c r="A461" s="297">
        <f t="shared" si="7"/>
        <v>124</v>
      </c>
      <c r="B461" s="298" t="s">
        <v>1242</v>
      </c>
      <c r="C461" s="297"/>
      <c r="D461" s="297">
        <v>96</v>
      </c>
      <c r="E461" s="299"/>
      <c r="F461" s="300">
        <v>0.49</v>
      </c>
      <c r="G461" s="297"/>
      <c r="H461" s="297"/>
    </row>
    <row r="462" spans="1:8" x14ac:dyDescent="0.25">
      <c r="A462" s="91">
        <f t="shared" si="7"/>
        <v>125</v>
      </c>
      <c r="B462" s="53" t="s">
        <v>1249</v>
      </c>
      <c r="C462" s="91"/>
      <c r="D462" s="91">
        <v>200</v>
      </c>
      <c r="E462" s="269">
        <v>632.4</v>
      </c>
      <c r="F462" s="268">
        <v>0.367674418604651</v>
      </c>
      <c r="G462" s="91"/>
      <c r="H462" s="91"/>
    </row>
    <row r="463" spans="1:8" x14ac:dyDescent="0.25">
      <c r="A463" s="91">
        <f t="shared" si="7"/>
        <v>125</v>
      </c>
      <c r="B463" s="53" t="s">
        <v>1249</v>
      </c>
      <c r="C463" s="91"/>
      <c r="D463" s="91">
        <v>680</v>
      </c>
      <c r="E463" s="269"/>
      <c r="F463" s="268">
        <v>0.367674418604651</v>
      </c>
      <c r="G463" s="91"/>
      <c r="H463" s="91"/>
    </row>
    <row r="464" spans="1:8" x14ac:dyDescent="0.25">
      <c r="A464" s="91">
        <f t="shared" si="7"/>
        <v>125</v>
      </c>
      <c r="B464" s="53" t="s">
        <v>1249</v>
      </c>
      <c r="C464" s="91"/>
      <c r="D464" s="91">
        <v>480</v>
      </c>
      <c r="E464" s="269"/>
      <c r="F464" s="268">
        <v>0.367674418604651</v>
      </c>
      <c r="G464" s="91"/>
      <c r="H464" s="91"/>
    </row>
    <row r="465" spans="1:8" x14ac:dyDescent="0.25">
      <c r="A465" s="91">
        <f t="shared" si="7"/>
        <v>125</v>
      </c>
      <c r="B465" s="53" t="s">
        <v>1249</v>
      </c>
      <c r="C465" s="91"/>
      <c r="D465" s="91">
        <v>160</v>
      </c>
      <c r="E465" s="269"/>
      <c r="F465" s="268">
        <v>0.367674418604651</v>
      </c>
      <c r="G465" s="91"/>
      <c r="H465" s="91"/>
    </row>
    <row r="466" spans="1:8" s="7" customFormat="1" x14ac:dyDescent="0.25">
      <c r="A466" s="297">
        <f t="shared" si="7"/>
        <v>125</v>
      </c>
      <c r="B466" s="298" t="s">
        <v>1249</v>
      </c>
      <c r="C466" s="297"/>
      <c r="D466" s="297">
        <v>200</v>
      </c>
      <c r="E466" s="299"/>
      <c r="F466" s="300">
        <v>0.367674418604651</v>
      </c>
      <c r="G466" s="297"/>
      <c r="H466" s="297"/>
    </row>
    <row r="467" spans="1:8" x14ac:dyDescent="0.25">
      <c r="A467" s="91">
        <f t="shared" si="7"/>
        <v>126</v>
      </c>
      <c r="B467" s="53" t="s">
        <v>1255</v>
      </c>
      <c r="C467" s="91"/>
      <c r="D467" s="91">
        <v>210</v>
      </c>
      <c r="E467" s="269">
        <v>319.8</v>
      </c>
      <c r="F467" s="268">
        <v>0.41</v>
      </c>
      <c r="G467" s="91"/>
      <c r="H467" s="91"/>
    </row>
    <row r="468" spans="1:8" x14ac:dyDescent="0.25">
      <c r="A468" s="91">
        <f t="shared" si="7"/>
        <v>126</v>
      </c>
      <c r="B468" s="53" t="s">
        <v>1255</v>
      </c>
      <c r="C468" s="91"/>
      <c r="D468" s="91">
        <v>210</v>
      </c>
      <c r="E468" s="269"/>
      <c r="F468" s="268">
        <v>0.41</v>
      </c>
      <c r="G468" s="91"/>
      <c r="H468" s="91"/>
    </row>
    <row r="469" spans="1:8" x14ac:dyDescent="0.25">
      <c r="A469" s="91">
        <f t="shared" si="7"/>
        <v>126</v>
      </c>
      <c r="B469" s="53" t="s">
        <v>1255</v>
      </c>
      <c r="C469" s="91"/>
      <c r="D469" s="91">
        <v>120</v>
      </c>
      <c r="E469" s="269"/>
      <c r="F469" s="268">
        <v>0.41</v>
      </c>
      <c r="G469" s="91"/>
      <c r="H469" s="91"/>
    </row>
    <row r="470" spans="1:8" s="7" customFormat="1" x14ac:dyDescent="0.25">
      <c r="A470" s="297">
        <f t="shared" si="7"/>
        <v>126</v>
      </c>
      <c r="B470" s="298" t="s">
        <v>1255</v>
      </c>
      <c r="C470" s="297"/>
      <c r="D470" s="297">
        <v>240</v>
      </c>
      <c r="E470" s="299"/>
      <c r="F470" s="300">
        <v>0.41</v>
      </c>
      <c r="G470" s="297"/>
      <c r="H470" s="297"/>
    </row>
    <row r="471" spans="1:8" x14ac:dyDescent="0.25">
      <c r="A471" s="91">
        <f t="shared" si="7"/>
        <v>127</v>
      </c>
      <c r="B471" s="53" t="s">
        <v>1260</v>
      </c>
      <c r="C471" s="91"/>
      <c r="D471" s="91">
        <v>432</v>
      </c>
      <c r="E471" s="269">
        <v>388.08</v>
      </c>
      <c r="F471" s="268">
        <v>0.49</v>
      </c>
      <c r="G471" s="91"/>
      <c r="H471" s="91"/>
    </row>
    <row r="472" spans="1:8" s="7" customFormat="1" x14ac:dyDescent="0.25">
      <c r="A472" s="297">
        <f t="shared" si="7"/>
        <v>127</v>
      </c>
      <c r="B472" s="298" t="s">
        <v>1260</v>
      </c>
      <c r="C472" s="297"/>
      <c r="D472" s="297">
        <v>360</v>
      </c>
      <c r="E472" s="299"/>
      <c r="F472" s="300">
        <v>0.49</v>
      </c>
      <c r="G472" s="297"/>
      <c r="H472" s="297"/>
    </row>
    <row r="473" spans="1:8" x14ac:dyDescent="0.25">
      <c r="A473" s="91">
        <f t="shared" si="7"/>
        <v>128</v>
      </c>
      <c r="B473" s="53" t="s">
        <v>1271</v>
      </c>
      <c r="C473" s="91"/>
      <c r="D473" s="91">
        <v>480</v>
      </c>
      <c r="E473" s="269">
        <v>770.28</v>
      </c>
      <c r="F473" s="268">
        <v>0.49</v>
      </c>
      <c r="G473" s="91"/>
      <c r="H473" s="91"/>
    </row>
    <row r="474" spans="1:8" x14ac:dyDescent="0.25">
      <c r="A474" s="91">
        <f t="shared" si="7"/>
        <v>128</v>
      </c>
      <c r="B474" s="53" t="s">
        <v>1271</v>
      </c>
      <c r="C474" s="91"/>
      <c r="D474" s="91">
        <v>480</v>
      </c>
      <c r="E474" s="269"/>
      <c r="F474" s="268">
        <v>0.49</v>
      </c>
      <c r="G474" s="91"/>
      <c r="H474" s="91"/>
    </row>
    <row r="475" spans="1:8" s="7" customFormat="1" x14ac:dyDescent="0.25">
      <c r="A475" s="297">
        <f t="shared" si="7"/>
        <v>128</v>
      </c>
      <c r="B475" s="298" t="s">
        <v>1271</v>
      </c>
      <c r="C475" s="297"/>
      <c r="D475" s="297">
        <v>612</v>
      </c>
      <c r="E475" s="299"/>
      <c r="F475" s="300">
        <v>0.49</v>
      </c>
      <c r="G475" s="297"/>
      <c r="H475" s="297"/>
    </row>
    <row r="476" spans="1:8" x14ac:dyDescent="0.25">
      <c r="A476" s="91">
        <f t="shared" si="7"/>
        <v>129</v>
      </c>
      <c r="B476" s="53" t="s">
        <v>1277</v>
      </c>
      <c r="C476" s="91"/>
      <c r="D476" s="91">
        <v>660</v>
      </c>
      <c r="E476" s="269">
        <v>661.4</v>
      </c>
      <c r="F476" s="268">
        <v>0.37579545454545499</v>
      </c>
      <c r="G476" s="91"/>
      <c r="H476" s="91"/>
    </row>
    <row r="477" spans="1:8" x14ac:dyDescent="0.25">
      <c r="A477" s="91">
        <f t="shared" si="7"/>
        <v>129</v>
      </c>
      <c r="B477" s="53" t="s">
        <v>1277</v>
      </c>
      <c r="C477" s="91"/>
      <c r="D477" s="91">
        <v>120</v>
      </c>
      <c r="E477" s="269"/>
      <c r="F477" s="268">
        <v>0.37579545454545499</v>
      </c>
      <c r="G477" s="91"/>
      <c r="H477" s="91"/>
    </row>
    <row r="478" spans="1:8" x14ac:dyDescent="0.25">
      <c r="A478" s="91">
        <f t="shared" si="7"/>
        <v>129</v>
      </c>
      <c r="B478" s="53" t="s">
        <v>1277</v>
      </c>
      <c r="C478" s="91"/>
      <c r="D478" s="91">
        <v>440</v>
      </c>
      <c r="E478" s="269"/>
      <c r="F478" s="268">
        <v>0.37579545454545499</v>
      </c>
      <c r="G478" s="91"/>
      <c r="H478" s="91"/>
    </row>
    <row r="479" spans="1:8" x14ac:dyDescent="0.25">
      <c r="A479" s="91">
        <f t="shared" si="7"/>
        <v>129</v>
      </c>
      <c r="B479" s="53" t="s">
        <v>1277</v>
      </c>
      <c r="C479" s="91"/>
      <c r="D479" s="91">
        <v>120</v>
      </c>
      <c r="E479" s="269"/>
      <c r="F479" s="268">
        <v>0.37579545454545499</v>
      </c>
      <c r="G479" s="91"/>
      <c r="H479" s="91"/>
    </row>
    <row r="480" spans="1:8" x14ac:dyDescent="0.25">
      <c r="A480" s="91">
        <f t="shared" si="7"/>
        <v>129</v>
      </c>
      <c r="B480" s="53" t="s">
        <v>1277</v>
      </c>
      <c r="C480" s="91"/>
      <c r="D480" s="91">
        <v>300</v>
      </c>
      <c r="E480" s="269"/>
      <c r="F480" s="268">
        <v>0.37579545454545499</v>
      </c>
      <c r="G480" s="91"/>
      <c r="H480" s="91"/>
    </row>
    <row r="481" spans="1:8" s="7" customFormat="1" x14ac:dyDescent="0.25">
      <c r="A481" s="297">
        <f t="shared" si="7"/>
        <v>129</v>
      </c>
      <c r="B481" s="298" t="s">
        <v>1277</v>
      </c>
      <c r="C481" s="297"/>
      <c r="D481" s="297">
        <v>120</v>
      </c>
      <c r="E481" s="299"/>
      <c r="F481" s="300">
        <v>0.37579545454545499</v>
      </c>
      <c r="G481" s="297"/>
      <c r="H481" s="297"/>
    </row>
    <row r="482" spans="1:8" x14ac:dyDescent="0.25">
      <c r="A482" s="91">
        <f t="shared" si="7"/>
        <v>130</v>
      </c>
      <c r="B482" s="53" t="s">
        <v>1301</v>
      </c>
      <c r="C482" s="91"/>
      <c r="D482" s="91">
        <v>192</v>
      </c>
      <c r="E482" s="269">
        <v>421.92</v>
      </c>
      <c r="F482" s="268">
        <v>0.36625000000000002</v>
      </c>
      <c r="G482" s="91"/>
      <c r="H482" s="91"/>
    </row>
    <row r="483" spans="1:8" x14ac:dyDescent="0.25">
      <c r="A483" s="91">
        <f t="shared" si="7"/>
        <v>130</v>
      </c>
      <c r="B483" s="53" t="s">
        <v>1301</v>
      </c>
      <c r="C483" s="91"/>
      <c r="D483" s="91">
        <v>240</v>
      </c>
      <c r="E483" s="269"/>
      <c r="F483" s="268">
        <v>0.36625000000000002</v>
      </c>
      <c r="G483" s="91"/>
      <c r="H483" s="91"/>
    </row>
    <row r="484" spans="1:8" x14ac:dyDescent="0.25">
      <c r="A484" s="91">
        <f t="shared" si="7"/>
        <v>130</v>
      </c>
      <c r="B484" s="53" t="s">
        <v>1301</v>
      </c>
      <c r="C484" s="91"/>
      <c r="D484" s="91">
        <v>400</v>
      </c>
      <c r="E484" s="269"/>
      <c r="F484" s="268">
        <v>0.36625000000000002</v>
      </c>
      <c r="G484" s="91"/>
      <c r="H484" s="91"/>
    </row>
    <row r="485" spans="1:8" x14ac:dyDescent="0.25">
      <c r="A485" s="91">
        <f t="shared" si="7"/>
        <v>130</v>
      </c>
      <c r="B485" s="53" t="s">
        <v>1301</v>
      </c>
      <c r="C485" s="91"/>
      <c r="D485" s="91">
        <v>120</v>
      </c>
      <c r="E485" s="269"/>
      <c r="F485" s="268">
        <v>0.36625000000000002</v>
      </c>
      <c r="G485" s="91"/>
      <c r="H485" s="91"/>
    </row>
    <row r="486" spans="1:8" s="7" customFormat="1" x14ac:dyDescent="0.25">
      <c r="A486" s="297">
        <f t="shared" si="7"/>
        <v>130</v>
      </c>
      <c r="B486" s="298" t="s">
        <v>1301</v>
      </c>
      <c r="C486" s="297"/>
      <c r="D486" s="297">
        <v>200</v>
      </c>
      <c r="E486" s="299"/>
      <c r="F486" s="300">
        <v>0.36625000000000002</v>
      </c>
      <c r="G486" s="297"/>
      <c r="H486" s="297"/>
    </row>
    <row r="487" spans="1:8" x14ac:dyDescent="0.25">
      <c r="A487" s="91">
        <f t="shared" si="7"/>
        <v>131</v>
      </c>
      <c r="B487" s="53" t="s">
        <v>1308</v>
      </c>
      <c r="C487" s="91"/>
      <c r="D487" s="91">
        <v>180</v>
      </c>
      <c r="E487" s="269">
        <v>423.36</v>
      </c>
      <c r="F487" s="268">
        <v>0.49</v>
      </c>
      <c r="G487" s="91"/>
      <c r="H487" s="91"/>
    </row>
    <row r="488" spans="1:8" s="7" customFormat="1" x14ac:dyDescent="0.25">
      <c r="A488" s="297">
        <f t="shared" si="7"/>
        <v>131</v>
      </c>
      <c r="B488" s="298" t="s">
        <v>1308</v>
      </c>
      <c r="C488" s="297"/>
      <c r="D488" s="297">
        <v>684</v>
      </c>
      <c r="E488" s="299"/>
      <c r="F488" s="300">
        <v>0.49</v>
      </c>
      <c r="G488" s="297"/>
      <c r="H488" s="297"/>
    </row>
    <row r="489" spans="1:8" x14ac:dyDescent="0.25">
      <c r="A489" s="91">
        <f t="shared" si="7"/>
        <v>132</v>
      </c>
      <c r="B489" s="53" t="s">
        <v>1311</v>
      </c>
      <c r="C489" s="91"/>
      <c r="D489" s="91">
        <v>120</v>
      </c>
      <c r="E489" s="269">
        <v>58.8</v>
      </c>
      <c r="F489" s="268">
        <v>0.49</v>
      </c>
      <c r="G489" s="91"/>
      <c r="H489" s="91"/>
    </row>
    <row r="490" spans="1:8" x14ac:dyDescent="0.25">
      <c r="A490" s="91">
        <f t="shared" si="7"/>
        <v>133</v>
      </c>
      <c r="B490" s="53" t="s">
        <v>944</v>
      </c>
      <c r="C490" s="91"/>
      <c r="D490" s="91">
        <v>192</v>
      </c>
      <c r="E490" s="269">
        <v>1310.32</v>
      </c>
      <c r="F490" s="268">
        <v>0.36478841870824102</v>
      </c>
      <c r="G490" s="91"/>
      <c r="H490" s="91"/>
    </row>
    <row r="491" spans="1:8" x14ac:dyDescent="0.25">
      <c r="A491" s="91">
        <f t="shared" si="7"/>
        <v>133</v>
      </c>
      <c r="B491" s="53" t="s">
        <v>944</v>
      </c>
      <c r="C491" s="91"/>
      <c r="D491" s="91">
        <v>800</v>
      </c>
      <c r="E491" s="269"/>
      <c r="F491" s="268">
        <v>0.36478841870824102</v>
      </c>
      <c r="G491" s="91"/>
      <c r="H491" s="91"/>
    </row>
    <row r="492" spans="1:8" x14ac:dyDescent="0.25">
      <c r="A492" s="91">
        <f t="shared" si="7"/>
        <v>133</v>
      </c>
      <c r="B492" s="53" t="s">
        <v>944</v>
      </c>
      <c r="C492" s="91"/>
      <c r="D492" s="91">
        <v>240</v>
      </c>
      <c r="E492" s="269"/>
      <c r="F492" s="268">
        <v>0.36478841870824102</v>
      </c>
      <c r="G492" s="91"/>
      <c r="H492" s="91"/>
    </row>
    <row r="493" spans="1:8" x14ac:dyDescent="0.25">
      <c r="A493" s="91">
        <f t="shared" si="7"/>
        <v>133</v>
      </c>
      <c r="B493" s="53" t="s">
        <v>944</v>
      </c>
      <c r="C493" s="91"/>
      <c r="D493" s="91">
        <v>280</v>
      </c>
      <c r="E493" s="269"/>
      <c r="F493" s="268">
        <v>0.36478841870824102</v>
      </c>
      <c r="G493" s="91"/>
      <c r="H493" s="91"/>
    </row>
    <row r="494" spans="1:8" x14ac:dyDescent="0.25">
      <c r="A494" s="91">
        <f t="shared" si="7"/>
        <v>133</v>
      </c>
      <c r="B494" s="53" t="s">
        <v>944</v>
      </c>
      <c r="C494" s="91"/>
      <c r="D494" s="91">
        <v>1000</v>
      </c>
      <c r="E494" s="269"/>
      <c r="F494" s="268">
        <v>0.36478841870824102</v>
      </c>
      <c r="G494" s="91"/>
      <c r="H494" s="91"/>
    </row>
    <row r="495" spans="1:8" x14ac:dyDescent="0.25">
      <c r="A495" s="91">
        <f t="shared" si="7"/>
        <v>133</v>
      </c>
      <c r="B495" s="53" t="s">
        <v>944</v>
      </c>
      <c r="C495" s="91"/>
      <c r="D495" s="91">
        <v>900</v>
      </c>
      <c r="E495" s="269"/>
      <c r="F495" s="268">
        <v>0.36478841870824102</v>
      </c>
      <c r="G495" s="91"/>
      <c r="H495" s="91"/>
    </row>
    <row r="496" spans="1:8" x14ac:dyDescent="0.25">
      <c r="A496" s="91">
        <f t="shared" si="7"/>
        <v>133</v>
      </c>
      <c r="B496" s="53" t="s">
        <v>944</v>
      </c>
      <c r="C496" s="91"/>
      <c r="D496" s="91">
        <v>180</v>
      </c>
      <c r="E496" s="269"/>
      <c r="F496" s="268">
        <v>0.36478841870824102</v>
      </c>
      <c r="G496" s="91"/>
      <c r="H496" s="91"/>
    </row>
    <row r="497" spans="1:8" x14ac:dyDescent="0.25">
      <c r="A497" s="91">
        <f t="shared" si="7"/>
        <v>134</v>
      </c>
      <c r="B497" s="53" t="s">
        <v>1151</v>
      </c>
      <c r="C497" s="91"/>
      <c r="D497" s="91">
        <v>100</v>
      </c>
      <c r="E497" s="269">
        <v>1096.5999999999999</v>
      </c>
      <c r="F497" s="268">
        <v>0.326369047619048</v>
      </c>
      <c r="G497" s="91"/>
      <c r="H497" s="91"/>
    </row>
    <row r="498" spans="1:8" x14ac:dyDescent="0.25">
      <c r="A498" s="91">
        <f t="shared" si="7"/>
        <v>134</v>
      </c>
      <c r="B498" s="53" t="s">
        <v>1151</v>
      </c>
      <c r="C498" s="91"/>
      <c r="D498" s="91">
        <v>2000</v>
      </c>
      <c r="E498" s="269"/>
      <c r="F498" s="268">
        <v>0.326369047619048</v>
      </c>
      <c r="G498" s="91"/>
      <c r="H498" s="91"/>
    </row>
    <row r="499" spans="1:8" x14ac:dyDescent="0.25">
      <c r="A499" s="91">
        <f t="shared" si="7"/>
        <v>134</v>
      </c>
      <c r="B499" s="53" t="s">
        <v>1151</v>
      </c>
      <c r="C499" s="91"/>
      <c r="D499" s="91">
        <v>360</v>
      </c>
      <c r="E499" s="269"/>
      <c r="F499" s="268">
        <v>0.326369047619048</v>
      </c>
      <c r="G499" s="91"/>
      <c r="H499" s="91"/>
    </row>
    <row r="500" spans="1:8" x14ac:dyDescent="0.25">
      <c r="A500" s="91">
        <f t="shared" si="7"/>
        <v>134</v>
      </c>
      <c r="B500" s="53" t="s">
        <v>1151</v>
      </c>
      <c r="C500" s="91"/>
      <c r="D500" s="91">
        <v>200</v>
      </c>
      <c r="E500" s="269"/>
      <c r="F500" s="268">
        <v>0.326369047619048</v>
      </c>
      <c r="G500" s="91"/>
      <c r="H500" s="91"/>
    </row>
    <row r="501" spans="1:8" x14ac:dyDescent="0.25">
      <c r="A501" s="91">
        <f t="shared" si="7"/>
        <v>134</v>
      </c>
      <c r="B501" s="53" t="s">
        <v>1151</v>
      </c>
      <c r="C501" s="91"/>
      <c r="D501" s="91">
        <v>400</v>
      </c>
      <c r="E501" s="269"/>
      <c r="F501" s="268">
        <v>0.326369047619048</v>
      </c>
      <c r="G501" s="91"/>
      <c r="H501" s="91"/>
    </row>
    <row r="502" spans="1:8" x14ac:dyDescent="0.25">
      <c r="A502" s="91">
        <f t="shared" si="7"/>
        <v>134</v>
      </c>
      <c r="B502" s="53" t="s">
        <v>1151</v>
      </c>
      <c r="C502" s="91"/>
      <c r="D502" s="91">
        <v>120</v>
      </c>
      <c r="E502" s="269"/>
      <c r="F502" s="268">
        <v>0.326369047619048</v>
      </c>
      <c r="G502" s="91"/>
      <c r="H502" s="91"/>
    </row>
    <row r="503" spans="1:8" x14ac:dyDescent="0.25">
      <c r="A503" s="91">
        <f t="shared" si="7"/>
        <v>135</v>
      </c>
      <c r="B503" s="53" t="s">
        <v>1159</v>
      </c>
      <c r="C503" s="91"/>
      <c r="D503" s="91">
        <v>90</v>
      </c>
      <c r="E503" s="269"/>
      <c r="F503" s="268">
        <v>0.326369047619048</v>
      </c>
      <c r="G503" s="91"/>
      <c r="H503" s="91"/>
    </row>
    <row r="504" spans="1:8" x14ac:dyDescent="0.25">
      <c r="A504" s="91">
        <f t="shared" si="7"/>
        <v>135</v>
      </c>
      <c r="B504" s="53" t="s">
        <v>1159</v>
      </c>
      <c r="C504" s="91"/>
      <c r="D504" s="91">
        <v>90</v>
      </c>
      <c r="E504" s="269"/>
      <c r="F504" s="268">
        <v>0.326369047619048</v>
      </c>
      <c r="G504" s="91"/>
      <c r="H504" s="91"/>
    </row>
    <row r="505" spans="1:8" s="7" customFormat="1" x14ac:dyDescent="0.25">
      <c r="A505" s="297">
        <f t="shared" si="7"/>
        <v>136</v>
      </c>
      <c r="B505" s="298" t="s">
        <v>1178</v>
      </c>
      <c r="C505" s="297"/>
      <c r="D505" s="297">
        <v>288</v>
      </c>
      <c r="E505" s="299">
        <v>141.12</v>
      </c>
      <c r="F505" s="300">
        <v>0.49</v>
      </c>
      <c r="G505" s="297"/>
      <c r="H505" s="297"/>
    </row>
    <row r="506" spans="1:8" x14ac:dyDescent="0.25">
      <c r="A506" s="91">
        <f t="shared" si="7"/>
        <v>137</v>
      </c>
      <c r="B506" s="53" t="s">
        <v>1317</v>
      </c>
      <c r="C506" s="91"/>
      <c r="D506" s="91">
        <v>210</v>
      </c>
      <c r="E506" s="269">
        <v>123</v>
      </c>
      <c r="F506" s="268">
        <v>0.41</v>
      </c>
      <c r="G506" s="91"/>
      <c r="H506" s="91"/>
    </row>
    <row r="507" spans="1:8" s="7" customFormat="1" x14ac:dyDescent="0.25">
      <c r="A507" s="297">
        <f t="shared" si="7"/>
        <v>137</v>
      </c>
      <c r="B507" s="298" t="s">
        <v>1317</v>
      </c>
      <c r="C507" s="297"/>
      <c r="D507" s="297">
        <v>90</v>
      </c>
      <c r="E507" s="299"/>
      <c r="F507" s="268">
        <v>0.41</v>
      </c>
      <c r="G507" s="297"/>
      <c r="H507" s="297"/>
    </row>
    <row r="508" spans="1:8" x14ac:dyDescent="0.25">
      <c r="A508" s="91">
        <f t="shared" si="7"/>
        <v>138</v>
      </c>
      <c r="B508" s="53" t="s">
        <v>1321</v>
      </c>
      <c r="C508" s="91"/>
      <c r="D508" s="91">
        <v>480</v>
      </c>
      <c r="E508" s="269">
        <v>819.8</v>
      </c>
      <c r="F508" s="268">
        <v>0.35643478260869599</v>
      </c>
      <c r="G508" s="91"/>
      <c r="H508" s="91"/>
    </row>
    <row r="509" spans="1:8" x14ac:dyDescent="0.25">
      <c r="A509" s="91">
        <f t="shared" si="7"/>
        <v>138</v>
      </c>
      <c r="B509" s="53" t="s">
        <v>1321</v>
      </c>
      <c r="C509" s="91"/>
      <c r="D509" s="91">
        <v>390</v>
      </c>
      <c r="E509" s="269"/>
      <c r="F509" s="268">
        <v>0.35643478260869599</v>
      </c>
      <c r="G509" s="91"/>
      <c r="H509" s="91"/>
    </row>
    <row r="510" spans="1:8" x14ac:dyDescent="0.25">
      <c r="A510" s="91">
        <f t="shared" si="7"/>
        <v>138</v>
      </c>
      <c r="B510" s="53" t="s">
        <v>1321</v>
      </c>
      <c r="C510" s="91"/>
      <c r="D510" s="91">
        <v>280</v>
      </c>
      <c r="E510" s="269"/>
      <c r="F510" s="268">
        <v>0.35643478260869599</v>
      </c>
      <c r="G510" s="91"/>
      <c r="H510" s="91"/>
    </row>
    <row r="511" spans="1:8" x14ac:dyDescent="0.25">
      <c r="A511" s="91">
        <f t="shared" si="7"/>
        <v>138</v>
      </c>
      <c r="B511" s="53" t="s">
        <v>1321</v>
      </c>
      <c r="C511" s="91"/>
      <c r="D511" s="91">
        <v>400</v>
      </c>
      <c r="E511" s="269"/>
      <c r="F511" s="268">
        <v>0.35643478260869599</v>
      </c>
      <c r="G511" s="91"/>
      <c r="H511" s="91"/>
    </row>
    <row r="512" spans="1:8" x14ac:dyDescent="0.25">
      <c r="A512" s="91">
        <f t="shared" si="7"/>
        <v>138</v>
      </c>
      <c r="B512" s="53" t="s">
        <v>1321</v>
      </c>
      <c r="C512" s="91"/>
      <c r="D512" s="91">
        <v>400</v>
      </c>
      <c r="E512" s="269"/>
      <c r="F512" s="268">
        <v>0.35643478260869599</v>
      </c>
      <c r="G512" s="91"/>
      <c r="H512" s="91"/>
    </row>
    <row r="513" spans="1:8" x14ac:dyDescent="0.25">
      <c r="A513" s="91">
        <f t="shared" si="7"/>
        <v>138</v>
      </c>
      <c r="B513" s="53" t="s">
        <v>1321</v>
      </c>
      <c r="C513" s="91"/>
      <c r="D513" s="91">
        <v>150</v>
      </c>
      <c r="E513" s="269"/>
      <c r="F513" s="268">
        <v>0.35643478260869599</v>
      </c>
      <c r="G513" s="91"/>
      <c r="H513" s="91"/>
    </row>
    <row r="514" spans="1:8" s="7" customFormat="1" x14ac:dyDescent="0.25">
      <c r="A514" s="297">
        <f t="shared" si="7"/>
        <v>138</v>
      </c>
      <c r="B514" s="298" t="s">
        <v>1321</v>
      </c>
      <c r="C514" s="297"/>
      <c r="D514" s="297">
        <v>200</v>
      </c>
      <c r="E514" s="299"/>
      <c r="F514" s="268">
        <v>0.35643478260869599</v>
      </c>
      <c r="G514" s="297"/>
      <c r="H514" s="297"/>
    </row>
    <row r="515" spans="1:8" x14ac:dyDescent="0.25">
      <c r="A515" s="91">
        <f t="shared" si="7"/>
        <v>139</v>
      </c>
      <c r="B515" s="53" t="s">
        <v>1329</v>
      </c>
      <c r="C515" s="91"/>
      <c r="D515" s="91">
        <v>900</v>
      </c>
      <c r="E515" s="269">
        <v>961.38</v>
      </c>
      <c r="F515" s="268">
        <v>0.49</v>
      </c>
      <c r="G515" s="91"/>
      <c r="H515" s="91"/>
    </row>
    <row r="516" spans="1:8" x14ac:dyDescent="0.25">
      <c r="A516" s="91">
        <f t="shared" ref="A516:A579" si="8">IF(B516=B515,A515,A515+1)</f>
        <v>139</v>
      </c>
      <c r="B516" s="53" t="s">
        <v>1329</v>
      </c>
      <c r="C516" s="91"/>
      <c r="D516" s="91">
        <v>900</v>
      </c>
      <c r="E516" s="269"/>
      <c r="F516" s="268">
        <v>0.49</v>
      </c>
      <c r="G516" s="91"/>
      <c r="H516" s="91"/>
    </row>
    <row r="517" spans="1:8" s="7" customFormat="1" x14ac:dyDescent="0.25">
      <c r="A517" s="297">
        <f t="shared" si="8"/>
        <v>139</v>
      </c>
      <c r="B517" s="298" t="s">
        <v>1329</v>
      </c>
      <c r="C517" s="297"/>
      <c r="D517" s="297">
        <v>162</v>
      </c>
      <c r="E517" s="299"/>
      <c r="F517" s="268">
        <v>0.49</v>
      </c>
      <c r="G517" s="297"/>
      <c r="H517" s="297"/>
    </row>
    <row r="518" spans="1:8" s="8" customFormat="1" x14ac:dyDescent="0.25">
      <c r="A518" s="301">
        <f t="shared" si="8"/>
        <v>140</v>
      </c>
      <c r="B518" s="302" t="s">
        <v>1335</v>
      </c>
      <c r="C518" s="301"/>
      <c r="D518" s="301">
        <v>900</v>
      </c>
      <c r="E518" s="303">
        <v>306</v>
      </c>
      <c r="F518" s="304">
        <v>0.34</v>
      </c>
      <c r="G518" s="301"/>
      <c r="H518" s="301"/>
    </row>
    <row r="519" spans="1:8" s="8" customFormat="1" x14ac:dyDescent="0.25">
      <c r="A519" s="301">
        <f t="shared" si="8"/>
        <v>141</v>
      </c>
      <c r="B519" s="302" t="s">
        <v>1348</v>
      </c>
      <c r="C519" s="301"/>
      <c r="D519" s="301">
        <v>270</v>
      </c>
      <c r="E519" s="303">
        <v>110.7</v>
      </c>
      <c r="F519" s="304">
        <v>0.41</v>
      </c>
      <c r="G519" s="301"/>
      <c r="H519" s="301"/>
    </row>
    <row r="520" spans="1:8" x14ac:dyDescent="0.25">
      <c r="A520" s="91">
        <f t="shared" si="8"/>
        <v>142</v>
      </c>
      <c r="B520" s="53" t="s">
        <v>1350</v>
      </c>
      <c r="C520" s="91"/>
      <c r="D520" s="91">
        <v>500</v>
      </c>
      <c r="E520" s="269">
        <v>1281.2</v>
      </c>
      <c r="F520" s="268">
        <v>0.36816091954023</v>
      </c>
      <c r="G520" s="91"/>
      <c r="H520" s="91"/>
    </row>
    <row r="521" spans="1:8" x14ac:dyDescent="0.25">
      <c r="A521" s="91">
        <f t="shared" si="8"/>
        <v>142</v>
      </c>
      <c r="B521" s="53" t="s">
        <v>1350</v>
      </c>
      <c r="C521" s="91"/>
      <c r="D521" s="91">
        <v>1200</v>
      </c>
      <c r="E521" s="269"/>
      <c r="F521" s="268">
        <v>0.36816091954023</v>
      </c>
      <c r="G521" s="91"/>
      <c r="H521" s="91"/>
    </row>
    <row r="522" spans="1:8" x14ac:dyDescent="0.25">
      <c r="A522" s="91">
        <f t="shared" si="8"/>
        <v>142</v>
      </c>
      <c r="B522" s="53" t="s">
        <v>1350</v>
      </c>
      <c r="C522" s="91"/>
      <c r="D522" s="91">
        <v>450</v>
      </c>
      <c r="E522" s="269"/>
      <c r="F522" s="268">
        <v>0.36816091954023</v>
      </c>
      <c r="G522" s="91"/>
      <c r="H522" s="91"/>
    </row>
    <row r="523" spans="1:8" x14ac:dyDescent="0.25">
      <c r="A523" s="91">
        <f t="shared" si="8"/>
        <v>142</v>
      </c>
      <c r="B523" s="53" t="s">
        <v>1350</v>
      </c>
      <c r="C523" s="91"/>
      <c r="D523" s="91">
        <v>600</v>
      </c>
      <c r="E523" s="269"/>
      <c r="F523" s="268">
        <v>0.36816091954023</v>
      </c>
      <c r="G523" s="91"/>
      <c r="H523" s="91"/>
    </row>
    <row r="524" spans="1:8" x14ac:dyDescent="0.25">
      <c r="A524" s="91">
        <f t="shared" si="8"/>
        <v>142</v>
      </c>
      <c r="B524" s="53" t="s">
        <v>1350</v>
      </c>
      <c r="C524" s="91"/>
      <c r="D524" s="91">
        <v>280</v>
      </c>
      <c r="E524" s="269"/>
      <c r="F524" s="268">
        <v>0.36816091954023</v>
      </c>
      <c r="G524" s="91"/>
      <c r="H524" s="91"/>
    </row>
    <row r="525" spans="1:8" x14ac:dyDescent="0.25">
      <c r="A525" s="91">
        <f t="shared" si="8"/>
        <v>142</v>
      </c>
      <c r="B525" s="53" t="s">
        <v>1350</v>
      </c>
      <c r="C525" s="91"/>
      <c r="D525" s="91">
        <v>330</v>
      </c>
      <c r="E525" s="269"/>
      <c r="F525" s="268">
        <v>0.36816091954023</v>
      </c>
      <c r="G525" s="91"/>
      <c r="H525" s="91"/>
    </row>
    <row r="526" spans="1:8" s="7" customFormat="1" x14ac:dyDescent="0.25">
      <c r="A526" s="297">
        <f t="shared" si="8"/>
        <v>142</v>
      </c>
      <c r="B526" s="298" t="s">
        <v>1350</v>
      </c>
      <c r="C526" s="297"/>
      <c r="D526" s="297">
        <v>120</v>
      </c>
      <c r="E526" s="299"/>
      <c r="F526" s="268">
        <v>0.36816091954023</v>
      </c>
      <c r="G526" s="297"/>
      <c r="H526" s="297"/>
    </row>
    <row r="527" spans="1:8" x14ac:dyDescent="0.25">
      <c r="A527" s="91">
        <f t="shared" si="8"/>
        <v>143</v>
      </c>
      <c r="B527" s="53" t="s">
        <v>1358</v>
      </c>
      <c r="C527" s="91"/>
      <c r="D527" s="91">
        <v>108</v>
      </c>
      <c r="E527" s="269">
        <v>82.44</v>
      </c>
      <c r="F527" s="268">
        <v>0.45800000000000002</v>
      </c>
      <c r="G527" s="91"/>
      <c r="H527" s="91"/>
    </row>
    <row r="528" spans="1:8" s="7" customFormat="1" x14ac:dyDescent="0.25">
      <c r="A528" s="297">
        <f t="shared" si="8"/>
        <v>143</v>
      </c>
      <c r="B528" s="298" t="s">
        <v>1358</v>
      </c>
      <c r="C528" s="297"/>
      <c r="D528" s="297">
        <v>72</v>
      </c>
      <c r="E528" s="299"/>
      <c r="F528" s="268">
        <v>0.45800000000000002</v>
      </c>
      <c r="G528" s="297"/>
      <c r="H528" s="297"/>
    </row>
    <row r="529" spans="1:8" s="8" customFormat="1" x14ac:dyDescent="0.25">
      <c r="A529" s="301">
        <f t="shared" si="8"/>
        <v>144</v>
      </c>
      <c r="B529" s="302" t="s">
        <v>1361</v>
      </c>
      <c r="C529" s="301"/>
      <c r="D529" s="301">
        <v>516</v>
      </c>
      <c r="E529" s="303">
        <v>252.84</v>
      </c>
      <c r="F529" s="304">
        <v>0.49</v>
      </c>
      <c r="G529" s="301"/>
      <c r="H529" s="301"/>
    </row>
    <row r="530" spans="1:8" s="8" customFormat="1" x14ac:dyDescent="0.25">
      <c r="A530" s="301">
        <f t="shared" si="8"/>
        <v>145</v>
      </c>
      <c r="B530" s="302" t="s">
        <v>1364</v>
      </c>
      <c r="C530" s="301"/>
      <c r="D530" s="301">
        <v>612</v>
      </c>
      <c r="E530" s="303">
        <v>299.88</v>
      </c>
      <c r="F530" s="304">
        <v>0.49</v>
      </c>
      <c r="G530" s="301"/>
      <c r="H530" s="301"/>
    </row>
    <row r="531" spans="1:8" x14ac:dyDescent="0.25">
      <c r="A531" s="91">
        <f t="shared" si="8"/>
        <v>146</v>
      </c>
      <c r="B531" s="53" t="s">
        <v>1368</v>
      </c>
      <c r="C531" s="91"/>
      <c r="D531" s="91">
        <v>80</v>
      </c>
      <c r="E531" s="269">
        <v>236</v>
      </c>
      <c r="F531" s="268">
        <v>0.42142857142857099</v>
      </c>
      <c r="G531" s="91"/>
      <c r="H531" s="91"/>
    </row>
    <row r="532" spans="1:8" x14ac:dyDescent="0.25">
      <c r="A532" s="91">
        <f t="shared" si="8"/>
        <v>146</v>
      </c>
      <c r="B532" s="53" t="s">
        <v>1368</v>
      </c>
      <c r="C532" s="91"/>
      <c r="D532" s="91">
        <v>300</v>
      </c>
      <c r="E532" s="269"/>
      <c r="F532" s="268">
        <v>0.42142857142857099</v>
      </c>
      <c r="G532" s="91"/>
      <c r="H532" s="91"/>
    </row>
    <row r="533" spans="1:8" s="7" customFormat="1" x14ac:dyDescent="0.25">
      <c r="A533" s="297">
        <f t="shared" si="8"/>
        <v>146</v>
      </c>
      <c r="B533" s="298" t="s">
        <v>1368</v>
      </c>
      <c r="C533" s="297"/>
      <c r="D533" s="297">
        <v>180</v>
      </c>
      <c r="E533" s="299"/>
      <c r="F533" s="268">
        <v>0.42142857142857099</v>
      </c>
      <c r="G533" s="297"/>
      <c r="H533" s="297"/>
    </row>
    <row r="534" spans="1:8" x14ac:dyDescent="0.25">
      <c r="A534" s="91">
        <f t="shared" si="8"/>
        <v>147</v>
      </c>
      <c r="B534" s="53" t="s">
        <v>1373</v>
      </c>
      <c r="C534" s="91"/>
      <c r="D534" s="91">
        <v>320</v>
      </c>
      <c r="E534" s="269">
        <v>947.2</v>
      </c>
      <c r="F534" s="268">
        <v>0.34823529411764698</v>
      </c>
      <c r="G534" s="91"/>
      <c r="H534" s="91"/>
    </row>
    <row r="535" spans="1:8" x14ac:dyDescent="0.25">
      <c r="A535" s="91">
        <f t="shared" si="8"/>
        <v>147</v>
      </c>
      <c r="B535" s="53" t="s">
        <v>1373</v>
      </c>
      <c r="C535" s="91"/>
      <c r="D535" s="91">
        <v>1600</v>
      </c>
      <c r="E535" s="269"/>
      <c r="F535" s="268">
        <v>0.34823529411764698</v>
      </c>
      <c r="G535" s="91"/>
      <c r="H535" s="91"/>
    </row>
    <row r="536" spans="1:8" x14ac:dyDescent="0.25">
      <c r="A536" s="91">
        <f t="shared" si="8"/>
        <v>147</v>
      </c>
      <c r="B536" s="53" t="s">
        <v>1373</v>
      </c>
      <c r="C536" s="91"/>
      <c r="D536" s="91">
        <v>200</v>
      </c>
      <c r="E536" s="269"/>
      <c r="F536" s="268">
        <v>0.34823529411764698</v>
      </c>
      <c r="G536" s="91"/>
      <c r="H536" s="91"/>
    </row>
    <row r="537" spans="1:8" x14ac:dyDescent="0.25">
      <c r="A537" s="91">
        <f t="shared" si="8"/>
        <v>147</v>
      </c>
      <c r="B537" s="53" t="s">
        <v>1373</v>
      </c>
      <c r="C537" s="91"/>
      <c r="D537" s="91">
        <v>360</v>
      </c>
      <c r="E537" s="269"/>
      <c r="F537" s="268">
        <v>0.34823529411764698</v>
      </c>
      <c r="G537" s="91"/>
      <c r="H537" s="91"/>
    </row>
    <row r="538" spans="1:8" s="7" customFormat="1" x14ac:dyDescent="0.25">
      <c r="A538" s="297">
        <f t="shared" si="8"/>
        <v>147</v>
      </c>
      <c r="B538" s="298" t="s">
        <v>1373</v>
      </c>
      <c r="C538" s="297"/>
      <c r="D538" s="297">
        <v>240</v>
      </c>
      <c r="E538" s="299"/>
      <c r="F538" s="268">
        <v>0.34823529411764698</v>
      </c>
      <c r="G538" s="297"/>
      <c r="H538" s="297"/>
    </row>
    <row r="539" spans="1:8" x14ac:dyDescent="0.25">
      <c r="A539" s="91">
        <f t="shared" si="8"/>
        <v>148</v>
      </c>
      <c r="B539" s="53" t="s">
        <v>1380</v>
      </c>
      <c r="C539" s="91"/>
      <c r="D539" s="91">
        <v>280</v>
      </c>
      <c r="E539" s="269">
        <v>136</v>
      </c>
      <c r="F539" s="268">
        <v>0.34</v>
      </c>
      <c r="G539" s="91"/>
      <c r="H539" s="91"/>
    </row>
    <row r="540" spans="1:8" s="7" customFormat="1" x14ac:dyDescent="0.25">
      <c r="A540" s="297">
        <f t="shared" si="8"/>
        <v>148</v>
      </c>
      <c r="B540" s="298" t="s">
        <v>1380</v>
      </c>
      <c r="C540" s="297"/>
      <c r="D540" s="297">
        <v>120</v>
      </c>
      <c r="E540" s="299"/>
      <c r="F540" s="268">
        <v>0.34</v>
      </c>
      <c r="G540" s="297"/>
      <c r="H540" s="297"/>
    </row>
    <row r="541" spans="1:8" s="8" customFormat="1" x14ac:dyDescent="0.25">
      <c r="A541" s="301">
        <f t="shared" si="8"/>
        <v>149</v>
      </c>
      <c r="B541" s="302" t="s">
        <v>1386</v>
      </c>
      <c r="C541" s="301"/>
      <c r="D541" s="301">
        <v>600</v>
      </c>
      <c r="E541" s="303">
        <v>246</v>
      </c>
      <c r="F541" s="304">
        <v>0.41</v>
      </c>
      <c r="G541" s="301"/>
      <c r="H541" s="301"/>
    </row>
    <row r="542" spans="1:8" x14ac:dyDescent="0.25">
      <c r="A542" s="91">
        <f t="shared" si="8"/>
        <v>150</v>
      </c>
      <c r="B542" s="53" t="s">
        <v>1390</v>
      </c>
      <c r="C542" s="91"/>
      <c r="D542" s="91">
        <v>1350</v>
      </c>
      <c r="E542" s="269">
        <v>581.4</v>
      </c>
      <c r="F542" s="268">
        <v>0.34</v>
      </c>
      <c r="G542" s="91"/>
      <c r="H542" s="91"/>
    </row>
    <row r="543" spans="1:8" s="7" customFormat="1" x14ac:dyDescent="0.25">
      <c r="A543" s="297">
        <f t="shared" si="8"/>
        <v>150</v>
      </c>
      <c r="B543" s="298" t="s">
        <v>1390</v>
      </c>
      <c r="C543" s="297"/>
      <c r="D543" s="297">
        <v>360</v>
      </c>
      <c r="E543" s="299"/>
      <c r="F543" s="268">
        <v>0.34</v>
      </c>
      <c r="G543" s="297"/>
      <c r="H543" s="297"/>
    </row>
    <row r="544" spans="1:8" s="8" customFormat="1" x14ac:dyDescent="0.25">
      <c r="A544" s="301">
        <f t="shared" si="8"/>
        <v>151</v>
      </c>
      <c r="B544" s="302" t="s">
        <v>1394</v>
      </c>
      <c r="C544" s="301"/>
      <c r="D544" s="301">
        <v>208</v>
      </c>
      <c r="E544" s="303">
        <v>101.92</v>
      </c>
      <c r="F544" s="304">
        <v>0.49</v>
      </c>
      <c r="G544" s="301"/>
      <c r="H544" s="301"/>
    </row>
    <row r="545" spans="1:8" s="8" customFormat="1" x14ac:dyDescent="0.25">
      <c r="A545" s="301">
        <f t="shared" si="8"/>
        <v>152</v>
      </c>
      <c r="B545" s="302" t="s">
        <v>1397</v>
      </c>
      <c r="C545" s="301"/>
      <c r="D545" s="301">
        <v>288</v>
      </c>
      <c r="E545" s="303">
        <v>141.12</v>
      </c>
      <c r="F545" s="304">
        <v>0.49</v>
      </c>
      <c r="G545" s="301"/>
      <c r="H545" s="301"/>
    </row>
    <row r="546" spans="1:8" x14ac:dyDescent="0.25">
      <c r="A546" s="91">
        <f t="shared" si="8"/>
        <v>153</v>
      </c>
      <c r="B546" s="53" t="s">
        <v>1400</v>
      </c>
      <c r="C546" s="91" t="s">
        <v>115</v>
      </c>
      <c r="D546" s="91">
        <v>1590</v>
      </c>
      <c r="E546" s="269">
        <v>947.1</v>
      </c>
      <c r="F546" s="268">
        <v>0.41</v>
      </c>
      <c r="G546" s="91"/>
      <c r="H546" s="91"/>
    </row>
    <row r="547" spans="1:8" x14ac:dyDescent="0.25">
      <c r="A547" s="91">
        <f t="shared" si="8"/>
        <v>153</v>
      </c>
      <c r="B547" s="53" t="s">
        <v>1400</v>
      </c>
      <c r="C547" s="91" t="s">
        <v>115</v>
      </c>
      <c r="D547" s="91">
        <v>420</v>
      </c>
      <c r="E547" s="269"/>
      <c r="F547" s="268">
        <v>0.41</v>
      </c>
      <c r="G547" s="91"/>
      <c r="H547" s="91"/>
    </row>
    <row r="548" spans="1:8" s="4" customFormat="1" x14ac:dyDescent="0.25">
      <c r="A548" s="286">
        <f t="shared" si="8"/>
        <v>153</v>
      </c>
      <c r="B548" s="287" t="s">
        <v>1400</v>
      </c>
      <c r="C548" s="286" t="s">
        <v>115</v>
      </c>
      <c r="D548" s="286">
        <v>300</v>
      </c>
      <c r="E548" s="276"/>
      <c r="F548" s="268">
        <v>0.41</v>
      </c>
      <c r="G548" s="286"/>
      <c r="H548" s="286"/>
    </row>
    <row r="549" spans="1:8" x14ac:dyDescent="0.25">
      <c r="A549" s="91">
        <f t="shared" si="8"/>
        <v>154</v>
      </c>
      <c r="B549" s="53" t="s">
        <v>1404</v>
      </c>
      <c r="C549" s="91" t="s">
        <v>97</v>
      </c>
      <c r="D549" s="91">
        <v>1600</v>
      </c>
      <c r="E549" s="269">
        <v>1103.4000000000001</v>
      </c>
      <c r="F549" s="268">
        <v>0.36058823529411799</v>
      </c>
      <c r="G549" s="91"/>
      <c r="H549" s="91"/>
    </row>
    <row r="550" spans="1:8" x14ac:dyDescent="0.25">
      <c r="A550" s="91">
        <f t="shared" si="8"/>
        <v>154</v>
      </c>
      <c r="B550" s="53" t="s">
        <v>1404</v>
      </c>
      <c r="C550" s="91" t="s">
        <v>97</v>
      </c>
      <c r="D550" s="91">
        <v>300</v>
      </c>
      <c r="E550" s="269"/>
      <c r="F550" s="268">
        <v>0.36058823529411799</v>
      </c>
      <c r="G550" s="91"/>
      <c r="H550" s="91"/>
    </row>
    <row r="551" spans="1:8" x14ac:dyDescent="0.25">
      <c r="A551" s="91">
        <f t="shared" si="8"/>
        <v>154</v>
      </c>
      <c r="B551" s="53" t="s">
        <v>1404</v>
      </c>
      <c r="C551" s="91" t="s">
        <v>97</v>
      </c>
      <c r="D551" s="91">
        <v>200</v>
      </c>
      <c r="E551" s="269"/>
      <c r="F551" s="268">
        <v>0.36058823529411799</v>
      </c>
      <c r="G551" s="91"/>
      <c r="H551" s="91"/>
    </row>
    <row r="552" spans="1:8" x14ac:dyDescent="0.25">
      <c r="A552" s="91">
        <f t="shared" si="8"/>
        <v>154</v>
      </c>
      <c r="B552" s="53" t="s">
        <v>1404</v>
      </c>
      <c r="C552" s="91" t="s">
        <v>97</v>
      </c>
      <c r="D552" s="91">
        <v>200</v>
      </c>
      <c r="E552" s="269"/>
      <c r="F552" s="268">
        <v>0.36058823529411799</v>
      </c>
      <c r="G552" s="91"/>
      <c r="H552" s="91"/>
    </row>
    <row r="553" spans="1:8" x14ac:dyDescent="0.25">
      <c r="A553" s="91">
        <f t="shared" si="8"/>
        <v>154</v>
      </c>
      <c r="B553" s="53" t="s">
        <v>1404</v>
      </c>
      <c r="C553" s="91" t="s">
        <v>97</v>
      </c>
      <c r="D553" s="91">
        <v>600</v>
      </c>
      <c r="E553" s="269"/>
      <c r="F553" s="268">
        <v>0.36058823529411799</v>
      </c>
      <c r="G553" s="91"/>
      <c r="H553" s="91"/>
    </row>
    <row r="554" spans="1:8" s="4" customFormat="1" x14ac:dyDescent="0.25">
      <c r="A554" s="286">
        <f t="shared" si="8"/>
        <v>154</v>
      </c>
      <c r="B554" s="287" t="s">
        <v>1404</v>
      </c>
      <c r="C554" s="286" t="s">
        <v>97</v>
      </c>
      <c r="D554" s="286">
        <v>160</v>
      </c>
      <c r="E554" s="276"/>
      <c r="F554" s="268">
        <v>0.36058823529411799</v>
      </c>
      <c r="G554" s="286"/>
      <c r="H554" s="286"/>
    </row>
    <row r="555" spans="1:8" x14ac:dyDescent="0.25">
      <c r="A555" s="91">
        <f t="shared" si="8"/>
        <v>155</v>
      </c>
      <c r="B555" s="53" t="s">
        <v>1412</v>
      </c>
      <c r="C555" s="91" t="s">
        <v>97</v>
      </c>
      <c r="D555" s="91">
        <v>234</v>
      </c>
      <c r="E555" s="269">
        <v>140.76</v>
      </c>
      <c r="F555" s="268">
        <v>0.34</v>
      </c>
      <c r="G555" s="91"/>
      <c r="H555" s="91"/>
    </row>
    <row r="556" spans="1:8" s="4" customFormat="1" x14ac:dyDescent="0.25">
      <c r="A556" s="286">
        <f t="shared" si="8"/>
        <v>155</v>
      </c>
      <c r="B556" s="287" t="s">
        <v>1412</v>
      </c>
      <c r="C556" s="286" t="s">
        <v>97</v>
      </c>
      <c r="D556" s="286">
        <v>180</v>
      </c>
      <c r="E556" s="276"/>
      <c r="F556" s="268">
        <v>0.34</v>
      </c>
      <c r="G556" s="286"/>
      <c r="H556" s="286"/>
    </row>
    <row r="557" spans="1:8" x14ac:dyDescent="0.25">
      <c r="A557" s="91">
        <f t="shared" si="8"/>
        <v>156</v>
      </c>
      <c r="B557" s="53" t="s">
        <v>1415</v>
      </c>
      <c r="C557" s="91" t="s">
        <v>115</v>
      </c>
      <c r="D557" s="91">
        <v>78</v>
      </c>
      <c r="E557" s="269">
        <v>87.72</v>
      </c>
      <c r="F557" s="268">
        <v>0.34</v>
      </c>
      <c r="G557" s="91"/>
      <c r="H557" s="91"/>
    </row>
    <row r="558" spans="1:8" x14ac:dyDescent="0.25">
      <c r="A558" s="91">
        <f t="shared" si="8"/>
        <v>156</v>
      </c>
      <c r="B558" s="53" t="s">
        <v>1415</v>
      </c>
      <c r="C558" s="91" t="s">
        <v>115</v>
      </c>
      <c r="D558" s="91">
        <v>90</v>
      </c>
      <c r="E558" s="269"/>
      <c r="F558" s="268">
        <v>0.34</v>
      </c>
      <c r="G558" s="91"/>
      <c r="H558" s="91"/>
    </row>
    <row r="559" spans="1:8" s="4" customFormat="1" x14ac:dyDescent="0.25">
      <c r="A559" s="286">
        <f t="shared" si="8"/>
        <v>156</v>
      </c>
      <c r="B559" s="287" t="s">
        <v>1415</v>
      </c>
      <c r="C559" s="286" t="s">
        <v>115</v>
      </c>
      <c r="D559" s="286">
        <v>90</v>
      </c>
      <c r="E559" s="276"/>
      <c r="F559" s="268">
        <v>0.34</v>
      </c>
      <c r="G559" s="286"/>
      <c r="H559" s="286"/>
    </row>
    <row r="560" spans="1:8" x14ac:dyDescent="0.25">
      <c r="A560" s="91">
        <f t="shared" si="8"/>
        <v>157</v>
      </c>
      <c r="B560" s="53" t="s">
        <v>1419</v>
      </c>
      <c r="C560" s="91" t="s">
        <v>287</v>
      </c>
      <c r="D560" s="91">
        <v>144</v>
      </c>
      <c r="E560" s="269">
        <v>431.2</v>
      </c>
      <c r="F560" s="268">
        <v>0.49</v>
      </c>
      <c r="G560" s="91"/>
      <c r="H560" s="91"/>
    </row>
    <row r="561" spans="1:8" x14ac:dyDescent="0.25">
      <c r="A561" s="91">
        <f t="shared" si="8"/>
        <v>157</v>
      </c>
      <c r="B561" s="53" t="s">
        <v>1419</v>
      </c>
      <c r="C561" s="91" t="s">
        <v>287</v>
      </c>
      <c r="D561" s="91">
        <v>320</v>
      </c>
      <c r="E561" s="269"/>
      <c r="F561" s="268">
        <v>0.49</v>
      </c>
      <c r="G561" s="91"/>
      <c r="H561" s="91"/>
    </row>
    <row r="562" spans="1:8" x14ac:dyDescent="0.25">
      <c r="A562" s="91">
        <f t="shared" si="8"/>
        <v>157</v>
      </c>
      <c r="B562" s="53" t="s">
        <v>1419</v>
      </c>
      <c r="C562" s="91" t="s">
        <v>287</v>
      </c>
      <c r="D562" s="91">
        <v>288</v>
      </c>
      <c r="E562" s="269"/>
      <c r="F562" s="268">
        <v>0.49</v>
      </c>
      <c r="G562" s="91"/>
      <c r="H562" s="91"/>
    </row>
    <row r="563" spans="1:8" s="4" customFormat="1" x14ac:dyDescent="0.25">
      <c r="A563" s="286">
        <f t="shared" si="8"/>
        <v>157</v>
      </c>
      <c r="B563" s="287" t="s">
        <v>1419</v>
      </c>
      <c r="C563" s="286" t="s">
        <v>287</v>
      </c>
      <c r="D563" s="286">
        <v>128</v>
      </c>
      <c r="E563" s="276"/>
      <c r="F563" s="268">
        <v>0.49</v>
      </c>
      <c r="G563" s="286"/>
      <c r="H563" s="286"/>
    </row>
    <row r="564" spans="1:8" x14ac:dyDescent="0.25">
      <c r="A564" s="91">
        <f t="shared" si="8"/>
        <v>158</v>
      </c>
      <c r="B564" s="53" t="s">
        <v>1424</v>
      </c>
      <c r="C564" s="91" t="s">
        <v>97</v>
      </c>
      <c r="D564" s="91">
        <v>600</v>
      </c>
      <c r="E564" s="269">
        <v>1337.16</v>
      </c>
      <c r="F564" s="268">
        <v>0.48030172413793099</v>
      </c>
      <c r="G564" s="91"/>
      <c r="H564" s="91"/>
    </row>
    <row r="565" spans="1:8" x14ac:dyDescent="0.25">
      <c r="A565" s="91">
        <f t="shared" si="8"/>
        <v>158</v>
      </c>
      <c r="B565" s="53" t="s">
        <v>1424</v>
      </c>
      <c r="C565" s="91" t="s">
        <v>97</v>
      </c>
      <c r="D565" s="91">
        <v>2004</v>
      </c>
      <c r="E565" s="269"/>
      <c r="F565" s="268">
        <v>0.48030172413793099</v>
      </c>
      <c r="G565" s="91"/>
      <c r="H565" s="91"/>
    </row>
    <row r="566" spans="1:8" x14ac:dyDescent="0.25">
      <c r="A566" s="91">
        <f t="shared" si="8"/>
        <v>158</v>
      </c>
      <c r="B566" s="53" t="s">
        <v>1424</v>
      </c>
      <c r="C566" s="91" t="s">
        <v>97</v>
      </c>
      <c r="D566" s="91">
        <v>90</v>
      </c>
      <c r="E566" s="269"/>
      <c r="F566" s="268">
        <v>0.48030172413793099</v>
      </c>
      <c r="G566" s="91"/>
      <c r="H566" s="91"/>
    </row>
    <row r="567" spans="1:8" s="4" customFormat="1" x14ac:dyDescent="0.25">
      <c r="A567" s="286">
        <f t="shared" si="8"/>
        <v>158</v>
      </c>
      <c r="B567" s="287" t="s">
        <v>1424</v>
      </c>
      <c r="C567" s="286" t="s">
        <v>97</v>
      </c>
      <c r="D567" s="286">
        <v>90</v>
      </c>
      <c r="E567" s="276"/>
      <c r="F567" s="268">
        <v>0.48030172413793099</v>
      </c>
      <c r="G567" s="286"/>
      <c r="H567" s="286"/>
    </row>
    <row r="568" spans="1:8" x14ac:dyDescent="0.25">
      <c r="A568" s="91">
        <f t="shared" si="8"/>
        <v>159</v>
      </c>
      <c r="B568" s="53" t="s">
        <v>1430</v>
      </c>
      <c r="C568" s="91" t="s">
        <v>287</v>
      </c>
      <c r="D568" s="91">
        <v>16</v>
      </c>
      <c r="E568" s="269">
        <v>266.56</v>
      </c>
      <c r="F568" s="268">
        <v>0.49</v>
      </c>
      <c r="G568" s="91"/>
      <c r="H568" s="91"/>
    </row>
    <row r="569" spans="1:8" x14ac:dyDescent="0.25">
      <c r="A569" s="91">
        <f t="shared" si="8"/>
        <v>159</v>
      </c>
      <c r="B569" s="53" t="s">
        <v>1430</v>
      </c>
      <c r="C569" s="91" t="s">
        <v>287</v>
      </c>
      <c r="D569" s="91">
        <v>512</v>
      </c>
      <c r="E569" s="269"/>
      <c r="F569" s="268">
        <v>0.49</v>
      </c>
      <c r="G569" s="91"/>
      <c r="H569" s="91"/>
    </row>
    <row r="570" spans="1:8" x14ac:dyDescent="0.25">
      <c r="A570" s="91">
        <f t="shared" si="8"/>
        <v>159</v>
      </c>
      <c r="B570" s="53" t="s">
        <v>1430</v>
      </c>
      <c r="C570" s="91" t="s">
        <v>287</v>
      </c>
      <c r="D570" s="91">
        <v>2</v>
      </c>
      <c r="E570" s="269"/>
      <c r="F570" s="268">
        <v>0.49</v>
      </c>
      <c r="G570" s="91"/>
      <c r="H570" s="91"/>
    </row>
    <row r="571" spans="1:8" s="4" customFormat="1" x14ac:dyDescent="0.25">
      <c r="A571" s="286">
        <f t="shared" si="8"/>
        <v>159</v>
      </c>
      <c r="B571" s="287" t="s">
        <v>1430</v>
      </c>
      <c r="C571" s="286" t="s">
        <v>287</v>
      </c>
      <c r="D571" s="286">
        <v>14</v>
      </c>
      <c r="E571" s="276"/>
      <c r="F571" s="268">
        <v>0.49</v>
      </c>
      <c r="G571" s="286"/>
      <c r="H571" s="286"/>
    </row>
    <row r="572" spans="1:8" x14ac:dyDescent="0.25">
      <c r="A572" s="91">
        <f t="shared" si="8"/>
        <v>160</v>
      </c>
      <c r="B572" s="53" t="s">
        <v>1436</v>
      </c>
      <c r="C572" s="91" t="s">
        <v>115</v>
      </c>
      <c r="D572" s="91">
        <v>224</v>
      </c>
      <c r="E572" s="269">
        <v>1106.06</v>
      </c>
      <c r="F572" s="268">
        <v>0.41675207234363199</v>
      </c>
      <c r="G572" s="91"/>
      <c r="H572" s="91"/>
    </row>
    <row r="573" spans="1:8" x14ac:dyDescent="0.25">
      <c r="A573" s="91">
        <f t="shared" si="8"/>
        <v>160</v>
      </c>
      <c r="B573" s="53" t="s">
        <v>1436</v>
      </c>
      <c r="C573" s="91" t="s">
        <v>115</v>
      </c>
      <c r="D573" s="91">
        <v>1710</v>
      </c>
      <c r="E573" s="269"/>
      <c r="F573" s="268">
        <v>0.41675207234363199</v>
      </c>
      <c r="G573" s="91"/>
      <c r="H573" s="91"/>
    </row>
    <row r="574" spans="1:8" x14ac:dyDescent="0.25">
      <c r="A574" s="91">
        <f t="shared" si="8"/>
        <v>160</v>
      </c>
      <c r="B574" s="53" t="s">
        <v>1436</v>
      </c>
      <c r="C574" s="91" t="s">
        <v>115</v>
      </c>
      <c r="D574" s="91">
        <v>180</v>
      </c>
      <c r="E574" s="269"/>
      <c r="F574" s="268">
        <v>0.41675207234363199</v>
      </c>
      <c r="G574" s="91"/>
      <c r="H574" s="91"/>
    </row>
    <row r="575" spans="1:8" s="4" customFormat="1" x14ac:dyDescent="0.25">
      <c r="A575" s="286">
        <f t="shared" si="8"/>
        <v>160</v>
      </c>
      <c r="B575" s="287" t="s">
        <v>1436</v>
      </c>
      <c r="C575" s="286" t="s">
        <v>115</v>
      </c>
      <c r="D575" s="286">
        <v>540</v>
      </c>
      <c r="E575" s="276"/>
      <c r="F575" s="268">
        <v>0.41675207234363199</v>
      </c>
      <c r="G575" s="286"/>
      <c r="H575" s="286"/>
    </row>
    <row r="576" spans="1:8" x14ac:dyDescent="0.25">
      <c r="A576" s="91">
        <f t="shared" si="8"/>
        <v>161</v>
      </c>
      <c r="B576" s="53" t="s">
        <v>1442</v>
      </c>
      <c r="C576" s="91" t="s">
        <v>97</v>
      </c>
      <c r="D576" s="91">
        <v>320</v>
      </c>
      <c r="E576" s="269">
        <v>2616</v>
      </c>
      <c r="F576" s="268">
        <v>0.349732620320856</v>
      </c>
      <c r="G576" s="91"/>
      <c r="H576" s="91"/>
    </row>
    <row r="577" spans="1:8" x14ac:dyDescent="0.25">
      <c r="A577" s="91">
        <f t="shared" si="8"/>
        <v>161</v>
      </c>
      <c r="B577" s="53" t="s">
        <v>1442</v>
      </c>
      <c r="C577" s="91" t="s">
        <v>97</v>
      </c>
      <c r="D577" s="91">
        <v>300</v>
      </c>
      <c r="E577" s="269"/>
      <c r="F577" s="268">
        <v>0.349732620320856</v>
      </c>
      <c r="G577" s="91"/>
      <c r="H577" s="91"/>
    </row>
    <row r="578" spans="1:8" x14ac:dyDescent="0.25">
      <c r="A578" s="91">
        <f t="shared" si="8"/>
        <v>161</v>
      </c>
      <c r="B578" s="53" t="s">
        <v>1442</v>
      </c>
      <c r="C578" s="91" t="s">
        <v>97</v>
      </c>
      <c r="D578" s="91">
        <v>4000</v>
      </c>
      <c r="E578" s="269"/>
      <c r="F578" s="268">
        <v>0.349732620320856</v>
      </c>
      <c r="G578" s="91"/>
      <c r="H578" s="91"/>
    </row>
    <row r="579" spans="1:8" x14ac:dyDescent="0.25">
      <c r="A579" s="91">
        <f t="shared" si="8"/>
        <v>161</v>
      </c>
      <c r="B579" s="53" t="s">
        <v>1442</v>
      </c>
      <c r="C579" s="91" t="s">
        <v>97</v>
      </c>
      <c r="D579" s="91">
        <v>420</v>
      </c>
      <c r="E579" s="269"/>
      <c r="F579" s="268">
        <v>0.349732620320856</v>
      </c>
      <c r="G579" s="91"/>
      <c r="H579" s="91"/>
    </row>
    <row r="580" spans="1:8" x14ac:dyDescent="0.25">
      <c r="A580" s="91">
        <f t="shared" ref="A580:A643" si="9">IF(B580=B579,A579,A579+1)</f>
        <v>161</v>
      </c>
      <c r="B580" s="53" t="s">
        <v>1442</v>
      </c>
      <c r="C580" s="91" t="s">
        <v>97</v>
      </c>
      <c r="D580" s="91">
        <v>400</v>
      </c>
      <c r="E580" s="269"/>
      <c r="F580" s="268">
        <v>0.349732620320856</v>
      </c>
      <c r="G580" s="91"/>
      <c r="H580" s="91"/>
    </row>
    <row r="581" spans="1:8" x14ac:dyDescent="0.25">
      <c r="A581" s="91">
        <f t="shared" si="9"/>
        <v>161</v>
      </c>
      <c r="B581" s="53" t="s">
        <v>1442</v>
      </c>
      <c r="C581" s="91" t="s">
        <v>97</v>
      </c>
      <c r="D581" s="91">
        <v>480</v>
      </c>
      <c r="E581" s="269"/>
      <c r="F581" s="268">
        <v>0.349732620320856</v>
      </c>
      <c r="G581" s="91"/>
      <c r="H581" s="91"/>
    </row>
    <row r="582" spans="1:8" x14ac:dyDescent="0.25">
      <c r="A582" s="91">
        <f t="shared" si="9"/>
        <v>161</v>
      </c>
      <c r="B582" s="53" t="s">
        <v>1442</v>
      </c>
      <c r="C582" s="91" t="s">
        <v>97</v>
      </c>
      <c r="D582" s="91">
        <v>360</v>
      </c>
      <c r="E582" s="269"/>
      <c r="F582" s="268">
        <v>0.349732620320856</v>
      </c>
      <c r="G582" s="91"/>
      <c r="H582" s="91"/>
    </row>
    <row r="583" spans="1:8" x14ac:dyDescent="0.25">
      <c r="A583" s="91">
        <f t="shared" si="9"/>
        <v>161</v>
      </c>
      <c r="B583" s="53" t="s">
        <v>1442</v>
      </c>
      <c r="C583" s="91" t="s">
        <v>97</v>
      </c>
      <c r="D583" s="91">
        <v>1000</v>
      </c>
      <c r="E583" s="269"/>
      <c r="F583" s="268">
        <v>0.349732620320856</v>
      </c>
      <c r="G583" s="91"/>
      <c r="H583" s="91"/>
    </row>
    <row r="584" spans="1:8" s="4" customFormat="1" x14ac:dyDescent="0.25">
      <c r="A584" s="286">
        <f t="shared" si="9"/>
        <v>161</v>
      </c>
      <c r="B584" s="287" t="s">
        <v>1442</v>
      </c>
      <c r="C584" s="286" t="s">
        <v>97</v>
      </c>
      <c r="D584" s="286">
        <v>200</v>
      </c>
      <c r="E584" s="276"/>
      <c r="F584" s="268">
        <v>0.349732620320856</v>
      </c>
      <c r="G584" s="286"/>
      <c r="H584" s="286"/>
    </row>
    <row r="585" spans="1:8" s="6" customFormat="1" x14ac:dyDescent="0.25">
      <c r="A585" s="293">
        <f t="shared" si="9"/>
        <v>162</v>
      </c>
      <c r="B585" s="294" t="s">
        <v>1454</v>
      </c>
      <c r="C585" s="293" t="s">
        <v>1455</v>
      </c>
      <c r="D585" s="293">
        <v>96</v>
      </c>
      <c r="E585" s="295">
        <v>39.36</v>
      </c>
      <c r="F585" s="268">
        <v>0.41</v>
      </c>
      <c r="G585" s="293"/>
      <c r="H585" s="293"/>
    </row>
    <row r="586" spans="1:8" s="6" customFormat="1" x14ac:dyDescent="0.25">
      <c r="A586" s="293">
        <f t="shared" si="9"/>
        <v>163</v>
      </c>
      <c r="B586" s="294" t="s">
        <v>1457</v>
      </c>
      <c r="C586" s="293" t="s">
        <v>97</v>
      </c>
      <c r="D586" s="293">
        <v>1344</v>
      </c>
      <c r="E586" s="295">
        <v>658.56</v>
      </c>
      <c r="F586" s="268">
        <v>0.49</v>
      </c>
      <c r="G586" s="293"/>
      <c r="H586" s="293"/>
    </row>
    <row r="587" spans="1:8" s="6" customFormat="1" x14ac:dyDescent="0.25">
      <c r="A587" s="293">
        <f t="shared" si="9"/>
        <v>164</v>
      </c>
      <c r="B587" s="294" t="s">
        <v>1459</v>
      </c>
      <c r="C587" s="293" t="s">
        <v>115</v>
      </c>
      <c r="D587" s="293">
        <v>78</v>
      </c>
      <c r="E587" s="295">
        <v>26.52</v>
      </c>
      <c r="F587" s="268">
        <v>0.34</v>
      </c>
      <c r="G587" s="293"/>
      <c r="H587" s="293"/>
    </row>
    <row r="588" spans="1:8" x14ac:dyDescent="0.25">
      <c r="A588" s="91">
        <f t="shared" si="9"/>
        <v>165</v>
      </c>
      <c r="B588" s="53" t="s">
        <v>1461</v>
      </c>
      <c r="C588" s="91" t="s">
        <v>97</v>
      </c>
      <c r="D588" s="91">
        <v>234</v>
      </c>
      <c r="E588" s="269">
        <v>354.96</v>
      </c>
      <c r="F588" s="268">
        <v>0.34</v>
      </c>
      <c r="G588" s="91"/>
      <c r="H588" s="91"/>
    </row>
    <row r="589" spans="1:8" x14ac:dyDescent="0.25">
      <c r="A589" s="91">
        <f t="shared" si="9"/>
        <v>165</v>
      </c>
      <c r="B589" s="53" t="s">
        <v>1461</v>
      </c>
      <c r="C589" s="91" t="s">
        <v>97</v>
      </c>
      <c r="D589" s="91">
        <v>630</v>
      </c>
      <c r="E589" s="269"/>
      <c r="F589" s="268">
        <v>0.34</v>
      </c>
      <c r="G589" s="91"/>
      <c r="H589" s="91"/>
    </row>
    <row r="590" spans="1:8" s="4" customFormat="1" x14ac:dyDescent="0.25">
      <c r="A590" s="286">
        <f t="shared" si="9"/>
        <v>165</v>
      </c>
      <c r="B590" s="287" t="s">
        <v>1461</v>
      </c>
      <c r="C590" s="286" t="s">
        <v>97</v>
      </c>
      <c r="D590" s="286">
        <v>180</v>
      </c>
      <c r="E590" s="276"/>
      <c r="F590" s="268">
        <v>0.34</v>
      </c>
      <c r="G590" s="286"/>
      <c r="H590" s="286"/>
    </row>
    <row r="591" spans="1:8" s="6" customFormat="1" x14ac:dyDescent="0.25">
      <c r="A591" s="293">
        <f t="shared" si="9"/>
        <v>166</v>
      </c>
      <c r="B591" s="294" t="s">
        <v>1465</v>
      </c>
      <c r="C591" s="293" t="s">
        <v>287</v>
      </c>
      <c r="D591" s="293">
        <v>208</v>
      </c>
      <c r="E591" s="295">
        <v>101.92</v>
      </c>
      <c r="F591" s="268">
        <v>0.49</v>
      </c>
      <c r="G591" s="293"/>
      <c r="H591" s="293"/>
    </row>
    <row r="592" spans="1:8" x14ac:dyDescent="0.25">
      <c r="A592" s="91">
        <f t="shared" si="9"/>
        <v>167</v>
      </c>
      <c r="B592" s="53" t="s">
        <v>1467</v>
      </c>
      <c r="C592" s="91" t="s">
        <v>287</v>
      </c>
      <c r="D592" s="91">
        <v>448</v>
      </c>
      <c r="E592" s="269">
        <v>250.88</v>
      </c>
      <c r="F592" s="268">
        <v>0.49</v>
      </c>
      <c r="G592" s="91"/>
      <c r="H592" s="91"/>
    </row>
    <row r="593" spans="1:8" s="4" customFormat="1" x14ac:dyDescent="0.25">
      <c r="A593" s="286">
        <f t="shared" si="9"/>
        <v>167</v>
      </c>
      <c r="B593" s="287" t="s">
        <v>1467</v>
      </c>
      <c r="C593" s="286" t="s">
        <v>287</v>
      </c>
      <c r="D593" s="286">
        <v>64</v>
      </c>
      <c r="E593" s="276"/>
      <c r="F593" s="268">
        <v>0.49</v>
      </c>
      <c r="G593" s="286"/>
      <c r="H593" s="286"/>
    </row>
    <row r="594" spans="1:8" x14ac:dyDescent="0.25">
      <c r="A594" s="91">
        <f t="shared" si="9"/>
        <v>168</v>
      </c>
      <c r="B594" s="53" t="s">
        <v>1477</v>
      </c>
      <c r="C594" s="91" t="s">
        <v>97</v>
      </c>
      <c r="D594" s="91">
        <v>160</v>
      </c>
      <c r="E594" s="269">
        <v>1601.2</v>
      </c>
      <c r="F594" s="268">
        <v>0.35424778761061898</v>
      </c>
      <c r="G594" s="91"/>
      <c r="H594" s="91"/>
    </row>
    <row r="595" spans="1:8" x14ac:dyDescent="0.25">
      <c r="A595" s="91">
        <f t="shared" si="9"/>
        <v>168</v>
      </c>
      <c r="B595" s="53" t="s">
        <v>1477</v>
      </c>
      <c r="C595" s="91" t="s">
        <v>97</v>
      </c>
      <c r="D595" s="91">
        <v>200</v>
      </c>
      <c r="E595" s="269"/>
      <c r="F595" s="268">
        <v>0.35424778761061898</v>
      </c>
      <c r="G595" s="91"/>
      <c r="H595" s="91"/>
    </row>
    <row r="596" spans="1:8" x14ac:dyDescent="0.25">
      <c r="A596" s="91">
        <f t="shared" si="9"/>
        <v>168</v>
      </c>
      <c r="B596" s="53" t="s">
        <v>1477</v>
      </c>
      <c r="C596" s="91" t="s">
        <v>97</v>
      </c>
      <c r="D596" s="91">
        <v>2000</v>
      </c>
      <c r="E596" s="269"/>
      <c r="F596" s="268">
        <v>0.35424778761061898</v>
      </c>
      <c r="G596" s="91"/>
      <c r="H596" s="91"/>
    </row>
    <row r="597" spans="1:8" x14ac:dyDescent="0.25">
      <c r="A597" s="91">
        <f t="shared" si="9"/>
        <v>168</v>
      </c>
      <c r="B597" s="53" t="s">
        <v>1477</v>
      </c>
      <c r="C597" s="91" t="s">
        <v>97</v>
      </c>
      <c r="D597" s="91">
        <v>240</v>
      </c>
      <c r="E597" s="269"/>
      <c r="F597" s="268">
        <v>0.35424778761061898</v>
      </c>
      <c r="G597" s="91"/>
      <c r="H597" s="91"/>
    </row>
    <row r="598" spans="1:8" x14ac:dyDescent="0.25">
      <c r="A598" s="91">
        <f t="shared" si="9"/>
        <v>168</v>
      </c>
      <c r="B598" s="53" t="s">
        <v>1477</v>
      </c>
      <c r="C598" s="91" t="s">
        <v>97</v>
      </c>
      <c r="D598" s="91">
        <v>200</v>
      </c>
      <c r="E598" s="269"/>
      <c r="F598" s="268">
        <v>0.35424778761061898</v>
      </c>
      <c r="G598" s="91"/>
      <c r="H598" s="91"/>
    </row>
    <row r="599" spans="1:8" x14ac:dyDescent="0.25">
      <c r="A599" s="91">
        <f t="shared" si="9"/>
        <v>168</v>
      </c>
      <c r="B599" s="53" t="s">
        <v>1477</v>
      </c>
      <c r="C599" s="91" t="s">
        <v>97</v>
      </c>
      <c r="D599" s="91">
        <v>200</v>
      </c>
      <c r="E599" s="269"/>
      <c r="F599" s="268">
        <v>0.35424778761061898</v>
      </c>
      <c r="G599" s="91"/>
      <c r="H599" s="91"/>
    </row>
    <row r="600" spans="1:8" x14ac:dyDescent="0.25">
      <c r="A600" s="91">
        <f t="shared" si="9"/>
        <v>168</v>
      </c>
      <c r="B600" s="53" t="s">
        <v>1477</v>
      </c>
      <c r="C600" s="91" t="s">
        <v>97</v>
      </c>
      <c r="D600" s="91">
        <v>200</v>
      </c>
      <c r="E600" s="269"/>
      <c r="F600" s="268">
        <v>0.35424778761061898</v>
      </c>
      <c r="G600" s="91"/>
      <c r="H600" s="91"/>
    </row>
    <row r="601" spans="1:8" x14ac:dyDescent="0.25">
      <c r="A601" s="91">
        <f t="shared" si="9"/>
        <v>168</v>
      </c>
      <c r="B601" s="53" t="s">
        <v>1477</v>
      </c>
      <c r="C601" s="91" t="s">
        <v>97</v>
      </c>
      <c r="D601" s="91">
        <v>1000</v>
      </c>
      <c r="E601" s="269"/>
      <c r="F601" s="268">
        <v>0.35424778761061898</v>
      </c>
      <c r="G601" s="91"/>
      <c r="H601" s="91"/>
    </row>
    <row r="602" spans="1:8" x14ac:dyDescent="0.25">
      <c r="A602" s="91">
        <f t="shared" si="9"/>
        <v>168</v>
      </c>
      <c r="B602" s="53" t="s">
        <v>1477</v>
      </c>
      <c r="C602" s="91" t="s">
        <v>97</v>
      </c>
      <c r="D602" s="91">
        <v>120</v>
      </c>
      <c r="E602" s="269"/>
      <c r="F602" s="268">
        <v>0.35424778761061898</v>
      </c>
      <c r="G602" s="91"/>
      <c r="H602" s="91"/>
    </row>
    <row r="603" spans="1:8" s="4" customFormat="1" x14ac:dyDescent="0.25">
      <c r="A603" s="286">
        <f t="shared" si="9"/>
        <v>168</v>
      </c>
      <c r="B603" s="287" t="s">
        <v>1477</v>
      </c>
      <c r="C603" s="286" t="s">
        <v>97</v>
      </c>
      <c r="D603" s="286">
        <v>200</v>
      </c>
      <c r="E603" s="276"/>
      <c r="F603" s="268">
        <v>0.35424778761061898</v>
      </c>
      <c r="G603" s="286"/>
      <c r="H603" s="286"/>
    </row>
    <row r="604" spans="1:8" x14ac:dyDescent="0.25">
      <c r="A604" s="91">
        <f t="shared" si="9"/>
        <v>169</v>
      </c>
      <c r="B604" s="53" t="s">
        <v>1490</v>
      </c>
      <c r="C604" s="91" t="s">
        <v>97</v>
      </c>
      <c r="D604" s="91">
        <v>160</v>
      </c>
      <c r="E604" s="269">
        <v>1519.6</v>
      </c>
      <c r="F604" s="268">
        <v>0.35504672897196299</v>
      </c>
      <c r="G604" s="91"/>
      <c r="H604" s="91"/>
    </row>
    <row r="605" spans="1:8" x14ac:dyDescent="0.25">
      <c r="A605" s="91">
        <f t="shared" si="9"/>
        <v>169</v>
      </c>
      <c r="B605" s="53" t="s">
        <v>1490</v>
      </c>
      <c r="C605" s="91" t="s">
        <v>97</v>
      </c>
      <c r="D605" s="91">
        <v>200</v>
      </c>
      <c r="E605" s="269"/>
      <c r="F605" s="268">
        <v>0.35504672897196299</v>
      </c>
      <c r="G605" s="91"/>
      <c r="H605" s="91"/>
    </row>
    <row r="606" spans="1:8" x14ac:dyDescent="0.25">
      <c r="A606" s="91">
        <f t="shared" si="9"/>
        <v>169</v>
      </c>
      <c r="B606" s="53" t="s">
        <v>1490</v>
      </c>
      <c r="C606" s="91" t="s">
        <v>97</v>
      </c>
      <c r="D606" s="91">
        <v>2000</v>
      </c>
      <c r="E606" s="269"/>
      <c r="F606" s="268">
        <v>0.35504672897196299</v>
      </c>
      <c r="G606" s="91"/>
      <c r="H606" s="91"/>
    </row>
    <row r="607" spans="1:8" x14ac:dyDescent="0.25">
      <c r="A607" s="91">
        <f t="shared" si="9"/>
        <v>169</v>
      </c>
      <c r="B607" s="53" t="s">
        <v>1490</v>
      </c>
      <c r="C607" s="91" t="s">
        <v>97</v>
      </c>
      <c r="D607" s="91">
        <v>240</v>
      </c>
      <c r="E607" s="269"/>
      <c r="F607" s="268">
        <v>0.35504672897196299</v>
      </c>
      <c r="G607" s="91"/>
      <c r="H607" s="91"/>
    </row>
    <row r="608" spans="1:8" x14ac:dyDescent="0.25">
      <c r="A608" s="91">
        <f t="shared" si="9"/>
        <v>169</v>
      </c>
      <c r="B608" s="53" t="s">
        <v>1490</v>
      </c>
      <c r="C608" s="91" t="s">
        <v>97</v>
      </c>
      <c r="D608" s="91">
        <v>200</v>
      </c>
      <c r="E608" s="269"/>
      <c r="F608" s="268">
        <v>0.35504672897196299</v>
      </c>
      <c r="G608" s="91"/>
      <c r="H608" s="91"/>
    </row>
    <row r="609" spans="1:8" x14ac:dyDescent="0.25">
      <c r="A609" s="91">
        <f t="shared" si="9"/>
        <v>169</v>
      </c>
      <c r="B609" s="53" t="s">
        <v>1490</v>
      </c>
      <c r="C609" s="91" t="s">
        <v>97</v>
      </c>
      <c r="D609" s="91">
        <v>200</v>
      </c>
      <c r="E609" s="269"/>
      <c r="F609" s="268">
        <v>0.35504672897196299</v>
      </c>
      <c r="G609" s="91"/>
      <c r="H609" s="91"/>
    </row>
    <row r="610" spans="1:8" x14ac:dyDescent="0.25">
      <c r="A610" s="91">
        <f t="shared" si="9"/>
        <v>169</v>
      </c>
      <c r="B610" s="53" t="s">
        <v>1490</v>
      </c>
      <c r="C610" s="91" t="s">
        <v>97</v>
      </c>
      <c r="D610" s="91">
        <v>160</v>
      </c>
      <c r="E610" s="269"/>
      <c r="F610" s="268">
        <v>0.35504672897196299</v>
      </c>
      <c r="G610" s="91"/>
      <c r="H610" s="91"/>
    </row>
    <row r="611" spans="1:8" x14ac:dyDescent="0.25">
      <c r="A611" s="91">
        <f t="shared" si="9"/>
        <v>169</v>
      </c>
      <c r="B611" s="53" t="s">
        <v>1490</v>
      </c>
      <c r="C611" s="91" t="s">
        <v>97</v>
      </c>
      <c r="D611" s="91">
        <v>1000</v>
      </c>
      <c r="E611" s="269"/>
      <c r="F611" s="268">
        <v>0.35504672897196299</v>
      </c>
      <c r="G611" s="91"/>
      <c r="H611" s="91"/>
    </row>
    <row r="612" spans="1:8" s="4" customFormat="1" x14ac:dyDescent="0.25">
      <c r="A612" s="286">
        <f t="shared" si="9"/>
        <v>169</v>
      </c>
      <c r="B612" s="287" t="s">
        <v>1490</v>
      </c>
      <c r="C612" s="286" t="s">
        <v>97</v>
      </c>
      <c r="D612" s="286">
        <v>120</v>
      </c>
      <c r="E612" s="276"/>
      <c r="F612" s="268">
        <v>0.35504672897196299</v>
      </c>
      <c r="G612" s="286"/>
      <c r="H612" s="286"/>
    </row>
    <row r="613" spans="1:8" x14ac:dyDescent="0.25">
      <c r="A613" s="91">
        <f t="shared" si="9"/>
        <v>170</v>
      </c>
      <c r="B613" s="53" t="s">
        <v>1500</v>
      </c>
      <c r="C613" s="91" t="s">
        <v>97</v>
      </c>
      <c r="D613" s="91">
        <v>480</v>
      </c>
      <c r="E613" s="269">
        <v>1772.28</v>
      </c>
      <c r="F613" s="268">
        <v>0.55522556390977396</v>
      </c>
      <c r="G613" s="91"/>
      <c r="H613" s="91"/>
    </row>
    <row r="614" spans="1:8" x14ac:dyDescent="0.25">
      <c r="A614" s="91">
        <f t="shared" si="9"/>
        <v>170</v>
      </c>
      <c r="B614" s="53" t="s">
        <v>1500</v>
      </c>
      <c r="C614" s="91" t="s">
        <v>97</v>
      </c>
      <c r="D614" s="91">
        <v>480</v>
      </c>
      <c r="E614" s="269"/>
      <c r="F614" s="268">
        <v>0.55522556390977396</v>
      </c>
      <c r="G614" s="91"/>
      <c r="H614" s="91"/>
    </row>
    <row r="615" spans="1:8" x14ac:dyDescent="0.25">
      <c r="A615" s="91">
        <f t="shared" si="9"/>
        <v>170</v>
      </c>
      <c r="B615" s="53" t="s">
        <v>1500</v>
      </c>
      <c r="C615" s="91" t="s">
        <v>97</v>
      </c>
      <c r="D615" s="91">
        <v>2052</v>
      </c>
      <c r="E615" s="269"/>
      <c r="F615" s="268">
        <v>0.55522556390977396</v>
      </c>
      <c r="G615" s="91"/>
      <c r="H615" s="91"/>
    </row>
    <row r="616" spans="1:8" s="4" customFormat="1" x14ac:dyDescent="0.25">
      <c r="A616" s="286">
        <f t="shared" si="9"/>
        <v>170</v>
      </c>
      <c r="B616" s="287" t="s">
        <v>1500</v>
      </c>
      <c r="C616" s="286" t="s">
        <v>97</v>
      </c>
      <c r="D616" s="286">
        <v>180</v>
      </c>
      <c r="E616" s="276"/>
      <c r="F616" s="268">
        <v>0.55522556390977396</v>
      </c>
      <c r="G616" s="286"/>
      <c r="H616" s="286"/>
    </row>
    <row r="617" spans="1:8" x14ac:dyDescent="0.25">
      <c r="A617" s="91">
        <f t="shared" si="9"/>
        <v>171</v>
      </c>
      <c r="B617" s="53" t="s">
        <v>1507</v>
      </c>
      <c r="C617" s="91" t="s">
        <v>97</v>
      </c>
      <c r="D617" s="91">
        <v>240</v>
      </c>
      <c r="E617" s="269">
        <v>235.2</v>
      </c>
      <c r="F617" s="268">
        <v>0.49</v>
      </c>
      <c r="G617" s="91"/>
      <c r="H617" s="91"/>
    </row>
    <row r="618" spans="1:8" s="4" customFormat="1" x14ac:dyDescent="0.25">
      <c r="A618" s="286">
        <f t="shared" si="9"/>
        <v>171</v>
      </c>
      <c r="B618" s="287" t="s">
        <v>1507</v>
      </c>
      <c r="C618" s="286" t="s">
        <v>97</v>
      </c>
      <c r="D618" s="286">
        <v>240</v>
      </c>
      <c r="E618" s="276"/>
      <c r="F618" s="268">
        <v>0.49</v>
      </c>
      <c r="G618" s="286"/>
      <c r="H618" s="286"/>
    </row>
    <row r="619" spans="1:8" s="6" customFormat="1" x14ac:dyDescent="0.25">
      <c r="A619" s="293">
        <f t="shared" si="9"/>
        <v>172</v>
      </c>
      <c r="B619" s="294" t="s">
        <v>1510</v>
      </c>
      <c r="C619" s="293" t="s">
        <v>287</v>
      </c>
      <c r="D619" s="293">
        <v>336</v>
      </c>
      <c r="E619" s="295">
        <v>164.64</v>
      </c>
      <c r="F619" s="268">
        <v>0.49</v>
      </c>
      <c r="G619" s="293"/>
      <c r="H619" s="293"/>
    </row>
    <row r="620" spans="1:8" x14ac:dyDescent="0.25">
      <c r="A620" s="91">
        <f t="shared" si="9"/>
        <v>173</v>
      </c>
      <c r="B620" s="53" t="s">
        <v>1525</v>
      </c>
      <c r="C620" s="91" t="s">
        <v>97</v>
      </c>
      <c r="D620" s="91">
        <v>260</v>
      </c>
      <c r="E620" s="269">
        <v>1531.2</v>
      </c>
      <c r="F620" s="268">
        <v>0.36113207547169801</v>
      </c>
      <c r="G620" s="91"/>
      <c r="H620" s="91"/>
    </row>
    <row r="621" spans="1:8" x14ac:dyDescent="0.25">
      <c r="A621" s="91">
        <f t="shared" si="9"/>
        <v>173</v>
      </c>
      <c r="B621" s="53" t="s">
        <v>1525</v>
      </c>
      <c r="C621" s="91" t="s">
        <v>97</v>
      </c>
      <c r="D621" s="91">
        <v>1520</v>
      </c>
      <c r="E621" s="269"/>
      <c r="F621" s="268">
        <v>0.36113207547169801</v>
      </c>
      <c r="G621" s="91"/>
      <c r="H621" s="91"/>
    </row>
    <row r="622" spans="1:8" x14ac:dyDescent="0.25">
      <c r="A622" s="91">
        <f t="shared" si="9"/>
        <v>173</v>
      </c>
      <c r="B622" s="53" t="s">
        <v>1525</v>
      </c>
      <c r="C622" s="91" t="s">
        <v>97</v>
      </c>
      <c r="D622" s="91">
        <v>750</v>
      </c>
      <c r="E622" s="269"/>
      <c r="F622" s="268">
        <v>0.36113207547169801</v>
      </c>
      <c r="G622" s="91"/>
      <c r="H622" s="91"/>
    </row>
    <row r="623" spans="1:8" x14ac:dyDescent="0.25">
      <c r="A623" s="91">
        <f t="shared" si="9"/>
        <v>173</v>
      </c>
      <c r="B623" s="53" t="s">
        <v>1525</v>
      </c>
      <c r="C623" s="91" t="s">
        <v>97</v>
      </c>
      <c r="D623" s="91">
        <v>200</v>
      </c>
      <c r="E623" s="269"/>
      <c r="F623" s="268">
        <v>0.36113207547169801</v>
      </c>
      <c r="G623" s="91"/>
      <c r="H623" s="91"/>
    </row>
    <row r="624" spans="1:8" x14ac:dyDescent="0.25">
      <c r="A624" s="91">
        <f t="shared" si="9"/>
        <v>173</v>
      </c>
      <c r="B624" s="53" t="s">
        <v>1525</v>
      </c>
      <c r="C624" s="91" t="s">
        <v>97</v>
      </c>
      <c r="D624" s="91">
        <v>40</v>
      </c>
      <c r="E624" s="269"/>
      <c r="F624" s="268">
        <v>0.36113207547169801</v>
      </c>
      <c r="G624" s="91"/>
      <c r="H624" s="91"/>
    </row>
    <row r="625" spans="1:8" x14ac:dyDescent="0.25">
      <c r="A625" s="91">
        <f t="shared" si="9"/>
        <v>173</v>
      </c>
      <c r="B625" s="53" t="s">
        <v>1525</v>
      </c>
      <c r="C625" s="91" t="s">
        <v>97</v>
      </c>
      <c r="D625" s="91">
        <v>1000</v>
      </c>
      <c r="E625" s="269"/>
      <c r="F625" s="268">
        <v>0.36113207547169801</v>
      </c>
      <c r="G625" s="91"/>
      <c r="H625" s="91"/>
    </row>
    <row r="626" spans="1:8" x14ac:dyDescent="0.25">
      <c r="A626" s="91">
        <f t="shared" si="9"/>
        <v>173</v>
      </c>
      <c r="B626" s="53" t="s">
        <v>1525</v>
      </c>
      <c r="C626" s="91" t="s">
        <v>97</v>
      </c>
      <c r="D626" s="91">
        <v>180</v>
      </c>
      <c r="E626" s="269"/>
      <c r="F626" s="268">
        <v>0.36113207547169801</v>
      </c>
      <c r="G626" s="91"/>
      <c r="H626" s="91"/>
    </row>
    <row r="627" spans="1:8" x14ac:dyDescent="0.25">
      <c r="A627" s="91">
        <f t="shared" si="9"/>
        <v>173</v>
      </c>
      <c r="B627" s="53" t="s">
        <v>1525</v>
      </c>
      <c r="C627" s="91" t="s">
        <v>97</v>
      </c>
      <c r="D627" s="91">
        <v>30</v>
      </c>
      <c r="E627" s="269"/>
      <c r="F627" s="268">
        <v>0.36113207547169801</v>
      </c>
      <c r="G627" s="91"/>
      <c r="H627" s="91"/>
    </row>
    <row r="628" spans="1:8" x14ac:dyDescent="0.25">
      <c r="A628" s="91">
        <f t="shared" si="9"/>
        <v>173</v>
      </c>
      <c r="B628" s="53" t="s">
        <v>1525</v>
      </c>
      <c r="C628" s="91" t="s">
        <v>97</v>
      </c>
      <c r="D628" s="91">
        <v>60</v>
      </c>
      <c r="E628" s="269"/>
      <c r="F628" s="268">
        <v>0.36113207547169801</v>
      </c>
      <c r="G628" s="91"/>
      <c r="H628" s="91"/>
    </row>
    <row r="629" spans="1:8" x14ac:dyDescent="0.25">
      <c r="A629" s="91">
        <f t="shared" si="9"/>
        <v>173</v>
      </c>
      <c r="B629" s="53" t="s">
        <v>1525</v>
      </c>
      <c r="C629" s="91" t="s">
        <v>97</v>
      </c>
      <c r="D629" s="91">
        <v>100</v>
      </c>
      <c r="E629" s="269"/>
      <c r="F629" s="268">
        <v>0.36113207547169801</v>
      </c>
      <c r="G629" s="91"/>
      <c r="H629" s="91"/>
    </row>
    <row r="630" spans="1:8" s="4" customFormat="1" x14ac:dyDescent="0.25">
      <c r="A630" s="286">
        <f t="shared" si="9"/>
        <v>173</v>
      </c>
      <c r="B630" s="287" t="s">
        <v>1525</v>
      </c>
      <c r="C630" s="286" t="s">
        <v>97</v>
      </c>
      <c r="D630" s="286">
        <v>100</v>
      </c>
      <c r="E630" s="276"/>
      <c r="F630" s="268">
        <v>0.36113207547169801</v>
      </c>
      <c r="G630" s="286"/>
      <c r="H630" s="286"/>
    </row>
    <row r="631" spans="1:8" x14ac:dyDescent="0.25">
      <c r="A631" s="91">
        <f t="shared" si="9"/>
        <v>174</v>
      </c>
      <c r="B631" s="53" t="s">
        <v>1537</v>
      </c>
      <c r="C631" s="91" t="s">
        <v>97</v>
      </c>
      <c r="D631" s="91">
        <v>240</v>
      </c>
      <c r="E631" s="269">
        <v>1554.1</v>
      </c>
      <c r="F631" s="268">
        <v>0.35891454965358</v>
      </c>
      <c r="G631" s="91"/>
      <c r="H631" s="91"/>
    </row>
    <row r="632" spans="1:8" x14ac:dyDescent="0.25">
      <c r="A632" s="91">
        <f t="shared" si="9"/>
        <v>174</v>
      </c>
      <c r="B632" s="53" t="s">
        <v>1537</v>
      </c>
      <c r="C632" s="91" t="s">
        <v>97</v>
      </c>
      <c r="D632" s="91">
        <v>1480</v>
      </c>
      <c r="E632" s="269"/>
      <c r="F632" s="268">
        <v>0.35891454965358</v>
      </c>
      <c r="G632" s="91"/>
      <c r="H632" s="91"/>
    </row>
    <row r="633" spans="1:8" x14ac:dyDescent="0.25">
      <c r="A633" s="91">
        <f t="shared" si="9"/>
        <v>174</v>
      </c>
      <c r="B633" s="53" t="s">
        <v>1537</v>
      </c>
      <c r="C633" s="91" t="s">
        <v>97</v>
      </c>
      <c r="D633" s="91">
        <v>750</v>
      </c>
      <c r="E633" s="269"/>
      <c r="F633" s="268">
        <v>0.35891454965358</v>
      </c>
      <c r="G633" s="91"/>
      <c r="H633" s="91"/>
    </row>
    <row r="634" spans="1:8" x14ac:dyDescent="0.25">
      <c r="A634" s="91">
        <f t="shared" si="9"/>
        <v>174</v>
      </c>
      <c r="B634" s="53" t="s">
        <v>1537</v>
      </c>
      <c r="C634" s="91" t="s">
        <v>97</v>
      </c>
      <c r="D634" s="91">
        <v>200</v>
      </c>
      <c r="E634" s="269"/>
      <c r="F634" s="268">
        <v>0.35891454965358</v>
      </c>
      <c r="G634" s="91"/>
      <c r="H634" s="91"/>
    </row>
    <row r="635" spans="1:8" x14ac:dyDescent="0.25">
      <c r="A635" s="91">
        <f t="shared" si="9"/>
        <v>174</v>
      </c>
      <c r="B635" s="53" t="s">
        <v>1537</v>
      </c>
      <c r="C635" s="91" t="s">
        <v>97</v>
      </c>
      <c r="D635" s="91">
        <v>80</v>
      </c>
      <c r="E635" s="269"/>
      <c r="F635" s="268">
        <v>0.35891454965358</v>
      </c>
      <c r="G635" s="91"/>
      <c r="H635" s="91"/>
    </row>
    <row r="636" spans="1:8" x14ac:dyDescent="0.25">
      <c r="A636" s="91">
        <f t="shared" si="9"/>
        <v>174</v>
      </c>
      <c r="B636" s="53" t="s">
        <v>1537</v>
      </c>
      <c r="C636" s="91" t="s">
        <v>97</v>
      </c>
      <c r="D636" s="91">
        <v>1000</v>
      </c>
      <c r="E636" s="269"/>
      <c r="F636" s="268">
        <v>0.35891454965358</v>
      </c>
      <c r="G636" s="91"/>
      <c r="H636" s="91"/>
    </row>
    <row r="637" spans="1:8" x14ac:dyDescent="0.25">
      <c r="A637" s="91">
        <f t="shared" si="9"/>
        <v>174</v>
      </c>
      <c r="B637" s="53" t="s">
        <v>1537</v>
      </c>
      <c r="C637" s="91" t="s">
        <v>97</v>
      </c>
      <c r="D637" s="91">
        <v>180</v>
      </c>
      <c r="E637" s="269"/>
      <c r="F637" s="268">
        <v>0.35891454965358</v>
      </c>
      <c r="G637" s="91"/>
      <c r="H637" s="91"/>
    </row>
    <row r="638" spans="1:8" s="4" customFormat="1" x14ac:dyDescent="0.25">
      <c r="A638" s="286">
        <f t="shared" si="9"/>
        <v>174</v>
      </c>
      <c r="B638" s="287" t="s">
        <v>1537</v>
      </c>
      <c r="C638" s="286" t="s">
        <v>97</v>
      </c>
      <c r="D638" s="286">
        <v>400</v>
      </c>
      <c r="E638" s="276"/>
      <c r="F638" s="268">
        <v>0.35891454965358</v>
      </c>
      <c r="G638" s="286"/>
      <c r="H638" s="286"/>
    </row>
    <row r="639" spans="1:8" x14ac:dyDescent="0.25">
      <c r="A639" s="91">
        <f t="shared" si="9"/>
        <v>175</v>
      </c>
      <c r="B639" s="53" t="s">
        <v>1546</v>
      </c>
      <c r="C639" s="91" t="s">
        <v>1037</v>
      </c>
      <c r="D639" s="91">
        <v>240</v>
      </c>
      <c r="E639" s="269">
        <v>262</v>
      </c>
      <c r="F639" s="268">
        <v>0.38529411764705901</v>
      </c>
      <c r="G639" s="91"/>
      <c r="H639" s="91"/>
    </row>
    <row r="640" spans="1:8" s="4" customFormat="1" x14ac:dyDescent="0.25">
      <c r="A640" s="286">
        <f t="shared" si="9"/>
        <v>175</v>
      </c>
      <c r="B640" s="287" t="s">
        <v>1546</v>
      </c>
      <c r="C640" s="286" t="s">
        <v>1037</v>
      </c>
      <c r="D640" s="286">
        <v>440</v>
      </c>
      <c r="E640" s="276"/>
      <c r="F640" s="268">
        <v>0.38529411764705901</v>
      </c>
      <c r="G640" s="286"/>
      <c r="H640" s="286"/>
    </row>
    <row r="641" spans="1:8" x14ac:dyDescent="0.25">
      <c r="A641" s="91">
        <f t="shared" si="9"/>
        <v>176</v>
      </c>
      <c r="B641" s="53" t="s">
        <v>1549</v>
      </c>
      <c r="C641" s="91" t="s">
        <v>115</v>
      </c>
      <c r="D641" s="91">
        <v>176</v>
      </c>
      <c r="E641" s="269">
        <v>830.74</v>
      </c>
      <c r="F641" s="268">
        <v>0.41003948667324802</v>
      </c>
      <c r="G641" s="91"/>
      <c r="H641" s="91"/>
    </row>
    <row r="642" spans="1:8" x14ac:dyDescent="0.25">
      <c r="A642" s="91">
        <f t="shared" si="9"/>
        <v>176</v>
      </c>
      <c r="B642" s="53" t="s">
        <v>1549</v>
      </c>
      <c r="C642" s="91" t="s">
        <v>115</v>
      </c>
      <c r="D642" s="91">
        <v>900</v>
      </c>
      <c r="E642" s="269"/>
      <c r="F642" s="268">
        <v>0.41003948667324802</v>
      </c>
      <c r="G642" s="91"/>
      <c r="H642" s="91"/>
    </row>
    <row r="643" spans="1:8" x14ac:dyDescent="0.25">
      <c r="A643" s="91">
        <f t="shared" si="9"/>
        <v>176</v>
      </c>
      <c r="B643" s="53" t="s">
        <v>1549</v>
      </c>
      <c r="C643" s="91" t="s">
        <v>115</v>
      </c>
      <c r="D643" s="91">
        <v>300</v>
      </c>
      <c r="E643" s="269"/>
      <c r="F643" s="268">
        <v>0.41003948667324802</v>
      </c>
      <c r="G643" s="91"/>
      <c r="H643" s="91"/>
    </row>
    <row r="644" spans="1:8" x14ac:dyDescent="0.25">
      <c r="A644" s="91">
        <f t="shared" ref="A644:A707" si="10">IF(B644=B643,A643,A643+1)</f>
        <v>176</v>
      </c>
      <c r="B644" s="53" t="s">
        <v>1549</v>
      </c>
      <c r="C644" s="91" t="s">
        <v>115</v>
      </c>
      <c r="D644" s="91">
        <v>450</v>
      </c>
      <c r="E644" s="269"/>
      <c r="F644" s="268">
        <v>0.41003948667324802</v>
      </c>
      <c r="G644" s="91"/>
      <c r="H644" s="91"/>
    </row>
    <row r="645" spans="1:8" s="4" customFormat="1" x14ac:dyDescent="0.25">
      <c r="A645" s="286">
        <f t="shared" si="10"/>
        <v>176</v>
      </c>
      <c r="B645" s="287" t="s">
        <v>1549</v>
      </c>
      <c r="C645" s="286" t="s">
        <v>115</v>
      </c>
      <c r="D645" s="286">
        <v>200</v>
      </c>
      <c r="E645" s="276"/>
      <c r="F645" s="268">
        <v>0.41003948667324802</v>
      </c>
      <c r="G645" s="286"/>
      <c r="H645" s="286"/>
    </row>
    <row r="646" spans="1:8" x14ac:dyDescent="0.25">
      <c r="A646" s="91">
        <f t="shared" si="10"/>
        <v>177</v>
      </c>
      <c r="B646" s="53" t="s">
        <v>1555</v>
      </c>
      <c r="C646" s="91" t="s">
        <v>97</v>
      </c>
      <c r="D646" s="91">
        <v>1224</v>
      </c>
      <c r="E646" s="269">
        <v>630.36</v>
      </c>
      <c r="F646" s="268">
        <v>0.47972602739726</v>
      </c>
      <c r="G646" s="91"/>
      <c r="H646" s="91"/>
    </row>
    <row r="647" spans="1:8" s="4" customFormat="1" x14ac:dyDescent="0.25">
      <c r="A647" s="286">
        <f t="shared" si="10"/>
        <v>177</v>
      </c>
      <c r="B647" s="287" t="s">
        <v>1555</v>
      </c>
      <c r="C647" s="286" t="s">
        <v>97</v>
      </c>
      <c r="D647" s="286">
        <v>90</v>
      </c>
      <c r="E647" s="276"/>
      <c r="F647" s="268">
        <v>0.47972602739726</v>
      </c>
      <c r="G647" s="286"/>
      <c r="H647" s="286"/>
    </row>
    <row r="648" spans="1:8" s="6" customFormat="1" x14ac:dyDescent="0.25">
      <c r="A648" s="293">
        <f t="shared" si="10"/>
        <v>178</v>
      </c>
      <c r="B648" s="294" t="s">
        <v>1559</v>
      </c>
      <c r="C648" s="293" t="s">
        <v>97</v>
      </c>
      <c r="D648" s="293">
        <v>600</v>
      </c>
      <c r="E648" s="295">
        <v>294</v>
      </c>
      <c r="F648" s="268">
        <v>0.49</v>
      </c>
      <c r="G648" s="293"/>
      <c r="H648" s="293"/>
    </row>
    <row r="649" spans="1:8" s="6" customFormat="1" x14ac:dyDescent="0.25">
      <c r="A649" s="293">
        <f t="shared" si="10"/>
        <v>179</v>
      </c>
      <c r="B649" s="294" t="s">
        <v>1561</v>
      </c>
      <c r="C649" s="293" t="s">
        <v>97</v>
      </c>
      <c r="D649" s="293">
        <v>636</v>
      </c>
      <c r="E649" s="295">
        <v>311.64</v>
      </c>
      <c r="F649" s="268">
        <v>0.49</v>
      </c>
      <c r="G649" s="293"/>
      <c r="H649" s="293"/>
    </row>
    <row r="650" spans="1:8" x14ac:dyDescent="0.25">
      <c r="A650" s="91">
        <f t="shared" si="10"/>
        <v>180</v>
      </c>
      <c r="B650" s="53" t="s">
        <v>1564</v>
      </c>
      <c r="C650" s="91" t="s">
        <v>97</v>
      </c>
      <c r="D650" s="91">
        <v>234</v>
      </c>
      <c r="E650" s="269">
        <v>232.56</v>
      </c>
      <c r="F650" s="268">
        <v>0.34</v>
      </c>
      <c r="G650" s="91"/>
      <c r="H650" s="91"/>
    </row>
    <row r="651" spans="1:8" s="4" customFormat="1" x14ac:dyDescent="0.25">
      <c r="A651" s="286">
        <f t="shared" si="10"/>
        <v>180</v>
      </c>
      <c r="B651" s="287" t="s">
        <v>1564</v>
      </c>
      <c r="C651" s="286" t="s">
        <v>97</v>
      </c>
      <c r="D651" s="286">
        <v>450</v>
      </c>
      <c r="E651" s="276"/>
      <c r="F651" s="268">
        <v>0.34</v>
      </c>
      <c r="G651" s="286"/>
      <c r="H651" s="286"/>
    </row>
    <row r="652" spans="1:8" x14ac:dyDescent="0.25">
      <c r="A652" s="91">
        <f t="shared" si="10"/>
        <v>181</v>
      </c>
      <c r="B652" s="53" t="s">
        <v>1567</v>
      </c>
      <c r="C652" s="91" t="s">
        <v>97</v>
      </c>
      <c r="D652" s="91">
        <v>234</v>
      </c>
      <c r="E652" s="269">
        <v>232.56</v>
      </c>
      <c r="F652" s="268">
        <v>0.34</v>
      </c>
      <c r="G652" s="91"/>
      <c r="H652" s="91"/>
    </row>
    <row r="653" spans="1:8" s="4" customFormat="1" x14ac:dyDescent="0.25">
      <c r="A653" s="286">
        <f t="shared" si="10"/>
        <v>181</v>
      </c>
      <c r="B653" s="287" t="s">
        <v>1567</v>
      </c>
      <c r="C653" s="286" t="s">
        <v>97</v>
      </c>
      <c r="D653" s="286">
        <v>450</v>
      </c>
      <c r="E653" s="276"/>
      <c r="F653" s="268">
        <v>0.34</v>
      </c>
      <c r="G653" s="286"/>
      <c r="H653" s="286"/>
    </row>
    <row r="654" spans="1:8" x14ac:dyDescent="0.25">
      <c r="A654" s="91">
        <f t="shared" si="10"/>
        <v>182</v>
      </c>
      <c r="B654" s="53" t="s">
        <v>1570</v>
      </c>
      <c r="C654" s="91" t="s">
        <v>115</v>
      </c>
      <c r="D654" s="91">
        <v>78</v>
      </c>
      <c r="E654" s="269">
        <v>57.12</v>
      </c>
      <c r="F654" s="268">
        <v>0.34</v>
      </c>
      <c r="G654" s="91"/>
      <c r="H654" s="91"/>
    </row>
    <row r="655" spans="1:8" s="4" customFormat="1" x14ac:dyDescent="0.25">
      <c r="A655" s="286">
        <f t="shared" si="10"/>
        <v>182</v>
      </c>
      <c r="B655" s="287" t="s">
        <v>1570</v>
      </c>
      <c r="C655" s="286" t="s">
        <v>115</v>
      </c>
      <c r="D655" s="286">
        <v>90</v>
      </c>
      <c r="E655" s="276"/>
      <c r="F655" s="268">
        <v>0.34</v>
      </c>
      <c r="G655" s="286"/>
      <c r="H655" s="286"/>
    </row>
    <row r="656" spans="1:8" x14ac:dyDescent="0.25">
      <c r="A656" s="91">
        <f t="shared" si="10"/>
        <v>183</v>
      </c>
      <c r="B656" s="53" t="s">
        <v>1574</v>
      </c>
      <c r="C656" s="91" t="s">
        <v>287</v>
      </c>
      <c r="D656" s="91">
        <v>192</v>
      </c>
      <c r="E656" s="269">
        <v>893.76</v>
      </c>
      <c r="F656" s="268">
        <v>0.49</v>
      </c>
      <c r="G656" s="91"/>
      <c r="H656" s="91"/>
    </row>
    <row r="657" spans="1:8" x14ac:dyDescent="0.25">
      <c r="A657" s="91">
        <f t="shared" si="10"/>
        <v>183</v>
      </c>
      <c r="B657" s="53" t="s">
        <v>1574</v>
      </c>
      <c r="C657" s="91" t="s">
        <v>287</v>
      </c>
      <c r="D657" s="91">
        <v>80</v>
      </c>
      <c r="E657" s="269"/>
      <c r="F657" s="268">
        <v>0.49</v>
      </c>
      <c r="G657" s="91"/>
      <c r="H657" s="91"/>
    </row>
    <row r="658" spans="1:8" x14ac:dyDescent="0.25">
      <c r="A658" s="91">
        <f t="shared" si="10"/>
        <v>183</v>
      </c>
      <c r="B658" s="53" t="s">
        <v>1574</v>
      </c>
      <c r="C658" s="91" t="s">
        <v>287</v>
      </c>
      <c r="D658" s="91">
        <v>176</v>
      </c>
      <c r="E658" s="269"/>
      <c r="F658" s="268">
        <v>0.49</v>
      </c>
      <c r="G658" s="91"/>
      <c r="H658" s="91"/>
    </row>
    <row r="659" spans="1:8" x14ac:dyDescent="0.25">
      <c r="A659" s="91">
        <f t="shared" si="10"/>
        <v>183</v>
      </c>
      <c r="B659" s="53" t="s">
        <v>1574</v>
      </c>
      <c r="C659" s="91" t="s">
        <v>287</v>
      </c>
      <c r="D659" s="91">
        <v>688</v>
      </c>
      <c r="E659" s="269"/>
      <c r="F659" s="268">
        <v>0.49</v>
      </c>
      <c r="G659" s="91"/>
      <c r="H659" s="91"/>
    </row>
    <row r="660" spans="1:8" x14ac:dyDescent="0.25">
      <c r="A660" s="91">
        <f t="shared" si="10"/>
        <v>183</v>
      </c>
      <c r="B660" s="53" t="s">
        <v>1574</v>
      </c>
      <c r="C660" s="91" t="s">
        <v>287</v>
      </c>
      <c r="D660" s="91">
        <v>304</v>
      </c>
      <c r="E660" s="269"/>
      <c r="F660" s="268">
        <v>0.49</v>
      </c>
      <c r="G660" s="91"/>
      <c r="H660" s="91"/>
    </row>
    <row r="661" spans="1:8" x14ac:dyDescent="0.25">
      <c r="A661" s="91">
        <f t="shared" si="10"/>
        <v>183</v>
      </c>
      <c r="B661" s="53" t="s">
        <v>1574</v>
      </c>
      <c r="C661" s="91" t="s">
        <v>287</v>
      </c>
      <c r="D661" s="91">
        <v>240</v>
      </c>
      <c r="E661" s="269"/>
      <c r="F661" s="268">
        <v>0.49</v>
      </c>
      <c r="G661" s="91"/>
      <c r="H661" s="91"/>
    </row>
    <row r="662" spans="1:8" x14ac:dyDescent="0.25">
      <c r="A662" s="91">
        <f t="shared" si="10"/>
        <v>183</v>
      </c>
      <c r="B662" s="53" t="s">
        <v>1574</v>
      </c>
      <c r="C662" s="91" t="s">
        <v>287</v>
      </c>
      <c r="D662" s="91">
        <v>96</v>
      </c>
      <c r="E662" s="269"/>
      <c r="F662" s="268">
        <v>0.49</v>
      </c>
      <c r="G662" s="91"/>
      <c r="H662" s="91"/>
    </row>
    <row r="663" spans="1:8" s="4" customFormat="1" x14ac:dyDescent="0.25">
      <c r="A663" s="286">
        <f t="shared" si="10"/>
        <v>183</v>
      </c>
      <c r="B663" s="287" t="s">
        <v>1574</v>
      </c>
      <c r="C663" s="286" t="s">
        <v>287</v>
      </c>
      <c r="D663" s="286">
        <v>48</v>
      </c>
      <c r="E663" s="276"/>
      <c r="F663" s="268">
        <v>0.49</v>
      </c>
      <c r="G663" s="286"/>
      <c r="H663" s="286"/>
    </row>
    <row r="664" spans="1:8" s="6" customFormat="1" x14ac:dyDescent="0.25">
      <c r="A664" s="293">
        <f t="shared" si="10"/>
        <v>184</v>
      </c>
      <c r="B664" s="294" t="s">
        <v>1587</v>
      </c>
      <c r="C664" s="293" t="s">
        <v>115</v>
      </c>
      <c r="D664" s="293">
        <v>468</v>
      </c>
      <c r="E664" s="295">
        <v>191.88</v>
      </c>
      <c r="F664" s="268">
        <v>0.41</v>
      </c>
      <c r="G664" s="293"/>
      <c r="H664" s="293"/>
    </row>
    <row r="665" spans="1:8" x14ac:dyDescent="0.25">
      <c r="A665" s="91">
        <f t="shared" si="10"/>
        <v>185</v>
      </c>
      <c r="B665" s="53" t="s">
        <v>1599</v>
      </c>
      <c r="C665" s="91" t="s">
        <v>97</v>
      </c>
      <c r="D665" s="91">
        <v>360</v>
      </c>
      <c r="E665" s="269">
        <v>1081.4000000000001</v>
      </c>
      <c r="F665" s="268">
        <v>0.39467153284671502</v>
      </c>
      <c r="G665" s="91"/>
      <c r="H665" s="91"/>
    </row>
    <row r="666" spans="1:8" x14ac:dyDescent="0.25">
      <c r="A666" s="91">
        <f t="shared" si="10"/>
        <v>185</v>
      </c>
      <c r="B666" s="53" t="s">
        <v>1599</v>
      </c>
      <c r="C666" s="91" t="s">
        <v>97</v>
      </c>
      <c r="D666" s="91">
        <v>300</v>
      </c>
      <c r="E666" s="269"/>
      <c r="F666" s="268">
        <v>0.39467153284671502</v>
      </c>
      <c r="G666" s="91"/>
      <c r="H666" s="91"/>
    </row>
    <row r="667" spans="1:8" x14ac:dyDescent="0.25">
      <c r="A667" s="91">
        <f t="shared" si="10"/>
        <v>185</v>
      </c>
      <c r="B667" s="53" t="s">
        <v>1599</v>
      </c>
      <c r="C667" s="91" t="s">
        <v>97</v>
      </c>
      <c r="D667" s="91">
        <v>900</v>
      </c>
      <c r="E667" s="269"/>
      <c r="F667" s="268">
        <v>0.39467153284671502</v>
      </c>
      <c r="G667" s="91"/>
      <c r="H667" s="91"/>
    </row>
    <row r="668" spans="1:8" x14ac:dyDescent="0.25">
      <c r="A668" s="91">
        <f t="shared" si="10"/>
        <v>185</v>
      </c>
      <c r="B668" s="53" t="s">
        <v>1599</v>
      </c>
      <c r="C668" s="91" t="s">
        <v>97</v>
      </c>
      <c r="D668" s="91">
        <v>100</v>
      </c>
      <c r="E668" s="269"/>
      <c r="F668" s="268">
        <v>0.39467153284671502</v>
      </c>
      <c r="G668" s="91"/>
      <c r="H668" s="91"/>
    </row>
    <row r="669" spans="1:8" x14ac:dyDescent="0.25">
      <c r="A669" s="91">
        <f t="shared" si="10"/>
        <v>185</v>
      </c>
      <c r="B669" s="53" t="s">
        <v>1599</v>
      </c>
      <c r="C669" s="91" t="s">
        <v>97</v>
      </c>
      <c r="D669" s="91">
        <v>600</v>
      </c>
      <c r="E669" s="269"/>
      <c r="F669" s="268">
        <v>0.39467153284671502</v>
      </c>
      <c r="G669" s="91"/>
      <c r="H669" s="91"/>
    </row>
    <row r="670" spans="1:8" s="4" customFormat="1" x14ac:dyDescent="0.25">
      <c r="A670" s="286">
        <f t="shared" si="10"/>
        <v>185</v>
      </c>
      <c r="B670" s="287" t="s">
        <v>1599</v>
      </c>
      <c r="C670" s="286" t="s">
        <v>97</v>
      </c>
      <c r="D670" s="286">
        <v>480</v>
      </c>
      <c r="E670" s="276"/>
      <c r="F670" s="268">
        <v>0.39467153284671502</v>
      </c>
      <c r="G670" s="286"/>
      <c r="H670" s="286"/>
    </row>
    <row r="671" spans="1:8" x14ac:dyDescent="0.25">
      <c r="A671" s="91">
        <f t="shared" si="10"/>
        <v>186</v>
      </c>
      <c r="B671" s="53" t="s">
        <v>1607</v>
      </c>
      <c r="C671" s="91" t="s">
        <v>97</v>
      </c>
      <c r="D671" s="91">
        <v>320</v>
      </c>
      <c r="E671" s="269">
        <v>1300.4000000000001</v>
      </c>
      <c r="F671" s="268">
        <v>0.36943181818181797</v>
      </c>
      <c r="G671" s="91"/>
      <c r="H671" s="91"/>
    </row>
    <row r="672" spans="1:8" x14ac:dyDescent="0.25">
      <c r="A672" s="91">
        <f t="shared" si="10"/>
        <v>186</v>
      </c>
      <c r="B672" s="53" t="s">
        <v>1607</v>
      </c>
      <c r="C672" s="91" t="s">
        <v>97</v>
      </c>
      <c r="D672" s="91">
        <v>1600</v>
      </c>
      <c r="E672" s="269"/>
      <c r="F672" s="268">
        <v>0.36943181818181797</v>
      </c>
      <c r="G672" s="91"/>
      <c r="H672" s="91"/>
    </row>
    <row r="673" spans="1:8" x14ac:dyDescent="0.25">
      <c r="A673" s="91">
        <f t="shared" si="10"/>
        <v>186</v>
      </c>
      <c r="B673" s="53" t="s">
        <v>1607</v>
      </c>
      <c r="C673" s="91" t="s">
        <v>97</v>
      </c>
      <c r="D673" s="91">
        <v>150</v>
      </c>
      <c r="E673" s="269"/>
      <c r="F673" s="268">
        <v>0.36943181818181797</v>
      </c>
      <c r="G673" s="91"/>
      <c r="H673" s="91"/>
    </row>
    <row r="674" spans="1:8" x14ac:dyDescent="0.25">
      <c r="A674" s="91">
        <f t="shared" si="10"/>
        <v>186</v>
      </c>
      <c r="B674" s="53" t="s">
        <v>1607</v>
      </c>
      <c r="C674" s="91" t="s">
        <v>97</v>
      </c>
      <c r="D674" s="91">
        <v>600</v>
      </c>
      <c r="E674" s="269"/>
      <c r="F674" s="268">
        <v>0.36943181818181797</v>
      </c>
      <c r="G674" s="91"/>
      <c r="H674" s="91"/>
    </row>
    <row r="675" spans="1:8" x14ac:dyDescent="0.25">
      <c r="A675" s="91">
        <f t="shared" si="10"/>
        <v>186</v>
      </c>
      <c r="B675" s="53" t="s">
        <v>1607</v>
      </c>
      <c r="C675" s="91" t="s">
        <v>97</v>
      </c>
      <c r="D675" s="91">
        <v>200</v>
      </c>
      <c r="E675" s="269"/>
      <c r="F675" s="268">
        <v>0.36943181818181797</v>
      </c>
      <c r="G675" s="91"/>
      <c r="H675" s="91"/>
    </row>
    <row r="676" spans="1:8" x14ac:dyDescent="0.25">
      <c r="A676" s="91">
        <f t="shared" si="10"/>
        <v>186</v>
      </c>
      <c r="B676" s="53" t="s">
        <v>1607</v>
      </c>
      <c r="C676" s="91" t="s">
        <v>97</v>
      </c>
      <c r="D676" s="91">
        <v>160</v>
      </c>
      <c r="E676" s="269"/>
      <c r="F676" s="268">
        <v>0.36943181818181797</v>
      </c>
      <c r="G676" s="91"/>
      <c r="H676" s="91"/>
    </row>
    <row r="677" spans="1:8" x14ac:dyDescent="0.25">
      <c r="A677" s="91">
        <f t="shared" si="10"/>
        <v>186</v>
      </c>
      <c r="B677" s="53" t="s">
        <v>1607</v>
      </c>
      <c r="C677" s="91" t="s">
        <v>97</v>
      </c>
      <c r="D677" s="91">
        <v>200</v>
      </c>
      <c r="E677" s="269"/>
      <c r="F677" s="268">
        <v>0.36943181818181797</v>
      </c>
      <c r="G677" s="91"/>
      <c r="H677" s="91"/>
    </row>
    <row r="678" spans="1:8" x14ac:dyDescent="0.25">
      <c r="A678" s="91">
        <f t="shared" si="10"/>
        <v>186</v>
      </c>
      <c r="B678" s="53" t="s">
        <v>1607</v>
      </c>
      <c r="C678" s="91" t="s">
        <v>97</v>
      </c>
      <c r="D678" s="91">
        <v>90</v>
      </c>
      <c r="E678" s="269"/>
      <c r="F678" s="268">
        <v>0.36943181818181797</v>
      </c>
      <c r="G678" s="91"/>
      <c r="H678" s="91"/>
    </row>
    <row r="679" spans="1:8" x14ac:dyDescent="0.25">
      <c r="A679" s="91">
        <f t="shared" si="10"/>
        <v>186</v>
      </c>
      <c r="B679" s="53" t="s">
        <v>1607</v>
      </c>
      <c r="C679" s="91" t="s">
        <v>97</v>
      </c>
      <c r="D679" s="91">
        <v>80</v>
      </c>
      <c r="E679" s="269"/>
      <c r="F679" s="268">
        <v>0.36943181818181797</v>
      </c>
      <c r="G679" s="91"/>
      <c r="H679" s="91"/>
    </row>
    <row r="680" spans="1:8" s="4" customFormat="1" x14ac:dyDescent="0.25">
      <c r="A680" s="286">
        <f t="shared" si="10"/>
        <v>186</v>
      </c>
      <c r="B680" s="287" t="s">
        <v>1607</v>
      </c>
      <c r="C680" s="286" t="s">
        <v>97</v>
      </c>
      <c r="D680" s="286">
        <v>120</v>
      </c>
      <c r="E680" s="276"/>
      <c r="F680" s="268">
        <v>0.36943181818181797</v>
      </c>
      <c r="G680" s="286"/>
      <c r="H680" s="286"/>
    </row>
    <row r="681" spans="1:8" x14ac:dyDescent="0.25">
      <c r="A681" s="91">
        <f t="shared" si="10"/>
        <v>187</v>
      </c>
      <c r="B681" s="53" t="s">
        <v>1619</v>
      </c>
      <c r="C681" s="91" t="s">
        <v>97</v>
      </c>
      <c r="D681" s="91">
        <v>320</v>
      </c>
      <c r="E681" s="269">
        <v>1300.4000000000001</v>
      </c>
      <c r="F681" s="268">
        <v>0.36943181818181797</v>
      </c>
      <c r="G681" s="91"/>
      <c r="H681" s="91"/>
    </row>
    <row r="682" spans="1:8" x14ac:dyDescent="0.25">
      <c r="A682" s="91">
        <f t="shared" si="10"/>
        <v>187</v>
      </c>
      <c r="B682" s="53" t="s">
        <v>1619</v>
      </c>
      <c r="C682" s="91" t="s">
        <v>97</v>
      </c>
      <c r="D682" s="91">
        <v>1600</v>
      </c>
      <c r="E682" s="269"/>
      <c r="F682" s="268">
        <v>0.36943181818181797</v>
      </c>
      <c r="G682" s="91"/>
      <c r="H682" s="91"/>
    </row>
    <row r="683" spans="1:8" x14ac:dyDescent="0.25">
      <c r="A683" s="91">
        <f t="shared" si="10"/>
        <v>187</v>
      </c>
      <c r="B683" s="53" t="s">
        <v>1619</v>
      </c>
      <c r="C683" s="91" t="s">
        <v>97</v>
      </c>
      <c r="D683" s="91">
        <v>150</v>
      </c>
      <c r="E683" s="269"/>
      <c r="F683" s="268">
        <v>0.36943181818181797</v>
      </c>
      <c r="G683" s="91"/>
      <c r="H683" s="91"/>
    </row>
    <row r="684" spans="1:8" x14ac:dyDescent="0.25">
      <c r="A684" s="91">
        <f t="shared" si="10"/>
        <v>187</v>
      </c>
      <c r="B684" s="53" t="s">
        <v>1619</v>
      </c>
      <c r="C684" s="91" t="s">
        <v>97</v>
      </c>
      <c r="D684" s="91">
        <v>600</v>
      </c>
      <c r="E684" s="269"/>
      <c r="F684" s="268">
        <v>0.36943181818181797</v>
      </c>
      <c r="G684" s="91"/>
      <c r="H684" s="91"/>
    </row>
    <row r="685" spans="1:8" x14ac:dyDescent="0.25">
      <c r="A685" s="91">
        <f t="shared" si="10"/>
        <v>187</v>
      </c>
      <c r="B685" s="53" t="s">
        <v>1619</v>
      </c>
      <c r="C685" s="91" t="s">
        <v>97</v>
      </c>
      <c r="D685" s="91">
        <v>200</v>
      </c>
      <c r="E685" s="269"/>
      <c r="F685" s="268">
        <v>0.36943181818181797</v>
      </c>
      <c r="G685" s="91"/>
      <c r="H685" s="91"/>
    </row>
    <row r="686" spans="1:8" x14ac:dyDescent="0.25">
      <c r="A686" s="91">
        <f t="shared" si="10"/>
        <v>187</v>
      </c>
      <c r="B686" s="53" t="s">
        <v>1619</v>
      </c>
      <c r="C686" s="91" t="s">
        <v>97</v>
      </c>
      <c r="D686" s="91">
        <v>160</v>
      </c>
      <c r="E686" s="269"/>
      <c r="F686" s="268">
        <v>0.36943181818181797</v>
      </c>
      <c r="G686" s="91"/>
      <c r="H686" s="91"/>
    </row>
    <row r="687" spans="1:8" x14ac:dyDescent="0.25">
      <c r="A687" s="91">
        <f t="shared" si="10"/>
        <v>187</v>
      </c>
      <c r="B687" s="53" t="s">
        <v>1619</v>
      </c>
      <c r="C687" s="91" t="s">
        <v>97</v>
      </c>
      <c r="D687" s="91">
        <v>200</v>
      </c>
      <c r="E687" s="269"/>
      <c r="F687" s="268">
        <v>0.36943181818181797</v>
      </c>
      <c r="G687" s="91"/>
      <c r="H687" s="91"/>
    </row>
    <row r="688" spans="1:8" x14ac:dyDescent="0.25">
      <c r="A688" s="91">
        <f t="shared" si="10"/>
        <v>187</v>
      </c>
      <c r="B688" s="53" t="s">
        <v>1619</v>
      </c>
      <c r="C688" s="91" t="s">
        <v>97</v>
      </c>
      <c r="D688" s="91">
        <v>90</v>
      </c>
      <c r="E688" s="269"/>
      <c r="F688" s="268">
        <v>0.36943181818181797</v>
      </c>
      <c r="G688" s="91"/>
      <c r="H688" s="91"/>
    </row>
    <row r="689" spans="1:8" x14ac:dyDescent="0.25">
      <c r="A689" s="91">
        <f t="shared" si="10"/>
        <v>187</v>
      </c>
      <c r="B689" s="53" t="s">
        <v>1619</v>
      </c>
      <c r="C689" s="91" t="s">
        <v>97</v>
      </c>
      <c r="D689" s="91">
        <v>80</v>
      </c>
      <c r="E689" s="269"/>
      <c r="F689" s="268">
        <v>0.36943181818181797</v>
      </c>
      <c r="G689" s="91"/>
      <c r="H689" s="91"/>
    </row>
    <row r="690" spans="1:8" s="4" customFormat="1" x14ac:dyDescent="0.25">
      <c r="A690" s="286">
        <f t="shared" si="10"/>
        <v>187</v>
      </c>
      <c r="B690" s="287" t="s">
        <v>1619</v>
      </c>
      <c r="C690" s="286" t="s">
        <v>97</v>
      </c>
      <c r="D690" s="286">
        <v>120</v>
      </c>
      <c r="E690" s="276"/>
      <c r="F690" s="268">
        <v>0.36943181818181797</v>
      </c>
      <c r="G690" s="286"/>
      <c r="H690" s="286"/>
    </row>
    <row r="691" spans="1:8" x14ac:dyDescent="0.25">
      <c r="A691" s="91">
        <f t="shared" si="10"/>
        <v>188</v>
      </c>
      <c r="B691" s="53" t="s">
        <v>1630</v>
      </c>
      <c r="C691" s="91" t="s">
        <v>115</v>
      </c>
      <c r="D691" s="91">
        <v>600</v>
      </c>
      <c r="E691" s="269">
        <v>442.8</v>
      </c>
      <c r="F691" s="268">
        <v>0.41</v>
      </c>
      <c r="G691" s="91"/>
      <c r="H691" s="91"/>
    </row>
    <row r="692" spans="1:8" x14ac:dyDescent="0.25">
      <c r="A692" s="91">
        <f t="shared" si="10"/>
        <v>188</v>
      </c>
      <c r="B692" s="53" t="s">
        <v>1630</v>
      </c>
      <c r="C692" s="91" t="s">
        <v>115</v>
      </c>
      <c r="D692" s="91">
        <v>180</v>
      </c>
      <c r="E692" s="269"/>
      <c r="F692" s="268">
        <v>0.41</v>
      </c>
      <c r="G692" s="91"/>
      <c r="H692" s="91"/>
    </row>
    <row r="693" spans="1:8" x14ac:dyDescent="0.25">
      <c r="A693" s="91">
        <f t="shared" si="10"/>
        <v>188</v>
      </c>
      <c r="B693" s="53" t="s">
        <v>1630</v>
      </c>
      <c r="C693" s="91" t="s">
        <v>115</v>
      </c>
      <c r="D693" s="91">
        <v>120</v>
      </c>
      <c r="E693" s="269"/>
      <c r="F693" s="268">
        <v>0.41</v>
      </c>
      <c r="G693" s="91"/>
      <c r="H693" s="91"/>
    </row>
    <row r="694" spans="1:8" s="4" customFormat="1" x14ac:dyDescent="0.25">
      <c r="A694" s="286">
        <f t="shared" si="10"/>
        <v>188</v>
      </c>
      <c r="B694" s="287" t="s">
        <v>1630</v>
      </c>
      <c r="C694" s="286" t="s">
        <v>115</v>
      </c>
      <c r="D694" s="286">
        <v>180</v>
      </c>
      <c r="E694" s="276"/>
      <c r="F694" s="268">
        <v>0.41</v>
      </c>
      <c r="G694" s="286"/>
      <c r="H694" s="286"/>
    </row>
    <row r="695" spans="1:8" x14ac:dyDescent="0.25">
      <c r="A695" s="91">
        <f t="shared" si="10"/>
        <v>189</v>
      </c>
      <c r="B695" s="53" t="s">
        <v>1635</v>
      </c>
      <c r="C695" s="91" t="s">
        <v>97</v>
      </c>
      <c r="D695" s="91">
        <v>240</v>
      </c>
      <c r="E695" s="269">
        <v>370.44</v>
      </c>
      <c r="F695" s="268">
        <v>0.49</v>
      </c>
      <c r="G695" s="91"/>
      <c r="H695" s="91"/>
    </row>
    <row r="696" spans="1:8" s="4" customFormat="1" x14ac:dyDescent="0.25">
      <c r="A696" s="286">
        <f t="shared" si="10"/>
        <v>189</v>
      </c>
      <c r="B696" s="287" t="s">
        <v>1635</v>
      </c>
      <c r="C696" s="286" t="s">
        <v>97</v>
      </c>
      <c r="D696" s="286">
        <v>516</v>
      </c>
      <c r="E696" s="276"/>
      <c r="F696" s="268">
        <v>0.49</v>
      </c>
      <c r="G696" s="286"/>
      <c r="H696" s="286"/>
    </row>
    <row r="697" spans="1:8" s="6" customFormat="1" x14ac:dyDescent="0.25">
      <c r="A697" s="293">
        <f t="shared" si="10"/>
        <v>190</v>
      </c>
      <c r="B697" s="294" t="s">
        <v>1639</v>
      </c>
      <c r="C697" s="293" t="s">
        <v>97</v>
      </c>
      <c r="D697" s="293">
        <v>600</v>
      </c>
      <c r="E697" s="295">
        <v>294</v>
      </c>
      <c r="F697" s="268">
        <v>0.49</v>
      </c>
      <c r="G697" s="293"/>
      <c r="H697" s="293"/>
    </row>
    <row r="698" spans="1:8" x14ac:dyDescent="0.25">
      <c r="A698" s="91">
        <f t="shared" si="10"/>
        <v>191</v>
      </c>
      <c r="B698" s="53" t="s">
        <v>1641</v>
      </c>
      <c r="C698" s="91" t="s">
        <v>97</v>
      </c>
      <c r="D698" s="91">
        <v>228</v>
      </c>
      <c r="E698" s="269">
        <v>370.44</v>
      </c>
      <c r="F698" s="268">
        <v>0.49</v>
      </c>
      <c r="G698" s="91"/>
      <c r="H698" s="91"/>
    </row>
    <row r="699" spans="1:8" s="4" customFormat="1" x14ac:dyDescent="0.25">
      <c r="A699" s="286">
        <f t="shared" si="10"/>
        <v>191</v>
      </c>
      <c r="B699" s="287" t="s">
        <v>1641</v>
      </c>
      <c r="C699" s="286" t="s">
        <v>97</v>
      </c>
      <c r="D699" s="286">
        <v>528</v>
      </c>
      <c r="E699" s="276"/>
      <c r="F699" s="268">
        <v>0.49</v>
      </c>
      <c r="G699" s="286"/>
      <c r="H699" s="286"/>
    </row>
    <row r="700" spans="1:8" x14ac:dyDescent="0.25">
      <c r="A700" s="91">
        <f t="shared" si="10"/>
        <v>192</v>
      </c>
      <c r="B700" s="53" t="s">
        <v>1644</v>
      </c>
      <c r="C700" s="91" t="s">
        <v>97</v>
      </c>
      <c r="D700" s="91">
        <v>702</v>
      </c>
      <c r="E700" s="269">
        <v>605.88</v>
      </c>
      <c r="F700" s="268">
        <v>0.34</v>
      </c>
      <c r="G700" s="91"/>
      <c r="H700" s="91"/>
    </row>
    <row r="701" spans="1:8" x14ac:dyDescent="0.25">
      <c r="A701" s="91">
        <f t="shared" si="10"/>
        <v>192</v>
      </c>
      <c r="B701" s="53" t="s">
        <v>1644</v>
      </c>
      <c r="C701" s="91" t="s">
        <v>97</v>
      </c>
      <c r="D701" s="91">
        <v>180</v>
      </c>
      <c r="E701" s="269"/>
      <c r="F701" s="268">
        <v>0.34</v>
      </c>
      <c r="G701" s="91"/>
      <c r="H701" s="91"/>
    </row>
    <row r="702" spans="1:8" x14ac:dyDescent="0.25">
      <c r="A702" s="91">
        <f t="shared" si="10"/>
        <v>192</v>
      </c>
      <c r="B702" s="53" t="s">
        <v>1644</v>
      </c>
      <c r="C702" s="91" t="s">
        <v>97</v>
      </c>
      <c r="D702" s="91">
        <v>270</v>
      </c>
      <c r="E702" s="269"/>
      <c r="F702" s="268">
        <v>0.34</v>
      </c>
      <c r="G702" s="91"/>
      <c r="H702" s="91"/>
    </row>
    <row r="703" spans="1:8" x14ac:dyDescent="0.25">
      <c r="A703" s="91">
        <f t="shared" si="10"/>
        <v>192</v>
      </c>
      <c r="B703" s="53" t="s">
        <v>1644</v>
      </c>
      <c r="C703" s="91" t="s">
        <v>97</v>
      </c>
      <c r="D703" s="91">
        <v>270</v>
      </c>
      <c r="E703" s="269"/>
      <c r="F703" s="268">
        <v>0.34</v>
      </c>
      <c r="G703" s="91"/>
      <c r="H703" s="91"/>
    </row>
    <row r="704" spans="1:8" x14ac:dyDescent="0.25">
      <c r="A704" s="91">
        <f t="shared" si="10"/>
        <v>192</v>
      </c>
      <c r="B704" s="53" t="s">
        <v>1644</v>
      </c>
      <c r="C704" s="91" t="s">
        <v>97</v>
      </c>
      <c r="D704" s="91">
        <v>90</v>
      </c>
      <c r="E704" s="269"/>
      <c r="F704" s="268">
        <v>0.34</v>
      </c>
      <c r="G704" s="91"/>
      <c r="H704" s="91"/>
    </row>
    <row r="705" spans="1:8" s="4" customFormat="1" x14ac:dyDescent="0.25">
      <c r="A705" s="286">
        <f t="shared" si="10"/>
        <v>192</v>
      </c>
      <c r="B705" s="287" t="s">
        <v>1644</v>
      </c>
      <c r="C705" s="286" t="s">
        <v>97</v>
      </c>
      <c r="D705" s="286">
        <v>270</v>
      </c>
      <c r="E705" s="276"/>
      <c r="F705" s="268">
        <v>0.34</v>
      </c>
      <c r="G705" s="286"/>
      <c r="H705" s="286"/>
    </row>
    <row r="706" spans="1:8" x14ac:dyDescent="0.25">
      <c r="A706" s="91">
        <f t="shared" si="10"/>
        <v>193</v>
      </c>
      <c r="B706" s="53" t="s">
        <v>1651</v>
      </c>
      <c r="C706" s="91" t="s">
        <v>115</v>
      </c>
      <c r="D706" s="91">
        <v>312</v>
      </c>
      <c r="E706" s="269">
        <v>228.48</v>
      </c>
      <c r="F706" s="268">
        <v>0.34</v>
      </c>
      <c r="G706" s="91"/>
      <c r="H706" s="91"/>
    </row>
    <row r="707" spans="1:8" x14ac:dyDescent="0.25">
      <c r="A707" s="91">
        <f t="shared" si="10"/>
        <v>193</v>
      </c>
      <c r="B707" s="53" t="s">
        <v>1651</v>
      </c>
      <c r="C707" s="91" t="s">
        <v>115</v>
      </c>
      <c r="D707" s="91">
        <v>90</v>
      </c>
      <c r="E707" s="269"/>
      <c r="F707" s="268">
        <v>0.34</v>
      </c>
      <c r="G707" s="91"/>
      <c r="H707" s="91"/>
    </row>
    <row r="708" spans="1:8" s="4" customFormat="1" x14ac:dyDescent="0.25">
      <c r="A708" s="286">
        <f t="shared" ref="A708:A771" si="11">IF(B708=B707,A707,A707+1)</f>
        <v>193</v>
      </c>
      <c r="B708" s="287" t="s">
        <v>1651</v>
      </c>
      <c r="C708" s="286" t="s">
        <v>115</v>
      </c>
      <c r="D708" s="286">
        <v>270</v>
      </c>
      <c r="E708" s="276"/>
      <c r="F708" s="288">
        <v>0.34</v>
      </c>
      <c r="G708" s="286"/>
      <c r="H708" s="286"/>
    </row>
    <row r="709" spans="1:8" x14ac:dyDescent="0.25">
      <c r="A709" s="91">
        <f t="shared" si="11"/>
        <v>194</v>
      </c>
      <c r="B709" s="53" t="s">
        <v>1662</v>
      </c>
      <c r="C709" s="91" t="s">
        <v>97</v>
      </c>
      <c r="D709" s="91">
        <v>160</v>
      </c>
      <c r="E709" s="269">
        <v>1452.8</v>
      </c>
      <c r="F709" s="268">
        <v>0.36686868686868701</v>
      </c>
      <c r="G709" s="91"/>
      <c r="H709" s="91"/>
    </row>
    <row r="710" spans="1:8" x14ac:dyDescent="0.25">
      <c r="A710" s="91">
        <f t="shared" si="11"/>
        <v>194</v>
      </c>
      <c r="B710" s="53" t="s">
        <v>1662</v>
      </c>
      <c r="C710" s="91" t="s">
        <v>97</v>
      </c>
      <c r="D710" s="91">
        <v>1400</v>
      </c>
      <c r="E710" s="269"/>
      <c r="F710" s="268">
        <v>0.36686868686868701</v>
      </c>
      <c r="G710" s="91"/>
      <c r="H710" s="91"/>
    </row>
    <row r="711" spans="1:8" x14ac:dyDescent="0.25">
      <c r="A711" s="91">
        <f t="shared" si="11"/>
        <v>194</v>
      </c>
      <c r="B711" s="53" t="s">
        <v>1662</v>
      </c>
      <c r="C711" s="91" t="s">
        <v>97</v>
      </c>
      <c r="D711" s="91">
        <v>270</v>
      </c>
      <c r="E711" s="269"/>
      <c r="F711" s="268">
        <v>0.36686868686868701</v>
      </c>
      <c r="G711" s="91"/>
      <c r="H711" s="91"/>
    </row>
    <row r="712" spans="1:8" x14ac:dyDescent="0.25">
      <c r="A712" s="91">
        <f t="shared" si="11"/>
        <v>194</v>
      </c>
      <c r="B712" s="53" t="s">
        <v>1662</v>
      </c>
      <c r="C712" s="91" t="s">
        <v>97</v>
      </c>
      <c r="D712" s="91">
        <v>900</v>
      </c>
      <c r="E712" s="269"/>
      <c r="F712" s="268">
        <v>0.36686868686868701</v>
      </c>
      <c r="G712" s="91"/>
      <c r="H712" s="91"/>
    </row>
    <row r="713" spans="1:8" x14ac:dyDescent="0.25">
      <c r="A713" s="91">
        <f t="shared" si="11"/>
        <v>194</v>
      </c>
      <c r="B713" s="53" t="s">
        <v>1662</v>
      </c>
      <c r="C713" s="91" t="s">
        <v>97</v>
      </c>
      <c r="D713" s="91">
        <v>120</v>
      </c>
      <c r="E713" s="269"/>
      <c r="F713" s="268">
        <v>0.36686868686868701</v>
      </c>
      <c r="G713" s="91"/>
      <c r="H713" s="91"/>
    </row>
    <row r="714" spans="1:8" x14ac:dyDescent="0.25">
      <c r="A714" s="91">
        <f t="shared" si="11"/>
        <v>194</v>
      </c>
      <c r="B714" s="53" t="s">
        <v>1662</v>
      </c>
      <c r="C714" s="91" t="s">
        <v>97</v>
      </c>
      <c r="D714" s="91">
        <v>200</v>
      </c>
      <c r="E714" s="269"/>
      <c r="F714" s="268">
        <v>0.36686868686868701</v>
      </c>
      <c r="G714" s="91"/>
      <c r="H714" s="91"/>
    </row>
    <row r="715" spans="1:8" x14ac:dyDescent="0.25">
      <c r="A715" s="91">
        <f t="shared" si="11"/>
        <v>194</v>
      </c>
      <c r="B715" s="53" t="s">
        <v>1662</v>
      </c>
      <c r="C715" s="91" t="s">
        <v>97</v>
      </c>
      <c r="D715" s="91">
        <v>40</v>
      </c>
      <c r="E715" s="269"/>
      <c r="F715" s="268">
        <v>0.36686868686868701</v>
      </c>
      <c r="G715" s="91"/>
      <c r="H715" s="91"/>
    </row>
    <row r="716" spans="1:8" x14ac:dyDescent="0.25">
      <c r="A716" s="91">
        <f t="shared" si="11"/>
        <v>194</v>
      </c>
      <c r="B716" s="53" t="s">
        <v>1662</v>
      </c>
      <c r="C716" s="91" t="s">
        <v>97</v>
      </c>
      <c r="D716" s="91">
        <v>680</v>
      </c>
      <c r="E716" s="269"/>
      <c r="F716" s="268">
        <v>0.36686868686868701</v>
      </c>
      <c r="G716" s="91"/>
      <c r="H716" s="91"/>
    </row>
    <row r="717" spans="1:8" x14ac:dyDescent="0.25">
      <c r="A717" s="91">
        <f t="shared" si="11"/>
        <v>194</v>
      </c>
      <c r="B717" s="53" t="s">
        <v>1662</v>
      </c>
      <c r="C717" s="91" t="s">
        <v>97</v>
      </c>
      <c r="D717" s="91">
        <v>90</v>
      </c>
      <c r="E717" s="269"/>
      <c r="F717" s="268">
        <v>0.36686868686868701</v>
      </c>
      <c r="G717" s="91"/>
      <c r="H717" s="91"/>
    </row>
    <row r="718" spans="1:8" s="4" customFormat="1" x14ac:dyDescent="0.25">
      <c r="A718" s="286">
        <f t="shared" si="11"/>
        <v>194</v>
      </c>
      <c r="B718" s="287" t="s">
        <v>1662</v>
      </c>
      <c r="C718" s="286" t="s">
        <v>97</v>
      </c>
      <c r="D718" s="286">
        <v>100</v>
      </c>
      <c r="E718" s="276"/>
      <c r="F718" s="288">
        <v>0.36686868686868701</v>
      </c>
      <c r="G718" s="286"/>
      <c r="H718" s="286"/>
    </row>
    <row r="719" spans="1:8" x14ac:dyDescent="0.25">
      <c r="A719" s="91">
        <f t="shared" si="11"/>
        <v>195</v>
      </c>
      <c r="B719" s="53" t="s">
        <v>1673</v>
      </c>
      <c r="C719" s="91" t="s">
        <v>97</v>
      </c>
      <c r="D719" s="91">
        <v>140</v>
      </c>
      <c r="E719" s="269">
        <v>1456.9</v>
      </c>
      <c r="F719" s="268">
        <v>0.36697732997481097</v>
      </c>
      <c r="G719" s="91"/>
      <c r="H719" s="91"/>
    </row>
    <row r="720" spans="1:8" x14ac:dyDescent="0.25">
      <c r="A720" s="91">
        <f t="shared" si="11"/>
        <v>195</v>
      </c>
      <c r="B720" s="53" t="s">
        <v>1673</v>
      </c>
      <c r="C720" s="91" t="s">
        <v>97</v>
      </c>
      <c r="D720" s="91">
        <v>1400</v>
      </c>
      <c r="E720" s="269"/>
      <c r="F720" s="268">
        <v>0.36697732997481097</v>
      </c>
      <c r="G720" s="91"/>
      <c r="H720" s="91"/>
    </row>
    <row r="721" spans="1:8" x14ac:dyDescent="0.25">
      <c r="A721" s="91">
        <f t="shared" si="11"/>
        <v>195</v>
      </c>
      <c r="B721" s="53" t="s">
        <v>1673</v>
      </c>
      <c r="C721" s="91" t="s">
        <v>97</v>
      </c>
      <c r="D721" s="91">
        <v>270</v>
      </c>
      <c r="E721" s="269"/>
      <c r="F721" s="268">
        <v>0.36697732997481097</v>
      </c>
      <c r="G721" s="91"/>
      <c r="H721" s="91"/>
    </row>
    <row r="722" spans="1:8" x14ac:dyDescent="0.25">
      <c r="A722" s="91">
        <f t="shared" si="11"/>
        <v>195</v>
      </c>
      <c r="B722" s="53" t="s">
        <v>1673</v>
      </c>
      <c r="C722" s="91" t="s">
        <v>97</v>
      </c>
      <c r="D722" s="91">
        <v>900</v>
      </c>
      <c r="E722" s="269"/>
      <c r="F722" s="268">
        <v>0.36697732997481097</v>
      </c>
      <c r="G722" s="91"/>
      <c r="H722" s="91"/>
    </row>
    <row r="723" spans="1:8" x14ac:dyDescent="0.25">
      <c r="A723" s="91">
        <f t="shared" si="11"/>
        <v>195</v>
      </c>
      <c r="B723" s="53" t="s">
        <v>1673</v>
      </c>
      <c r="C723" s="91" t="s">
        <v>97</v>
      </c>
      <c r="D723" s="91">
        <v>80</v>
      </c>
      <c r="E723" s="269"/>
      <c r="F723" s="268">
        <v>0.36697732997481097</v>
      </c>
      <c r="G723" s="91"/>
      <c r="H723" s="91"/>
    </row>
    <row r="724" spans="1:8" x14ac:dyDescent="0.25">
      <c r="A724" s="91">
        <f t="shared" si="11"/>
        <v>195</v>
      </c>
      <c r="B724" s="53" t="s">
        <v>1673</v>
      </c>
      <c r="C724" s="91" t="s">
        <v>97</v>
      </c>
      <c r="D724" s="91">
        <v>200</v>
      </c>
      <c r="E724" s="269"/>
      <c r="F724" s="268">
        <v>0.36697732997481097</v>
      </c>
      <c r="G724" s="91"/>
      <c r="H724" s="91"/>
    </row>
    <row r="725" spans="1:8" x14ac:dyDescent="0.25">
      <c r="A725" s="91">
        <f t="shared" si="11"/>
        <v>195</v>
      </c>
      <c r="B725" s="53" t="s">
        <v>1673</v>
      </c>
      <c r="C725" s="91" t="s">
        <v>97</v>
      </c>
      <c r="D725" s="91">
        <v>40</v>
      </c>
      <c r="E725" s="269"/>
      <c r="F725" s="268">
        <v>0.36697732997481097</v>
      </c>
      <c r="G725" s="91"/>
      <c r="H725" s="91"/>
    </row>
    <row r="726" spans="1:8" x14ac:dyDescent="0.25">
      <c r="A726" s="91">
        <f t="shared" si="11"/>
        <v>195</v>
      </c>
      <c r="B726" s="53" t="s">
        <v>1673</v>
      </c>
      <c r="C726" s="91" t="s">
        <v>97</v>
      </c>
      <c r="D726" s="91">
        <v>720</v>
      </c>
      <c r="E726" s="269"/>
      <c r="F726" s="268">
        <v>0.36697732997481097</v>
      </c>
      <c r="G726" s="91"/>
      <c r="H726" s="91"/>
    </row>
    <row r="727" spans="1:8" x14ac:dyDescent="0.25">
      <c r="A727" s="91">
        <f t="shared" si="11"/>
        <v>195</v>
      </c>
      <c r="B727" s="53" t="s">
        <v>1673</v>
      </c>
      <c r="C727" s="91" t="s">
        <v>97</v>
      </c>
      <c r="D727" s="91">
        <v>120</v>
      </c>
      <c r="E727" s="269"/>
      <c r="F727" s="268">
        <v>0.36697732997481097</v>
      </c>
      <c r="G727" s="91"/>
      <c r="H727" s="91"/>
    </row>
    <row r="728" spans="1:8" s="4" customFormat="1" x14ac:dyDescent="0.25">
      <c r="A728" s="286">
        <f t="shared" si="11"/>
        <v>195</v>
      </c>
      <c r="B728" s="287" t="s">
        <v>1673</v>
      </c>
      <c r="C728" s="286" t="s">
        <v>97</v>
      </c>
      <c r="D728" s="286">
        <v>100</v>
      </c>
      <c r="E728" s="276"/>
      <c r="F728" s="288">
        <v>0.36697732997481097</v>
      </c>
      <c r="G728" s="286"/>
      <c r="H728" s="286"/>
    </row>
    <row r="729" spans="1:8" x14ac:dyDescent="0.25">
      <c r="A729" s="91">
        <f t="shared" si="11"/>
        <v>196</v>
      </c>
      <c r="B729" s="53" t="s">
        <v>1685</v>
      </c>
      <c r="C729" s="91" t="s">
        <v>97</v>
      </c>
      <c r="D729" s="91">
        <v>300</v>
      </c>
      <c r="E729" s="269">
        <v>941.4</v>
      </c>
      <c r="F729" s="268">
        <v>0.38268292682926802</v>
      </c>
      <c r="G729" s="91"/>
      <c r="H729" s="91"/>
    </row>
    <row r="730" spans="1:8" x14ac:dyDescent="0.25">
      <c r="A730" s="91">
        <f t="shared" si="11"/>
        <v>196</v>
      </c>
      <c r="B730" s="53" t="s">
        <v>1685</v>
      </c>
      <c r="C730" s="91" t="s">
        <v>97</v>
      </c>
      <c r="D730" s="91">
        <v>600</v>
      </c>
      <c r="E730" s="269"/>
      <c r="F730" s="268">
        <v>0.38268292682926802</v>
      </c>
      <c r="G730" s="91"/>
      <c r="H730" s="91"/>
    </row>
    <row r="731" spans="1:8" x14ac:dyDescent="0.25">
      <c r="A731" s="91">
        <f t="shared" si="11"/>
        <v>196</v>
      </c>
      <c r="B731" s="53" t="s">
        <v>1685</v>
      </c>
      <c r="C731" s="91" t="s">
        <v>97</v>
      </c>
      <c r="D731" s="91">
        <v>600</v>
      </c>
      <c r="E731" s="269"/>
      <c r="F731" s="268">
        <v>0.38268292682926802</v>
      </c>
      <c r="G731" s="91"/>
      <c r="H731" s="91"/>
    </row>
    <row r="732" spans="1:8" x14ac:dyDescent="0.25">
      <c r="A732" s="91">
        <f t="shared" si="11"/>
        <v>196</v>
      </c>
      <c r="B732" s="53" t="s">
        <v>1685</v>
      </c>
      <c r="C732" s="91" t="s">
        <v>97</v>
      </c>
      <c r="D732" s="91">
        <v>200</v>
      </c>
      <c r="E732" s="269"/>
      <c r="F732" s="268">
        <v>0.38268292682926802</v>
      </c>
      <c r="G732" s="91"/>
      <c r="H732" s="91"/>
    </row>
    <row r="733" spans="1:8" x14ac:dyDescent="0.25">
      <c r="A733" s="91">
        <f t="shared" si="11"/>
        <v>196</v>
      </c>
      <c r="B733" s="53" t="s">
        <v>1685</v>
      </c>
      <c r="C733" s="91" t="s">
        <v>97</v>
      </c>
      <c r="D733" s="91">
        <v>160</v>
      </c>
      <c r="E733" s="269"/>
      <c r="F733" s="268">
        <v>0.38268292682926802</v>
      </c>
      <c r="G733" s="91"/>
      <c r="H733" s="91"/>
    </row>
    <row r="734" spans="1:8" s="4" customFormat="1" x14ac:dyDescent="0.25">
      <c r="A734" s="286">
        <f t="shared" si="11"/>
        <v>196</v>
      </c>
      <c r="B734" s="287" t="s">
        <v>1685</v>
      </c>
      <c r="C734" s="286" t="s">
        <v>97</v>
      </c>
      <c r="D734" s="286">
        <v>600</v>
      </c>
      <c r="E734" s="276"/>
      <c r="F734" s="288">
        <v>0.38268292682926802</v>
      </c>
      <c r="G734" s="286"/>
      <c r="H734" s="286"/>
    </row>
    <row r="735" spans="1:8" x14ac:dyDescent="0.25">
      <c r="A735" s="91">
        <f t="shared" si="11"/>
        <v>197</v>
      </c>
      <c r="B735" s="53" t="s">
        <v>1693</v>
      </c>
      <c r="C735" s="91" t="s">
        <v>115</v>
      </c>
      <c r="D735" s="91">
        <v>176</v>
      </c>
      <c r="E735" s="269">
        <v>559.4</v>
      </c>
      <c r="F735" s="268">
        <v>0.425075987841945</v>
      </c>
      <c r="G735" s="91"/>
      <c r="H735" s="91"/>
    </row>
    <row r="736" spans="1:8" x14ac:dyDescent="0.25">
      <c r="A736" s="91">
        <f t="shared" si="11"/>
        <v>197</v>
      </c>
      <c r="B736" s="53" t="s">
        <v>1693</v>
      </c>
      <c r="C736" s="91" t="s">
        <v>115</v>
      </c>
      <c r="D736" s="91">
        <v>390</v>
      </c>
      <c r="E736" s="269"/>
      <c r="F736" s="268">
        <v>0.425075987841945</v>
      </c>
      <c r="G736" s="91"/>
      <c r="H736" s="91"/>
    </row>
    <row r="737" spans="1:8" x14ac:dyDescent="0.25">
      <c r="A737" s="91">
        <f t="shared" si="11"/>
        <v>197</v>
      </c>
      <c r="B737" s="53" t="s">
        <v>1693</v>
      </c>
      <c r="C737" s="91" t="s">
        <v>115</v>
      </c>
      <c r="D737" s="91">
        <v>570</v>
      </c>
      <c r="E737" s="269"/>
      <c r="F737" s="268">
        <v>0.425075987841945</v>
      </c>
      <c r="G737" s="91"/>
      <c r="H737" s="91"/>
    </row>
    <row r="738" spans="1:8" x14ac:dyDescent="0.25">
      <c r="A738" s="91">
        <f t="shared" si="11"/>
        <v>197</v>
      </c>
      <c r="B738" s="53" t="s">
        <v>1693</v>
      </c>
      <c r="C738" s="91" t="s">
        <v>115</v>
      </c>
      <c r="D738" s="91">
        <v>72</v>
      </c>
      <c r="E738" s="269"/>
      <c r="F738" s="268">
        <v>0.425075987841945</v>
      </c>
      <c r="G738" s="91"/>
      <c r="H738" s="91"/>
    </row>
    <row r="739" spans="1:8" s="4" customFormat="1" x14ac:dyDescent="0.25">
      <c r="A739" s="286">
        <f t="shared" si="11"/>
        <v>197</v>
      </c>
      <c r="B739" s="287" t="s">
        <v>1693</v>
      </c>
      <c r="C739" s="286" t="s">
        <v>115</v>
      </c>
      <c r="D739" s="286">
        <v>108</v>
      </c>
      <c r="E739" s="276"/>
      <c r="F739" s="288">
        <v>0.425075987841945</v>
      </c>
      <c r="G739" s="286"/>
      <c r="H739" s="286"/>
    </row>
    <row r="740" spans="1:8" x14ac:dyDescent="0.25">
      <c r="A740" s="91">
        <f t="shared" si="11"/>
        <v>198</v>
      </c>
      <c r="B740" s="53" t="s">
        <v>1699</v>
      </c>
      <c r="C740" s="91" t="s">
        <v>115</v>
      </c>
      <c r="D740" s="91">
        <v>360</v>
      </c>
      <c r="E740" s="269">
        <v>153</v>
      </c>
      <c r="F740" s="268">
        <v>0.34</v>
      </c>
      <c r="G740" s="91"/>
      <c r="H740" s="91"/>
    </row>
    <row r="741" spans="1:8" s="4" customFormat="1" x14ac:dyDescent="0.25">
      <c r="A741" s="286">
        <f t="shared" si="11"/>
        <v>198</v>
      </c>
      <c r="B741" s="287" t="s">
        <v>1699</v>
      </c>
      <c r="C741" s="286" t="s">
        <v>115</v>
      </c>
      <c r="D741" s="286">
        <v>90</v>
      </c>
      <c r="E741" s="276"/>
      <c r="F741" s="288">
        <v>0.34</v>
      </c>
      <c r="G741" s="286"/>
      <c r="H741" s="286"/>
    </row>
    <row r="742" spans="1:8" x14ac:dyDescent="0.25">
      <c r="A742" s="91">
        <f t="shared" si="11"/>
        <v>199</v>
      </c>
      <c r="B742" s="53" t="s">
        <v>1702</v>
      </c>
      <c r="C742" s="91" t="s">
        <v>97</v>
      </c>
      <c r="D742" s="91">
        <v>1530</v>
      </c>
      <c r="E742" s="269">
        <v>703.8</v>
      </c>
      <c r="F742" s="268">
        <v>0.34</v>
      </c>
      <c r="G742" s="91"/>
      <c r="H742" s="91"/>
    </row>
    <row r="743" spans="1:8" x14ac:dyDescent="0.25">
      <c r="A743" s="91">
        <f t="shared" si="11"/>
        <v>199</v>
      </c>
      <c r="B743" s="53" t="s">
        <v>1702</v>
      </c>
      <c r="C743" s="91" t="s">
        <v>97</v>
      </c>
      <c r="D743" s="91">
        <v>90</v>
      </c>
      <c r="E743" s="269"/>
      <c r="F743" s="268">
        <v>0.34</v>
      </c>
      <c r="G743" s="91"/>
      <c r="H743" s="91"/>
    </row>
    <row r="744" spans="1:8" x14ac:dyDescent="0.25">
      <c r="A744" s="91">
        <f t="shared" si="11"/>
        <v>199</v>
      </c>
      <c r="B744" s="53" t="s">
        <v>1702</v>
      </c>
      <c r="C744" s="91" t="s">
        <v>97</v>
      </c>
      <c r="D744" s="91">
        <v>180</v>
      </c>
      <c r="E744" s="269"/>
      <c r="F744" s="268">
        <v>0.34</v>
      </c>
      <c r="G744" s="91"/>
      <c r="H744" s="91"/>
    </row>
    <row r="745" spans="1:8" s="4" customFormat="1" x14ac:dyDescent="0.25">
      <c r="A745" s="286">
        <f t="shared" si="11"/>
        <v>199</v>
      </c>
      <c r="B745" s="287" t="s">
        <v>1702</v>
      </c>
      <c r="C745" s="286" t="s">
        <v>97</v>
      </c>
      <c r="D745" s="286">
        <v>270</v>
      </c>
      <c r="E745" s="276"/>
      <c r="F745" s="288">
        <v>0.34</v>
      </c>
      <c r="G745" s="286"/>
      <c r="H745" s="286"/>
    </row>
    <row r="746" spans="1:8" x14ac:dyDescent="0.25">
      <c r="A746" s="91">
        <f t="shared" si="11"/>
        <v>200</v>
      </c>
      <c r="B746" s="53" t="s">
        <v>1707</v>
      </c>
      <c r="C746" s="91" t="s">
        <v>287</v>
      </c>
      <c r="D746" s="91">
        <v>240</v>
      </c>
      <c r="E746" s="269">
        <v>462.56</v>
      </c>
      <c r="F746" s="268">
        <v>0.49</v>
      </c>
      <c r="G746" s="91"/>
      <c r="H746" s="91"/>
    </row>
    <row r="747" spans="1:8" x14ac:dyDescent="0.25">
      <c r="A747" s="91">
        <f t="shared" si="11"/>
        <v>200</v>
      </c>
      <c r="B747" s="53" t="s">
        <v>1707</v>
      </c>
      <c r="C747" s="91" t="s">
        <v>287</v>
      </c>
      <c r="D747" s="91">
        <v>96</v>
      </c>
      <c r="E747" s="269"/>
      <c r="F747" s="268">
        <v>0.49</v>
      </c>
      <c r="G747" s="91"/>
      <c r="H747" s="91"/>
    </row>
    <row r="748" spans="1:8" x14ac:dyDescent="0.25">
      <c r="A748" s="91">
        <f t="shared" si="11"/>
        <v>200</v>
      </c>
      <c r="B748" s="53" t="s">
        <v>1707</v>
      </c>
      <c r="C748" s="91" t="s">
        <v>287</v>
      </c>
      <c r="D748" s="91">
        <v>400</v>
      </c>
      <c r="E748" s="269"/>
      <c r="F748" s="268">
        <v>0.49</v>
      </c>
      <c r="G748" s="91"/>
      <c r="H748" s="91"/>
    </row>
    <row r="749" spans="1:8" x14ac:dyDescent="0.25">
      <c r="A749" s="91">
        <f t="shared" si="11"/>
        <v>200</v>
      </c>
      <c r="B749" s="53" t="s">
        <v>1707</v>
      </c>
      <c r="C749" s="91" t="s">
        <v>287</v>
      </c>
      <c r="D749" s="91">
        <v>128</v>
      </c>
      <c r="E749" s="269"/>
      <c r="F749" s="268">
        <v>0.49</v>
      </c>
      <c r="G749" s="91"/>
      <c r="H749" s="91"/>
    </row>
    <row r="750" spans="1:8" s="4" customFormat="1" x14ac:dyDescent="0.25">
      <c r="A750" s="286">
        <f t="shared" si="11"/>
        <v>200</v>
      </c>
      <c r="B750" s="287" t="s">
        <v>1707</v>
      </c>
      <c r="C750" s="286" t="s">
        <v>287</v>
      </c>
      <c r="D750" s="286">
        <v>80</v>
      </c>
      <c r="E750" s="276"/>
      <c r="F750" s="288">
        <v>0.49</v>
      </c>
      <c r="G750" s="286"/>
      <c r="H750" s="286"/>
    </row>
    <row r="751" spans="1:8" x14ac:dyDescent="0.25">
      <c r="A751" s="91">
        <f t="shared" si="11"/>
        <v>201</v>
      </c>
      <c r="B751" s="53" t="s">
        <v>1713</v>
      </c>
      <c r="C751" s="91" t="s">
        <v>97</v>
      </c>
      <c r="D751" s="91">
        <v>300</v>
      </c>
      <c r="E751" s="269">
        <v>876.12</v>
      </c>
      <c r="F751" s="268">
        <v>0.49</v>
      </c>
      <c r="G751" s="91"/>
      <c r="H751" s="91"/>
    </row>
    <row r="752" spans="1:8" x14ac:dyDescent="0.25">
      <c r="A752" s="91">
        <f t="shared" si="11"/>
        <v>201</v>
      </c>
      <c r="B752" s="53" t="s">
        <v>1713</v>
      </c>
      <c r="C752" s="91" t="s">
        <v>97</v>
      </c>
      <c r="D752" s="91">
        <v>420</v>
      </c>
      <c r="E752" s="269"/>
      <c r="F752" s="268">
        <v>0.49</v>
      </c>
      <c r="G752" s="91"/>
      <c r="H752" s="91"/>
    </row>
    <row r="753" spans="1:8" s="4" customFormat="1" x14ac:dyDescent="0.25">
      <c r="A753" s="286">
        <f t="shared" si="11"/>
        <v>201</v>
      </c>
      <c r="B753" s="287" t="s">
        <v>1713</v>
      </c>
      <c r="C753" s="286" t="s">
        <v>97</v>
      </c>
      <c r="D753" s="286">
        <v>1068</v>
      </c>
      <c r="E753" s="276"/>
      <c r="F753" s="288">
        <v>0.49</v>
      </c>
      <c r="G753" s="286"/>
      <c r="H753" s="286"/>
    </row>
    <row r="754" spans="1:8" s="6" customFormat="1" x14ac:dyDescent="0.25">
      <c r="A754" s="293">
        <f t="shared" si="11"/>
        <v>202</v>
      </c>
      <c r="B754" s="294" t="s">
        <v>1718</v>
      </c>
      <c r="C754" s="293" t="s">
        <v>287</v>
      </c>
      <c r="D754" s="293">
        <v>400</v>
      </c>
      <c r="E754" s="295">
        <v>196</v>
      </c>
      <c r="F754" s="296">
        <v>0.49</v>
      </c>
      <c r="G754" s="293"/>
      <c r="H754" s="293"/>
    </row>
    <row r="755" spans="1:8" s="4" customFormat="1" x14ac:dyDescent="0.25">
      <c r="A755" s="286">
        <f t="shared" si="11"/>
        <v>203</v>
      </c>
      <c r="B755" s="287" t="s">
        <v>1721</v>
      </c>
      <c r="C755" s="286" t="s">
        <v>287</v>
      </c>
      <c r="D755" s="286">
        <v>208</v>
      </c>
      <c r="E755" s="276">
        <v>101.92</v>
      </c>
      <c r="F755" s="288">
        <v>0.49</v>
      </c>
      <c r="G755" s="286"/>
      <c r="H755" s="286"/>
    </row>
    <row r="756" spans="1:8" x14ac:dyDescent="0.25">
      <c r="A756" s="91">
        <f t="shared" si="11"/>
        <v>204</v>
      </c>
      <c r="B756" s="53" t="s">
        <v>1724</v>
      </c>
      <c r="C756" s="91" t="s">
        <v>115</v>
      </c>
      <c r="D756" s="91">
        <v>144</v>
      </c>
      <c r="E756" s="269">
        <v>316.56</v>
      </c>
      <c r="F756" s="268">
        <v>0.42548387096774198</v>
      </c>
      <c r="G756" s="91"/>
      <c r="H756" s="91"/>
    </row>
    <row r="757" spans="1:8" x14ac:dyDescent="0.25">
      <c r="A757" s="91">
        <f t="shared" si="11"/>
        <v>204</v>
      </c>
      <c r="B757" s="53" t="s">
        <v>1724</v>
      </c>
      <c r="C757" s="91" t="s">
        <v>115</v>
      </c>
      <c r="D757" s="91">
        <v>150</v>
      </c>
      <c r="E757" s="269"/>
      <c r="F757" s="268">
        <v>0.42548387096774198</v>
      </c>
      <c r="G757" s="91"/>
      <c r="H757" s="91"/>
    </row>
    <row r="758" spans="1:8" x14ac:dyDescent="0.25">
      <c r="A758" s="91">
        <f t="shared" si="11"/>
        <v>204</v>
      </c>
      <c r="B758" s="53" t="s">
        <v>1724</v>
      </c>
      <c r="C758" s="91" t="s">
        <v>115</v>
      </c>
      <c r="D758" s="91">
        <v>360</v>
      </c>
      <c r="E758" s="269"/>
      <c r="F758" s="268">
        <v>0.42548387096774198</v>
      </c>
      <c r="G758" s="91"/>
      <c r="H758" s="91"/>
    </row>
    <row r="759" spans="1:8" x14ac:dyDescent="0.25">
      <c r="A759" s="286">
        <f t="shared" si="11"/>
        <v>204</v>
      </c>
      <c r="B759" s="287" t="s">
        <v>1724</v>
      </c>
      <c r="C759" s="286" t="s">
        <v>115</v>
      </c>
      <c r="D759" s="286">
        <v>90</v>
      </c>
      <c r="E759" s="276"/>
      <c r="F759" s="268">
        <v>0.42548387096774198</v>
      </c>
      <c r="G759" s="91"/>
      <c r="H759" s="91"/>
    </row>
    <row r="760" spans="1:8" x14ac:dyDescent="0.25">
      <c r="A760" s="91">
        <f t="shared" si="11"/>
        <v>205</v>
      </c>
      <c r="B760" s="53" t="s">
        <v>1729</v>
      </c>
      <c r="C760" s="91" t="s">
        <v>97</v>
      </c>
      <c r="D760" s="91">
        <v>500</v>
      </c>
      <c r="E760" s="269">
        <v>3379.9</v>
      </c>
      <c r="F760" s="268">
        <v>0.361486631016043</v>
      </c>
      <c r="G760" s="91"/>
      <c r="H760" s="91"/>
    </row>
    <row r="761" spans="1:8" x14ac:dyDescent="0.25">
      <c r="A761" s="91">
        <f t="shared" si="11"/>
        <v>205</v>
      </c>
      <c r="B761" s="53" t="s">
        <v>1729</v>
      </c>
      <c r="C761" s="91" t="s">
        <v>97</v>
      </c>
      <c r="D761" s="91">
        <v>2000</v>
      </c>
      <c r="E761" s="269"/>
      <c r="F761" s="268">
        <v>0.361486631016043</v>
      </c>
      <c r="G761" s="91"/>
      <c r="H761" s="91"/>
    </row>
    <row r="762" spans="1:8" x14ac:dyDescent="0.25">
      <c r="A762" s="91">
        <f t="shared" si="11"/>
        <v>205</v>
      </c>
      <c r="B762" s="53" t="s">
        <v>1729</v>
      </c>
      <c r="C762" s="91" t="s">
        <v>97</v>
      </c>
      <c r="D762" s="91">
        <v>600</v>
      </c>
      <c r="E762" s="269"/>
      <c r="F762" s="268">
        <v>0.361486631016043</v>
      </c>
      <c r="G762" s="91"/>
      <c r="H762" s="91"/>
    </row>
    <row r="763" spans="1:8" x14ac:dyDescent="0.25">
      <c r="A763" s="91">
        <f t="shared" si="11"/>
        <v>205</v>
      </c>
      <c r="B763" s="53" t="s">
        <v>1729</v>
      </c>
      <c r="C763" s="91" t="s">
        <v>97</v>
      </c>
      <c r="D763" s="91">
        <v>1020</v>
      </c>
      <c r="E763" s="269"/>
      <c r="F763" s="268">
        <v>0.361486631016043</v>
      </c>
      <c r="G763" s="91"/>
      <c r="H763" s="91"/>
    </row>
    <row r="764" spans="1:8" x14ac:dyDescent="0.25">
      <c r="A764" s="91">
        <f t="shared" si="11"/>
        <v>205</v>
      </c>
      <c r="B764" s="53" t="s">
        <v>1729</v>
      </c>
      <c r="C764" s="91" t="s">
        <v>97</v>
      </c>
      <c r="D764" s="91">
        <v>600</v>
      </c>
      <c r="E764" s="269"/>
      <c r="F764" s="268">
        <v>0.361486631016043</v>
      </c>
      <c r="G764" s="91"/>
      <c r="H764" s="91"/>
    </row>
    <row r="765" spans="1:8" x14ac:dyDescent="0.25">
      <c r="A765" s="91">
        <f t="shared" si="11"/>
        <v>205</v>
      </c>
      <c r="B765" s="53" t="s">
        <v>1729</v>
      </c>
      <c r="C765" s="91" t="s">
        <v>97</v>
      </c>
      <c r="D765" s="91">
        <v>600</v>
      </c>
      <c r="E765" s="269"/>
      <c r="F765" s="268">
        <v>0.361486631016043</v>
      </c>
      <c r="G765" s="91"/>
      <c r="H765" s="91"/>
    </row>
    <row r="766" spans="1:8" x14ac:dyDescent="0.25">
      <c r="A766" s="91">
        <f t="shared" si="11"/>
        <v>205</v>
      </c>
      <c r="B766" s="53" t="s">
        <v>1729</v>
      </c>
      <c r="C766" s="91" t="s">
        <v>97</v>
      </c>
      <c r="D766" s="91">
        <v>600</v>
      </c>
      <c r="E766" s="269"/>
      <c r="F766" s="268">
        <v>0.361486631016043</v>
      </c>
      <c r="G766" s="91"/>
      <c r="H766" s="91"/>
    </row>
    <row r="767" spans="1:8" x14ac:dyDescent="0.25">
      <c r="A767" s="91">
        <f t="shared" si="11"/>
        <v>205</v>
      </c>
      <c r="B767" s="53" t="s">
        <v>1729</v>
      </c>
      <c r="C767" s="91" t="s">
        <v>97</v>
      </c>
      <c r="D767" s="91">
        <v>200</v>
      </c>
      <c r="E767" s="269"/>
      <c r="F767" s="268">
        <v>0.361486631016043</v>
      </c>
      <c r="G767" s="91"/>
      <c r="H767" s="91"/>
    </row>
    <row r="768" spans="1:8" x14ac:dyDescent="0.25">
      <c r="A768" s="91">
        <f t="shared" si="11"/>
        <v>205</v>
      </c>
      <c r="B768" s="53" t="s">
        <v>1729</v>
      </c>
      <c r="C768" s="91" t="s">
        <v>97</v>
      </c>
      <c r="D768" s="91">
        <v>400</v>
      </c>
      <c r="E768" s="269"/>
      <c r="F768" s="268">
        <v>0.361486631016043</v>
      </c>
      <c r="G768" s="91"/>
      <c r="H768" s="91"/>
    </row>
    <row r="769" spans="1:8" x14ac:dyDescent="0.25">
      <c r="A769" s="91">
        <f t="shared" si="11"/>
        <v>205</v>
      </c>
      <c r="B769" s="53" t="s">
        <v>1729</v>
      </c>
      <c r="C769" s="91" t="s">
        <v>97</v>
      </c>
      <c r="D769" s="91">
        <v>2200</v>
      </c>
      <c r="E769" s="269"/>
      <c r="F769" s="268">
        <v>0.361486631016043</v>
      </c>
      <c r="G769" s="91"/>
      <c r="H769" s="91"/>
    </row>
    <row r="770" spans="1:8" x14ac:dyDescent="0.25">
      <c r="A770" s="91">
        <f t="shared" si="11"/>
        <v>205</v>
      </c>
      <c r="B770" s="53" t="s">
        <v>1729</v>
      </c>
      <c r="C770" s="91" t="s">
        <v>97</v>
      </c>
      <c r="D770" s="91">
        <v>150</v>
      </c>
      <c r="E770" s="269"/>
      <c r="F770" s="268">
        <v>0.361486631016043</v>
      </c>
      <c r="G770" s="91"/>
      <c r="H770" s="91"/>
    </row>
    <row r="771" spans="1:8" x14ac:dyDescent="0.25">
      <c r="A771" s="286">
        <f t="shared" si="11"/>
        <v>205</v>
      </c>
      <c r="B771" s="287" t="s">
        <v>1729</v>
      </c>
      <c r="C771" s="286" t="s">
        <v>97</v>
      </c>
      <c r="D771" s="286">
        <v>480</v>
      </c>
      <c r="E771" s="276"/>
      <c r="F771" s="268">
        <v>0.361486631016043</v>
      </c>
      <c r="G771" s="91"/>
      <c r="H771" s="91"/>
    </row>
    <row r="772" spans="1:8" x14ac:dyDescent="0.25">
      <c r="A772" s="91">
        <f t="shared" ref="A772:A835" si="12">IF(B772=B771,A771,A771+1)</f>
        <v>206</v>
      </c>
      <c r="B772" s="53" t="s">
        <v>1743</v>
      </c>
      <c r="C772" s="91" t="s">
        <v>86</v>
      </c>
      <c r="D772" s="91">
        <v>80</v>
      </c>
      <c r="E772" s="269">
        <v>0</v>
      </c>
      <c r="F772" s="268">
        <v>0</v>
      </c>
      <c r="G772" s="91"/>
      <c r="H772" s="91"/>
    </row>
    <row r="773" spans="1:8" x14ac:dyDescent="0.25">
      <c r="A773" s="91">
        <f t="shared" si="12"/>
        <v>206</v>
      </c>
      <c r="B773" s="53" t="s">
        <v>1743</v>
      </c>
      <c r="C773" s="91" t="s">
        <v>86</v>
      </c>
      <c r="D773" s="91">
        <v>150</v>
      </c>
      <c r="E773" s="269"/>
      <c r="F773" s="268">
        <v>0</v>
      </c>
      <c r="G773" s="91"/>
      <c r="H773" s="91"/>
    </row>
    <row r="774" spans="1:8" x14ac:dyDescent="0.25">
      <c r="A774" s="91">
        <f t="shared" si="12"/>
        <v>206</v>
      </c>
      <c r="B774" s="53" t="s">
        <v>1743</v>
      </c>
      <c r="C774" s="91" t="s">
        <v>86</v>
      </c>
      <c r="D774" s="91">
        <v>300</v>
      </c>
      <c r="E774" s="269"/>
      <c r="F774" s="268">
        <v>0</v>
      </c>
      <c r="G774" s="91"/>
      <c r="H774" s="91"/>
    </row>
    <row r="775" spans="1:8" x14ac:dyDescent="0.25">
      <c r="A775" s="91">
        <f t="shared" si="12"/>
        <v>206</v>
      </c>
      <c r="B775" s="53" t="s">
        <v>1743</v>
      </c>
      <c r="C775" s="91" t="s">
        <v>86</v>
      </c>
      <c r="D775" s="91">
        <v>120</v>
      </c>
      <c r="E775" s="269"/>
      <c r="F775" s="268">
        <v>0</v>
      </c>
      <c r="G775" s="91"/>
      <c r="H775" s="91"/>
    </row>
    <row r="776" spans="1:8" x14ac:dyDescent="0.25">
      <c r="A776" s="286">
        <f t="shared" si="12"/>
        <v>206</v>
      </c>
      <c r="B776" s="287" t="s">
        <v>1743</v>
      </c>
      <c r="C776" s="286" t="s">
        <v>86</v>
      </c>
      <c r="D776" s="286">
        <v>60</v>
      </c>
      <c r="E776" s="276"/>
      <c r="F776" s="288">
        <v>0</v>
      </c>
      <c r="G776" s="91"/>
      <c r="H776" s="91"/>
    </row>
    <row r="777" spans="1:8" x14ac:dyDescent="0.25">
      <c r="A777" s="91">
        <f t="shared" si="12"/>
        <v>207</v>
      </c>
      <c r="B777" s="53" t="s">
        <v>1750</v>
      </c>
      <c r="C777" s="91" t="s">
        <v>97</v>
      </c>
      <c r="D777" s="91">
        <v>300</v>
      </c>
      <c r="E777" s="269">
        <v>560</v>
      </c>
      <c r="F777" s="268">
        <v>0.4</v>
      </c>
      <c r="G777" s="91"/>
      <c r="H777" s="91"/>
    </row>
    <row r="778" spans="1:8" x14ac:dyDescent="0.25">
      <c r="A778" s="91">
        <f t="shared" si="12"/>
        <v>207</v>
      </c>
      <c r="B778" s="53" t="s">
        <v>1750</v>
      </c>
      <c r="C778" s="91" t="s">
        <v>97</v>
      </c>
      <c r="D778" s="91">
        <v>480</v>
      </c>
      <c r="E778" s="269"/>
      <c r="F778" s="268">
        <v>0.4</v>
      </c>
      <c r="G778" s="91"/>
      <c r="H778" s="91"/>
    </row>
    <row r="779" spans="1:8" x14ac:dyDescent="0.25">
      <c r="A779" s="91">
        <f t="shared" si="12"/>
        <v>207</v>
      </c>
      <c r="B779" s="53" t="s">
        <v>1750</v>
      </c>
      <c r="C779" s="91" t="s">
        <v>97</v>
      </c>
      <c r="D779" s="91">
        <v>200</v>
      </c>
      <c r="E779" s="269"/>
      <c r="F779" s="268">
        <v>0.4</v>
      </c>
      <c r="G779" s="91"/>
      <c r="H779" s="91"/>
    </row>
    <row r="780" spans="1:8" x14ac:dyDescent="0.25">
      <c r="A780" s="286">
        <f t="shared" si="12"/>
        <v>207</v>
      </c>
      <c r="B780" s="287" t="s">
        <v>1750</v>
      </c>
      <c r="C780" s="286" t="s">
        <v>97</v>
      </c>
      <c r="D780" s="286">
        <v>420</v>
      </c>
      <c r="E780" s="276"/>
      <c r="F780" s="268">
        <v>0.4</v>
      </c>
      <c r="G780" s="91"/>
      <c r="H780" s="91"/>
    </row>
    <row r="781" spans="1:8" x14ac:dyDescent="0.25">
      <c r="A781" s="293">
        <f t="shared" si="12"/>
        <v>208</v>
      </c>
      <c r="B781" s="294" t="s">
        <v>1756</v>
      </c>
      <c r="C781" s="293" t="s">
        <v>97</v>
      </c>
      <c r="D781" s="293">
        <v>480</v>
      </c>
      <c r="E781" s="295">
        <v>196.8</v>
      </c>
      <c r="F781" s="296">
        <v>0.41</v>
      </c>
      <c r="G781" s="91"/>
      <c r="H781" s="91"/>
    </row>
    <row r="782" spans="1:8" x14ac:dyDescent="0.25">
      <c r="A782" s="293">
        <f t="shared" si="12"/>
        <v>209</v>
      </c>
      <c r="B782" s="294" t="s">
        <v>1758</v>
      </c>
      <c r="C782" s="293" t="s">
        <v>1037</v>
      </c>
      <c r="D782" s="293">
        <v>300</v>
      </c>
      <c r="E782" s="295">
        <v>123</v>
      </c>
      <c r="F782" s="296">
        <v>0.41</v>
      </c>
      <c r="G782" s="91"/>
      <c r="H782" s="91"/>
    </row>
    <row r="783" spans="1:8" x14ac:dyDescent="0.25">
      <c r="A783" s="91">
        <f t="shared" si="12"/>
        <v>210</v>
      </c>
      <c r="B783" s="53" t="s">
        <v>1760</v>
      </c>
      <c r="C783" s="91" t="s">
        <v>97</v>
      </c>
      <c r="D783" s="91">
        <v>600</v>
      </c>
      <c r="E783" s="269">
        <v>629.16</v>
      </c>
      <c r="F783" s="268">
        <v>0.49</v>
      </c>
      <c r="G783" s="91"/>
      <c r="H783" s="91"/>
    </row>
    <row r="784" spans="1:8" x14ac:dyDescent="0.25">
      <c r="A784" s="91">
        <f t="shared" si="12"/>
        <v>210</v>
      </c>
      <c r="B784" s="53" t="s">
        <v>1760</v>
      </c>
      <c r="C784" s="91" t="s">
        <v>97</v>
      </c>
      <c r="D784" s="91">
        <v>300</v>
      </c>
      <c r="E784" s="269"/>
      <c r="F784" s="268">
        <v>0.49</v>
      </c>
      <c r="G784" s="91"/>
      <c r="H784" s="91"/>
    </row>
    <row r="785" spans="1:8" x14ac:dyDescent="0.25">
      <c r="A785" s="286">
        <f t="shared" si="12"/>
        <v>210</v>
      </c>
      <c r="B785" s="287" t="s">
        <v>1760</v>
      </c>
      <c r="C785" s="286" t="s">
        <v>97</v>
      </c>
      <c r="D785" s="286">
        <v>384</v>
      </c>
      <c r="E785" s="276"/>
      <c r="F785" s="288">
        <v>0.49</v>
      </c>
      <c r="G785" s="91"/>
      <c r="H785" s="91"/>
    </row>
    <row r="786" spans="1:8" x14ac:dyDescent="0.25">
      <c r="A786" s="293">
        <f t="shared" si="12"/>
        <v>211</v>
      </c>
      <c r="B786" s="294" t="s">
        <v>1764</v>
      </c>
      <c r="C786" s="293" t="s">
        <v>97</v>
      </c>
      <c r="D786" s="293">
        <v>504</v>
      </c>
      <c r="E786" s="295">
        <v>246.96</v>
      </c>
      <c r="F786" s="296">
        <v>0.49</v>
      </c>
      <c r="G786" s="91"/>
      <c r="H786" s="91"/>
    </row>
    <row r="787" spans="1:8" x14ac:dyDescent="0.25">
      <c r="A787" s="91">
        <f t="shared" si="12"/>
        <v>212</v>
      </c>
      <c r="B787" s="53" t="s">
        <v>1766</v>
      </c>
      <c r="C787" s="91" t="s">
        <v>115</v>
      </c>
      <c r="D787" s="91">
        <v>390</v>
      </c>
      <c r="E787" s="269">
        <v>193.8</v>
      </c>
      <c r="F787" s="268">
        <v>0.34</v>
      </c>
      <c r="G787" s="91"/>
      <c r="H787" s="91"/>
    </row>
    <row r="788" spans="1:8" x14ac:dyDescent="0.25">
      <c r="A788" s="91">
        <f t="shared" si="12"/>
        <v>212</v>
      </c>
      <c r="B788" s="53" t="s">
        <v>1766</v>
      </c>
      <c r="C788" s="91" t="s">
        <v>115</v>
      </c>
      <c r="D788" s="91">
        <v>90</v>
      </c>
      <c r="E788" s="269"/>
      <c r="F788" s="268">
        <v>0.34</v>
      </c>
      <c r="G788" s="91"/>
      <c r="H788" s="91"/>
    </row>
    <row r="789" spans="1:8" x14ac:dyDescent="0.25">
      <c r="A789" s="286">
        <f t="shared" si="12"/>
        <v>212</v>
      </c>
      <c r="B789" s="287" t="s">
        <v>1766</v>
      </c>
      <c r="C789" s="286" t="s">
        <v>115</v>
      </c>
      <c r="D789" s="286">
        <v>90</v>
      </c>
      <c r="E789" s="276"/>
      <c r="F789" s="288">
        <v>0.34</v>
      </c>
      <c r="G789" s="91"/>
      <c r="H789" s="91"/>
    </row>
    <row r="790" spans="1:8" x14ac:dyDescent="0.25">
      <c r="A790" s="91">
        <f t="shared" si="12"/>
        <v>213</v>
      </c>
      <c r="B790" s="53" t="s">
        <v>1771</v>
      </c>
      <c r="C790" s="91" t="s">
        <v>97</v>
      </c>
      <c r="D790" s="91">
        <v>780</v>
      </c>
      <c r="E790" s="269">
        <v>938.4</v>
      </c>
      <c r="F790" s="268">
        <v>0.34</v>
      </c>
      <c r="G790" s="91"/>
      <c r="H790" s="91"/>
    </row>
    <row r="791" spans="1:8" x14ac:dyDescent="0.25">
      <c r="A791" s="91">
        <f t="shared" si="12"/>
        <v>213</v>
      </c>
      <c r="B791" s="53" t="s">
        <v>1771</v>
      </c>
      <c r="C791" s="91" t="s">
        <v>97</v>
      </c>
      <c r="D791" s="91">
        <v>90</v>
      </c>
      <c r="E791" s="269"/>
      <c r="F791" s="268">
        <v>0.34</v>
      </c>
      <c r="G791" s="91"/>
      <c r="H791" s="91"/>
    </row>
    <row r="792" spans="1:8" x14ac:dyDescent="0.25">
      <c r="A792" s="91">
        <f t="shared" si="12"/>
        <v>213</v>
      </c>
      <c r="B792" s="53" t="s">
        <v>1771</v>
      </c>
      <c r="C792" s="91" t="s">
        <v>97</v>
      </c>
      <c r="D792" s="91">
        <v>1530</v>
      </c>
      <c r="E792" s="269"/>
      <c r="F792" s="268">
        <v>0.34</v>
      </c>
      <c r="G792" s="91"/>
      <c r="H792" s="91"/>
    </row>
    <row r="793" spans="1:8" x14ac:dyDescent="0.25">
      <c r="A793" s="91">
        <f t="shared" si="12"/>
        <v>213</v>
      </c>
      <c r="B793" s="53" t="s">
        <v>1771</v>
      </c>
      <c r="C793" s="91" t="s">
        <v>97</v>
      </c>
      <c r="D793" s="91">
        <v>180</v>
      </c>
      <c r="E793" s="269"/>
      <c r="F793" s="268">
        <v>0.34</v>
      </c>
      <c r="G793" s="91"/>
      <c r="H793" s="91"/>
    </row>
    <row r="794" spans="1:8" x14ac:dyDescent="0.25">
      <c r="A794" s="286">
        <f t="shared" si="12"/>
        <v>213</v>
      </c>
      <c r="B794" s="287" t="s">
        <v>1771</v>
      </c>
      <c r="C794" s="286" t="s">
        <v>97</v>
      </c>
      <c r="D794" s="286">
        <v>180</v>
      </c>
      <c r="E794" s="276"/>
      <c r="F794" s="288">
        <v>0.34</v>
      </c>
      <c r="G794" s="91"/>
      <c r="H794" s="91"/>
    </row>
    <row r="795" spans="1:8" x14ac:dyDescent="0.25">
      <c r="A795" s="91">
        <f t="shared" si="12"/>
        <v>214</v>
      </c>
      <c r="B795" s="53" t="s">
        <v>1778</v>
      </c>
      <c r="C795" s="91" t="s">
        <v>287</v>
      </c>
      <c r="D795" s="91">
        <v>496</v>
      </c>
      <c r="E795" s="269">
        <v>290.08</v>
      </c>
      <c r="F795" s="268">
        <v>0.49</v>
      </c>
      <c r="G795" s="91"/>
      <c r="H795" s="91"/>
    </row>
    <row r="796" spans="1:8" x14ac:dyDescent="0.25">
      <c r="A796" s="91">
        <f t="shared" si="12"/>
        <v>214</v>
      </c>
      <c r="B796" s="53" t="s">
        <v>1778</v>
      </c>
      <c r="C796" s="91" t="s">
        <v>287</v>
      </c>
      <c r="D796" s="91">
        <v>48</v>
      </c>
      <c r="E796" s="269"/>
      <c r="F796" s="268">
        <v>0.49</v>
      </c>
      <c r="G796" s="91"/>
      <c r="H796" s="91"/>
    </row>
    <row r="797" spans="1:8" x14ac:dyDescent="0.25">
      <c r="A797" s="286">
        <f t="shared" si="12"/>
        <v>214</v>
      </c>
      <c r="B797" s="287" t="s">
        <v>1778</v>
      </c>
      <c r="C797" s="286" t="s">
        <v>287</v>
      </c>
      <c r="D797" s="286">
        <v>48</v>
      </c>
      <c r="E797" s="276"/>
      <c r="F797" s="288">
        <v>0.49</v>
      </c>
      <c r="G797" s="91"/>
      <c r="H797" s="91"/>
    </row>
    <row r="798" spans="1:8" x14ac:dyDescent="0.25">
      <c r="A798" s="91">
        <f t="shared" si="12"/>
        <v>215</v>
      </c>
      <c r="B798" s="53" t="s">
        <v>1783</v>
      </c>
      <c r="C798" s="91" t="s">
        <v>97</v>
      </c>
      <c r="D798" s="91">
        <v>630</v>
      </c>
      <c r="E798" s="269">
        <v>441</v>
      </c>
      <c r="F798" s="268">
        <v>0.35</v>
      </c>
      <c r="G798" s="91"/>
      <c r="H798" s="91"/>
    </row>
    <row r="799" spans="1:8" x14ac:dyDescent="0.25">
      <c r="A799" s="91">
        <f t="shared" si="12"/>
        <v>215</v>
      </c>
      <c r="B799" s="53" t="s">
        <v>1783</v>
      </c>
      <c r="C799" s="91" t="s">
        <v>97</v>
      </c>
      <c r="D799" s="91">
        <v>180</v>
      </c>
      <c r="E799" s="269"/>
      <c r="F799" s="268">
        <v>0.35</v>
      </c>
      <c r="G799" s="91"/>
      <c r="H799" s="91"/>
    </row>
    <row r="800" spans="1:8" x14ac:dyDescent="0.25">
      <c r="A800" s="91">
        <f t="shared" si="12"/>
        <v>215</v>
      </c>
      <c r="B800" s="53" t="s">
        <v>1783</v>
      </c>
      <c r="C800" s="91" t="s">
        <v>97</v>
      </c>
      <c r="D800" s="91">
        <v>180</v>
      </c>
      <c r="E800" s="269"/>
      <c r="F800" s="268">
        <v>0.35</v>
      </c>
      <c r="G800" s="91"/>
      <c r="H800" s="91"/>
    </row>
    <row r="801" spans="1:8" x14ac:dyDescent="0.25">
      <c r="A801" s="286">
        <f t="shared" si="12"/>
        <v>215</v>
      </c>
      <c r="B801" s="287" t="s">
        <v>1783</v>
      </c>
      <c r="C801" s="286" t="s">
        <v>97</v>
      </c>
      <c r="D801" s="286">
        <v>270</v>
      </c>
      <c r="E801" s="276"/>
      <c r="F801" s="288">
        <v>0.35</v>
      </c>
      <c r="G801" s="91"/>
      <c r="H801" s="91"/>
    </row>
    <row r="802" spans="1:8" x14ac:dyDescent="0.25">
      <c r="A802" s="293">
        <f t="shared" si="12"/>
        <v>216</v>
      </c>
      <c r="B802" s="294" t="s">
        <v>1788</v>
      </c>
      <c r="C802" s="293" t="s">
        <v>97</v>
      </c>
      <c r="D802" s="293">
        <v>720</v>
      </c>
      <c r="E802" s="295">
        <v>244.8</v>
      </c>
      <c r="F802" s="296">
        <v>0.34</v>
      </c>
      <c r="G802" s="91"/>
      <c r="H802" s="91"/>
    </row>
    <row r="803" spans="1:8" x14ac:dyDescent="0.25">
      <c r="A803" s="293">
        <f t="shared" si="12"/>
        <v>217</v>
      </c>
      <c r="B803" s="294" t="s">
        <v>1791</v>
      </c>
      <c r="C803" s="293" t="s">
        <v>97</v>
      </c>
      <c r="D803" s="293">
        <v>990</v>
      </c>
      <c r="E803" s="295">
        <v>336.6</v>
      </c>
      <c r="F803" s="296">
        <v>0.34</v>
      </c>
      <c r="G803" s="91"/>
      <c r="H803" s="91"/>
    </row>
    <row r="804" spans="1:8" x14ac:dyDescent="0.25">
      <c r="A804" s="293">
        <f t="shared" si="12"/>
        <v>218</v>
      </c>
      <c r="B804" s="294" t="s">
        <v>1793</v>
      </c>
      <c r="C804" s="293" t="s">
        <v>97</v>
      </c>
      <c r="D804" s="293">
        <v>720</v>
      </c>
      <c r="E804" s="295">
        <v>244.8</v>
      </c>
      <c r="F804" s="296">
        <v>0.34</v>
      </c>
      <c r="G804" s="91"/>
      <c r="H804" s="91"/>
    </row>
    <row r="805" spans="1:8" x14ac:dyDescent="0.25">
      <c r="A805" s="293">
        <f t="shared" si="12"/>
        <v>219</v>
      </c>
      <c r="B805" s="294" t="s">
        <v>1796</v>
      </c>
      <c r="C805" s="293" t="s">
        <v>97</v>
      </c>
      <c r="D805" s="293">
        <v>630</v>
      </c>
      <c r="E805" s="295">
        <v>214.2</v>
      </c>
      <c r="F805" s="296">
        <v>0.34</v>
      </c>
      <c r="G805" s="91"/>
      <c r="H805" s="91"/>
    </row>
    <row r="806" spans="1:8" x14ac:dyDescent="0.25">
      <c r="A806" s="91">
        <f t="shared" si="12"/>
        <v>220</v>
      </c>
      <c r="B806" s="53" t="s">
        <v>1802</v>
      </c>
      <c r="C806" s="91" t="s">
        <v>115</v>
      </c>
      <c r="D806" s="91">
        <v>120</v>
      </c>
      <c r="E806" s="269">
        <v>270.60000000000002</v>
      </c>
      <c r="F806" s="268">
        <v>0.41</v>
      </c>
      <c r="G806" s="91"/>
      <c r="H806" s="91"/>
    </row>
    <row r="807" spans="1:8" x14ac:dyDescent="0.25">
      <c r="A807" s="91">
        <f t="shared" si="12"/>
        <v>220</v>
      </c>
      <c r="B807" s="53" t="s">
        <v>1802</v>
      </c>
      <c r="C807" s="91" t="s">
        <v>115</v>
      </c>
      <c r="D807" s="91">
        <v>180</v>
      </c>
      <c r="E807" s="269"/>
      <c r="F807" s="268">
        <v>0.41</v>
      </c>
      <c r="G807" s="91"/>
      <c r="H807" s="91"/>
    </row>
    <row r="808" spans="1:8" x14ac:dyDescent="0.25">
      <c r="A808" s="286">
        <f t="shared" si="12"/>
        <v>220</v>
      </c>
      <c r="B808" s="287" t="s">
        <v>1802</v>
      </c>
      <c r="C808" s="286" t="s">
        <v>115</v>
      </c>
      <c r="D808" s="286">
        <v>360</v>
      </c>
      <c r="E808" s="276"/>
      <c r="F808" s="288">
        <v>0.41</v>
      </c>
      <c r="G808" s="91"/>
      <c r="H808" s="91"/>
    </row>
    <row r="809" spans="1:8" x14ac:dyDescent="0.25">
      <c r="A809" s="91">
        <f t="shared" si="12"/>
        <v>221</v>
      </c>
      <c r="B809" s="53" t="s">
        <v>1807</v>
      </c>
      <c r="C809" s="91" t="s">
        <v>254</v>
      </c>
      <c r="D809" s="91">
        <v>80</v>
      </c>
      <c r="E809" s="269">
        <v>0</v>
      </c>
      <c r="F809" s="268">
        <v>0</v>
      </c>
      <c r="G809" s="91"/>
      <c r="H809" s="91"/>
    </row>
    <row r="810" spans="1:8" x14ac:dyDescent="0.25">
      <c r="A810" s="91">
        <f t="shared" si="12"/>
        <v>221</v>
      </c>
      <c r="B810" s="53" t="s">
        <v>1807</v>
      </c>
      <c r="C810" s="91" t="s">
        <v>254</v>
      </c>
      <c r="D810" s="91">
        <v>160</v>
      </c>
      <c r="E810" s="269"/>
      <c r="F810" s="268">
        <v>0</v>
      </c>
      <c r="G810" s="91"/>
      <c r="H810" s="91"/>
    </row>
    <row r="811" spans="1:8" x14ac:dyDescent="0.25">
      <c r="A811" s="91">
        <f t="shared" si="12"/>
        <v>221</v>
      </c>
      <c r="B811" s="53" t="s">
        <v>1807</v>
      </c>
      <c r="C811" s="91" t="s">
        <v>254</v>
      </c>
      <c r="D811" s="91">
        <v>240</v>
      </c>
      <c r="E811" s="269"/>
      <c r="F811" s="268">
        <v>0</v>
      </c>
      <c r="G811" s="91"/>
      <c r="H811" s="91"/>
    </row>
    <row r="812" spans="1:8" x14ac:dyDescent="0.25">
      <c r="A812" s="91">
        <f t="shared" si="12"/>
        <v>221</v>
      </c>
      <c r="B812" s="53" t="s">
        <v>1807</v>
      </c>
      <c r="C812" s="91" t="s">
        <v>254</v>
      </c>
      <c r="D812" s="91">
        <v>30</v>
      </c>
      <c r="E812" s="269"/>
      <c r="F812" s="268">
        <v>0</v>
      </c>
      <c r="G812" s="91"/>
      <c r="H812" s="91"/>
    </row>
    <row r="813" spans="1:8" x14ac:dyDescent="0.25">
      <c r="A813" s="286">
        <f t="shared" si="12"/>
        <v>221</v>
      </c>
      <c r="B813" s="287" t="s">
        <v>1807</v>
      </c>
      <c r="C813" s="286" t="s">
        <v>254</v>
      </c>
      <c r="D813" s="286">
        <v>30</v>
      </c>
      <c r="E813" s="276"/>
      <c r="F813" s="288">
        <v>0</v>
      </c>
      <c r="G813" s="91"/>
      <c r="H813" s="91"/>
    </row>
    <row r="814" spans="1:8" x14ac:dyDescent="0.25">
      <c r="A814" s="91">
        <f t="shared" si="12"/>
        <v>222</v>
      </c>
      <c r="B814" s="53" t="s">
        <v>1816</v>
      </c>
      <c r="C814" s="91" t="s">
        <v>1072</v>
      </c>
      <c r="D814" s="91">
        <v>180</v>
      </c>
      <c r="E814" s="269">
        <v>0</v>
      </c>
      <c r="F814" s="268">
        <v>0</v>
      </c>
      <c r="G814" s="91"/>
      <c r="H814" s="91"/>
    </row>
    <row r="815" spans="1:8" x14ac:dyDescent="0.25">
      <c r="A815" s="91">
        <f t="shared" si="12"/>
        <v>222</v>
      </c>
      <c r="B815" s="53" t="s">
        <v>1816</v>
      </c>
      <c r="C815" s="91" t="s">
        <v>1072</v>
      </c>
      <c r="D815" s="91">
        <v>90</v>
      </c>
      <c r="E815" s="269"/>
      <c r="F815" s="268">
        <v>0</v>
      </c>
      <c r="G815" s="91"/>
      <c r="H815" s="91"/>
    </row>
    <row r="816" spans="1:8" x14ac:dyDescent="0.25">
      <c r="A816" s="91">
        <f t="shared" si="12"/>
        <v>222</v>
      </c>
      <c r="B816" s="53" t="s">
        <v>1816</v>
      </c>
      <c r="C816" s="91" t="s">
        <v>1072</v>
      </c>
      <c r="D816" s="91">
        <v>60</v>
      </c>
      <c r="E816" s="269"/>
      <c r="F816" s="268">
        <v>0</v>
      </c>
      <c r="G816" s="91"/>
      <c r="H816" s="91"/>
    </row>
    <row r="817" spans="1:8" x14ac:dyDescent="0.25">
      <c r="A817" s="286">
        <f t="shared" si="12"/>
        <v>222</v>
      </c>
      <c r="B817" s="287" t="s">
        <v>1816</v>
      </c>
      <c r="C817" s="286" t="s">
        <v>1072</v>
      </c>
      <c r="D817" s="286">
        <v>60</v>
      </c>
      <c r="E817" s="276"/>
      <c r="F817" s="288">
        <v>0</v>
      </c>
      <c r="G817" s="91"/>
      <c r="H817" s="91"/>
    </row>
    <row r="818" spans="1:8" x14ac:dyDescent="0.25">
      <c r="A818" s="91">
        <f t="shared" si="12"/>
        <v>223</v>
      </c>
      <c r="B818" s="53" t="s">
        <v>1824</v>
      </c>
      <c r="C818" s="91" t="s">
        <v>97</v>
      </c>
      <c r="D818" s="91">
        <v>288</v>
      </c>
      <c r="E818" s="269">
        <v>2359.16</v>
      </c>
      <c r="F818" s="268">
        <v>0.35337926902336703</v>
      </c>
      <c r="G818" s="91"/>
      <c r="H818" s="91"/>
    </row>
    <row r="819" spans="1:8" x14ac:dyDescent="0.25">
      <c r="A819" s="91">
        <f t="shared" si="12"/>
        <v>223</v>
      </c>
      <c r="B819" s="53" t="s">
        <v>1824</v>
      </c>
      <c r="C819" s="91" t="s">
        <v>97</v>
      </c>
      <c r="D819" s="91">
        <v>288</v>
      </c>
      <c r="E819" s="269"/>
      <c r="F819" s="268">
        <v>0.35337926902336703</v>
      </c>
      <c r="G819" s="91"/>
      <c r="H819" s="91"/>
    </row>
    <row r="820" spans="1:8" x14ac:dyDescent="0.25">
      <c r="A820" s="91">
        <f t="shared" si="12"/>
        <v>223</v>
      </c>
      <c r="B820" s="53" t="s">
        <v>1824</v>
      </c>
      <c r="C820" s="91" t="s">
        <v>97</v>
      </c>
      <c r="D820" s="91">
        <v>400</v>
      </c>
      <c r="E820" s="269"/>
      <c r="F820" s="268">
        <v>0.35337926902336703</v>
      </c>
      <c r="G820" s="91"/>
      <c r="H820" s="91"/>
    </row>
    <row r="821" spans="1:8" x14ac:dyDescent="0.25">
      <c r="A821" s="91">
        <f t="shared" si="12"/>
        <v>223</v>
      </c>
      <c r="B821" s="53" t="s">
        <v>1824</v>
      </c>
      <c r="C821" s="91" t="s">
        <v>97</v>
      </c>
      <c r="D821" s="91">
        <v>1800</v>
      </c>
      <c r="E821" s="269"/>
      <c r="F821" s="268">
        <v>0.35337926902336703</v>
      </c>
      <c r="G821" s="91"/>
      <c r="H821" s="91"/>
    </row>
    <row r="822" spans="1:8" x14ac:dyDescent="0.25">
      <c r="A822" s="91">
        <f t="shared" si="12"/>
        <v>223</v>
      </c>
      <c r="B822" s="53" t="s">
        <v>1824</v>
      </c>
      <c r="C822" s="91" t="s">
        <v>97</v>
      </c>
      <c r="D822" s="91">
        <v>300</v>
      </c>
      <c r="E822" s="269"/>
      <c r="F822" s="268">
        <v>0.35337926902336703</v>
      </c>
      <c r="G822" s="91"/>
      <c r="H822" s="91"/>
    </row>
    <row r="823" spans="1:8" x14ac:dyDescent="0.25">
      <c r="A823" s="91">
        <f t="shared" si="12"/>
        <v>223</v>
      </c>
      <c r="B823" s="53" t="s">
        <v>1824</v>
      </c>
      <c r="C823" s="91" t="s">
        <v>97</v>
      </c>
      <c r="D823" s="91">
        <v>600</v>
      </c>
      <c r="E823" s="269"/>
      <c r="F823" s="268">
        <v>0.35337926902336703</v>
      </c>
      <c r="G823" s="91"/>
      <c r="H823" s="91"/>
    </row>
    <row r="824" spans="1:8" x14ac:dyDescent="0.25">
      <c r="A824" s="91">
        <f t="shared" si="12"/>
        <v>223</v>
      </c>
      <c r="B824" s="53" t="s">
        <v>1824</v>
      </c>
      <c r="C824" s="91" t="s">
        <v>97</v>
      </c>
      <c r="D824" s="91">
        <v>600</v>
      </c>
      <c r="E824" s="269"/>
      <c r="F824" s="268">
        <v>0.35337926902336703</v>
      </c>
      <c r="G824" s="91"/>
      <c r="H824" s="91"/>
    </row>
    <row r="825" spans="1:8" x14ac:dyDescent="0.25">
      <c r="A825" s="91">
        <f t="shared" si="12"/>
        <v>223</v>
      </c>
      <c r="B825" s="53" t="s">
        <v>1824</v>
      </c>
      <c r="C825" s="91" t="s">
        <v>97</v>
      </c>
      <c r="D825" s="91">
        <v>200</v>
      </c>
      <c r="E825" s="269"/>
      <c r="F825" s="268">
        <v>0.35337926902336703</v>
      </c>
      <c r="G825" s="91"/>
      <c r="H825" s="91"/>
    </row>
    <row r="826" spans="1:8" x14ac:dyDescent="0.25">
      <c r="A826" s="91">
        <f t="shared" si="12"/>
        <v>223</v>
      </c>
      <c r="B826" s="53" t="s">
        <v>1824</v>
      </c>
      <c r="C826" s="91" t="s">
        <v>97</v>
      </c>
      <c r="D826" s="91">
        <v>1320</v>
      </c>
      <c r="E826" s="269"/>
      <c r="F826" s="268">
        <v>0.35337926902336703</v>
      </c>
      <c r="G826" s="91"/>
      <c r="H826" s="91"/>
    </row>
    <row r="827" spans="1:8" x14ac:dyDescent="0.25">
      <c r="A827" s="91">
        <f t="shared" si="12"/>
        <v>223</v>
      </c>
      <c r="B827" s="53" t="s">
        <v>1824</v>
      </c>
      <c r="C827" s="91" t="s">
        <v>97</v>
      </c>
      <c r="D827" s="91">
        <v>200</v>
      </c>
      <c r="E827" s="269"/>
      <c r="F827" s="268">
        <v>0.35337926902336703</v>
      </c>
      <c r="G827" s="91"/>
      <c r="H827" s="91"/>
    </row>
    <row r="828" spans="1:8" x14ac:dyDescent="0.25">
      <c r="A828" s="91">
        <f t="shared" si="12"/>
        <v>223</v>
      </c>
      <c r="B828" s="53" t="s">
        <v>1824</v>
      </c>
      <c r="C828" s="91" t="s">
        <v>97</v>
      </c>
      <c r="D828" s="91">
        <v>280</v>
      </c>
      <c r="E828" s="269"/>
      <c r="F828" s="268">
        <v>0.35337926902336703</v>
      </c>
      <c r="G828" s="91"/>
      <c r="H828" s="91"/>
    </row>
    <row r="829" spans="1:8" x14ac:dyDescent="0.25">
      <c r="A829" s="91">
        <f t="shared" si="12"/>
        <v>223</v>
      </c>
      <c r="B829" s="53" t="s">
        <v>1824</v>
      </c>
      <c r="C829" s="91" t="s">
        <v>97</v>
      </c>
      <c r="D829" s="91">
        <v>200</v>
      </c>
      <c r="E829" s="269"/>
      <c r="F829" s="268">
        <v>0.35337926902336703</v>
      </c>
      <c r="G829" s="91"/>
      <c r="H829" s="91"/>
    </row>
    <row r="830" spans="1:8" x14ac:dyDescent="0.25">
      <c r="A830" s="286">
        <f t="shared" si="12"/>
        <v>223</v>
      </c>
      <c r="B830" s="287" t="s">
        <v>1824</v>
      </c>
      <c r="C830" s="286" t="s">
        <v>97</v>
      </c>
      <c r="D830" s="286">
        <v>200</v>
      </c>
      <c r="E830" s="276"/>
      <c r="F830" s="288">
        <v>0.35337926902336703</v>
      </c>
      <c r="G830" s="91"/>
      <c r="H830" s="91"/>
    </row>
    <row r="831" spans="1:8" x14ac:dyDescent="0.25">
      <c r="A831" s="293">
        <f t="shared" si="12"/>
        <v>224</v>
      </c>
      <c r="B831" s="294" t="s">
        <v>1840</v>
      </c>
      <c r="C831" s="293" t="s">
        <v>97</v>
      </c>
      <c r="D831" s="293">
        <v>300</v>
      </c>
      <c r="E831" s="295">
        <v>123</v>
      </c>
      <c r="F831" s="296">
        <v>0.41</v>
      </c>
      <c r="G831" s="91"/>
      <c r="H831" s="91"/>
    </row>
    <row r="832" spans="1:8" x14ac:dyDescent="0.25">
      <c r="A832" s="91">
        <f t="shared" si="12"/>
        <v>225</v>
      </c>
      <c r="B832" s="53" t="s">
        <v>1842</v>
      </c>
      <c r="C832" s="91" t="s">
        <v>97</v>
      </c>
      <c r="D832" s="91">
        <v>420</v>
      </c>
      <c r="E832" s="269">
        <v>1690.5</v>
      </c>
      <c r="F832" s="268">
        <v>0.40250000000000002</v>
      </c>
      <c r="G832" s="91"/>
      <c r="H832" s="91"/>
    </row>
    <row r="833" spans="1:8" x14ac:dyDescent="0.25">
      <c r="A833" s="91">
        <f t="shared" si="12"/>
        <v>225</v>
      </c>
      <c r="B833" s="53" t="s">
        <v>1842</v>
      </c>
      <c r="C833" s="91" t="s">
        <v>97</v>
      </c>
      <c r="D833" s="91">
        <v>330</v>
      </c>
      <c r="E833" s="269"/>
      <c r="F833" s="268">
        <v>0.40250000000000002</v>
      </c>
      <c r="G833" s="91"/>
      <c r="H833" s="91"/>
    </row>
    <row r="834" spans="1:8" x14ac:dyDescent="0.25">
      <c r="A834" s="91">
        <f t="shared" si="12"/>
        <v>225</v>
      </c>
      <c r="B834" s="53" t="s">
        <v>1842</v>
      </c>
      <c r="C834" s="91" t="s">
        <v>97</v>
      </c>
      <c r="D834" s="91">
        <v>300</v>
      </c>
      <c r="E834" s="269"/>
      <c r="F834" s="268">
        <v>0.40250000000000002</v>
      </c>
      <c r="G834" s="91"/>
      <c r="H834" s="91"/>
    </row>
    <row r="835" spans="1:8" x14ac:dyDescent="0.25">
      <c r="A835" s="91">
        <f t="shared" si="12"/>
        <v>225</v>
      </c>
      <c r="B835" s="53" t="s">
        <v>1842</v>
      </c>
      <c r="C835" s="91" t="s">
        <v>97</v>
      </c>
      <c r="D835" s="91">
        <v>1080</v>
      </c>
      <c r="E835" s="269"/>
      <c r="F835" s="268">
        <v>0.40250000000000002</v>
      </c>
      <c r="G835" s="91"/>
      <c r="H835" s="91"/>
    </row>
    <row r="836" spans="1:8" x14ac:dyDescent="0.25">
      <c r="A836" s="91">
        <f t="shared" ref="A836:A899" si="13">IF(B836=B835,A835,A835+1)</f>
        <v>225</v>
      </c>
      <c r="B836" s="53" t="s">
        <v>1842</v>
      </c>
      <c r="C836" s="91" t="s">
        <v>97</v>
      </c>
      <c r="D836" s="91">
        <v>120</v>
      </c>
      <c r="E836" s="269"/>
      <c r="F836" s="268">
        <v>0.40250000000000002</v>
      </c>
      <c r="G836" s="91"/>
      <c r="H836" s="91"/>
    </row>
    <row r="837" spans="1:8" x14ac:dyDescent="0.25">
      <c r="A837" s="91">
        <f t="shared" si="13"/>
        <v>225</v>
      </c>
      <c r="B837" s="53" t="s">
        <v>1842</v>
      </c>
      <c r="C837" s="91" t="s">
        <v>97</v>
      </c>
      <c r="D837" s="91">
        <v>1500</v>
      </c>
      <c r="E837" s="269"/>
      <c r="F837" s="268">
        <v>0.40250000000000002</v>
      </c>
      <c r="G837" s="91"/>
      <c r="H837" s="91"/>
    </row>
    <row r="838" spans="1:8" x14ac:dyDescent="0.25">
      <c r="A838" s="286">
        <f t="shared" si="13"/>
        <v>225</v>
      </c>
      <c r="B838" s="287" t="s">
        <v>1842</v>
      </c>
      <c r="C838" s="286" t="s">
        <v>97</v>
      </c>
      <c r="D838" s="286">
        <v>450</v>
      </c>
      <c r="E838" s="276"/>
      <c r="F838" s="288">
        <v>0.40250000000000002</v>
      </c>
      <c r="G838" s="91"/>
      <c r="H838" s="91"/>
    </row>
    <row r="839" spans="1:8" x14ac:dyDescent="0.25">
      <c r="A839" s="91">
        <f t="shared" si="13"/>
        <v>226</v>
      </c>
      <c r="B839" s="53" t="s">
        <v>1853</v>
      </c>
      <c r="C839" s="91" t="s">
        <v>97</v>
      </c>
      <c r="D839" s="91">
        <v>360</v>
      </c>
      <c r="E839" s="269">
        <v>352.8</v>
      </c>
      <c r="F839" s="268">
        <v>0.49</v>
      </c>
      <c r="G839" s="91"/>
      <c r="H839" s="91"/>
    </row>
    <row r="840" spans="1:8" x14ac:dyDescent="0.25">
      <c r="A840" s="286">
        <f t="shared" si="13"/>
        <v>226</v>
      </c>
      <c r="B840" s="287" t="s">
        <v>1853</v>
      </c>
      <c r="C840" s="286" t="s">
        <v>97</v>
      </c>
      <c r="D840" s="286">
        <v>360</v>
      </c>
      <c r="E840" s="276"/>
      <c r="F840" s="288">
        <v>0.49</v>
      </c>
      <c r="G840" s="91"/>
      <c r="H840" s="91"/>
    </row>
    <row r="841" spans="1:8" x14ac:dyDescent="0.25">
      <c r="A841" s="293">
        <f t="shared" si="13"/>
        <v>227</v>
      </c>
      <c r="B841" s="294" t="s">
        <v>1857</v>
      </c>
      <c r="C841" s="293" t="s">
        <v>97</v>
      </c>
      <c r="D841" s="293">
        <v>792</v>
      </c>
      <c r="E841" s="295">
        <v>388.08</v>
      </c>
      <c r="F841" s="296">
        <v>0.49</v>
      </c>
      <c r="G841" s="91"/>
      <c r="H841" s="91"/>
    </row>
    <row r="842" spans="1:8" x14ac:dyDescent="0.25">
      <c r="A842" s="91">
        <f t="shared" si="13"/>
        <v>228</v>
      </c>
      <c r="B842" s="53" t="s">
        <v>1859</v>
      </c>
      <c r="C842" s="91" t="s">
        <v>97</v>
      </c>
      <c r="D842" s="91">
        <v>780</v>
      </c>
      <c r="E842" s="269">
        <v>876.12</v>
      </c>
      <c r="F842" s="268">
        <v>0.49</v>
      </c>
      <c r="G842" s="91"/>
      <c r="H842" s="91"/>
    </row>
    <row r="843" spans="1:8" x14ac:dyDescent="0.25">
      <c r="A843" s="286">
        <f t="shared" si="13"/>
        <v>228</v>
      </c>
      <c r="B843" s="287" t="s">
        <v>1859</v>
      </c>
      <c r="C843" s="286" t="s">
        <v>97</v>
      </c>
      <c r="D843" s="286">
        <v>1008</v>
      </c>
      <c r="E843" s="276"/>
      <c r="F843" s="288">
        <v>0.49</v>
      </c>
      <c r="G843" s="91"/>
      <c r="H843" s="91"/>
    </row>
    <row r="844" spans="1:8" x14ac:dyDescent="0.25">
      <c r="A844" s="91">
        <f t="shared" si="13"/>
        <v>229</v>
      </c>
      <c r="B844" s="53" t="s">
        <v>1863</v>
      </c>
      <c r="C844" s="91" t="s">
        <v>287</v>
      </c>
      <c r="D844" s="91">
        <v>320</v>
      </c>
      <c r="E844" s="269">
        <v>392</v>
      </c>
      <c r="F844" s="268">
        <v>0.49</v>
      </c>
      <c r="G844" s="91"/>
      <c r="H844" s="91"/>
    </row>
    <row r="845" spans="1:8" x14ac:dyDescent="0.25">
      <c r="A845" s="91">
        <f t="shared" si="13"/>
        <v>229</v>
      </c>
      <c r="B845" s="53" t="s">
        <v>1863</v>
      </c>
      <c r="C845" s="91" t="s">
        <v>287</v>
      </c>
      <c r="D845" s="91">
        <v>80</v>
      </c>
      <c r="E845" s="269"/>
      <c r="F845" s="268">
        <v>0.49</v>
      </c>
      <c r="G845" s="91"/>
      <c r="H845" s="91"/>
    </row>
    <row r="846" spans="1:8" x14ac:dyDescent="0.25">
      <c r="A846" s="91">
        <f t="shared" si="13"/>
        <v>229</v>
      </c>
      <c r="B846" s="53" t="s">
        <v>1863</v>
      </c>
      <c r="C846" s="91" t="s">
        <v>287</v>
      </c>
      <c r="D846" s="91">
        <v>192</v>
      </c>
      <c r="E846" s="269"/>
      <c r="F846" s="268">
        <v>0.49</v>
      </c>
      <c r="G846" s="91"/>
      <c r="H846" s="91"/>
    </row>
    <row r="847" spans="1:8" x14ac:dyDescent="0.25">
      <c r="A847" s="91">
        <f t="shared" si="13"/>
        <v>229</v>
      </c>
      <c r="B847" s="53" t="s">
        <v>1863</v>
      </c>
      <c r="C847" s="91" t="s">
        <v>287</v>
      </c>
      <c r="D847" s="91">
        <v>80</v>
      </c>
      <c r="E847" s="269"/>
      <c r="F847" s="268">
        <v>0.49</v>
      </c>
      <c r="G847" s="91"/>
      <c r="H847" s="91"/>
    </row>
    <row r="848" spans="1:8" x14ac:dyDescent="0.25">
      <c r="A848" s="286">
        <f t="shared" si="13"/>
        <v>229</v>
      </c>
      <c r="B848" s="287" t="s">
        <v>1863</v>
      </c>
      <c r="C848" s="286" t="s">
        <v>287</v>
      </c>
      <c r="D848" s="286">
        <v>128</v>
      </c>
      <c r="E848" s="276"/>
      <c r="F848" s="288">
        <v>0.49</v>
      </c>
      <c r="G848" s="91"/>
      <c r="H848" s="91"/>
    </row>
    <row r="849" spans="1:8" x14ac:dyDescent="0.25">
      <c r="A849" s="91">
        <f t="shared" si="13"/>
        <v>230</v>
      </c>
      <c r="B849" s="53" t="s">
        <v>1869</v>
      </c>
      <c r="C849" s="91" t="s">
        <v>287</v>
      </c>
      <c r="D849" s="91">
        <v>880</v>
      </c>
      <c r="E849" s="269">
        <v>760.48</v>
      </c>
      <c r="F849" s="268">
        <v>0.49</v>
      </c>
      <c r="G849" s="91"/>
      <c r="H849" s="91"/>
    </row>
    <row r="850" spans="1:8" x14ac:dyDescent="0.25">
      <c r="A850" s="286">
        <f t="shared" si="13"/>
        <v>230</v>
      </c>
      <c r="B850" s="287" t="s">
        <v>1869</v>
      </c>
      <c r="C850" s="286" t="s">
        <v>287</v>
      </c>
      <c r="D850" s="286">
        <v>672</v>
      </c>
      <c r="E850" s="276"/>
      <c r="F850" s="288">
        <v>0.49</v>
      </c>
      <c r="G850" s="91"/>
      <c r="H850" s="91"/>
    </row>
    <row r="851" spans="1:8" x14ac:dyDescent="0.25">
      <c r="A851" s="91">
        <f t="shared" si="13"/>
        <v>231</v>
      </c>
      <c r="B851" s="53" t="s">
        <v>1873</v>
      </c>
      <c r="C851" s="91" t="s">
        <v>115</v>
      </c>
      <c r="D851" s="91">
        <v>480</v>
      </c>
      <c r="E851" s="269">
        <v>369</v>
      </c>
      <c r="F851" s="268">
        <v>0.41</v>
      </c>
      <c r="G851" s="91"/>
      <c r="H851" s="91"/>
    </row>
    <row r="852" spans="1:8" x14ac:dyDescent="0.25">
      <c r="A852" s="91">
        <f t="shared" si="13"/>
        <v>231</v>
      </c>
      <c r="B852" s="53" t="s">
        <v>1873</v>
      </c>
      <c r="C852" s="91" t="s">
        <v>115</v>
      </c>
      <c r="D852" s="91">
        <v>300</v>
      </c>
      <c r="E852" s="269"/>
      <c r="F852" s="268">
        <v>0.41</v>
      </c>
      <c r="G852" s="91"/>
      <c r="H852" s="91"/>
    </row>
    <row r="853" spans="1:8" x14ac:dyDescent="0.25">
      <c r="A853" s="286">
        <f t="shared" si="13"/>
        <v>231</v>
      </c>
      <c r="B853" s="287" t="s">
        <v>1873</v>
      </c>
      <c r="C853" s="286" t="s">
        <v>115</v>
      </c>
      <c r="D853" s="286">
        <v>120</v>
      </c>
      <c r="E853" s="276"/>
      <c r="F853" s="288">
        <v>0.41</v>
      </c>
      <c r="G853" s="91"/>
      <c r="H853" s="91"/>
    </row>
    <row r="854" spans="1:8" x14ac:dyDescent="0.25">
      <c r="A854" s="293">
        <f t="shared" si="13"/>
        <v>232</v>
      </c>
      <c r="B854" s="294" t="s">
        <v>1878</v>
      </c>
      <c r="C854" s="293" t="s">
        <v>1037</v>
      </c>
      <c r="D854" s="293">
        <v>300</v>
      </c>
      <c r="E854" s="295">
        <v>147</v>
      </c>
      <c r="F854" s="296">
        <v>0.49</v>
      </c>
      <c r="G854" s="91"/>
      <c r="H854" s="91"/>
    </row>
    <row r="855" spans="1:8" x14ac:dyDescent="0.25">
      <c r="A855" s="293">
        <f t="shared" si="13"/>
        <v>233</v>
      </c>
      <c r="B855" s="294" t="s">
        <v>1881</v>
      </c>
      <c r="C855" s="293" t="s">
        <v>115</v>
      </c>
      <c r="D855" s="293">
        <v>510</v>
      </c>
      <c r="E855" s="295">
        <v>209.1</v>
      </c>
      <c r="F855" s="296">
        <v>0.41</v>
      </c>
      <c r="G855" s="91"/>
      <c r="H855" s="91"/>
    </row>
    <row r="856" spans="1:8" x14ac:dyDescent="0.25">
      <c r="A856" s="91">
        <f t="shared" si="13"/>
        <v>234</v>
      </c>
      <c r="B856" s="53" t="s">
        <v>1883</v>
      </c>
      <c r="C856" s="91" t="s">
        <v>97</v>
      </c>
      <c r="D856" s="91">
        <v>224</v>
      </c>
      <c r="E856" s="269">
        <v>2555.2399999999998</v>
      </c>
      <c r="F856" s="268">
        <v>0.35080175727622198</v>
      </c>
      <c r="G856" s="91"/>
      <c r="H856" s="91"/>
    </row>
    <row r="857" spans="1:8" x14ac:dyDescent="0.25">
      <c r="A857" s="91">
        <f t="shared" si="13"/>
        <v>234</v>
      </c>
      <c r="B857" s="53" t="s">
        <v>1883</v>
      </c>
      <c r="C857" s="91" t="s">
        <v>97</v>
      </c>
      <c r="D857" s="91">
        <v>500</v>
      </c>
      <c r="E857" s="269"/>
      <c r="F857" s="268">
        <v>0.35080175727622198</v>
      </c>
      <c r="G857" s="91"/>
      <c r="H857" s="91"/>
    </row>
    <row r="858" spans="1:8" x14ac:dyDescent="0.25">
      <c r="A858" s="91">
        <f t="shared" si="13"/>
        <v>234</v>
      </c>
      <c r="B858" s="53" t="s">
        <v>1883</v>
      </c>
      <c r="C858" s="91" t="s">
        <v>97</v>
      </c>
      <c r="D858" s="91">
        <v>3000</v>
      </c>
      <c r="E858" s="269"/>
      <c r="F858" s="268">
        <v>0.35080175727622198</v>
      </c>
      <c r="G858" s="91"/>
      <c r="H858" s="91"/>
    </row>
    <row r="859" spans="1:8" x14ac:dyDescent="0.25">
      <c r="A859" s="91">
        <f t="shared" si="13"/>
        <v>234</v>
      </c>
      <c r="B859" s="53" t="s">
        <v>1883</v>
      </c>
      <c r="C859" s="91" t="s">
        <v>97</v>
      </c>
      <c r="D859" s="91">
        <v>200</v>
      </c>
      <c r="E859" s="269"/>
      <c r="F859" s="268">
        <v>0.35080175727622198</v>
      </c>
      <c r="G859" s="91"/>
      <c r="H859" s="91"/>
    </row>
    <row r="860" spans="1:8" x14ac:dyDescent="0.25">
      <c r="A860" s="91">
        <f t="shared" si="13"/>
        <v>234</v>
      </c>
      <c r="B860" s="53" t="s">
        <v>1883</v>
      </c>
      <c r="C860" s="91" t="s">
        <v>97</v>
      </c>
      <c r="D860" s="91">
        <v>600</v>
      </c>
      <c r="E860" s="269"/>
      <c r="F860" s="268">
        <v>0.35080175727622198</v>
      </c>
      <c r="G860" s="91"/>
      <c r="H860" s="91"/>
    </row>
    <row r="861" spans="1:8" x14ac:dyDescent="0.25">
      <c r="A861" s="91">
        <f t="shared" si="13"/>
        <v>234</v>
      </c>
      <c r="B861" s="53" t="s">
        <v>1883</v>
      </c>
      <c r="C861" s="91" t="s">
        <v>97</v>
      </c>
      <c r="D861" s="91">
        <v>320</v>
      </c>
      <c r="E861" s="269"/>
      <c r="F861" s="268">
        <v>0.35080175727622198</v>
      </c>
      <c r="G861" s="91"/>
      <c r="H861" s="91"/>
    </row>
    <row r="862" spans="1:8" x14ac:dyDescent="0.25">
      <c r="A862" s="91">
        <f t="shared" si="13"/>
        <v>234</v>
      </c>
      <c r="B862" s="53" t="s">
        <v>1883</v>
      </c>
      <c r="C862" s="91" t="s">
        <v>97</v>
      </c>
      <c r="D862" s="91">
        <v>240</v>
      </c>
      <c r="E862" s="269"/>
      <c r="F862" s="268">
        <v>0.35080175727622198</v>
      </c>
      <c r="G862" s="91"/>
      <c r="H862" s="91"/>
    </row>
    <row r="863" spans="1:8" x14ac:dyDescent="0.25">
      <c r="A863" s="91">
        <f t="shared" si="13"/>
        <v>234</v>
      </c>
      <c r="B863" s="53" t="s">
        <v>1883</v>
      </c>
      <c r="C863" s="91" t="s">
        <v>97</v>
      </c>
      <c r="D863" s="91">
        <v>200</v>
      </c>
      <c r="E863" s="269"/>
      <c r="F863" s="268">
        <v>0.35080175727622198</v>
      </c>
      <c r="G863" s="91"/>
      <c r="H863" s="91"/>
    </row>
    <row r="864" spans="1:8" x14ac:dyDescent="0.25">
      <c r="A864" s="91">
        <f t="shared" si="13"/>
        <v>234</v>
      </c>
      <c r="B864" s="53" t="s">
        <v>1883</v>
      </c>
      <c r="C864" s="91" t="s">
        <v>97</v>
      </c>
      <c r="D864" s="91">
        <v>1520</v>
      </c>
      <c r="E864" s="269"/>
      <c r="F864" s="268">
        <v>0.35080175727622198</v>
      </c>
      <c r="G864" s="91"/>
      <c r="H864" s="91"/>
    </row>
    <row r="865" spans="1:8" x14ac:dyDescent="0.25">
      <c r="A865" s="91">
        <f t="shared" si="13"/>
        <v>234</v>
      </c>
      <c r="B865" s="53" t="s">
        <v>1883</v>
      </c>
      <c r="C865" s="91" t="s">
        <v>97</v>
      </c>
      <c r="D865" s="91">
        <v>280</v>
      </c>
      <c r="E865" s="269"/>
      <c r="F865" s="268">
        <v>0.35080175727622198</v>
      </c>
      <c r="G865" s="91"/>
      <c r="H865" s="91"/>
    </row>
    <row r="866" spans="1:8" x14ac:dyDescent="0.25">
      <c r="A866" s="286">
        <f t="shared" si="13"/>
        <v>234</v>
      </c>
      <c r="B866" s="287" t="s">
        <v>1883</v>
      </c>
      <c r="C866" s="286" t="s">
        <v>97</v>
      </c>
      <c r="D866" s="286">
        <v>200</v>
      </c>
      <c r="E866" s="276"/>
      <c r="F866" s="288">
        <v>0.35080175727622198</v>
      </c>
      <c r="G866" s="91"/>
      <c r="H866" s="91"/>
    </row>
    <row r="867" spans="1:8" x14ac:dyDescent="0.25">
      <c r="A867" s="91">
        <f t="shared" si="13"/>
        <v>235</v>
      </c>
      <c r="B867" s="53" t="s">
        <v>1895</v>
      </c>
      <c r="C867" s="91" t="s">
        <v>97</v>
      </c>
      <c r="D867" s="91">
        <v>570</v>
      </c>
      <c r="E867" s="269">
        <v>1987.5</v>
      </c>
      <c r="F867" s="268">
        <v>0.40151515151515099</v>
      </c>
      <c r="G867" s="91"/>
      <c r="H867" s="91"/>
    </row>
    <row r="868" spans="1:8" x14ac:dyDescent="0.25">
      <c r="A868" s="91">
        <f t="shared" si="13"/>
        <v>235</v>
      </c>
      <c r="B868" s="53" t="s">
        <v>1895</v>
      </c>
      <c r="C868" s="91" t="s">
        <v>97</v>
      </c>
      <c r="D868" s="91">
        <v>390</v>
      </c>
      <c r="E868" s="269"/>
      <c r="F868" s="268">
        <v>0.40151515151515099</v>
      </c>
      <c r="G868" s="91"/>
      <c r="H868" s="91"/>
    </row>
    <row r="869" spans="1:8" x14ac:dyDescent="0.25">
      <c r="A869" s="91">
        <f t="shared" si="13"/>
        <v>235</v>
      </c>
      <c r="B869" s="53" t="s">
        <v>1895</v>
      </c>
      <c r="C869" s="91" t="s">
        <v>97</v>
      </c>
      <c r="D869" s="91">
        <v>450</v>
      </c>
      <c r="E869" s="269"/>
      <c r="F869" s="268">
        <v>0.40151515151515099</v>
      </c>
      <c r="G869" s="91"/>
      <c r="H869" s="91"/>
    </row>
    <row r="870" spans="1:8" x14ac:dyDescent="0.25">
      <c r="A870" s="91">
        <f t="shared" si="13"/>
        <v>235</v>
      </c>
      <c r="B870" s="53" t="s">
        <v>1895</v>
      </c>
      <c r="C870" s="91" t="s">
        <v>97</v>
      </c>
      <c r="D870" s="91">
        <v>1200</v>
      </c>
      <c r="E870" s="269"/>
      <c r="F870" s="268">
        <v>0.40151515151515099</v>
      </c>
      <c r="G870" s="91"/>
      <c r="H870" s="91"/>
    </row>
    <row r="871" spans="1:8" x14ac:dyDescent="0.25">
      <c r="A871" s="91">
        <f t="shared" si="13"/>
        <v>235</v>
      </c>
      <c r="B871" s="53" t="s">
        <v>1895</v>
      </c>
      <c r="C871" s="91" t="s">
        <v>97</v>
      </c>
      <c r="D871" s="91">
        <v>600</v>
      </c>
      <c r="E871" s="269"/>
      <c r="F871" s="268">
        <v>0.40151515151515099</v>
      </c>
      <c r="G871" s="91"/>
      <c r="H871" s="91"/>
    </row>
    <row r="872" spans="1:8" x14ac:dyDescent="0.25">
      <c r="A872" s="91">
        <f t="shared" si="13"/>
        <v>235</v>
      </c>
      <c r="B872" s="53" t="s">
        <v>1895</v>
      </c>
      <c r="C872" s="91" t="s">
        <v>97</v>
      </c>
      <c r="D872" s="91">
        <v>900</v>
      </c>
      <c r="E872" s="269"/>
      <c r="F872" s="268">
        <v>0.40151515151515099</v>
      </c>
      <c r="G872" s="91"/>
      <c r="H872" s="91"/>
    </row>
    <row r="873" spans="1:8" x14ac:dyDescent="0.25">
      <c r="A873" s="91">
        <f t="shared" si="13"/>
        <v>235</v>
      </c>
      <c r="B873" s="53" t="s">
        <v>1895</v>
      </c>
      <c r="C873" s="91" t="s">
        <v>97</v>
      </c>
      <c r="D873" s="91">
        <v>600</v>
      </c>
      <c r="E873" s="269"/>
      <c r="F873" s="268">
        <v>0.40151515151515099</v>
      </c>
      <c r="G873" s="91"/>
      <c r="H873" s="91"/>
    </row>
    <row r="874" spans="1:8" x14ac:dyDescent="0.25">
      <c r="A874" s="286">
        <f t="shared" si="13"/>
        <v>235</v>
      </c>
      <c r="B874" s="287" t="s">
        <v>1895</v>
      </c>
      <c r="C874" s="286" t="s">
        <v>97</v>
      </c>
      <c r="D874" s="286">
        <v>240</v>
      </c>
      <c r="E874" s="276"/>
      <c r="F874" s="288">
        <v>0.40151515151515099</v>
      </c>
      <c r="G874" s="91"/>
      <c r="H874" s="91"/>
    </row>
    <row r="875" spans="1:8" x14ac:dyDescent="0.25">
      <c r="A875" s="91">
        <f t="shared" si="13"/>
        <v>236</v>
      </c>
      <c r="B875" s="53" t="s">
        <v>1906</v>
      </c>
      <c r="C875" s="91" t="s">
        <v>97</v>
      </c>
      <c r="D875" s="91">
        <v>360</v>
      </c>
      <c r="E875" s="269">
        <v>352.8</v>
      </c>
      <c r="F875" s="268">
        <v>0.49</v>
      </c>
      <c r="G875" s="91"/>
      <c r="H875" s="91"/>
    </row>
    <row r="876" spans="1:8" x14ac:dyDescent="0.25">
      <c r="A876" s="286">
        <f t="shared" si="13"/>
        <v>236</v>
      </c>
      <c r="B876" s="287" t="s">
        <v>1906</v>
      </c>
      <c r="C876" s="286" t="s">
        <v>97</v>
      </c>
      <c r="D876" s="286">
        <v>360</v>
      </c>
      <c r="E876" s="276"/>
      <c r="F876" s="288">
        <v>0.49</v>
      </c>
      <c r="G876" s="91"/>
      <c r="H876" s="91"/>
    </row>
    <row r="877" spans="1:8" x14ac:dyDescent="0.25">
      <c r="A877" s="91">
        <f t="shared" si="13"/>
        <v>237</v>
      </c>
      <c r="B877" s="53" t="s">
        <v>1910</v>
      </c>
      <c r="C877" s="91" t="s">
        <v>97</v>
      </c>
      <c r="D877" s="91">
        <v>336</v>
      </c>
      <c r="E877" s="269">
        <v>493.92</v>
      </c>
      <c r="F877" s="268">
        <v>0.49</v>
      </c>
      <c r="G877" s="91"/>
      <c r="H877" s="91"/>
    </row>
    <row r="878" spans="1:8" x14ac:dyDescent="0.25">
      <c r="A878" s="91">
        <f t="shared" si="13"/>
        <v>237</v>
      </c>
      <c r="B878" s="53" t="s">
        <v>1910</v>
      </c>
      <c r="C878" s="91" t="s">
        <v>97</v>
      </c>
      <c r="D878" s="91">
        <v>72</v>
      </c>
      <c r="E878" s="269"/>
      <c r="F878" s="268">
        <v>0.49</v>
      </c>
      <c r="G878" s="91"/>
      <c r="H878" s="91"/>
    </row>
    <row r="879" spans="1:8" x14ac:dyDescent="0.25">
      <c r="A879" s="286">
        <f t="shared" si="13"/>
        <v>237</v>
      </c>
      <c r="B879" s="287" t="s">
        <v>1910</v>
      </c>
      <c r="C879" s="286" t="s">
        <v>97</v>
      </c>
      <c r="D879" s="286">
        <v>600</v>
      </c>
      <c r="E879" s="276"/>
      <c r="F879" s="288">
        <v>0.49</v>
      </c>
      <c r="G879" s="91"/>
      <c r="H879" s="91"/>
    </row>
    <row r="880" spans="1:8" x14ac:dyDescent="0.25">
      <c r="A880" s="91">
        <f t="shared" si="13"/>
        <v>238</v>
      </c>
      <c r="B880" s="53" t="s">
        <v>1914</v>
      </c>
      <c r="C880" s="91" t="s">
        <v>97</v>
      </c>
      <c r="D880" s="91">
        <v>180</v>
      </c>
      <c r="E880" s="269">
        <v>288</v>
      </c>
      <c r="F880" s="268">
        <v>0.35555555555555601</v>
      </c>
      <c r="G880" s="91"/>
      <c r="H880" s="91"/>
    </row>
    <row r="881" spans="1:8" x14ac:dyDescent="0.25">
      <c r="A881" s="91">
        <f t="shared" si="13"/>
        <v>238</v>
      </c>
      <c r="B881" s="53" t="s">
        <v>1914</v>
      </c>
      <c r="C881" s="91" t="s">
        <v>97</v>
      </c>
      <c r="D881" s="91">
        <v>180</v>
      </c>
      <c r="E881" s="269"/>
      <c r="F881" s="268">
        <v>0.35555555555555601</v>
      </c>
      <c r="G881" s="91"/>
      <c r="H881" s="91"/>
    </row>
    <row r="882" spans="1:8" x14ac:dyDescent="0.25">
      <c r="A882" s="91">
        <f t="shared" si="13"/>
        <v>238</v>
      </c>
      <c r="B882" s="53" t="s">
        <v>1914</v>
      </c>
      <c r="C882" s="91" t="s">
        <v>97</v>
      </c>
      <c r="D882" s="91">
        <v>180</v>
      </c>
      <c r="E882" s="269"/>
      <c r="F882" s="268">
        <v>0.35555555555555601</v>
      </c>
      <c r="G882" s="91"/>
      <c r="H882" s="91"/>
    </row>
    <row r="883" spans="1:8" x14ac:dyDescent="0.25">
      <c r="A883" s="286">
        <f t="shared" si="13"/>
        <v>238</v>
      </c>
      <c r="B883" s="287" t="s">
        <v>1914</v>
      </c>
      <c r="C883" s="286" t="s">
        <v>97</v>
      </c>
      <c r="D883" s="286">
        <v>270</v>
      </c>
      <c r="E883" s="276"/>
      <c r="F883" s="288">
        <v>0.35555555555555601</v>
      </c>
      <c r="G883" s="91"/>
      <c r="H883" s="91"/>
    </row>
    <row r="884" spans="1:8" x14ac:dyDescent="0.25">
      <c r="A884" s="91">
        <f t="shared" si="13"/>
        <v>239</v>
      </c>
      <c r="B884" s="53" t="s">
        <v>1919</v>
      </c>
      <c r="C884" s="91" t="s">
        <v>97</v>
      </c>
      <c r="D884" s="91">
        <v>720</v>
      </c>
      <c r="E884" s="91">
        <v>244.8</v>
      </c>
      <c r="F884" s="274">
        <v>0.34</v>
      </c>
      <c r="G884" s="91"/>
      <c r="H884" s="91"/>
    </row>
    <row r="885" spans="1:8" x14ac:dyDescent="0.25">
      <c r="A885" s="91">
        <f t="shared" si="13"/>
        <v>240</v>
      </c>
      <c r="B885" s="53" t="s">
        <v>1921</v>
      </c>
      <c r="C885" s="91" t="s">
        <v>97</v>
      </c>
      <c r="D885" s="91">
        <v>1530</v>
      </c>
      <c r="E885" s="91">
        <v>1090.72</v>
      </c>
      <c r="F885" s="274">
        <v>0.38623229461756398</v>
      </c>
      <c r="G885" s="91"/>
      <c r="H885" s="91"/>
    </row>
    <row r="886" spans="1:8" x14ac:dyDescent="0.25">
      <c r="A886" s="91">
        <f t="shared" si="13"/>
        <v>240</v>
      </c>
      <c r="B886" s="53" t="s">
        <v>1921</v>
      </c>
      <c r="C886" s="91" t="s">
        <v>97</v>
      </c>
      <c r="D886" s="91">
        <v>90</v>
      </c>
      <c r="E886" s="91"/>
      <c r="F886" s="274">
        <v>0.38623229461756398</v>
      </c>
      <c r="G886" s="91"/>
      <c r="H886" s="91"/>
    </row>
    <row r="887" spans="1:8" x14ac:dyDescent="0.25">
      <c r="A887" s="91">
        <f t="shared" si="13"/>
        <v>240</v>
      </c>
      <c r="B887" s="53" t="s">
        <v>1921</v>
      </c>
      <c r="C887" s="91" t="s">
        <v>97</v>
      </c>
      <c r="D887" s="91">
        <v>180</v>
      </c>
      <c r="E887" s="91"/>
      <c r="F887" s="274">
        <v>0.38623229461756398</v>
      </c>
      <c r="G887" s="91"/>
      <c r="H887" s="91"/>
    </row>
    <row r="888" spans="1:8" x14ac:dyDescent="0.25">
      <c r="A888" s="91">
        <f t="shared" si="13"/>
        <v>240</v>
      </c>
      <c r="B888" s="53" t="s">
        <v>1921</v>
      </c>
      <c r="C888" s="91" t="s">
        <v>97</v>
      </c>
      <c r="D888" s="91">
        <v>384</v>
      </c>
      <c r="E888" s="91"/>
      <c r="F888" s="274">
        <v>0.38623229461756398</v>
      </c>
      <c r="G888" s="91"/>
      <c r="H888" s="91"/>
    </row>
    <row r="889" spans="1:8" x14ac:dyDescent="0.25">
      <c r="A889" s="91">
        <f t="shared" si="13"/>
        <v>240</v>
      </c>
      <c r="B889" s="53" t="s">
        <v>1921</v>
      </c>
      <c r="C889" s="91" t="s">
        <v>97</v>
      </c>
      <c r="D889" s="91">
        <v>384</v>
      </c>
      <c r="E889" s="91"/>
      <c r="F889" s="274">
        <v>0.38623229461756398</v>
      </c>
      <c r="G889" s="91"/>
      <c r="H889" s="91"/>
    </row>
    <row r="890" spans="1:8" x14ac:dyDescent="0.25">
      <c r="A890" s="91">
        <f t="shared" si="13"/>
        <v>240</v>
      </c>
      <c r="B890" s="53" t="s">
        <v>1921</v>
      </c>
      <c r="C890" s="91" t="s">
        <v>97</v>
      </c>
      <c r="D890" s="91">
        <v>256</v>
      </c>
      <c r="E890" s="91"/>
      <c r="F890" s="274">
        <v>0.38623229461756398</v>
      </c>
      <c r="G890" s="91"/>
      <c r="H890" s="91"/>
    </row>
    <row r="891" spans="1:8" x14ac:dyDescent="0.25">
      <c r="A891" s="91">
        <f t="shared" si="13"/>
        <v>241</v>
      </c>
      <c r="B891" s="53" t="s">
        <v>1931</v>
      </c>
      <c r="C891" s="91" t="s">
        <v>115</v>
      </c>
      <c r="D891" s="91">
        <v>64</v>
      </c>
      <c r="E891" s="91">
        <v>65.28</v>
      </c>
      <c r="F891" s="274">
        <v>0.34</v>
      </c>
      <c r="G891" s="91"/>
      <c r="H891" s="91"/>
    </row>
    <row r="892" spans="1:8" x14ac:dyDescent="0.25">
      <c r="A892" s="91">
        <f t="shared" si="13"/>
        <v>241</v>
      </c>
      <c r="B892" s="53" t="s">
        <v>1931</v>
      </c>
      <c r="C892" s="91" t="s">
        <v>115</v>
      </c>
      <c r="D892" s="91">
        <v>64</v>
      </c>
      <c r="E892" s="91"/>
      <c r="F892" s="274">
        <v>0.34</v>
      </c>
      <c r="G892" s="91"/>
      <c r="H892" s="91"/>
    </row>
    <row r="893" spans="1:8" x14ac:dyDescent="0.25">
      <c r="A893" s="91">
        <f t="shared" si="13"/>
        <v>241</v>
      </c>
      <c r="B893" s="53" t="s">
        <v>1931</v>
      </c>
      <c r="C893" s="91" t="s">
        <v>115</v>
      </c>
      <c r="D893" s="91">
        <v>64</v>
      </c>
      <c r="E893" s="91"/>
      <c r="F893" s="274">
        <v>0.34</v>
      </c>
      <c r="G893" s="91"/>
      <c r="H893" s="91"/>
    </row>
    <row r="894" spans="1:8" x14ac:dyDescent="0.25">
      <c r="A894" s="91">
        <f t="shared" si="13"/>
        <v>242</v>
      </c>
      <c r="B894" s="53" t="s">
        <v>1936</v>
      </c>
      <c r="C894" s="91" t="s">
        <v>1037</v>
      </c>
      <c r="D894" s="91">
        <v>100</v>
      </c>
      <c r="E894" s="91">
        <v>49</v>
      </c>
      <c r="F894" s="274">
        <v>0.49</v>
      </c>
      <c r="G894" s="91"/>
      <c r="H894" s="91"/>
    </row>
    <row r="895" spans="1:8" x14ac:dyDescent="0.25">
      <c r="A895" s="91">
        <f t="shared" si="13"/>
        <v>243</v>
      </c>
      <c r="B895" s="53" t="s">
        <v>1938</v>
      </c>
      <c r="C895" s="91" t="s">
        <v>97</v>
      </c>
      <c r="D895" s="91">
        <v>150</v>
      </c>
      <c r="E895" s="91">
        <v>1026.3</v>
      </c>
      <c r="F895" s="274">
        <v>0.39321839080459797</v>
      </c>
      <c r="G895" s="91"/>
      <c r="H895" s="91"/>
    </row>
    <row r="896" spans="1:8" x14ac:dyDescent="0.25">
      <c r="A896" s="91">
        <f t="shared" si="13"/>
        <v>243</v>
      </c>
      <c r="B896" s="53" t="s">
        <v>1938</v>
      </c>
      <c r="C896" s="91" t="s">
        <v>97</v>
      </c>
      <c r="D896" s="91">
        <v>600</v>
      </c>
      <c r="E896" s="91"/>
      <c r="F896" s="274">
        <v>0.39321839080459797</v>
      </c>
      <c r="G896" s="91"/>
      <c r="H896" s="91"/>
    </row>
    <row r="897" spans="1:8" x14ac:dyDescent="0.25">
      <c r="A897" s="91">
        <f t="shared" si="13"/>
        <v>243</v>
      </c>
      <c r="B897" s="53" t="s">
        <v>1938</v>
      </c>
      <c r="C897" s="91" t="s">
        <v>97</v>
      </c>
      <c r="D897" s="91">
        <v>240</v>
      </c>
      <c r="E897" s="91"/>
      <c r="F897" s="274">
        <v>0.39321839080459797</v>
      </c>
      <c r="G897" s="91"/>
      <c r="H897" s="91"/>
    </row>
    <row r="898" spans="1:8" x14ac:dyDescent="0.25">
      <c r="A898" s="91">
        <f t="shared" si="13"/>
        <v>243</v>
      </c>
      <c r="B898" s="53" t="s">
        <v>1938</v>
      </c>
      <c r="C898" s="91" t="s">
        <v>97</v>
      </c>
      <c r="D898" s="91">
        <v>720</v>
      </c>
      <c r="E898" s="91"/>
      <c r="F898" s="274">
        <v>0.39321839080459797</v>
      </c>
      <c r="G898" s="91"/>
      <c r="H898" s="91"/>
    </row>
    <row r="899" spans="1:8" x14ac:dyDescent="0.25">
      <c r="A899" s="91">
        <f t="shared" si="13"/>
        <v>243</v>
      </c>
      <c r="B899" s="53" t="s">
        <v>1938</v>
      </c>
      <c r="C899" s="91" t="s">
        <v>97</v>
      </c>
      <c r="D899" s="91">
        <v>300</v>
      </c>
      <c r="E899" s="91"/>
      <c r="F899" s="274">
        <v>0.39321839080459797</v>
      </c>
      <c r="G899" s="91"/>
      <c r="H899" s="91"/>
    </row>
    <row r="900" spans="1:8" x14ac:dyDescent="0.25">
      <c r="A900" s="91">
        <f t="shared" ref="A900:A963" si="14">IF(B900=B899,A899,A899+1)</f>
        <v>243</v>
      </c>
      <c r="B900" s="53" t="s">
        <v>1938</v>
      </c>
      <c r="C900" s="91" t="s">
        <v>97</v>
      </c>
      <c r="D900" s="91">
        <v>600</v>
      </c>
      <c r="E900" s="91"/>
      <c r="F900" s="274">
        <v>0.39321839080459797</v>
      </c>
      <c r="G900" s="91"/>
      <c r="H900" s="91"/>
    </row>
    <row r="901" spans="1:8" x14ac:dyDescent="0.25">
      <c r="A901" s="91">
        <f t="shared" si="14"/>
        <v>244</v>
      </c>
      <c r="B901" s="53" t="s">
        <v>1946</v>
      </c>
      <c r="C901" s="91" t="s">
        <v>97</v>
      </c>
      <c r="D901" s="91">
        <v>1920</v>
      </c>
      <c r="E901" s="91">
        <v>1319.2</v>
      </c>
      <c r="F901" s="274">
        <v>0.34</v>
      </c>
      <c r="G901" s="91"/>
      <c r="H901" s="91"/>
    </row>
    <row r="902" spans="1:8" x14ac:dyDescent="0.25">
      <c r="A902" s="91">
        <f t="shared" si="14"/>
        <v>244</v>
      </c>
      <c r="B902" s="53" t="s">
        <v>1946</v>
      </c>
      <c r="C902" s="91" t="s">
        <v>97</v>
      </c>
      <c r="D902" s="91">
        <v>480</v>
      </c>
      <c r="E902" s="91"/>
      <c r="F902" s="274">
        <v>0.34</v>
      </c>
      <c r="G902" s="91"/>
      <c r="H902" s="91"/>
    </row>
    <row r="903" spans="1:8" x14ac:dyDescent="0.25">
      <c r="A903" s="91">
        <f t="shared" si="14"/>
        <v>244</v>
      </c>
      <c r="B903" s="53" t="s">
        <v>1946</v>
      </c>
      <c r="C903" s="91" t="s">
        <v>97</v>
      </c>
      <c r="D903" s="91">
        <v>400</v>
      </c>
      <c r="E903" s="91"/>
      <c r="F903" s="274">
        <v>0.34</v>
      </c>
      <c r="G903" s="91"/>
      <c r="H903" s="91"/>
    </row>
    <row r="904" spans="1:8" x14ac:dyDescent="0.25">
      <c r="A904" s="91">
        <f t="shared" si="14"/>
        <v>244</v>
      </c>
      <c r="B904" s="53" t="s">
        <v>1946</v>
      </c>
      <c r="C904" s="91" t="s">
        <v>97</v>
      </c>
      <c r="D904" s="91">
        <v>480</v>
      </c>
      <c r="E904" s="91"/>
      <c r="F904" s="274">
        <v>0.34</v>
      </c>
      <c r="G904" s="91"/>
      <c r="H904" s="91"/>
    </row>
    <row r="905" spans="1:8" x14ac:dyDescent="0.25">
      <c r="A905" s="91">
        <f t="shared" si="14"/>
        <v>244</v>
      </c>
      <c r="B905" s="53" t="s">
        <v>1946</v>
      </c>
      <c r="C905" s="91" t="s">
        <v>97</v>
      </c>
      <c r="D905" s="91">
        <v>200</v>
      </c>
      <c r="E905" s="91"/>
      <c r="F905" s="274">
        <v>0.34</v>
      </c>
      <c r="G905" s="91"/>
      <c r="H905" s="91"/>
    </row>
    <row r="906" spans="1:8" x14ac:dyDescent="0.25">
      <c r="A906" s="91">
        <f t="shared" si="14"/>
        <v>244</v>
      </c>
      <c r="B906" s="53" t="s">
        <v>1946</v>
      </c>
      <c r="C906" s="91" t="s">
        <v>97</v>
      </c>
      <c r="D906" s="91">
        <v>200</v>
      </c>
      <c r="E906" s="91"/>
      <c r="F906" s="274">
        <v>0.34</v>
      </c>
      <c r="G906" s="91"/>
      <c r="H906" s="91"/>
    </row>
    <row r="907" spans="1:8" x14ac:dyDescent="0.25">
      <c r="A907" s="91">
        <f t="shared" si="14"/>
        <v>244</v>
      </c>
      <c r="B907" s="53" t="s">
        <v>1946</v>
      </c>
      <c r="C907" s="91" t="s">
        <v>97</v>
      </c>
      <c r="D907" s="91">
        <v>200</v>
      </c>
      <c r="E907" s="91"/>
      <c r="F907" s="274">
        <v>0.34</v>
      </c>
      <c r="G907" s="91"/>
      <c r="H907" s="91"/>
    </row>
    <row r="908" spans="1:8" x14ac:dyDescent="0.25">
      <c r="A908" s="91">
        <f t="shared" si="14"/>
        <v>245</v>
      </c>
      <c r="B908" s="53" t="s">
        <v>1954</v>
      </c>
      <c r="C908" s="91" t="s">
        <v>115</v>
      </c>
      <c r="D908" s="91">
        <v>300</v>
      </c>
      <c r="E908" s="91">
        <v>172.2</v>
      </c>
      <c r="F908" s="274">
        <v>0.41</v>
      </c>
      <c r="G908" s="91"/>
      <c r="H908" s="91"/>
    </row>
    <row r="909" spans="1:8" x14ac:dyDescent="0.25">
      <c r="A909" s="91">
        <f t="shared" si="14"/>
        <v>245</v>
      </c>
      <c r="B909" s="53" t="s">
        <v>1954</v>
      </c>
      <c r="C909" s="91" t="s">
        <v>115</v>
      </c>
      <c r="D909" s="91">
        <v>120</v>
      </c>
      <c r="E909" s="91"/>
      <c r="F909" s="274">
        <v>0.41</v>
      </c>
      <c r="G909" s="91"/>
      <c r="H909" s="91"/>
    </row>
    <row r="910" spans="1:8" x14ac:dyDescent="0.25">
      <c r="A910" s="91">
        <f t="shared" si="14"/>
        <v>246</v>
      </c>
      <c r="B910" s="53" t="s">
        <v>1957</v>
      </c>
      <c r="C910" s="91" t="s">
        <v>115</v>
      </c>
      <c r="D910" s="91">
        <v>300</v>
      </c>
      <c r="E910" s="91">
        <v>562.55999999999995</v>
      </c>
      <c r="F910" s="274">
        <v>0.41857142857142898</v>
      </c>
      <c r="G910" s="91"/>
      <c r="H910" s="91"/>
    </row>
    <row r="911" spans="1:8" x14ac:dyDescent="0.25">
      <c r="A911" s="91">
        <f t="shared" si="14"/>
        <v>246</v>
      </c>
      <c r="B911" s="53" t="s">
        <v>1957</v>
      </c>
      <c r="C911" s="91" t="s">
        <v>115</v>
      </c>
      <c r="D911" s="91">
        <v>210</v>
      </c>
      <c r="E911" s="91"/>
      <c r="F911" s="274">
        <v>0.41857142857142898</v>
      </c>
      <c r="G911" s="91"/>
      <c r="H911" s="91"/>
    </row>
    <row r="912" spans="1:8" x14ac:dyDescent="0.25">
      <c r="A912" s="91">
        <f t="shared" si="14"/>
        <v>246</v>
      </c>
      <c r="B912" s="53" t="s">
        <v>1957</v>
      </c>
      <c r="C912" s="91" t="s">
        <v>115</v>
      </c>
      <c r="D912" s="91">
        <v>120</v>
      </c>
      <c r="E912" s="91"/>
      <c r="F912" s="274">
        <v>0.41857142857142898</v>
      </c>
      <c r="G912" s="91"/>
      <c r="H912" s="91"/>
    </row>
    <row r="913" spans="1:8" x14ac:dyDescent="0.25">
      <c r="A913" s="91">
        <f t="shared" si="14"/>
        <v>246</v>
      </c>
      <c r="B913" s="53" t="s">
        <v>1957</v>
      </c>
      <c r="C913" s="91" t="s">
        <v>115</v>
      </c>
      <c r="D913" s="91">
        <v>90</v>
      </c>
      <c r="E913" s="91"/>
      <c r="F913" s="274">
        <v>0.41857142857142898</v>
      </c>
      <c r="G913" s="91"/>
      <c r="H913" s="91"/>
    </row>
    <row r="914" spans="1:8" x14ac:dyDescent="0.25">
      <c r="A914" s="91">
        <f t="shared" si="14"/>
        <v>246</v>
      </c>
      <c r="B914" s="53" t="s">
        <v>1957</v>
      </c>
      <c r="C914" s="91" t="s">
        <v>115</v>
      </c>
      <c r="D914" s="91">
        <v>90</v>
      </c>
      <c r="E914" s="91"/>
      <c r="F914" s="274">
        <v>0.41857142857142898</v>
      </c>
      <c r="G914" s="91"/>
      <c r="H914" s="91"/>
    </row>
    <row r="915" spans="1:8" x14ac:dyDescent="0.25">
      <c r="A915" s="91">
        <f t="shared" si="14"/>
        <v>246</v>
      </c>
      <c r="B915" s="53" t="s">
        <v>1957</v>
      </c>
      <c r="C915" s="91" t="s">
        <v>115</v>
      </c>
      <c r="D915" s="91">
        <v>390</v>
      </c>
      <c r="E915" s="91"/>
      <c r="F915" s="274">
        <v>0.41857142857142898</v>
      </c>
      <c r="G915" s="91"/>
      <c r="H915" s="91"/>
    </row>
    <row r="916" spans="1:8" x14ac:dyDescent="0.25">
      <c r="A916" s="91">
        <f t="shared" si="14"/>
        <v>246</v>
      </c>
      <c r="B916" s="53" t="s">
        <v>1957</v>
      </c>
      <c r="C916" s="91" t="s">
        <v>115</v>
      </c>
      <c r="D916" s="91">
        <v>144</v>
      </c>
      <c r="E916" s="91"/>
      <c r="F916" s="274">
        <v>0.41857142857142898</v>
      </c>
      <c r="G916" s="91"/>
      <c r="H916" s="91"/>
    </row>
    <row r="917" spans="1:8" x14ac:dyDescent="0.25">
      <c r="A917" s="91">
        <f t="shared" si="14"/>
        <v>247</v>
      </c>
      <c r="B917" s="53" t="s">
        <v>1966</v>
      </c>
      <c r="C917" s="91" t="s">
        <v>278</v>
      </c>
      <c r="D917" s="91">
        <v>32</v>
      </c>
      <c r="E917" s="91">
        <v>0</v>
      </c>
      <c r="F917" s="274">
        <v>0</v>
      </c>
      <c r="G917" s="91"/>
      <c r="H917" s="91"/>
    </row>
    <row r="918" spans="1:8" x14ac:dyDescent="0.25">
      <c r="A918" s="91">
        <f t="shared" si="14"/>
        <v>247</v>
      </c>
      <c r="B918" s="53" t="s">
        <v>1966</v>
      </c>
      <c r="C918" s="91" t="s">
        <v>278</v>
      </c>
      <c r="D918" s="91">
        <v>48</v>
      </c>
      <c r="E918" s="91"/>
      <c r="F918" s="274">
        <v>0</v>
      </c>
      <c r="G918" s="91"/>
      <c r="H918" s="91"/>
    </row>
    <row r="919" spans="1:8" x14ac:dyDescent="0.25">
      <c r="A919" s="91">
        <f t="shared" si="14"/>
        <v>248</v>
      </c>
      <c r="B919" s="53" t="s">
        <v>1970</v>
      </c>
      <c r="C919" s="91" t="s">
        <v>1971</v>
      </c>
      <c r="D919" s="91">
        <v>60</v>
      </c>
      <c r="E919" s="91"/>
      <c r="F919" s="274">
        <v>0</v>
      </c>
      <c r="G919" s="91"/>
      <c r="H919" s="91"/>
    </row>
    <row r="920" spans="1:8" x14ac:dyDescent="0.25">
      <c r="A920" s="91">
        <f t="shared" si="14"/>
        <v>248</v>
      </c>
      <c r="B920" s="53" t="s">
        <v>1970</v>
      </c>
      <c r="C920" s="91" t="s">
        <v>1971</v>
      </c>
      <c r="D920" s="91">
        <v>252</v>
      </c>
      <c r="E920" s="91"/>
      <c r="F920" s="274">
        <v>0</v>
      </c>
      <c r="G920" s="91"/>
      <c r="H920" s="91"/>
    </row>
    <row r="921" spans="1:8" x14ac:dyDescent="0.25">
      <c r="A921" s="91">
        <f t="shared" si="14"/>
        <v>249</v>
      </c>
      <c r="B921" s="53" t="s">
        <v>1975</v>
      </c>
      <c r="C921" s="91" t="s">
        <v>97</v>
      </c>
      <c r="D921" s="91">
        <v>480</v>
      </c>
      <c r="E921" s="91">
        <v>529.20000000000005</v>
      </c>
      <c r="F921" s="274">
        <v>0.49</v>
      </c>
      <c r="G921" s="91"/>
      <c r="H921" s="91"/>
    </row>
    <row r="922" spans="1:8" x14ac:dyDescent="0.25">
      <c r="A922" s="91">
        <f t="shared" si="14"/>
        <v>249</v>
      </c>
      <c r="B922" s="53" t="s">
        <v>1975</v>
      </c>
      <c r="C922" s="91" t="s">
        <v>97</v>
      </c>
      <c r="D922" s="91">
        <v>600</v>
      </c>
      <c r="E922" s="91"/>
      <c r="F922" s="274">
        <v>0.49</v>
      </c>
      <c r="G922" s="91"/>
      <c r="H922" s="91"/>
    </row>
    <row r="923" spans="1:8" x14ac:dyDescent="0.25">
      <c r="A923" s="91">
        <f t="shared" si="14"/>
        <v>250</v>
      </c>
      <c r="B923" s="53" t="s">
        <v>1978</v>
      </c>
      <c r="C923" s="91" t="s">
        <v>97</v>
      </c>
      <c r="D923" s="91">
        <v>180</v>
      </c>
      <c r="E923" s="91">
        <v>294</v>
      </c>
      <c r="F923" s="274">
        <v>0.49163879598662202</v>
      </c>
      <c r="G923" s="91"/>
      <c r="H923" s="91"/>
    </row>
    <row r="924" spans="1:8" x14ac:dyDescent="0.25">
      <c r="A924" s="91">
        <f t="shared" si="14"/>
        <v>250</v>
      </c>
      <c r="B924" s="53" t="s">
        <v>1978</v>
      </c>
      <c r="C924" s="91" t="s">
        <v>97</v>
      </c>
      <c r="D924" s="91">
        <v>418</v>
      </c>
      <c r="E924" s="91"/>
      <c r="F924" s="274">
        <v>0.49163879598662202</v>
      </c>
      <c r="G924" s="91"/>
      <c r="H924" s="91"/>
    </row>
    <row r="925" spans="1:8" x14ac:dyDescent="0.25">
      <c r="A925" s="91">
        <f t="shared" si="14"/>
        <v>251</v>
      </c>
      <c r="B925" s="53" t="s">
        <v>1981</v>
      </c>
      <c r="C925" s="91" t="s">
        <v>97</v>
      </c>
      <c r="D925" s="91">
        <v>192</v>
      </c>
      <c r="E925" s="91">
        <v>355.2</v>
      </c>
      <c r="F925" s="274">
        <v>0.455384615384615</v>
      </c>
      <c r="G925" s="91"/>
      <c r="H925" s="91"/>
    </row>
    <row r="926" spans="1:8" x14ac:dyDescent="0.25">
      <c r="A926" s="91">
        <f t="shared" si="14"/>
        <v>251</v>
      </c>
      <c r="B926" s="53" t="s">
        <v>1981</v>
      </c>
      <c r="C926" s="91" t="s">
        <v>97</v>
      </c>
      <c r="D926" s="91">
        <v>408</v>
      </c>
      <c r="E926" s="91"/>
      <c r="F926" s="274">
        <v>0.455384615384615</v>
      </c>
      <c r="G926" s="91"/>
      <c r="H926" s="91"/>
    </row>
    <row r="927" spans="1:8" x14ac:dyDescent="0.25">
      <c r="A927" s="91">
        <f t="shared" si="14"/>
        <v>251</v>
      </c>
      <c r="B927" s="53" t="s">
        <v>1981</v>
      </c>
      <c r="C927" s="91" t="s">
        <v>97</v>
      </c>
      <c r="D927" s="91">
        <v>90</v>
      </c>
      <c r="E927" s="91"/>
      <c r="F927" s="274">
        <v>0.455384615384615</v>
      </c>
      <c r="G927" s="91"/>
      <c r="H927" s="91"/>
    </row>
    <row r="928" spans="1:8" x14ac:dyDescent="0.25">
      <c r="A928" s="91">
        <f t="shared" si="14"/>
        <v>251</v>
      </c>
      <c r="B928" s="53" t="s">
        <v>1981</v>
      </c>
      <c r="C928" s="91" t="s">
        <v>97</v>
      </c>
      <c r="D928" s="91">
        <v>90</v>
      </c>
      <c r="E928" s="91"/>
      <c r="F928" s="274">
        <v>0.455384615384615</v>
      </c>
      <c r="G928" s="91"/>
      <c r="H928" s="91"/>
    </row>
    <row r="929" spans="1:8" x14ac:dyDescent="0.25">
      <c r="A929" s="91">
        <f t="shared" si="14"/>
        <v>252</v>
      </c>
      <c r="B929" s="53" t="s">
        <v>1988</v>
      </c>
      <c r="C929" s="91" t="s">
        <v>86</v>
      </c>
      <c r="D929" s="91">
        <v>24</v>
      </c>
      <c r="E929" s="91">
        <v>0</v>
      </c>
      <c r="F929" s="274">
        <v>0</v>
      </c>
      <c r="G929" s="91"/>
      <c r="H929" s="91"/>
    </row>
    <row r="930" spans="1:8" x14ac:dyDescent="0.25">
      <c r="A930" s="91">
        <f t="shared" si="14"/>
        <v>252</v>
      </c>
      <c r="B930" s="53" t="s">
        <v>1988</v>
      </c>
      <c r="C930" s="91" t="s">
        <v>86</v>
      </c>
      <c r="D930" s="91">
        <v>72</v>
      </c>
      <c r="E930" s="91"/>
      <c r="F930" s="274">
        <v>0</v>
      </c>
      <c r="G930" s="91"/>
      <c r="H930" s="91"/>
    </row>
    <row r="931" spans="1:8" x14ac:dyDescent="0.25">
      <c r="A931" s="91">
        <f t="shared" si="14"/>
        <v>253</v>
      </c>
      <c r="B931" s="53" t="s">
        <v>1992</v>
      </c>
      <c r="C931" s="91" t="s">
        <v>287</v>
      </c>
      <c r="D931" s="91">
        <v>32</v>
      </c>
      <c r="E931" s="91">
        <v>399.84</v>
      </c>
      <c r="F931" s="274">
        <v>0.49</v>
      </c>
      <c r="G931" s="91"/>
      <c r="H931" s="91"/>
    </row>
    <row r="932" spans="1:8" x14ac:dyDescent="0.25">
      <c r="A932" s="91">
        <f t="shared" si="14"/>
        <v>253</v>
      </c>
      <c r="B932" s="53" t="s">
        <v>1992</v>
      </c>
      <c r="C932" s="91" t="s">
        <v>287</v>
      </c>
      <c r="D932" s="91">
        <v>160</v>
      </c>
      <c r="E932" s="91"/>
      <c r="F932" s="274">
        <v>0.49</v>
      </c>
      <c r="G932" s="91"/>
      <c r="H932" s="91"/>
    </row>
    <row r="933" spans="1:8" x14ac:dyDescent="0.25">
      <c r="A933" s="91">
        <f t="shared" si="14"/>
        <v>253</v>
      </c>
      <c r="B933" s="53" t="s">
        <v>1992</v>
      </c>
      <c r="C933" s="91" t="s">
        <v>287</v>
      </c>
      <c r="D933" s="91">
        <v>112</v>
      </c>
      <c r="E933" s="91"/>
      <c r="F933" s="274">
        <v>0.49</v>
      </c>
      <c r="G933" s="91"/>
      <c r="H933" s="91"/>
    </row>
    <row r="934" spans="1:8" s="4" customFormat="1" x14ac:dyDescent="0.25">
      <c r="A934" s="286">
        <f t="shared" si="14"/>
        <v>253</v>
      </c>
      <c r="B934" s="287" t="s">
        <v>1992</v>
      </c>
      <c r="C934" s="286" t="s">
        <v>287</v>
      </c>
      <c r="D934" s="286">
        <v>512</v>
      </c>
      <c r="E934" s="286"/>
      <c r="F934" s="277">
        <v>0.49</v>
      </c>
      <c r="G934" s="286"/>
      <c r="H934" s="286"/>
    </row>
    <row r="935" spans="1:8" x14ac:dyDescent="0.25">
      <c r="A935" s="91">
        <f t="shared" si="14"/>
        <v>254</v>
      </c>
      <c r="B935" s="53" t="s">
        <v>2000</v>
      </c>
      <c r="C935" s="91" t="s">
        <v>97</v>
      </c>
      <c r="D935" s="91">
        <v>200</v>
      </c>
      <c r="E935" s="269">
        <v>585.20000000000005</v>
      </c>
      <c r="F935" s="268">
        <v>0.348333333333333</v>
      </c>
      <c r="G935" s="91"/>
      <c r="H935" s="91"/>
    </row>
    <row r="936" spans="1:8" x14ac:dyDescent="0.25">
      <c r="A936" s="91">
        <f t="shared" si="14"/>
        <v>254</v>
      </c>
      <c r="B936" s="53" t="s">
        <v>2000</v>
      </c>
      <c r="C936" s="91" t="s">
        <v>97</v>
      </c>
      <c r="D936" s="91">
        <v>1480</v>
      </c>
      <c r="E936" s="269"/>
      <c r="F936" s="268">
        <v>0.348333333333333</v>
      </c>
      <c r="G936" s="91"/>
      <c r="H936" s="91"/>
    </row>
    <row r="937" spans="1:8" x14ac:dyDescent="0.25">
      <c r="A937" s="91">
        <f t="shared" si="14"/>
        <v>255</v>
      </c>
      <c r="B937" s="53" t="s">
        <v>2003</v>
      </c>
      <c r="C937" s="91" t="s">
        <v>97</v>
      </c>
      <c r="D937" s="91">
        <v>200</v>
      </c>
      <c r="E937" s="269">
        <v>199.6</v>
      </c>
      <c r="F937" s="268">
        <v>0.453636363636364</v>
      </c>
      <c r="G937" s="91"/>
      <c r="H937" s="91"/>
    </row>
    <row r="938" spans="1:8" x14ac:dyDescent="0.25">
      <c r="A938" s="91">
        <f t="shared" si="14"/>
        <v>255</v>
      </c>
      <c r="B938" s="53" t="s">
        <v>2003</v>
      </c>
      <c r="C938" s="91" t="s">
        <v>97</v>
      </c>
      <c r="D938" s="91">
        <v>240</v>
      </c>
      <c r="E938" s="269"/>
      <c r="F938" s="268">
        <v>0.453636363636364</v>
      </c>
      <c r="G938" s="91"/>
      <c r="H938" s="91"/>
    </row>
    <row r="939" spans="1:8" x14ac:dyDescent="0.25">
      <c r="A939" s="91">
        <f t="shared" si="14"/>
        <v>256</v>
      </c>
      <c r="B939" s="53" t="s">
        <v>2008</v>
      </c>
      <c r="C939" s="91" t="s">
        <v>97</v>
      </c>
      <c r="D939" s="91">
        <v>600</v>
      </c>
      <c r="E939" s="269">
        <v>246</v>
      </c>
      <c r="F939" s="268">
        <v>0.41</v>
      </c>
      <c r="G939" s="91"/>
      <c r="H939" s="91"/>
    </row>
    <row r="940" spans="1:8" x14ac:dyDescent="0.25">
      <c r="A940" s="91">
        <f t="shared" si="14"/>
        <v>257</v>
      </c>
      <c r="B940" s="53" t="s">
        <v>2012</v>
      </c>
      <c r="C940" s="91" t="s">
        <v>97</v>
      </c>
      <c r="D940" s="91">
        <v>360</v>
      </c>
      <c r="E940" s="269">
        <v>1076.04</v>
      </c>
      <c r="F940" s="268">
        <v>0.49</v>
      </c>
      <c r="G940" s="91"/>
      <c r="H940" s="91"/>
    </row>
    <row r="941" spans="1:8" x14ac:dyDescent="0.25">
      <c r="A941" s="91">
        <f t="shared" si="14"/>
        <v>257</v>
      </c>
      <c r="B941" s="53" t="s">
        <v>2012</v>
      </c>
      <c r="C941" s="91" t="s">
        <v>97</v>
      </c>
      <c r="D941" s="91">
        <v>192</v>
      </c>
      <c r="E941" s="269"/>
      <c r="F941" s="268">
        <v>0.49</v>
      </c>
      <c r="G941" s="91"/>
      <c r="H941" s="91"/>
    </row>
    <row r="942" spans="1:8" x14ac:dyDescent="0.25">
      <c r="A942" s="91">
        <f t="shared" si="14"/>
        <v>257</v>
      </c>
      <c r="B942" s="53" t="s">
        <v>2012</v>
      </c>
      <c r="C942" s="91" t="s">
        <v>97</v>
      </c>
      <c r="D942" s="91">
        <v>1644</v>
      </c>
      <c r="E942" s="269"/>
      <c r="F942" s="268">
        <v>0.49</v>
      </c>
      <c r="G942" s="91"/>
      <c r="H942" s="91"/>
    </row>
    <row r="943" spans="1:8" x14ac:dyDescent="0.25">
      <c r="A943" s="91">
        <f t="shared" si="14"/>
        <v>258</v>
      </c>
      <c r="B943" s="53" t="s">
        <v>2017</v>
      </c>
      <c r="C943" s="91" t="s">
        <v>97</v>
      </c>
      <c r="D943" s="91">
        <v>600</v>
      </c>
      <c r="E943" s="269">
        <v>294</v>
      </c>
      <c r="F943" s="268">
        <v>0.49</v>
      </c>
      <c r="G943" s="91"/>
      <c r="H943" s="91"/>
    </row>
    <row r="944" spans="1:8" x14ac:dyDescent="0.25">
      <c r="A944" s="91">
        <f t="shared" si="14"/>
        <v>259</v>
      </c>
      <c r="B944" s="53" t="s">
        <v>2072</v>
      </c>
      <c r="C944" s="91" t="s">
        <v>97</v>
      </c>
      <c r="D944" s="91">
        <v>400</v>
      </c>
      <c r="E944" s="269">
        <v>828.2</v>
      </c>
      <c r="F944" s="268">
        <v>0.41</v>
      </c>
      <c r="G944" s="91"/>
      <c r="H944" s="91"/>
    </row>
    <row r="945" spans="1:8" x14ac:dyDescent="0.25">
      <c r="A945" s="91">
        <f t="shared" si="14"/>
        <v>259</v>
      </c>
      <c r="B945" s="53" t="s">
        <v>2072</v>
      </c>
      <c r="C945" s="91" t="s">
        <v>97</v>
      </c>
      <c r="D945" s="91">
        <v>150</v>
      </c>
      <c r="E945" s="269"/>
      <c r="F945" s="268">
        <v>0.41</v>
      </c>
      <c r="G945" s="91"/>
      <c r="H945" s="91"/>
    </row>
    <row r="946" spans="1:8" x14ac:dyDescent="0.25">
      <c r="A946" s="91">
        <f t="shared" si="14"/>
        <v>259</v>
      </c>
      <c r="B946" s="53" t="s">
        <v>2072</v>
      </c>
      <c r="C946" s="91" t="s">
        <v>97</v>
      </c>
      <c r="D946" s="91">
        <v>30</v>
      </c>
      <c r="E946" s="269"/>
      <c r="F946" s="268">
        <v>0.41</v>
      </c>
      <c r="G946" s="91"/>
      <c r="H946" s="91"/>
    </row>
    <row r="947" spans="1:8" x14ac:dyDescent="0.25">
      <c r="A947" s="91">
        <f t="shared" si="14"/>
        <v>259</v>
      </c>
      <c r="B947" s="53" t="s">
        <v>2072</v>
      </c>
      <c r="C947" s="91" t="s">
        <v>97</v>
      </c>
      <c r="D947" s="91">
        <v>240</v>
      </c>
      <c r="E947" s="269"/>
      <c r="F947" s="268">
        <v>0.41</v>
      </c>
      <c r="G947" s="91"/>
      <c r="H947" s="91"/>
    </row>
    <row r="948" spans="1:8" x14ac:dyDescent="0.25">
      <c r="A948" s="91">
        <f t="shared" si="14"/>
        <v>259</v>
      </c>
      <c r="B948" s="53" t="s">
        <v>2072</v>
      </c>
      <c r="C948" s="91" t="s">
        <v>97</v>
      </c>
      <c r="D948" s="91">
        <v>900</v>
      </c>
      <c r="E948" s="269"/>
      <c r="F948" s="268">
        <v>0.41</v>
      </c>
      <c r="G948" s="91"/>
      <c r="H948" s="91"/>
    </row>
    <row r="949" spans="1:8" x14ac:dyDescent="0.25">
      <c r="A949" s="91">
        <f t="shared" si="14"/>
        <v>259</v>
      </c>
      <c r="B949" s="53" t="s">
        <v>2072</v>
      </c>
      <c r="C949" s="91" t="s">
        <v>97</v>
      </c>
      <c r="D949" s="91">
        <v>300</v>
      </c>
      <c r="E949" s="269"/>
      <c r="F949" s="268">
        <v>0.41</v>
      </c>
      <c r="G949" s="91"/>
      <c r="H949" s="91"/>
    </row>
    <row r="950" spans="1:8" x14ac:dyDescent="0.25">
      <c r="A950" s="91">
        <f t="shared" si="14"/>
        <v>260</v>
      </c>
      <c r="B950" s="53" t="s">
        <v>2079</v>
      </c>
      <c r="C950" s="91" t="s">
        <v>97</v>
      </c>
      <c r="D950" s="91">
        <v>120</v>
      </c>
      <c r="E950" s="269">
        <v>275.2</v>
      </c>
      <c r="F950" s="268">
        <v>0.36210526315789499</v>
      </c>
      <c r="G950" s="91"/>
      <c r="H950" s="91"/>
    </row>
    <row r="951" spans="1:8" x14ac:dyDescent="0.25">
      <c r="A951" s="91">
        <f t="shared" si="14"/>
        <v>260</v>
      </c>
      <c r="B951" s="53" t="s">
        <v>2079</v>
      </c>
      <c r="C951" s="91" t="s">
        <v>97</v>
      </c>
      <c r="D951" s="91">
        <v>400</v>
      </c>
      <c r="E951" s="269"/>
      <c r="F951" s="268"/>
      <c r="G951" s="91"/>
      <c r="H951" s="91"/>
    </row>
    <row r="952" spans="1:8" x14ac:dyDescent="0.25">
      <c r="A952" s="91">
        <f t="shared" si="14"/>
        <v>260</v>
      </c>
      <c r="B952" s="53" t="s">
        <v>2079</v>
      </c>
      <c r="C952" s="91" t="s">
        <v>97</v>
      </c>
      <c r="D952" s="91">
        <v>90</v>
      </c>
      <c r="E952" s="269"/>
      <c r="F952" s="268"/>
      <c r="G952" s="91"/>
      <c r="H952" s="91"/>
    </row>
    <row r="953" spans="1:8" x14ac:dyDescent="0.25">
      <c r="A953" s="91">
        <f t="shared" si="14"/>
        <v>260</v>
      </c>
      <c r="B953" s="53" t="s">
        <v>2079</v>
      </c>
      <c r="C953" s="91" t="s">
        <v>97</v>
      </c>
      <c r="D953" s="91">
        <v>60</v>
      </c>
      <c r="E953" s="269"/>
      <c r="F953" s="268"/>
      <c r="G953" s="91"/>
      <c r="H953" s="91"/>
    </row>
    <row r="954" spans="1:8" x14ac:dyDescent="0.25">
      <c r="A954" s="91">
        <f t="shared" si="14"/>
        <v>260</v>
      </c>
      <c r="B954" s="53" t="s">
        <v>2079</v>
      </c>
      <c r="C954" s="91" t="s">
        <v>97</v>
      </c>
      <c r="D954" s="91">
        <v>90</v>
      </c>
      <c r="E954" s="269"/>
      <c r="F954" s="268"/>
      <c r="G954" s="91"/>
      <c r="H954" s="91"/>
    </row>
    <row r="955" spans="1:8" x14ac:dyDescent="0.25">
      <c r="A955" s="91">
        <f t="shared" si="14"/>
        <v>261</v>
      </c>
      <c r="B955" s="53" t="s">
        <v>2086</v>
      </c>
      <c r="C955" s="91" t="s">
        <v>97</v>
      </c>
      <c r="D955" s="91">
        <v>810</v>
      </c>
      <c r="E955" s="269">
        <v>332.1</v>
      </c>
      <c r="F955" s="268">
        <v>0.41</v>
      </c>
      <c r="G955" s="91"/>
      <c r="H955" s="91"/>
    </row>
    <row r="956" spans="1:8" x14ac:dyDescent="0.25">
      <c r="A956" s="91">
        <f t="shared" si="14"/>
        <v>262</v>
      </c>
      <c r="B956" s="53" t="s">
        <v>2088</v>
      </c>
      <c r="C956" s="91" t="s">
        <v>97</v>
      </c>
      <c r="D956" s="91">
        <v>200</v>
      </c>
      <c r="E956" s="269">
        <v>1292.8</v>
      </c>
      <c r="F956" s="268">
        <v>0.34752688172043</v>
      </c>
      <c r="G956" s="91"/>
      <c r="H956" s="91"/>
    </row>
    <row r="957" spans="1:8" x14ac:dyDescent="0.25">
      <c r="A957" s="91">
        <f t="shared" si="14"/>
        <v>262</v>
      </c>
      <c r="B957" s="53" t="s">
        <v>2088</v>
      </c>
      <c r="C957" s="91" t="s">
        <v>97</v>
      </c>
      <c r="D957" s="91">
        <v>2400</v>
      </c>
      <c r="E957" s="269"/>
      <c r="F957" s="268"/>
      <c r="G957" s="91"/>
      <c r="H957" s="91"/>
    </row>
    <row r="958" spans="1:8" x14ac:dyDescent="0.25">
      <c r="A958" s="91">
        <f t="shared" si="14"/>
        <v>262</v>
      </c>
      <c r="B958" s="53" t="s">
        <v>2088</v>
      </c>
      <c r="C958" s="91" t="s">
        <v>97</v>
      </c>
      <c r="D958" s="91">
        <v>440</v>
      </c>
      <c r="E958" s="269"/>
      <c r="F958" s="268"/>
      <c r="G958" s="91"/>
      <c r="H958" s="91"/>
    </row>
    <row r="959" spans="1:8" x14ac:dyDescent="0.25">
      <c r="A959" s="91">
        <f t="shared" si="14"/>
        <v>262</v>
      </c>
      <c r="B959" s="53" t="s">
        <v>2088</v>
      </c>
      <c r="C959" s="91" t="s">
        <v>97</v>
      </c>
      <c r="D959" s="91">
        <v>320</v>
      </c>
      <c r="E959" s="269"/>
      <c r="F959" s="268"/>
      <c r="G959" s="91"/>
      <c r="H959" s="91"/>
    </row>
    <row r="960" spans="1:8" x14ac:dyDescent="0.25">
      <c r="A960" s="91">
        <f t="shared" si="14"/>
        <v>262</v>
      </c>
      <c r="B960" s="53" t="s">
        <v>2088</v>
      </c>
      <c r="C960" s="91" t="s">
        <v>97</v>
      </c>
      <c r="D960" s="91">
        <v>160</v>
      </c>
      <c r="E960" s="269"/>
      <c r="F960" s="268"/>
      <c r="G960" s="91"/>
      <c r="H960" s="91"/>
    </row>
    <row r="961" spans="1:8" x14ac:dyDescent="0.25">
      <c r="A961" s="91">
        <f t="shared" si="14"/>
        <v>262</v>
      </c>
      <c r="B961" s="53" t="s">
        <v>2088</v>
      </c>
      <c r="C961" s="91" t="s">
        <v>97</v>
      </c>
      <c r="D961" s="91">
        <v>200</v>
      </c>
      <c r="E961" s="269"/>
      <c r="F961" s="268"/>
      <c r="G961" s="91"/>
      <c r="H961" s="91"/>
    </row>
    <row r="962" spans="1:8" x14ac:dyDescent="0.25">
      <c r="A962" s="91">
        <f t="shared" si="14"/>
        <v>263</v>
      </c>
      <c r="B962" s="53" t="s">
        <v>2095</v>
      </c>
      <c r="C962" s="91" t="s">
        <v>97</v>
      </c>
      <c r="D962" s="91">
        <v>200</v>
      </c>
      <c r="E962" s="269">
        <v>676.1</v>
      </c>
      <c r="F962" s="268">
        <v>0.41993788819875799</v>
      </c>
      <c r="G962" s="91"/>
      <c r="H962" s="91"/>
    </row>
    <row r="963" spans="1:8" x14ac:dyDescent="0.25">
      <c r="A963" s="91">
        <f t="shared" si="14"/>
        <v>263</v>
      </c>
      <c r="B963" s="53" t="s">
        <v>2095</v>
      </c>
      <c r="C963" s="91" t="s">
        <v>97</v>
      </c>
      <c r="D963" s="91">
        <v>660</v>
      </c>
      <c r="E963" s="269"/>
      <c r="F963" s="268"/>
      <c r="G963" s="91"/>
      <c r="H963" s="91"/>
    </row>
    <row r="964" spans="1:8" x14ac:dyDescent="0.25">
      <c r="A964" s="91">
        <f t="shared" ref="A964:A1027" si="15">IF(B964=B963,A963,A963+1)</f>
        <v>263</v>
      </c>
      <c r="B964" s="53" t="s">
        <v>2095</v>
      </c>
      <c r="C964" s="91" t="s">
        <v>97</v>
      </c>
      <c r="D964" s="91">
        <v>360</v>
      </c>
      <c r="E964" s="269"/>
      <c r="F964" s="268"/>
      <c r="G964" s="91"/>
      <c r="H964" s="91"/>
    </row>
    <row r="965" spans="1:8" x14ac:dyDescent="0.25">
      <c r="A965" s="91">
        <f t="shared" si="15"/>
        <v>263</v>
      </c>
      <c r="B965" s="53" t="s">
        <v>2095</v>
      </c>
      <c r="C965" s="91" t="s">
        <v>97</v>
      </c>
      <c r="D965" s="91">
        <v>390</v>
      </c>
      <c r="E965" s="269"/>
      <c r="F965" s="268"/>
      <c r="G965" s="91"/>
      <c r="H965" s="91"/>
    </row>
    <row r="966" spans="1:8" x14ac:dyDescent="0.25">
      <c r="A966" s="91">
        <f t="shared" si="15"/>
        <v>264</v>
      </c>
      <c r="B966" s="53" t="s">
        <v>2107</v>
      </c>
      <c r="C966" s="91" t="s">
        <v>97</v>
      </c>
      <c r="D966" s="91">
        <v>264</v>
      </c>
      <c r="E966" s="269">
        <v>190.56</v>
      </c>
      <c r="F966" s="268">
        <v>0.42918918918918902</v>
      </c>
      <c r="G966" s="91"/>
      <c r="H966" s="91"/>
    </row>
    <row r="967" spans="1:8" x14ac:dyDescent="0.25">
      <c r="A967" s="91">
        <f t="shared" si="15"/>
        <v>264</v>
      </c>
      <c r="B967" s="53" t="s">
        <v>2107</v>
      </c>
      <c r="C967" s="91" t="s">
        <v>97</v>
      </c>
      <c r="D967" s="91">
        <v>90</v>
      </c>
      <c r="E967" s="269"/>
      <c r="F967" s="268"/>
      <c r="G967" s="91"/>
      <c r="H967" s="91"/>
    </row>
    <row r="968" spans="1:8" x14ac:dyDescent="0.25">
      <c r="A968" s="91">
        <f t="shared" si="15"/>
        <v>264</v>
      </c>
      <c r="B968" s="53" t="s">
        <v>2107</v>
      </c>
      <c r="C968" s="91" t="s">
        <v>97</v>
      </c>
      <c r="D968" s="91">
        <v>90</v>
      </c>
      <c r="E968" s="269"/>
      <c r="F968" s="268"/>
      <c r="G968" s="91"/>
      <c r="H968" s="91"/>
    </row>
    <row r="969" spans="1:8" x14ac:dyDescent="0.25">
      <c r="A969" s="91">
        <f t="shared" si="15"/>
        <v>265</v>
      </c>
      <c r="B969" s="53" t="s">
        <v>2111</v>
      </c>
      <c r="C969" s="91" t="s">
        <v>97</v>
      </c>
      <c r="D969" s="91">
        <v>360</v>
      </c>
      <c r="E969" s="269">
        <v>352.8</v>
      </c>
      <c r="F969" s="268">
        <v>0.49</v>
      </c>
      <c r="G969" s="91"/>
      <c r="H969" s="91"/>
    </row>
    <row r="970" spans="1:8" x14ac:dyDescent="0.25">
      <c r="A970" s="91">
        <f t="shared" si="15"/>
        <v>265</v>
      </c>
      <c r="B970" s="53" t="s">
        <v>2111</v>
      </c>
      <c r="C970" s="91" t="s">
        <v>97</v>
      </c>
      <c r="D970" s="91">
        <v>360</v>
      </c>
      <c r="E970" s="269"/>
      <c r="F970" s="268"/>
      <c r="G970" s="91"/>
      <c r="H970" s="91"/>
    </row>
    <row r="971" spans="1:8" x14ac:dyDescent="0.25">
      <c r="A971" s="91">
        <f t="shared" si="15"/>
        <v>266</v>
      </c>
      <c r="B971" s="53" t="s">
        <v>2115</v>
      </c>
      <c r="C971" s="91" t="s">
        <v>287</v>
      </c>
      <c r="D971" s="91">
        <v>256</v>
      </c>
      <c r="E971" s="269">
        <v>164.64</v>
      </c>
      <c r="F971" s="268">
        <v>0.49</v>
      </c>
      <c r="G971" s="91"/>
      <c r="H971" s="91"/>
    </row>
    <row r="972" spans="1:8" x14ac:dyDescent="0.25">
      <c r="A972" s="91">
        <f t="shared" si="15"/>
        <v>266</v>
      </c>
      <c r="B972" s="53" t="s">
        <v>2115</v>
      </c>
      <c r="C972" s="91" t="s">
        <v>287</v>
      </c>
      <c r="D972" s="91">
        <v>80</v>
      </c>
      <c r="E972" s="269"/>
      <c r="F972" s="268"/>
      <c r="G972" s="91"/>
      <c r="H972" s="91"/>
    </row>
    <row r="973" spans="1:8" x14ac:dyDescent="0.25">
      <c r="A973" s="91">
        <f t="shared" si="15"/>
        <v>267</v>
      </c>
      <c r="B973" s="53" t="s">
        <v>2120</v>
      </c>
      <c r="C973" s="91" t="s">
        <v>287</v>
      </c>
      <c r="D973" s="91">
        <v>112</v>
      </c>
      <c r="E973" s="269">
        <v>54.88</v>
      </c>
      <c r="F973" s="268">
        <v>0.49</v>
      </c>
      <c r="G973" s="91"/>
      <c r="H973" s="91"/>
    </row>
    <row r="974" spans="1:8" x14ac:dyDescent="0.25">
      <c r="A974" s="91">
        <f t="shared" si="15"/>
        <v>268</v>
      </c>
      <c r="B974" s="53" t="s">
        <v>2132</v>
      </c>
      <c r="C974" s="91" t="s">
        <v>97</v>
      </c>
      <c r="D974" s="91">
        <v>800</v>
      </c>
      <c r="E974" s="269">
        <v>585.20000000000005</v>
      </c>
      <c r="F974" s="268">
        <v>0.348333333333333</v>
      </c>
      <c r="G974" s="91"/>
      <c r="H974" s="91"/>
    </row>
    <row r="975" spans="1:8" x14ac:dyDescent="0.25">
      <c r="A975" s="91">
        <f t="shared" si="15"/>
        <v>268</v>
      </c>
      <c r="B975" s="53" t="s">
        <v>2132</v>
      </c>
      <c r="C975" s="91" t="s">
        <v>97</v>
      </c>
      <c r="D975" s="91">
        <v>120</v>
      </c>
      <c r="E975" s="269"/>
      <c r="F975" s="268"/>
      <c r="G975" s="91"/>
      <c r="H975" s="91"/>
    </row>
    <row r="976" spans="1:8" x14ac:dyDescent="0.25">
      <c r="A976" s="91">
        <f t="shared" si="15"/>
        <v>268</v>
      </c>
      <c r="B976" s="53" t="s">
        <v>2132</v>
      </c>
      <c r="C976" s="91" t="s">
        <v>97</v>
      </c>
      <c r="D976" s="91">
        <v>200</v>
      </c>
      <c r="E976" s="269"/>
      <c r="F976" s="268"/>
      <c r="G976" s="91"/>
      <c r="H976" s="91"/>
    </row>
    <row r="977" spans="1:8" x14ac:dyDescent="0.25">
      <c r="A977" s="91">
        <f t="shared" si="15"/>
        <v>268</v>
      </c>
      <c r="B977" s="53" t="s">
        <v>2132</v>
      </c>
      <c r="C977" s="91" t="s">
        <v>97</v>
      </c>
      <c r="D977" s="91">
        <v>360</v>
      </c>
      <c r="E977" s="269"/>
      <c r="F977" s="268"/>
      <c r="G977" s="91"/>
      <c r="H977" s="91"/>
    </row>
    <row r="978" spans="1:8" x14ac:dyDescent="0.25">
      <c r="A978" s="91">
        <f t="shared" si="15"/>
        <v>268</v>
      </c>
      <c r="B978" s="53" t="s">
        <v>2132</v>
      </c>
      <c r="C978" s="91" t="s">
        <v>97</v>
      </c>
      <c r="D978" s="91">
        <v>200</v>
      </c>
      <c r="E978" s="269"/>
      <c r="F978" s="268"/>
      <c r="G978" s="91"/>
      <c r="H978" s="91"/>
    </row>
    <row r="979" spans="1:8" x14ac:dyDescent="0.25">
      <c r="A979" s="91">
        <f t="shared" si="15"/>
        <v>269</v>
      </c>
      <c r="B979" s="53" t="s">
        <v>2140</v>
      </c>
      <c r="C979" s="91" t="s">
        <v>97</v>
      </c>
      <c r="D979" s="91">
        <v>1260</v>
      </c>
      <c r="E979" s="269">
        <v>1008.6</v>
      </c>
      <c r="F979" s="268">
        <v>0.41</v>
      </c>
      <c r="G979" s="91"/>
      <c r="H979" s="91"/>
    </row>
    <row r="980" spans="1:8" x14ac:dyDescent="0.25">
      <c r="A980" s="91">
        <f t="shared" si="15"/>
        <v>269</v>
      </c>
      <c r="B980" s="53" t="s">
        <v>2140</v>
      </c>
      <c r="C980" s="91" t="s">
        <v>97</v>
      </c>
      <c r="D980" s="91">
        <v>600</v>
      </c>
      <c r="E980" s="269"/>
      <c r="F980" s="268"/>
      <c r="G980" s="91"/>
      <c r="H980" s="91"/>
    </row>
    <row r="981" spans="1:8" x14ac:dyDescent="0.25">
      <c r="A981" s="91">
        <f t="shared" si="15"/>
        <v>269</v>
      </c>
      <c r="B981" s="53" t="s">
        <v>2140</v>
      </c>
      <c r="C981" s="91" t="s">
        <v>97</v>
      </c>
      <c r="D981" s="91">
        <v>300</v>
      </c>
      <c r="E981" s="269"/>
      <c r="F981" s="268"/>
      <c r="G981" s="91"/>
      <c r="H981" s="91"/>
    </row>
    <row r="982" spans="1:8" x14ac:dyDescent="0.25">
      <c r="A982" s="91">
        <f t="shared" si="15"/>
        <v>269</v>
      </c>
      <c r="B982" s="53" t="s">
        <v>2140</v>
      </c>
      <c r="C982" s="91" t="s">
        <v>97</v>
      </c>
      <c r="D982" s="91">
        <v>300</v>
      </c>
      <c r="E982" s="269"/>
      <c r="F982" s="268"/>
      <c r="G982" s="91"/>
      <c r="H982" s="91"/>
    </row>
    <row r="983" spans="1:8" x14ac:dyDescent="0.25">
      <c r="A983" s="91">
        <f t="shared" si="15"/>
        <v>270</v>
      </c>
      <c r="B983" s="53" t="s">
        <v>2145</v>
      </c>
      <c r="C983" s="91" t="s">
        <v>97</v>
      </c>
      <c r="D983" s="91">
        <v>360</v>
      </c>
      <c r="E983" s="269">
        <v>147.6</v>
      </c>
      <c r="F983" s="268">
        <v>0.41</v>
      </c>
      <c r="G983" s="91"/>
      <c r="H983" s="91"/>
    </row>
    <row r="984" spans="1:8" x14ac:dyDescent="0.25">
      <c r="A984" s="91">
        <f t="shared" si="15"/>
        <v>271</v>
      </c>
      <c r="B984" s="53" t="s">
        <v>2148</v>
      </c>
      <c r="C984" s="91" t="s">
        <v>287</v>
      </c>
      <c r="D984" s="91">
        <v>368</v>
      </c>
      <c r="E984" s="269">
        <v>713.44</v>
      </c>
      <c r="F984" s="268">
        <v>0.49</v>
      </c>
      <c r="G984" s="91"/>
      <c r="H984" s="91"/>
    </row>
    <row r="985" spans="1:8" x14ac:dyDescent="0.25">
      <c r="A985" s="91">
        <f t="shared" si="15"/>
        <v>271</v>
      </c>
      <c r="B985" s="53" t="s">
        <v>2148</v>
      </c>
      <c r="C985" s="91" t="s">
        <v>287</v>
      </c>
      <c r="D985" s="91">
        <v>48</v>
      </c>
      <c r="E985" s="269"/>
      <c r="F985" s="268"/>
      <c r="G985" s="91"/>
      <c r="H985" s="91"/>
    </row>
    <row r="986" spans="1:8" x14ac:dyDescent="0.25">
      <c r="A986" s="91">
        <f t="shared" si="15"/>
        <v>271</v>
      </c>
      <c r="B986" s="53" t="s">
        <v>2148</v>
      </c>
      <c r="C986" s="91" t="s">
        <v>287</v>
      </c>
      <c r="D986" s="91">
        <v>384</v>
      </c>
      <c r="E986" s="269"/>
      <c r="F986" s="268"/>
      <c r="G986" s="91"/>
      <c r="H986" s="91"/>
    </row>
    <row r="987" spans="1:8" x14ac:dyDescent="0.25">
      <c r="A987" s="91">
        <f t="shared" si="15"/>
        <v>271</v>
      </c>
      <c r="B987" s="53" t="s">
        <v>2148</v>
      </c>
      <c r="C987" s="91" t="s">
        <v>287</v>
      </c>
      <c r="D987" s="91">
        <v>336</v>
      </c>
      <c r="E987" s="269"/>
      <c r="F987" s="268"/>
      <c r="G987" s="91"/>
      <c r="H987" s="91"/>
    </row>
    <row r="988" spans="1:8" x14ac:dyDescent="0.25">
      <c r="A988" s="91">
        <f t="shared" si="15"/>
        <v>271</v>
      </c>
      <c r="B988" s="53" t="s">
        <v>2148</v>
      </c>
      <c r="C988" s="91" t="s">
        <v>287</v>
      </c>
      <c r="D988" s="91">
        <v>320</v>
      </c>
      <c r="E988" s="269"/>
      <c r="F988" s="268"/>
      <c r="G988" s="91"/>
      <c r="H988" s="91"/>
    </row>
    <row r="989" spans="1:8" x14ac:dyDescent="0.25">
      <c r="A989" s="91">
        <f t="shared" si="15"/>
        <v>272</v>
      </c>
      <c r="B989" s="53" t="s">
        <v>2155</v>
      </c>
      <c r="C989" s="91" t="s">
        <v>97</v>
      </c>
      <c r="D989" s="91">
        <v>1236</v>
      </c>
      <c r="E989" s="269">
        <v>840.84</v>
      </c>
      <c r="F989" s="268">
        <v>0.49</v>
      </c>
      <c r="G989" s="91"/>
      <c r="H989" s="91"/>
    </row>
    <row r="990" spans="1:8" x14ac:dyDescent="0.25">
      <c r="A990" s="91">
        <f t="shared" si="15"/>
        <v>272</v>
      </c>
      <c r="B990" s="53" t="s">
        <v>2155</v>
      </c>
      <c r="C990" s="91" t="s">
        <v>97</v>
      </c>
      <c r="D990" s="91">
        <v>480</v>
      </c>
      <c r="E990" s="269"/>
      <c r="F990" s="268"/>
      <c r="G990" s="91"/>
      <c r="H990" s="91"/>
    </row>
    <row r="991" spans="1:8" x14ac:dyDescent="0.25">
      <c r="A991" s="91">
        <f t="shared" si="15"/>
        <v>273</v>
      </c>
      <c r="B991" s="53" t="s">
        <v>2159</v>
      </c>
      <c r="C991" s="91" t="s">
        <v>287</v>
      </c>
      <c r="D991" s="91">
        <v>240</v>
      </c>
      <c r="E991" s="269"/>
      <c r="F991" s="268"/>
      <c r="G991" s="91"/>
      <c r="H991" s="91"/>
    </row>
    <row r="992" spans="1:8" x14ac:dyDescent="0.25">
      <c r="A992" s="91">
        <f t="shared" si="15"/>
        <v>273</v>
      </c>
      <c r="B992" s="53" t="s">
        <v>2159</v>
      </c>
      <c r="C992" s="91" t="s">
        <v>287</v>
      </c>
      <c r="D992" s="91">
        <v>80</v>
      </c>
      <c r="E992" s="269"/>
      <c r="F992" s="268"/>
      <c r="G992" s="91"/>
      <c r="H992" s="91"/>
    </row>
    <row r="993" spans="1:8" x14ac:dyDescent="0.25">
      <c r="A993" s="91">
        <f t="shared" si="15"/>
        <v>273</v>
      </c>
      <c r="B993" s="53" t="s">
        <v>2159</v>
      </c>
      <c r="C993" s="91" t="s">
        <v>287</v>
      </c>
      <c r="D993" s="91">
        <v>160</v>
      </c>
      <c r="E993" s="269"/>
      <c r="F993" s="268"/>
      <c r="G993" s="91"/>
      <c r="H993" s="91"/>
    </row>
    <row r="994" spans="1:8" x14ac:dyDescent="0.25">
      <c r="A994" s="91">
        <f t="shared" si="15"/>
        <v>273</v>
      </c>
      <c r="B994" s="53" t="s">
        <v>2159</v>
      </c>
      <c r="C994" s="91" t="s">
        <v>287</v>
      </c>
      <c r="D994" s="91">
        <v>80</v>
      </c>
      <c r="E994" s="269"/>
      <c r="F994" s="268"/>
      <c r="G994" s="91"/>
      <c r="H994" s="91"/>
    </row>
    <row r="995" spans="1:8" x14ac:dyDescent="0.25">
      <c r="A995" s="91">
        <f t="shared" si="15"/>
        <v>273</v>
      </c>
      <c r="B995" s="53" t="s">
        <v>2159</v>
      </c>
      <c r="C995" s="91" t="s">
        <v>287</v>
      </c>
      <c r="D995" s="91">
        <v>240</v>
      </c>
      <c r="E995" s="269"/>
      <c r="F995" s="268"/>
      <c r="G995" s="91"/>
      <c r="H995" s="91"/>
    </row>
    <row r="996" spans="1:8" x14ac:dyDescent="0.25">
      <c r="A996" s="91">
        <f t="shared" si="15"/>
        <v>274</v>
      </c>
      <c r="B996" s="53" t="s">
        <v>2165</v>
      </c>
      <c r="C996" s="91" t="s">
        <v>287</v>
      </c>
      <c r="D996" s="91">
        <v>272</v>
      </c>
      <c r="E996" s="269">
        <v>164.64</v>
      </c>
      <c r="F996" s="268">
        <v>0.49</v>
      </c>
      <c r="G996" s="91"/>
      <c r="H996" s="91"/>
    </row>
    <row r="997" spans="1:8" x14ac:dyDescent="0.25">
      <c r="A997" s="91">
        <f t="shared" si="15"/>
        <v>274</v>
      </c>
      <c r="B997" s="53" t="s">
        <v>2165</v>
      </c>
      <c r="C997" s="91" t="s">
        <v>287</v>
      </c>
      <c r="D997" s="91">
        <v>64</v>
      </c>
      <c r="E997" s="269"/>
      <c r="F997" s="268"/>
      <c r="G997" s="91"/>
      <c r="H997" s="91"/>
    </row>
    <row r="998" spans="1:8" x14ac:dyDescent="0.25">
      <c r="A998" s="91">
        <f t="shared" si="15"/>
        <v>275</v>
      </c>
      <c r="B998" s="53" t="s">
        <v>2169</v>
      </c>
      <c r="C998" s="91" t="s">
        <v>97</v>
      </c>
      <c r="D998" s="91">
        <v>352</v>
      </c>
      <c r="E998" s="269">
        <v>341.12</v>
      </c>
      <c r="F998" s="268">
        <v>0.41</v>
      </c>
      <c r="G998" s="91"/>
      <c r="H998" s="91"/>
    </row>
    <row r="999" spans="1:8" x14ac:dyDescent="0.25">
      <c r="A999" s="91">
        <f t="shared" si="15"/>
        <v>275</v>
      </c>
      <c r="B999" s="53" t="s">
        <v>2169</v>
      </c>
      <c r="C999" s="91" t="s">
        <v>97</v>
      </c>
      <c r="D999" s="91">
        <v>480</v>
      </c>
      <c r="E999" s="269"/>
      <c r="F999" s="268"/>
      <c r="G999" s="91"/>
      <c r="H999" s="91"/>
    </row>
    <row r="1000" spans="1:8" x14ac:dyDescent="0.25">
      <c r="A1000" s="91">
        <f t="shared" si="15"/>
        <v>276</v>
      </c>
      <c r="B1000" s="53" t="s">
        <v>2174</v>
      </c>
      <c r="C1000" s="91" t="s">
        <v>97</v>
      </c>
      <c r="D1000" s="91">
        <v>156</v>
      </c>
      <c r="E1000" s="269">
        <v>740.88</v>
      </c>
      <c r="F1000" s="268">
        <v>0.49</v>
      </c>
      <c r="G1000" s="91"/>
      <c r="H1000" s="91"/>
    </row>
    <row r="1001" spans="1:8" x14ac:dyDescent="0.25">
      <c r="A1001" s="91">
        <f t="shared" si="15"/>
        <v>276</v>
      </c>
      <c r="B1001" s="53" t="s">
        <v>2174</v>
      </c>
      <c r="C1001" s="91" t="s">
        <v>97</v>
      </c>
      <c r="D1001" s="91">
        <v>204</v>
      </c>
      <c r="E1001" s="269"/>
      <c r="F1001" s="268"/>
      <c r="G1001" s="91"/>
      <c r="H1001" s="91"/>
    </row>
    <row r="1002" spans="1:8" x14ac:dyDescent="0.25">
      <c r="A1002" s="91">
        <f t="shared" si="15"/>
        <v>276</v>
      </c>
      <c r="B1002" s="53" t="s">
        <v>2174</v>
      </c>
      <c r="C1002" s="91" t="s">
        <v>97</v>
      </c>
      <c r="D1002" s="91">
        <v>852</v>
      </c>
      <c r="E1002" s="269"/>
      <c r="F1002" s="268"/>
      <c r="G1002" s="91"/>
      <c r="H1002" s="91"/>
    </row>
    <row r="1003" spans="1:8" x14ac:dyDescent="0.25">
      <c r="A1003" s="91">
        <f t="shared" si="15"/>
        <v>276</v>
      </c>
      <c r="B1003" s="53" t="s">
        <v>2174</v>
      </c>
      <c r="C1003" s="91" t="s">
        <v>97</v>
      </c>
      <c r="D1003" s="91">
        <v>300</v>
      </c>
      <c r="E1003" s="269"/>
      <c r="F1003" s="268"/>
      <c r="G1003" s="91"/>
      <c r="H1003" s="91"/>
    </row>
    <row r="1004" spans="1:8" x14ac:dyDescent="0.25">
      <c r="A1004" s="91">
        <f t="shared" si="15"/>
        <v>277</v>
      </c>
      <c r="B1004" s="53" t="s">
        <v>2183</v>
      </c>
      <c r="C1004" s="91" t="s">
        <v>97</v>
      </c>
      <c r="D1004" s="91">
        <v>200</v>
      </c>
      <c r="E1004" s="269">
        <v>897.5</v>
      </c>
      <c r="F1004" s="268">
        <v>0.417441860465116</v>
      </c>
      <c r="G1004" s="91"/>
      <c r="H1004" s="91"/>
    </row>
    <row r="1005" spans="1:8" x14ac:dyDescent="0.25">
      <c r="A1005" s="91">
        <f t="shared" si="15"/>
        <v>277</v>
      </c>
      <c r="B1005" s="53" t="s">
        <v>2183</v>
      </c>
      <c r="C1005" s="91" t="s">
        <v>97</v>
      </c>
      <c r="D1005" s="91">
        <v>510</v>
      </c>
      <c r="E1005" s="269"/>
      <c r="F1005" s="268"/>
      <c r="G1005" s="91"/>
      <c r="H1005" s="91"/>
    </row>
    <row r="1006" spans="1:8" x14ac:dyDescent="0.25">
      <c r="A1006" s="91">
        <f t="shared" si="15"/>
        <v>277</v>
      </c>
      <c r="B1006" s="53" t="s">
        <v>2183</v>
      </c>
      <c r="C1006" s="91" t="s">
        <v>97</v>
      </c>
      <c r="D1006" s="91">
        <v>240</v>
      </c>
      <c r="E1006" s="269"/>
      <c r="F1006" s="268"/>
      <c r="G1006" s="91"/>
      <c r="H1006" s="91"/>
    </row>
    <row r="1007" spans="1:8" x14ac:dyDescent="0.25">
      <c r="A1007" s="91">
        <f t="shared" si="15"/>
        <v>277</v>
      </c>
      <c r="B1007" s="53" t="s">
        <v>2183</v>
      </c>
      <c r="C1007" s="91" t="s">
        <v>97</v>
      </c>
      <c r="D1007" s="91">
        <v>360</v>
      </c>
      <c r="E1007" s="269"/>
      <c r="F1007" s="268"/>
      <c r="G1007" s="91"/>
      <c r="H1007" s="91"/>
    </row>
    <row r="1008" spans="1:8" x14ac:dyDescent="0.25">
      <c r="A1008" s="91">
        <f t="shared" si="15"/>
        <v>277</v>
      </c>
      <c r="B1008" s="53" t="s">
        <v>2183</v>
      </c>
      <c r="C1008" s="91" t="s">
        <v>97</v>
      </c>
      <c r="D1008" s="91">
        <v>750</v>
      </c>
      <c r="E1008" s="269"/>
      <c r="F1008" s="268"/>
      <c r="G1008" s="91"/>
      <c r="H1008" s="91"/>
    </row>
    <row r="1009" spans="1:8" x14ac:dyDescent="0.25">
      <c r="A1009" s="91">
        <f t="shared" si="15"/>
        <v>277</v>
      </c>
      <c r="B1009" s="53" t="s">
        <v>2183</v>
      </c>
      <c r="C1009" s="91" t="s">
        <v>97</v>
      </c>
      <c r="D1009" s="91">
        <v>90</v>
      </c>
      <c r="E1009" s="269"/>
      <c r="F1009" s="268"/>
      <c r="G1009" s="91"/>
      <c r="H1009" s="91"/>
    </row>
    <row r="1010" spans="1:8" x14ac:dyDescent="0.25">
      <c r="A1010" s="91">
        <f t="shared" si="15"/>
        <v>278</v>
      </c>
      <c r="B1010" s="53" t="s">
        <v>2190</v>
      </c>
      <c r="C1010" s="91" t="s">
        <v>97</v>
      </c>
      <c r="D1010" s="91">
        <v>1000</v>
      </c>
      <c r="E1010" s="269">
        <v>476</v>
      </c>
      <c r="F1010" s="268">
        <v>0.34</v>
      </c>
      <c r="G1010" s="91"/>
      <c r="H1010" s="91"/>
    </row>
    <row r="1011" spans="1:8" x14ac:dyDescent="0.25">
      <c r="A1011" s="91">
        <f t="shared" si="15"/>
        <v>278</v>
      </c>
      <c r="B1011" s="53" t="s">
        <v>2190</v>
      </c>
      <c r="C1011" s="91" t="s">
        <v>97</v>
      </c>
      <c r="D1011" s="91">
        <v>120</v>
      </c>
      <c r="E1011" s="269"/>
      <c r="F1011" s="268"/>
      <c r="G1011" s="91"/>
      <c r="H1011" s="91"/>
    </row>
    <row r="1012" spans="1:8" x14ac:dyDescent="0.25">
      <c r="A1012" s="91">
        <f t="shared" si="15"/>
        <v>278</v>
      </c>
      <c r="B1012" s="53" t="s">
        <v>2190</v>
      </c>
      <c r="C1012" s="91" t="s">
        <v>97</v>
      </c>
      <c r="D1012" s="91">
        <v>280</v>
      </c>
      <c r="E1012" s="269"/>
      <c r="F1012" s="268"/>
      <c r="G1012" s="91"/>
      <c r="H1012" s="91"/>
    </row>
    <row r="1013" spans="1:8" x14ac:dyDescent="0.25">
      <c r="A1013" s="91">
        <f t="shared" si="15"/>
        <v>279</v>
      </c>
      <c r="B1013" s="53" t="s">
        <v>2194</v>
      </c>
      <c r="C1013" s="91" t="s">
        <v>1037</v>
      </c>
      <c r="D1013" s="91">
        <v>800</v>
      </c>
      <c r="E1013" s="269">
        <v>408</v>
      </c>
      <c r="F1013" s="268">
        <v>0.34</v>
      </c>
      <c r="G1013" s="91"/>
      <c r="H1013" s="91"/>
    </row>
    <row r="1014" spans="1:8" x14ac:dyDescent="0.25">
      <c r="A1014" s="91">
        <f t="shared" si="15"/>
        <v>279</v>
      </c>
      <c r="B1014" s="53" t="s">
        <v>2194</v>
      </c>
      <c r="C1014" s="91" t="s">
        <v>1037</v>
      </c>
      <c r="D1014" s="91">
        <v>400</v>
      </c>
      <c r="E1014" s="269"/>
      <c r="F1014" s="268"/>
      <c r="G1014" s="91"/>
      <c r="H1014" s="91"/>
    </row>
    <row r="1015" spans="1:8" x14ac:dyDescent="0.25">
      <c r="A1015" s="91">
        <f t="shared" si="15"/>
        <v>280</v>
      </c>
      <c r="B1015" s="53" t="s">
        <v>2200</v>
      </c>
      <c r="C1015" s="91" t="s">
        <v>97</v>
      </c>
      <c r="D1015" s="91">
        <v>270</v>
      </c>
      <c r="E1015" s="269">
        <v>573.24</v>
      </c>
      <c r="F1015" s="268">
        <v>0.34</v>
      </c>
      <c r="G1015" s="91"/>
      <c r="H1015" s="91"/>
    </row>
    <row r="1016" spans="1:8" x14ac:dyDescent="0.25">
      <c r="A1016" s="91">
        <f t="shared" si="15"/>
        <v>280</v>
      </c>
      <c r="B1016" s="53" t="s">
        <v>2200</v>
      </c>
      <c r="C1016" s="91" t="s">
        <v>97</v>
      </c>
      <c r="D1016" s="91">
        <v>270</v>
      </c>
      <c r="E1016" s="269"/>
      <c r="F1016" s="268"/>
      <c r="G1016" s="91"/>
      <c r="H1016" s="91"/>
    </row>
    <row r="1017" spans="1:8" x14ac:dyDescent="0.25">
      <c r="A1017" s="91">
        <f t="shared" si="15"/>
        <v>280</v>
      </c>
      <c r="B1017" s="53" t="s">
        <v>2200</v>
      </c>
      <c r="C1017" s="91" t="s">
        <v>97</v>
      </c>
      <c r="D1017" s="91">
        <v>156</v>
      </c>
      <c r="E1017" s="269"/>
      <c r="F1017" s="268"/>
      <c r="G1017" s="91"/>
      <c r="H1017" s="91"/>
    </row>
    <row r="1018" spans="1:8" x14ac:dyDescent="0.25">
      <c r="A1018" s="91">
        <f t="shared" si="15"/>
        <v>280</v>
      </c>
      <c r="B1018" s="53" t="s">
        <v>2200</v>
      </c>
      <c r="C1018" s="91" t="s">
        <v>97</v>
      </c>
      <c r="D1018" s="91">
        <v>720</v>
      </c>
      <c r="E1018" s="269"/>
      <c r="F1018" s="268"/>
      <c r="G1018" s="91"/>
      <c r="H1018" s="91"/>
    </row>
    <row r="1019" spans="1:8" x14ac:dyDescent="0.25">
      <c r="A1019" s="91">
        <f t="shared" si="15"/>
        <v>280</v>
      </c>
      <c r="B1019" s="53" t="s">
        <v>2200</v>
      </c>
      <c r="C1019" s="91" t="s">
        <v>97</v>
      </c>
      <c r="D1019" s="91">
        <v>270</v>
      </c>
      <c r="E1019" s="269"/>
      <c r="F1019" s="268"/>
      <c r="G1019" s="91"/>
      <c r="H1019" s="91"/>
    </row>
    <row r="1020" spans="1:8" x14ac:dyDescent="0.25">
      <c r="A1020" s="91">
        <f t="shared" si="15"/>
        <v>281</v>
      </c>
      <c r="B1020" s="53" t="s">
        <v>2209</v>
      </c>
      <c r="C1020" s="91" t="s">
        <v>115</v>
      </c>
      <c r="D1020" s="91">
        <v>252</v>
      </c>
      <c r="E1020" s="269">
        <v>103.32</v>
      </c>
      <c r="F1020" s="268">
        <v>0.41</v>
      </c>
      <c r="G1020" s="91"/>
      <c r="H1020" s="91"/>
    </row>
    <row r="1021" spans="1:8" x14ac:dyDescent="0.25">
      <c r="A1021" s="91">
        <f t="shared" si="15"/>
        <v>282</v>
      </c>
      <c r="B1021" s="53" t="s">
        <v>2211</v>
      </c>
      <c r="C1021" s="91" t="s">
        <v>115</v>
      </c>
      <c r="D1021" s="91">
        <v>350</v>
      </c>
      <c r="E1021" s="269">
        <v>142.80000000000001</v>
      </c>
      <c r="F1021" s="268">
        <v>0.34</v>
      </c>
      <c r="G1021" s="91"/>
      <c r="H1021" s="91"/>
    </row>
    <row r="1022" spans="1:8" x14ac:dyDescent="0.25">
      <c r="A1022" s="91">
        <f t="shared" si="15"/>
        <v>282</v>
      </c>
      <c r="B1022" s="53" t="s">
        <v>2211</v>
      </c>
      <c r="C1022" s="91" t="s">
        <v>115</v>
      </c>
      <c r="D1022" s="91">
        <v>42</v>
      </c>
      <c r="E1022" s="269"/>
      <c r="F1022" s="268"/>
      <c r="G1022" s="91"/>
      <c r="H1022" s="91"/>
    </row>
    <row r="1023" spans="1:8" x14ac:dyDescent="0.25">
      <c r="A1023" s="91">
        <f t="shared" si="15"/>
        <v>282</v>
      </c>
      <c r="B1023" s="53" t="s">
        <v>2211</v>
      </c>
      <c r="C1023" s="91" t="s">
        <v>115</v>
      </c>
      <c r="D1023" s="91">
        <v>28</v>
      </c>
      <c r="E1023" s="269"/>
      <c r="F1023" s="268"/>
      <c r="G1023" s="91"/>
      <c r="H1023" s="91"/>
    </row>
    <row r="1024" spans="1:8" x14ac:dyDescent="0.25">
      <c r="A1024" s="91">
        <f t="shared" si="15"/>
        <v>283</v>
      </c>
      <c r="B1024" s="53" t="s">
        <v>2068</v>
      </c>
      <c r="C1024" s="91" t="s">
        <v>115</v>
      </c>
      <c r="D1024" s="91">
        <v>180</v>
      </c>
      <c r="E1024" s="269">
        <v>184.5</v>
      </c>
      <c r="F1024" s="268">
        <v>0.41</v>
      </c>
      <c r="G1024" s="91"/>
      <c r="H1024" s="91"/>
    </row>
    <row r="1025" spans="1:8" x14ac:dyDescent="0.25">
      <c r="A1025" s="91">
        <f t="shared" si="15"/>
        <v>283</v>
      </c>
      <c r="B1025" s="53" t="s">
        <v>2068</v>
      </c>
      <c r="C1025" s="91" t="s">
        <v>115</v>
      </c>
      <c r="D1025" s="91">
        <v>180</v>
      </c>
      <c r="E1025" s="269"/>
      <c r="F1025" s="268"/>
      <c r="G1025" s="91"/>
      <c r="H1025" s="91"/>
    </row>
    <row r="1026" spans="1:8" x14ac:dyDescent="0.25">
      <c r="A1026" s="91">
        <f t="shared" si="15"/>
        <v>283</v>
      </c>
      <c r="B1026" s="53" t="s">
        <v>2068</v>
      </c>
      <c r="C1026" s="91" t="s">
        <v>115</v>
      </c>
      <c r="D1026" s="91">
        <v>90</v>
      </c>
      <c r="E1026" s="269"/>
      <c r="F1026" s="268"/>
      <c r="G1026" s="91"/>
      <c r="H1026" s="91"/>
    </row>
    <row r="1027" spans="1:8" x14ac:dyDescent="0.25">
      <c r="A1027" s="91">
        <f t="shared" si="15"/>
        <v>284</v>
      </c>
      <c r="B1027" s="53" t="s">
        <v>2057</v>
      </c>
      <c r="C1027" s="91" t="s">
        <v>115</v>
      </c>
      <c r="D1027" s="91">
        <v>90</v>
      </c>
      <c r="E1027" s="269">
        <v>183.6</v>
      </c>
      <c r="F1027" s="268">
        <v>0.34</v>
      </c>
      <c r="G1027" s="91"/>
      <c r="H1027" s="91"/>
    </row>
    <row r="1028" spans="1:8" x14ac:dyDescent="0.25">
      <c r="A1028" s="91">
        <f t="shared" ref="A1028:A1091" si="16">IF(B1028=B1027,A1027,A1027+1)</f>
        <v>284</v>
      </c>
      <c r="B1028" s="53" t="s">
        <v>2057</v>
      </c>
      <c r="C1028" s="91" t="s">
        <v>115</v>
      </c>
      <c r="D1028" s="91">
        <v>180</v>
      </c>
      <c r="E1028" s="269"/>
      <c r="F1028" s="268"/>
      <c r="G1028" s="91"/>
      <c r="H1028" s="91"/>
    </row>
    <row r="1029" spans="1:8" x14ac:dyDescent="0.25">
      <c r="A1029" s="91">
        <f t="shared" si="16"/>
        <v>284</v>
      </c>
      <c r="B1029" s="53" t="s">
        <v>2057</v>
      </c>
      <c r="C1029" s="91" t="s">
        <v>115</v>
      </c>
      <c r="D1029" s="91">
        <v>90</v>
      </c>
      <c r="E1029" s="269"/>
      <c r="F1029" s="268"/>
      <c r="G1029" s="91"/>
      <c r="H1029" s="91"/>
    </row>
    <row r="1030" spans="1:8" x14ac:dyDescent="0.25">
      <c r="A1030" s="91">
        <f t="shared" si="16"/>
        <v>284</v>
      </c>
      <c r="B1030" s="53" t="s">
        <v>2057</v>
      </c>
      <c r="C1030" s="91" t="s">
        <v>115</v>
      </c>
      <c r="D1030" s="91">
        <v>180</v>
      </c>
      <c r="E1030" s="269"/>
      <c r="F1030" s="268"/>
      <c r="G1030" s="91"/>
      <c r="H1030" s="91"/>
    </row>
    <row r="1031" spans="1:8" x14ac:dyDescent="0.25">
      <c r="A1031" s="91">
        <f t="shared" si="16"/>
        <v>285</v>
      </c>
      <c r="B1031" s="53" t="s">
        <v>2050</v>
      </c>
      <c r="C1031" s="91" t="s">
        <v>97</v>
      </c>
      <c r="D1031" s="91">
        <v>80</v>
      </c>
      <c r="E1031" s="269">
        <v>767.2</v>
      </c>
      <c r="F1031" s="268">
        <v>0.34250000000000003</v>
      </c>
      <c r="G1031" s="91"/>
      <c r="H1031" s="91"/>
    </row>
    <row r="1032" spans="1:8" x14ac:dyDescent="0.25">
      <c r="A1032" s="91">
        <f t="shared" si="16"/>
        <v>285</v>
      </c>
      <c r="B1032" s="53" t="s">
        <v>2050</v>
      </c>
      <c r="C1032" s="91" t="s">
        <v>97</v>
      </c>
      <c r="D1032" s="91">
        <v>90</v>
      </c>
      <c r="E1032" s="269"/>
      <c r="F1032" s="268"/>
      <c r="G1032" s="91"/>
      <c r="H1032" s="91"/>
    </row>
    <row r="1033" spans="1:8" x14ac:dyDescent="0.25">
      <c r="A1033" s="91">
        <f t="shared" si="16"/>
        <v>285</v>
      </c>
      <c r="B1033" s="53" t="s">
        <v>2050</v>
      </c>
      <c r="C1033" s="91" t="s">
        <v>97</v>
      </c>
      <c r="D1033" s="91">
        <v>180</v>
      </c>
      <c r="E1033" s="269"/>
      <c r="F1033" s="268"/>
      <c r="G1033" s="91"/>
      <c r="H1033" s="91"/>
    </row>
    <row r="1034" spans="1:8" x14ac:dyDescent="0.25">
      <c r="A1034" s="91">
        <f t="shared" si="16"/>
        <v>285</v>
      </c>
      <c r="B1034" s="53" t="s">
        <v>2050</v>
      </c>
      <c r="C1034" s="91" t="s">
        <v>97</v>
      </c>
      <c r="D1034" s="91">
        <v>180</v>
      </c>
      <c r="E1034" s="269"/>
      <c r="F1034" s="268"/>
      <c r="G1034" s="91"/>
      <c r="H1034" s="91"/>
    </row>
    <row r="1035" spans="1:8" x14ac:dyDescent="0.25">
      <c r="A1035" s="91">
        <f t="shared" si="16"/>
        <v>285</v>
      </c>
      <c r="B1035" s="53" t="s">
        <v>2050</v>
      </c>
      <c r="C1035" s="91" t="s">
        <v>97</v>
      </c>
      <c r="D1035" s="91">
        <v>900</v>
      </c>
      <c r="E1035" s="269"/>
      <c r="F1035" s="268"/>
      <c r="G1035" s="91"/>
      <c r="H1035" s="91"/>
    </row>
    <row r="1036" spans="1:8" x14ac:dyDescent="0.25">
      <c r="A1036" s="91">
        <f t="shared" si="16"/>
        <v>285</v>
      </c>
      <c r="B1036" s="53" t="s">
        <v>2050</v>
      </c>
      <c r="C1036" s="91" t="s">
        <v>97</v>
      </c>
      <c r="D1036" s="91">
        <v>810</v>
      </c>
      <c r="E1036" s="269"/>
      <c r="F1036" s="268"/>
      <c r="G1036" s="91"/>
      <c r="H1036" s="91"/>
    </row>
    <row r="1037" spans="1:8" x14ac:dyDescent="0.25">
      <c r="A1037" s="91">
        <f t="shared" si="16"/>
        <v>286</v>
      </c>
      <c r="B1037" s="53" t="s">
        <v>2020</v>
      </c>
      <c r="C1037" s="91" t="s">
        <v>97</v>
      </c>
      <c r="D1037" s="91">
        <v>300</v>
      </c>
      <c r="E1037" s="269">
        <v>667</v>
      </c>
      <c r="F1037" s="268">
        <v>0.35105263157894701</v>
      </c>
      <c r="G1037" s="91"/>
      <c r="H1037" s="91"/>
    </row>
    <row r="1038" spans="1:8" x14ac:dyDescent="0.25">
      <c r="A1038" s="91">
        <f t="shared" si="16"/>
        <v>286</v>
      </c>
      <c r="B1038" s="53" t="s">
        <v>2020</v>
      </c>
      <c r="C1038" s="91" t="s">
        <v>97</v>
      </c>
      <c r="D1038" s="91">
        <v>1600</v>
      </c>
      <c r="E1038" s="269"/>
      <c r="F1038" s="268"/>
      <c r="G1038" s="91"/>
      <c r="H1038" s="91"/>
    </row>
    <row r="1039" spans="1:8" x14ac:dyDescent="0.25">
      <c r="A1039" s="91">
        <f t="shared" si="16"/>
        <v>287</v>
      </c>
      <c r="B1039" s="53" t="s">
        <v>2023</v>
      </c>
      <c r="C1039" s="91" t="s">
        <v>97</v>
      </c>
      <c r="D1039" s="91">
        <v>200</v>
      </c>
      <c r="E1039" s="269">
        <v>442.4</v>
      </c>
      <c r="F1039" s="268">
        <v>0.42538461538461497</v>
      </c>
      <c r="G1039" s="91"/>
      <c r="H1039" s="91"/>
    </row>
    <row r="1040" spans="1:8" x14ac:dyDescent="0.25">
      <c r="A1040" s="91">
        <f t="shared" si="16"/>
        <v>287</v>
      </c>
      <c r="B1040" s="53" t="s">
        <v>2023</v>
      </c>
      <c r="C1040" s="91" t="s">
        <v>97</v>
      </c>
      <c r="D1040" s="91">
        <v>180</v>
      </c>
      <c r="E1040" s="269"/>
      <c r="F1040" s="268"/>
      <c r="G1040" s="91"/>
      <c r="H1040" s="91"/>
    </row>
    <row r="1041" spans="1:8" x14ac:dyDescent="0.25">
      <c r="A1041" s="91">
        <f t="shared" si="16"/>
        <v>287</v>
      </c>
      <c r="B1041" s="53" t="s">
        <v>2023</v>
      </c>
      <c r="C1041" s="91" t="s">
        <v>97</v>
      </c>
      <c r="D1041" s="91">
        <v>300</v>
      </c>
      <c r="E1041" s="269"/>
      <c r="F1041" s="268"/>
      <c r="G1041" s="91"/>
      <c r="H1041" s="91"/>
    </row>
    <row r="1042" spans="1:8" x14ac:dyDescent="0.25">
      <c r="A1042" s="91">
        <f t="shared" si="16"/>
        <v>287</v>
      </c>
      <c r="B1042" s="53" t="s">
        <v>2023</v>
      </c>
      <c r="C1042" s="91" t="s">
        <v>97</v>
      </c>
      <c r="D1042" s="91">
        <v>210</v>
      </c>
      <c r="E1042" s="269"/>
      <c r="F1042" s="268"/>
      <c r="G1042" s="91"/>
      <c r="H1042" s="91"/>
    </row>
    <row r="1043" spans="1:8" x14ac:dyDescent="0.25">
      <c r="A1043" s="91">
        <f t="shared" si="16"/>
        <v>287</v>
      </c>
      <c r="B1043" s="53" t="s">
        <v>2023</v>
      </c>
      <c r="C1043" s="91" t="s">
        <v>97</v>
      </c>
      <c r="D1043" s="91">
        <v>150</v>
      </c>
      <c r="E1043" s="269"/>
      <c r="F1043" s="268"/>
      <c r="G1043" s="91"/>
      <c r="H1043" s="91"/>
    </row>
    <row r="1044" spans="1:8" x14ac:dyDescent="0.25">
      <c r="A1044" s="91">
        <f t="shared" si="16"/>
        <v>288</v>
      </c>
      <c r="B1044" s="53" t="s">
        <v>2030</v>
      </c>
      <c r="C1044" s="91" t="s">
        <v>97</v>
      </c>
      <c r="D1044" s="91">
        <v>810</v>
      </c>
      <c r="E1044" s="269">
        <v>332.1</v>
      </c>
      <c r="F1044" s="268">
        <v>0.41</v>
      </c>
      <c r="G1044" s="91"/>
      <c r="H1044" s="91"/>
    </row>
    <row r="1045" spans="1:8" x14ac:dyDescent="0.25">
      <c r="A1045" s="91">
        <f t="shared" si="16"/>
        <v>289</v>
      </c>
      <c r="B1045" s="53" t="s">
        <v>2039</v>
      </c>
      <c r="C1045" s="91" t="s">
        <v>97</v>
      </c>
      <c r="D1045" s="91">
        <v>600</v>
      </c>
      <c r="E1045" s="269">
        <v>882</v>
      </c>
      <c r="F1045" s="268">
        <v>0.49</v>
      </c>
      <c r="G1045" s="91"/>
      <c r="H1045" s="91"/>
    </row>
    <row r="1046" spans="1:8" x14ac:dyDescent="0.25">
      <c r="A1046" s="91">
        <f t="shared" si="16"/>
        <v>289</v>
      </c>
      <c r="B1046" s="53" t="s">
        <v>2039</v>
      </c>
      <c r="C1046" s="91" t="s">
        <v>97</v>
      </c>
      <c r="D1046" s="91">
        <v>1200</v>
      </c>
      <c r="E1046" s="269"/>
      <c r="F1046" s="268"/>
      <c r="G1046" s="91"/>
      <c r="H1046" s="91"/>
    </row>
    <row r="1047" spans="1:8" x14ac:dyDescent="0.25">
      <c r="A1047" s="91">
        <f t="shared" si="16"/>
        <v>290</v>
      </c>
      <c r="B1047" s="53" t="s">
        <v>2042</v>
      </c>
      <c r="C1047" s="91" t="s">
        <v>97</v>
      </c>
      <c r="D1047" s="91">
        <v>390</v>
      </c>
      <c r="E1047" s="269">
        <v>337.4</v>
      </c>
      <c r="F1047" s="268">
        <v>0.30396396396396402</v>
      </c>
      <c r="G1047" s="91"/>
      <c r="H1047" s="91"/>
    </row>
    <row r="1048" spans="1:8" x14ac:dyDescent="0.25">
      <c r="A1048" s="91">
        <f t="shared" si="16"/>
        <v>290</v>
      </c>
      <c r="B1048" s="53" t="s">
        <v>2042</v>
      </c>
      <c r="C1048" s="91" t="s">
        <v>97</v>
      </c>
      <c r="D1048" s="91">
        <v>360</v>
      </c>
      <c r="E1048" s="269"/>
      <c r="F1048" s="268"/>
      <c r="G1048" s="91"/>
      <c r="H1048" s="91"/>
    </row>
    <row r="1049" spans="1:8" x14ac:dyDescent="0.25">
      <c r="A1049" s="91">
        <f t="shared" si="16"/>
        <v>290</v>
      </c>
      <c r="B1049" s="53" t="s">
        <v>2042</v>
      </c>
      <c r="C1049" s="91" t="s">
        <v>97</v>
      </c>
      <c r="D1049" s="91">
        <v>360</v>
      </c>
      <c r="E1049" s="269"/>
      <c r="F1049" s="268"/>
      <c r="G1049" s="91"/>
      <c r="H1049" s="91"/>
    </row>
    <row r="1050" spans="1:8" x14ac:dyDescent="0.25">
      <c r="A1050" s="91">
        <f t="shared" si="16"/>
        <v>291</v>
      </c>
      <c r="B1050" s="53" t="s">
        <v>2046</v>
      </c>
      <c r="C1050" s="91" t="s">
        <v>97</v>
      </c>
      <c r="D1050" s="91">
        <v>90</v>
      </c>
      <c r="E1050" s="269">
        <v>81</v>
      </c>
      <c r="F1050" s="268">
        <v>0.18</v>
      </c>
      <c r="G1050" s="91"/>
      <c r="H1050" s="91"/>
    </row>
    <row r="1051" spans="1:8" x14ac:dyDescent="0.25">
      <c r="A1051" s="91">
        <f t="shared" si="16"/>
        <v>291</v>
      </c>
      <c r="B1051" s="53" t="s">
        <v>2046</v>
      </c>
      <c r="C1051" s="91" t="s">
        <v>97</v>
      </c>
      <c r="D1051" s="91">
        <v>180</v>
      </c>
      <c r="E1051" s="269"/>
      <c r="F1051" s="268"/>
      <c r="G1051" s="91"/>
      <c r="H1051" s="91"/>
    </row>
    <row r="1052" spans="1:8" x14ac:dyDescent="0.25">
      <c r="A1052" s="91">
        <f t="shared" si="16"/>
        <v>291</v>
      </c>
      <c r="B1052" s="53" t="s">
        <v>2046</v>
      </c>
      <c r="C1052" s="91" t="s">
        <v>97</v>
      </c>
      <c r="D1052" s="91">
        <v>180</v>
      </c>
      <c r="E1052" s="269"/>
      <c r="F1052" s="268"/>
      <c r="G1052" s="91"/>
      <c r="H1052" s="91"/>
    </row>
    <row r="1053" spans="1:8" x14ac:dyDescent="0.25">
      <c r="A1053" s="91">
        <f t="shared" si="16"/>
        <v>292</v>
      </c>
      <c r="B1053" s="53" t="s">
        <v>2216</v>
      </c>
      <c r="C1053" s="91" t="s">
        <v>97</v>
      </c>
      <c r="D1053" s="91">
        <v>180</v>
      </c>
      <c r="E1053" s="269">
        <v>341.04</v>
      </c>
      <c r="F1053" s="268">
        <v>0.49</v>
      </c>
      <c r="G1053" s="91"/>
      <c r="H1053" s="91"/>
    </row>
    <row r="1054" spans="1:8" x14ac:dyDescent="0.25">
      <c r="A1054" s="91">
        <f t="shared" si="16"/>
        <v>292</v>
      </c>
      <c r="B1054" s="53" t="s">
        <v>2216</v>
      </c>
      <c r="C1054" s="91" t="s">
        <v>97</v>
      </c>
      <c r="D1054" s="91">
        <v>516</v>
      </c>
      <c r="E1054" s="269"/>
      <c r="F1054" s="268"/>
      <c r="G1054" s="91"/>
      <c r="H1054" s="91"/>
    </row>
    <row r="1055" spans="1:8" x14ac:dyDescent="0.25">
      <c r="A1055" s="91">
        <f t="shared" si="16"/>
        <v>293</v>
      </c>
      <c r="B1055" s="53" t="s">
        <v>2219</v>
      </c>
      <c r="C1055" s="91" t="s">
        <v>97</v>
      </c>
      <c r="D1055" s="91">
        <v>552</v>
      </c>
      <c r="E1055" s="269">
        <v>270.48</v>
      </c>
      <c r="F1055" s="268">
        <v>0.49</v>
      </c>
      <c r="G1055" s="91"/>
      <c r="H1055" s="91"/>
    </row>
    <row r="1056" spans="1:8" x14ac:dyDescent="0.25">
      <c r="A1056" s="91">
        <f t="shared" si="16"/>
        <v>294</v>
      </c>
      <c r="B1056" s="53" t="s">
        <v>2221</v>
      </c>
      <c r="C1056" s="91" t="s">
        <v>97</v>
      </c>
      <c r="D1056" s="91">
        <v>800</v>
      </c>
      <c r="E1056" s="269">
        <v>328</v>
      </c>
      <c r="F1056" s="268">
        <v>0.41</v>
      </c>
      <c r="G1056" s="91"/>
      <c r="H1056" s="91"/>
    </row>
    <row r="1057" spans="1:8" x14ac:dyDescent="0.25">
      <c r="A1057" s="91">
        <f t="shared" si="16"/>
        <v>295</v>
      </c>
      <c r="B1057" s="53" t="s">
        <v>2224</v>
      </c>
      <c r="C1057" s="91" t="s">
        <v>97</v>
      </c>
      <c r="D1057" s="91">
        <v>280</v>
      </c>
      <c r="E1057" s="269">
        <v>386.8</v>
      </c>
      <c r="F1057" s="268">
        <v>0.35814814814814799</v>
      </c>
      <c r="G1057" s="91"/>
      <c r="H1057" s="91"/>
    </row>
    <row r="1058" spans="1:8" x14ac:dyDescent="0.25">
      <c r="A1058" s="91">
        <f t="shared" si="16"/>
        <v>295</v>
      </c>
      <c r="B1058" s="53" t="s">
        <v>2224</v>
      </c>
      <c r="C1058" s="91" t="s">
        <v>97</v>
      </c>
      <c r="D1058" s="91">
        <v>800</v>
      </c>
      <c r="E1058" s="269"/>
      <c r="F1058" s="268"/>
      <c r="G1058" s="91"/>
      <c r="H1058" s="91"/>
    </row>
    <row r="1059" spans="1:8" x14ac:dyDescent="0.25">
      <c r="A1059" s="91">
        <f t="shared" si="16"/>
        <v>296</v>
      </c>
      <c r="B1059" s="53" t="s">
        <v>2227</v>
      </c>
      <c r="C1059" s="91" t="s">
        <v>97</v>
      </c>
      <c r="D1059" s="91">
        <v>1200</v>
      </c>
      <c r="E1059" s="269">
        <v>2829</v>
      </c>
      <c r="F1059" s="268">
        <v>0.41</v>
      </c>
      <c r="G1059" s="91"/>
      <c r="H1059" s="91"/>
    </row>
    <row r="1060" spans="1:8" x14ac:dyDescent="0.25">
      <c r="A1060" s="91">
        <f t="shared" si="16"/>
        <v>296</v>
      </c>
      <c r="B1060" s="53" t="s">
        <v>2227</v>
      </c>
      <c r="C1060" s="91" t="s">
        <v>97</v>
      </c>
      <c r="D1060" s="91">
        <v>600</v>
      </c>
      <c r="E1060" s="269"/>
      <c r="F1060" s="268"/>
      <c r="G1060" s="91"/>
      <c r="H1060" s="91"/>
    </row>
    <row r="1061" spans="1:8" x14ac:dyDescent="0.25">
      <c r="A1061" s="91">
        <f t="shared" si="16"/>
        <v>296</v>
      </c>
      <c r="B1061" s="53" t="s">
        <v>2227</v>
      </c>
      <c r="C1061" s="91" t="s">
        <v>97</v>
      </c>
      <c r="D1061" s="91">
        <v>600</v>
      </c>
      <c r="E1061" s="269"/>
      <c r="F1061" s="268"/>
      <c r="G1061" s="91"/>
      <c r="H1061" s="91"/>
    </row>
    <row r="1062" spans="1:8" x14ac:dyDescent="0.25">
      <c r="A1062" s="91">
        <f t="shared" si="16"/>
        <v>296</v>
      </c>
      <c r="B1062" s="53" t="s">
        <v>2227</v>
      </c>
      <c r="C1062" s="91" t="s">
        <v>97</v>
      </c>
      <c r="D1062" s="91">
        <v>300</v>
      </c>
      <c r="E1062" s="269"/>
      <c r="F1062" s="268"/>
      <c r="G1062" s="91"/>
      <c r="H1062" s="91"/>
    </row>
    <row r="1063" spans="1:8" x14ac:dyDescent="0.25">
      <c r="A1063" s="91">
        <f t="shared" si="16"/>
        <v>296</v>
      </c>
      <c r="B1063" s="53" t="s">
        <v>2227</v>
      </c>
      <c r="C1063" s="91" t="s">
        <v>97</v>
      </c>
      <c r="D1063" s="91">
        <v>480</v>
      </c>
      <c r="E1063" s="269"/>
      <c r="F1063" s="268"/>
      <c r="G1063" s="91"/>
      <c r="H1063" s="91"/>
    </row>
    <row r="1064" spans="1:8" x14ac:dyDescent="0.25">
      <c r="A1064" s="91">
        <f t="shared" si="16"/>
        <v>296</v>
      </c>
      <c r="B1064" s="53" t="s">
        <v>2227</v>
      </c>
      <c r="C1064" s="91" t="s">
        <v>97</v>
      </c>
      <c r="D1064" s="91">
        <v>150</v>
      </c>
      <c r="E1064" s="269"/>
      <c r="F1064" s="268"/>
      <c r="G1064" s="91"/>
      <c r="H1064" s="91"/>
    </row>
    <row r="1065" spans="1:8" x14ac:dyDescent="0.25">
      <c r="A1065" s="91">
        <f t="shared" si="16"/>
        <v>296</v>
      </c>
      <c r="B1065" s="53" t="s">
        <v>2227</v>
      </c>
      <c r="C1065" s="91" t="s">
        <v>97</v>
      </c>
      <c r="D1065" s="91">
        <v>480</v>
      </c>
      <c r="E1065" s="269"/>
      <c r="F1065" s="268"/>
      <c r="G1065" s="91"/>
      <c r="H1065" s="91"/>
    </row>
    <row r="1066" spans="1:8" x14ac:dyDescent="0.25">
      <c r="A1066" s="91">
        <f t="shared" si="16"/>
        <v>296</v>
      </c>
      <c r="B1066" s="53" t="s">
        <v>2227</v>
      </c>
      <c r="C1066" s="91" t="s">
        <v>97</v>
      </c>
      <c r="D1066" s="91">
        <v>480</v>
      </c>
      <c r="E1066" s="269"/>
      <c r="F1066" s="268"/>
      <c r="G1066" s="91"/>
      <c r="H1066" s="91"/>
    </row>
    <row r="1067" spans="1:8" x14ac:dyDescent="0.25">
      <c r="A1067" s="91">
        <f t="shared" si="16"/>
        <v>296</v>
      </c>
      <c r="B1067" s="53" t="s">
        <v>2227</v>
      </c>
      <c r="C1067" s="91" t="s">
        <v>97</v>
      </c>
      <c r="D1067" s="91">
        <v>600</v>
      </c>
      <c r="E1067" s="269"/>
      <c r="F1067" s="268"/>
      <c r="G1067" s="91"/>
      <c r="H1067" s="91"/>
    </row>
    <row r="1068" spans="1:8" x14ac:dyDescent="0.25">
      <c r="A1068" s="91">
        <f t="shared" si="16"/>
        <v>296</v>
      </c>
      <c r="B1068" s="53" t="s">
        <v>2227</v>
      </c>
      <c r="C1068" s="91" t="s">
        <v>97</v>
      </c>
      <c r="D1068" s="91">
        <v>330</v>
      </c>
      <c r="E1068" s="269"/>
      <c r="F1068" s="268"/>
      <c r="G1068" s="91"/>
      <c r="H1068" s="91"/>
    </row>
    <row r="1069" spans="1:8" x14ac:dyDescent="0.25">
      <c r="A1069" s="91">
        <f t="shared" si="16"/>
        <v>296</v>
      </c>
      <c r="B1069" s="53" t="s">
        <v>2227</v>
      </c>
      <c r="C1069" s="91" t="s">
        <v>97</v>
      </c>
      <c r="D1069" s="91">
        <v>300</v>
      </c>
      <c r="E1069" s="269"/>
      <c r="F1069" s="268"/>
      <c r="G1069" s="91"/>
      <c r="H1069" s="91"/>
    </row>
    <row r="1070" spans="1:8" x14ac:dyDescent="0.25">
      <c r="A1070" s="91">
        <f t="shared" si="16"/>
        <v>296</v>
      </c>
      <c r="B1070" s="53" t="s">
        <v>2227</v>
      </c>
      <c r="C1070" s="91" t="s">
        <v>97</v>
      </c>
      <c r="D1070" s="91">
        <v>990</v>
      </c>
      <c r="E1070" s="269"/>
      <c r="F1070" s="268"/>
      <c r="G1070" s="91"/>
      <c r="H1070" s="91"/>
    </row>
    <row r="1071" spans="1:8" x14ac:dyDescent="0.25">
      <c r="A1071" s="91">
        <f t="shared" si="16"/>
        <v>296</v>
      </c>
      <c r="B1071" s="53" t="s">
        <v>2227</v>
      </c>
      <c r="C1071" s="91" t="s">
        <v>97</v>
      </c>
      <c r="D1071" s="91">
        <v>390</v>
      </c>
      <c r="E1071" s="269"/>
      <c r="F1071" s="268"/>
      <c r="G1071" s="91"/>
      <c r="H1071" s="91"/>
    </row>
    <row r="1072" spans="1:8" x14ac:dyDescent="0.25">
      <c r="A1072" s="91">
        <f t="shared" si="16"/>
        <v>297</v>
      </c>
      <c r="B1072" s="53" t="s">
        <v>2250</v>
      </c>
      <c r="C1072" s="91" t="s">
        <v>97</v>
      </c>
      <c r="D1072" s="91">
        <v>810</v>
      </c>
      <c r="E1072" s="269">
        <v>332.1</v>
      </c>
      <c r="F1072" s="268">
        <v>0.41</v>
      </c>
      <c r="G1072" s="91"/>
      <c r="H1072" s="91"/>
    </row>
    <row r="1073" spans="1:8" x14ac:dyDescent="0.25">
      <c r="A1073" s="91">
        <f t="shared" si="16"/>
        <v>298</v>
      </c>
      <c r="B1073" s="53" t="s">
        <v>2253</v>
      </c>
      <c r="C1073" s="91" t="s">
        <v>287</v>
      </c>
      <c r="D1073" s="91">
        <v>640</v>
      </c>
      <c r="E1073" s="269">
        <v>313.60000000000002</v>
      </c>
      <c r="F1073" s="268">
        <v>0.49</v>
      </c>
      <c r="G1073" s="91"/>
      <c r="H1073" s="91"/>
    </row>
    <row r="1074" spans="1:8" x14ac:dyDescent="0.25">
      <c r="A1074" s="91">
        <f t="shared" si="16"/>
        <v>299</v>
      </c>
      <c r="B1074" s="53" t="s">
        <v>2262</v>
      </c>
      <c r="C1074" s="91" t="s">
        <v>97</v>
      </c>
      <c r="D1074" s="91">
        <v>480</v>
      </c>
      <c r="E1074" s="269">
        <v>356.7</v>
      </c>
      <c r="F1074" s="268">
        <v>0.41</v>
      </c>
      <c r="G1074" s="91"/>
      <c r="H1074" s="91"/>
    </row>
    <row r="1075" spans="1:8" x14ac:dyDescent="0.25">
      <c r="A1075" s="91">
        <f t="shared" si="16"/>
        <v>299</v>
      </c>
      <c r="B1075" s="53" t="s">
        <v>2262</v>
      </c>
      <c r="C1075" s="91" t="s">
        <v>97</v>
      </c>
      <c r="D1075" s="91">
        <v>390</v>
      </c>
      <c r="E1075" s="269"/>
      <c r="F1075" s="268"/>
      <c r="G1075" s="91"/>
      <c r="H1075" s="91"/>
    </row>
    <row r="1076" spans="1:8" x14ac:dyDescent="0.25">
      <c r="A1076" s="91">
        <f t="shared" si="16"/>
        <v>300</v>
      </c>
      <c r="B1076" s="53" t="s">
        <v>2266</v>
      </c>
      <c r="C1076" s="91" t="s">
        <v>97</v>
      </c>
      <c r="D1076" s="91">
        <v>140</v>
      </c>
      <c r="E1076" s="269">
        <v>57.4</v>
      </c>
      <c r="F1076" s="268">
        <v>0.41</v>
      </c>
      <c r="G1076" s="91"/>
      <c r="H1076" s="91"/>
    </row>
    <row r="1077" spans="1:8" x14ac:dyDescent="0.25">
      <c r="A1077" s="91">
        <f t="shared" si="16"/>
        <v>301</v>
      </c>
      <c r="B1077" s="53" t="s">
        <v>2268</v>
      </c>
      <c r="C1077" s="91" t="s">
        <v>115</v>
      </c>
      <c r="D1077" s="91">
        <v>128</v>
      </c>
      <c r="E1077" s="269">
        <v>111.92</v>
      </c>
      <c r="F1077" s="268">
        <v>0.451290322580645</v>
      </c>
      <c r="G1077" s="91"/>
      <c r="H1077" s="91"/>
    </row>
    <row r="1078" spans="1:8" x14ac:dyDescent="0.25">
      <c r="A1078" s="91">
        <f t="shared" si="16"/>
        <v>301</v>
      </c>
      <c r="B1078" s="53" t="s">
        <v>2268</v>
      </c>
      <c r="C1078" s="91" t="s">
        <v>115</v>
      </c>
      <c r="D1078" s="91">
        <v>120</v>
      </c>
      <c r="E1078" s="269"/>
      <c r="F1078" s="268"/>
      <c r="G1078" s="91"/>
      <c r="H1078" s="91"/>
    </row>
    <row r="1079" spans="1:8" x14ac:dyDescent="0.25">
      <c r="A1079" s="91">
        <f t="shared" si="16"/>
        <v>302</v>
      </c>
      <c r="B1079" s="53" t="s">
        <v>2288</v>
      </c>
      <c r="C1079" s="91" t="s">
        <v>97</v>
      </c>
      <c r="D1079" s="91">
        <v>300</v>
      </c>
      <c r="E1079" s="269">
        <v>444.36</v>
      </c>
      <c r="F1079" s="268">
        <v>0.42079545454545503</v>
      </c>
      <c r="G1079" s="91"/>
      <c r="H1079" s="91"/>
    </row>
    <row r="1080" spans="1:8" x14ac:dyDescent="0.25">
      <c r="A1080" s="91">
        <f t="shared" si="16"/>
        <v>302</v>
      </c>
      <c r="B1080" s="53" t="s">
        <v>2288</v>
      </c>
      <c r="C1080" s="91" t="s">
        <v>97</v>
      </c>
      <c r="D1080" s="91">
        <v>576</v>
      </c>
      <c r="E1080" s="269"/>
      <c r="F1080" s="268"/>
      <c r="G1080" s="91"/>
      <c r="H1080" s="91"/>
    </row>
    <row r="1081" spans="1:8" x14ac:dyDescent="0.25">
      <c r="A1081" s="91">
        <f t="shared" si="16"/>
        <v>302</v>
      </c>
      <c r="B1081" s="53" t="s">
        <v>2288</v>
      </c>
      <c r="C1081" s="91" t="s">
        <v>97</v>
      </c>
      <c r="D1081" s="91">
        <v>180</v>
      </c>
      <c r="E1081" s="269"/>
      <c r="F1081" s="268"/>
      <c r="G1081" s="91"/>
      <c r="H1081" s="91"/>
    </row>
    <row r="1082" spans="1:8" x14ac:dyDescent="0.25">
      <c r="A1082" s="91">
        <f t="shared" si="16"/>
        <v>303</v>
      </c>
      <c r="B1082" s="53" t="s">
        <v>2292</v>
      </c>
      <c r="C1082" s="91" t="s">
        <v>97</v>
      </c>
      <c r="D1082" s="91">
        <v>168</v>
      </c>
      <c r="E1082" s="269">
        <v>82.32</v>
      </c>
      <c r="F1082" s="268">
        <v>0.49</v>
      </c>
      <c r="G1082" s="91"/>
      <c r="H1082" s="91"/>
    </row>
    <row r="1083" spans="1:8" x14ac:dyDescent="0.25">
      <c r="A1083" s="91">
        <f t="shared" si="16"/>
        <v>304</v>
      </c>
      <c r="B1083" s="53" t="s">
        <v>2294</v>
      </c>
      <c r="C1083" s="91" t="s">
        <v>115</v>
      </c>
      <c r="D1083" s="91">
        <v>384</v>
      </c>
      <c r="E1083" s="269">
        <v>174.08</v>
      </c>
      <c r="F1083" s="268">
        <v>0.34</v>
      </c>
      <c r="G1083" s="91"/>
      <c r="H1083" s="91"/>
    </row>
    <row r="1084" spans="1:8" x14ac:dyDescent="0.25">
      <c r="A1084" s="91">
        <f t="shared" si="16"/>
        <v>304</v>
      </c>
      <c r="B1084" s="53" t="s">
        <v>2294</v>
      </c>
      <c r="C1084" s="91" t="s">
        <v>115</v>
      </c>
      <c r="D1084" s="91">
        <v>128</v>
      </c>
      <c r="E1084" s="269"/>
      <c r="F1084" s="268"/>
      <c r="G1084" s="91"/>
      <c r="H1084" s="91"/>
    </row>
    <row r="1085" spans="1:8" x14ac:dyDescent="0.25">
      <c r="A1085" s="91">
        <f t="shared" si="16"/>
        <v>305</v>
      </c>
      <c r="B1085" s="53" t="s">
        <v>2299</v>
      </c>
      <c r="C1085" s="91" t="s">
        <v>115</v>
      </c>
      <c r="D1085" s="91">
        <v>90</v>
      </c>
      <c r="E1085" s="269">
        <v>122.4</v>
      </c>
      <c r="F1085" s="268">
        <v>0.34</v>
      </c>
      <c r="G1085" s="91"/>
      <c r="H1085" s="91"/>
    </row>
    <row r="1086" spans="1:8" x14ac:dyDescent="0.25">
      <c r="A1086" s="91">
        <f t="shared" si="16"/>
        <v>305</v>
      </c>
      <c r="B1086" s="53" t="s">
        <v>2299</v>
      </c>
      <c r="C1086" s="91" t="s">
        <v>115</v>
      </c>
      <c r="D1086" s="91">
        <v>90</v>
      </c>
      <c r="E1086" s="269"/>
      <c r="F1086" s="268"/>
      <c r="G1086" s="91"/>
      <c r="H1086" s="91"/>
    </row>
    <row r="1087" spans="1:8" x14ac:dyDescent="0.25">
      <c r="A1087" s="91">
        <f t="shared" si="16"/>
        <v>305</v>
      </c>
      <c r="B1087" s="53" t="s">
        <v>2299</v>
      </c>
      <c r="C1087" s="91" t="s">
        <v>115</v>
      </c>
      <c r="D1087" s="91">
        <v>90</v>
      </c>
      <c r="E1087" s="269"/>
      <c r="F1087" s="268"/>
      <c r="G1087" s="91"/>
      <c r="H1087" s="91"/>
    </row>
    <row r="1088" spans="1:8" x14ac:dyDescent="0.25">
      <c r="A1088" s="91">
        <f t="shared" si="16"/>
        <v>305</v>
      </c>
      <c r="B1088" s="53" t="s">
        <v>2299</v>
      </c>
      <c r="C1088" s="91" t="s">
        <v>115</v>
      </c>
      <c r="D1088" s="91">
        <v>90</v>
      </c>
      <c r="E1088" s="269"/>
      <c r="F1088" s="268"/>
      <c r="G1088" s="91"/>
      <c r="H1088" s="91"/>
    </row>
    <row r="1089" spans="1:8" x14ac:dyDescent="0.25">
      <c r="A1089" s="91">
        <f t="shared" si="16"/>
        <v>306</v>
      </c>
      <c r="B1089" s="53" t="s">
        <v>2304</v>
      </c>
      <c r="C1089" s="91" t="s">
        <v>97</v>
      </c>
      <c r="D1089" s="91">
        <v>312</v>
      </c>
      <c r="E1089" s="269">
        <v>106.08</v>
      </c>
      <c r="F1089" s="268">
        <v>0.34</v>
      </c>
      <c r="G1089" s="91"/>
      <c r="H1089" s="91"/>
    </row>
    <row r="1090" spans="1:8" x14ac:dyDescent="0.25">
      <c r="A1090" s="91">
        <f t="shared" si="16"/>
        <v>307</v>
      </c>
      <c r="B1090" s="53" t="s">
        <v>2306</v>
      </c>
      <c r="C1090" s="91" t="s">
        <v>97</v>
      </c>
      <c r="D1090" s="91">
        <v>90</v>
      </c>
      <c r="E1090" s="269">
        <v>336.6</v>
      </c>
      <c r="F1090" s="268">
        <v>0.34</v>
      </c>
      <c r="G1090" s="91"/>
      <c r="H1090" s="91"/>
    </row>
    <row r="1091" spans="1:8" x14ac:dyDescent="0.25">
      <c r="A1091" s="91">
        <f t="shared" si="16"/>
        <v>307</v>
      </c>
      <c r="B1091" s="53" t="s">
        <v>2306</v>
      </c>
      <c r="C1091" s="91" t="s">
        <v>97</v>
      </c>
      <c r="D1091" s="91">
        <v>90</v>
      </c>
      <c r="E1091" s="269">
        <v>336.6</v>
      </c>
      <c r="F1091" s="268">
        <v>0.34</v>
      </c>
      <c r="G1091" s="91"/>
      <c r="H1091" s="91"/>
    </row>
    <row r="1092" spans="1:8" x14ac:dyDescent="0.25">
      <c r="A1092" s="91">
        <f t="shared" ref="A1092:A1155" si="17">IF(B1092=B1091,A1091,A1091+1)</f>
        <v>307</v>
      </c>
      <c r="B1092" s="53" t="s">
        <v>2306</v>
      </c>
      <c r="C1092" s="91" t="s">
        <v>97</v>
      </c>
      <c r="D1092" s="91">
        <v>720</v>
      </c>
      <c r="E1092" s="269"/>
      <c r="F1092" s="268"/>
      <c r="G1092" s="91"/>
      <c r="H1092" s="91"/>
    </row>
    <row r="1093" spans="1:8" x14ac:dyDescent="0.25">
      <c r="A1093" s="91">
        <f t="shared" si="17"/>
        <v>307</v>
      </c>
      <c r="B1093" s="53" t="s">
        <v>2306</v>
      </c>
      <c r="C1093" s="91" t="s">
        <v>97</v>
      </c>
      <c r="D1093" s="91">
        <v>90</v>
      </c>
      <c r="E1093" s="269"/>
      <c r="F1093" s="268"/>
      <c r="G1093" s="91"/>
      <c r="H1093" s="91"/>
    </row>
    <row r="1094" spans="1:8" x14ac:dyDescent="0.25">
      <c r="A1094" s="91">
        <f t="shared" si="17"/>
        <v>308</v>
      </c>
      <c r="B1094" s="53" t="s">
        <v>2320</v>
      </c>
      <c r="C1094" s="91" t="s">
        <v>97</v>
      </c>
      <c r="D1094" s="91">
        <v>540</v>
      </c>
      <c r="E1094" s="269">
        <v>713.4</v>
      </c>
      <c r="F1094" s="268">
        <v>0.41</v>
      </c>
      <c r="G1094" s="91"/>
      <c r="H1094" s="91"/>
    </row>
    <row r="1095" spans="1:8" x14ac:dyDescent="0.25">
      <c r="A1095" s="91">
        <f t="shared" si="17"/>
        <v>308</v>
      </c>
      <c r="B1095" s="53" t="s">
        <v>2320</v>
      </c>
      <c r="C1095" s="91" t="s">
        <v>97</v>
      </c>
      <c r="D1095" s="91">
        <v>1200</v>
      </c>
      <c r="E1095" s="269"/>
      <c r="F1095" s="268"/>
      <c r="G1095" s="91"/>
      <c r="H1095" s="91"/>
    </row>
    <row r="1096" spans="1:8" x14ac:dyDescent="0.25">
      <c r="A1096" s="91">
        <f t="shared" si="17"/>
        <v>309</v>
      </c>
      <c r="B1096" s="53" t="s">
        <v>2324</v>
      </c>
      <c r="C1096" s="91" t="s">
        <v>115</v>
      </c>
      <c r="D1096" s="91">
        <v>390</v>
      </c>
      <c r="E1096" s="269">
        <v>987.9</v>
      </c>
      <c r="F1096" s="268">
        <v>0.45109589041095899</v>
      </c>
      <c r="G1096" s="91"/>
      <c r="H1096" s="91"/>
    </row>
    <row r="1097" spans="1:8" x14ac:dyDescent="0.25">
      <c r="A1097" s="91">
        <f t="shared" si="17"/>
        <v>309</v>
      </c>
      <c r="B1097" s="53" t="s">
        <v>2324</v>
      </c>
      <c r="C1097" s="91" t="s">
        <v>115</v>
      </c>
      <c r="D1097" s="91">
        <v>1170</v>
      </c>
      <c r="E1097" s="269"/>
      <c r="F1097" s="268"/>
      <c r="G1097" s="91"/>
      <c r="H1097" s="91"/>
    </row>
    <row r="1098" spans="1:8" x14ac:dyDescent="0.25">
      <c r="A1098" s="91">
        <f t="shared" si="17"/>
        <v>309</v>
      </c>
      <c r="B1098" s="53" t="s">
        <v>2324</v>
      </c>
      <c r="C1098" s="91" t="s">
        <v>115</v>
      </c>
      <c r="D1098" s="91">
        <v>180</v>
      </c>
      <c r="E1098" s="269"/>
      <c r="F1098" s="268"/>
      <c r="G1098" s="91"/>
      <c r="H1098" s="91"/>
    </row>
    <row r="1099" spans="1:8" x14ac:dyDescent="0.25">
      <c r="A1099" s="91">
        <f t="shared" si="17"/>
        <v>309</v>
      </c>
      <c r="B1099" s="53" t="s">
        <v>2324</v>
      </c>
      <c r="C1099" s="91" t="s">
        <v>115</v>
      </c>
      <c r="D1099" s="91">
        <v>240</v>
      </c>
      <c r="E1099" s="269"/>
      <c r="F1099" s="268"/>
      <c r="G1099" s="91"/>
      <c r="H1099" s="91"/>
    </row>
    <row r="1100" spans="1:8" x14ac:dyDescent="0.25">
      <c r="A1100" s="91">
        <f t="shared" si="17"/>
        <v>309</v>
      </c>
      <c r="B1100" s="53" t="s">
        <v>2324</v>
      </c>
      <c r="C1100" s="91" t="s">
        <v>115</v>
      </c>
      <c r="D1100" s="91">
        <v>210</v>
      </c>
      <c r="E1100" s="269"/>
      <c r="F1100" s="268"/>
      <c r="G1100" s="91"/>
      <c r="H1100" s="91"/>
    </row>
    <row r="1101" spans="1:8" x14ac:dyDescent="0.25">
      <c r="A1101" s="91">
        <f t="shared" si="17"/>
        <v>310</v>
      </c>
      <c r="B1101" s="53" t="s">
        <v>2330</v>
      </c>
      <c r="C1101" s="91" t="s">
        <v>2331</v>
      </c>
      <c r="D1101" s="91">
        <v>60</v>
      </c>
      <c r="E1101" s="269">
        <v>24.6</v>
      </c>
      <c r="F1101" s="268">
        <v>0.41</v>
      </c>
      <c r="G1101" s="91"/>
      <c r="H1101" s="91"/>
    </row>
    <row r="1102" spans="1:8" x14ac:dyDescent="0.25">
      <c r="A1102" s="91">
        <f t="shared" si="17"/>
        <v>311</v>
      </c>
      <c r="B1102" s="53" t="s">
        <v>2337</v>
      </c>
      <c r="C1102" s="91" t="s">
        <v>97</v>
      </c>
      <c r="D1102" s="91">
        <v>300</v>
      </c>
      <c r="E1102" s="269">
        <v>442.8</v>
      </c>
      <c r="F1102" s="268">
        <v>0.41</v>
      </c>
      <c r="G1102" s="91"/>
      <c r="H1102" s="91"/>
    </row>
    <row r="1103" spans="1:8" x14ac:dyDescent="0.25">
      <c r="A1103" s="91">
        <f t="shared" si="17"/>
        <v>311</v>
      </c>
      <c r="B1103" s="53" t="s">
        <v>2337</v>
      </c>
      <c r="C1103" s="91" t="s">
        <v>97</v>
      </c>
      <c r="D1103" s="91">
        <v>300</v>
      </c>
      <c r="E1103" s="269"/>
      <c r="F1103" s="268"/>
      <c r="G1103" s="91"/>
      <c r="H1103" s="91"/>
    </row>
    <row r="1104" spans="1:8" x14ac:dyDescent="0.25">
      <c r="A1104" s="91">
        <f t="shared" si="17"/>
        <v>311</v>
      </c>
      <c r="B1104" s="53" t="s">
        <v>2337</v>
      </c>
      <c r="C1104" s="91" t="s">
        <v>97</v>
      </c>
      <c r="D1104" s="91">
        <v>300</v>
      </c>
      <c r="E1104" s="269"/>
      <c r="F1104" s="268"/>
      <c r="G1104" s="91"/>
      <c r="H1104" s="91"/>
    </row>
    <row r="1105" spans="1:8" x14ac:dyDescent="0.25">
      <c r="A1105" s="91">
        <f t="shared" si="17"/>
        <v>311</v>
      </c>
      <c r="B1105" s="53" t="s">
        <v>2337</v>
      </c>
      <c r="C1105" s="91" t="s">
        <v>97</v>
      </c>
      <c r="D1105" s="91">
        <v>180</v>
      </c>
      <c r="E1105" s="269"/>
      <c r="F1105" s="268"/>
      <c r="G1105" s="91"/>
      <c r="H1105" s="91"/>
    </row>
    <row r="1106" spans="1:8" x14ac:dyDescent="0.25">
      <c r="A1106" s="91">
        <f t="shared" si="17"/>
        <v>312</v>
      </c>
      <c r="B1106" s="53" t="s">
        <v>2344</v>
      </c>
      <c r="C1106" s="91" t="s">
        <v>97</v>
      </c>
      <c r="D1106" s="91">
        <v>600</v>
      </c>
      <c r="E1106" s="269">
        <v>442.8</v>
      </c>
      <c r="F1106" s="268">
        <v>0.41</v>
      </c>
      <c r="G1106" s="91"/>
      <c r="H1106" s="91"/>
    </row>
    <row r="1107" spans="1:8" x14ac:dyDescent="0.25">
      <c r="A1107" s="91">
        <f t="shared" si="17"/>
        <v>312</v>
      </c>
      <c r="B1107" s="53" t="s">
        <v>2344</v>
      </c>
      <c r="C1107" s="91" t="s">
        <v>97</v>
      </c>
      <c r="D1107" s="91">
        <v>480</v>
      </c>
      <c r="E1107" s="269"/>
      <c r="F1107" s="268"/>
      <c r="G1107" s="91"/>
      <c r="H1107" s="91"/>
    </row>
    <row r="1108" spans="1:8" x14ac:dyDescent="0.25">
      <c r="A1108" s="91">
        <f t="shared" si="17"/>
        <v>313</v>
      </c>
      <c r="B1108" s="53" t="s">
        <v>2347</v>
      </c>
      <c r="C1108" s="91" t="s">
        <v>115</v>
      </c>
      <c r="D1108" s="91">
        <v>400</v>
      </c>
      <c r="E1108" s="269">
        <v>272</v>
      </c>
      <c r="F1108" s="268">
        <v>0.34</v>
      </c>
      <c r="G1108" s="91"/>
      <c r="H1108" s="91"/>
    </row>
    <row r="1109" spans="1:8" x14ac:dyDescent="0.25">
      <c r="A1109" s="91">
        <f t="shared" si="17"/>
        <v>313</v>
      </c>
      <c r="B1109" s="53" t="s">
        <v>2347</v>
      </c>
      <c r="C1109" s="91" t="s">
        <v>115</v>
      </c>
      <c r="D1109" s="91">
        <v>400</v>
      </c>
      <c r="E1109" s="269"/>
      <c r="F1109" s="268"/>
      <c r="G1109" s="91"/>
      <c r="H1109" s="91"/>
    </row>
    <row r="1110" spans="1:8" x14ac:dyDescent="0.25">
      <c r="A1110" s="91">
        <f t="shared" si="17"/>
        <v>314</v>
      </c>
      <c r="B1110" s="53" t="s">
        <v>2350</v>
      </c>
      <c r="C1110" s="91" t="s">
        <v>97</v>
      </c>
      <c r="D1110" s="91">
        <v>160</v>
      </c>
      <c r="E1110" s="269">
        <v>428.56</v>
      </c>
      <c r="F1110" s="268">
        <v>0.39828996282527901</v>
      </c>
      <c r="G1110" s="91"/>
      <c r="H1110" s="91"/>
    </row>
    <row r="1111" spans="1:8" x14ac:dyDescent="0.25">
      <c r="A1111" s="91">
        <f t="shared" si="17"/>
        <v>314</v>
      </c>
      <c r="B1111" s="53" t="s">
        <v>2350</v>
      </c>
      <c r="C1111" s="91" t="s">
        <v>97</v>
      </c>
      <c r="D1111" s="91">
        <v>736</v>
      </c>
      <c r="E1111" s="269"/>
      <c r="F1111" s="268"/>
      <c r="G1111" s="91"/>
      <c r="H1111" s="91"/>
    </row>
    <row r="1112" spans="1:8" x14ac:dyDescent="0.25">
      <c r="A1112" s="91">
        <f t="shared" si="17"/>
        <v>314</v>
      </c>
      <c r="B1112" s="53" t="s">
        <v>2350</v>
      </c>
      <c r="C1112" s="91" t="s">
        <v>97</v>
      </c>
      <c r="D1112" s="91">
        <v>180</v>
      </c>
      <c r="E1112" s="269"/>
      <c r="F1112" s="268"/>
      <c r="G1112" s="91"/>
      <c r="H1112" s="91"/>
    </row>
    <row r="1113" spans="1:8" x14ac:dyDescent="0.25">
      <c r="A1113" s="91">
        <f t="shared" si="17"/>
        <v>315</v>
      </c>
      <c r="B1113" s="53" t="s">
        <v>2354</v>
      </c>
      <c r="C1113" s="91" t="s">
        <v>97</v>
      </c>
      <c r="D1113" s="91">
        <v>228</v>
      </c>
      <c r="E1113" s="269">
        <v>341.04</v>
      </c>
      <c r="F1113" s="268">
        <v>0.49</v>
      </c>
      <c r="G1113" s="91"/>
      <c r="H1113" s="91"/>
    </row>
    <row r="1114" spans="1:8" x14ac:dyDescent="0.25">
      <c r="A1114" s="91">
        <f t="shared" si="17"/>
        <v>315</v>
      </c>
      <c r="B1114" s="53" t="s">
        <v>2354</v>
      </c>
      <c r="C1114" s="91" t="s">
        <v>97</v>
      </c>
      <c r="D1114" s="91">
        <v>240</v>
      </c>
      <c r="E1114" s="269"/>
      <c r="F1114" s="268"/>
      <c r="G1114" s="91"/>
      <c r="H1114" s="91"/>
    </row>
    <row r="1115" spans="1:8" x14ac:dyDescent="0.25">
      <c r="A1115" s="91">
        <f t="shared" si="17"/>
        <v>315</v>
      </c>
      <c r="B1115" s="53" t="s">
        <v>2354</v>
      </c>
      <c r="C1115" s="91" t="s">
        <v>97</v>
      </c>
      <c r="D1115" s="91">
        <v>48</v>
      </c>
      <c r="E1115" s="269"/>
      <c r="F1115" s="268"/>
      <c r="G1115" s="91"/>
      <c r="H1115" s="91"/>
    </row>
    <row r="1116" spans="1:8" x14ac:dyDescent="0.25">
      <c r="A1116" s="91">
        <f t="shared" si="17"/>
        <v>315</v>
      </c>
      <c r="B1116" s="53" t="s">
        <v>2354</v>
      </c>
      <c r="C1116" s="91" t="s">
        <v>97</v>
      </c>
      <c r="D1116" s="91">
        <v>180</v>
      </c>
      <c r="E1116" s="269"/>
      <c r="F1116" s="268"/>
      <c r="G1116" s="91"/>
      <c r="H1116" s="91"/>
    </row>
    <row r="1117" spans="1:8" x14ac:dyDescent="0.25">
      <c r="A1117" s="91">
        <f t="shared" si="17"/>
        <v>316</v>
      </c>
      <c r="B1117" s="53" t="s">
        <v>2361</v>
      </c>
      <c r="C1117" s="91" t="s">
        <v>287</v>
      </c>
      <c r="D1117" s="91">
        <v>320</v>
      </c>
      <c r="E1117" s="269">
        <v>156.80000000000001</v>
      </c>
      <c r="F1117" s="268">
        <v>0.49</v>
      </c>
      <c r="G1117" s="91"/>
      <c r="H1117" s="91"/>
    </row>
    <row r="1118" spans="1:8" x14ac:dyDescent="0.25">
      <c r="A1118" s="91">
        <f t="shared" si="17"/>
        <v>317</v>
      </c>
      <c r="B1118" s="53" t="s">
        <v>2363</v>
      </c>
      <c r="C1118" s="91" t="s">
        <v>287</v>
      </c>
      <c r="D1118" s="91">
        <v>240</v>
      </c>
      <c r="E1118" s="269">
        <v>203.84</v>
      </c>
      <c r="F1118" s="268">
        <v>0.49</v>
      </c>
      <c r="G1118" s="91"/>
      <c r="H1118" s="91"/>
    </row>
    <row r="1119" spans="1:8" x14ac:dyDescent="0.25">
      <c r="A1119" s="91">
        <f t="shared" si="17"/>
        <v>317</v>
      </c>
      <c r="B1119" s="53" t="s">
        <v>2363</v>
      </c>
      <c r="C1119" s="91" t="s">
        <v>287</v>
      </c>
      <c r="D1119" s="91">
        <v>112</v>
      </c>
      <c r="E1119" s="269"/>
      <c r="F1119" s="268"/>
      <c r="G1119" s="91"/>
      <c r="H1119" s="91"/>
    </row>
    <row r="1120" spans="1:8" x14ac:dyDescent="0.25">
      <c r="A1120" s="91">
        <f t="shared" si="17"/>
        <v>317</v>
      </c>
      <c r="B1120" s="53" t="s">
        <v>2363</v>
      </c>
      <c r="C1120" s="91" t="s">
        <v>287</v>
      </c>
      <c r="D1120" s="91">
        <v>64</v>
      </c>
      <c r="E1120" s="269"/>
      <c r="F1120" s="268"/>
      <c r="G1120" s="91"/>
      <c r="H1120" s="91"/>
    </row>
    <row r="1121" spans="1:8" x14ac:dyDescent="0.25">
      <c r="A1121" s="91">
        <f t="shared" si="17"/>
        <v>318</v>
      </c>
      <c r="B1121" s="53" t="s">
        <v>2368</v>
      </c>
      <c r="C1121" s="91" t="s">
        <v>115</v>
      </c>
      <c r="D1121" s="91">
        <v>400</v>
      </c>
      <c r="E1121" s="269">
        <v>136</v>
      </c>
      <c r="F1121" s="268">
        <v>0.34</v>
      </c>
      <c r="G1121" s="91"/>
      <c r="H1121" s="91"/>
    </row>
    <row r="1122" spans="1:8" x14ac:dyDescent="0.25">
      <c r="A1122" s="91">
        <f t="shared" si="17"/>
        <v>319</v>
      </c>
      <c r="B1122" s="53" t="s">
        <v>2370</v>
      </c>
      <c r="C1122" s="91" t="s">
        <v>97</v>
      </c>
      <c r="D1122" s="91">
        <v>510</v>
      </c>
      <c r="E1122" s="269">
        <v>873.3</v>
      </c>
      <c r="F1122" s="268">
        <v>0.41</v>
      </c>
      <c r="G1122" s="91"/>
      <c r="H1122" s="91"/>
    </row>
    <row r="1123" spans="1:8" x14ac:dyDescent="0.25">
      <c r="A1123" s="91">
        <f t="shared" si="17"/>
        <v>319</v>
      </c>
      <c r="B1123" s="53" t="s">
        <v>2370</v>
      </c>
      <c r="C1123" s="91" t="s">
        <v>97</v>
      </c>
      <c r="D1123" s="91">
        <v>420</v>
      </c>
      <c r="E1123" s="269"/>
      <c r="F1123" s="268"/>
      <c r="G1123" s="91"/>
      <c r="H1123" s="91"/>
    </row>
    <row r="1124" spans="1:8" x14ac:dyDescent="0.25">
      <c r="A1124" s="91">
        <f t="shared" si="17"/>
        <v>319</v>
      </c>
      <c r="B1124" s="53" t="s">
        <v>2370</v>
      </c>
      <c r="C1124" s="91" t="s">
        <v>97</v>
      </c>
      <c r="D1124" s="91">
        <v>1200</v>
      </c>
      <c r="E1124" s="269"/>
      <c r="F1124" s="268"/>
      <c r="G1124" s="91"/>
      <c r="H1124" s="91"/>
    </row>
    <row r="1125" spans="1:8" x14ac:dyDescent="0.25">
      <c r="A1125" s="91">
        <f t="shared" si="17"/>
        <v>320</v>
      </c>
      <c r="B1125" s="53" t="s">
        <v>2378</v>
      </c>
      <c r="C1125" s="91" t="s">
        <v>97</v>
      </c>
      <c r="D1125" s="91">
        <v>312</v>
      </c>
      <c r="E1125" s="269">
        <v>444.88</v>
      </c>
      <c r="F1125" s="268">
        <v>0.344334365325077</v>
      </c>
      <c r="G1125" s="91"/>
      <c r="H1125" s="91"/>
    </row>
    <row r="1126" spans="1:8" x14ac:dyDescent="0.25">
      <c r="A1126" s="91">
        <f t="shared" si="17"/>
        <v>320</v>
      </c>
      <c r="B1126" s="53" t="s">
        <v>2378</v>
      </c>
      <c r="C1126" s="91" t="s">
        <v>97</v>
      </c>
      <c r="D1126" s="91">
        <v>900</v>
      </c>
      <c r="E1126" s="269"/>
      <c r="F1126" s="268"/>
      <c r="G1126" s="91"/>
      <c r="H1126" s="91"/>
    </row>
    <row r="1127" spans="1:8" x14ac:dyDescent="0.25">
      <c r="A1127" s="91">
        <f t="shared" si="17"/>
        <v>320</v>
      </c>
      <c r="B1127" s="53" t="s">
        <v>2378</v>
      </c>
      <c r="C1127" s="91" t="s">
        <v>97</v>
      </c>
      <c r="D1127" s="91">
        <v>80</v>
      </c>
      <c r="E1127" s="269"/>
      <c r="F1127" s="268"/>
      <c r="G1127" s="91"/>
      <c r="H1127" s="91"/>
    </row>
    <row r="1128" spans="1:8" x14ac:dyDescent="0.25">
      <c r="A1128" s="91">
        <f t="shared" si="17"/>
        <v>321</v>
      </c>
      <c r="B1128" s="53" t="s">
        <v>2382</v>
      </c>
      <c r="C1128" s="91" t="s">
        <v>115</v>
      </c>
      <c r="D1128" s="91">
        <v>180</v>
      </c>
      <c r="E1128" s="269">
        <v>61.2</v>
      </c>
      <c r="F1128" s="268">
        <v>0.34</v>
      </c>
      <c r="G1128" s="91"/>
      <c r="H1128" s="91"/>
    </row>
    <row r="1129" spans="1:8" x14ac:dyDescent="0.25">
      <c r="A1129" s="91">
        <f t="shared" si="17"/>
        <v>322</v>
      </c>
      <c r="B1129" s="53" t="s">
        <v>2401</v>
      </c>
      <c r="C1129" s="91" t="s">
        <v>97</v>
      </c>
      <c r="D1129" s="91">
        <v>600</v>
      </c>
      <c r="E1129" s="269">
        <v>405.9</v>
      </c>
      <c r="F1129" s="268">
        <v>0.41</v>
      </c>
      <c r="G1129" s="91"/>
      <c r="H1129" s="91"/>
    </row>
    <row r="1130" spans="1:8" x14ac:dyDescent="0.25">
      <c r="A1130" s="91">
        <f t="shared" si="17"/>
        <v>322</v>
      </c>
      <c r="B1130" s="53" t="s">
        <v>2401</v>
      </c>
      <c r="C1130" s="91" t="s">
        <v>97</v>
      </c>
      <c r="D1130" s="91">
        <v>390</v>
      </c>
      <c r="E1130" s="269"/>
      <c r="F1130" s="268"/>
      <c r="G1130" s="91"/>
      <c r="H1130" s="91"/>
    </row>
    <row r="1131" spans="1:8" x14ac:dyDescent="0.25">
      <c r="A1131" s="91">
        <f t="shared" si="17"/>
        <v>323</v>
      </c>
      <c r="B1131" s="53" t="s">
        <v>2404</v>
      </c>
      <c r="C1131" s="91" t="s">
        <v>97</v>
      </c>
      <c r="D1131" s="91">
        <v>660</v>
      </c>
      <c r="E1131" s="269">
        <v>844.6</v>
      </c>
      <c r="F1131" s="268">
        <v>0.41</v>
      </c>
      <c r="G1131" s="91"/>
      <c r="H1131" s="91"/>
    </row>
    <row r="1132" spans="1:8" x14ac:dyDescent="0.25">
      <c r="A1132" s="91">
        <f t="shared" si="17"/>
        <v>323</v>
      </c>
      <c r="B1132" s="53" t="s">
        <v>2404</v>
      </c>
      <c r="C1132" s="91" t="s">
        <v>97</v>
      </c>
      <c r="D1132" s="91">
        <v>300</v>
      </c>
      <c r="E1132" s="269"/>
      <c r="F1132" s="268"/>
      <c r="G1132" s="91"/>
      <c r="H1132" s="91"/>
    </row>
    <row r="1133" spans="1:8" x14ac:dyDescent="0.25">
      <c r="A1133" s="91">
        <f t="shared" si="17"/>
        <v>323</v>
      </c>
      <c r="B1133" s="53" t="s">
        <v>2404</v>
      </c>
      <c r="C1133" s="91" t="s">
        <v>97</v>
      </c>
      <c r="D1133" s="91">
        <v>900</v>
      </c>
      <c r="E1133" s="269"/>
      <c r="F1133" s="268"/>
      <c r="G1133" s="91"/>
      <c r="H1133" s="91"/>
    </row>
    <row r="1134" spans="1:8" x14ac:dyDescent="0.25">
      <c r="A1134" s="91">
        <f t="shared" si="17"/>
        <v>323</v>
      </c>
      <c r="B1134" s="53" t="s">
        <v>2404</v>
      </c>
      <c r="C1134" s="91" t="s">
        <v>97</v>
      </c>
      <c r="D1134" s="91">
        <v>200</v>
      </c>
      <c r="E1134" s="269"/>
      <c r="F1134" s="268"/>
      <c r="G1134" s="91"/>
      <c r="H1134" s="91"/>
    </row>
    <row r="1135" spans="1:8" x14ac:dyDescent="0.25">
      <c r="A1135" s="91">
        <f t="shared" si="17"/>
        <v>324</v>
      </c>
      <c r="B1135" s="53" t="s">
        <v>2410</v>
      </c>
      <c r="C1135" s="91" t="s">
        <v>2411</v>
      </c>
      <c r="D1135" s="91">
        <v>120</v>
      </c>
      <c r="E1135" s="269">
        <v>147.6</v>
      </c>
      <c r="F1135" s="268">
        <v>0.41</v>
      </c>
      <c r="G1135" s="91"/>
      <c r="H1135" s="91"/>
    </row>
    <row r="1136" spans="1:8" x14ac:dyDescent="0.25">
      <c r="A1136" s="91">
        <f t="shared" si="17"/>
        <v>324</v>
      </c>
      <c r="B1136" s="53" t="s">
        <v>2410</v>
      </c>
      <c r="C1136" s="91" t="s">
        <v>2411</v>
      </c>
      <c r="D1136" s="91">
        <v>120</v>
      </c>
      <c r="E1136" s="269"/>
      <c r="F1136" s="268"/>
      <c r="G1136" s="91"/>
      <c r="H1136" s="91"/>
    </row>
    <row r="1137" spans="1:8" x14ac:dyDescent="0.25">
      <c r="A1137" s="91">
        <f t="shared" si="17"/>
        <v>324</v>
      </c>
      <c r="B1137" s="53" t="s">
        <v>2410</v>
      </c>
      <c r="C1137" s="91" t="s">
        <v>2411</v>
      </c>
      <c r="D1137" s="91">
        <v>120</v>
      </c>
      <c r="E1137" s="269"/>
      <c r="F1137" s="268"/>
      <c r="G1137" s="91"/>
      <c r="H1137" s="91"/>
    </row>
    <row r="1138" spans="1:8" x14ac:dyDescent="0.25">
      <c r="A1138" s="91">
        <f t="shared" si="17"/>
        <v>325</v>
      </c>
      <c r="B1138" s="53" t="s">
        <v>2417</v>
      </c>
      <c r="C1138" s="91" t="s">
        <v>97</v>
      </c>
      <c r="D1138" s="91">
        <v>900</v>
      </c>
      <c r="E1138" s="269">
        <v>369</v>
      </c>
      <c r="F1138" s="268">
        <v>0.41</v>
      </c>
      <c r="G1138" s="91"/>
      <c r="H1138" s="91"/>
    </row>
    <row r="1139" spans="1:8" x14ac:dyDescent="0.25">
      <c r="A1139" s="91">
        <f t="shared" si="17"/>
        <v>326</v>
      </c>
      <c r="B1139" s="53" t="s">
        <v>2438</v>
      </c>
      <c r="C1139" s="91" t="s">
        <v>1037</v>
      </c>
      <c r="D1139" s="91">
        <v>1008</v>
      </c>
      <c r="E1139" s="269">
        <v>736.96</v>
      </c>
      <c r="F1139" s="268">
        <v>0.49</v>
      </c>
      <c r="G1139" s="91"/>
      <c r="H1139" s="91"/>
    </row>
    <row r="1140" spans="1:8" x14ac:dyDescent="0.25">
      <c r="A1140" s="91">
        <f t="shared" si="17"/>
        <v>326</v>
      </c>
      <c r="B1140" s="53" t="s">
        <v>2438</v>
      </c>
      <c r="C1140" s="91" t="s">
        <v>1037</v>
      </c>
      <c r="D1140" s="91">
        <v>256</v>
      </c>
      <c r="E1140" s="269"/>
      <c r="F1140" s="268"/>
      <c r="G1140" s="91"/>
      <c r="H1140" s="91"/>
    </row>
    <row r="1141" spans="1:8" x14ac:dyDescent="0.25">
      <c r="A1141" s="91">
        <f t="shared" si="17"/>
        <v>326</v>
      </c>
      <c r="B1141" s="53" t="s">
        <v>2438</v>
      </c>
      <c r="C1141" s="91" t="s">
        <v>1037</v>
      </c>
      <c r="D1141" s="91">
        <v>240</v>
      </c>
      <c r="E1141" s="269"/>
      <c r="F1141" s="268"/>
      <c r="G1141" s="91"/>
      <c r="H1141" s="91"/>
    </row>
    <row r="1142" spans="1:8" x14ac:dyDescent="0.25">
      <c r="A1142" s="91">
        <f t="shared" si="17"/>
        <v>327</v>
      </c>
      <c r="B1142" s="53" t="s">
        <v>2446</v>
      </c>
      <c r="C1142" s="91" t="s">
        <v>97</v>
      </c>
      <c r="D1142" s="91">
        <v>120</v>
      </c>
      <c r="E1142" s="269">
        <v>343.8</v>
      </c>
      <c r="F1142" s="268">
        <v>0.38200000000000001</v>
      </c>
      <c r="G1142" s="91"/>
      <c r="H1142" s="91"/>
    </row>
    <row r="1143" spans="1:8" x14ac:dyDescent="0.25">
      <c r="A1143" s="91">
        <f t="shared" si="17"/>
        <v>327</v>
      </c>
      <c r="B1143" s="53" t="s">
        <v>2446</v>
      </c>
      <c r="C1143" s="91" t="s">
        <v>97</v>
      </c>
      <c r="D1143" s="91">
        <v>240</v>
      </c>
      <c r="E1143" s="269"/>
      <c r="F1143" s="268"/>
      <c r="G1143" s="91"/>
      <c r="H1143" s="91"/>
    </row>
    <row r="1144" spans="1:8" x14ac:dyDescent="0.25">
      <c r="A1144" s="91">
        <f t="shared" si="17"/>
        <v>327</v>
      </c>
      <c r="B1144" s="53" t="s">
        <v>2446</v>
      </c>
      <c r="C1144" s="91" t="s">
        <v>97</v>
      </c>
      <c r="D1144" s="91">
        <v>60</v>
      </c>
      <c r="E1144" s="269"/>
      <c r="F1144" s="268"/>
      <c r="G1144" s="91"/>
      <c r="H1144" s="91"/>
    </row>
    <row r="1145" spans="1:8" x14ac:dyDescent="0.25">
      <c r="A1145" s="91">
        <f t="shared" si="17"/>
        <v>327</v>
      </c>
      <c r="B1145" s="53" t="s">
        <v>2446</v>
      </c>
      <c r="C1145" s="91" t="s">
        <v>97</v>
      </c>
      <c r="D1145" s="91">
        <v>480</v>
      </c>
      <c r="E1145" s="269"/>
      <c r="F1145" s="268"/>
      <c r="G1145" s="91"/>
      <c r="H1145" s="91"/>
    </row>
    <row r="1146" spans="1:8" x14ac:dyDescent="0.25">
      <c r="A1146" s="91">
        <f t="shared" si="17"/>
        <v>328</v>
      </c>
      <c r="B1146" s="53" t="s">
        <v>2451</v>
      </c>
      <c r="C1146" s="91" t="s">
        <v>97</v>
      </c>
      <c r="D1146" s="91">
        <v>300</v>
      </c>
      <c r="E1146" s="269">
        <v>1635.9</v>
      </c>
      <c r="F1146" s="268">
        <v>0.41</v>
      </c>
      <c r="G1146" s="91"/>
      <c r="H1146" s="91"/>
    </row>
    <row r="1147" spans="1:8" x14ac:dyDescent="0.25">
      <c r="A1147" s="91">
        <f t="shared" si="17"/>
        <v>328</v>
      </c>
      <c r="B1147" s="53" t="s">
        <v>2451</v>
      </c>
      <c r="C1147" s="91" t="s">
        <v>97</v>
      </c>
      <c r="D1147" s="91">
        <v>900</v>
      </c>
      <c r="E1147" s="269"/>
      <c r="F1147" s="268"/>
      <c r="G1147" s="91"/>
      <c r="H1147" s="91"/>
    </row>
    <row r="1148" spans="1:8" x14ac:dyDescent="0.25">
      <c r="A1148" s="91">
        <f t="shared" si="17"/>
        <v>328</v>
      </c>
      <c r="B1148" s="53" t="s">
        <v>2451</v>
      </c>
      <c r="C1148" s="91" t="s">
        <v>97</v>
      </c>
      <c r="D1148" s="91">
        <v>900</v>
      </c>
      <c r="E1148" s="269"/>
      <c r="F1148" s="268"/>
      <c r="G1148" s="91"/>
      <c r="H1148" s="91"/>
    </row>
    <row r="1149" spans="1:8" x14ac:dyDescent="0.25">
      <c r="A1149" s="91">
        <f t="shared" si="17"/>
        <v>328</v>
      </c>
      <c r="B1149" s="53" t="s">
        <v>2451</v>
      </c>
      <c r="C1149" s="91" t="s">
        <v>97</v>
      </c>
      <c r="D1149" s="91">
        <v>1140</v>
      </c>
      <c r="E1149" s="269"/>
      <c r="F1149" s="268"/>
      <c r="G1149" s="91"/>
      <c r="H1149" s="91"/>
    </row>
    <row r="1150" spans="1:8" x14ac:dyDescent="0.25">
      <c r="A1150" s="91">
        <f t="shared" si="17"/>
        <v>328</v>
      </c>
      <c r="B1150" s="53" t="s">
        <v>2451</v>
      </c>
      <c r="C1150" s="91" t="s">
        <v>97</v>
      </c>
      <c r="D1150" s="91">
        <v>150</v>
      </c>
      <c r="E1150" s="269"/>
      <c r="F1150" s="268"/>
      <c r="G1150" s="91"/>
      <c r="H1150" s="91"/>
    </row>
    <row r="1151" spans="1:8" x14ac:dyDescent="0.25">
      <c r="A1151" s="91">
        <f t="shared" si="17"/>
        <v>328</v>
      </c>
      <c r="B1151" s="53" t="s">
        <v>2451</v>
      </c>
      <c r="C1151" s="91" t="s">
        <v>97</v>
      </c>
      <c r="D1151" s="91">
        <v>600</v>
      </c>
      <c r="E1151" s="269"/>
      <c r="F1151" s="268"/>
      <c r="G1151" s="91"/>
      <c r="H1151" s="91"/>
    </row>
    <row r="1152" spans="1:8" x14ac:dyDescent="0.25">
      <c r="A1152" s="91">
        <f t="shared" si="17"/>
        <v>329</v>
      </c>
      <c r="B1152" s="53" t="s">
        <v>2458</v>
      </c>
      <c r="C1152" s="91" t="s">
        <v>115</v>
      </c>
      <c r="D1152" s="91">
        <v>270</v>
      </c>
      <c r="E1152" s="269">
        <v>110.7</v>
      </c>
      <c r="F1152" s="268">
        <v>0.41</v>
      </c>
      <c r="G1152" s="91"/>
      <c r="H1152" s="91"/>
    </row>
    <row r="1153" spans="1:8" x14ac:dyDescent="0.25">
      <c r="A1153" s="91">
        <f t="shared" si="17"/>
        <v>330</v>
      </c>
      <c r="B1153" s="53" t="s">
        <v>2465</v>
      </c>
      <c r="C1153" s="91" t="s">
        <v>97</v>
      </c>
      <c r="D1153" s="91">
        <v>2220</v>
      </c>
      <c r="E1153" s="269">
        <v>910.2</v>
      </c>
      <c r="F1153" s="268">
        <v>0.41</v>
      </c>
      <c r="G1153" s="91"/>
      <c r="H1153" s="91"/>
    </row>
    <row r="1154" spans="1:8" x14ac:dyDescent="0.25">
      <c r="A1154" s="91">
        <f t="shared" si="17"/>
        <v>331</v>
      </c>
      <c r="B1154" s="53" t="s">
        <v>2467</v>
      </c>
      <c r="C1154" s="91" t="s">
        <v>97</v>
      </c>
      <c r="D1154" s="91">
        <v>780</v>
      </c>
      <c r="E1154" s="269">
        <v>382.2</v>
      </c>
      <c r="F1154" s="268">
        <v>0.49</v>
      </c>
      <c r="G1154" s="91"/>
      <c r="H1154" s="91"/>
    </row>
    <row r="1155" spans="1:8" x14ac:dyDescent="0.25">
      <c r="A1155" s="91">
        <f t="shared" si="17"/>
        <v>332</v>
      </c>
      <c r="B1155" s="53" t="s">
        <v>2479</v>
      </c>
      <c r="C1155" s="91" t="s">
        <v>97</v>
      </c>
      <c r="D1155" s="91">
        <v>1200</v>
      </c>
      <c r="E1155" s="269">
        <v>734.4</v>
      </c>
      <c r="F1155" s="268">
        <v>0.33999999999999997</v>
      </c>
      <c r="G1155" s="91"/>
      <c r="H1155" s="91"/>
    </row>
    <row r="1156" spans="1:8" x14ac:dyDescent="0.25">
      <c r="A1156" s="91">
        <f t="shared" ref="A1156:A1219" si="18">IF(B1156=B1155,A1155,A1155+1)</f>
        <v>332</v>
      </c>
      <c r="B1156" s="53" t="s">
        <v>2479</v>
      </c>
      <c r="C1156" s="91" t="s">
        <v>97</v>
      </c>
      <c r="D1156" s="91">
        <v>800</v>
      </c>
      <c r="E1156" s="269"/>
      <c r="F1156" s="268"/>
      <c r="G1156" s="91"/>
      <c r="H1156" s="91"/>
    </row>
    <row r="1157" spans="1:8" x14ac:dyDescent="0.25">
      <c r="A1157" s="91">
        <f t="shared" si="18"/>
        <v>332</v>
      </c>
      <c r="B1157" s="53" t="s">
        <v>2479</v>
      </c>
      <c r="C1157" s="91" t="s">
        <v>97</v>
      </c>
      <c r="D1157" s="91">
        <v>160</v>
      </c>
      <c r="E1157" s="269"/>
      <c r="F1157" s="268"/>
      <c r="G1157" s="91"/>
      <c r="H1157" s="91"/>
    </row>
    <row r="1158" spans="1:8" x14ac:dyDescent="0.25">
      <c r="A1158" s="91">
        <f t="shared" si="18"/>
        <v>333</v>
      </c>
      <c r="B1158" s="53" t="s">
        <v>2484</v>
      </c>
      <c r="C1158" s="91" t="s">
        <v>97</v>
      </c>
      <c r="D1158" s="91">
        <v>750</v>
      </c>
      <c r="E1158" s="269">
        <v>1599</v>
      </c>
      <c r="F1158" s="268">
        <v>0.41</v>
      </c>
      <c r="G1158" s="91"/>
      <c r="H1158" s="91"/>
    </row>
    <row r="1159" spans="1:8" x14ac:dyDescent="0.25">
      <c r="A1159" s="91">
        <f t="shared" si="18"/>
        <v>333</v>
      </c>
      <c r="B1159" s="53" t="s">
        <v>2484</v>
      </c>
      <c r="C1159" s="91" t="s">
        <v>97</v>
      </c>
      <c r="D1159" s="91">
        <v>990</v>
      </c>
      <c r="E1159" s="269"/>
      <c r="F1159" s="268"/>
      <c r="G1159" s="91"/>
      <c r="H1159" s="91"/>
    </row>
    <row r="1160" spans="1:8" x14ac:dyDescent="0.25">
      <c r="A1160" s="91">
        <f t="shared" si="18"/>
        <v>333</v>
      </c>
      <c r="B1160" s="53" t="s">
        <v>2484</v>
      </c>
      <c r="C1160" s="91" t="s">
        <v>97</v>
      </c>
      <c r="D1160" s="91">
        <v>1620</v>
      </c>
      <c r="E1160" s="269"/>
      <c r="F1160" s="268"/>
      <c r="G1160" s="91"/>
      <c r="H1160" s="91"/>
    </row>
    <row r="1161" spans="1:8" x14ac:dyDescent="0.25">
      <c r="A1161" s="91">
        <f t="shared" si="18"/>
        <v>333</v>
      </c>
      <c r="B1161" s="53" t="s">
        <v>2484</v>
      </c>
      <c r="C1161" s="91" t="s">
        <v>97</v>
      </c>
      <c r="D1161" s="91">
        <v>540</v>
      </c>
      <c r="E1161" s="269"/>
      <c r="F1161" s="268"/>
      <c r="G1161" s="91"/>
      <c r="H1161" s="91"/>
    </row>
    <row r="1162" spans="1:8" x14ac:dyDescent="0.25">
      <c r="A1162" s="91">
        <f t="shared" si="18"/>
        <v>334</v>
      </c>
      <c r="B1162" s="53" t="s">
        <v>2489</v>
      </c>
      <c r="C1162" s="91" t="s">
        <v>97</v>
      </c>
      <c r="D1162" s="91">
        <v>270</v>
      </c>
      <c r="E1162" s="269">
        <v>110.7</v>
      </c>
      <c r="F1162" s="268">
        <v>0.41000000000000003</v>
      </c>
      <c r="G1162" s="91"/>
      <c r="H1162" s="91"/>
    </row>
    <row r="1163" spans="1:8" x14ac:dyDescent="0.25">
      <c r="A1163" s="91">
        <f t="shared" si="18"/>
        <v>335</v>
      </c>
      <c r="B1163" s="53" t="s">
        <v>2492</v>
      </c>
      <c r="C1163" s="91" t="s">
        <v>97</v>
      </c>
      <c r="D1163" s="91">
        <v>480</v>
      </c>
      <c r="E1163" s="269">
        <v>319.8</v>
      </c>
      <c r="F1163" s="268">
        <v>0.41000000000000003</v>
      </c>
      <c r="G1163" s="91"/>
      <c r="H1163" s="91"/>
    </row>
    <row r="1164" spans="1:8" x14ac:dyDescent="0.25">
      <c r="A1164" s="91">
        <f t="shared" si="18"/>
        <v>335</v>
      </c>
      <c r="B1164" s="53" t="s">
        <v>2492</v>
      </c>
      <c r="C1164" s="91" t="s">
        <v>97</v>
      </c>
      <c r="D1164" s="91">
        <v>300</v>
      </c>
      <c r="E1164" s="269"/>
      <c r="F1164" s="268"/>
      <c r="G1164" s="91"/>
      <c r="H1164" s="91"/>
    </row>
    <row r="1165" spans="1:8" x14ac:dyDescent="0.25">
      <c r="A1165" s="91">
        <f t="shared" si="18"/>
        <v>336</v>
      </c>
      <c r="B1165" s="53" t="s">
        <v>2495</v>
      </c>
      <c r="C1165" s="91" t="s">
        <v>97</v>
      </c>
      <c r="D1165" s="91">
        <v>200</v>
      </c>
      <c r="E1165" s="269">
        <v>68</v>
      </c>
      <c r="F1165" s="268">
        <v>0.34</v>
      </c>
      <c r="G1165" s="91"/>
      <c r="H1165" s="91"/>
    </row>
    <row r="1166" spans="1:8" x14ac:dyDescent="0.25">
      <c r="A1166" s="91">
        <f t="shared" si="18"/>
        <v>337</v>
      </c>
      <c r="B1166" s="53" t="s">
        <v>2497</v>
      </c>
      <c r="C1166" s="91" t="s">
        <v>1037</v>
      </c>
      <c r="D1166" s="91">
        <v>1600</v>
      </c>
      <c r="E1166" s="269">
        <v>1223.04</v>
      </c>
      <c r="F1166" s="268">
        <v>0.49</v>
      </c>
      <c r="G1166" s="91"/>
      <c r="H1166" s="91"/>
    </row>
    <row r="1167" spans="1:8" x14ac:dyDescent="0.25">
      <c r="A1167" s="91">
        <f t="shared" si="18"/>
        <v>337</v>
      </c>
      <c r="B1167" s="53" t="s">
        <v>2497</v>
      </c>
      <c r="C1167" s="91" t="s">
        <v>1037</v>
      </c>
      <c r="D1167" s="91">
        <v>448</v>
      </c>
      <c r="E1167" s="269"/>
      <c r="F1167" s="268"/>
      <c r="G1167" s="91"/>
      <c r="H1167" s="91"/>
    </row>
    <row r="1168" spans="1:8" x14ac:dyDescent="0.25">
      <c r="A1168" s="91">
        <f t="shared" si="18"/>
        <v>337</v>
      </c>
      <c r="B1168" s="53" t="s">
        <v>2497</v>
      </c>
      <c r="C1168" s="91" t="s">
        <v>1037</v>
      </c>
      <c r="D1168" s="91">
        <v>448</v>
      </c>
      <c r="E1168" s="269"/>
      <c r="F1168" s="268"/>
      <c r="G1168" s="91"/>
      <c r="H1168" s="91"/>
    </row>
    <row r="1169" spans="1:8" x14ac:dyDescent="0.25">
      <c r="A1169" s="91">
        <f t="shared" si="18"/>
        <v>338</v>
      </c>
      <c r="B1169" s="53" t="s">
        <v>2501</v>
      </c>
      <c r="C1169" s="91" t="s">
        <v>97</v>
      </c>
      <c r="D1169" s="91">
        <v>630</v>
      </c>
      <c r="E1169" s="269">
        <v>214.2</v>
      </c>
      <c r="F1169" s="268">
        <v>0.33999999999999997</v>
      </c>
      <c r="G1169" s="91"/>
      <c r="H1169" s="91"/>
    </row>
    <row r="1170" spans="1:8" x14ac:dyDescent="0.25">
      <c r="A1170" s="91">
        <f t="shared" si="18"/>
        <v>339</v>
      </c>
      <c r="B1170" s="53" t="s">
        <v>2504</v>
      </c>
      <c r="C1170" s="91" t="s">
        <v>97</v>
      </c>
      <c r="D1170" s="91">
        <v>1200</v>
      </c>
      <c r="E1170" s="269">
        <v>585</v>
      </c>
      <c r="F1170" s="268">
        <v>0.34411764705882353</v>
      </c>
      <c r="G1170" s="91"/>
      <c r="H1170" s="91"/>
    </row>
    <row r="1171" spans="1:8" x14ac:dyDescent="0.25">
      <c r="A1171" s="91">
        <f t="shared" si="18"/>
        <v>339</v>
      </c>
      <c r="B1171" s="53" t="s">
        <v>2504</v>
      </c>
      <c r="C1171" s="91" t="s">
        <v>97</v>
      </c>
      <c r="D1171" s="91">
        <v>100</v>
      </c>
      <c r="E1171" s="269"/>
      <c r="F1171" s="268"/>
      <c r="G1171" s="91"/>
      <c r="H1171" s="91"/>
    </row>
    <row r="1172" spans="1:8" x14ac:dyDescent="0.25">
      <c r="A1172" s="91">
        <f t="shared" si="18"/>
        <v>339</v>
      </c>
      <c r="B1172" s="53" t="s">
        <v>2504</v>
      </c>
      <c r="C1172" s="91" t="s">
        <v>97</v>
      </c>
      <c r="D1172" s="91">
        <v>200</v>
      </c>
      <c r="E1172" s="269"/>
      <c r="F1172" s="268"/>
      <c r="G1172" s="91"/>
      <c r="H1172" s="91"/>
    </row>
    <row r="1173" spans="1:8" x14ac:dyDescent="0.25">
      <c r="A1173" s="91">
        <f t="shared" si="18"/>
        <v>339</v>
      </c>
      <c r="B1173" s="53" t="s">
        <v>2504</v>
      </c>
      <c r="C1173" s="91" t="s">
        <v>97</v>
      </c>
      <c r="D1173" s="91">
        <v>200</v>
      </c>
      <c r="E1173" s="269"/>
      <c r="F1173" s="268"/>
      <c r="G1173" s="91"/>
      <c r="H1173" s="91"/>
    </row>
    <row r="1174" spans="1:8" x14ac:dyDescent="0.25">
      <c r="A1174" s="91">
        <f t="shared" si="18"/>
        <v>340</v>
      </c>
      <c r="B1174" s="53" t="s">
        <v>2510</v>
      </c>
      <c r="C1174" s="91" t="s">
        <v>2511</v>
      </c>
      <c r="D1174" s="91">
        <v>90</v>
      </c>
      <c r="E1174" s="269">
        <v>0</v>
      </c>
      <c r="F1174" s="268"/>
      <c r="G1174" s="91"/>
      <c r="H1174" s="91"/>
    </row>
    <row r="1175" spans="1:8" x14ac:dyDescent="0.25">
      <c r="A1175" s="91">
        <f t="shared" si="18"/>
        <v>340</v>
      </c>
      <c r="B1175" s="53" t="s">
        <v>2510</v>
      </c>
      <c r="C1175" s="91" t="s">
        <v>2511</v>
      </c>
      <c r="D1175" s="91">
        <v>120</v>
      </c>
      <c r="E1175" s="269"/>
      <c r="F1175" s="268"/>
      <c r="G1175" s="91"/>
      <c r="H1175" s="91"/>
    </row>
    <row r="1176" spans="1:8" x14ac:dyDescent="0.25">
      <c r="A1176" s="91">
        <f t="shared" si="18"/>
        <v>340</v>
      </c>
      <c r="B1176" s="53" t="s">
        <v>2510</v>
      </c>
      <c r="C1176" s="91" t="s">
        <v>2511</v>
      </c>
      <c r="D1176" s="91">
        <v>90</v>
      </c>
      <c r="E1176" s="269"/>
      <c r="F1176" s="268"/>
      <c r="G1176" s="91"/>
      <c r="H1176" s="91"/>
    </row>
    <row r="1177" spans="1:8" x14ac:dyDescent="0.25">
      <c r="A1177" s="91">
        <f t="shared" si="18"/>
        <v>341</v>
      </c>
      <c r="B1177" s="53" t="s">
        <v>2517</v>
      </c>
      <c r="C1177" s="91" t="s">
        <v>2411</v>
      </c>
      <c r="D1177" s="91">
        <v>390</v>
      </c>
      <c r="E1177" s="269">
        <v>159.9</v>
      </c>
      <c r="F1177" s="268">
        <v>0.41000000000000003</v>
      </c>
      <c r="G1177" s="91"/>
      <c r="H1177" s="91"/>
    </row>
    <row r="1178" spans="1:8" x14ac:dyDescent="0.25">
      <c r="A1178" s="91">
        <f t="shared" si="18"/>
        <v>342</v>
      </c>
      <c r="B1178" s="53" t="s">
        <v>2520</v>
      </c>
      <c r="C1178" s="91" t="s">
        <v>97</v>
      </c>
      <c r="D1178" s="91">
        <v>510</v>
      </c>
      <c r="E1178" s="269"/>
      <c r="F1178" s="268"/>
      <c r="G1178" s="91"/>
      <c r="H1178" s="91"/>
    </row>
    <row r="1179" spans="1:8" x14ac:dyDescent="0.25">
      <c r="A1179" s="91">
        <f t="shared" si="18"/>
        <v>342</v>
      </c>
      <c r="B1179" s="53" t="s">
        <v>2520</v>
      </c>
      <c r="C1179" s="91" t="s">
        <v>97</v>
      </c>
      <c r="D1179" s="91">
        <v>990</v>
      </c>
      <c r="E1179" s="269"/>
      <c r="F1179" s="268"/>
      <c r="G1179" s="91"/>
      <c r="H1179" s="91"/>
    </row>
    <row r="1180" spans="1:8" x14ac:dyDescent="0.25">
      <c r="A1180" s="91">
        <f t="shared" si="18"/>
        <v>342</v>
      </c>
      <c r="B1180" s="53" t="s">
        <v>2520</v>
      </c>
      <c r="C1180" s="91" t="s">
        <v>97</v>
      </c>
      <c r="D1180" s="91">
        <v>330</v>
      </c>
      <c r="E1180" s="269"/>
      <c r="F1180" s="268"/>
      <c r="G1180" s="91"/>
      <c r="H1180" s="91"/>
    </row>
    <row r="1181" spans="1:8" x14ac:dyDescent="0.25">
      <c r="A1181" s="91">
        <f t="shared" si="18"/>
        <v>342</v>
      </c>
      <c r="B1181" s="53" t="s">
        <v>2520</v>
      </c>
      <c r="C1181" s="91" t="s">
        <v>97</v>
      </c>
      <c r="D1181" s="91">
        <v>270</v>
      </c>
      <c r="E1181" s="269"/>
      <c r="F1181" s="268"/>
      <c r="G1181" s="91"/>
      <c r="H1181" s="91"/>
    </row>
    <row r="1182" spans="1:8" x14ac:dyDescent="0.25">
      <c r="A1182" s="91">
        <f t="shared" si="18"/>
        <v>342</v>
      </c>
      <c r="B1182" s="53" t="s">
        <v>2520</v>
      </c>
      <c r="C1182" s="91" t="s">
        <v>97</v>
      </c>
      <c r="D1182" s="91">
        <v>3000</v>
      </c>
      <c r="E1182" s="269"/>
      <c r="F1182" s="268"/>
      <c r="G1182" s="91"/>
      <c r="H1182" s="91"/>
    </row>
    <row r="1183" spans="1:8" x14ac:dyDescent="0.25">
      <c r="A1183" s="91">
        <f t="shared" si="18"/>
        <v>342</v>
      </c>
      <c r="B1183" s="53" t="s">
        <v>2520</v>
      </c>
      <c r="C1183" s="91" t="s">
        <v>97</v>
      </c>
      <c r="D1183" s="91">
        <v>210</v>
      </c>
      <c r="E1183" s="269"/>
      <c r="F1183" s="268"/>
      <c r="G1183" s="91"/>
      <c r="H1183" s="91"/>
    </row>
    <row r="1184" spans="1:8" x14ac:dyDescent="0.25">
      <c r="A1184" s="91">
        <f t="shared" si="18"/>
        <v>342</v>
      </c>
      <c r="B1184" s="53" t="s">
        <v>2520</v>
      </c>
      <c r="C1184" s="91" t="s">
        <v>97</v>
      </c>
      <c r="D1184" s="91">
        <v>450</v>
      </c>
      <c r="E1184" s="269"/>
      <c r="F1184" s="268"/>
      <c r="G1184" s="91"/>
      <c r="H1184" s="91"/>
    </row>
    <row r="1185" spans="1:8" x14ac:dyDescent="0.25">
      <c r="A1185" s="91">
        <f t="shared" si="18"/>
        <v>343</v>
      </c>
      <c r="B1185" s="53" t="s">
        <v>2529</v>
      </c>
      <c r="C1185" s="91" t="s">
        <v>86</v>
      </c>
      <c r="D1185" s="91">
        <v>240</v>
      </c>
      <c r="E1185" s="269">
        <v>0</v>
      </c>
      <c r="F1185" s="268"/>
      <c r="G1185" s="91"/>
      <c r="H1185" s="91"/>
    </row>
    <row r="1186" spans="1:8" x14ac:dyDescent="0.25">
      <c r="A1186" s="91">
        <f t="shared" si="18"/>
        <v>343</v>
      </c>
      <c r="B1186" s="53" t="s">
        <v>2529</v>
      </c>
      <c r="C1186" s="91" t="s">
        <v>86</v>
      </c>
      <c r="D1186" s="91">
        <v>180</v>
      </c>
      <c r="E1186" s="269"/>
      <c r="F1186" s="268"/>
      <c r="G1186" s="91"/>
      <c r="H1186" s="91"/>
    </row>
    <row r="1187" spans="1:8" x14ac:dyDescent="0.25">
      <c r="A1187" s="91">
        <f t="shared" si="18"/>
        <v>343</v>
      </c>
      <c r="B1187" s="53" t="s">
        <v>2529</v>
      </c>
      <c r="C1187" s="91" t="s">
        <v>86</v>
      </c>
      <c r="D1187" s="91">
        <v>60</v>
      </c>
      <c r="E1187" s="269"/>
      <c r="F1187" s="268"/>
      <c r="G1187" s="91"/>
      <c r="H1187" s="91"/>
    </row>
    <row r="1188" spans="1:8" x14ac:dyDescent="0.25">
      <c r="A1188" s="91">
        <f t="shared" si="18"/>
        <v>344</v>
      </c>
      <c r="B1188" s="53" t="s">
        <v>2534</v>
      </c>
      <c r="C1188" s="91" t="s">
        <v>97</v>
      </c>
      <c r="D1188" s="91">
        <v>300</v>
      </c>
      <c r="E1188" s="269">
        <v>319.8</v>
      </c>
      <c r="F1188" s="268">
        <v>0.41000000000000003</v>
      </c>
      <c r="G1188" s="91"/>
      <c r="H1188" s="91"/>
    </row>
    <row r="1189" spans="1:8" x14ac:dyDescent="0.25">
      <c r="A1189" s="91">
        <f t="shared" si="18"/>
        <v>344</v>
      </c>
      <c r="B1189" s="53" t="s">
        <v>2534</v>
      </c>
      <c r="C1189" s="91" t="s">
        <v>97</v>
      </c>
      <c r="D1189" s="91">
        <v>390</v>
      </c>
      <c r="E1189" s="269"/>
      <c r="F1189" s="268"/>
      <c r="G1189" s="91"/>
      <c r="H1189" s="91"/>
    </row>
    <row r="1190" spans="1:8" x14ac:dyDescent="0.25">
      <c r="A1190" s="91">
        <f t="shared" si="18"/>
        <v>344</v>
      </c>
      <c r="B1190" s="53" t="s">
        <v>2534</v>
      </c>
      <c r="C1190" s="91" t="s">
        <v>97</v>
      </c>
      <c r="D1190" s="91">
        <v>90</v>
      </c>
      <c r="E1190" s="269"/>
      <c r="F1190" s="268"/>
      <c r="G1190" s="91"/>
      <c r="H1190" s="91"/>
    </row>
    <row r="1191" spans="1:8" x14ac:dyDescent="0.25">
      <c r="A1191" s="91">
        <f t="shared" si="18"/>
        <v>345</v>
      </c>
      <c r="B1191" s="53" t="s">
        <v>2538</v>
      </c>
      <c r="C1191" s="91" t="s">
        <v>97</v>
      </c>
      <c r="D1191" s="91">
        <v>400</v>
      </c>
      <c r="E1191" s="269">
        <v>136</v>
      </c>
      <c r="F1191" s="268">
        <v>0.34</v>
      </c>
      <c r="G1191" s="91"/>
      <c r="H1191" s="91"/>
    </row>
    <row r="1192" spans="1:8" x14ac:dyDescent="0.25">
      <c r="A1192" s="91">
        <f t="shared" si="18"/>
        <v>346</v>
      </c>
      <c r="B1192" s="53" t="s">
        <v>2540</v>
      </c>
      <c r="C1192" s="91" t="s">
        <v>115</v>
      </c>
      <c r="D1192" s="91">
        <v>300</v>
      </c>
      <c r="E1192" s="269">
        <v>123</v>
      </c>
      <c r="F1192" s="268">
        <v>0.41</v>
      </c>
      <c r="G1192" s="91"/>
      <c r="H1192" s="91"/>
    </row>
    <row r="1193" spans="1:8" x14ac:dyDescent="0.25">
      <c r="A1193" s="91">
        <f t="shared" si="18"/>
        <v>347</v>
      </c>
      <c r="B1193" s="53" t="s">
        <v>2548</v>
      </c>
      <c r="C1193" s="91" t="s">
        <v>1037</v>
      </c>
      <c r="D1193" s="91">
        <v>200</v>
      </c>
      <c r="E1193" s="269">
        <v>163.19999999999999</v>
      </c>
      <c r="F1193" s="268">
        <v>0.33999999999999997</v>
      </c>
      <c r="G1193" s="91"/>
      <c r="H1193" s="91"/>
    </row>
    <row r="1194" spans="1:8" x14ac:dyDescent="0.25">
      <c r="A1194" s="91">
        <f t="shared" si="18"/>
        <v>347</v>
      </c>
      <c r="B1194" s="53" t="s">
        <v>2548</v>
      </c>
      <c r="C1194" s="91" t="s">
        <v>1037</v>
      </c>
      <c r="D1194" s="91">
        <v>280</v>
      </c>
      <c r="E1194" s="269"/>
      <c r="F1194" s="268"/>
      <c r="G1194" s="91"/>
      <c r="H1194" s="91"/>
    </row>
    <row r="1195" spans="1:8" x14ac:dyDescent="0.25">
      <c r="A1195" s="91">
        <f t="shared" si="18"/>
        <v>348</v>
      </c>
      <c r="B1195" s="53" t="s">
        <v>2551</v>
      </c>
      <c r="C1195" s="91" t="s">
        <v>97</v>
      </c>
      <c r="D1195" s="91">
        <v>780</v>
      </c>
      <c r="E1195" s="269">
        <v>1060.8</v>
      </c>
      <c r="F1195" s="268">
        <v>0.47783783783783784</v>
      </c>
      <c r="G1195" s="91"/>
      <c r="H1195" s="91"/>
    </row>
    <row r="1196" spans="1:8" x14ac:dyDescent="0.25">
      <c r="A1196" s="91">
        <f t="shared" si="18"/>
        <v>348</v>
      </c>
      <c r="B1196" s="53" t="s">
        <v>2551</v>
      </c>
      <c r="C1196" s="91" t="s">
        <v>97</v>
      </c>
      <c r="D1196" s="91">
        <v>780</v>
      </c>
      <c r="E1196" s="269"/>
      <c r="F1196" s="268"/>
      <c r="G1196" s="91"/>
      <c r="H1196" s="91"/>
    </row>
    <row r="1197" spans="1:8" x14ac:dyDescent="0.25">
      <c r="A1197" s="91">
        <f t="shared" si="18"/>
        <v>348</v>
      </c>
      <c r="B1197" s="53" t="s">
        <v>2551</v>
      </c>
      <c r="C1197" s="91" t="s">
        <v>97</v>
      </c>
      <c r="D1197" s="91">
        <v>480</v>
      </c>
      <c r="E1197" s="269"/>
      <c r="F1197" s="268"/>
      <c r="G1197" s="91"/>
      <c r="H1197" s="91"/>
    </row>
    <row r="1198" spans="1:8" x14ac:dyDescent="0.25">
      <c r="A1198" s="91">
        <f t="shared" si="18"/>
        <v>348</v>
      </c>
      <c r="B1198" s="53" t="s">
        <v>2551</v>
      </c>
      <c r="C1198" s="91" t="s">
        <v>97</v>
      </c>
      <c r="D1198" s="91">
        <v>180</v>
      </c>
      <c r="E1198" s="269"/>
      <c r="F1198" s="268"/>
      <c r="G1198" s="91"/>
      <c r="H1198" s="91"/>
    </row>
    <row r="1199" spans="1:8" x14ac:dyDescent="0.25">
      <c r="A1199" s="91">
        <f t="shared" si="18"/>
        <v>349</v>
      </c>
      <c r="B1199" s="53" t="s">
        <v>2556</v>
      </c>
      <c r="C1199" s="91" t="s">
        <v>1037</v>
      </c>
      <c r="D1199" s="91">
        <v>464</v>
      </c>
      <c r="E1199" s="269">
        <v>227.36</v>
      </c>
      <c r="F1199" s="268">
        <v>0.49000000000000005</v>
      </c>
      <c r="G1199" s="91"/>
      <c r="H1199" s="91"/>
    </row>
    <row r="1200" spans="1:8" x14ac:dyDescent="0.25">
      <c r="A1200" s="91">
        <f t="shared" si="18"/>
        <v>350</v>
      </c>
      <c r="B1200" s="53" t="s">
        <v>2559</v>
      </c>
      <c r="C1200" s="91" t="s">
        <v>2560</v>
      </c>
      <c r="D1200" s="91">
        <v>64</v>
      </c>
      <c r="E1200" s="269">
        <v>0</v>
      </c>
      <c r="F1200" s="268"/>
      <c r="G1200" s="91"/>
      <c r="H1200" s="91"/>
    </row>
    <row r="1201" spans="1:8" x14ac:dyDescent="0.25">
      <c r="A1201" s="91">
        <f t="shared" si="18"/>
        <v>350</v>
      </c>
      <c r="B1201" s="53" t="s">
        <v>2559</v>
      </c>
      <c r="C1201" s="91" t="s">
        <v>2560</v>
      </c>
      <c r="D1201" s="91">
        <v>32</v>
      </c>
      <c r="E1201" s="269"/>
      <c r="F1201" s="268"/>
      <c r="G1201" s="91"/>
      <c r="H1201" s="91"/>
    </row>
    <row r="1202" spans="1:8" x14ac:dyDescent="0.25">
      <c r="A1202" s="91">
        <f t="shared" si="18"/>
        <v>350</v>
      </c>
      <c r="B1202" s="53" t="s">
        <v>2559</v>
      </c>
      <c r="C1202" s="91" t="s">
        <v>2560</v>
      </c>
      <c r="D1202" s="91">
        <v>16</v>
      </c>
      <c r="E1202" s="269"/>
      <c r="F1202" s="268"/>
      <c r="G1202" s="91"/>
      <c r="H1202" s="91"/>
    </row>
    <row r="1203" spans="1:8" x14ac:dyDescent="0.25">
      <c r="A1203" s="91">
        <f t="shared" si="18"/>
        <v>350</v>
      </c>
      <c r="B1203" s="53" t="s">
        <v>2559</v>
      </c>
      <c r="C1203" s="91" t="s">
        <v>2560</v>
      </c>
      <c r="D1203" s="91">
        <v>16</v>
      </c>
      <c r="E1203" s="269"/>
      <c r="F1203" s="268"/>
      <c r="G1203" s="91"/>
      <c r="H1203" s="91"/>
    </row>
    <row r="1204" spans="1:8" x14ac:dyDescent="0.25">
      <c r="A1204" s="91">
        <f t="shared" si="18"/>
        <v>350</v>
      </c>
      <c r="B1204" s="53" t="s">
        <v>2559</v>
      </c>
      <c r="C1204" s="91" t="s">
        <v>2560</v>
      </c>
      <c r="D1204" s="91">
        <v>16</v>
      </c>
      <c r="E1204" s="269"/>
      <c r="F1204" s="268"/>
      <c r="G1204" s="91"/>
      <c r="H1204" s="91"/>
    </row>
    <row r="1205" spans="1:8" x14ac:dyDescent="0.25">
      <c r="A1205" s="91">
        <f t="shared" si="18"/>
        <v>351</v>
      </c>
      <c r="B1205" s="53" t="s">
        <v>2566</v>
      </c>
      <c r="C1205" s="91" t="s">
        <v>1037</v>
      </c>
      <c r="D1205" s="91">
        <v>192</v>
      </c>
      <c r="E1205" s="269">
        <v>525.28</v>
      </c>
      <c r="F1205" s="268">
        <v>0.49</v>
      </c>
      <c r="G1205" s="91"/>
      <c r="H1205" s="91"/>
    </row>
    <row r="1206" spans="1:8" x14ac:dyDescent="0.25">
      <c r="A1206" s="91">
        <f t="shared" si="18"/>
        <v>351</v>
      </c>
      <c r="B1206" s="53" t="s">
        <v>2566</v>
      </c>
      <c r="C1206" s="91" t="s">
        <v>1037</v>
      </c>
      <c r="D1206" s="91">
        <v>80</v>
      </c>
      <c r="E1206" s="269"/>
      <c r="F1206" s="268"/>
      <c r="G1206" s="91"/>
      <c r="H1206" s="91"/>
    </row>
    <row r="1207" spans="1:8" x14ac:dyDescent="0.25">
      <c r="A1207" s="91">
        <f t="shared" si="18"/>
        <v>351</v>
      </c>
      <c r="B1207" s="53" t="s">
        <v>2566</v>
      </c>
      <c r="C1207" s="91" t="s">
        <v>1037</v>
      </c>
      <c r="D1207" s="91">
        <v>80</v>
      </c>
      <c r="E1207" s="269"/>
      <c r="F1207" s="268"/>
      <c r="G1207" s="91"/>
      <c r="H1207" s="91"/>
    </row>
    <row r="1208" spans="1:8" x14ac:dyDescent="0.25">
      <c r="A1208" s="91">
        <f t="shared" si="18"/>
        <v>351</v>
      </c>
      <c r="B1208" s="53" t="s">
        <v>2566</v>
      </c>
      <c r="C1208" s="91" t="s">
        <v>1037</v>
      </c>
      <c r="D1208" s="91">
        <v>560</v>
      </c>
      <c r="E1208" s="269"/>
      <c r="F1208" s="268"/>
      <c r="G1208" s="91"/>
      <c r="H1208" s="91"/>
    </row>
    <row r="1209" spans="1:8" x14ac:dyDescent="0.25">
      <c r="A1209" s="91">
        <f t="shared" si="18"/>
        <v>351</v>
      </c>
      <c r="B1209" s="53" t="s">
        <v>2566</v>
      </c>
      <c r="C1209" s="91" t="s">
        <v>1037</v>
      </c>
      <c r="D1209" s="91">
        <v>160</v>
      </c>
      <c r="E1209" s="269"/>
      <c r="F1209" s="268"/>
      <c r="G1209" s="91"/>
      <c r="H1209" s="91"/>
    </row>
    <row r="1210" spans="1:8" x14ac:dyDescent="0.25">
      <c r="A1210" s="91">
        <f t="shared" si="18"/>
        <v>352</v>
      </c>
      <c r="B1210" s="53" t="s">
        <v>2572</v>
      </c>
      <c r="C1210" s="91" t="s">
        <v>97</v>
      </c>
      <c r="D1210" s="91">
        <v>390</v>
      </c>
      <c r="E1210" s="269">
        <v>109.2</v>
      </c>
      <c r="F1210" s="268">
        <v>0.28000000000000003</v>
      </c>
      <c r="G1210" s="91"/>
      <c r="H1210" s="91"/>
    </row>
    <row r="1211" spans="1:8" x14ac:dyDescent="0.25">
      <c r="A1211" s="91">
        <f t="shared" si="18"/>
        <v>353</v>
      </c>
      <c r="B1211" s="53" t="s">
        <v>2574</v>
      </c>
      <c r="C1211" s="91" t="s">
        <v>97</v>
      </c>
      <c r="D1211" s="91">
        <v>90</v>
      </c>
      <c r="E1211" s="269">
        <v>91.8</v>
      </c>
      <c r="F1211" s="268">
        <v>0.33999999999999997</v>
      </c>
      <c r="G1211" s="91"/>
      <c r="H1211" s="91"/>
    </row>
    <row r="1212" spans="1:8" x14ac:dyDescent="0.25">
      <c r="A1212" s="91">
        <f t="shared" si="18"/>
        <v>353</v>
      </c>
      <c r="B1212" s="53" t="s">
        <v>2574</v>
      </c>
      <c r="C1212" s="91" t="s">
        <v>97</v>
      </c>
      <c r="D1212" s="91">
        <v>180</v>
      </c>
      <c r="E1212" s="269"/>
      <c r="F1212" s="268"/>
      <c r="G1212" s="91"/>
      <c r="H1212" s="91"/>
    </row>
    <row r="1213" spans="1:8" x14ac:dyDescent="0.25">
      <c r="A1213" s="91">
        <f t="shared" si="18"/>
        <v>354</v>
      </c>
      <c r="B1213" s="53" t="s">
        <v>2577</v>
      </c>
      <c r="C1213" s="91" t="s">
        <v>115</v>
      </c>
      <c r="D1213" s="91">
        <v>312</v>
      </c>
      <c r="E1213" s="269">
        <v>197.88</v>
      </c>
      <c r="F1213" s="268">
        <v>0.33999999999999997</v>
      </c>
      <c r="G1213" s="91"/>
      <c r="H1213" s="91"/>
    </row>
    <row r="1214" spans="1:8" x14ac:dyDescent="0.25">
      <c r="A1214" s="91">
        <f t="shared" si="18"/>
        <v>354</v>
      </c>
      <c r="B1214" s="53" t="s">
        <v>2577</v>
      </c>
      <c r="C1214" s="91" t="s">
        <v>115</v>
      </c>
      <c r="D1214" s="91">
        <v>180</v>
      </c>
      <c r="E1214" s="269"/>
      <c r="F1214" s="268"/>
      <c r="G1214" s="91"/>
      <c r="H1214" s="91"/>
    </row>
    <row r="1215" spans="1:8" x14ac:dyDescent="0.25">
      <c r="A1215" s="91">
        <f t="shared" si="18"/>
        <v>354</v>
      </c>
      <c r="B1215" s="53" t="s">
        <v>2577</v>
      </c>
      <c r="C1215" s="91" t="s">
        <v>115</v>
      </c>
      <c r="D1215" s="91">
        <v>90</v>
      </c>
      <c r="E1215" s="269"/>
      <c r="F1215" s="268"/>
      <c r="G1215" s="91"/>
      <c r="H1215" s="91"/>
    </row>
    <row r="1216" spans="1:8" x14ac:dyDescent="0.25">
      <c r="A1216" s="91">
        <f t="shared" si="18"/>
        <v>355</v>
      </c>
      <c r="B1216" s="53" t="s">
        <v>2581</v>
      </c>
      <c r="C1216" s="91" t="s">
        <v>1971</v>
      </c>
      <c r="D1216" s="91">
        <v>480</v>
      </c>
      <c r="E1216" s="269">
        <v>0</v>
      </c>
      <c r="F1216" s="268"/>
      <c r="G1216" s="91"/>
      <c r="H1216" s="91"/>
    </row>
    <row r="1217" spans="1:8" x14ac:dyDescent="0.25">
      <c r="A1217" s="91">
        <f t="shared" si="18"/>
        <v>355</v>
      </c>
      <c r="B1217" s="53" t="s">
        <v>2581</v>
      </c>
      <c r="C1217" s="91" t="s">
        <v>1971</v>
      </c>
      <c r="D1217" s="91">
        <v>60</v>
      </c>
      <c r="E1217" s="269"/>
      <c r="F1217" s="268"/>
      <c r="G1217" s="91"/>
      <c r="H1217" s="91"/>
    </row>
    <row r="1218" spans="1:8" x14ac:dyDescent="0.25">
      <c r="A1218" s="91">
        <f t="shared" si="18"/>
        <v>355</v>
      </c>
      <c r="B1218" s="53" t="s">
        <v>2581</v>
      </c>
      <c r="C1218" s="91" t="s">
        <v>1971</v>
      </c>
      <c r="D1218" s="91">
        <v>300</v>
      </c>
      <c r="E1218" s="269"/>
      <c r="F1218" s="268"/>
      <c r="G1218" s="91"/>
      <c r="H1218" s="91"/>
    </row>
    <row r="1219" spans="1:8" x14ac:dyDescent="0.25">
      <c r="A1219" s="91">
        <f t="shared" si="18"/>
        <v>356</v>
      </c>
      <c r="B1219" s="53" t="s">
        <v>2585</v>
      </c>
      <c r="C1219" s="91" t="s">
        <v>115</v>
      </c>
      <c r="D1219" s="91">
        <v>520</v>
      </c>
      <c r="E1219" s="269">
        <v>176.8</v>
      </c>
      <c r="F1219" s="268">
        <v>0.34</v>
      </c>
      <c r="G1219" s="91"/>
      <c r="H1219" s="91"/>
    </row>
    <row r="1220" spans="1:8" x14ac:dyDescent="0.25">
      <c r="A1220" s="91">
        <f t="shared" ref="A1220:A1283" si="19">IF(B1220=B1219,A1219,A1219+1)</f>
        <v>357</v>
      </c>
      <c r="B1220" s="53" t="s">
        <v>2587</v>
      </c>
      <c r="C1220" s="91" t="s">
        <v>115</v>
      </c>
      <c r="D1220" s="91">
        <v>480</v>
      </c>
      <c r="E1220" s="269">
        <v>163.19999999999999</v>
      </c>
      <c r="F1220" s="268">
        <v>0.33999999999999997</v>
      </c>
      <c r="G1220" s="91"/>
      <c r="H1220" s="91"/>
    </row>
    <row r="1221" spans="1:8" x14ac:dyDescent="0.25">
      <c r="A1221" s="91">
        <f t="shared" si="19"/>
        <v>358</v>
      </c>
      <c r="B1221" s="53" t="s">
        <v>2589</v>
      </c>
      <c r="C1221" s="91" t="s">
        <v>97</v>
      </c>
      <c r="D1221" s="91">
        <v>1200</v>
      </c>
      <c r="E1221" s="269">
        <v>2349.3000000000002</v>
      </c>
      <c r="F1221" s="268">
        <v>0.41000000000000003</v>
      </c>
      <c r="G1221" s="91"/>
      <c r="H1221" s="91"/>
    </row>
    <row r="1222" spans="1:8" x14ac:dyDescent="0.25">
      <c r="A1222" s="91">
        <f t="shared" si="19"/>
        <v>358</v>
      </c>
      <c r="B1222" s="53" t="s">
        <v>2589</v>
      </c>
      <c r="C1222" s="91" t="s">
        <v>97</v>
      </c>
      <c r="D1222" s="91">
        <v>1020</v>
      </c>
      <c r="E1222" s="269"/>
      <c r="F1222" s="268"/>
      <c r="G1222" s="91"/>
      <c r="H1222" s="91"/>
    </row>
    <row r="1223" spans="1:8" x14ac:dyDescent="0.25">
      <c r="A1223" s="91">
        <f t="shared" si="19"/>
        <v>358</v>
      </c>
      <c r="B1223" s="53" t="s">
        <v>2589</v>
      </c>
      <c r="C1223" s="91" t="s">
        <v>97</v>
      </c>
      <c r="D1223" s="91">
        <v>30</v>
      </c>
      <c r="E1223" s="269"/>
      <c r="F1223" s="268"/>
      <c r="G1223" s="91"/>
      <c r="H1223" s="91"/>
    </row>
    <row r="1224" spans="1:8" x14ac:dyDescent="0.25">
      <c r="A1224" s="91">
        <f t="shared" si="19"/>
        <v>358</v>
      </c>
      <c r="B1224" s="53" t="s">
        <v>2589</v>
      </c>
      <c r="C1224" s="91" t="s">
        <v>97</v>
      </c>
      <c r="D1224" s="91">
        <v>930</v>
      </c>
      <c r="E1224" s="269"/>
      <c r="F1224" s="268"/>
      <c r="G1224" s="91"/>
      <c r="H1224" s="91"/>
    </row>
    <row r="1225" spans="1:8" x14ac:dyDescent="0.25">
      <c r="A1225" s="91">
        <f t="shared" si="19"/>
        <v>358</v>
      </c>
      <c r="B1225" s="53" t="s">
        <v>2589</v>
      </c>
      <c r="C1225" s="91" t="s">
        <v>97</v>
      </c>
      <c r="D1225" s="91">
        <v>2100</v>
      </c>
      <c r="E1225" s="269"/>
      <c r="F1225" s="268"/>
      <c r="G1225" s="91"/>
      <c r="H1225" s="91"/>
    </row>
    <row r="1226" spans="1:8" x14ac:dyDescent="0.25">
      <c r="A1226" s="91">
        <f t="shared" si="19"/>
        <v>358</v>
      </c>
      <c r="B1226" s="53" t="s">
        <v>2589</v>
      </c>
      <c r="C1226" s="91" t="s">
        <v>97</v>
      </c>
      <c r="D1226" s="91">
        <v>210</v>
      </c>
      <c r="E1226" s="269"/>
      <c r="F1226" s="268"/>
      <c r="G1226" s="91"/>
      <c r="H1226" s="91"/>
    </row>
    <row r="1227" spans="1:8" x14ac:dyDescent="0.25">
      <c r="A1227" s="91">
        <f t="shared" si="19"/>
        <v>358</v>
      </c>
      <c r="B1227" s="53" t="s">
        <v>2589</v>
      </c>
      <c r="C1227" s="91" t="s">
        <v>97</v>
      </c>
      <c r="D1227" s="91">
        <v>210</v>
      </c>
      <c r="E1227" s="269"/>
      <c r="F1227" s="268"/>
      <c r="G1227" s="91"/>
      <c r="H1227" s="91"/>
    </row>
    <row r="1228" spans="1:8" x14ac:dyDescent="0.25">
      <c r="A1228" s="91">
        <f t="shared" si="19"/>
        <v>358</v>
      </c>
      <c r="B1228" s="53" t="s">
        <v>2589</v>
      </c>
      <c r="C1228" s="91" t="s">
        <v>97</v>
      </c>
      <c r="D1228" s="91">
        <v>20</v>
      </c>
      <c r="E1228" s="269"/>
      <c r="F1228" s="268"/>
      <c r="G1228" s="91"/>
      <c r="H1228" s="91"/>
    </row>
    <row r="1229" spans="1:8" x14ac:dyDescent="0.25">
      <c r="A1229" s="91">
        <f t="shared" si="19"/>
        <v>358</v>
      </c>
      <c r="B1229" s="53" t="s">
        <v>2589</v>
      </c>
      <c r="C1229" s="91" t="s">
        <v>97</v>
      </c>
      <c r="D1229" s="91">
        <v>10</v>
      </c>
      <c r="E1229" s="269"/>
      <c r="F1229" s="268"/>
      <c r="G1229" s="91"/>
      <c r="H1229" s="91"/>
    </row>
    <row r="1230" spans="1:8" x14ac:dyDescent="0.25">
      <c r="A1230" s="91">
        <f t="shared" si="19"/>
        <v>359</v>
      </c>
      <c r="B1230" s="53" t="s">
        <v>2600</v>
      </c>
      <c r="C1230" s="91" t="s">
        <v>97</v>
      </c>
      <c r="D1230" s="91">
        <v>200</v>
      </c>
      <c r="E1230" s="269">
        <v>680.8</v>
      </c>
      <c r="F1230" s="268">
        <v>0.35458333333333331</v>
      </c>
      <c r="G1230" s="91"/>
      <c r="H1230" s="91"/>
    </row>
    <row r="1231" spans="1:8" x14ac:dyDescent="0.25">
      <c r="A1231" s="91">
        <f t="shared" si="19"/>
        <v>359</v>
      </c>
      <c r="B1231" s="53" t="s">
        <v>2600</v>
      </c>
      <c r="C1231" s="91" t="s">
        <v>97</v>
      </c>
      <c r="D1231" s="91">
        <v>680</v>
      </c>
      <c r="E1231" s="269"/>
      <c r="F1231" s="268"/>
      <c r="G1231" s="91"/>
      <c r="H1231" s="91"/>
    </row>
    <row r="1232" spans="1:8" x14ac:dyDescent="0.25">
      <c r="A1232" s="91">
        <f t="shared" si="19"/>
        <v>359</v>
      </c>
      <c r="B1232" s="53" t="s">
        <v>2600</v>
      </c>
      <c r="C1232" s="91" t="s">
        <v>97</v>
      </c>
      <c r="D1232" s="91">
        <v>520</v>
      </c>
      <c r="E1232" s="269"/>
      <c r="F1232" s="268"/>
      <c r="G1232" s="91"/>
      <c r="H1232" s="91"/>
    </row>
    <row r="1233" spans="1:8" x14ac:dyDescent="0.25">
      <c r="A1233" s="91">
        <f t="shared" si="19"/>
        <v>359</v>
      </c>
      <c r="B1233" s="53" t="s">
        <v>2600</v>
      </c>
      <c r="C1233" s="91" t="s">
        <v>97</v>
      </c>
      <c r="D1233" s="91">
        <v>200</v>
      </c>
      <c r="E1233" s="269"/>
      <c r="F1233" s="268"/>
      <c r="G1233" s="91"/>
      <c r="H1233" s="91"/>
    </row>
    <row r="1234" spans="1:8" x14ac:dyDescent="0.25">
      <c r="A1234" s="91">
        <f t="shared" si="19"/>
        <v>359</v>
      </c>
      <c r="B1234" s="53" t="s">
        <v>2600</v>
      </c>
      <c r="C1234" s="91" t="s">
        <v>97</v>
      </c>
      <c r="D1234" s="91">
        <v>320</v>
      </c>
      <c r="E1234" s="269"/>
      <c r="F1234" s="268"/>
      <c r="G1234" s="91"/>
      <c r="H1234" s="91"/>
    </row>
    <row r="1235" spans="1:8" x14ac:dyDescent="0.25">
      <c r="A1235" s="91">
        <f t="shared" si="19"/>
        <v>360</v>
      </c>
      <c r="B1235" s="53" t="s">
        <v>2606</v>
      </c>
      <c r="C1235" s="91" t="s">
        <v>2607</v>
      </c>
      <c r="D1235" s="91">
        <v>60</v>
      </c>
      <c r="E1235" s="269">
        <v>0</v>
      </c>
      <c r="F1235" s="268"/>
      <c r="G1235" s="91"/>
      <c r="H1235" s="91"/>
    </row>
    <row r="1236" spans="1:8" x14ac:dyDescent="0.25">
      <c r="A1236" s="91">
        <f t="shared" si="19"/>
        <v>360</v>
      </c>
      <c r="B1236" s="53" t="s">
        <v>2606</v>
      </c>
      <c r="C1236" s="91" t="s">
        <v>2607</v>
      </c>
      <c r="D1236" s="91">
        <v>30</v>
      </c>
      <c r="E1236" s="269"/>
      <c r="F1236" s="268"/>
      <c r="G1236" s="91"/>
      <c r="H1236" s="91"/>
    </row>
    <row r="1237" spans="1:8" x14ac:dyDescent="0.25">
      <c r="A1237" s="91">
        <f t="shared" si="19"/>
        <v>360</v>
      </c>
      <c r="B1237" s="53" t="s">
        <v>2606</v>
      </c>
      <c r="C1237" s="91" t="s">
        <v>2607</v>
      </c>
      <c r="D1237" s="91">
        <v>30</v>
      </c>
      <c r="E1237" s="269"/>
      <c r="F1237" s="268"/>
      <c r="G1237" s="91"/>
      <c r="H1237" s="91"/>
    </row>
    <row r="1238" spans="1:8" x14ac:dyDescent="0.25">
      <c r="A1238" s="91">
        <f t="shared" si="19"/>
        <v>360</v>
      </c>
      <c r="B1238" s="53" t="s">
        <v>2606</v>
      </c>
      <c r="C1238" s="91" t="s">
        <v>2607</v>
      </c>
      <c r="D1238" s="91">
        <v>60</v>
      </c>
      <c r="E1238" s="269"/>
      <c r="F1238" s="268"/>
      <c r="G1238" s="91"/>
      <c r="H1238" s="91"/>
    </row>
    <row r="1239" spans="1:8" x14ac:dyDescent="0.25">
      <c r="A1239" s="91">
        <f t="shared" si="19"/>
        <v>360</v>
      </c>
      <c r="B1239" s="53" t="s">
        <v>2606</v>
      </c>
      <c r="C1239" s="91" t="s">
        <v>2607</v>
      </c>
      <c r="D1239" s="91">
        <v>60</v>
      </c>
      <c r="E1239" s="269"/>
      <c r="F1239" s="268"/>
      <c r="G1239" s="91"/>
      <c r="H1239" s="91"/>
    </row>
    <row r="1240" spans="1:8" x14ac:dyDescent="0.25">
      <c r="A1240" s="91">
        <f t="shared" si="19"/>
        <v>360</v>
      </c>
      <c r="B1240" s="53" t="s">
        <v>2606</v>
      </c>
      <c r="C1240" s="91" t="s">
        <v>2607</v>
      </c>
      <c r="D1240" s="91">
        <v>60</v>
      </c>
      <c r="E1240" s="269"/>
      <c r="F1240" s="268"/>
      <c r="G1240" s="91"/>
      <c r="H1240" s="91"/>
    </row>
    <row r="1241" spans="1:8" x14ac:dyDescent="0.25">
      <c r="A1241" s="91">
        <f t="shared" si="19"/>
        <v>360</v>
      </c>
      <c r="B1241" s="53" t="s">
        <v>2606</v>
      </c>
      <c r="C1241" s="91" t="s">
        <v>2607</v>
      </c>
      <c r="D1241" s="91">
        <v>60</v>
      </c>
      <c r="E1241" s="269"/>
      <c r="F1241" s="268"/>
      <c r="G1241" s="91"/>
      <c r="H1241" s="91"/>
    </row>
    <row r="1242" spans="1:8" x14ac:dyDescent="0.25">
      <c r="A1242" s="91">
        <f t="shared" si="19"/>
        <v>361</v>
      </c>
      <c r="B1242" s="53" t="s">
        <v>2616</v>
      </c>
      <c r="C1242" s="91" t="s">
        <v>115</v>
      </c>
      <c r="D1242" s="91">
        <v>390</v>
      </c>
      <c r="E1242" s="269">
        <v>155.04</v>
      </c>
      <c r="F1242" s="268">
        <v>0.33999999999999997</v>
      </c>
      <c r="G1242" s="91"/>
      <c r="H1242" s="91"/>
    </row>
    <row r="1243" spans="1:8" x14ac:dyDescent="0.25">
      <c r="A1243" s="91">
        <f t="shared" si="19"/>
        <v>361</v>
      </c>
      <c r="B1243" s="53" t="s">
        <v>2616</v>
      </c>
      <c r="C1243" s="91" t="s">
        <v>115</v>
      </c>
      <c r="D1243" s="91">
        <v>66</v>
      </c>
      <c r="E1243" s="269"/>
      <c r="F1243" s="268"/>
      <c r="G1243" s="91"/>
      <c r="H1243" s="91"/>
    </row>
    <row r="1244" spans="1:8" x14ac:dyDescent="0.25">
      <c r="A1244" s="91">
        <f t="shared" si="19"/>
        <v>362</v>
      </c>
      <c r="B1244" s="53" t="s">
        <v>2619</v>
      </c>
      <c r="C1244" s="91" t="s">
        <v>97</v>
      </c>
      <c r="D1244" s="91">
        <v>1350</v>
      </c>
      <c r="E1244" s="269">
        <v>553</v>
      </c>
      <c r="F1244" s="268">
        <v>0.34347826086956523</v>
      </c>
      <c r="G1244" s="91"/>
      <c r="H1244" s="91"/>
    </row>
    <row r="1245" spans="1:8" x14ac:dyDescent="0.25">
      <c r="A1245" s="91">
        <f t="shared" si="19"/>
        <v>362</v>
      </c>
      <c r="B1245" s="53" t="s">
        <v>2619</v>
      </c>
      <c r="C1245" s="91" t="s">
        <v>97</v>
      </c>
      <c r="D1245" s="91">
        <v>80</v>
      </c>
      <c r="E1245" s="269"/>
      <c r="F1245" s="268"/>
      <c r="G1245" s="91"/>
      <c r="H1245" s="91"/>
    </row>
    <row r="1246" spans="1:8" x14ac:dyDescent="0.25">
      <c r="A1246" s="91">
        <f t="shared" si="19"/>
        <v>362</v>
      </c>
      <c r="B1246" s="53" t="s">
        <v>2619</v>
      </c>
      <c r="C1246" s="91" t="s">
        <v>97</v>
      </c>
      <c r="D1246" s="91">
        <v>180</v>
      </c>
      <c r="E1246" s="269"/>
      <c r="F1246" s="268"/>
      <c r="G1246" s="91"/>
      <c r="H1246" s="91"/>
    </row>
    <row r="1247" spans="1:8" x14ac:dyDescent="0.25">
      <c r="A1247" s="91">
        <f t="shared" si="19"/>
        <v>363</v>
      </c>
      <c r="B1247" s="53" t="s">
        <v>2623</v>
      </c>
      <c r="C1247" s="91" t="s">
        <v>1037</v>
      </c>
      <c r="D1247" s="91">
        <v>420</v>
      </c>
      <c r="E1247" s="269">
        <v>192</v>
      </c>
      <c r="F1247" s="268">
        <v>0.35555555555555557</v>
      </c>
      <c r="G1247" s="91"/>
      <c r="H1247" s="91"/>
    </row>
    <row r="1248" spans="1:8" x14ac:dyDescent="0.25">
      <c r="A1248" s="91">
        <f t="shared" si="19"/>
        <v>363</v>
      </c>
      <c r="B1248" s="53" t="s">
        <v>2623</v>
      </c>
      <c r="C1248" s="91" t="s">
        <v>1037</v>
      </c>
      <c r="D1248" s="91">
        <v>120</v>
      </c>
      <c r="E1248" s="269"/>
      <c r="F1248" s="268"/>
      <c r="G1248" s="91"/>
      <c r="H1248" s="91"/>
    </row>
    <row r="1249" spans="1:8" x14ac:dyDescent="0.25">
      <c r="A1249" s="91">
        <f t="shared" si="19"/>
        <v>364</v>
      </c>
      <c r="B1249" s="53" t="s">
        <v>2940</v>
      </c>
      <c r="C1249" s="91" t="s">
        <v>115</v>
      </c>
      <c r="D1249" s="91">
        <v>1000</v>
      </c>
      <c r="E1249" s="269">
        <v>340</v>
      </c>
      <c r="F1249" s="268">
        <v>0.34</v>
      </c>
      <c r="G1249" s="91"/>
      <c r="H1249" s="91"/>
    </row>
    <row r="1250" spans="1:8" x14ac:dyDescent="0.25">
      <c r="A1250" s="91">
        <f t="shared" si="19"/>
        <v>365</v>
      </c>
      <c r="B1250" s="53" t="s">
        <v>2941</v>
      </c>
      <c r="C1250" s="91" t="s">
        <v>115</v>
      </c>
      <c r="D1250" s="91">
        <v>210</v>
      </c>
      <c r="E1250" s="269">
        <v>261.82</v>
      </c>
      <c r="F1250" s="268">
        <v>0.43782608695652175</v>
      </c>
      <c r="G1250" s="91"/>
      <c r="H1250" s="91"/>
    </row>
    <row r="1251" spans="1:8" x14ac:dyDescent="0.25">
      <c r="A1251" s="91">
        <f t="shared" si="19"/>
        <v>365</v>
      </c>
      <c r="B1251" s="53" t="s">
        <v>2941</v>
      </c>
      <c r="C1251" s="91" t="s">
        <v>115</v>
      </c>
      <c r="D1251" s="91">
        <v>208</v>
      </c>
      <c r="E1251" s="269"/>
      <c r="F1251" s="268"/>
      <c r="G1251" s="91"/>
      <c r="H1251" s="91"/>
    </row>
    <row r="1252" spans="1:8" x14ac:dyDescent="0.25">
      <c r="A1252" s="91">
        <f t="shared" si="19"/>
        <v>365</v>
      </c>
      <c r="B1252" s="53" t="s">
        <v>2941</v>
      </c>
      <c r="C1252" s="91" t="s">
        <v>115</v>
      </c>
      <c r="D1252" s="91">
        <v>90</v>
      </c>
      <c r="E1252" s="269"/>
      <c r="F1252" s="268"/>
      <c r="G1252" s="91"/>
      <c r="H1252" s="91"/>
    </row>
    <row r="1253" spans="1:8" x14ac:dyDescent="0.25">
      <c r="A1253" s="91">
        <f t="shared" si="19"/>
        <v>365</v>
      </c>
      <c r="B1253" s="53" t="s">
        <v>2941</v>
      </c>
      <c r="C1253" s="91" t="s">
        <v>115</v>
      </c>
      <c r="D1253" s="91">
        <v>90</v>
      </c>
      <c r="E1253" s="269"/>
      <c r="F1253" s="268"/>
      <c r="G1253" s="91"/>
      <c r="H1253" s="91"/>
    </row>
    <row r="1254" spans="1:8" x14ac:dyDescent="0.25">
      <c r="A1254" s="91">
        <f t="shared" si="19"/>
        <v>366</v>
      </c>
      <c r="B1254" s="53" t="s">
        <v>2942</v>
      </c>
      <c r="C1254" s="91" t="s">
        <v>97</v>
      </c>
      <c r="D1254" s="91">
        <v>990</v>
      </c>
      <c r="E1254" s="269">
        <v>3616.2</v>
      </c>
      <c r="F1254" s="268">
        <v>0.41</v>
      </c>
      <c r="G1254" s="91"/>
      <c r="H1254" s="91"/>
    </row>
    <row r="1255" spans="1:8" x14ac:dyDescent="0.25">
      <c r="A1255" s="91">
        <f t="shared" si="19"/>
        <v>366</v>
      </c>
      <c r="B1255" s="53" t="s">
        <v>2942</v>
      </c>
      <c r="C1255" s="91" t="s">
        <v>97</v>
      </c>
      <c r="D1255" s="91">
        <v>1200</v>
      </c>
      <c r="E1255" s="269"/>
      <c r="F1255" s="268"/>
      <c r="G1255" s="91"/>
      <c r="H1255" s="91"/>
    </row>
    <row r="1256" spans="1:8" x14ac:dyDescent="0.25">
      <c r="A1256" s="91">
        <f t="shared" si="19"/>
        <v>366</v>
      </c>
      <c r="B1256" s="53" t="s">
        <v>2942</v>
      </c>
      <c r="C1256" s="91" t="s">
        <v>97</v>
      </c>
      <c r="D1256" s="91">
        <v>600</v>
      </c>
      <c r="E1256" s="269"/>
      <c r="F1256" s="268"/>
      <c r="G1256" s="91"/>
      <c r="H1256" s="91"/>
    </row>
    <row r="1257" spans="1:8" x14ac:dyDescent="0.25">
      <c r="A1257" s="91">
        <f t="shared" si="19"/>
        <v>366</v>
      </c>
      <c r="B1257" s="53" t="s">
        <v>2942</v>
      </c>
      <c r="C1257" s="91" t="s">
        <v>97</v>
      </c>
      <c r="D1257" s="91">
        <v>1800</v>
      </c>
      <c r="E1257" s="269"/>
      <c r="F1257" s="268"/>
      <c r="G1257" s="91"/>
      <c r="H1257" s="91"/>
    </row>
    <row r="1258" spans="1:8" x14ac:dyDescent="0.25">
      <c r="A1258" s="91">
        <f t="shared" si="19"/>
        <v>366</v>
      </c>
      <c r="B1258" s="53" t="s">
        <v>2942</v>
      </c>
      <c r="C1258" s="91" t="s">
        <v>97</v>
      </c>
      <c r="D1258" s="91">
        <v>450</v>
      </c>
      <c r="E1258" s="269"/>
      <c r="F1258" s="268"/>
      <c r="G1258" s="91"/>
      <c r="H1258" s="91"/>
    </row>
    <row r="1259" spans="1:8" x14ac:dyDescent="0.25">
      <c r="A1259" s="91">
        <f t="shared" si="19"/>
        <v>366</v>
      </c>
      <c r="B1259" s="53" t="s">
        <v>2942</v>
      </c>
      <c r="C1259" s="91" t="s">
        <v>97</v>
      </c>
      <c r="D1259" s="91">
        <v>3000</v>
      </c>
      <c r="E1259" s="269"/>
      <c r="F1259" s="268"/>
      <c r="G1259" s="91"/>
      <c r="H1259" s="91"/>
    </row>
    <row r="1260" spans="1:8" x14ac:dyDescent="0.25">
      <c r="A1260" s="91">
        <f t="shared" si="19"/>
        <v>366</v>
      </c>
      <c r="B1260" s="53" t="s">
        <v>2942</v>
      </c>
      <c r="C1260" s="91" t="s">
        <v>97</v>
      </c>
      <c r="D1260" s="91">
        <v>210</v>
      </c>
      <c r="E1260" s="269"/>
      <c r="F1260" s="268"/>
      <c r="G1260" s="91"/>
      <c r="H1260" s="91"/>
    </row>
    <row r="1261" spans="1:8" x14ac:dyDescent="0.25">
      <c r="A1261" s="91">
        <f t="shared" si="19"/>
        <v>366</v>
      </c>
      <c r="B1261" s="53" t="s">
        <v>2942</v>
      </c>
      <c r="C1261" s="91" t="s">
        <v>97</v>
      </c>
      <c r="D1261" s="91">
        <v>240</v>
      </c>
      <c r="E1261" s="269"/>
      <c r="F1261" s="268"/>
      <c r="G1261" s="91"/>
      <c r="H1261" s="91"/>
    </row>
    <row r="1262" spans="1:8" x14ac:dyDescent="0.25">
      <c r="A1262" s="91">
        <f t="shared" si="19"/>
        <v>366</v>
      </c>
      <c r="B1262" s="53" t="s">
        <v>2942</v>
      </c>
      <c r="C1262" s="91" t="s">
        <v>97</v>
      </c>
      <c r="D1262" s="91">
        <v>300</v>
      </c>
      <c r="E1262" s="269"/>
      <c r="F1262" s="268"/>
      <c r="G1262" s="91"/>
      <c r="H1262" s="91"/>
    </row>
    <row r="1263" spans="1:8" x14ac:dyDescent="0.25">
      <c r="A1263" s="91">
        <f t="shared" si="19"/>
        <v>366</v>
      </c>
      <c r="B1263" s="53" t="s">
        <v>2942</v>
      </c>
      <c r="C1263" s="91" t="s">
        <v>97</v>
      </c>
      <c r="D1263" s="91">
        <v>10</v>
      </c>
      <c r="E1263" s="269"/>
      <c r="F1263" s="268"/>
      <c r="G1263" s="91"/>
      <c r="H1263" s="91"/>
    </row>
    <row r="1264" spans="1:8" x14ac:dyDescent="0.25">
      <c r="A1264" s="91">
        <f>IF(B1264=B1263,A1263,A1263+1)</f>
        <v>366</v>
      </c>
      <c r="B1264" s="53" t="s">
        <v>2942</v>
      </c>
      <c r="C1264" s="91" t="s">
        <v>97</v>
      </c>
      <c r="D1264" s="91">
        <v>20</v>
      </c>
      <c r="E1264" s="269"/>
      <c r="F1264" s="268"/>
      <c r="G1264" s="91"/>
      <c r="H1264" s="91"/>
    </row>
    <row r="1265" spans="1:8" x14ac:dyDescent="0.25">
      <c r="A1265" s="91">
        <f t="shared" si="19"/>
        <v>367</v>
      </c>
      <c r="B1265" s="53" t="s">
        <v>2943</v>
      </c>
      <c r="C1265" s="91" t="s">
        <v>97</v>
      </c>
      <c r="D1265" s="91">
        <v>100</v>
      </c>
      <c r="E1265" s="269">
        <v>739.1</v>
      </c>
      <c r="F1265" s="268">
        <v>0.35028436018957348</v>
      </c>
      <c r="G1265" s="91"/>
      <c r="H1265" s="91"/>
    </row>
    <row r="1266" spans="1:8" x14ac:dyDescent="0.25">
      <c r="A1266" s="91">
        <f t="shared" si="19"/>
        <v>367</v>
      </c>
      <c r="B1266" s="53" t="s">
        <v>2943</v>
      </c>
      <c r="C1266" s="91" t="s">
        <v>97</v>
      </c>
      <c r="D1266" s="91">
        <v>1200</v>
      </c>
      <c r="E1266" s="269"/>
      <c r="F1266" s="268"/>
      <c r="G1266" s="91"/>
      <c r="H1266" s="91"/>
    </row>
    <row r="1267" spans="1:8" x14ac:dyDescent="0.25">
      <c r="A1267" s="91">
        <f t="shared" si="19"/>
        <v>367</v>
      </c>
      <c r="B1267" s="53" t="s">
        <v>2943</v>
      </c>
      <c r="C1267" s="91" t="s">
        <v>97</v>
      </c>
      <c r="D1267" s="91">
        <v>480</v>
      </c>
      <c r="E1267" s="269"/>
      <c r="F1267" s="268"/>
      <c r="G1267" s="91"/>
      <c r="H1267" s="91"/>
    </row>
    <row r="1268" spans="1:8" x14ac:dyDescent="0.25">
      <c r="A1268" s="91">
        <f t="shared" si="19"/>
        <v>367</v>
      </c>
      <c r="B1268" s="53" t="s">
        <v>2943</v>
      </c>
      <c r="C1268" s="91" t="s">
        <v>97</v>
      </c>
      <c r="D1268" s="91">
        <v>120</v>
      </c>
      <c r="E1268" s="269"/>
      <c r="F1268" s="268"/>
      <c r="G1268" s="91"/>
      <c r="H1268" s="91"/>
    </row>
    <row r="1269" spans="1:8" x14ac:dyDescent="0.25">
      <c r="A1269" s="91">
        <f t="shared" si="19"/>
        <v>367</v>
      </c>
      <c r="B1269" s="53" t="s">
        <v>2943</v>
      </c>
      <c r="C1269" s="91" t="s">
        <v>97</v>
      </c>
      <c r="D1269" s="91">
        <v>60</v>
      </c>
      <c r="E1269" s="269"/>
      <c r="F1269" s="268"/>
      <c r="G1269" s="91"/>
      <c r="H1269" s="91"/>
    </row>
    <row r="1270" spans="1:8" x14ac:dyDescent="0.25">
      <c r="A1270" s="91">
        <f t="shared" si="19"/>
        <v>367</v>
      </c>
      <c r="B1270" s="53" t="s">
        <v>2943</v>
      </c>
      <c r="C1270" s="91" t="s">
        <v>97</v>
      </c>
      <c r="D1270" s="91">
        <v>150</v>
      </c>
      <c r="E1270" s="269"/>
      <c r="F1270" s="268"/>
      <c r="G1270" s="91"/>
      <c r="H1270" s="91"/>
    </row>
    <row r="1271" spans="1:8" x14ac:dyDescent="0.25">
      <c r="A1271" s="91">
        <f t="shared" si="19"/>
        <v>368</v>
      </c>
      <c r="B1271" s="53" t="s">
        <v>2944</v>
      </c>
      <c r="C1271" s="91" t="s">
        <v>2411</v>
      </c>
      <c r="D1271" s="91">
        <v>390</v>
      </c>
      <c r="E1271" s="269">
        <v>159.9</v>
      </c>
      <c r="F1271" s="268">
        <v>0.41000000000000003</v>
      </c>
      <c r="G1271" s="91"/>
      <c r="H1271" s="91"/>
    </row>
    <row r="1272" spans="1:8" x14ac:dyDescent="0.25">
      <c r="A1272" s="91">
        <f t="shared" si="19"/>
        <v>369</v>
      </c>
      <c r="B1272" s="53" t="s">
        <v>2945</v>
      </c>
      <c r="C1272" s="91" t="s">
        <v>115</v>
      </c>
      <c r="D1272" s="91">
        <v>320</v>
      </c>
      <c r="E1272" s="269">
        <v>108.8</v>
      </c>
      <c r="F1272" s="268">
        <v>0.33999999999999997</v>
      </c>
      <c r="G1272" s="91"/>
      <c r="H1272" s="91"/>
    </row>
    <row r="1273" spans="1:8" x14ac:dyDescent="0.25">
      <c r="A1273" s="91">
        <f t="shared" si="19"/>
        <v>370</v>
      </c>
      <c r="B1273" s="53" t="s">
        <v>2946</v>
      </c>
      <c r="C1273" s="91" t="s">
        <v>97</v>
      </c>
      <c r="D1273" s="91">
        <v>192</v>
      </c>
      <c r="E1273" s="269">
        <v>65.28</v>
      </c>
      <c r="F1273" s="268">
        <v>0.34</v>
      </c>
      <c r="G1273" s="91"/>
      <c r="H1273" s="91"/>
    </row>
    <row r="1274" spans="1:8" x14ac:dyDescent="0.25">
      <c r="A1274" s="91">
        <f t="shared" si="19"/>
        <v>371</v>
      </c>
      <c r="B1274" s="53" t="s">
        <v>2947</v>
      </c>
      <c r="C1274" s="91" t="s">
        <v>115</v>
      </c>
      <c r="D1274" s="91">
        <v>360</v>
      </c>
      <c r="E1274" s="269">
        <v>216</v>
      </c>
      <c r="F1274" s="268">
        <v>0.3</v>
      </c>
      <c r="G1274" s="91"/>
      <c r="H1274" s="91"/>
    </row>
    <row r="1275" spans="1:8" x14ac:dyDescent="0.25">
      <c r="A1275" s="91">
        <f t="shared" si="19"/>
        <v>371</v>
      </c>
      <c r="B1275" s="53" t="s">
        <v>2947</v>
      </c>
      <c r="C1275" s="91" t="s">
        <v>115</v>
      </c>
      <c r="D1275" s="91">
        <v>360</v>
      </c>
      <c r="E1275" s="269"/>
      <c r="F1275" s="268"/>
      <c r="G1275" s="91"/>
      <c r="H1275" s="91"/>
    </row>
    <row r="1276" spans="1:8" x14ac:dyDescent="0.25">
      <c r="A1276" s="91">
        <f>IF(B1276=B1275,A1275,A1275+1)</f>
        <v>372</v>
      </c>
      <c r="B1276" s="53" t="s">
        <v>2940</v>
      </c>
      <c r="C1276" s="91" t="s">
        <v>115</v>
      </c>
      <c r="D1276" s="91">
        <v>1000</v>
      </c>
      <c r="E1276" s="269">
        <v>340</v>
      </c>
      <c r="F1276" s="268">
        <v>0.17</v>
      </c>
      <c r="G1276" s="91"/>
      <c r="H1276" s="91"/>
    </row>
    <row r="1277" spans="1:8" x14ac:dyDescent="0.25">
      <c r="A1277" s="91">
        <f t="shared" si="19"/>
        <v>373</v>
      </c>
      <c r="B1277" s="53" t="s">
        <v>2941</v>
      </c>
      <c r="C1277" s="91" t="s">
        <v>115</v>
      </c>
      <c r="D1277" s="91">
        <v>210</v>
      </c>
      <c r="E1277" s="61">
        <v>261.82</v>
      </c>
      <c r="F1277" s="268">
        <v>0.21891304347826088</v>
      </c>
      <c r="G1277" s="91"/>
      <c r="H1277" s="91"/>
    </row>
    <row r="1278" spans="1:8" x14ac:dyDescent="0.25">
      <c r="A1278" s="91">
        <f t="shared" si="19"/>
        <v>373</v>
      </c>
      <c r="B1278" s="53" t="s">
        <v>2941</v>
      </c>
      <c r="C1278" s="91" t="s">
        <v>115</v>
      </c>
      <c r="D1278" s="91">
        <v>208</v>
      </c>
      <c r="E1278" s="269"/>
      <c r="F1278" s="268"/>
      <c r="G1278" s="91"/>
      <c r="H1278" s="91"/>
    </row>
    <row r="1279" spans="1:8" x14ac:dyDescent="0.25">
      <c r="A1279" s="91">
        <f t="shared" si="19"/>
        <v>373</v>
      </c>
      <c r="B1279" s="53" t="s">
        <v>2941</v>
      </c>
      <c r="C1279" s="91" t="s">
        <v>115</v>
      </c>
      <c r="D1279" s="91">
        <v>90</v>
      </c>
      <c r="E1279" s="269"/>
      <c r="F1279" s="268"/>
      <c r="G1279" s="91"/>
      <c r="H1279" s="91"/>
    </row>
    <row r="1280" spans="1:8" x14ac:dyDescent="0.25">
      <c r="A1280" s="91">
        <f t="shared" si="19"/>
        <v>373</v>
      </c>
      <c r="B1280" s="53" t="s">
        <v>2941</v>
      </c>
      <c r="C1280" s="91" t="s">
        <v>115</v>
      </c>
      <c r="D1280" s="91">
        <v>90</v>
      </c>
      <c r="E1280" s="269"/>
      <c r="F1280" s="268"/>
      <c r="G1280" s="91"/>
      <c r="H1280" s="91"/>
    </row>
    <row r="1281" spans="1:8" x14ac:dyDescent="0.25">
      <c r="A1281" s="91">
        <f t="shared" si="19"/>
        <v>374</v>
      </c>
      <c r="B1281" s="53" t="s">
        <v>2942</v>
      </c>
      <c r="C1281" s="91" t="s">
        <v>97</v>
      </c>
      <c r="D1281" s="91">
        <v>990</v>
      </c>
      <c r="E1281" s="61">
        <v>3616.2</v>
      </c>
      <c r="F1281" s="268">
        <v>0.20499999999999999</v>
      </c>
      <c r="G1281" s="91"/>
      <c r="H1281" s="91"/>
    </row>
    <row r="1282" spans="1:8" x14ac:dyDescent="0.25">
      <c r="A1282" s="91">
        <f t="shared" si="19"/>
        <v>374</v>
      </c>
      <c r="B1282" s="53" t="s">
        <v>2942</v>
      </c>
      <c r="C1282" s="91" t="s">
        <v>97</v>
      </c>
      <c r="D1282" s="91">
        <v>1200</v>
      </c>
      <c r="E1282" s="269"/>
      <c r="F1282" s="268"/>
      <c r="G1282" s="91"/>
      <c r="H1282" s="91"/>
    </row>
    <row r="1283" spans="1:8" x14ac:dyDescent="0.25">
      <c r="A1283" s="91">
        <f t="shared" si="19"/>
        <v>374</v>
      </c>
      <c r="B1283" s="53" t="s">
        <v>2942</v>
      </c>
      <c r="C1283" s="91" t="s">
        <v>97</v>
      </c>
      <c r="D1283" s="91">
        <v>600</v>
      </c>
      <c r="E1283" s="269"/>
      <c r="F1283" s="268"/>
      <c r="G1283" s="91"/>
      <c r="H1283" s="91"/>
    </row>
    <row r="1284" spans="1:8" x14ac:dyDescent="0.25">
      <c r="A1284" s="91">
        <f t="shared" ref="A1284:A1347" si="20">IF(B1284=B1283,A1283,A1283+1)</f>
        <v>374</v>
      </c>
      <c r="B1284" s="53" t="s">
        <v>2942</v>
      </c>
      <c r="C1284" s="91" t="s">
        <v>97</v>
      </c>
      <c r="D1284" s="91">
        <v>1800</v>
      </c>
      <c r="E1284" s="269"/>
      <c r="F1284" s="268"/>
      <c r="G1284" s="91"/>
      <c r="H1284" s="91"/>
    </row>
    <row r="1285" spans="1:8" x14ac:dyDescent="0.25">
      <c r="A1285" s="91">
        <f t="shared" si="20"/>
        <v>374</v>
      </c>
      <c r="B1285" s="53" t="s">
        <v>2942</v>
      </c>
      <c r="C1285" s="91" t="s">
        <v>97</v>
      </c>
      <c r="D1285" s="91">
        <v>450</v>
      </c>
      <c r="E1285" s="269"/>
      <c r="F1285" s="268"/>
      <c r="G1285" s="91"/>
      <c r="H1285" s="91"/>
    </row>
    <row r="1286" spans="1:8" x14ac:dyDescent="0.25">
      <c r="A1286" s="91">
        <f t="shared" si="20"/>
        <v>374</v>
      </c>
      <c r="B1286" s="53" t="s">
        <v>2942</v>
      </c>
      <c r="C1286" s="91" t="s">
        <v>97</v>
      </c>
      <c r="D1286" s="91">
        <v>3000</v>
      </c>
      <c r="E1286" s="269"/>
      <c r="F1286" s="268"/>
      <c r="G1286" s="91"/>
      <c r="H1286" s="91"/>
    </row>
    <row r="1287" spans="1:8" x14ac:dyDescent="0.25">
      <c r="A1287" s="91">
        <f t="shared" si="20"/>
        <v>374</v>
      </c>
      <c r="B1287" s="53" t="s">
        <v>2942</v>
      </c>
      <c r="C1287" s="91" t="s">
        <v>97</v>
      </c>
      <c r="D1287" s="91">
        <v>210</v>
      </c>
      <c r="E1287" s="269"/>
      <c r="F1287" s="268"/>
      <c r="G1287" s="91"/>
      <c r="H1287" s="91"/>
    </row>
    <row r="1288" spans="1:8" x14ac:dyDescent="0.25">
      <c r="A1288" s="91">
        <f t="shared" si="20"/>
        <v>374</v>
      </c>
      <c r="B1288" s="53" t="s">
        <v>2942</v>
      </c>
      <c r="C1288" s="91" t="s">
        <v>97</v>
      </c>
      <c r="D1288" s="91">
        <v>240</v>
      </c>
      <c r="E1288" s="269"/>
      <c r="F1288" s="268"/>
      <c r="G1288" s="91"/>
      <c r="H1288" s="91"/>
    </row>
    <row r="1289" spans="1:8" x14ac:dyDescent="0.25">
      <c r="A1289" s="91">
        <f t="shared" si="20"/>
        <v>374</v>
      </c>
      <c r="B1289" s="53" t="s">
        <v>2942</v>
      </c>
      <c r="C1289" s="91" t="s">
        <v>97</v>
      </c>
      <c r="D1289" s="91">
        <v>300</v>
      </c>
      <c r="E1289" s="269"/>
      <c r="F1289" s="268"/>
      <c r="G1289" s="91"/>
      <c r="H1289" s="91"/>
    </row>
    <row r="1290" spans="1:8" x14ac:dyDescent="0.25">
      <c r="A1290" s="91">
        <f t="shared" si="20"/>
        <v>374</v>
      </c>
      <c r="B1290" s="53" t="s">
        <v>2942</v>
      </c>
      <c r="C1290" s="91" t="s">
        <v>97</v>
      </c>
      <c r="D1290" s="91">
        <v>10</v>
      </c>
      <c r="E1290" s="269"/>
      <c r="F1290" s="268"/>
      <c r="G1290" s="91"/>
      <c r="H1290" s="91"/>
    </row>
    <row r="1291" spans="1:8" x14ac:dyDescent="0.25">
      <c r="A1291" s="91">
        <f t="shared" si="20"/>
        <v>374</v>
      </c>
      <c r="B1291" s="53" t="s">
        <v>2942</v>
      </c>
      <c r="C1291" s="91" t="s">
        <v>97</v>
      </c>
      <c r="D1291" s="91">
        <v>20</v>
      </c>
      <c r="E1291" s="269"/>
      <c r="F1291" s="268"/>
      <c r="G1291" s="91"/>
      <c r="H1291" s="91"/>
    </row>
    <row r="1292" spans="1:8" x14ac:dyDescent="0.25">
      <c r="A1292" s="91">
        <f t="shared" si="20"/>
        <v>375</v>
      </c>
      <c r="B1292" s="53" t="s">
        <v>2943</v>
      </c>
      <c r="C1292" s="91" t="s">
        <v>97</v>
      </c>
      <c r="D1292" s="91">
        <v>100</v>
      </c>
      <c r="E1292" s="61">
        <v>739.1</v>
      </c>
      <c r="F1292" s="268">
        <v>0.17514218009478674</v>
      </c>
      <c r="G1292" s="91"/>
      <c r="H1292" s="91"/>
    </row>
    <row r="1293" spans="1:8" x14ac:dyDescent="0.25">
      <c r="A1293" s="91">
        <f t="shared" si="20"/>
        <v>375</v>
      </c>
      <c r="B1293" s="53" t="s">
        <v>2943</v>
      </c>
      <c r="C1293" s="91" t="s">
        <v>97</v>
      </c>
      <c r="D1293" s="91">
        <v>1200</v>
      </c>
      <c r="E1293" s="269"/>
      <c r="F1293" s="268"/>
      <c r="G1293" s="91"/>
      <c r="H1293" s="91"/>
    </row>
    <row r="1294" spans="1:8" x14ac:dyDescent="0.25">
      <c r="A1294" s="91">
        <f t="shared" si="20"/>
        <v>375</v>
      </c>
      <c r="B1294" s="53" t="s">
        <v>2943</v>
      </c>
      <c r="C1294" s="91" t="s">
        <v>97</v>
      </c>
      <c r="D1294" s="91">
        <v>480</v>
      </c>
      <c r="E1294" s="269"/>
      <c r="F1294" s="268"/>
      <c r="G1294" s="91"/>
      <c r="H1294" s="91"/>
    </row>
    <row r="1295" spans="1:8" x14ac:dyDescent="0.25">
      <c r="A1295" s="91">
        <f t="shared" si="20"/>
        <v>375</v>
      </c>
      <c r="B1295" s="53" t="s">
        <v>2943</v>
      </c>
      <c r="C1295" s="91" t="s">
        <v>97</v>
      </c>
      <c r="D1295" s="91">
        <v>120</v>
      </c>
      <c r="E1295" s="269"/>
      <c r="F1295" s="268"/>
      <c r="G1295" s="91"/>
      <c r="H1295" s="91"/>
    </row>
    <row r="1296" spans="1:8" x14ac:dyDescent="0.25">
      <c r="A1296" s="91">
        <f t="shared" si="20"/>
        <v>375</v>
      </c>
      <c r="B1296" s="53" t="s">
        <v>2943</v>
      </c>
      <c r="C1296" s="91" t="s">
        <v>97</v>
      </c>
      <c r="D1296" s="91">
        <v>60</v>
      </c>
      <c r="E1296" s="269"/>
      <c r="F1296" s="268"/>
      <c r="G1296" s="91"/>
      <c r="H1296" s="91"/>
    </row>
    <row r="1297" spans="1:8" x14ac:dyDescent="0.25">
      <c r="A1297" s="91">
        <f t="shared" si="20"/>
        <v>375</v>
      </c>
      <c r="B1297" s="53" t="s">
        <v>2943</v>
      </c>
      <c r="C1297" s="91" t="s">
        <v>97</v>
      </c>
      <c r="D1297" s="91">
        <v>150</v>
      </c>
      <c r="E1297" s="269"/>
      <c r="F1297" s="268"/>
      <c r="G1297" s="91"/>
      <c r="H1297" s="91"/>
    </row>
    <row r="1298" spans="1:8" x14ac:dyDescent="0.25">
      <c r="A1298" s="91">
        <f t="shared" si="20"/>
        <v>376</v>
      </c>
      <c r="B1298" s="53" t="s">
        <v>2944</v>
      </c>
      <c r="C1298" s="91" t="s">
        <v>2411</v>
      </c>
      <c r="D1298" s="91">
        <v>390</v>
      </c>
      <c r="E1298" s="61">
        <v>159.9</v>
      </c>
      <c r="F1298" s="268">
        <v>0.20500000000000002</v>
      </c>
      <c r="G1298" s="91"/>
      <c r="H1298" s="91"/>
    </row>
    <row r="1299" spans="1:8" x14ac:dyDescent="0.25">
      <c r="A1299" s="91">
        <f t="shared" si="20"/>
        <v>377</v>
      </c>
      <c r="B1299" s="53" t="s">
        <v>2945</v>
      </c>
      <c r="C1299" s="91" t="s">
        <v>115</v>
      </c>
      <c r="D1299" s="91">
        <v>320</v>
      </c>
      <c r="E1299" s="61">
        <v>108.8</v>
      </c>
      <c r="F1299" s="268">
        <v>0.16999999999999998</v>
      </c>
      <c r="G1299" s="91"/>
      <c r="H1299" s="91"/>
    </row>
    <row r="1300" spans="1:8" x14ac:dyDescent="0.25">
      <c r="A1300" s="91">
        <f t="shared" si="20"/>
        <v>378</v>
      </c>
      <c r="B1300" s="53" t="s">
        <v>2946</v>
      </c>
      <c r="C1300" s="91" t="s">
        <v>97</v>
      </c>
      <c r="D1300" s="91">
        <v>192</v>
      </c>
      <c r="E1300" s="61">
        <v>65.28</v>
      </c>
      <c r="F1300" s="268">
        <v>0.17</v>
      </c>
      <c r="G1300" s="91"/>
      <c r="H1300" s="91"/>
    </row>
    <row r="1301" spans="1:8" x14ac:dyDescent="0.25">
      <c r="A1301" s="91">
        <f t="shared" si="20"/>
        <v>379</v>
      </c>
      <c r="B1301" s="53" t="s">
        <v>2947</v>
      </c>
      <c r="C1301" s="91" t="s">
        <v>115</v>
      </c>
      <c r="D1301" s="91">
        <v>360</v>
      </c>
      <c r="E1301" s="61">
        <v>216</v>
      </c>
      <c r="F1301" s="268">
        <v>0.15</v>
      </c>
      <c r="G1301" s="91"/>
      <c r="H1301" s="91"/>
    </row>
    <row r="1302" spans="1:8" x14ac:dyDescent="0.25">
      <c r="A1302" s="91">
        <f t="shared" si="20"/>
        <v>379</v>
      </c>
      <c r="B1302" s="53" t="s">
        <v>2947</v>
      </c>
      <c r="C1302" s="91" t="s">
        <v>115</v>
      </c>
      <c r="D1302" s="91">
        <v>360</v>
      </c>
      <c r="E1302" s="269"/>
      <c r="F1302" s="268"/>
      <c r="G1302" s="91"/>
      <c r="H1302" s="91"/>
    </row>
    <row r="1303" spans="1:8" x14ac:dyDescent="0.25">
      <c r="A1303" s="91">
        <f t="shared" si="20"/>
        <v>380</v>
      </c>
      <c r="B1303" s="53" t="s">
        <v>2972</v>
      </c>
      <c r="C1303" s="91" t="s">
        <v>97</v>
      </c>
      <c r="D1303" s="91">
        <v>1800</v>
      </c>
      <c r="E1303" s="61">
        <v>1353</v>
      </c>
      <c r="F1303" s="268">
        <v>0.41</v>
      </c>
      <c r="G1303" s="91"/>
      <c r="H1303" s="91"/>
    </row>
    <row r="1304" spans="1:8" x14ac:dyDescent="0.25">
      <c r="A1304" s="91">
        <f t="shared" si="20"/>
        <v>380</v>
      </c>
      <c r="B1304" s="53" t="s">
        <v>2972</v>
      </c>
      <c r="C1304" s="91" t="s">
        <v>97</v>
      </c>
      <c r="D1304" s="91">
        <v>390</v>
      </c>
      <c r="E1304" s="269"/>
      <c r="F1304" s="268"/>
      <c r="G1304" s="91"/>
      <c r="H1304" s="91"/>
    </row>
    <row r="1305" spans="1:8" x14ac:dyDescent="0.25">
      <c r="A1305" s="91">
        <f t="shared" si="20"/>
        <v>380</v>
      </c>
      <c r="B1305" s="53" t="s">
        <v>2972</v>
      </c>
      <c r="C1305" s="91" t="s">
        <v>97</v>
      </c>
      <c r="D1305" s="91">
        <v>990</v>
      </c>
      <c r="E1305" s="269"/>
      <c r="F1305" s="268"/>
      <c r="G1305" s="91"/>
      <c r="H1305" s="91"/>
    </row>
    <row r="1306" spans="1:8" x14ac:dyDescent="0.25">
      <c r="A1306" s="91">
        <f t="shared" si="20"/>
        <v>380</v>
      </c>
      <c r="B1306" s="53" t="s">
        <v>2972</v>
      </c>
      <c r="C1306" s="91" t="s">
        <v>97</v>
      </c>
      <c r="D1306" s="91">
        <v>120</v>
      </c>
      <c r="E1306" s="269"/>
      <c r="F1306" s="268"/>
      <c r="G1306" s="91"/>
      <c r="H1306" s="91"/>
    </row>
    <row r="1307" spans="1:8" x14ac:dyDescent="0.25">
      <c r="A1307" s="91">
        <f t="shared" si="20"/>
        <v>381</v>
      </c>
      <c r="B1307" s="53" t="s">
        <v>2973</v>
      </c>
      <c r="C1307" s="91" t="s">
        <v>97</v>
      </c>
      <c r="D1307" s="91">
        <v>2000</v>
      </c>
      <c r="E1307" s="61">
        <v>979.6</v>
      </c>
      <c r="F1307" s="268">
        <v>0.34492957746478875</v>
      </c>
      <c r="G1307" s="91"/>
      <c r="H1307" s="91"/>
    </row>
    <row r="1308" spans="1:8" x14ac:dyDescent="0.25">
      <c r="A1308" s="91">
        <f t="shared" si="20"/>
        <v>381</v>
      </c>
      <c r="B1308" s="53" t="s">
        <v>2973</v>
      </c>
      <c r="C1308" s="91" t="s">
        <v>97</v>
      </c>
      <c r="D1308" s="91">
        <v>320</v>
      </c>
      <c r="E1308" s="269"/>
      <c r="F1308" s="268"/>
      <c r="G1308" s="91"/>
      <c r="H1308" s="91"/>
    </row>
    <row r="1309" spans="1:8" x14ac:dyDescent="0.25">
      <c r="A1309" s="91">
        <f t="shared" si="20"/>
        <v>381</v>
      </c>
      <c r="B1309" s="53" t="s">
        <v>2973</v>
      </c>
      <c r="C1309" s="91" t="s">
        <v>97</v>
      </c>
      <c r="D1309" s="91">
        <v>200</v>
      </c>
      <c r="E1309" s="269"/>
      <c r="F1309" s="268"/>
      <c r="G1309" s="91"/>
      <c r="H1309" s="91"/>
    </row>
    <row r="1310" spans="1:8" x14ac:dyDescent="0.25">
      <c r="A1310" s="91">
        <f t="shared" si="20"/>
        <v>381</v>
      </c>
      <c r="B1310" s="53" t="s">
        <v>2973</v>
      </c>
      <c r="C1310" s="91" t="s">
        <v>97</v>
      </c>
      <c r="D1310" s="91">
        <v>120</v>
      </c>
      <c r="E1310" s="269"/>
      <c r="F1310" s="268"/>
      <c r="G1310" s="91"/>
      <c r="H1310" s="91"/>
    </row>
    <row r="1311" spans="1:8" x14ac:dyDescent="0.25">
      <c r="A1311" s="91">
        <f t="shared" si="20"/>
        <v>381</v>
      </c>
      <c r="B1311" s="53" t="s">
        <v>2973</v>
      </c>
      <c r="C1311" s="91" t="s">
        <v>97</v>
      </c>
      <c r="D1311" s="91">
        <v>200</v>
      </c>
      <c r="E1311" s="269"/>
      <c r="F1311" s="268"/>
      <c r="G1311" s="91"/>
      <c r="H1311" s="91"/>
    </row>
    <row r="1312" spans="1:8" x14ac:dyDescent="0.25">
      <c r="A1312" s="91">
        <f t="shared" si="20"/>
        <v>382</v>
      </c>
      <c r="B1312" s="53" t="s">
        <v>2975</v>
      </c>
      <c r="C1312" s="91" t="s">
        <v>115</v>
      </c>
      <c r="D1312" s="91">
        <v>90</v>
      </c>
      <c r="E1312" s="61">
        <v>531</v>
      </c>
      <c r="F1312" s="268">
        <v>0.35399999999999998</v>
      </c>
      <c r="G1312" s="91"/>
      <c r="H1312" s="91"/>
    </row>
    <row r="1313" spans="1:8" x14ac:dyDescent="0.25">
      <c r="A1313" s="91">
        <f t="shared" si="20"/>
        <v>382</v>
      </c>
      <c r="B1313" s="53" t="s">
        <v>2975</v>
      </c>
      <c r="C1313" s="91" t="s">
        <v>115</v>
      </c>
      <c r="D1313" s="91">
        <v>210</v>
      </c>
      <c r="E1313" s="269"/>
      <c r="F1313" s="268"/>
      <c r="G1313" s="91"/>
      <c r="H1313" s="91"/>
    </row>
    <row r="1314" spans="1:8" x14ac:dyDescent="0.25">
      <c r="A1314" s="91">
        <f t="shared" si="20"/>
        <v>382</v>
      </c>
      <c r="B1314" s="53" t="s">
        <v>2975</v>
      </c>
      <c r="C1314" s="91" t="s">
        <v>115</v>
      </c>
      <c r="D1314" s="91">
        <v>1200</v>
      </c>
      <c r="E1314" s="269"/>
      <c r="F1314" s="268"/>
      <c r="G1314" s="91"/>
      <c r="H1314" s="91"/>
    </row>
    <row r="1315" spans="1:8" x14ac:dyDescent="0.25">
      <c r="A1315" s="91">
        <f t="shared" si="20"/>
        <v>383</v>
      </c>
      <c r="B1315" s="53" t="s">
        <v>2976</v>
      </c>
      <c r="C1315" s="91" t="s">
        <v>115</v>
      </c>
      <c r="D1315" s="91">
        <v>390</v>
      </c>
      <c r="E1315" s="61">
        <v>159.9</v>
      </c>
      <c r="F1315" s="268">
        <v>0.41000000000000003</v>
      </c>
      <c r="G1315" s="91"/>
      <c r="H1315" s="91"/>
    </row>
    <row r="1316" spans="1:8" x14ac:dyDescent="0.25">
      <c r="A1316" s="91">
        <f t="shared" si="20"/>
        <v>384</v>
      </c>
      <c r="B1316" s="53" t="s">
        <v>2979</v>
      </c>
      <c r="C1316" s="91" t="s">
        <v>97</v>
      </c>
      <c r="D1316" s="91">
        <v>660</v>
      </c>
      <c r="E1316" s="61">
        <v>870.24</v>
      </c>
      <c r="F1316" s="268">
        <v>0.49</v>
      </c>
      <c r="G1316" s="91"/>
      <c r="H1316" s="91"/>
    </row>
    <row r="1317" spans="1:8" x14ac:dyDescent="0.25">
      <c r="A1317" s="91">
        <f t="shared" si="20"/>
        <v>384</v>
      </c>
      <c r="B1317" s="53" t="s">
        <v>2979</v>
      </c>
      <c r="C1317" s="91" t="s">
        <v>97</v>
      </c>
      <c r="D1317" s="91">
        <v>660</v>
      </c>
      <c r="E1317" s="61"/>
      <c r="F1317" s="268"/>
      <c r="G1317" s="91"/>
      <c r="H1317" s="91"/>
    </row>
    <row r="1318" spans="1:8" x14ac:dyDescent="0.25">
      <c r="A1318" s="91">
        <f t="shared" si="20"/>
        <v>384</v>
      </c>
      <c r="B1318" s="53" t="s">
        <v>2979</v>
      </c>
      <c r="C1318" s="91" t="s">
        <v>97</v>
      </c>
      <c r="D1318" s="91">
        <v>456</v>
      </c>
      <c r="E1318" s="269"/>
      <c r="F1318" s="268"/>
      <c r="G1318" s="91"/>
      <c r="H1318" s="91"/>
    </row>
    <row r="1319" spans="1:8" x14ac:dyDescent="0.25">
      <c r="A1319" s="91">
        <f t="shared" si="20"/>
        <v>385</v>
      </c>
      <c r="B1319" s="53" t="s">
        <v>2980</v>
      </c>
      <c r="C1319" s="91" t="s">
        <v>115</v>
      </c>
      <c r="D1319" s="91">
        <v>532</v>
      </c>
      <c r="E1319" s="269">
        <v>180.88</v>
      </c>
      <c r="F1319" s="268">
        <v>0.33999999999999997</v>
      </c>
      <c r="G1319" s="91"/>
      <c r="H1319" s="91"/>
    </row>
    <row r="1320" spans="1:8" x14ac:dyDescent="0.25">
      <c r="A1320" s="91">
        <f t="shared" si="20"/>
        <v>386</v>
      </c>
      <c r="B1320" s="53" t="s">
        <v>2982</v>
      </c>
      <c r="C1320" s="91" t="s">
        <v>97</v>
      </c>
      <c r="D1320" s="91">
        <v>1260</v>
      </c>
      <c r="E1320" s="269">
        <v>428.4</v>
      </c>
      <c r="F1320" s="268">
        <v>0.33999999999999997</v>
      </c>
      <c r="G1320" s="91"/>
      <c r="H1320" s="91"/>
    </row>
    <row r="1321" spans="1:8" x14ac:dyDescent="0.25">
      <c r="A1321" s="91">
        <f t="shared" si="20"/>
        <v>387</v>
      </c>
      <c r="B1321" s="53" t="s">
        <v>2983</v>
      </c>
      <c r="C1321" s="91" t="s">
        <v>115</v>
      </c>
      <c r="D1321" s="91">
        <v>90</v>
      </c>
      <c r="E1321" s="269">
        <v>545.36</v>
      </c>
      <c r="F1321" s="268">
        <v>0.34</v>
      </c>
      <c r="G1321" s="91"/>
      <c r="H1321" s="91"/>
    </row>
    <row r="1322" spans="1:8" x14ac:dyDescent="0.25">
      <c r="A1322" s="91">
        <f t="shared" si="20"/>
        <v>387</v>
      </c>
      <c r="B1322" s="53" t="s">
        <v>2983</v>
      </c>
      <c r="C1322" s="91" t="s">
        <v>115</v>
      </c>
      <c r="D1322" s="91">
        <v>90</v>
      </c>
      <c r="E1322" s="269"/>
      <c r="F1322" s="268"/>
      <c r="G1322" s="91"/>
      <c r="H1322" s="91"/>
    </row>
    <row r="1323" spans="1:8" x14ac:dyDescent="0.25">
      <c r="A1323" s="91">
        <f t="shared" si="20"/>
        <v>387</v>
      </c>
      <c r="B1323" s="53" t="s">
        <v>2983</v>
      </c>
      <c r="C1323" s="91" t="s">
        <v>115</v>
      </c>
      <c r="D1323" s="91">
        <v>1064</v>
      </c>
      <c r="E1323" s="269"/>
      <c r="F1323" s="268"/>
      <c r="G1323" s="91"/>
      <c r="H1323" s="91"/>
    </row>
    <row r="1324" spans="1:8" x14ac:dyDescent="0.25">
      <c r="A1324" s="91">
        <f t="shared" si="20"/>
        <v>387</v>
      </c>
      <c r="B1324" s="53" t="s">
        <v>2983</v>
      </c>
      <c r="C1324" s="91" t="s">
        <v>115</v>
      </c>
      <c r="D1324" s="91">
        <v>90</v>
      </c>
      <c r="E1324" s="269"/>
      <c r="F1324" s="268"/>
      <c r="G1324" s="91"/>
      <c r="H1324" s="91"/>
    </row>
    <row r="1325" spans="1:8" x14ac:dyDescent="0.25">
      <c r="A1325" s="91">
        <f t="shared" si="20"/>
        <v>387</v>
      </c>
      <c r="B1325" s="53" t="s">
        <v>2983</v>
      </c>
      <c r="C1325" s="91" t="s">
        <v>115</v>
      </c>
      <c r="D1325" s="91">
        <v>180</v>
      </c>
      <c r="E1325" s="269"/>
      <c r="F1325" s="268"/>
      <c r="G1325" s="91"/>
      <c r="H1325" s="91"/>
    </row>
    <row r="1326" spans="1:8" x14ac:dyDescent="0.25">
      <c r="A1326" s="91">
        <f t="shared" si="20"/>
        <v>387</v>
      </c>
      <c r="B1326" s="53" t="s">
        <v>2983</v>
      </c>
      <c r="C1326" s="91" t="s">
        <v>115</v>
      </c>
      <c r="D1326" s="91">
        <v>90</v>
      </c>
      <c r="E1326" s="269"/>
      <c r="F1326" s="268"/>
      <c r="G1326" s="91"/>
      <c r="H1326" s="91"/>
    </row>
    <row r="1327" spans="1:8" x14ac:dyDescent="0.25">
      <c r="A1327" s="91">
        <f t="shared" si="20"/>
        <v>388</v>
      </c>
      <c r="B1327" s="53" t="s">
        <v>3001</v>
      </c>
      <c r="C1327" s="91" t="s">
        <v>115</v>
      </c>
      <c r="D1327" s="91">
        <v>128</v>
      </c>
      <c r="E1327" s="61">
        <v>743.32</v>
      </c>
      <c r="F1327" s="268">
        <v>0.35943907156673116</v>
      </c>
      <c r="G1327" s="91"/>
      <c r="H1327" s="91"/>
    </row>
    <row r="1328" spans="1:8" x14ac:dyDescent="0.25">
      <c r="A1328" s="91">
        <f t="shared" si="20"/>
        <v>388</v>
      </c>
      <c r="B1328" s="53" t="s">
        <v>3001</v>
      </c>
      <c r="C1328" s="91" t="s">
        <v>115</v>
      </c>
      <c r="D1328" s="91">
        <v>300</v>
      </c>
      <c r="E1328" s="269"/>
      <c r="F1328" s="268"/>
      <c r="G1328" s="91"/>
      <c r="H1328" s="91"/>
    </row>
    <row r="1329" spans="1:8" x14ac:dyDescent="0.25">
      <c r="A1329" s="91">
        <f t="shared" si="20"/>
        <v>388</v>
      </c>
      <c r="B1329" s="53" t="s">
        <v>3001</v>
      </c>
      <c r="C1329" s="91" t="s">
        <v>115</v>
      </c>
      <c r="D1329" s="91">
        <v>1200</v>
      </c>
      <c r="E1329" s="269"/>
      <c r="F1329" s="268"/>
      <c r="G1329" s="91"/>
      <c r="H1329" s="91"/>
    </row>
    <row r="1330" spans="1:8" x14ac:dyDescent="0.25">
      <c r="A1330" s="91">
        <f t="shared" si="20"/>
        <v>388</v>
      </c>
      <c r="B1330" s="53" t="s">
        <v>3001</v>
      </c>
      <c r="C1330" s="91" t="s">
        <v>115</v>
      </c>
      <c r="D1330" s="91">
        <v>440</v>
      </c>
      <c r="E1330" s="269"/>
      <c r="F1330" s="268"/>
      <c r="G1330" s="91"/>
      <c r="H1330" s="91"/>
    </row>
    <row r="1331" spans="1:8" x14ac:dyDescent="0.25">
      <c r="A1331" s="91">
        <f t="shared" si="20"/>
        <v>389</v>
      </c>
      <c r="B1331" s="53" t="s">
        <v>3002</v>
      </c>
      <c r="C1331" s="91" t="s">
        <v>115</v>
      </c>
      <c r="D1331" s="91">
        <v>600</v>
      </c>
      <c r="E1331" s="269">
        <v>246</v>
      </c>
      <c r="F1331" s="268">
        <v>0.41</v>
      </c>
      <c r="G1331" s="91"/>
      <c r="H1331" s="91"/>
    </row>
    <row r="1332" spans="1:8" x14ac:dyDescent="0.25">
      <c r="A1332" s="91">
        <f t="shared" si="20"/>
        <v>390</v>
      </c>
      <c r="B1332" s="53" t="s">
        <v>3003</v>
      </c>
      <c r="C1332" s="91" t="s">
        <v>97</v>
      </c>
      <c r="D1332" s="91">
        <v>600</v>
      </c>
      <c r="E1332" s="269">
        <v>937.2</v>
      </c>
      <c r="F1332" s="268">
        <v>0.44</v>
      </c>
      <c r="G1332" s="91"/>
      <c r="H1332" s="91"/>
    </row>
    <row r="1333" spans="1:8" x14ac:dyDescent="0.25">
      <c r="A1333" s="91">
        <f t="shared" si="20"/>
        <v>390</v>
      </c>
      <c r="B1333" s="53" t="s">
        <v>3003</v>
      </c>
      <c r="C1333" s="91" t="s">
        <v>97</v>
      </c>
      <c r="D1333" s="91">
        <v>180</v>
      </c>
      <c r="E1333" s="269"/>
      <c r="F1333" s="268"/>
      <c r="G1333" s="91"/>
      <c r="H1333" s="91"/>
    </row>
    <row r="1334" spans="1:8" x14ac:dyDescent="0.25">
      <c r="A1334" s="91">
        <f t="shared" si="20"/>
        <v>390</v>
      </c>
      <c r="B1334" s="53" t="s">
        <v>3003</v>
      </c>
      <c r="C1334" s="91" t="s">
        <v>97</v>
      </c>
      <c r="D1334" s="91">
        <v>150</v>
      </c>
      <c r="E1334" s="269"/>
      <c r="F1334" s="268"/>
      <c r="G1334" s="91"/>
      <c r="H1334" s="91"/>
    </row>
    <row r="1335" spans="1:8" x14ac:dyDescent="0.25">
      <c r="A1335" s="91">
        <f t="shared" si="20"/>
        <v>390</v>
      </c>
      <c r="B1335" s="53" t="s">
        <v>3003</v>
      </c>
      <c r="C1335" s="91" t="s">
        <v>97</v>
      </c>
      <c r="D1335" s="91">
        <v>600</v>
      </c>
      <c r="E1335" s="269"/>
      <c r="F1335" s="268"/>
      <c r="G1335" s="91"/>
      <c r="H1335" s="91"/>
    </row>
    <row r="1336" spans="1:8" x14ac:dyDescent="0.25">
      <c r="A1336" s="91">
        <f t="shared" si="20"/>
        <v>390</v>
      </c>
      <c r="B1336" s="53" t="s">
        <v>3003</v>
      </c>
      <c r="C1336" s="91" t="s">
        <v>97</v>
      </c>
      <c r="D1336" s="91">
        <v>300</v>
      </c>
      <c r="E1336" s="269"/>
      <c r="F1336" s="268"/>
      <c r="G1336" s="91"/>
      <c r="H1336" s="91"/>
    </row>
    <row r="1337" spans="1:8" x14ac:dyDescent="0.25">
      <c r="A1337" s="91">
        <f t="shared" si="20"/>
        <v>390</v>
      </c>
      <c r="B1337" s="53" t="s">
        <v>3003</v>
      </c>
      <c r="C1337" s="91" t="s">
        <v>97</v>
      </c>
      <c r="D1337" s="91">
        <v>300</v>
      </c>
      <c r="E1337" s="269"/>
      <c r="F1337" s="268"/>
      <c r="G1337" s="91"/>
      <c r="H1337" s="91"/>
    </row>
    <row r="1338" spans="1:8" x14ac:dyDescent="0.25">
      <c r="A1338" s="91">
        <f t="shared" si="20"/>
        <v>391</v>
      </c>
      <c r="B1338" s="53" t="s">
        <v>3004</v>
      </c>
      <c r="C1338" s="91" t="s">
        <v>97</v>
      </c>
      <c r="D1338" s="91">
        <v>400</v>
      </c>
      <c r="E1338" s="269">
        <v>196.8</v>
      </c>
      <c r="F1338" s="268">
        <v>0.37846153846153846</v>
      </c>
      <c r="G1338" s="91"/>
      <c r="H1338" s="91"/>
    </row>
    <row r="1339" spans="1:8" x14ac:dyDescent="0.25">
      <c r="A1339" s="91">
        <f t="shared" si="20"/>
        <v>391</v>
      </c>
      <c r="B1339" s="53" t="s">
        <v>3004</v>
      </c>
      <c r="C1339" s="91" t="s">
        <v>97</v>
      </c>
      <c r="D1339" s="91">
        <v>60</v>
      </c>
      <c r="E1339" s="269"/>
      <c r="F1339" s="268"/>
      <c r="G1339" s="91"/>
      <c r="H1339" s="91"/>
    </row>
    <row r="1340" spans="1:8" x14ac:dyDescent="0.25">
      <c r="A1340" s="91">
        <f t="shared" si="20"/>
        <v>391</v>
      </c>
      <c r="B1340" s="53" t="s">
        <v>3004</v>
      </c>
      <c r="C1340" s="91" t="s">
        <v>97</v>
      </c>
      <c r="D1340" s="91">
        <v>60</v>
      </c>
      <c r="E1340" s="269"/>
      <c r="F1340" s="268"/>
      <c r="G1340" s="91"/>
      <c r="H1340" s="91"/>
    </row>
    <row r="1341" spans="1:8" x14ac:dyDescent="0.25">
      <c r="A1341" s="91">
        <f t="shared" si="20"/>
        <v>392</v>
      </c>
      <c r="B1341" s="53" t="s">
        <v>3005</v>
      </c>
      <c r="C1341" s="91" t="s">
        <v>2411</v>
      </c>
      <c r="D1341" s="91">
        <v>120</v>
      </c>
      <c r="E1341" s="269">
        <v>52.8</v>
      </c>
      <c r="F1341" s="268">
        <v>0.44</v>
      </c>
      <c r="G1341" s="91"/>
      <c r="H1341" s="91"/>
    </row>
    <row r="1342" spans="1:8" x14ac:dyDescent="0.25">
      <c r="A1342" s="91">
        <f t="shared" si="20"/>
        <v>393</v>
      </c>
      <c r="B1342" s="53" t="s">
        <v>3007</v>
      </c>
      <c r="C1342" s="91" t="s">
        <v>97</v>
      </c>
      <c r="D1342" s="91">
        <v>720</v>
      </c>
      <c r="E1342" s="269">
        <v>259.2</v>
      </c>
      <c r="F1342" s="268">
        <v>0.36</v>
      </c>
      <c r="G1342" s="91"/>
      <c r="H1342" s="91"/>
    </row>
    <row r="1343" spans="1:8" x14ac:dyDescent="0.25">
      <c r="A1343" s="91">
        <f t="shared" si="20"/>
        <v>394</v>
      </c>
      <c r="B1343" s="53" t="s">
        <v>3008</v>
      </c>
      <c r="C1343" s="91" t="s">
        <v>97</v>
      </c>
      <c r="D1343" s="91">
        <v>1890</v>
      </c>
      <c r="E1343" s="269">
        <v>724.4</v>
      </c>
      <c r="F1343" s="268">
        <v>0.36402010050251254</v>
      </c>
      <c r="G1343" s="91"/>
      <c r="H1343" s="91"/>
    </row>
    <row r="1344" spans="1:8" x14ac:dyDescent="0.25">
      <c r="A1344" s="91">
        <f t="shared" si="20"/>
        <v>394</v>
      </c>
      <c r="B1344" s="53" t="s">
        <v>3008</v>
      </c>
      <c r="C1344" s="91" t="s">
        <v>97</v>
      </c>
      <c r="D1344" s="91">
        <v>100</v>
      </c>
      <c r="E1344" s="269"/>
      <c r="F1344" s="268"/>
      <c r="G1344" s="91"/>
      <c r="H1344" s="91"/>
    </row>
    <row r="1345" spans="1:8" x14ac:dyDescent="0.25">
      <c r="A1345" s="91">
        <f t="shared" si="20"/>
        <v>395</v>
      </c>
      <c r="B1345" s="53" t="s">
        <v>3009</v>
      </c>
      <c r="C1345" s="91" t="s">
        <v>115</v>
      </c>
      <c r="D1345" s="91">
        <v>304</v>
      </c>
      <c r="E1345" s="269">
        <v>174.24</v>
      </c>
      <c r="F1345" s="268">
        <v>0.36000000000000004</v>
      </c>
      <c r="G1345" s="91"/>
      <c r="H1345" s="91"/>
    </row>
    <row r="1346" spans="1:8" x14ac:dyDescent="0.25">
      <c r="A1346" s="91">
        <f t="shared" si="20"/>
        <v>395</v>
      </c>
      <c r="B1346" s="53" t="s">
        <v>3009</v>
      </c>
      <c r="C1346" s="91" t="s">
        <v>115</v>
      </c>
      <c r="D1346" s="91">
        <v>180</v>
      </c>
      <c r="E1346" s="269"/>
      <c r="F1346" s="268"/>
      <c r="G1346" s="91"/>
      <c r="H1346" s="91"/>
    </row>
    <row r="1347" spans="1:8" x14ac:dyDescent="0.25">
      <c r="A1347" s="91">
        <f t="shared" si="20"/>
        <v>396</v>
      </c>
      <c r="B1347" s="53" t="s">
        <v>3010</v>
      </c>
      <c r="C1347" s="91" t="s">
        <v>97</v>
      </c>
      <c r="D1347" s="91">
        <v>576</v>
      </c>
      <c r="E1347" s="269">
        <v>207.36</v>
      </c>
      <c r="F1347" s="268">
        <v>0.36000000000000004</v>
      </c>
      <c r="G1347" s="91"/>
      <c r="H1347" s="91"/>
    </row>
    <row r="1348" spans="1:8" x14ac:dyDescent="0.25">
      <c r="A1348" s="91">
        <f t="shared" ref="A1348:A1411" si="21">IF(B1348=B1347,A1347,A1347+1)</f>
        <v>397</v>
      </c>
      <c r="B1348" s="53" t="s">
        <v>3011</v>
      </c>
      <c r="C1348" s="91" t="s">
        <v>115</v>
      </c>
      <c r="D1348" s="91">
        <v>384</v>
      </c>
      <c r="E1348" s="269">
        <v>437.76</v>
      </c>
      <c r="F1348" s="268">
        <v>0.36</v>
      </c>
      <c r="G1348" s="91"/>
      <c r="H1348" s="91"/>
    </row>
    <row r="1349" spans="1:8" x14ac:dyDescent="0.25">
      <c r="A1349" s="91">
        <f t="shared" si="21"/>
        <v>397</v>
      </c>
      <c r="B1349" s="53" t="s">
        <v>3011</v>
      </c>
      <c r="C1349" s="91" t="s">
        <v>115</v>
      </c>
      <c r="D1349" s="91">
        <v>576</v>
      </c>
      <c r="E1349" s="269"/>
      <c r="F1349" s="268"/>
      <c r="G1349" s="91"/>
      <c r="H1349" s="91"/>
    </row>
    <row r="1350" spans="1:8" x14ac:dyDescent="0.25">
      <c r="A1350" s="91">
        <f t="shared" si="21"/>
        <v>397</v>
      </c>
      <c r="B1350" s="53" t="s">
        <v>3011</v>
      </c>
      <c r="C1350" s="91" t="s">
        <v>115</v>
      </c>
      <c r="D1350" s="91">
        <v>256</v>
      </c>
      <c r="E1350" s="269"/>
      <c r="F1350" s="268"/>
      <c r="G1350" s="91"/>
      <c r="H1350" s="91"/>
    </row>
    <row r="1351" spans="1:8" x14ac:dyDescent="0.25">
      <c r="A1351" s="91">
        <f t="shared" si="21"/>
        <v>398</v>
      </c>
      <c r="B1351" s="53" t="s">
        <v>3012</v>
      </c>
      <c r="C1351" s="91" t="s">
        <v>1037</v>
      </c>
      <c r="D1351" s="91">
        <v>1088</v>
      </c>
      <c r="E1351" s="269">
        <v>831.04</v>
      </c>
      <c r="F1351" s="268">
        <v>0.59022727272727271</v>
      </c>
      <c r="G1351" s="91"/>
      <c r="H1351" s="91"/>
    </row>
    <row r="1352" spans="1:8" x14ac:dyDescent="0.25">
      <c r="A1352" s="91">
        <f t="shared" si="21"/>
        <v>398</v>
      </c>
      <c r="B1352" s="53" t="s">
        <v>3012</v>
      </c>
      <c r="C1352" s="91" t="s">
        <v>1037</v>
      </c>
      <c r="D1352" s="91">
        <v>160</v>
      </c>
      <c r="E1352" s="269"/>
      <c r="F1352" s="268"/>
      <c r="G1352" s="91"/>
      <c r="H1352" s="91"/>
    </row>
    <row r="1353" spans="1:8" x14ac:dyDescent="0.25">
      <c r="A1353" s="91">
        <f t="shared" si="21"/>
        <v>398</v>
      </c>
      <c r="B1353" s="53" t="s">
        <v>3012</v>
      </c>
      <c r="C1353" s="91" t="s">
        <v>1037</v>
      </c>
      <c r="D1353" s="91">
        <v>160</v>
      </c>
      <c r="E1353" s="269"/>
      <c r="F1353" s="268"/>
      <c r="G1353" s="91"/>
      <c r="H1353" s="91"/>
    </row>
    <row r="1354" spans="1:8" x14ac:dyDescent="0.25">
      <c r="A1354" s="91">
        <f t="shared" si="21"/>
        <v>399</v>
      </c>
      <c r="B1354" s="53" t="s">
        <v>3113</v>
      </c>
      <c r="C1354" s="91" t="s">
        <v>97</v>
      </c>
      <c r="D1354" s="91">
        <v>390</v>
      </c>
      <c r="E1354" s="269">
        <v>171.6</v>
      </c>
      <c r="F1354" s="268">
        <v>0.44</v>
      </c>
      <c r="G1354" s="91"/>
      <c r="H1354" s="91"/>
    </row>
    <row r="1355" spans="1:8" x14ac:dyDescent="0.25">
      <c r="A1355" s="91">
        <f t="shared" si="21"/>
        <v>400</v>
      </c>
      <c r="B1355" s="53" t="s">
        <v>3114</v>
      </c>
      <c r="C1355" s="91" t="s">
        <v>97</v>
      </c>
      <c r="D1355" s="91">
        <v>1000</v>
      </c>
      <c r="E1355" s="269">
        <v>475.2</v>
      </c>
      <c r="F1355" s="268">
        <v>0.36</v>
      </c>
      <c r="G1355" s="91"/>
      <c r="H1355" s="91"/>
    </row>
    <row r="1356" spans="1:8" x14ac:dyDescent="0.25">
      <c r="A1356" s="91">
        <f t="shared" si="21"/>
        <v>400</v>
      </c>
      <c r="B1356" s="53" t="s">
        <v>3114</v>
      </c>
      <c r="C1356" s="91" t="s">
        <v>97</v>
      </c>
      <c r="D1356" s="91">
        <v>120</v>
      </c>
      <c r="E1356" s="269"/>
      <c r="F1356" s="268"/>
      <c r="G1356" s="91"/>
      <c r="H1356" s="91"/>
    </row>
    <row r="1357" spans="1:8" x14ac:dyDescent="0.25">
      <c r="A1357" s="91">
        <f t="shared" si="21"/>
        <v>400</v>
      </c>
      <c r="B1357" s="53" t="s">
        <v>3114</v>
      </c>
      <c r="C1357" s="91" t="s">
        <v>97</v>
      </c>
      <c r="D1357" s="91">
        <v>200</v>
      </c>
      <c r="E1357" s="269"/>
      <c r="F1357" s="268"/>
      <c r="G1357" s="91"/>
      <c r="H1357" s="91"/>
    </row>
    <row r="1358" spans="1:8" x14ac:dyDescent="0.25">
      <c r="A1358" s="91">
        <f t="shared" si="21"/>
        <v>401</v>
      </c>
      <c r="B1358" s="53" t="s">
        <v>3115</v>
      </c>
      <c r="C1358" s="91" t="s">
        <v>115</v>
      </c>
      <c r="D1358" s="91">
        <v>300</v>
      </c>
      <c r="E1358" s="269">
        <v>475.2</v>
      </c>
      <c r="F1358" s="268">
        <v>0.44</v>
      </c>
      <c r="G1358" s="91"/>
      <c r="H1358" s="91"/>
    </row>
    <row r="1359" spans="1:8" x14ac:dyDescent="0.25">
      <c r="A1359" s="91">
        <f t="shared" si="21"/>
        <v>401</v>
      </c>
      <c r="B1359" s="53" t="s">
        <v>3115</v>
      </c>
      <c r="C1359" s="91" t="s">
        <v>115</v>
      </c>
      <c r="D1359" s="91">
        <v>180</v>
      </c>
      <c r="E1359" s="269"/>
      <c r="F1359" s="268"/>
      <c r="G1359" s="91"/>
      <c r="H1359" s="91"/>
    </row>
    <row r="1360" spans="1:8" x14ac:dyDescent="0.25">
      <c r="A1360" s="91">
        <f t="shared" si="21"/>
        <v>401</v>
      </c>
      <c r="B1360" s="53" t="s">
        <v>3115</v>
      </c>
      <c r="C1360" s="91" t="s">
        <v>115</v>
      </c>
      <c r="D1360" s="91">
        <v>600</v>
      </c>
      <c r="E1360" s="269"/>
      <c r="F1360" s="268"/>
      <c r="G1360" s="91"/>
      <c r="H1360" s="91"/>
    </row>
    <row r="1361" spans="1:8" x14ac:dyDescent="0.25">
      <c r="A1361" s="91">
        <f t="shared" si="21"/>
        <v>402</v>
      </c>
      <c r="B1361" s="53" t="s">
        <v>3118</v>
      </c>
      <c r="C1361" s="91" t="s">
        <v>115</v>
      </c>
      <c r="D1361" s="91">
        <v>510</v>
      </c>
      <c r="E1361" s="269">
        <v>1020</v>
      </c>
      <c r="F1361" s="268">
        <v>0.40734824281150162</v>
      </c>
      <c r="G1361" s="91"/>
      <c r="H1361" s="91"/>
    </row>
    <row r="1362" spans="1:8" x14ac:dyDescent="0.25">
      <c r="A1362" s="91">
        <f t="shared" si="21"/>
        <v>402</v>
      </c>
      <c r="B1362" s="53" t="s">
        <v>3118</v>
      </c>
      <c r="C1362" s="91" t="s">
        <v>115</v>
      </c>
      <c r="D1362" s="91">
        <v>90</v>
      </c>
      <c r="E1362" s="269"/>
      <c r="F1362" s="268"/>
      <c r="G1362" s="91"/>
      <c r="H1362" s="91"/>
    </row>
    <row r="1363" spans="1:8" x14ac:dyDescent="0.25">
      <c r="A1363" s="91">
        <f t="shared" si="21"/>
        <v>402</v>
      </c>
      <c r="B1363" s="53" t="s">
        <v>3118</v>
      </c>
      <c r="C1363" s="91" t="s">
        <v>115</v>
      </c>
      <c r="D1363" s="91">
        <v>1000</v>
      </c>
      <c r="E1363" s="269"/>
      <c r="F1363" s="268"/>
      <c r="G1363" s="91"/>
      <c r="H1363" s="91"/>
    </row>
    <row r="1364" spans="1:8" x14ac:dyDescent="0.25">
      <c r="A1364" s="91">
        <f t="shared" si="21"/>
        <v>402</v>
      </c>
      <c r="B1364" s="53" t="s">
        <v>3118</v>
      </c>
      <c r="C1364" s="91" t="s">
        <v>115</v>
      </c>
      <c r="D1364" s="91">
        <v>400</v>
      </c>
      <c r="E1364" s="269"/>
      <c r="F1364" s="268"/>
      <c r="G1364" s="91"/>
      <c r="H1364" s="91"/>
    </row>
    <row r="1365" spans="1:8" x14ac:dyDescent="0.25">
      <c r="A1365" s="91">
        <f t="shared" si="21"/>
        <v>402</v>
      </c>
      <c r="B1365" s="53" t="s">
        <v>3118</v>
      </c>
      <c r="C1365" s="91" t="s">
        <v>115</v>
      </c>
      <c r="D1365" s="91">
        <v>180</v>
      </c>
      <c r="E1365" s="269"/>
      <c r="F1365" s="268"/>
      <c r="G1365" s="91"/>
      <c r="H1365" s="91"/>
    </row>
    <row r="1366" spans="1:8" x14ac:dyDescent="0.25">
      <c r="A1366" s="91">
        <f t="shared" si="21"/>
        <v>402</v>
      </c>
      <c r="B1366" s="53" t="s">
        <v>3118</v>
      </c>
      <c r="C1366" s="91" t="s">
        <v>115</v>
      </c>
      <c r="D1366" s="91">
        <v>72</v>
      </c>
      <c r="E1366" s="269"/>
      <c r="F1366" s="268"/>
      <c r="G1366" s="91"/>
      <c r="H1366" s="91"/>
    </row>
    <row r="1367" spans="1:8" x14ac:dyDescent="0.25">
      <c r="A1367" s="91">
        <f t="shared" si="21"/>
        <v>402</v>
      </c>
      <c r="B1367" s="53" t="s">
        <v>3118</v>
      </c>
      <c r="C1367" s="91" t="s">
        <v>115</v>
      </c>
      <c r="D1367" s="91">
        <v>252</v>
      </c>
      <c r="E1367" s="269"/>
      <c r="F1367" s="268"/>
      <c r="G1367" s="91"/>
      <c r="H1367" s="91"/>
    </row>
    <row r="1368" spans="1:8" x14ac:dyDescent="0.25">
      <c r="A1368" s="91">
        <f t="shared" si="21"/>
        <v>403</v>
      </c>
      <c r="B1368" s="53" t="s">
        <v>3122</v>
      </c>
      <c r="C1368" s="91" t="s">
        <v>97</v>
      </c>
      <c r="D1368" s="91">
        <v>840</v>
      </c>
      <c r="E1368" s="269">
        <v>580.79999999999995</v>
      </c>
      <c r="F1368" s="268">
        <v>0.43999999999999995</v>
      </c>
      <c r="G1368" s="91"/>
      <c r="H1368" s="91"/>
    </row>
    <row r="1369" spans="1:8" x14ac:dyDescent="0.25">
      <c r="A1369" s="91">
        <f t="shared" si="21"/>
        <v>403</v>
      </c>
      <c r="B1369" s="53" t="s">
        <v>3122</v>
      </c>
      <c r="C1369" s="91" t="s">
        <v>97</v>
      </c>
      <c r="D1369" s="91">
        <v>480</v>
      </c>
      <c r="E1369" s="269"/>
      <c r="F1369" s="268"/>
      <c r="G1369" s="91"/>
      <c r="H1369" s="91"/>
    </row>
    <row r="1370" spans="1:8" x14ac:dyDescent="0.25">
      <c r="A1370" s="91">
        <f t="shared" si="21"/>
        <v>404</v>
      </c>
      <c r="B1370" s="53" t="s">
        <v>3123</v>
      </c>
      <c r="C1370" s="91" t="s">
        <v>97</v>
      </c>
      <c r="D1370" s="91">
        <v>1344</v>
      </c>
      <c r="E1370" s="269">
        <v>752.64</v>
      </c>
      <c r="F1370" s="268">
        <v>0.55999999999999994</v>
      </c>
      <c r="G1370" s="91"/>
      <c r="H1370" s="91"/>
    </row>
    <row r="1371" spans="1:8" x14ac:dyDescent="0.25">
      <c r="A1371" s="91">
        <f t="shared" si="21"/>
        <v>405</v>
      </c>
      <c r="B1371" s="53" t="s">
        <v>3124</v>
      </c>
      <c r="C1371" s="91" t="s">
        <v>97</v>
      </c>
      <c r="D1371" s="91">
        <v>240</v>
      </c>
      <c r="E1371" s="269">
        <v>228.48</v>
      </c>
      <c r="F1371" s="268">
        <v>0.55999999999999994</v>
      </c>
      <c r="G1371" s="91"/>
      <c r="H1371" s="91"/>
    </row>
    <row r="1372" spans="1:8" x14ac:dyDescent="0.25">
      <c r="A1372" s="91">
        <f t="shared" si="21"/>
        <v>405</v>
      </c>
      <c r="B1372" s="53" t="s">
        <v>3124</v>
      </c>
      <c r="C1372" s="91" t="s">
        <v>97</v>
      </c>
      <c r="D1372" s="91">
        <v>168</v>
      </c>
      <c r="E1372" s="269"/>
      <c r="F1372" s="268"/>
      <c r="G1372" s="91"/>
      <c r="H1372" s="91"/>
    </row>
    <row r="1373" spans="1:8" x14ac:dyDescent="0.25">
      <c r="A1373" s="91">
        <f t="shared" si="21"/>
        <v>406</v>
      </c>
      <c r="B1373" s="53" t="s">
        <v>3127</v>
      </c>
      <c r="C1373" s="91" t="s">
        <v>1037</v>
      </c>
      <c r="D1373" s="91">
        <v>816</v>
      </c>
      <c r="E1373" s="269">
        <v>725.76</v>
      </c>
      <c r="F1373" s="268">
        <v>0.55999999999999994</v>
      </c>
      <c r="G1373" s="91"/>
      <c r="H1373" s="91"/>
    </row>
    <row r="1374" spans="1:8" x14ac:dyDescent="0.25">
      <c r="A1374" s="91">
        <f t="shared" si="21"/>
        <v>406</v>
      </c>
      <c r="B1374" s="53" t="s">
        <v>3127</v>
      </c>
      <c r="C1374" s="91" t="s">
        <v>1037</v>
      </c>
      <c r="D1374" s="91">
        <v>384</v>
      </c>
      <c r="E1374" s="269"/>
      <c r="F1374" s="268"/>
      <c r="G1374" s="91"/>
      <c r="H1374" s="91"/>
    </row>
    <row r="1375" spans="1:8" x14ac:dyDescent="0.25">
      <c r="A1375" s="91">
        <f t="shared" si="21"/>
        <v>406</v>
      </c>
      <c r="B1375" s="53" t="s">
        <v>3127</v>
      </c>
      <c r="C1375" s="91" t="s">
        <v>1037</v>
      </c>
      <c r="D1375" s="91">
        <v>96</v>
      </c>
      <c r="E1375" s="269"/>
      <c r="F1375" s="268"/>
      <c r="G1375" s="91"/>
      <c r="H1375" s="91"/>
    </row>
    <row r="1376" spans="1:8" x14ac:dyDescent="0.25">
      <c r="A1376" s="91">
        <f t="shared" si="21"/>
        <v>407</v>
      </c>
      <c r="B1376" s="53" t="s">
        <v>3128</v>
      </c>
      <c r="C1376" s="91" t="s">
        <v>1037</v>
      </c>
      <c r="D1376" s="91">
        <v>80</v>
      </c>
      <c r="E1376" s="269">
        <v>1128.96</v>
      </c>
      <c r="F1376" s="268">
        <v>0.56000000000000005</v>
      </c>
      <c r="G1376" s="91"/>
      <c r="H1376" s="91"/>
    </row>
    <row r="1377" spans="1:8" x14ac:dyDescent="0.25">
      <c r="A1377" s="91">
        <f t="shared" si="21"/>
        <v>407</v>
      </c>
      <c r="B1377" s="53" t="s">
        <v>3128</v>
      </c>
      <c r="C1377" s="91" t="s">
        <v>1037</v>
      </c>
      <c r="D1377" s="91">
        <v>672</v>
      </c>
      <c r="E1377" s="269"/>
      <c r="F1377" s="268"/>
      <c r="G1377" s="91"/>
      <c r="H1377" s="91"/>
    </row>
    <row r="1378" spans="1:8" x14ac:dyDescent="0.25">
      <c r="A1378" s="91">
        <f t="shared" si="21"/>
        <v>407</v>
      </c>
      <c r="B1378" s="53" t="s">
        <v>3128</v>
      </c>
      <c r="C1378" s="91" t="s">
        <v>1037</v>
      </c>
      <c r="D1378" s="91">
        <v>592</v>
      </c>
      <c r="E1378" s="269"/>
      <c r="F1378" s="268"/>
      <c r="G1378" s="91"/>
      <c r="H1378" s="91"/>
    </row>
    <row r="1379" spans="1:8" x14ac:dyDescent="0.25">
      <c r="A1379" s="91">
        <f t="shared" si="21"/>
        <v>407</v>
      </c>
      <c r="B1379" s="53" t="s">
        <v>3128</v>
      </c>
      <c r="C1379" s="91" t="s">
        <v>1037</v>
      </c>
      <c r="D1379" s="91">
        <v>240</v>
      </c>
      <c r="E1379" s="269"/>
      <c r="F1379" s="268"/>
      <c r="G1379" s="91"/>
      <c r="H1379" s="91"/>
    </row>
    <row r="1380" spans="1:8" x14ac:dyDescent="0.25">
      <c r="A1380" s="91">
        <f t="shared" si="21"/>
        <v>407</v>
      </c>
      <c r="B1380" s="53" t="s">
        <v>3128</v>
      </c>
      <c r="C1380" s="91" t="s">
        <v>1037</v>
      </c>
      <c r="D1380" s="91">
        <v>272</v>
      </c>
      <c r="E1380" s="269"/>
      <c r="F1380" s="268"/>
      <c r="G1380" s="91"/>
      <c r="H1380" s="91"/>
    </row>
    <row r="1381" spans="1:8" x14ac:dyDescent="0.25">
      <c r="A1381" s="91">
        <f t="shared" si="21"/>
        <v>407</v>
      </c>
      <c r="B1381" s="53" t="s">
        <v>3128</v>
      </c>
      <c r="C1381" s="91" t="s">
        <v>1037</v>
      </c>
      <c r="D1381" s="91">
        <v>16</v>
      </c>
      <c r="E1381" s="269"/>
      <c r="F1381" s="268"/>
      <c r="G1381" s="91"/>
      <c r="H1381" s="91"/>
    </row>
    <row r="1382" spans="1:8" x14ac:dyDescent="0.25">
      <c r="A1382" s="91">
        <f t="shared" si="21"/>
        <v>407</v>
      </c>
      <c r="B1382" s="53" t="s">
        <v>3128</v>
      </c>
      <c r="C1382" s="91" t="s">
        <v>1037</v>
      </c>
      <c r="D1382" s="91">
        <v>80</v>
      </c>
      <c r="E1382" s="269"/>
      <c r="F1382" s="268"/>
      <c r="G1382" s="91"/>
      <c r="H1382" s="91"/>
    </row>
    <row r="1383" spans="1:8" x14ac:dyDescent="0.25">
      <c r="A1383" s="91">
        <f t="shared" si="21"/>
        <v>407</v>
      </c>
      <c r="B1383" s="53" t="s">
        <v>3128</v>
      </c>
      <c r="C1383" s="91" t="s">
        <v>1037</v>
      </c>
      <c r="D1383" s="91">
        <v>64</v>
      </c>
      <c r="E1383" s="269"/>
      <c r="F1383" s="268"/>
      <c r="G1383" s="91"/>
      <c r="H1383" s="91"/>
    </row>
    <row r="1384" spans="1:8" x14ac:dyDescent="0.25">
      <c r="A1384" s="91">
        <f t="shared" si="21"/>
        <v>408</v>
      </c>
      <c r="B1384" s="53" t="s">
        <v>3130</v>
      </c>
      <c r="C1384" s="91" t="s">
        <v>97</v>
      </c>
      <c r="D1384" s="91">
        <v>450</v>
      </c>
      <c r="E1384" s="269">
        <v>214.8</v>
      </c>
      <c r="F1384" s="268">
        <v>0.37684210526315792</v>
      </c>
      <c r="G1384" s="91"/>
      <c r="H1384" s="91"/>
    </row>
    <row r="1385" spans="1:8" x14ac:dyDescent="0.25">
      <c r="A1385" s="91">
        <f t="shared" si="21"/>
        <v>408</v>
      </c>
      <c r="B1385" s="53" t="s">
        <v>3130</v>
      </c>
      <c r="C1385" s="91" t="s">
        <v>97</v>
      </c>
      <c r="D1385" s="91">
        <v>120</v>
      </c>
      <c r="E1385" s="269"/>
      <c r="F1385" s="268"/>
      <c r="G1385" s="91"/>
      <c r="H1385" s="91"/>
    </row>
    <row r="1386" spans="1:8" x14ac:dyDescent="0.25">
      <c r="A1386" s="91">
        <f t="shared" si="21"/>
        <v>409</v>
      </c>
      <c r="B1386" s="53" t="s">
        <v>3132</v>
      </c>
      <c r="C1386" s="91" t="s">
        <v>115</v>
      </c>
      <c r="D1386" s="91">
        <v>360</v>
      </c>
      <c r="E1386" s="269">
        <v>348.48</v>
      </c>
      <c r="F1386" s="268">
        <v>0.36000000000000004</v>
      </c>
      <c r="G1386" s="91"/>
      <c r="H1386" s="91"/>
    </row>
    <row r="1387" spans="1:8" x14ac:dyDescent="0.25">
      <c r="A1387" s="91">
        <f t="shared" si="21"/>
        <v>409</v>
      </c>
      <c r="B1387" s="53" t="s">
        <v>3132</v>
      </c>
      <c r="C1387" s="91" t="s">
        <v>115</v>
      </c>
      <c r="D1387" s="91">
        <v>608</v>
      </c>
      <c r="E1387" s="269"/>
      <c r="F1387" s="268"/>
      <c r="G1387" s="91"/>
      <c r="H1387" s="91"/>
    </row>
    <row r="1388" spans="1:8" x14ac:dyDescent="0.25">
      <c r="A1388" s="91">
        <f t="shared" si="21"/>
        <v>410</v>
      </c>
      <c r="B1388" s="53" t="s">
        <v>3133</v>
      </c>
      <c r="C1388" s="91" t="s">
        <v>115</v>
      </c>
      <c r="D1388" s="91">
        <v>270</v>
      </c>
      <c r="E1388" s="269">
        <v>194.4</v>
      </c>
      <c r="F1388" s="268">
        <v>0.36</v>
      </c>
      <c r="G1388" s="91"/>
      <c r="H1388" s="91"/>
    </row>
    <row r="1389" spans="1:8" x14ac:dyDescent="0.25">
      <c r="A1389" s="91">
        <f t="shared" si="21"/>
        <v>410</v>
      </c>
      <c r="B1389" s="53" t="s">
        <v>3133</v>
      </c>
      <c r="C1389" s="91" t="s">
        <v>115</v>
      </c>
      <c r="D1389" s="91">
        <v>90</v>
      </c>
      <c r="E1389" s="269"/>
      <c r="F1389" s="268"/>
      <c r="G1389" s="91"/>
      <c r="H1389" s="91"/>
    </row>
    <row r="1390" spans="1:8" x14ac:dyDescent="0.25">
      <c r="A1390" s="91">
        <f t="shared" si="21"/>
        <v>410</v>
      </c>
      <c r="B1390" s="53" t="s">
        <v>3133</v>
      </c>
      <c r="C1390" s="91" t="s">
        <v>115</v>
      </c>
      <c r="D1390" s="91">
        <v>180</v>
      </c>
      <c r="E1390" s="269"/>
      <c r="F1390" s="268"/>
      <c r="G1390" s="91"/>
      <c r="H1390" s="91"/>
    </row>
    <row r="1391" spans="1:8" x14ac:dyDescent="0.25">
      <c r="A1391" s="91">
        <f t="shared" si="21"/>
        <v>411</v>
      </c>
      <c r="B1391" s="53" t="s">
        <v>3135</v>
      </c>
      <c r="C1391" s="91" t="s">
        <v>115</v>
      </c>
      <c r="D1391" s="91">
        <v>192</v>
      </c>
      <c r="E1391" s="269">
        <v>181.76</v>
      </c>
      <c r="F1391" s="268">
        <v>0.40571428571428569</v>
      </c>
      <c r="G1391" s="91"/>
      <c r="H1391" s="91"/>
    </row>
    <row r="1392" spans="1:8" x14ac:dyDescent="0.25">
      <c r="A1392" s="91">
        <f t="shared" si="21"/>
        <v>411</v>
      </c>
      <c r="B1392" s="53" t="s">
        <v>3135</v>
      </c>
      <c r="C1392" s="91" t="s">
        <v>115</v>
      </c>
      <c r="D1392" s="91">
        <v>256</v>
      </c>
      <c r="E1392" s="269"/>
      <c r="F1392" s="268"/>
      <c r="G1392" s="91"/>
      <c r="H1392" s="91"/>
    </row>
    <row r="1393" spans="1:8" x14ac:dyDescent="0.25">
      <c r="A1393" s="91">
        <f t="shared" si="21"/>
        <v>412</v>
      </c>
      <c r="B1393" s="53" t="s">
        <v>3136</v>
      </c>
      <c r="C1393" s="91" t="s">
        <v>115</v>
      </c>
      <c r="D1393" s="91">
        <v>192</v>
      </c>
      <c r="E1393" s="269">
        <v>115.2</v>
      </c>
      <c r="F1393" s="268">
        <v>0.36</v>
      </c>
      <c r="G1393" s="91"/>
      <c r="H1393" s="91"/>
    </row>
    <row r="1394" spans="1:8" x14ac:dyDescent="0.25">
      <c r="A1394" s="91">
        <f t="shared" si="21"/>
        <v>412</v>
      </c>
      <c r="B1394" s="53" t="s">
        <v>3136</v>
      </c>
      <c r="C1394" s="91" t="s">
        <v>115</v>
      </c>
      <c r="D1394" s="91">
        <v>128</v>
      </c>
      <c r="E1394" s="269"/>
      <c r="F1394" s="268"/>
      <c r="G1394" s="91"/>
      <c r="H1394" s="91"/>
    </row>
    <row r="1395" spans="1:8" x14ac:dyDescent="0.25">
      <c r="A1395" s="91">
        <f t="shared" si="21"/>
        <v>413</v>
      </c>
      <c r="B1395" s="53" t="s">
        <v>3152</v>
      </c>
      <c r="C1395" s="91" t="s">
        <v>115</v>
      </c>
      <c r="D1395" s="91">
        <v>600</v>
      </c>
      <c r="E1395" s="269">
        <v>772.8</v>
      </c>
      <c r="F1395" s="268">
        <v>0.41106382978723399</v>
      </c>
      <c r="G1395" s="91"/>
      <c r="H1395" s="91"/>
    </row>
    <row r="1396" spans="1:8" x14ac:dyDescent="0.25">
      <c r="A1396" s="91">
        <f t="shared" si="21"/>
        <v>413</v>
      </c>
      <c r="B1396" s="53" t="s">
        <v>3152</v>
      </c>
      <c r="C1396" s="91" t="s">
        <v>115</v>
      </c>
      <c r="D1396" s="91">
        <v>180</v>
      </c>
      <c r="E1396" s="269"/>
      <c r="F1396" s="268"/>
      <c r="G1396" s="91"/>
      <c r="H1396" s="91"/>
    </row>
    <row r="1397" spans="1:8" x14ac:dyDescent="0.25">
      <c r="A1397" s="91">
        <f t="shared" si="21"/>
        <v>413</v>
      </c>
      <c r="B1397" s="53" t="s">
        <v>3152</v>
      </c>
      <c r="C1397" s="91" t="s">
        <v>115</v>
      </c>
      <c r="D1397" s="91">
        <v>90</v>
      </c>
      <c r="E1397" s="269"/>
      <c r="F1397" s="268"/>
      <c r="G1397" s="91"/>
      <c r="H1397" s="91"/>
    </row>
    <row r="1398" spans="1:8" x14ac:dyDescent="0.25">
      <c r="A1398" s="91">
        <f t="shared" si="21"/>
        <v>413</v>
      </c>
      <c r="B1398" s="53" t="s">
        <v>3152</v>
      </c>
      <c r="C1398" s="91" t="s">
        <v>115</v>
      </c>
      <c r="D1398" s="91">
        <v>330</v>
      </c>
      <c r="E1398" s="269"/>
      <c r="F1398" s="268"/>
      <c r="G1398" s="91"/>
      <c r="H1398" s="91"/>
    </row>
    <row r="1399" spans="1:8" x14ac:dyDescent="0.25">
      <c r="A1399" s="91">
        <f t="shared" si="21"/>
        <v>413</v>
      </c>
      <c r="B1399" s="53" t="s">
        <v>3152</v>
      </c>
      <c r="C1399" s="91" t="s">
        <v>115</v>
      </c>
      <c r="D1399" s="91">
        <v>680</v>
      </c>
      <c r="E1399" s="269"/>
      <c r="F1399" s="268"/>
      <c r="G1399" s="91"/>
      <c r="H1399" s="91"/>
    </row>
    <row r="1400" spans="1:8" x14ac:dyDescent="0.25">
      <c r="A1400" s="91">
        <f t="shared" si="21"/>
        <v>414</v>
      </c>
      <c r="B1400" s="53" t="s">
        <v>3153</v>
      </c>
      <c r="C1400" s="91" t="s">
        <v>115</v>
      </c>
      <c r="D1400" s="91">
        <v>90</v>
      </c>
      <c r="E1400" s="269">
        <v>132</v>
      </c>
      <c r="F1400" s="268">
        <v>0.44</v>
      </c>
      <c r="G1400" s="91"/>
      <c r="H1400" s="91"/>
    </row>
    <row r="1401" spans="1:8" x14ac:dyDescent="0.25">
      <c r="A1401" s="91">
        <f t="shared" si="21"/>
        <v>414</v>
      </c>
      <c r="B1401" s="53" t="s">
        <v>3153</v>
      </c>
      <c r="C1401" s="91" t="s">
        <v>115</v>
      </c>
      <c r="D1401" s="91">
        <v>210</v>
      </c>
      <c r="E1401" s="269"/>
      <c r="F1401" s="268"/>
      <c r="G1401" s="91"/>
      <c r="H1401" s="91"/>
    </row>
    <row r="1402" spans="1:8" x14ac:dyDescent="0.25">
      <c r="A1402" s="91">
        <f t="shared" si="21"/>
        <v>415</v>
      </c>
      <c r="B1402" s="53" t="s">
        <v>3160</v>
      </c>
      <c r="C1402" s="91" t="s">
        <v>97</v>
      </c>
      <c r="D1402" s="91">
        <v>60</v>
      </c>
      <c r="E1402" s="269">
        <v>165.6</v>
      </c>
      <c r="F1402" s="268">
        <v>0.45999999999999996</v>
      </c>
      <c r="G1402" s="91"/>
      <c r="H1402" s="91"/>
    </row>
    <row r="1403" spans="1:8" x14ac:dyDescent="0.25">
      <c r="A1403" s="91">
        <f t="shared" si="21"/>
        <v>415</v>
      </c>
      <c r="B1403" s="53" t="s">
        <v>3160</v>
      </c>
      <c r="C1403" s="91" t="s">
        <v>97</v>
      </c>
      <c r="D1403" s="91">
        <v>300</v>
      </c>
      <c r="E1403" s="269"/>
      <c r="F1403" s="268"/>
      <c r="G1403" s="91"/>
      <c r="H1403" s="91"/>
    </row>
    <row r="1404" spans="1:8" x14ac:dyDescent="0.25">
      <c r="A1404" s="91">
        <f t="shared" si="21"/>
        <v>416</v>
      </c>
      <c r="B1404" s="53" t="s">
        <v>3161</v>
      </c>
      <c r="C1404" s="91" t="s">
        <v>97</v>
      </c>
      <c r="D1404" s="91">
        <v>120</v>
      </c>
      <c r="E1404" s="269">
        <v>139.19999999999999</v>
      </c>
      <c r="F1404" s="268">
        <v>0.38666666666666666</v>
      </c>
      <c r="G1404" s="91"/>
      <c r="H1404" s="91"/>
    </row>
    <row r="1405" spans="1:8" x14ac:dyDescent="0.25">
      <c r="A1405" s="91">
        <f t="shared" si="21"/>
        <v>416</v>
      </c>
      <c r="B1405" s="53" t="s">
        <v>3161</v>
      </c>
      <c r="C1405" s="91" t="s">
        <v>97</v>
      </c>
      <c r="D1405" s="91">
        <v>240</v>
      </c>
      <c r="E1405" s="269"/>
      <c r="F1405" s="268"/>
      <c r="G1405" s="91"/>
      <c r="H1405" s="91"/>
    </row>
    <row r="1406" spans="1:8" x14ac:dyDescent="0.25">
      <c r="A1406" s="91">
        <f t="shared" si="21"/>
        <v>417</v>
      </c>
      <c r="B1406" s="53" t="s">
        <v>3163</v>
      </c>
      <c r="C1406" s="91" t="s">
        <v>1037</v>
      </c>
      <c r="D1406" s="91">
        <v>240</v>
      </c>
      <c r="E1406" s="269">
        <v>689.92</v>
      </c>
      <c r="F1406" s="268">
        <v>0.55999999999999994</v>
      </c>
      <c r="G1406" s="91"/>
      <c r="H1406" s="91"/>
    </row>
    <row r="1407" spans="1:8" x14ac:dyDescent="0.25">
      <c r="A1407" s="91">
        <f t="shared" si="21"/>
        <v>417</v>
      </c>
      <c r="B1407" s="53" t="s">
        <v>3163</v>
      </c>
      <c r="C1407" s="91" t="s">
        <v>1037</v>
      </c>
      <c r="D1407" s="91">
        <v>176</v>
      </c>
      <c r="E1407" s="269"/>
      <c r="F1407" s="268"/>
      <c r="G1407" s="91"/>
      <c r="H1407" s="91"/>
    </row>
    <row r="1408" spans="1:8" x14ac:dyDescent="0.25">
      <c r="A1408" s="91">
        <f t="shared" si="21"/>
        <v>417</v>
      </c>
      <c r="B1408" s="53" t="s">
        <v>3163</v>
      </c>
      <c r="C1408" s="91" t="s">
        <v>1037</v>
      </c>
      <c r="D1408" s="91">
        <v>304</v>
      </c>
      <c r="E1408" s="269"/>
      <c r="F1408" s="268"/>
      <c r="G1408" s="91"/>
      <c r="H1408" s="91"/>
    </row>
    <row r="1409" spans="1:8" x14ac:dyDescent="0.25">
      <c r="A1409" s="91">
        <f t="shared" si="21"/>
        <v>417</v>
      </c>
      <c r="B1409" s="53" t="s">
        <v>3163</v>
      </c>
      <c r="C1409" s="91" t="s">
        <v>1037</v>
      </c>
      <c r="D1409" s="91">
        <v>256</v>
      </c>
      <c r="E1409" s="269"/>
      <c r="F1409" s="268"/>
      <c r="G1409" s="91"/>
      <c r="H1409" s="91"/>
    </row>
    <row r="1410" spans="1:8" x14ac:dyDescent="0.25">
      <c r="A1410" s="91">
        <f t="shared" si="21"/>
        <v>417</v>
      </c>
      <c r="B1410" s="53" t="s">
        <v>3163</v>
      </c>
      <c r="C1410" s="91" t="s">
        <v>1037</v>
      </c>
      <c r="D1410" s="91">
        <v>208</v>
      </c>
      <c r="E1410" s="269"/>
      <c r="F1410" s="268"/>
      <c r="G1410" s="91"/>
      <c r="H1410" s="91"/>
    </row>
    <row r="1411" spans="1:8" x14ac:dyDescent="0.25">
      <c r="A1411" s="91">
        <f t="shared" si="21"/>
        <v>417</v>
      </c>
      <c r="B1411" s="53" t="s">
        <v>3163</v>
      </c>
      <c r="C1411" s="91" t="s">
        <v>1037</v>
      </c>
      <c r="D1411" s="91">
        <v>32</v>
      </c>
      <c r="E1411" s="269"/>
      <c r="F1411" s="268"/>
      <c r="G1411" s="91"/>
      <c r="H1411" s="91"/>
    </row>
    <row r="1412" spans="1:8" x14ac:dyDescent="0.25">
      <c r="A1412" s="91">
        <f t="shared" ref="A1412:A1475" si="22">IF(B1412=B1411,A1411,A1411+1)</f>
        <v>417</v>
      </c>
      <c r="B1412" s="53" t="s">
        <v>3163</v>
      </c>
      <c r="C1412" s="91" t="s">
        <v>1037</v>
      </c>
      <c r="D1412" s="91">
        <v>16</v>
      </c>
      <c r="E1412" s="269"/>
      <c r="F1412" s="268"/>
      <c r="G1412" s="91"/>
      <c r="H1412" s="91"/>
    </row>
    <row r="1413" spans="1:8" x14ac:dyDescent="0.25">
      <c r="A1413" s="91">
        <f t="shared" si="22"/>
        <v>418</v>
      </c>
      <c r="B1413" s="53" t="s">
        <v>3165</v>
      </c>
      <c r="C1413" s="91" t="s">
        <v>1037</v>
      </c>
      <c r="D1413" s="91">
        <v>144</v>
      </c>
      <c r="E1413" s="269">
        <v>161.28</v>
      </c>
      <c r="F1413" s="268">
        <v>0.56000000000000005</v>
      </c>
      <c r="G1413" s="91"/>
      <c r="H1413" s="91"/>
    </row>
    <row r="1414" spans="1:8" x14ac:dyDescent="0.25">
      <c r="A1414" s="91">
        <f t="shared" si="22"/>
        <v>418</v>
      </c>
      <c r="B1414" s="53" t="s">
        <v>3165</v>
      </c>
      <c r="C1414" s="91" t="s">
        <v>1037</v>
      </c>
      <c r="D1414" s="91">
        <v>144</v>
      </c>
      <c r="E1414" s="269"/>
      <c r="F1414" s="268"/>
      <c r="G1414" s="91"/>
      <c r="H1414" s="91"/>
    </row>
    <row r="1415" spans="1:8" x14ac:dyDescent="0.25">
      <c r="A1415" s="91">
        <f t="shared" si="22"/>
        <v>419</v>
      </c>
      <c r="B1415" s="53" t="s">
        <v>3181</v>
      </c>
      <c r="C1415" s="91" t="s">
        <v>1037</v>
      </c>
      <c r="D1415" s="91">
        <v>160</v>
      </c>
      <c r="E1415" s="269">
        <v>89.6</v>
      </c>
      <c r="F1415" s="268">
        <v>0.55999999999999994</v>
      </c>
      <c r="G1415" s="91"/>
      <c r="H1415" s="91"/>
    </row>
    <row r="1416" spans="1:8" x14ac:dyDescent="0.25">
      <c r="A1416" s="91">
        <f t="shared" si="22"/>
        <v>420</v>
      </c>
      <c r="B1416" s="53" t="s">
        <v>4170</v>
      </c>
      <c r="C1416" s="91" t="s">
        <v>115</v>
      </c>
      <c r="D1416" s="91">
        <v>200</v>
      </c>
      <c r="E1416" s="269">
        <v>72</v>
      </c>
      <c r="F1416" s="268">
        <v>0.36</v>
      </c>
      <c r="G1416" s="91"/>
      <c r="H1416" s="91"/>
    </row>
    <row r="1417" spans="1:8" x14ac:dyDescent="0.25">
      <c r="A1417" s="91">
        <f t="shared" si="22"/>
        <v>421</v>
      </c>
      <c r="B1417" s="53" t="s">
        <v>4171</v>
      </c>
      <c r="C1417" s="91" t="s">
        <v>115</v>
      </c>
      <c r="D1417" s="91">
        <v>600</v>
      </c>
      <c r="E1417" s="269">
        <v>216</v>
      </c>
      <c r="F1417" s="268">
        <v>0.36</v>
      </c>
      <c r="G1417" s="91"/>
      <c r="H1417" s="91"/>
    </row>
    <row r="1418" spans="1:8" x14ac:dyDescent="0.25">
      <c r="A1418" s="91">
        <f t="shared" si="22"/>
        <v>422</v>
      </c>
      <c r="B1418" s="53" t="s">
        <v>4172</v>
      </c>
      <c r="C1418" s="91" t="s">
        <v>97</v>
      </c>
      <c r="D1418" s="91">
        <v>800</v>
      </c>
      <c r="E1418" s="269">
        <v>588</v>
      </c>
      <c r="F1418" s="268">
        <v>0.3721518987341772</v>
      </c>
      <c r="G1418" s="91"/>
      <c r="H1418" s="91"/>
    </row>
    <row r="1419" spans="1:8" x14ac:dyDescent="0.25">
      <c r="A1419" s="91">
        <f t="shared" si="22"/>
        <v>422</v>
      </c>
      <c r="B1419" s="53" t="s">
        <v>4172</v>
      </c>
      <c r="C1419" s="91" t="s">
        <v>97</v>
      </c>
      <c r="D1419" s="91">
        <v>480</v>
      </c>
      <c r="E1419" s="269"/>
      <c r="F1419" s="268"/>
      <c r="G1419" s="91"/>
      <c r="H1419" s="91"/>
    </row>
    <row r="1420" spans="1:8" x14ac:dyDescent="0.25">
      <c r="A1420" s="91">
        <f t="shared" si="22"/>
        <v>422</v>
      </c>
      <c r="B1420" s="53" t="s">
        <v>4172</v>
      </c>
      <c r="C1420" s="91" t="s">
        <v>97</v>
      </c>
      <c r="D1420" s="91">
        <v>240</v>
      </c>
      <c r="E1420" s="269"/>
      <c r="F1420" s="268"/>
      <c r="G1420" s="91"/>
      <c r="H1420" s="91"/>
    </row>
    <row r="1421" spans="1:8" x14ac:dyDescent="0.25">
      <c r="A1421" s="91">
        <f t="shared" si="22"/>
        <v>422</v>
      </c>
      <c r="B1421" s="53" t="s">
        <v>4172</v>
      </c>
      <c r="C1421" s="91" t="s">
        <v>97</v>
      </c>
      <c r="D1421" s="91">
        <v>60</v>
      </c>
      <c r="E1421" s="269"/>
      <c r="F1421" s="268"/>
      <c r="G1421" s="91"/>
      <c r="H1421" s="91"/>
    </row>
    <row r="1422" spans="1:8" x14ac:dyDescent="0.25">
      <c r="A1422" s="91">
        <f t="shared" si="22"/>
        <v>423</v>
      </c>
      <c r="B1422" s="53" t="s">
        <v>4173</v>
      </c>
      <c r="C1422" s="91" t="s">
        <v>97</v>
      </c>
      <c r="D1422" s="91">
        <v>300</v>
      </c>
      <c r="E1422" s="269">
        <v>998.8</v>
      </c>
      <c r="F1422" s="268">
        <v>0.44</v>
      </c>
      <c r="G1422" s="91"/>
      <c r="H1422" s="91"/>
    </row>
    <row r="1423" spans="1:8" x14ac:dyDescent="0.25">
      <c r="A1423" s="91">
        <f t="shared" si="22"/>
        <v>423</v>
      </c>
      <c r="B1423" s="53" t="s">
        <v>4173</v>
      </c>
      <c r="C1423" s="91" t="s">
        <v>97</v>
      </c>
      <c r="D1423" s="91">
        <v>1200</v>
      </c>
      <c r="E1423" s="269"/>
      <c r="F1423" s="268"/>
      <c r="G1423" s="91"/>
      <c r="H1423" s="91"/>
    </row>
    <row r="1424" spans="1:8" x14ac:dyDescent="0.25">
      <c r="A1424" s="91">
        <f t="shared" si="22"/>
        <v>423</v>
      </c>
      <c r="B1424" s="53" t="s">
        <v>4173</v>
      </c>
      <c r="C1424" s="91" t="s">
        <v>97</v>
      </c>
      <c r="D1424" s="91">
        <v>450</v>
      </c>
      <c r="E1424" s="269"/>
      <c r="F1424" s="268"/>
      <c r="G1424" s="91"/>
      <c r="H1424" s="91"/>
    </row>
    <row r="1425" spans="1:8" x14ac:dyDescent="0.25">
      <c r="A1425" s="91">
        <f t="shared" si="22"/>
        <v>423</v>
      </c>
      <c r="B1425" s="53" t="s">
        <v>4173</v>
      </c>
      <c r="C1425" s="91" t="s">
        <v>97</v>
      </c>
      <c r="D1425" s="91">
        <v>320</v>
      </c>
      <c r="E1425" s="269"/>
      <c r="F1425" s="268"/>
      <c r="G1425" s="91"/>
      <c r="H1425" s="91"/>
    </row>
    <row r="1426" spans="1:8" x14ac:dyDescent="0.25">
      <c r="A1426" s="91">
        <f t="shared" si="22"/>
        <v>424</v>
      </c>
      <c r="B1426" s="53" t="s">
        <v>4175</v>
      </c>
      <c r="C1426" s="91" t="s">
        <v>97</v>
      </c>
      <c r="D1426" s="91">
        <v>200</v>
      </c>
      <c r="E1426" s="269">
        <v>115.2</v>
      </c>
      <c r="F1426" s="268">
        <v>0.36</v>
      </c>
      <c r="G1426" s="91"/>
      <c r="H1426" s="91"/>
    </row>
    <row r="1427" spans="1:8" x14ac:dyDescent="0.25">
      <c r="A1427" s="91">
        <f t="shared" si="22"/>
        <v>424</v>
      </c>
      <c r="B1427" s="53" t="s">
        <v>4175</v>
      </c>
      <c r="C1427" s="91" t="s">
        <v>97</v>
      </c>
      <c r="D1427" s="91">
        <v>120</v>
      </c>
      <c r="E1427" s="269"/>
      <c r="F1427" s="268"/>
      <c r="G1427" s="91"/>
      <c r="H1427" s="91"/>
    </row>
    <row r="1428" spans="1:8" x14ac:dyDescent="0.25">
      <c r="A1428" s="91">
        <f t="shared" si="22"/>
        <v>425</v>
      </c>
      <c r="B1428" s="53" t="s">
        <v>4179</v>
      </c>
      <c r="C1428" s="91" t="s">
        <v>115</v>
      </c>
      <c r="D1428" s="91">
        <v>400</v>
      </c>
      <c r="E1428" s="269">
        <v>144</v>
      </c>
      <c r="F1428" s="268">
        <v>0.36</v>
      </c>
      <c r="G1428" s="91"/>
      <c r="H1428" s="91"/>
    </row>
    <row r="1429" spans="1:8" x14ac:dyDescent="0.25">
      <c r="A1429" s="91">
        <f t="shared" si="22"/>
        <v>426</v>
      </c>
      <c r="B1429" s="53" t="s">
        <v>4181</v>
      </c>
      <c r="C1429" s="91" t="s">
        <v>115</v>
      </c>
      <c r="D1429" s="91">
        <v>120</v>
      </c>
      <c r="E1429" s="269">
        <v>225.6</v>
      </c>
      <c r="F1429" s="268">
        <v>0.376</v>
      </c>
      <c r="G1429" s="91"/>
      <c r="H1429" s="91"/>
    </row>
    <row r="1430" spans="1:8" x14ac:dyDescent="0.25">
      <c r="A1430" s="91">
        <f t="shared" si="22"/>
        <v>426</v>
      </c>
      <c r="B1430" s="53" t="s">
        <v>4181</v>
      </c>
      <c r="C1430" s="91" t="s">
        <v>115</v>
      </c>
      <c r="D1430" s="91">
        <v>480</v>
      </c>
      <c r="E1430" s="269"/>
      <c r="F1430" s="268"/>
      <c r="G1430" s="91"/>
      <c r="H1430" s="91"/>
    </row>
    <row r="1431" spans="1:8" x14ac:dyDescent="0.25">
      <c r="A1431" s="91">
        <f t="shared" si="22"/>
        <v>427</v>
      </c>
      <c r="B1431" s="53" t="s">
        <v>4188</v>
      </c>
      <c r="C1431" s="91" t="s">
        <v>97</v>
      </c>
      <c r="D1431" s="91">
        <v>510</v>
      </c>
      <c r="E1431" s="269">
        <v>224.4</v>
      </c>
      <c r="F1431" s="268">
        <v>0.44</v>
      </c>
      <c r="G1431" s="91"/>
      <c r="H1431" s="91"/>
    </row>
    <row r="1432" spans="1:8" x14ac:dyDescent="0.25">
      <c r="A1432" s="91">
        <f t="shared" si="22"/>
        <v>428</v>
      </c>
      <c r="B1432" s="53" t="s">
        <v>4189</v>
      </c>
      <c r="C1432" s="91" t="s">
        <v>97</v>
      </c>
      <c r="D1432" s="91">
        <v>1800</v>
      </c>
      <c r="E1432" s="269">
        <v>792</v>
      </c>
      <c r="F1432" s="268">
        <v>0.44</v>
      </c>
      <c r="G1432" s="91"/>
      <c r="H1432" s="91"/>
    </row>
    <row r="1433" spans="1:8" x14ac:dyDescent="0.25">
      <c r="A1433" s="91">
        <f t="shared" si="22"/>
        <v>429</v>
      </c>
      <c r="B1433" s="53" t="s">
        <v>4191</v>
      </c>
      <c r="C1433" s="91" t="s">
        <v>97</v>
      </c>
      <c r="D1433" s="91">
        <v>1400</v>
      </c>
      <c r="E1433" s="269">
        <v>986.4</v>
      </c>
      <c r="F1433" s="268">
        <v>0.36533333333333334</v>
      </c>
      <c r="G1433" s="91"/>
      <c r="H1433" s="91"/>
    </row>
    <row r="1434" spans="1:8" x14ac:dyDescent="0.25">
      <c r="A1434" s="91">
        <f t="shared" si="22"/>
        <v>429</v>
      </c>
      <c r="B1434" s="53" t="s">
        <v>4191</v>
      </c>
      <c r="C1434" s="91" t="s">
        <v>97</v>
      </c>
      <c r="D1434" s="91">
        <v>120</v>
      </c>
      <c r="E1434" s="269"/>
      <c r="F1434" s="268"/>
      <c r="G1434" s="91"/>
      <c r="H1434" s="91"/>
    </row>
    <row r="1435" spans="1:8" x14ac:dyDescent="0.25">
      <c r="A1435" s="91">
        <f t="shared" si="22"/>
        <v>429</v>
      </c>
      <c r="B1435" s="53" t="s">
        <v>4191</v>
      </c>
      <c r="C1435" s="91" t="s">
        <v>97</v>
      </c>
      <c r="D1435" s="91">
        <v>600</v>
      </c>
      <c r="E1435" s="269"/>
      <c r="F1435" s="268"/>
      <c r="G1435" s="91"/>
      <c r="H1435" s="91"/>
    </row>
    <row r="1436" spans="1:8" x14ac:dyDescent="0.25">
      <c r="A1436" s="91">
        <f t="shared" si="22"/>
        <v>429</v>
      </c>
      <c r="B1436" s="53" t="s">
        <v>4191</v>
      </c>
      <c r="C1436" s="91" t="s">
        <v>97</v>
      </c>
      <c r="D1436" s="91">
        <v>200</v>
      </c>
      <c r="E1436" s="269"/>
      <c r="F1436" s="268"/>
      <c r="G1436" s="91"/>
      <c r="H1436" s="91"/>
    </row>
    <row r="1437" spans="1:8" x14ac:dyDescent="0.25">
      <c r="A1437" s="91">
        <f t="shared" si="22"/>
        <v>429</v>
      </c>
      <c r="B1437" s="53" t="s">
        <v>4191</v>
      </c>
      <c r="C1437" s="91" t="s">
        <v>97</v>
      </c>
      <c r="D1437" s="91">
        <v>180</v>
      </c>
      <c r="E1437" s="269"/>
      <c r="F1437" s="268"/>
      <c r="G1437" s="91"/>
      <c r="H1437" s="91"/>
    </row>
    <row r="1438" spans="1:8" x14ac:dyDescent="0.25">
      <c r="A1438" s="91">
        <f t="shared" si="22"/>
        <v>429</v>
      </c>
      <c r="B1438" s="53" t="s">
        <v>4191</v>
      </c>
      <c r="C1438" s="91" t="s">
        <v>97</v>
      </c>
      <c r="D1438" s="91">
        <v>200</v>
      </c>
      <c r="E1438" s="269"/>
      <c r="F1438" s="268"/>
      <c r="G1438" s="91"/>
      <c r="H1438" s="91"/>
    </row>
    <row r="1439" spans="1:8" x14ac:dyDescent="0.25">
      <c r="A1439" s="91">
        <f t="shared" si="22"/>
        <v>430</v>
      </c>
      <c r="B1439" s="53" t="s">
        <v>4192</v>
      </c>
      <c r="C1439" s="91" t="s">
        <v>97</v>
      </c>
      <c r="D1439" s="91">
        <v>390</v>
      </c>
      <c r="E1439" s="269">
        <v>1372.8</v>
      </c>
      <c r="F1439" s="268">
        <v>0.44</v>
      </c>
      <c r="G1439" s="91"/>
      <c r="H1439" s="91"/>
    </row>
    <row r="1440" spans="1:8" x14ac:dyDescent="0.25">
      <c r="A1440" s="91">
        <f t="shared" si="22"/>
        <v>430</v>
      </c>
      <c r="B1440" s="53" t="s">
        <v>4192</v>
      </c>
      <c r="C1440" s="91" t="s">
        <v>97</v>
      </c>
      <c r="D1440" s="91">
        <v>120</v>
      </c>
      <c r="E1440" s="269"/>
      <c r="F1440" s="268"/>
      <c r="G1440" s="91"/>
      <c r="H1440" s="91"/>
    </row>
    <row r="1441" spans="1:8" x14ac:dyDescent="0.25">
      <c r="A1441" s="91">
        <f t="shared" si="22"/>
        <v>430</v>
      </c>
      <c r="B1441" s="53" t="s">
        <v>4192</v>
      </c>
      <c r="C1441" s="91" t="s">
        <v>97</v>
      </c>
      <c r="D1441" s="91">
        <v>2100</v>
      </c>
      <c r="E1441" s="269"/>
      <c r="F1441" s="268"/>
      <c r="G1441" s="91"/>
      <c r="H1441" s="91"/>
    </row>
    <row r="1442" spans="1:8" x14ac:dyDescent="0.25">
      <c r="A1442" s="91">
        <f t="shared" si="22"/>
        <v>430</v>
      </c>
      <c r="B1442" s="53" t="s">
        <v>4192</v>
      </c>
      <c r="C1442" s="91" t="s">
        <v>97</v>
      </c>
      <c r="D1442" s="91">
        <v>510</v>
      </c>
      <c r="E1442" s="269"/>
      <c r="F1442" s="268"/>
      <c r="G1442" s="91"/>
      <c r="H1442" s="91"/>
    </row>
    <row r="1443" spans="1:8" x14ac:dyDescent="0.25">
      <c r="A1443" s="91">
        <f t="shared" si="22"/>
        <v>431</v>
      </c>
      <c r="B1443" s="53" t="s">
        <v>4193</v>
      </c>
      <c r="C1443" s="91" t="s">
        <v>97</v>
      </c>
      <c r="D1443" s="91">
        <v>400</v>
      </c>
      <c r="E1443" s="269">
        <v>540</v>
      </c>
      <c r="F1443" s="268">
        <v>0.41538461538461541</v>
      </c>
      <c r="G1443" s="91"/>
      <c r="H1443" s="91"/>
    </row>
    <row r="1444" spans="1:8" x14ac:dyDescent="0.25">
      <c r="A1444" s="91">
        <f t="shared" si="22"/>
        <v>431</v>
      </c>
      <c r="B1444" s="53" t="s">
        <v>4193</v>
      </c>
      <c r="C1444" s="91" t="s">
        <v>97</v>
      </c>
      <c r="D1444" s="91">
        <v>900</v>
      </c>
      <c r="E1444" s="269"/>
      <c r="F1444" s="268"/>
      <c r="G1444" s="91"/>
      <c r="H1444" s="91"/>
    </row>
    <row r="1445" spans="1:8" x14ac:dyDescent="0.25">
      <c r="A1445" s="91">
        <f t="shared" si="22"/>
        <v>432</v>
      </c>
      <c r="B1445" s="53" t="s">
        <v>4197</v>
      </c>
      <c r="C1445" s="91" t="s">
        <v>97</v>
      </c>
      <c r="D1445" s="91">
        <v>480</v>
      </c>
      <c r="E1445" s="269">
        <v>268.8</v>
      </c>
      <c r="F1445" s="268">
        <v>0.56000000000000005</v>
      </c>
      <c r="G1445" s="91"/>
      <c r="H1445" s="91"/>
    </row>
    <row r="1446" spans="1:8" x14ac:dyDescent="0.25">
      <c r="A1446" s="91">
        <f t="shared" si="22"/>
        <v>433</v>
      </c>
      <c r="B1446" s="53" t="s">
        <v>4198</v>
      </c>
      <c r="C1446" s="91" t="s">
        <v>115</v>
      </c>
      <c r="D1446" s="91">
        <v>684</v>
      </c>
      <c r="E1446" s="269">
        <v>278.64</v>
      </c>
      <c r="F1446" s="268">
        <v>0.36</v>
      </c>
      <c r="G1446" s="91"/>
      <c r="H1446" s="91"/>
    </row>
    <row r="1447" spans="1:8" x14ac:dyDescent="0.25">
      <c r="A1447" s="91">
        <f t="shared" si="22"/>
        <v>433</v>
      </c>
      <c r="B1447" s="53" t="s">
        <v>4198</v>
      </c>
      <c r="C1447" s="91" t="s">
        <v>115</v>
      </c>
      <c r="D1447" s="91">
        <v>90</v>
      </c>
      <c r="E1447" s="269"/>
      <c r="F1447" s="268"/>
      <c r="G1447" s="91"/>
      <c r="H1447" s="91"/>
    </row>
    <row r="1448" spans="1:8" x14ac:dyDescent="0.25">
      <c r="A1448" s="91">
        <f t="shared" si="22"/>
        <v>434</v>
      </c>
      <c r="B1448" s="53" t="s">
        <v>4199</v>
      </c>
      <c r="C1448" s="91" t="s">
        <v>97</v>
      </c>
      <c r="D1448" s="91">
        <v>540</v>
      </c>
      <c r="E1448" s="269">
        <v>238.4</v>
      </c>
      <c r="F1448" s="268">
        <v>0.3725</v>
      </c>
      <c r="G1448" s="91"/>
      <c r="H1448" s="91"/>
    </row>
    <row r="1449" spans="1:8" x14ac:dyDescent="0.25">
      <c r="A1449" s="91">
        <f t="shared" si="22"/>
        <v>434</v>
      </c>
      <c r="B1449" s="53" t="s">
        <v>4199</v>
      </c>
      <c r="C1449" s="91" t="s">
        <v>97</v>
      </c>
      <c r="D1449" s="91">
        <v>100</v>
      </c>
      <c r="E1449" s="269"/>
      <c r="F1449" s="268"/>
      <c r="G1449" s="91"/>
      <c r="H1449" s="91"/>
    </row>
    <row r="1450" spans="1:8" x14ac:dyDescent="0.25">
      <c r="A1450" s="91">
        <f t="shared" si="22"/>
        <v>435</v>
      </c>
      <c r="B1450" s="53" t="s">
        <v>4200</v>
      </c>
      <c r="C1450" s="91" t="s">
        <v>115</v>
      </c>
      <c r="D1450" s="91">
        <v>192</v>
      </c>
      <c r="E1450" s="269">
        <v>552.96</v>
      </c>
      <c r="F1450" s="268">
        <v>0.36000000000000004</v>
      </c>
      <c r="G1450" s="91"/>
      <c r="H1450" s="91"/>
    </row>
    <row r="1451" spans="1:8" x14ac:dyDescent="0.25">
      <c r="A1451" s="91">
        <f t="shared" si="22"/>
        <v>435</v>
      </c>
      <c r="B1451" s="53" t="s">
        <v>4200</v>
      </c>
      <c r="C1451" s="91" t="s">
        <v>115</v>
      </c>
      <c r="D1451" s="91">
        <v>128</v>
      </c>
      <c r="E1451" s="269"/>
      <c r="F1451" s="268"/>
      <c r="G1451" s="91"/>
      <c r="H1451" s="91"/>
    </row>
    <row r="1452" spans="1:8" x14ac:dyDescent="0.25">
      <c r="A1452" s="91">
        <f t="shared" si="22"/>
        <v>435</v>
      </c>
      <c r="B1452" s="53" t="s">
        <v>4200</v>
      </c>
      <c r="C1452" s="91" t="s">
        <v>115</v>
      </c>
      <c r="D1452" s="91">
        <v>384</v>
      </c>
      <c r="E1452" s="269"/>
      <c r="F1452" s="268"/>
      <c r="G1452" s="91"/>
      <c r="H1452" s="91"/>
    </row>
    <row r="1453" spans="1:8" x14ac:dyDescent="0.25">
      <c r="A1453" s="91">
        <f t="shared" si="22"/>
        <v>435</v>
      </c>
      <c r="B1453" s="53" t="s">
        <v>4200</v>
      </c>
      <c r="C1453" s="91" t="s">
        <v>115</v>
      </c>
      <c r="D1453" s="91">
        <v>256</v>
      </c>
      <c r="E1453" s="269"/>
      <c r="F1453" s="268"/>
      <c r="G1453" s="91"/>
      <c r="H1453" s="91"/>
    </row>
    <row r="1454" spans="1:8" x14ac:dyDescent="0.25">
      <c r="A1454" s="91">
        <f t="shared" si="22"/>
        <v>435</v>
      </c>
      <c r="B1454" s="53" t="s">
        <v>4200</v>
      </c>
      <c r="C1454" s="91" t="s">
        <v>115</v>
      </c>
      <c r="D1454" s="91">
        <v>384</v>
      </c>
      <c r="E1454" s="269"/>
      <c r="F1454" s="268"/>
      <c r="G1454" s="91"/>
      <c r="H1454" s="91"/>
    </row>
    <row r="1455" spans="1:8" x14ac:dyDescent="0.25">
      <c r="A1455" s="91">
        <f t="shared" si="22"/>
        <v>435</v>
      </c>
      <c r="B1455" s="53" t="s">
        <v>4200</v>
      </c>
      <c r="C1455" s="91" t="s">
        <v>115</v>
      </c>
      <c r="D1455" s="91">
        <v>128</v>
      </c>
      <c r="E1455" s="269"/>
      <c r="F1455" s="268"/>
      <c r="G1455" s="91"/>
      <c r="H1455" s="91"/>
    </row>
    <row r="1456" spans="1:8" x14ac:dyDescent="0.25">
      <c r="A1456" s="91">
        <f t="shared" si="22"/>
        <v>435</v>
      </c>
      <c r="B1456" s="53" t="s">
        <v>4200</v>
      </c>
      <c r="C1456" s="91" t="s">
        <v>115</v>
      </c>
      <c r="D1456" s="91">
        <v>64</v>
      </c>
      <c r="E1456" s="269"/>
      <c r="F1456" s="268"/>
      <c r="G1456" s="91"/>
      <c r="H1456" s="91"/>
    </row>
    <row r="1457" spans="1:8" x14ac:dyDescent="0.25">
      <c r="A1457" s="91">
        <f t="shared" si="22"/>
        <v>436</v>
      </c>
      <c r="B1457" s="53" t="s">
        <v>4201</v>
      </c>
      <c r="C1457" s="91" t="s">
        <v>4202</v>
      </c>
      <c r="D1457" s="91">
        <v>128</v>
      </c>
      <c r="E1457" s="269">
        <v>46.08</v>
      </c>
      <c r="F1457" s="268">
        <v>0.36</v>
      </c>
      <c r="G1457" s="91"/>
      <c r="H1457" s="91"/>
    </row>
    <row r="1458" spans="1:8" x14ac:dyDescent="0.25">
      <c r="A1458" s="91">
        <f t="shared" si="22"/>
        <v>437</v>
      </c>
      <c r="B1458" s="53" t="s">
        <v>4223</v>
      </c>
      <c r="C1458" s="91" t="s">
        <v>115</v>
      </c>
      <c r="D1458" s="91">
        <v>600</v>
      </c>
      <c r="E1458" s="269">
        <v>216</v>
      </c>
      <c r="F1458" s="268">
        <v>0.36</v>
      </c>
      <c r="G1458" s="91"/>
      <c r="H1458" s="91"/>
    </row>
    <row r="1459" spans="1:8" x14ac:dyDescent="0.25">
      <c r="A1459" s="91">
        <f t="shared" si="22"/>
        <v>438</v>
      </c>
      <c r="B1459" s="53" t="s">
        <v>4225</v>
      </c>
      <c r="C1459" s="91" t="s">
        <v>115</v>
      </c>
      <c r="D1459" s="91">
        <v>300</v>
      </c>
      <c r="E1459" s="269">
        <v>264</v>
      </c>
      <c r="F1459" s="268">
        <v>0.44</v>
      </c>
      <c r="G1459" s="91"/>
      <c r="H1459" s="91"/>
    </row>
    <row r="1460" spans="1:8" x14ac:dyDescent="0.25">
      <c r="A1460" s="91">
        <f t="shared" si="22"/>
        <v>438</v>
      </c>
      <c r="B1460" s="53" t="s">
        <v>4225</v>
      </c>
      <c r="C1460" s="91" t="s">
        <v>115</v>
      </c>
      <c r="D1460" s="91">
        <v>300</v>
      </c>
      <c r="E1460" s="269"/>
      <c r="F1460" s="268"/>
      <c r="G1460" s="91"/>
      <c r="H1460" s="91"/>
    </row>
    <row r="1461" spans="1:8" x14ac:dyDescent="0.25">
      <c r="A1461" s="91">
        <f t="shared" si="22"/>
        <v>439</v>
      </c>
      <c r="B1461" s="53" t="s">
        <v>4227</v>
      </c>
      <c r="C1461" s="91" t="s">
        <v>115</v>
      </c>
      <c r="D1461" s="91">
        <v>128</v>
      </c>
      <c r="E1461" s="269">
        <v>431.68</v>
      </c>
      <c r="F1461" s="268">
        <v>0.38269503546099293</v>
      </c>
      <c r="G1461" s="91"/>
      <c r="H1461" s="91"/>
    </row>
    <row r="1462" spans="1:8" x14ac:dyDescent="0.25">
      <c r="A1462" s="91">
        <f t="shared" si="22"/>
        <v>439</v>
      </c>
      <c r="B1462" s="53" t="s">
        <v>4227</v>
      </c>
      <c r="C1462" s="91" t="s">
        <v>115</v>
      </c>
      <c r="D1462" s="91">
        <v>1000</v>
      </c>
      <c r="E1462" s="269"/>
      <c r="F1462" s="268"/>
      <c r="G1462" s="91"/>
      <c r="H1462" s="91"/>
    </row>
    <row r="1463" spans="1:8" x14ac:dyDescent="0.25">
      <c r="A1463" s="91">
        <f t="shared" si="22"/>
        <v>440</v>
      </c>
      <c r="B1463" s="53" t="s">
        <v>4228</v>
      </c>
      <c r="C1463" s="91" t="s">
        <v>97</v>
      </c>
      <c r="D1463" s="91">
        <v>600</v>
      </c>
      <c r="E1463" s="269">
        <v>316.8</v>
      </c>
      <c r="F1463" s="268">
        <v>0.44</v>
      </c>
      <c r="G1463" s="91"/>
      <c r="H1463" s="91"/>
    </row>
    <row r="1464" spans="1:8" x14ac:dyDescent="0.25">
      <c r="A1464" s="91">
        <f t="shared" si="22"/>
        <v>440</v>
      </c>
      <c r="B1464" s="53" t="s">
        <v>4228</v>
      </c>
      <c r="C1464" s="91" t="s">
        <v>97</v>
      </c>
      <c r="D1464" s="91">
        <v>120</v>
      </c>
      <c r="E1464" s="269"/>
      <c r="F1464" s="268"/>
      <c r="G1464" s="91"/>
      <c r="H1464" s="91"/>
    </row>
    <row r="1465" spans="1:8" x14ac:dyDescent="0.25">
      <c r="A1465" s="91">
        <f t="shared" si="22"/>
        <v>441</v>
      </c>
      <c r="B1465" s="53" t="s">
        <v>4229</v>
      </c>
      <c r="C1465" s="91" t="s">
        <v>97</v>
      </c>
      <c r="D1465" s="91">
        <v>240</v>
      </c>
      <c r="E1465" s="269">
        <v>1557.6</v>
      </c>
      <c r="F1465" s="268">
        <v>0.43999999999999995</v>
      </c>
      <c r="G1465" s="91"/>
      <c r="H1465" s="91"/>
    </row>
    <row r="1466" spans="1:8" x14ac:dyDescent="0.25">
      <c r="A1466" s="91">
        <f t="shared" si="22"/>
        <v>441</v>
      </c>
      <c r="B1466" s="53" t="s">
        <v>4229</v>
      </c>
      <c r="C1466" s="91" t="s">
        <v>97</v>
      </c>
      <c r="D1466" s="91">
        <v>300</v>
      </c>
      <c r="E1466" s="269"/>
      <c r="F1466" s="268"/>
      <c r="G1466" s="91"/>
      <c r="H1466" s="91"/>
    </row>
    <row r="1467" spans="1:8" x14ac:dyDescent="0.25">
      <c r="A1467" s="91">
        <f t="shared" si="22"/>
        <v>441</v>
      </c>
      <c r="B1467" s="53" t="s">
        <v>4229</v>
      </c>
      <c r="C1467" s="91" t="s">
        <v>97</v>
      </c>
      <c r="D1467" s="91">
        <v>90</v>
      </c>
      <c r="E1467" s="269"/>
      <c r="F1467" s="268"/>
      <c r="G1467" s="91"/>
      <c r="H1467" s="91"/>
    </row>
    <row r="1468" spans="1:8" x14ac:dyDescent="0.25">
      <c r="A1468" s="91">
        <f t="shared" si="22"/>
        <v>441</v>
      </c>
      <c r="B1468" s="53" t="s">
        <v>4229</v>
      </c>
      <c r="C1468" s="91" t="s">
        <v>97</v>
      </c>
      <c r="D1468" s="91">
        <v>2100</v>
      </c>
      <c r="E1468" s="269"/>
      <c r="F1468" s="268"/>
      <c r="G1468" s="91"/>
      <c r="H1468" s="91"/>
    </row>
    <row r="1469" spans="1:8" x14ac:dyDescent="0.25">
      <c r="A1469" s="91">
        <f t="shared" si="22"/>
        <v>441</v>
      </c>
      <c r="B1469" s="53" t="s">
        <v>4229</v>
      </c>
      <c r="C1469" s="91" t="s">
        <v>97</v>
      </c>
      <c r="D1469" s="91">
        <v>30</v>
      </c>
      <c r="E1469" s="269"/>
      <c r="F1469" s="268"/>
      <c r="G1469" s="91"/>
      <c r="H1469" s="91"/>
    </row>
    <row r="1470" spans="1:8" x14ac:dyDescent="0.25">
      <c r="A1470" s="91">
        <f t="shared" si="22"/>
        <v>441</v>
      </c>
      <c r="B1470" s="53" t="s">
        <v>4229</v>
      </c>
      <c r="C1470" s="91" t="s">
        <v>97</v>
      </c>
      <c r="D1470" s="91">
        <v>780</v>
      </c>
      <c r="E1470" s="269"/>
      <c r="F1470" s="268"/>
      <c r="G1470" s="91"/>
      <c r="H1470" s="91"/>
    </row>
    <row r="1471" spans="1:8" x14ac:dyDescent="0.25">
      <c r="A1471" s="91">
        <f t="shared" si="22"/>
        <v>442</v>
      </c>
      <c r="B1471" s="53" t="s">
        <v>4232</v>
      </c>
      <c r="C1471" s="91" t="s">
        <v>97</v>
      </c>
      <c r="D1471" s="91">
        <v>1200</v>
      </c>
      <c r="E1471" s="269">
        <v>953.6</v>
      </c>
      <c r="F1471" s="268">
        <v>0.37841269841269842</v>
      </c>
      <c r="G1471" s="91"/>
      <c r="H1471" s="91"/>
    </row>
    <row r="1472" spans="1:8" x14ac:dyDescent="0.25">
      <c r="A1472" s="91">
        <f t="shared" si="22"/>
        <v>442</v>
      </c>
      <c r="B1472" s="53" t="s">
        <v>4232</v>
      </c>
      <c r="C1472" s="91" t="s">
        <v>97</v>
      </c>
      <c r="D1472" s="91">
        <v>120</v>
      </c>
      <c r="E1472" s="269"/>
      <c r="F1472" s="268"/>
      <c r="G1472" s="91"/>
      <c r="H1472" s="91"/>
    </row>
    <row r="1473" spans="1:8" x14ac:dyDescent="0.25">
      <c r="A1473" s="91">
        <f t="shared" si="22"/>
        <v>442</v>
      </c>
      <c r="B1473" s="53" t="s">
        <v>4232</v>
      </c>
      <c r="C1473" s="91" t="s">
        <v>97</v>
      </c>
      <c r="D1473" s="91">
        <v>400</v>
      </c>
      <c r="E1473" s="269"/>
      <c r="F1473" s="268"/>
      <c r="G1473" s="91"/>
      <c r="H1473" s="91"/>
    </row>
    <row r="1474" spans="1:8" x14ac:dyDescent="0.25">
      <c r="A1474" s="91">
        <f t="shared" si="22"/>
        <v>442</v>
      </c>
      <c r="B1474" s="53" t="s">
        <v>4232</v>
      </c>
      <c r="C1474" s="91" t="s">
        <v>97</v>
      </c>
      <c r="D1474" s="91">
        <v>160</v>
      </c>
      <c r="E1474" s="269"/>
      <c r="F1474" s="268"/>
      <c r="G1474" s="91"/>
      <c r="H1474" s="91"/>
    </row>
    <row r="1475" spans="1:8" x14ac:dyDescent="0.25">
      <c r="A1475" s="91">
        <f t="shared" si="22"/>
        <v>442</v>
      </c>
      <c r="B1475" s="53" t="s">
        <v>4232</v>
      </c>
      <c r="C1475" s="91" t="s">
        <v>97</v>
      </c>
      <c r="D1475" s="91">
        <v>100</v>
      </c>
      <c r="E1475" s="269"/>
      <c r="F1475" s="268"/>
      <c r="G1475" s="91"/>
      <c r="H1475" s="91"/>
    </row>
    <row r="1476" spans="1:8" x14ac:dyDescent="0.25">
      <c r="A1476" s="91">
        <f t="shared" ref="A1476:A1539" si="23">IF(B1476=B1475,A1475,A1475+1)</f>
        <v>442</v>
      </c>
      <c r="B1476" s="53" t="s">
        <v>4232</v>
      </c>
      <c r="C1476" s="91" t="s">
        <v>97</v>
      </c>
      <c r="D1476" s="91">
        <v>390</v>
      </c>
      <c r="E1476" s="269"/>
      <c r="F1476" s="268"/>
      <c r="G1476" s="91"/>
      <c r="H1476" s="91"/>
    </row>
    <row r="1477" spans="1:8" x14ac:dyDescent="0.25">
      <c r="A1477" s="91">
        <f t="shared" si="23"/>
        <v>442</v>
      </c>
      <c r="B1477" s="53" t="s">
        <v>4232</v>
      </c>
      <c r="C1477" s="91" t="s">
        <v>97</v>
      </c>
      <c r="D1477" s="91">
        <v>60</v>
      </c>
      <c r="E1477" s="269"/>
      <c r="F1477" s="268"/>
      <c r="G1477" s="91"/>
      <c r="H1477" s="91"/>
    </row>
    <row r="1478" spans="1:8" x14ac:dyDescent="0.25">
      <c r="A1478" s="91">
        <f t="shared" si="23"/>
        <v>442</v>
      </c>
      <c r="B1478" s="53" t="s">
        <v>4232</v>
      </c>
      <c r="C1478" s="91" t="s">
        <v>97</v>
      </c>
      <c r="D1478" s="91">
        <v>90</v>
      </c>
      <c r="E1478" s="269"/>
      <c r="F1478" s="268"/>
      <c r="G1478" s="91"/>
      <c r="H1478" s="91"/>
    </row>
    <row r="1479" spans="1:8" x14ac:dyDescent="0.25">
      <c r="A1479" s="91">
        <f t="shared" si="23"/>
        <v>443</v>
      </c>
      <c r="B1479" s="53" t="s">
        <v>4234</v>
      </c>
      <c r="C1479" s="91" t="s">
        <v>4202</v>
      </c>
      <c r="D1479" s="91">
        <v>90</v>
      </c>
      <c r="E1479" s="269">
        <v>63</v>
      </c>
      <c r="F1479" s="268">
        <v>0.7</v>
      </c>
      <c r="G1479" s="91"/>
      <c r="H1479" s="91"/>
    </row>
    <row r="1480" spans="1:8" x14ac:dyDescent="0.25">
      <c r="A1480" s="91">
        <f t="shared" si="23"/>
        <v>444</v>
      </c>
      <c r="B1480" s="53" t="s">
        <v>4235</v>
      </c>
      <c r="C1480" s="91" t="s">
        <v>4202</v>
      </c>
      <c r="D1480" s="91">
        <v>360</v>
      </c>
      <c r="E1480" s="269">
        <v>252</v>
      </c>
      <c r="F1480" s="268">
        <v>0.7</v>
      </c>
      <c r="G1480" s="91"/>
      <c r="H1480" s="91"/>
    </row>
    <row r="1481" spans="1:8" x14ac:dyDescent="0.25">
      <c r="A1481" s="91">
        <f t="shared" si="23"/>
        <v>445</v>
      </c>
      <c r="B1481" s="53" t="s">
        <v>4238</v>
      </c>
      <c r="C1481" s="91" t="s">
        <v>2411</v>
      </c>
      <c r="D1481" s="91">
        <v>150</v>
      </c>
      <c r="E1481" s="269">
        <v>66</v>
      </c>
      <c r="F1481" s="268">
        <v>0.44</v>
      </c>
      <c r="G1481" s="91"/>
      <c r="H1481" s="91"/>
    </row>
    <row r="1482" spans="1:8" x14ac:dyDescent="0.25">
      <c r="A1482" s="91">
        <f t="shared" si="23"/>
        <v>446</v>
      </c>
      <c r="B1482" s="53" t="s">
        <v>4239</v>
      </c>
      <c r="C1482" s="91" t="s">
        <v>1037</v>
      </c>
      <c r="D1482" s="91">
        <v>32</v>
      </c>
      <c r="E1482" s="269">
        <v>116.48</v>
      </c>
      <c r="F1482" s="268">
        <v>0.56000000000000005</v>
      </c>
      <c r="G1482" s="91"/>
      <c r="H1482" s="91"/>
    </row>
    <row r="1483" spans="1:8" x14ac:dyDescent="0.25">
      <c r="A1483" s="91">
        <f t="shared" si="23"/>
        <v>446</v>
      </c>
      <c r="B1483" s="53" t="s">
        <v>4239</v>
      </c>
      <c r="C1483" s="91" t="s">
        <v>1037</v>
      </c>
      <c r="D1483" s="91">
        <v>176</v>
      </c>
      <c r="E1483" s="269"/>
      <c r="F1483" s="268"/>
      <c r="G1483" s="91"/>
      <c r="H1483" s="91"/>
    </row>
    <row r="1484" spans="1:8" x14ac:dyDescent="0.25">
      <c r="A1484" s="91">
        <f t="shared" si="23"/>
        <v>447</v>
      </c>
      <c r="B1484" s="53" t="s">
        <v>4241</v>
      </c>
      <c r="C1484" s="91" t="s">
        <v>1037</v>
      </c>
      <c r="D1484" s="91">
        <v>80</v>
      </c>
      <c r="E1484" s="269">
        <v>224</v>
      </c>
      <c r="F1484" s="268">
        <v>0.56000000000000005</v>
      </c>
      <c r="G1484" s="91"/>
      <c r="H1484" s="91"/>
    </row>
    <row r="1485" spans="1:8" x14ac:dyDescent="0.25">
      <c r="A1485" s="91">
        <f t="shared" si="23"/>
        <v>447</v>
      </c>
      <c r="B1485" s="53" t="s">
        <v>4241</v>
      </c>
      <c r="C1485" s="91" t="s">
        <v>1037</v>
      </c>
      <c r="D1485" s="91">
        <v>320</v>
      </c>
      <c r="E1485" s="269"/>
      <c r="F1485" s="268"/>
      <c r="G1485" s="91"/>
      <c r="H1485" s="91"/>
    </row>
    <row r="1486" spans="1:8" x14ac:dyDescent="0.25">
      <c r="A1486" s="91">
        <f t="shared" si="23"/>
        <v>448</v>
      </c>
      <c r="B1486" s="53" t="s">
        <v>4242</v>
      </c>
      <c r="C1486" s="91" t="s">
        <v>97</v>
      </c>
      <c r="D1486" s="91">
        <v>180</v>
      </c>
      <c r="E1486" s="269">
        <v>100.8</v>
      </c>
      <c r="F1486" s="268">
        <v>0.55999999999999994</v>
      </c>
      <c r="G1486" s="91"/>
      <c r="H1486" s="91"/>
    </row>
    <row r="1487" spans="1:8" x14ac:dyDescent="0.25">
      <c r="A1487" s="91">
        <f t="shared" si="23"/>
        <v>449</v>
      </c>
      <c r="B1487" s="53" t="s">
        <v>4244</v>
      </c>
      <c r="C1487" s="91" t="s">
        <v>97</v>
      </c>
      <c r="D1487" s="91">
        <v>288</v>
      </c>
      <c r="E1487" s="269">
        <v>126.72</v>
      </c>
      <c r="F1487" s="268">
        <v>0.44</v>
      </c>
      <c r="G1487" s="91"/>
      <c r="H1487" s="91"/>
    </row>
    <row r="1488" spans="1:8" x14ac:dyDescent="0.25">
      <c r="A1488" s="91">
        <f t="shared" si="23"/>
        <v>450</v>
      </c>
      <c r="B1488" s="53" t="s">
        <v>4245</v>
      </c>
      <c r="C1488" s="91" t="s">
        <v>97</v>
      </c>
      <c r="D1488" s="91">
        <v>180</v>
      </c>
      <c r="E1488" s="269">
        <v>694.72</v>
      </c>
      <c r="F1488" s="268">
        <v>0.54788643533123027</v>
      </c>
      <c r="G1488" s="91"/>
      <c r="H1488" s="91"/>
    </row>
    <row r="1489" spans="1:8" x14ac:dyDescent="0.25">
      <c r="A1489" s="91">
        <f t="shared" si="23"/>
        <v>450</v>
      </c>
      <c r="B1489" s="53" t="s">
        <v>4245</v>
      </c>
      <c r="C1489" s="91" t="s">
        <v>97</v>
      </c>
      <c r="D1489" s="91">
        <v>960</v>
      </c>
      <c r="E1489" s="269"/>
      <c r="F1489" s="268"/>
      <c r="G1489" s="91"/>
      <c r="H1489" s="91"/>
    </row>
    <row r="1490" spans="1:8" x14ac:dyDescent="0.25">
      <c r="A1490" s="91">
        <f t="shared" si="23"/>
        <v>450</v>
      </c>
      <c r="B1490" s="53" t="s">
        <v>4245</v>
      </c>
      <c r="C1490" s="91" t="s">
        <v>97</v>
      </c>
      <c r="D1490" s="91">
        <v>128</v>
      </c>
      <c r="E1490" s="269"/>
      <c r="F1490" s="268"/>
      <c r="G1490" s="91"/>
      <c r="H1490" s="91"/>
    </row>
    <row r="1491" spans="1:8" x14ac:dyDescent="0.25">
      <c r="A1491" s="91">
        <f t="shared" si="23"/>
        <v>451</v>
      </c>
      <c r="B1491" s="53" t="s">
        <v>4247</v>
      </c>
      <c r="C1491" s="91" t="s">
        <v>115</v>
      </c>
      <c r="D1491" s="91">
        <v>192</v>
      </c>
      <c r="E1491" s="269">
        <v>558.08000000000004</v>
      </c>
      <c r="F1491" s="268">
        <v>0.36333333333333334</v>
      </c>
      <c r="G1491" s="91"/>
      <c r="H1491" s="91"/>
    </row>
    <row r="1492" spans="1:8" x14ac:dyDescent="0.25">
      <c r="A1492" s="91">
        <f t="shared" si="23"/>
        <v>451</v>
      </c>
      <c r="B1492" s="53" t="s">
        <v>4247</v>
      </c>
      <c r="C1492" s="91" t="s">
        <v>115</v>
      </c>
      <c r="D1492" s="91">
        <v>640</v>
      </c>
      <c r="E1492" s="269"/>
      <c r="F1492" s="268"/>
      <c r="G1492" s="91"/>
      <c r="H1492" s="91"/>
    </row>
    <row r="1493" spans="1:8" x14ac:dyDescent="0.25">
      <c r="A1493" s="91">
        <f t="shared" si="23"/>
        <v>451</v>
      </c>
      <c r="B1493" s="53" t="s">
        <v>4247</v>
      </c>
      <c r="C1493" s="91" t="s">
        <v>115</v>
      </c>
      <c r="D1493" s="91">
        <v>192</v>
      </c>
      <c r="E1493" s="269"/>
      <c r="F1493" s="268"/>
      <c r="G1493" s="91"/>
      <c r="H1493" s="91"/>
    </row>
    <row r="1494" spans="1:8" x14ac:dyDescent="0.25">
      <c r="A1494" s="91">
        <f t="shared" si="23"/>
        <v>451</v>
      </c>
      <c r="B1494" s="53" t="s">
        <v>4247</v>
      </c>
      <c r="C1494" s="91" t="s">
        <v>115</v>
      </c>
      <c r="D1494" s="91">
        <v>64</v>
      </c>
      <c r="E1494" s="269"/>
      <c r="F1494" s="268"/>
      <c r="G1494" s="91"/>
      <c r="H1494" s="91"/>
    </row>
    <row r="1495" spans="1:8" x14ac:dyDescent="0.25">
      <c r="A1495" s="91">
        <f t="shared" si="23"/>
        <v>451</v>
      </c>
      <c r="B1495" s="53" t="s">
        <v>4247</v>
      </c>
      <c r="C1495" s="91" t="s">
        <v>115</v>
      </c>
      <c r="D1495" s="91">
        <v>256</v>
      </c>
      <c r="E1495" s="269"/>
      <c r="F1495" s="268"/>
      <c r="G1495" s="91"/>
      <c r="H1495" s="91"/>
    </row>
    <row r="1496" spans="1:8" x14ac:dyDescent="0.25">
      <c r="A1496" s="91">
        <f t="shared" si="23"/>
        <v>451</v>
      </c>
      <c r="B1496" s="53" t="s">
        <v>4247</v>
      </c>
      <c r="C1496" s="91" t="s">
        <v>115</v>
      </c>
      <c r="D1496" s="91">
        <v>192</v>
      </c>
      <c r="E1496" s="269"/>
      <c r="F1496" s="268"/>
      <c r="G1496" s="91"/>
      <c r="H1496" s="91"/>
    </row>
    <row r="1497" spans="1:8" x14ac:dyDescent="0.25">
      <c r="A1497" s="91">
        <f t="shared" si="23"/>
        <v>452</v>
      </c>
      <c r="B1497" s="53" t="s">
        <v>4248</v>
      </c>
      <c r="C1497" s="91" t="s">
        <v>4202</v>
      </c>
      <c r="D1497" s="91">
        <v>128</v>
      </c>
      <c r="E1497" s="269">
        <v>46.08</v>
      </c>
      <c r="F1497" s="268">
        <v>0.36</v>
      </c>
      <c r="G1497" s="91"/>
      <c r="H1497" s="91"/>
    </row>
    <row r="1498" spans="1:8" x14ac:dyDescent="0.25">
      <c r="A1498" s="91">
        <f t="shared" si="23"/>
        <v>453</v>
      </c>
      <c r="B1498" s="53" t="s">
        <v>4250</v>
      </c>
      <c r="C1498" s="91" t="s">
        <v>115</v>
      </c>
      <c r="D1498" s="91">
        <v>252</v>
      </c>
      <c r="E1498" s="269">
        <v>141.12</v>
      </c>
      <c r="F1498" s="268">
        <v>0.56000000000000005</v>
      </c>
      <c r="G1498" s="91"/>
      <c r="H1498" s="91"/>
    </row>
    <row r="1499" spans="1:8" x14ac:dyDescent="0.25">
      <c r="A1499" s="91">
        <f t="shared" si="23"/>
        <v>454</v>
      </c>
      <c r="B1499" s="53" t="s">
        <v>4290</v>
      </c>
      <c r="C1499" s="91" t="s">
        <v>97</v>
      </c>
      <c r="D1499" s="91">
        <v>1200</v>
      </c>
      <c r="E1499" s="269">
        <v>528</v>
      </c>
      <c r="F1499" s="268">
        <v>0.44</v>
      </c>
      <c r="G1499" s="91"/>
      <c r="H1499" s="91"/>
    </row>
    <row r="1500" spans="1:8" x14ac:dyDescent="0.25">
      <c r="A1500" s="91">
        <f t="shared" si="23"/>
        <v>455</v>
      </c>
      <c r="B1500" s="53" t="s">
        <v>4293</v>
      </c>
      <c r="C1500" s="91" t="s">
        <v>97</v>
      </c>
      <c r="D1500" s="91">
        <v>2000</v>
      </c>
      <c r="E1500" s="269">
        <v>1398.4</v>
      </c>
      <c r="F1500" s="268">
        <v>0.36416666666666669</v>
      </c>
      <c r="G1500" s="91"/>
      <c r="H1500" s="91"/>
    </row>
    <row r="1501" spans="1:8" x14ac:dyDescent="0.25">
      <c r="A1501" s="91">
        <f t="shared" si="23"/>
        <v>455</v>
      </c>
      <c r="B1501" s="53" t="s">
        <v>4293</v>
      </c>
      <c r="C1501" s="91" t="s">
        <v>97</v>
      </c>
      <c r="D1501" s="91">
        <v>120</v>
      </c>
      <c r="E1501" s="269"/>
      <c r="F1501" s="268"/>
      <c r="G1501" s="91"/>
      <c r="H1501" s="91"/>
    </row>
    <row r="1502" spans="1:8" x14ac:dyDescent="0.25">
      <c r="A1502" s="91">
        <f t="shared" si="23"/>
        <v>455</v>
      </c>
      <c r="B1502" s="53" t="s">
        <v>4293</v>
      </c>
      <c r="C1502" s="91" t="s">
        <v>97</v>
      </c>
      <c r="D1502" s="91">
        <v>600</v>
      </c>
      <c r="E1502" s="269"/>
      <c r="F1502" s="268"/>
      <c r="G1502" s="91"/>
      <c r="H1502" s="91"/>
    </row>
    <row r="1503" spans="1:8" x14ac:dyDescent="0.25">
      <c r="A1503" s="91">
        <f t="shared" si="23"/>
        <v>455</v>
      </c>
      <c r="B1503" s="53" t="s">
        <v>4293</v>
      </c>
      <c r="C1503" s="91" t="s">
        <v>97</v>
      </c>
      <c r="D1503" s="91">
        <v>200</v>
      </c>
      <c r="E1503" s="269"/>
      <c r="F1503" s="268"/>
      <c r="G1503" s="91"/>
      <c r="H1503" s="91"/>
    </row>
    <row r="1504" spans="1:8" x14ac:dyDescent="0.25">
      <c r="A1504" s="91">
        <f t="shared" si="23"/>
        <v>455</v>
      </c>
      <c r="B1504" s="53" t="s">
        <v>4293</v>
      </c>
      <c r="C1504" s="91" t="s">
        <v>97</v>
      </c>
      <c r="D1504" s="91">
        <v>320</v>
      </c>
      <c r="E1504" s="269"/>
      <c r="F1504" s="268"/>
      <c r="G1504" s="91"/>
      <c r="H1504" s="91"/>
    </row>
    <row r="1505" spans="1:8" x14ac:dyDescent="0.25">
      <c r="A1505" s="91">
        <f t="shared" si="23"/>
        <v>455</v>
      </c>
      <c r="B1505" s="53" t="s">
        <v>4293</v>
      </c>
      <c r="C1505" s="91" t="s">
        <v>97</v>
      </c>
      <c r="D1505" s="91">
        <v>200</v>
      </c>
      <c r="E1505" s="269"/>
      <c r="F1505" s="268"/>
      <c r="G1505" s="91"/>
      <c r="H1505" s="91"/>
    </row>
    <row r="1506" spans="1:8" x14ac:dyDescent="0.25">
      <c r="A1506" s="91">
        <f t="shared" si="23"/>
        <v>455</v>
      </c>
      <c r="B1506" s="53" t="s">
        <v>4293</v>
      </c>
      <c r="C1506" s="91" t="s">
        <v>97</v>
      </c>
      <c r="D1506" s="91">
        <v>200</v>
      </c>
      <c r="E1506" s="269"/>
      <c r="F1506" s="268"/>
      <c r="G1506" s="91"/>
      <c r="H1506" s="91"/>
    </row>
    <row r="1507" spans="1:8" x14ac:dyDescent="0.25">
      <c r="A1507" s="91">
        <f t="shared" si="23"/>
        <v>455</v>
      </c>
      <c r="B1507" s="53" t="s">
        <v>4293</v>
      </c>
      <c r="C1507" s="91" t="s">
        <v>97</v>
      </c>
      <c r="D1507" s="91">
        <v>100</v>
      </c>
      <c r="E1507" s="269"/>
      <c r="F1507" s="268"/>
      <c r="G1507" s="91"/>
      <c r="H1507" s="91"/>
    </row>
    <row r="1508" spans="1:8" x14ac:dyDescent="0.25">
      <c r="A1508" s="91">
        <f t="shared" si="23"/>
        <v>455</v>
      </c>
      <c r="B1508" s="53" t="s">
        <v>4293</v>
      </c>
      <c r="C1508" s="91" t="s">
        <v>97</v>
      </c>
      <c r="D1508" s="91">
        <v>100</v>
      </c>
      <c r="E1508" s="269"/>
      <c r="F1508" s="268"/>
      <c r="G1508" s="91"/>
      <c r="H1508" s="91"/>
    </row>
    <row r="1509" spans="1:8" x14ac:dyDescent="0.25">
      <c r="A1509" s="91">
        <f t="shared" si="23"/>
        <v>456</v>
      </c>
      <c r="B1509" s="53" t="s">
        <v>4295</v>
      </c>
      <c r="C1509" s="91" t="s">
        <v>97</v>
      </c>
      <c r="D1509" s="91">
        <v>300</v>
      </c>
      <c r="E1509" s="269">
        <v>1359.6</v>
      </c>
      <c r="F1509" s="268">
        <v>0.43999999999999995</v>
      </c>
      <c r="G1509" s="91"/>
      <c r="H1509" s="91"/>
    </row>
    <row r="1510" spans="1:8" x14ac:dyDescent="0.25">
      <c r="A1510" s="91">
        <f t="shared" si="23"/>
        <v>456</v>
      </c>
      <c r="B1510" s="53" t="s">
        <v>4295</v>
      </c>
      <c r="C1510" s="91" t="s">
        <v>97</v>
      </c>
      <c r="D1510" s="91">
        <v>570</v>
      </c>
      <c r="E1510" s="269"/>
      <c r="F1510" s="268"/>
      <c r="G1510" s="91"/>
      <c r="H1510" s="91"/>
    </row>
    <row r="1511" spans="1:8" x14ac:dyDescent="0.25">
      <c r="A1511" s="91">
        <f t="shared" si="23"/>
        <v>456</v>
      </c>
      <c r="B1511" s="53" t="s">
        <v>4295</v>
      </c>
      <c r="C1511" s="91" t="s">
        <v>97</v>
      </c>
      <c r="D1511" s="91">
        <v>1500</v>
      </c>
      <c r="E1511" s="269"/>
      <c r="F1511" s="268"/>
      <c r="G1511" s="91"/>
      <c r="H1511" s="91"/>
    </row>
    <row r="1512" spans="1:8" x14ac:dyDescent="0.25">
      <c r="A1512" s="91">
        <f t="shared" si="23"/>
        <v>456</v>
      </c>
      <c r="B1512" s="53" t="s">
        <v>4295</v>
      </c>
      <c r="C1512" s="91" t="s">
        <v>97</v>
      </c>
      <c r="D1512" s="91">
        <v>720</v>
      </c>
      <c r="E1512" s="269"/>
      <c r="F1512" s="268"/>
      <c r="G1512" s="91"/>
      <c r="H1512" s="91"/>
    </row>
    <row r="1513" spans="1:8" x14ac:dyDescent="0.25">
      <c r="A1513" s="91">
        <f t="shared" si="23"/>
        <v>457</v>
      </c>
      <c r="B1513" s="53" t="s">
        <v>4296</v>
      </c>
      <c r="C1513" s="91" t="s">
        <v>2411</v>
      </c>
      <c r="D1513" s="91">
        <v>150</v>
      </c>
      <c r="E1513" s="269">
        <v>66</v>
      </c>
      <c r="F1513" s="268">
        <v>0.44</v>
      </c>
      <c r="G1513" s="91"/>
      <c r="H1513" s="91"/>
    </row>
    <row r="1514" spans="1:8" x14ac:dyDescent="0.25">
      <c r="A1514" s="91">
        <f t="shared" si="23"/>
        <v>458</v>
      </c>
      <c r="B1514" s="53" t="s">
        <v>4298</v>
      </c>
      <c r="C1514" s="91" t="s">
        <v>115</v>
      </c>
      <c r="D1514" s="91">
        <v>800</v>
      </c>
      <c r="E1514" s="269">
        <v>288</v>
      </c>
      <c r="F1514" s="268">
        <v>0.36</v>
      </c>
      <c r="G1514" s="91"/>
      <c r="H1514" s="91"/>
    </row>
    <row r="1515" spans="1:8" x14ac:dyDescent="0.25">
      <c r="A1515" s="91">
        <f t="shared" si="23"/>
        <v>459</v>
      </c>
      <c r="B1515" s="53" t="s">
        <v>4299</v>
      </c>
      <c r="C1515" s="91" t="s">
        <v>115</v>
      </c>
      <c r="D1515" s="91">
        <v>240</v>
      </c>
      <c r="E1515" s="269">
        <v>105.6</v>
      </c>
      <c r="F1515" s="268">
        <v>0.44</v>
      </c>
      <c r="G1515" s="91"/>
      <c r="H1515" s="91"/>
    </row>
    <row r="1516" spans="1:8" x14ac:dyDescent="0.25">
      <c r="A1516" s="91">
        <f t="shared" si="23"/>
        <v>460</v>
      </c>
      <c r="B1516" s="53" t="s">
        <v>4300</v>
      </c>
      <c r="C1516" s="91" t="s">
        <v>115</v>
      </c>
      <c r="D1516" s="91">
        <v>360</v>
      </c>
      <c r="E1516" s="269">
        <v>290.39999999999998</v>
      </c>
      <c r="F1516" s="268">
        <v>0.43999999999999995</v>
      </c>
      <c r="G1516" s="91"/>
      <c r="H1516" s="91"/>
    </row>
    <row r="1517" spans="1:8" x14ac:dyDescent="0.25">
      <c r="A1517" s="91">
        <f t="shared" si="23"/>
        <v>460</v>
      </c>
      <c r="B1517" s="53" t="s">
        <v>4300</v>
      </c>
      <c r="C1517" s="91" t="s">
        <v>115</v>
      </c>
      <c r="D1517" s="91">
        <v>300</v>
      </c>
      <c r="E1517" s="269"/>
      <c r="F1517" s="268"/>
      <c r="G1517" s="91"/>
      <c r="H1517" s="91"/>
    </row>
    <row r="1518" spans="1:8" x14ac:dyDescent="0.25">
      <c r="A1518" s="91">
        <f t="shared" si="23"/>
        <v>461</v>
      </c>
      <c r="B1518" s="53" t="s">
        <v>4302</v>
      </c>
      <c r="C1518" s="91" t="s">
        <v>115</v>
      </c>
      <c r="D1518" s="91">
        <v>180</v>
      </c>
      <c r="E1518" s="269">
        <v>531.6</v>
      </c>
      <c r="F1518" s="268">
        <v>0.38244604316546765</v>
      </c>
      <c r="G1518" s="91"/>
      <c r="H1518" s="91"/>
    </row>
    <row r="1519" spans="1:8" x14ac:dyDescent="0.25">
      <c r="A1519" s="91">
        <f t="shared" si="23"/>
        <v>461</v>
      </c>
      <c r="B1519" s="53" t="s">
        <v>4302</v>
      </c>
      <c r="C1519" s="91" t="s">
        <v>115</v>
      </c>
      <c r="D1519" s="91">
        <v>210</v>
      </c>
      <c r="E1519" s="269"/>
      <c r="F1519" s="268"/>
      <c r="G1519" s="91"/>
      <c r="H1519" s="91"/>
    </row>
    <row r="1520" spans="1:8" x14ac:dyDescent="0.25">
      <c r="A1520" s="91">
        <f t="shared" si="23"/>
        <v>461</v>
      </c>
      <c r="B1520" s="53" t="s">
        <v>4302</v>
      </c>
      <c r="C1520" s="91" t="s">
        <v>115</v>
      </c>
      <c r="D1520" s="91">
        <v>600</v>
      </c>
      <c r="E1520" s="269"/>
      <c r="F1520" s="268"/>
      <c r="G1520" s="91"/>
      <c r="H1520" s="91"/>
    </row>
    <row r="1521" spans="1:8" x14ac:dyDescent="0.25">
      <c r="A1521" s="91">
        <f t="shared" si="23"/>
        <v>461</v>
      </c>
      <c r="B1521" s="53" t="s">
        <v>4302</v>
      </c>
      <c r="C1521" s="91" t="s">
        <v>115</v>
      </c>
      <c r="D1521" s="91">
        <v>400</v>
      </c>
      <c r="E1521" s="269"/>
      <c r="F1521" s="268"/>
      <c r="G1521" s="91"/>
      <c r="H1521" s="91"/>
    </row>
    <row r="1522" spans="1:8" x14ac:dyDescent="0.25">
      <c r="A1522" s="91">
        <f t="shared" si="23"/>
        <v>462</v>
      </c>
      <c r="B1522" s="53" t="s">
        <v>4307</v>
      </c>
      <c r="C1522" s="91" t="s">
        <v>2411</v>
      </c>
      <c r="D1522" s="91">
        <v>160</v>
      </c>
      <c r="E1522" s="269">
        <v>70.400000000000006</v>
      </c>
      <c r="F1522" s="268">
        <v>0.44000000000000006</v>
      </c>
      <c r="G1522" s="91"/>
      <c r="H1522" s="91"/>
    </row>
    <row r="1523" spans="1:8" x14ac:dyDescent="0.25">
      <c r="A1523" s="91">
        <f t="shared" si="23"/>
        <v>463</v>
      </c>
      <c r="B1523" s="53" t="s">
        <v>4308</v>
      </c>
      <c r="C1523" s="91" t="s">
        <v>1037</v>
      </c>
      <c r="D1523" s="91">
        <v>192</v>
      </c>
      <c r="E1523" s="269">
        <v>474.88</v>
      </c>
      <c r="F1523" s="268">
        <v>0.55999999999999994</v>
      </c>
      <c r="G1523" s="91"/>
      <c r="H1523" s="91"/>
    </row>
    <row r="1524" spans="1:8" x14ac:dyDescent="0.25">
      <c r="A1524" s="91">
        <f t="shared" si="23"/>
        <v>463</v>
      </c>
      <c r="B1524" s="53" t="s">
        <v>4308</v>
      </c>
      <c r="C1524" s="91" t="s">
        <v>1037</v>
      </c>
      <c r="D1524" s="91">
        <v>64</v>
      </c>
      <c r="E1524" s="269"/>
      <c r="F1524" s="268"/>
      <c r="G1524" s="91"/>
      <c r="H1524" s="91"/>
    </row>
    <row r="1525" spans="1:8" x14ac:dyDescent="0.25">
      <c r="A1525" s="91">
        <f t="shared" si="23"/>
        <v>463</v>
      </c>
      <c r="B1525" s="53" t="s">
        <v>4308</v>
      </c>
      <c r="C1525" s="91" t="s">
        <v>1037</v>
      </c>
      <c r="D1525" s="91">
        <v>528</v>
      </c>
      <c r="E1525" s="269"/>
      <c r="F1525" s="268"/>
      <c r="G1525" s="91"/>
      <c r="H1525" s="91"/>
    </row>
    <row r="1526" spans="1:8" x14ac:dyDescent="0.25">
      <c r="A1526" s="91">
        <f t="shared" si="23"/>
        <v>463</v>
      </c>
      <c r="B1526" s="53" t="s">
        <v>4308</v>
      </c>
      <c r="C1526" s="91" t="s">
        <v>1037</v>
      </c>
      <c r="D1526" s="91">
        <v>16</v>
      </c>
      <c r="E1526" s="269"/>
      <c r="F1526" s="268"/>
      <c r="G1526" s="91"/>
      <c r="H1526" s="91"/>
    </row>
    <row r="1527" spans="1:8" x14ac:dyDescent="0.25">
      <c r="A1527" s="91">
        <f t="shared" si="23"/>
        <v>463</v>
      </c>
      <c r="B1527" s="53" t="s">
        <v>4308</v>
      </c>
      <c r="C1527" s="91" t="s">
        <v>1037</v>
      </c>
      <c r="D1527" s="91">
        <v>32</v>
      </c>
      <c r="E1527" s="269"/>
      <c r="F1527" s="268"/>
      <c r="G1527" s="91"/>
      <c r="H1527" s="91"/>
    </row>
    <row r="1528" spans="1:8" x14ac:dyDescent="0.25">
      <c r="A1528" s="91">
        <f t="shared" si="23"/>
        <v>463</v>
      </c>
      <c r="B1528" s="53" t="s">
        <v>4308</v>
      </c>
      <c r="C1528" s="91" t="s">
        <v>1037</v>
      </c>
      <c r="D1528" s="91">
        <v>16</v>
      </c>
      <c r="E1528" s="269"/>
      <c r="F1528" s="268"/>
      <c r="G1528" s="91"/>
      <c r="H1528" s="91"/>
    </row>
    <row r="1529" spans="1:8" x14ac:dyDescent="0.25">
      <c r="A1529" s="91">
        <f t="shared" si="23"/>
        <v>464</v>
      </c>
      <c r="B1529" s="53" t="s">
        <v>4309</v>
      </c>
      <c r="C1529" s="91" t="s">
        <v>1037</v>
      </c>
      <c r="D1529" s="91">
        <v>176</v>
      </c>
      <c r="E1529" s="269">
        <v>98.56</v>
      </c>
      <c r="F1529" s="268">
        <v>0.56000000000000005</v>
      </c>
      <c r="G1529" s="91"/>
      <c r="H1529" s="91"/>
    </row>
    <row r="1530" spans="1:8" x14ac:dyDescent="0.25">
      <c r="A1530" s="91">
        <f t="shared" si="23"/>
        <v>465</v>
      </c>
      <c r="B1530" s="53" t="s">
        <v>4310</v>
      </c>
      <c r="C1530" s="91" t="s">
        <v>1037</v>
      </c>
      <c r="D1530" s="91">
        <v>160</v>
      </c>
      <c r="E1530" s="269">
        <v>89.6</v>
      </c>
      <c r="F1530" s="268">
        <v>0.55999999999999994</v>
      </c>
      <c r="G1530" s="91"/>
      <c r="H1530" s="91"/>
    </row>
    <row r="1531" spans="1:8" x14ac:dyDescent="0.25">
      <c r="A1531" s="91">
        <f t="shared" si="23"/>
        <v>466</v>
      </c>
      <c r="B1531" s="53" t="s">
        <v>4312</v>
      </c>
      <c r="C1531" s="91" t="s">
        <v>97</v>
      </c>
      <c r="D1531" s="91">
        <v>360</v>
      </c>
      <c r="E1531" s="269">
        <v>356.16</v>
      </c>
      <c r="F1531" s="268">
        <v>0.56000000000000005</v>
      </c>
      <c r="G1531" s="91"/>
      <c r="H1531" s="91"/>
    </row>
    <row r="1532" spans="1:8" x14ac:dyDescent="0.25">
      <c r="A1532" s="91">
        <f t="shared" si="23"/>
        <v>466</v>
      </c>
      <c r="B1532" s="53" t="s">
        <v>4312</v>
      </c>
      <c r="C1532" s="91" t="s">
        <v>97</v>
      </c>
      <c r="D1532" s="91">
        <v>276</v>
      </c>
      <c r="E1532" s="269"/>
      <c r="F1532" s="268"/>
      <c r="G1532" s="91"/>
      <c r="H1532" s="91"/>
    </row>
    <row r="1533" spans="1:8" x14ac:dyDescent="0.25">
      <c r="A1533" s="91">
        <f t="shared" si="23"/>
        <v>467</v>
      </c>
      <c r="B1533" s="53" t="s">
        <v>4314</v>
      </c>
      <c r="C1533" s="91" t="s">
        <v>4202</v>
      </c>
      <c r="D1533" s="91">
        <v>192</v>
      </c>
      <c r="E1533" s="269">
        <v>303.52</v>
      </c>
      <c r="F1533" s="268">
        <v>0.42870056497175141</v>
      </c>
      <c r="G1533" s="91"/>
      <c r="H1533" s="91"/>
    </row>
    <row r="1534" spans="1:8" x14ac:dyDescent="0.25">
      <c r="A1534" s="91">
        <f t="shared" si="23"/>
        <v>467</v>
      </c>
      <c r="B1534" s="53" t="s">
        <v>4314</v>
      </c>
      <c r="C1534" s="91" t="s">
        <v>4202</v>
      </c>
      <c r="D1534" s="91">
        <v>416</v>
      </c>
      <c r="E1534" s="269"/>
      <c r="F1534" s="268"/>
      <c r="G1534" s="91"/>
      <c r="H1534" s="91"/>
    </row>
    <row r="1535" spans="1:8" x14ac:dyDescent="0.25">
      <c r="A1535" s="91">
        <f t="shared" si="23"/>
        <v>467</v>
      </c>
      <c r="B1535" s="53" t="s">
        <v>4314</v>
      </c>
      <c r="C1535" s="91" t="s">
        <v>4202</v>
      </c>
      <c r="D1535" s="91">
        <v>100</v>
      </c>
      <c r="E1535" s="269"/>
      <c r="F1535" s="268"/>
      <c r="G1535" s="91"/>
      <c r="H1535" s="91"/>
    </row>
    <row r="1536" spans="1:8" x14ac:dyDescent="0.25">
      <c r="A1536" s="91">
        <f t="shared" si="23"/>
        <v>468</v>
      </c>
      <c r="B1536" s="53" t="s">
        <v>4315</v>
      </c>
      <c r="C1536" s="91" t="s">
        <v>97</v>
      </c>
      <c r="D1536" s="91">
        <v>180</v>
      </c>
      <c r="E1536" s="269">
        <v>523.28</v>
      </c>
      <c r="F1536" s="268">
        <v>0.50218809980806134</v>
      </c>
      <c r="G1536" s="91"/>
      <c r="H1536" s="91"/>
    </row>
    <row r="1537" spans="1:8" x14ac:dyDescent="0.25">
      <c r="A1537" s="91">
        <f t="shared" si="23"/>
        <v>468</v>
      </c>
      <c r="B1537" s="53" t="s">
        <v>4315</v>
      </c>
      <c r="C1537" s="91" t="s">
        <v>97</v>
      </c>
      <c r="D1537" s="91">
        <v>420</v>
      </c>
      <c r="E1537" s="269"/>
      <c r="F1537" s="268"/>
      <c r="G1537" s="91"/>
      <c r="H1537" s="91"/>
    </row>
    <row r="1538" spans="1:8" x14ac:dyDescent="0.25">
      <c r="A1538" s="91">
        <f t="shared" si="23"/>
        <v>468</v>
      </c>
      <c r="B1538" s="53" t="s">
        <v>4315</v>
      </c>
      <c r="C1538" s="91" t="s">
        <v>97</v>
      </c>
      <c r="D1538" s="91">
        <v>352</v>
      </c>
      <c r="E1538" s="269"/>
      <c r="F1538" s="268"/>
      <c r="G1538" s="91"/>
      <c r="H1538" s="91"/>
    </row>
    <row r="1539" spans="1:8" x14ac:dyDescent="0.25">
      <c r="A1539" s="91">
        <f t="shared" si="23"/>
        <v>468</v>
      </c>
      <c r="B1539" s="53" t="s">
        <v>4315</v>
      </c>
      <c r="C1539" s="91" t="s">
        <v>97</v>
      </c>
      <c r="D1539" s="91">
        <v>90</v>
      </c>
      <c r="E1539" s="269"/>
      <c r="F1539" s="268"/>
      <c r="G1539" s="91"/>
      <c r="H1539" s="91"/>
    </row>
    <row r="1540" spans="1:8" x14ac:dyDescent="0.25">
      <c r="A1540" s="91">
        <f t="shared" ref="A1540:A1603" si="24">IF(B1540=B1539,A1539,A1539+1)</f>
        <v>469</v>
      </c>
      <c r="B1540" s="53" t="s">
        <v>4316</v>
      </c>
      <c r="C1540" s="91" t="s">
        <v>97</v>
      </c>
      <c r="D1540" s="91">
        <v>1350</v>
      </c>
      <c r="E1540" s="269">
        <v>486</v>
      </c>
      <c r="F1540" s="268">
        <v>0.36</v>
      </c>
      <c r="G1540" s="91"/>
      <c r="H1540" s="91"/>
    </row>
    <row r="1541" spans="1:8" x14ac:dyDescent="0.25">
      <c r="A1541" s="91">
        <f t="shared" si="24"/>
        <v>470</v>
      </c>
      <c r="B1541" s="53" t="s">
        <v>4317</v>
      </c>
      <c r="C1541" s="91" t="s">
        <v>115</v>
      </c>
      <c r="D1541" s="91">
        <v>760</v>
      </c>
      <c r="E1541" s="269">
        <v>273.60000000000002</v>
      </c>
      <c r="F1541" s="268">
        <v>0.36000000000000004</v>
      </c>
      <c r="G1541" s="91"/>
      <c r="H1541" s="91"/>
    </row>
    <row r="1542" spans="1:8" x14ac:dyDescent="0.25">
      <c r="A1542" s="91">
        <f t="shared" si="24"/>
        <v>471</v>
      </c>
      <c r="B1542" s="53" t="s">
        <v>4318</v>
      </c>
      <c r="C1542" s="91" t="s">
        <v>115</v>
      </c>
      <c r="D1542" s="91">
        <v>256</v>
      </c>
      <c r="E1542" s="269">
        <v>276.48</v>
      </c>
      <c r="F1542" s="268">
        <v>0.36000000000000004</v>
      </c>
      <c r="G1542" s="91"/>
      <c r="H1542" s="91"/>
    </row>
    <row r="1543" spans="1:8" x14ac:dyDescent="0.25">
      <c r="A1543" s="91">
        <f t="shared" si="24"/>
        <v>471</v>
      </c>
      <c r="B1543" s="53" t="s">
        <v>4318</v>
      </c>
      <c r="C1543" s="91" t="s">
        <v>115</v>
      </c>
      <c r="D1543" s="91">
        <v>128</v>
      </c>
      <c r="E1543" s="269"/>
      <c r="F1543" s="268"/>
      <c r="G1543" s="91"/>
      <c r="H1543" s="91"/>
    </row>
    <row r="1544" spans="1:8" x14ac:dyDescent="0.25">
      <c r="A1544" s="91">
        <f t="shared" si="24"/>
        <v>471</v>
      </c>
      <c r="B1544" s="53" t="s">
        <v>4318</v>
      </c>
      <c r="C1544" s="91" t="s">
        <v>115</v>
      </c>
      <c r="D1544" s="91">
        <v>384</v>
      </c>
      <c r="E1544" s="269"/>
      <c r="F1544" s="268"/>
      <c r="G1544" s="91"/>
      <c r="H1544" s="91"/>
    </row>
    <row r="1545" spans="1:8" x14ac:dyDescent="0.25">
      <c r="A1545" s="91">
        <f t="shared" si="24"/>
        <v>472</v>
      </c>
      <c r="B1545" s="53" t="s">
        <v>4319</v>
      </c>
      <c r="C1545" s="91" t="s">
        <v>1164</v>
      </c>
      <c r="D1545" s="91">
        <v>72</v>
      </c>
      <c r="E1545" s="269">
        <v>0</v>
      </c>
      <c r="F1545" s="268"/>
      <c r="G1545" s="91"/>
      <c r="H1545" s="91"/>
    </row>
    <row r="1546" spans="1:8" x14ac:dyDescent="0.25">
      <c r="A1546" s="91">
        <f t="shared" si="24"/>
        <v>473</v>
      </c>
      <c r="B1546" s="53" t="s">
        <v>4323</v>
      </c>
      <c r="C1546" s="91" t="s">
        <v>115</v>
      </c>
      <c r="D1546" s="91">
        <v>810</v>
      </c>
      <c r="E1546" s="269">
        <v>488.4</v>
      </c>
      <c r="F1546" s="268">
        <v>0.44</v>
      </c>
      <c r="G1546" s="91"/>
      <c r="H1546" s="91"/>
    </row>
    <row r="1547" spans="1:8" x14ac:dyDescent="0.25">
      <c r="A1547" s="91">
        <f t="shared" si="24"/>
        <v>473</v>
      </c>
      <c r="B1547" s="53" t="s">
        <v>4323</v>
      </c>
      <c r="C1547" s="91" t="s">
        <v>115</v>
      </c>
      <c r="D1547" s="91">
        <v>300</v>
      </c>
      <c r="E1547" s="269"/>
      <c r="F1547" s="268"/>
      <c r="G1547" s="91"/>
      <c r="H1547" s="91"/>
    </row>
    <row r="1548" spans="1:8" x14ac:dyDescent="0.25">
      <c r="A1548" s="91">
        <f t="shared" si="24"/>
        <v>474</v>
      </c>
      <c r="B1548" s="53" t="s">
        <v>4325</v>
      </c>
      <c r="C1548" s="91" t="s">
        <v>115</v>
      </c>
      <c r="D1548" s="91">
        <v>450</v>
      </c>
      <c r="E1548" s="269">
        <v>1156.8</v>
      </c>
      <c r="F1548" s="268">
        <v>0.37558441558441558</v>
      </c>
      <c r="G1548" s="91"/>
      <c r="H1548" s="91"/>
    </row>
    <row r="1549" spans="1:8" x14ac:dyDescent="0.25">
      <c r="A1549" s="91">
        <f t="shared" si="24"/>
        <v>474</v>
      </c>
      <c r="B1549" s="53" t="s">
        <v>4325</v>
      </c>
      <c r="C1549" s="91" t="s">
        <v>115</v>
      </c>
      <c r="D1549" s="91">
        <v>150</v>
      </c>
      <c r="E1549" s="269"/>
      <c r="F1549" s="268"/>
      <c r="G1549" s="91"/>
      <c r="H1549" s="91"/>
    </row>
    <row r="1550" spans="1:8" x14ac:dyDescent="0.25">
      <c r="A1550" s="91">
        <f t="shared" si="24"/>
        <v>474</v>
      </c>
      <c r="B1550" s="53" t="s">
        <v>4325</v>
      </c>
      <c r="C1550" s="91" t="s">
        <v>115</v>
      </c>
      <c r="D1550" s="91">
        <v>2000</v>
      </c>
      <c r="E1550" s="269"/>
      <c r="F1550" s="268"/>
      <c r="G1550" s="91"/>
      <c r="H1550" s="91"/>
    </row>
    <row r="1551" spans="1:8" x14ac:dyDescent="0.25">
      <c r="A1551" s="91">
        <f t="shared" si="24"/>
        <v>474</v>
      </c>
      <c r="B1551" s="53" t="s">
        <v>4325</v>
      </c>
      <c r="C1551" s="91" t="s">
        <v>115</v>
      </c>
      <c r="D1551" s="91">
        <v>480</v>
      </c>
      <c r="E1551" s="269"/>
      <c r="F1551" s="268"/>
      <c r="G1551" s="91"/>
      <c r="H1551" s="91"/>
    </row>
    <row r="1552" spans="1:8" x14ac:dyDescent="0.25">
      <c r="A1552" s="91">
        <f t="shared" si="24"/>
        <v>475</v>
      </c>
      <c r="B1552" s="53" t="s">
        <v>4326</v>
      </c>
      <c r="C1552" s="91" t="s">
        <v>2411</v>
      </c>
      <c r="D1552" s="91">
        <v>100</v>
      </c>
      <c r="E1552" s="269">
        <v>44</v>
      </c>
      <c r="F1552" s="268">
        <v>0.44</v>
      </c>
      <c r="G1552" s="91"/>
      <c r="H1552" s="91"/>
    </row>
    <row r="1553" spans="1:8" x14ac:dyDescent="0.25">
      <c r="A1553" s="91">
        <f t="shared" si="24"/>
        <v>476</v>
      </c>
      <c r="B1553" s="53" t="s">
        <v>4327</v>
      </c>
      <c r="C1553" s="91" t="s">
        <v>97</v>
      </c>
      <c r="D1553" s="91">
        <v>420</v>
      </c>
      <c r="E1553" s="269">
        <v>1636.8</v>
      </c>
      <c r="F1553" s="268">
        <v>0.44</v>
      </c>
      <c r="G1553" s="91"/>
      <c r="H1553" s="91"/>
    </row>
    <row r="1554" spans="1:8" x14ac:dyDescent="0.25">
      <c r="A1554" s="91">
        <f t="shared" si="24"/>
        <v>476</v>
      </c>
      <c r="B1554" s="53" t="s">
        <v>4327</v>
      </c>
      <c r="C1554" s="91" t="s">
        <v>97</v>
      </c>
      <c r="D1554" s="91">
        <v>3300</v>
      </c>
      <c r="E1554" s="269"/>
      <c r="F1554" s="268"/>
      <c r="G1554" s="91"/>
      <c r="H1554" s="91"/>
    </row>
    <row r="1555" spans="1:8" x14ac:dyDescent="0.25">
      <c r="A1555" s="91">
        <f t="shared" si="24"/>
        <v>477</v>
      </c>
      <c r="B1555" s="53" t="s">
        <v>4328</v>
      </c>
      <c r="C1555" s="91" t="s">
        <v>97</v>
      </c>
      <c r="D1555" s="91">
        <v>1000</v>
      </c>
      <c r="E1555" s="269">
        <v>784.8</v>
      </c>
      <c r="F1555" s="268">
        <v>0.36672897196261678</v>
      </c>
      <c r="G1555" s="91"/>
      <c r="H1555" s="91"/>
    </row>
    <row r="1556" spans="1:8" x14ac:dyDescent="0.25">
      <c r="A1556" s="91">
        <f t="shared" si="24"/>
        <v>477</v>
      </c>
      <c r="B1556" s="53" t="s">
        <v>4328</v>
      </c>
      <c r="C1556" s="91" t="s">
        <v>97</v>
      </c>
      <c r="D1556" s="91">
        <v>240</v>
      </c>
      <c r="E1556" s="269"/>
      <c r="F1556" s="268"/>
      <c r="G1556" s="91"/>
      <c r="H1556" s="91"/>
    </row>
    <row r="1557" spans="1:8" x14ac:dyDescent="0.25">
      <c r="A1557" s="91">
        <f t="shared" si="24"/>
        <v>477</v>
      </c>
      <c r="B1557" s="53" t="s">
        <v>4328</v>
      </c>
      <c r="C1557" s="91" t="s">
        <v>97</v>
      </c>
      <c r="D1557" s="91">
        <v>320</v>
      </c>
      <c r="E1557" s="269"/>
      <c r="F1557" s="268"/>
      <c r="G1557" s="91"/>
      <c r="H1557" s="91"/>
    </row>
    <row r="1558" spans="1:8" x14ac:dyDescent="0.25">
      <c r="A1558" s="91">
        <f t="shared" si="24"/>
        <v>477</v>
      </c>
      <c r="B1558" s="53" t="s">
        <v>4328</v>
      </c>
      <c r="C1558" s="91" t="s">
        <v>97</v>
      </c>
      <c r="D1558" s="91">
        <v>180</v>
      </c>
      <c r="E1558" s="269"/>
      <c r="F1558" s="268"/>
      <c r="G1558" s="91"/>
      <c r="H1558" s="91"/>
    </row>
    <row r="1559" spans="1:8" x14ac:dyDescent="0.25">
      <c r="A1559" s="91">
        <f t="shared" si="24"/>
        <v>477</v>
      </c>
      <c r="B1559" s="53" t="s">
        <v>4328</v>
      </c>
      <c r="C1559" s="91" t="s">
        <v>97</v>
      </c>
      <c r="D1559" s="91">
        <v>200</v>
      </c>
      <c r="E1559" s="269"/>
      <c r="F1559" s="268"/>
      <c r="G1559" s="91"/>
      <c r="H1559" s="91"/>
    </row>
    <row r="1560" spans="1:8" x14ac:dyDescent="0.25">
      <c r="A1560" s="91">
        <f t="shared" si="24"/>
        <v>477</v>
      </c>
      <c r="B1560" s="53" t="s">
        <v>4328</v>
      </c>
      <c r="C1560" s="91" t="s">
        <v>97</v>
      </c>
      <c r="D1560" s="91">
        <v>200</v>
      </c>
      <c r="E1560" s="269"/>
      <c r="F1560" s="268"/>
      <c r="G1560" s="91"/>
      <c r="H1560" s="91"/>
    </row>
    <row r="1561" spans="1:8" x14ac:dyDescent="0.25">
      <c r="A1561" s="91">
        <f t="shared" si="24"/>
        <v>478</v>
      </c>
      <c r="B1561" s="53" t="s">
        <v>4329</v>
      </c>
      <c r="C1561" s="91" t="s">
        <v>4202</v>
      </c>
      <c r="D1561" s="91">
        <v>90</v>
      </c>
      <c r="E1561" s="269">
        <v>315</v>
      </c>
      <c r="F1561" s="268">
        <v>0.7</v>
      </c>
      <c r="G1561" s="91"/>
      <c r="H1561" s="91"/>
    </row>
    <row r="1562" spans="1:8" x14ac:dyDescent="0.25">
      <c r="A1562" s="91">
        <f t="shared" si="24"/>
        <v>478</v>
      </c>
      <c r="B1562" s="53" t="s">
        <v>4329</v>
      </c>
      <c r="C1562" s="91" t="s">
        <v>4202</v>
      </c>
      <c r="D1562" s="91">
        <v>360</v>
      </c>
      <c r="E1562" s="269"/>
      <c r="F1562" s="268"/>
      <c r="G1562" s="91"/>
      <c r="H1562" s="91"/>
    </row>
    <row r="1563" spans="1:8" x14ac:dyDescent="0.25">
      <c r="A1563" s="91">
        <f t="shared" si="24"/>
        <v>479</v>
      </c>
      <c r="B1563" s="53" t="s">
        <v>4330</v>
      </c>
      <c r="C1563" s="91" t="s">
        <v>1037</v>
      </c>
      <c r="D1563" s="91">
        <v>592</v>
      </c>
      <c r="E1563" s="269">
        <v>421.12</v>
      </c>
      <c r="F1563" s="268">
        <v>0.56000000000000005</v>
      </c>
      <c r="G1563" s="91"/>
      <c r="H1563" s="91"/>
    </row>
    <row r="1564" spans="1:8" x14ac:dyDescent="0.25">
      <c r="A1564" s="91">
        <f t="shared" si="24"/>
        <v>479</v>
      </c>
      <c r="B1564" s="53" t="s">
        <v>4330</v>
      </c>
      <c r="C1564" s="91" t="s">
        <v>1037</v>
      </c>
      <c r="D1564" s="91">
        <v>160</v>
      </c>
      <c r="E1564" s="269"/>
      <c r="F1564" s="268"/>
      <c r="G1564" s="91"/>
      <c r="H1564" s="91"/>
    </row>
    <row r="1565" spans="1:8" x14ac:dyDescent="0.25">
      <c r="A1565" s="91">
        <f t="shared" si="24"/>
        <v>480</v>
      </c>
      <c r="B1565" s="53" t="s">
        <v>4332</v>
      </c>
      <c r="C1565" s="91" t="s">
        <v>1037</v>
      </c>
      <c r="D1565" s="91">
        <v>304</v>
      </c>
      <c r="E1565" s="269">
        <v>170.24</v>
      </c>
      <c r="F1565" s="268">
        <v>0.56000000000000005</v>
      </c>
      <c r="G1565" s="91"/>
      <c r="H1565" s="91"/>
    </row>
    <row r="1566" spans="1:8" x14ac:dyDescent="0.25">
      <c r="A1566" s="91">
        <f t="shared" si="24"/>
        <v>481</v>
      </c>
      <c r="B1566" s="53" t="s">
        <v>4333</v>
      </c>
      <c r="C1566" s="91" t="s">
        <v>97</v>
      </c>
      <c r="D1566" s="91">
        <v>240</v>
      </c>
      <c r="E1566" s="269">
        <v>389.76</v>
      </c>
      <c r="F1566" s="268">
        <v>0.55999999999999994</v>
      </c>
      <c r="G1566" s="91"/>
      <c r="H1566" s="91"/>
    </row>
    <row r="1567" spans="1:8" x14ac:dyDescent="0.25">
      <c r="A1567" s="91">
        <f t="shared" si="24"/>
        <v>481</v>
      </c>
      <c r="B1567" s="53" t="s">
        <v>4333</v>
      </c>
      <c r="C1567" s="91" t="s">
        <v>97</v>
      </c>
      <c r="D1567" s="91">
        <v>456</v>
      </c>
      <c r="E1567" s="269"/>
      <c r="F1567" s="268"/>
      <c r="G1567" s="91"/>
      <c r="H1567" s="91"/>
    </row>
    <row r="1568" spans="1:8" x14ac:dyDescent="0.25">
      <c r="A1568" s="91">
        <f t="shared" si="24"/>
        <v>482</v>
      </c>
      <c r="B1568" s="53" t="s">
        <v>4334</v>
      </c>
      <c r="C1568" s="91" t="s">
        <v>4202</v>
      </c>
      <c r="D1568" s="91">
        <v>160</v>
      </c>
      <c r="E1568" s="269">
        <v>70.400000000000006</v>
      </c>
      <c r="F1568" s="268">
        <v>0.44000000000000006</v>
      </c>
      <c r="G1568" s="91"/>
      <c r="H1568" s="91"/>
    </row>
    <row r="1569" spans="1:8" x14ac:dyDescent="0.25">
      <c r="A1569" s="91">
        <f t="shared" si="24"/>
        <v>483</v>
      </c>
      <c r="B1569" s="53" t="s">
        <v>4335</v>
      </c>
      <c r="C1569" s="91" t="s">
        <v>97</v>
      </c>
      <c r="D1569" s="91">
        <v>160</v>
      </c>
      <c r="E1569" s="269">
        <v>70.400000000000006</v>
      </c>
      <c r="F1569" s="268">
        <v>0.44000000000000006</v>
      </c>
      <c r="G1569" s="91"/>
      <c r="H1569" s="91"/>
    </row>
    <row r="1570" spans="1:8" x14ac:dyDescent="0.25">
      <c r="A1570" s="91">
        <f t="shared" si="24"/>
        <v>484</v>
      </c>
      <c r="B1570" s="53" t="s">
        <v>4336</v>
      </c>
      <c r="C1570" s="91" t="s">
        <v>115</v>
      </c>
      <c r="D1570" s="91">
        <v>180</v>
      </c>
      <c r="E1570" s="269">
        <v>194.4</v>
      </c>
      <c r="F1570" s="268">
        <v>0.36</v>
      </c>
      <c r="G1570" s="91"/>
      <c r="H1570" s="91"/>
    </row>
    <row r="1571" spans="1:8" x14ac:dyDescent="0.25">
      <c r="A1571" s="91">
        <f t="shared" si="24"/>
        <v>484</v>
      </c>
      <c r="B1571" s="53" t="s">
        <v>4336</v>
      </c>
      <c r="C1571" s="91" t="s">
        <v>115</v>
      </c>
      <c r="D1571" s="91">
        <v>90</v>
      </c>
      <c r="E1571" s="269"/>
      <c r="F1571" s="268"/>
      <c r="G1571" s="91"/>
      <c r="H1571" s="91"/>
    </row>
    <row r="1572" spans="1:8" x14ac:dyDescent="0.25">
      <c r="A1572" s="91">
        <f t="shared" si="24"/>
        <v>484</v>
      </c>
      <c r="B1572" s="53" t="s">
        <v>4336</v>
      </c>
      <c r="C1572" s="91" t="s">
        <v>115</v>
      </c>
      <c r="D1572" s="91">
        <v>270</v>
      </c>
      <c r="E1572" s="269"/>
      <c r="F1572" s="268"/>
      <c r="G1572" s="91"/>
      <c r="H1572" s="91"/>
    </row>
    <row r="1573" spans="1:8" x14ac:dyDescent="0.25">
      <c r="A1573" s="91">
        <f t="shared" si="24"/>
        <v>485</v>
      </c>
      <c r="B1573" s="53" t="s">
        <v>4337</v>
      </c>
      <c r="C1573" s="91" t="s">
        <v>97</v>
      </c>
      <c r="D1573" s="91">
        <v>630</v>
      </c>
      <c r="E1573" s="269">
        <v>253.2</v>
      </c>
      <c r="F1573" s="268">
        <v>0.3669565217391304</v>
      </c>
      <c r="G1573" s="91"/>
      <c r="H1573" s="91"/>
    </row>
    <row r="1574" spans="1:8" x14ac:dyDescent="0.25">
      <c r="A1574" s="91">
        <f t="shared" si="24"/>
        <v>485</v>
      </c>
      <c r="B1574" s="53" t="s">
        <v>4337</v>
      </c>
      <c r="C1574" s="91" t="s">
        <v>97</v>
      </c>
      <c r="D1574" s="91">
        <v>60</v>
      </c>
      <c r="E1574" s="269"/>
      <c r="F1574" s="268"/>
      <c r="G1574" s="91"/>
      <c r="H1574" s="91"/>
    </row>
    <row r="1575" spans="1:8" x14ac:dyDescent="0.25">
      <c r="A1575" s="91">
        <f t="shared" si="24"/>
        <v>486</v>
      </c>
      <c r="B1575" s="53" t="s">
        <v>4338</v>
      </c>
      <c r="C1575" s="91" t="s">
        <v>115</v>
      </c>
      <c r="D1575" s="91">
        <v>192</v>
      </c>
      <c r="E1575" s="269">
        <v>276.48</v>
      </c>
      <c r="F1575" s="268">
        <v>0.36000000000000004</v>
      </c>
      <c r="G1575" s="91"/>
      <c r="H1575" s="91"/>
    </row>
    <row r="1576" spans="1:8" x14ac:dyDescent="0.25">
      <c r="A1576" s="91">
        <f t="shared" si="24"/>
        <v>486</v>
      </c>
      <c r="B1576" s="53" t="s">
        <v>4338</v>
      </c>
      <c r="C1576" s="91" t="s">
        <v>115</v>
      </c>
      <c r="D1576" s="91">
        <v>128</v>
      </c>
      <c r="E1576" s="269"/>
      <c r="F1576" s="268"/>
      <c r="G1576" s="91"/>
      <c r="H1576" s="91"/>
    </row>
    <row r="1577" spans="1:8" x14ac:dyDescent="0.25">
      <c r="A1577" s="91">
        <f t="shared" si="24"/>
        <v>486</v>
      </c>
      <c r="B1577" s="53" t="s">
        <v>4338</v>
      </c>
      <c r="C1577" s="91" t="s">
        <v>115</v>
      </c>
      <c r="D1577" s="91">
        <v>448</v>
      </c>
      <c r="E1577" s="269"/>
      <c r="F1577" s="268"/>
      <c r="G1577" s="91"/>
      <c r="H1577" s="91"/>
    </row>
    <row r="1578" spans="1:8" x14ac:dyDescent="0.25">
      <c r="A1578" s="91">
        <f t="shared" si="24"/>
        <v>487</v>
      </c>
      <c r="B1578" s="53" t="s">
        <v>4339</v>
      </c>
      <c r="C1578" s="91" t="s">
        <v>1971</v>
      </c>
      <c r="D1578" s="91">
        <v>24</v>
      </c>
      <c r="E1578" s="269">
        <v>0</v>
      </c>
      <c r="F1578" s="268"/>
      <c r="G1578" s="91"/>
      <c r="H1578" s="91"/>
    </row>
    <row r="1579" spans="1:8" x14ac:dyDescent="0.25">
      <c r="A1579" s="91">
        <f t="shared" si="24"/>
        <v>487</v>
      </c>
      <c r="B1579" s="53" t="s">
        <v>4339</v>
      </c>
      <c r="C1579" s="91" t="s">
        <v>1971</v>
      </c>
      <c r="D1579" s="91">
        <v>168</v>
      </c>
      <c r="E1579" s="269"/>
      <c r="F1579" s="268"/>
      <c r="G1579" s="91"/>
      <c r="H1579" s="91"/>
    </row>
    <row r="1580" spans="1:8" x14ac:dyDescent="0.25">
      <c r="A1580" s="91">
        <f t="shared" si="24"/>
        <v>487</v>
      </c>
      <c r="B1580" s="53" t="s">
        <v>4339</v>
      </c>
      <c r="C1580" s="91" t="s">
        <v>1971</v>
      </c>
      <c r="D1580" s="91">
        <v>348</v>
      </c>
      <c r="E1580" s="269"/>
      <c r="F1580" s="268"/>
      <c r="G1580" s="91"/>
      <c r="H1580" s="91"/>
    </row>
    <row r="1581" spans="1:8" x14ac:dyDescent="0.25">
      <c r="A1581" s="91">
        <f t="shared" si="24"/>
        <v>488</v>
      </c>
      <c r="B1581" s="53" t="s">
        <v>4386</v>
      </c>
      <c r="C1581" s="91" t="s">
        <v>97</v>
      </c>
      <c r="D1581" s="91">
        <v>300</v>
      </c>
      <c r="E1581" s="269">
        <v>765.6</v>
      </c>
      <c r="F1581" s="268">
        <v>0.37165048543689322</v>
      </c>
      <c r="G1581" s="91"/>
      <c r="H1581" s="91"/>
    </row>
    <row r="1582" spans="1:8" x14ac:dyDescent="0.25">
      <c r="A1582" s="91">
        <f t="shared" si="24"/>
        <v>488</v>
      </c>
      <c r="B1582" s="53" t="s">
        <v>4386</v>
      </c>
      <c r="C1582" s="91" t="s">
        <v>97</v>
      </c>
      <c r="D1582" s="91">
        <v>1200</v>
      </c>
      <c r="E1582" s="269"/>
      <c r="F1582" s="268"/>
      <c r="G1582" s="91"/>
      <c r="H1582" s="91"/>
    </row>
    <row r="1583" spans="1:8" x14ac:dyDescent="0.25">
      <c r="A1583" s="91">
        <f t="shared" si="24"/>
        <v>488</v>
      </c>
      <c r="B1583" s="53" t="s">
        <v>4386</v>
      </c>
      <c r="C1583" s="91" t="s">
        <v>97</v>
      </c>
      <c r="D1583" s="91">
        <v>240</v>
      </c>
      <c r="E1583" s="269"/>
      <c r="F1583" s="268"/>
      <c r="G1583" s="91"/>
      <c r="H1583" s="91"/>
    </row>
    <row r="1584" spans="1:8" x14ac:dyDescent="0.25">
      <c r="A1584" s="91">
        <f t="shared" si="24"/>
        <v>488</v>
      </c>
      <c r="B1584" s="53" t="s">
        <v>4386</v>
      </c>
      <c r="C1584" s="91" t="s">
        <v>97</v>
      </c>
      <c r="D1584" s="91">
        <v>320</v>
      </c>
      <c r="E1584" s="269"/>
      <c r="F1584" s="268"/>
      <c r="G1584" s="91"/>
      <c r="H1584" s="91"/>
    </row>
    <row r="1585" spans="1:8" x14ac:dyDescent="0.25">
      <c r="A1585" s="91">
        <f t="shared" si="24"/>
        <v>489</v>
      </c>
      <c r="B1585" s="53" t="s">
        <v>4387</v>
      </c>
      <c r="C1585" s="91" t="s">
        <v>4202</v>
      </c>
      <c r="D1585" s="91">
        <v>288</v>
      </c>
      <c r="E1585" s="269">
        <v>201.6</v>
      </c>
      <c r="F1585" s="268">
        <v>0.7</v>
      </c>
      <c r="G1585" s="91"/>
      <c r="H1585" s="91"/>
    </row>
    <row r="1586" spans="1:8" x14ac:dyDescent="0.25">
      <c r="A1586" s="91">
        <f t="shared" si="24"/>
        <v>490</v>
      </c>
      <c r="B1586" s="53" t="s">
        <v>4389</v>
      </c>
      <c r="C1586" s="91" t="s">
        <v>97</v>
      </c>
      <c r="D1586" s="91">
        <v>3300</v>
      </c>
      <c r="E1586" s="269">
        <v>1623.6</v>
      </c>
      <c r="F1586" s="268">
        <v>0.44</v>
      </c>
      <c r="G1586" s="91"/>
      <c r="H1586" s="91"/>
    </row>
    <row r="1587" spans="1:8" x14ac:dyDescent="0.25">
      <c r="A1587" s="91">
        <f t="shared" si="24"/>
        <v>490</v>
      </c>
      <c r="B1587" s="53" t="s">
        <v>4389</v>
      </c>
      <c r="C1587" s="91" t="s">
        <v>97</v>
      </c>
      <c r="D1587" s="91">
        <v>300</v>
      </c>
      <c r="E1587" s="269"/>
      <c r="F1587" s="268"/>
      <c r="G1587" s="91"/>
      <c r="H1587" s="91"/>
    </row>
    <row r="1588" spans="1:8" x14ac:dyDescent="0.25">
      <c r="A1588" s="91">
        <f t="shared" si="24"/>
        <v>490</v>
      </c>
      <c r="B1588" s="53" t="s">
        <v>4389</v>
      </c>
      <c r="C1588" s="91" t="s">
        <v>97</v>
      </c>
      <c r="D1588" s="91">
        <v>90</v>
      </c>
      <c r="E1588" s="269"/>
      <c r="F1588" s="268"/>
      <c r="G1588" s="91"/>
      <c r="H1588" s="91"/>
    </row>
    <row r="1589" spans="1:8" x14ac:dyDescent="0.25">
      <c r="A1589" s="91">
        <f t="shared" si="24"/>
        <v>491</v>
      </c>
      <c r="B1589" s="53" t="s">
        <v>4391</v>
      </c>
      <c r="C1589" s="91" t="s">
        <v>115</v>
      </c>
      <c r="D1589" s="91">
        <v>180</v>
      </c>
      <c r="E1589" s="269">
        <v>79.2</v>
      </c>
      <c r="F1589" s="268">
        <v>0.44</v>
      </c>
      <c r="G1589" s="91"/>
      <c r="H1589" s="91"/>
    </row>
    <row r="1590" spans="1:8" x14ac:dyDescent="0.25">
      <c r="A1590" s="91">
        <f t="shared" si="24"/>
        <v>492</v>
      </c>
      <c r="B1590" s="53" t="s">
        <v>4392</v>
      </c>
      <c r="C1590" s="91" t="s">
        <v>115</v>
      </c>
      <c r="D1590" s="91">
        <v>180</v>
      </c>
      <c r="E1590" s="269">
        <v>799.2</v>
      </c>
      <c r="F1590" s="268">
        <v>0.36660550458715596</v>
      </c>
      <c r="G1590" s="91"/>
      <c r="H1590" s="91"/>
    </row>
    <row r="1591" spans="1:8" x14ac:dyDescent="0.25">
      <c r="A1591" s="91">
        <f t="shared" si="24"/>
        <v>492</v>
      </c>
      <c r="B1591" s="53" t="s">
        <v>4392</v>
      </c>
      <c r="C1591" s="91" t="s">
        <v>115</v>
      </c>
      <c r="D1591" s="91">
        <v>1400</v>
      </c>
      <c r="E1591" s="269"/>
      <c r="F1591" s="268"/>
      <c r="G1591" s="91"/>
      <c r="H1591" s="91"/>
    </row>
    <row r="1592" spans="1:8" x14ac:dyDescent="0.25">
      <c r="A1592" s="91">
        <f t="shared" si="24"/>
        <v>492</v>
      </c>
      <c r="B1592" s="53" t="s">
        <v>4392</v>
      </c>
      <c r="C1592" s="91" t="s">
        <v>115</v>
      </c>
      <c r="D1592" s="91">
        <v>600</v>
      </c>
      <c r="E1592" s="269"/>
      <c r="F1592" s="268"/>
      <c r="G1592" s="91"/>
      <c r="H1592" s="91"/>
    </row>
    <row r="1593" spans="1:8" x14ac:dyDescent="0.25">
      <c r="A1593" s="91">
        <f t="shared" si="24"/>
        <v>493</v>
      </c>
      <c r="B1593" s="53" t="s">
        <v>4393</v>
      </c>
      <c r="C1593" s="91" t="s">
        <v>115</v>
      </c>
      <c r="D1593" s="91">
        <v>420</v>
      </c>
      <c r="E1593" s="269">
        <v>184.8</v>
      </c>
      <c r="F1593" s="268">
        <v>0.44</v>
      </c>
      <c r="G1593" s="91"/>
      <c r="H1593" s="91"/>
    </row>
    <row r="1594" spans="1:8" x14ac:dyDescent="0.25">
      <c r="A1594" s="91">
        <f t="shared" si="24"/>
        <v>494</v>
      </c>
      <c r="B1594" s="53" t="s">
        <v>4394</v>
      </c>
      <c r="C1594" s="91" t="s">
        <v>1037</v>
      </c>
      <c r="D1594" s="91">
        <v>576</v>
      </c>
      <c r="E1594" s="269">
        <v>591.36</v>
      </c>
      <c r="F1594" s="268">
        <v>0.56000000000000005</v>
      </c>
      <c r="G1594" s="91"/>
      <c r="H1594" s="91"/>
    </row>
    <row r="1595" spans="1:8" x14ac:dyDescent="0.25">
      <c r="A1595" s="91">
        <f t="shared" si="24"/>
        <v>494</v>
      </c>
      <c r="B1595" s="53" t="s">
        <v>4394</v>
      </c>
      <c r="C1595" s="91" t="s">
        <v>1037</v>
      </c>
      <c r="D1595" s="91">
        <v>112</v>
      </c>
      <c r="E1595" s="269"/>
      <c r="F1595" s="268"/>
      <c r="G1595" s="91"/>
      <c r="H1595" s="91"/>
    </row>
    <row r="1596" spans="1:8" x14ac:dyDescent="0.25">
      <c r="A1596" s="91">
        <f t="shared" si="24"/>
        <v>494</v>
      </c>
      <c r="B1596" s="53" t="s">
        <v>4394</v>
      </c>
      <c r="C1596" s="91" t="s">
        <v>1037</v>
      </c>
      <c r="D1596" s="91">
        <v>160</v>
      </c>
      <c r="E1596" s="269"/>
      <c r="F1596" s="268"/>
      <c r="G1596" s="91"/>
      <c r="H1596" s="91"/>
    </row>
    <row r="1597" spans="1:8" x14ac:dyDescent="0.25">
      <c r="A1597" s="91">
        <f t="shared" si="24"/>
        <v>494</v>
      </c>
      <c r="B1597" s="53" t="s">
        <v>4394</v>
      </c>
      <c r="C1597" s="91" t="s">
        <v>1037</v>
      </c>
      <c r="D1597" s="91">
        <v>80</v>
      </c>
      <c r="E1597" s="269"/>
      <c r="F1597" s="268"/>
      <c r="G1597" s="91"/>
      <c r="H1597" s="91"/>
    </row>
    <row r="1598" spans="1:8" x14ac:dyDescent="0.25">
      <c r="A1598" s="91">
        <f t="shared" si="24"/>
        <v>494</v>
      </c>
      <c r="B1598" s="53" t="s">
        <v>4394</v>
      </c>
      <c r="C1598" s="91" t="s">
        <v>1037</v>
      </c>
      <c r="D1598" s="91">
        <v>48</v>
      </c>
      <c r="E1598" s="269"/>
      <c r="F1598" s="268"/>
      <c r="G1598" s="91"/>
      <c r="H1598" s="91"/>
    </row>
    <row r="1599" spans="1:8" x14ac:dyDescent="0.25">
      <c r="A1599" s="91">
        <f t="shared" si="24"/>
        <v>494</v>
      </c>
      <c r="B1599" s="53" t="s">
        <v>4394</v>
      </c>
      <c r="C1599" s="91" t="s">
        <v>1037</v>
      </c>
      <c r="D1599" s="91">
        <v>80</v>
      </c>
      <c r="E1599" s="269"/>
      <c r="F1599" s="268"/>
      <c r="G1599" s="91"/>
      <c r="H1599" s="91"/>
    </row>
    <row r="1600" spans="1:8" x14ac:dyDescent="0.25">
      <c r="A1600" s="91">
        <f t="shared" si="24"/>
        <v>495</v>
      </c>
      <c r="B1600" s="53" t="s">
        <v>4395</v>
      </c>
      <c r="C1600" s="91" t="s">
        <v>97</v>
      </c>
      <c r="D1600" s="91">
        <v>396</v>
      </c>
      <c r="E1600" s="269">
        <v>322.56</v>
      </c>
      <c r="F1600" s="268">
        <v>0.56000000000000005</v>
      </c>
      <c r="G1600" s="91"/>
      <c r="H1600" s="91"/>
    </row>
    <row r="1601" spans="1:8" x14ac:dyDescent="0.25">
      <c r="A1601" s="91">
        <f t="shared" si="24"/>
        <v>495</v>
      </c>
      <c r="B1601" s="53" t="s">
        <v>4395</v>
      </c>
      <c r="C1601" s="91" t="s">
        <v>97</v>
      </c>
      <c r="D1601" s="91">
        <v>180</v>
      </c>
      <c r="E1601" s="269"/>
      <c r="F1601" s="268"/>
      <c r="G1601" s="91"/>
      <c r="H1601" s="91"/>
    </row>
    <row r="1602" spans="1:8" x14ac:dyDescent="0.25">
      <c r="A1602" s="91">
        <f t="shared" si="24"/>
        <v>496</v>
      </c>
      <c r="B1602" s="53" t="s">
        <v>4396</v>
      </c>
      <c r="C1602" s="91" t="s">
        <v>97</v>
      </c>
      <c r="D1602" s="91">
        <v>240</v>
      </c>
      <c r="E1602" s="269">
        <v>321.68</v>
      </c>
      <c r="F1602" s="268">
        <v>0.47167155425219942</v>
      </c>
      <c r="G1602" s="91"/>
      <c r="H1602" s="91"/>
    </row>
    <row r="1603" spans="1:8" x14ac:dyDescent="0.25">
      <c r="A1603" s="91">
        <f t="shared" si="24"/>
        <v>496</v>
      </c>
      <c r="B1603" s="53" t="s">
        <v>4396</v>
      </c>
      <c r="C1603" s="91" t="s">
        <v>97</v>
      </c>
      <c r="D1603" s="91">
        <v>352</v>
      </c>
      <c r="E1603" s="269"/>
      <c r="F1603" s="268"/>
      <c r="G1603" s="91"/>
      <c r="H1603" s="91"/>
    </row>
    <row r="1604" spans="1:8" x14ac:dyDescent="0.25">
      <c r="A1604" s="91">
        <f t="shared" ref="A1604:A1667" si="25">IF(B1604=B1603,A1603,A1603+1)</f>
        <v>496</v>
      </c>
      <c r="B1604" s="53" t="s">
        <v>4396</v>
      </c>
      <c r="C1604" s="91" t="s">
        <v>97</v>
      </c>
      <c r="D1604" s="91">
        <v>90</v>
      </c>
      <c r="E1604" s="269"/>
      <c r="F1604" s="268"/>
      <c r="G1604" s="91"/>
      <c r="H1604" s="91"/>
    </row>
    <row r="1605" spans="1:8" x14ac:dyDescent="0.25">
      <c r="A1605" s="91">
        <f t="shared" si="25"/>
        <v>497</v>
      </c>
      <c r="B1605" s="53" t="s">
        <v>4400</v>
      </c>
      <c r="C1605" s="91" t="s">
        <v>97</v>
      </c>
      <c r="D1605" s="91">
        <v>450</v>
      </c>
      <c r="E1605" s="269">
        <v>162</v>
      </c>
      <c r="F1605" s="268">
        <v>0.36</v>
      </c>
      <c r="G1605" s="91"/>
      <c r="H1605" s="91"/>
    </row>
    <row r="1606" spans="1:8" x14ac:dyDescent="0.25">
      <c r="A1606" s="91">
        <f t="shared" si="25"/>
        <v>498</v>
      </c>
      <c r="B1606" s="53" t="s">
        <v>4401</v>
      </c>
      <c r="C1606" s="91" t="s">
        <v>115</v>
      </c>
      <c r="D1606" s="91">
        <v>228</v>
      </c>
      <c r="E1606" s="269">
        <v>114.48</v>
      </c>
      <c r="F1606" s="268">
        <v>0.36</v>
      </c>
      <c r="G1606" s="91"/>
      <c r="H1606" s="91"/>
    </row>
    <row r="1607" spans="1:8" x14ac:dyDescent="0.25">
      <c r="A1607" s="91">
        <f t="shared" si="25"/>
        <v>498</v>
      </c>
      <c r="B1607" s="53" t="s">
        <v>4401</v>
      </c>
      <c r="C1607" s="91" t="s">
        <v>115</v>
      </c>
      <c r="D1607" s="91">
        <v>90</v>
      </c>
      <c r="E1607" s="269"/>
      <c r="F1607" s="268"/>
      <c r="G1607" s="91"/>
      <c r="H1607" s="91"/>
    </row>
    <row r="1608" spans="1:8" x14ac:dyDescent="0.25">
      <c r="A1608" s="91">
        <f t="shared" si="25"/>
        <v>499</v>
      </c>
      <c r="B1608" s="53" t="s">
        <v>4403</v>
      </c>
      <c r="C1608" s="91" t="s">
        <v>115</v>
      </c>
      <c r="D1608" s="91">
        <v>256</v>
      </c>
      <c r="E1608" s="269">
        <v>253.44</v>
      </c>
      <c r="F1608" s="268">
        <v>0.36</v>
      </c>
      <c r="G1608" s="91"/>
      <c r="H1608" s="91"/>
    </row>
    <row r="1609" spans="1:8" x14ac:dyDescent="0.25">
      <c r="A1609" s="91">
        <f t="shared" si="25"/>
        <v>499</v>
      </c>
      <c r="B1609" s="53" t="s">
        <v>4403</v>
      </c>
      <c r="C1609" s="91" t="s">
        <v>115</v>
      </c>
      <c r="D1609" s="91">
        <v>256</v>
      </c>
      <c r="E1609" s="269"/>
      <c r="F1609" s="268">
        <v>0.36</v>
      </c>
      <c r="G1609" s="91"/>
      <c r="H1609" s="91"/>
    </row>
    <row r="1610" spans="1:8" x14ac:dyDescent="0.25">
      <c r="A1610" s="91">
        <f t="shared" si="25"/>
        <v>499</v>
      </c>
      <c r="B1610" s="53" t="s">
        <v>4403</v>
      </c>
      <c r="C1610" s="91" t="s">
        <v>115</v>
      </c>
      <c r="D1610" s="91">
        <v>128</v>
      </c>
      <c r="E1610" s="269"/>
      <c r="F1610" s="268">
        <v>0.36</v>
      </c>
      <c r="G1610" s="91"/>
      <c r="H1610" s="91"/>
    </row>
    <row r="1611" spans="1:8" x14ac:dyDescent="0.25">
      <c r="A1611" s="91">
        <f t="shared" si="25"/>
        <v>499</v>
      </c>
      <c r="B1611" s="53" t="s">
        <v>4403</v>
      </c>
      <c r="C1611" s="91" t="s">
        <v>115</v>
      </c>
      <c r="D1611" s="91">
        <v>64</v>
      </c>
      <c r="E1611" s="269"/>
      <c r="F1611" s="268">
        <v>0.36</v>
      </c>
      <c r="G1611" s="91"/>
      <c r="H1611" s="91"/>
    </row>
    <row r="1612" spans="1:8" x14ac:dyDescent="0.25">
      <c r="A1612" s="91">
        <f t="shared" si="25"/>
        <v>500</v>
      </c>
      <c r="B1612" s="53" t="s">
        <v>4405</v>
      </c>
      <c r="C1612" s="91" t="s">
        <v>115</v>
      </c>
      <c r="D1612" s="91">
        <v>70</v>
      </c>
      <c r="E1612" s="269">
        <v>220.32</v>
      </c>
      <c r="F1612" s="268">
        <v>0.40799999999999997</v>
      </c>
      <c r="G1612" s="91"/>
      <c r="H1612" s="91"/>
    </row>
    <row r="1613" spans="1:8" x14ac:dyDescent="0.25">
      <c r="A1613" s="91">
        <f t="shared" si="25"/>
        <v>500</v>
      </c>
      <c r="B1613" s="53" t="s">
        <v>4405</v>
      </c>
      <c r="C1613" s="91" t="s">
        <v>115</v>
      </c>
      <c r="D1613" s="91">
        <v>288</v>
      </c>
      <c r="E1613" s="269"/>
      <c r="F1613" s="268"/>
      <c r="G1613" s="91"/>
      <c r="H1613" s="91"/>
    </row>
    <row r="1614" spans="1:8" x14ac:dyDescent="0.25">
      <c r="A1614" s="91">
        <f t="shared" si="25"/>
        <v>500</v>
      </c>
      <c r="B1614" s="53" t="s">
        <v>4405</v>
      </c>
      <c r="C1614" s="91" t="s">
        <v>115</v>
      </c>
      <c r="D1614" s="91">
        <v>120</v>
      </c>
      <c r="E1614" s="269"/>
      <c r="F1614" s="268"/>
      <c r="G1614" s="91"/>
      <c r="H1614" s="91"/>
    </row>
    <row r="1615" spans="1:8" x14ac:dyDescent="0.25">
      <c r="A1615" s="91">
        <f t="shared" si="25"/>
        <v>500</v>
      </c>
      <c r="B1615" s="53" t="s">
        <v>4405</v>
      </c>
      <c r="C1615" s="91" t="s">
        <v>115</v>
      </c>
      <c r="D1615" s="91">
        <v>29</v>
      </c>
      <c r="E1615" s="269"/>
      <c r="F1615" s="268"/>
      <c r="G1615" s="91"/>
      <c r="H1615" s="91"/>
    </row>
    <row r="1616" spans="1:8" x14ac:dyDescent="0.25">
      <c r="A1616" s="91">
        <f t="shared" si="25"/>
        <v>500</v>
      </c>
      <c r="B1616" s="53" t="s">
        <v>4405</v>
      </c>
      <c r="C1616" s="91" t="s">
        <v>115</v>
      </c>
      <c r="D1616" s="91">
        <v>33</v>
      </c>
      <c r="E1616" s="269"/>
      <c r="F1616" s="268"/>
      <c r="G1616" s="91"/>
      <c r="H1616" s="91"/>
    </row>
    <row r="1617" spans="1:8" x14ac:dyDescent="0.25">
      <c r="A1617" s="91">
        <f t="shared" si="25"/>
        <v>501</v>
      </c>
      <c r="B1617" s="53" t="s">
        <v>4407</v>
      </c>
      <c r="C1617" s="91" t="s">
        <v>4202</v>
      </c>
      <c r="D1617" s="91">
        <v>408</v>
      </c>
      <c r="E1617" s="269">
        <v>146.88</v>
      </c>
      <c r="F1617" s="268">
        <v>0.36</v>
      </c>
      <c r="G1617" s="91"/>
      <c r="H1617" s="91"/>
    </row>
    <row r="1618" spans="1:8" x14ac:dyDescent="0.25">
      <c r="A1618" s="91">
        <f t="shared" si="25"/>
        <v>502</v>
      </c>
      <c r="B1618" s="53" t="s">
        <v>4408</v>
      </c>
      <c r="C1618" s="91" t="s">
        <v>1037</v>
      </c>
      <c r="D1618" s="91">
        <v>70</v>
      </c>
      <c r="E1618" s="269">
        <v>25.2</v>
      </c>
      <c r="F1618" s="268">
        <v>0.36</v>
      </c>
      <c r="G1618" s="91"/>
      <c r="H1618" s="91"/>
    </row>
    <row r="1619" spans="1:8" x14ac:dyDescent="0.25">
      <c r="A1619" s="91">
        <f t="shared" si="25"/>
        <v>503</v>
      </c>
      <c r="B1619" s="53" t="s">
        <v>4419</v>
      </c>
      <c r="C1619" s="91" t="s">
        <v>115</v>
      </c>
      <c r="D1619" s="91">
        <v>390</v>
      </c>
      <c r="E1619" s="269">
        <v>309.60000000000002</v>
      </c>
      <c r="F1619" s="268">
        <v>0.41837837837837843</v>
      </c>
      <c r="G1619" s="91"/>
      <c r="H1619" s="91"/>
    </row>
    <row r="1620" spans="1:8" x14ac:dyDescent="0.25">
      <c r="A1620" s="91">
        <f t="shared" si="25"/>
        <v>503</v>
      </c>
      <c r="B1620" s="53" t="s">
        <v>4419</v>
      </c>
      <c r="C1620" s="91" t="s">
        <v>115</v>
      </c>
      <c r="D1620" s="91">
        <v>150</v>
      </c>
      <c r="E1620" s="269"/>
      <c r="F1620" s="268"/>
      <c r="G1620" s="91"/>
      <c r="H1620" s="91"/>
    </row>
    <row r="1621" spans="1:8" x14ac:dyDescent="0.25">
      <c r="A1621" s="91">
        <f t="shared" si="25"/>
        <v>503</v>
      </c>
      <c r="B1621" s="53" t="s">
        <v>4419</v>
      </c>
      <c r="C1621" s="91" t="s">
        <v>115</v>
      </c>
      <c r="D1621" s="91">
        <v>200</v>
      </c>
      <c r="E1621" s="269"/>
      <c r="F1621" s="268"/>
      <c r="G1621" s="91"/>
      <c r="H1621" s="91"/>
    </row>
    <row r="1622" spans="1:8" x14ac:dyDescent="0.25">
      <c r="A1622" s="91">
        <f t="shared" si="25"/>
        <v>504</v>
      </c>
      <c r="B1622" s="53" t="s">
        <v>4421</v>
      </c>
      <c r="C1622" s="91" t="s">
        <v>115</v>
      </c>
      <c r="D1622" s="91">
        <v>480</v>
      </c>
      <c r="E1622" s="269">
        <v>211.2</v>
      </c>
      <c r="F1622" s="268">
        <v>0.44</v>
      </c>
      <c r="G1622" s="91"/>
      <c r="H1622" s="91"/>
    </row>
    <row r="1623" spans="1:8" x14ac:dyDescent="0.25">
      <c r="A1623" s="91">
        <f t="shared" si="25"/>
        <v>505</v>
      </c>
      <c r="B1623" s="53" t="s">
        <v>4425</v>
      </c>
      <c r="C1623" s="91" t="s">
        <v>97</v>
      </c>
      <c r="D1623" s="91">
        <v>990</v>
      </c>
      <c r="E1623" s="269">
        <v>1317</v>
      </c>
      <c r="F1623" s="268">
        <v>0.44644067796610171</v>
      </c>
      <c r="G1623" s="91"/>
      <c r="H1623" s="91"/>
    </row>
    <row r="1624" spans="1:8" x14ac:dyDescent="0.25">
      <c r="A1624" s="91">
        <f t="shared" si="25"/>
        <v>505</v>
      </c>
      <c r="B1624" s="53" t="s">
        <v>4425</v>
      </c>
      <c r="C1624" s="91" t="s">
        <v>97</v>
      </c>
      <c r="D1624" s="91">
        <v>300</v>
      </c>
      <c r="E1624" s="269"/>
      <c r="F1624" s="268"/>
      <c r="G1624" s="91"/>
      <c r="H1624" s="91"/>
    </row>
    <row r="1625" spans="1:8" x14ac:dyDescent="0.25">
      <c r="A1625" s="91">
        <f t="shared" si="25"/>
        <v>505</v>
      </c>
      <c r="B1625" s="53" t="s">
        <v>4425</v>
      </c>
      <c r="C1625" s="91" t="s">
        <v>97</v>
      </c>
      <c r="D1625" s="91">
        <v>160</v>
      </c>
      <c r="E1625" s="269"/>
      <c r="F1625" s="268"/>
      <c r="G1625" s="91"/>
      <c r="H1625" s="91"/>
    </row>
    <row r="1626" spans="1:8" x14ac:dyDescent="0.25">
      <c r="A1626" s="91">
        <f t="shared" si="25"/>
        <v>505</v>
      </c>
      <c r="B1626" s="53" t="s">
        <v>4425</v>
      </c>
      <c r="C1626" s="91" t="s">
        <v>97</v>
      </c>
      <c r="D1626" s="91">
        <v>1200</v>
      </c>
      <c r="E1626" s="269"/>
      <c r="F1626" s="268"/>
      <c r="G1626" s="91"/>
      <c r="H1626" s="91"/>
    </row>
    <row r="1627" spans="1:8" x14ac:dyDescent="0.25">
      <c r="A1627" s="91">
        <f t="shared" si="25"/>
        <v>505</v>
      </c>
      <c r="B1627" s="53" t="s">
        <v>4425</v>
      </c>
      <c r="C1627" s="91" t="s">
        <v>97</v>
      </c>
      <c r="D1627" s="91">
        <v>300</v>
      </c>
      <c r="E1627" s="269"/>
      <c r="F1627" s="268"/>
      <c r="G1627" s="91"/>
      <c r="H1627" s="91"/>
    </row>
    <row r="1628" spans="1:8" x14ac:dyDescent="0.25">
      <c r="A1628" s="91">
        <f t="shared" si="25"/>
        <v>506</v>
      </c>
      <c r="B1628" s="53" t="s">
        <v>4426</v>
      </c>
      <c r="C1628" s="91" t="s">
        <v>97</v>
      </c>
      <c r="D1628" s="91">
        <v>32</v>
      </c>
      <c r="E1628" s="269">
        <v>1480.72</v>
      </c>
      <c r="F1628" s="268">
        <v>0.37947719118400819</v>
      </c>
      <c r="G1628" s="91"/>
      <c r="H1628" s="91"/>
    </row>
    <row r="1629" spans="1:8" x14ac:dyDescent="0.25">
      <c r="A1629" s="91">
        <f t="shared" si="25"/>
        <v>506</v>
      </c>
      <c r="B1629" s="53" t="s">
        <v>4426</v>
      </c>
      <c r="C1629" s="91" t="s">
        <v>97</v>
      </c>
      <c r="D1629" s="91">
        <v>2000</v>
      </c>
      <c r="E1629" s="269"/>
      <c r="F1629" s="268"/>
      <c r="G1629" s="91"/>
      <c r="H1629" s="91"/>
    </row>
    <row r="1630" spans="1:8" x14ac:dyDescent="0.25">
      <c r="A1630" s="91">
        <f t="shared" si="25"/>
        <v>506</v>
      </c>
      <c r="B1630" s="53" t="s">
        <v>4426</v>
      </c>
      <c r="C1630" s="91" t="s">
        <v>97</v>
      </c>
      <c r="D1630" s="91">
        <v>320</v>
      </c>
      <c r="E1630" s="269"/>
      <c r="F1630" s="268"/>
      <c r="G1630" s="91"/>
      <c r="H1630" s="91"/>
    </row>
    <row r="1631" spans="1:8" x14ac:dyDescent="0.25">
      <c r="A1631" s="91">
        <f t="shared" si="25"/>
        <v>506</v>
      </c>
      <c r="B1631" s="53" t="s">
        <v>4426</v>
      </c>
      <c r="C1631" s="91" t="s">
        <v>97</v>
      </c>
      <c r="D1631" s="91">
        <v>680</v>
      </c>
      <c r="E1631" s="269"/>
      <c r="F1631" s="268"/>
      <c r="G1631" s="91"/>
      <c r="H1631" s="91"/>
    </row>
    <row r="1632" spans="1:8" x14ac:dyDescent="0.25">
      <c r="A1632" s="91">
        <f t="shared" si="25"/>
        <v>506</v>
      </c>
      <c r="B1632" s="53" t="s">
        <v>4426</v>
      </c>
      <c r="C1632" s="91" t="s">
        <v>97</v>
      </c>
      <c r="D1632" s="91">
        <v>660</v>
      </c>
      <c r="E1632" s="269"/>
      <c r="F1632" s="268"/>
      <c r="G1632" s="91"/>
      <c r="H1632" s="91"/>
    </row>
    <row r="1633" spans="1:8" x14ac:dyDescent="0.25">
      <c r="A1633" s="91">
        <f t="shared" si="25"/>
        <v>506</v>
      </c>
      <c r="B1633" s="53" t="s">
        <v>4426</v>
      </c>
      <c r="C1633" s="91" t="s">
        <v>97</v>
      </c>
      <c r="D1633" s="91">
        <v>210</v>
      </c>
      <c r="E1633" s="269"/>
      <c r="F1633" s="268"/>
      <c r="G1633" s="91"/>
      <c r="H1633" s="91"/>
    </row>
    <row r="1634" spans="1:8" x14ac:dyDescent="0.25">
      <c r="A1634" s="91">
        <f t="shared" si="25"/>
        <v>507</v>
      </c>
      <c r="B1634" s="53" t="s">
        <v>4427</v>
      </c>
      <c r="C1634" s="91" t="s">
        <v>2411</v>
      </c>
      <c r="D1634" s="91">
        <v>80</v>
      </c>
      <c r="E1634" s="269">
        <v>35.200000000000003</v>
      </c>
      <c r="F1634" s="268">
        <v>0.44000000000000006</v>
      </c>
      <c r="G1634" s="91"/>
      <c r="H1634" s="91"/>
    </row>
    <row r="1635" spans="1:8" x14ac:dyDescent="0.25">
      <c r="A1635" s="91">
        <f t="shared" si="25"/>
        <v>508</v>
      </c>
      <c r="B1635" s="53" t="s">
        <v>4428</v>
      </c>
      <c r="C1635" s="91" t="s">
        <v>4202</v>
      </c>
      <c r="D1635" s="91">
        <v>780</v>
      </c>
      <c r="E1635" s="269">
        <v>548.79999999999995</v>
      </c>
      <c r="F1635" s="268">
        <v>0.70358974358974358</v>
      </c>
      <c r="G1635" s="91"/>
      <c r="H1635" s="91"/>
    </row>
    <row r="1636" spans="1:8" x14ac:dyDescent="0.25">
      <c r="A1636" s="91">
        <f t="shared" si="25"/>
        <v>509</v>
      </c>
      <c r="B1636" s="53" t="s">
        <v>4429</v>
      </c>
      <c r="C1636" s="91" t="s">
        <v>97</v>
      </c>
      <c r="D1636" s="91">
        <v>300</v>
      </c>
      <c r="E1636" s="269">
        <v>264</v>
      </c>
      <c r="F1636" s="268">
        <v>0.44</v>
      </c>
      <c r="G1636" s="91"/>
      <c r="H1636" s="91"/>
    </row>
    <row r="1637" spans="1:8" x14ac:dyDescent="0.25">
      <c r="A1637" s="91">
        <f t="shared" si="25"/>
        <v>509</v>
      </c>
      <c r="B1637" s="53" t="s">
        <v>4429</v>
      </c>
      <c r="C1637" s="91" t="s">
        <v>97</v>
      </c>
      <c r="D1637" s="91">
        <v>300</v>
      </c>
      <c r="E1637" s="269"/>
      <c r="F1637" s="268"/>
      <c r="G1637" s="91"/>
      <c r="H1637" s="91"/>
    </row>
    <row r="1638" spans="1:8" x14ac:dyDescent="0.25">
      <c r="A1638" s="91">
        <f t="shared" si="25"/>
        <v>510</v>
      </c>
      <c r="B1638" s="53" t="s">
        <v>4430</v>
      </c>
      <c r="C1638" s="91" t="s">
        <v>4202</v>
      </c>
      <c r="D1638" s="91">
        <v>216</v>
      </c>
      <c r="E1638" s="269">
        <v>151.19999999999999</v>
      </c>
      <c r="F1638" s="268">
        <v>0.7</v>
      </c>
      <c r="G1638" s="91"/>
      <c r="H1638" s="91"/>
    </row>
    <row r="1639" spans="1:8" x14ac:dyDescent="0.25">
      <c r="A1639" s="91">
        <f t="shared" si="25"/>
        <v>511</v>
      </c>
      <c r="B1639" s="53" t="s">
        <v>4432</v>
      </c>
      <c r="C1639" s="91" t="s">
        <v>1037</v>
      </c>
      <c r="D1639" s="91">
        <v>480</v>
      </c>
      <c r="E1639" s="269">
        <v>743.68</v>
      </c>
      <c r="F1639" s="268">
        <v>0.55999999999999994</v>
      </c>
      <c r="G1639" s="91"/>
      <c r="H1639" s="91"/>
    </row>
    <row r="1640" spans="1:8" x14ac:dyDescent="0.25">
      <c r="A1640" s="91">
        <f t="shared" si="25"/>
        <v>511</v>
      </c>
      <c r="B1640" s="53" t="s">
        <v>4432</v>
      </c>
      <c r="C1640" s="91" t="s">
        <v>1037</v>
      </c>
      <c r="D1640" s="91">
        <v>240</v>
      </c>
      <c r="E1640" s="269"/>
      <c r="F1640" s="268"/>
      <c r="G1640" s="91"/>
      <c r="H1640" s="91"/>
    </row>
    <row r="1641" spans="1:8" x14ac:dyDescent="0.25">
      <c r="A1641" s="91">
        <f t="shared" si="25"/>
        <v>511</v>
      </c>
      <c r="B1641" s="53" t="s">
        <v>4432</v>
      </c>
      <c r="C1641" s="91" t="s">
        <v>1037</v>
      </c>
      <c r="D1641" s="91">
        <v>400</v>
      </c>
      <c r="E1641" s="269"/>
      <c r="F1641" s="268"/>
      <c r="G1641" s="91"/>
      <c r="H1641" s="91"/>
    </row>
    <row r="1642" spans="1:8" x14ac:dyDescent="0.25">
      <c r="A1642" s="91">
        <f t="shared" si="25"/>
        <v>511</v>
      </c>
      <c r="B1642" s="53" t="s">
        <v>4432</v>
      </c>
      <c r="C1642" s="91" t="s">
        <v>1037</v>
      </c>
      <c r="D1642" s="91">
        <v>208</v>
      </c>
      <c r="E1642" s="269"/>
      <c r="F1642" s="268"/>
      <c r="G1642" s="91"/>
      <c r="H1642" s="91"/>
    </row>
    <row r="1643" spans="1:8" x14ac:dyDescent="0.25">
      <c r="A1643" s="91">
        <f t="shared" si="25"/>
        <v>512</v>
      </c>
      <c r="B1643" s="53" t="s">
        <v>4433</v>
      </c>
      <c r="C1643" s="91" t="s">
        <v>97</v>
      </c>
      <c r="D1643" s="91">
        <v>180</v>
      </c>
      <c r="E1643" s="269">
        <v>215.04</v>
      </c>
      <c r="F1643" s="268">
        <v>0.55999999999999994</v>
      </c>
      <c r="G1643" s="91"/>
      <c r="H1643" s="91"/>
    </row>
    <row r="1644" spans="1:8" x14ac:dyDescent="0.25">
      <c r="A1644" s="91">
        <f t="shared" si="25"/>
        <v>512</v>
      </c>
      <c r="B1644" s="53" t="s">
        <v>4433</v>
      </c>
      <c r="C1644" s="91" t="s">
        <v>97</v>
      </c>
      <c r="D1644" s="91">
        <v>204</v>
      </c>
      <c r="E1644" s="269"/>
      <c r="F1644" s="268"/>
      <c r="G1644" s="91"/>
      <c r="H1644" s="91"/>
    </row>
    <row r="1645" spans="1:8" x14ac:dyDescent="0.25">
      <c r="A1645" s="91">
        <f t="shared" si="25"/>
        <v>513</v>
      </c>
      <c r="B1645" s="53" t="s">
        <v>4435</v>
      </c>
      <c r="C1645" s="91" t="s">
        <v>97</v>
      </c>
      <c r="D1645" s="91">
        <v>480</v>
      </c>
      <c r="E1645" s="269">
        <v>875.2</v>
      </c>
      <c r="F1645" s="268">
        <v>0.52978208232445523</v>
      </c>
      <c r="G1645" s="91"/>
      <c r="H1645" s="91"/>
    </row>
    <row r="1646" spans="1:8" x14ac:dyDescent="0.25">
      <c r="A1646" s="91">
        <f t="shared" si="25"/>
        <v>513</v>
      </c>
      <c r="B1646" s="53" t="s">
        <v>4435</v>
      </c>
      <c r="C1646" s="91" t="s">
        <v>97</v>
      </c>
      <c r="D1646" s="91">
        <v>756</v>
      </c>
      <c r="E1646" s="269"/>
      <c r="F1646" s="268"/>
      <c r="G1646" s="91"/>
      <c r="H1646" s="91"/>
    </row>
    <row r="1647" spans="1:8" x14ac:dyDescent="0.25">
      <c r="A1647" s="91">
        <f t="shared" si="25"/>
        <v>513</v>
      </c>
      <c r="B1647" s="53" t="s">
        <v>4435</v>
      </c>
      <c r="C1647" s="91" t="s">
        <v>97</v>
      </c>
      <c r="D1647" s="91">
        <v>416</v>
      </c>
      <c r="E1647" s="269"/>
      <c r="F1647" s="268"/>
      <c r="G1647" s="91"/>
      <c r="H1647" s="91"/>
    </row>
    <row r="1648" spans="1:8" x14ac:dyDescent="0.25">
      <c r="A1648" s="91">
        <f t="shared" si="25"/>
        <v>514</v>
      </c>
      <c r="B1648" s="53" t="s">
        <v>4437</v>
      </c>
      <c r="C1648" s="91" t="s">
        <v>97</v>
      </c>
      <c r="D1648" s="91">
        <v>1170</v>
      </c>
      <c r="E1648" s="269">
        <v>421.2</v>
      </c>
      <c r="F1648" s="268">
        <v>0.36</v>
      </c>
      <c r="G1648" s="91"/>
      <c r="H1648" s="91"/>
    </row>
    <row r="1649" spans="1:8" x14ac:dyDescent="0.25">
      <c r="A1649" s="91">
        <f t="shared" si="25"/>
        <v>515</v>
      </c>
      <c r="B1649" s="53" t="s">
        <v>4438</v>
      </c>
      <c r="C1649" s="91" t="s">
        <v>115</v>
      </c>
      <c r="D1649" s="91">
        <v>304</v>
      </c>
      <c r="E1649" s="269">
        <v>303.83999999999997</v>
      </c>
      <c r="F1649" s="268">
        <v>0.36</v>
      </c>
      <c r="G1649" s="91"/>
      <c r="H1649" s="91"/>
    </row>
    <row r="1650" spans="1:8" x14ac:dyDescent="0.25">
      <c r="A1650" s="91">
        <f t="shared" si="25"/>
        <v>515</v>
      </c>
      <c r="B1650" s="53" t="s">
        <v>4438</v>
      </c>
      <c r="C1650" s="91" t="s">
        <v>115</v>
      </c>
      <c r="D1650" s="91">
        <v>180</v>
      </c>
      <c r="E1650" s="269"/>
      <c r="F1650" s="268"/>
      <c r="G1650" s="91"/>
      <c r="H1650" s="91"/>
    </row>
    <row r="1651" spans="1:8" x14ac:dyDescent="0.25">
      <c r="A1651" s="91">
        <f t="shared" si="25"/>
        <v>515</v>
      </c>
      <c r="B1651" s="53" t="s">
        <v>4438</v>
      </c>
      <c r="C1651" s="91" t="s">
        <v>115</v>
      </c>
      <c r="D1651" s="91">
        <v>180</v>
      </c>
      <c r="E1651" s="269"/>
      <c r="F1651" s="268"/>
      <c r="G1651" s="91"/>
      <c r="H1651" s="91"/>
    </row>
    <row r="1652" spans="1:8" x14ac:dyDescent="0.25">
      <c r="A1652" s="91">
        <f t="shared" si="25"/>
        <v>515</v>
      </c>
      <c r="B1652" s="53" t="s">
        <v>4438</v>
      </c>
      <c r="C1652" s="91" t="s">
        <v>115</v>
      </c>
      <c r="D1652" s="91">
        <v>180</v>
      </c>
      <c r="E1652" s="269"/>
      <c r="F1652" s="268"/>
      <c r="G1652" s="91"/>
      <c r="H1652" s="91"/>
    </row>
    <row r="1653" spans="1:8" x14ac:dyDescent="0.25">
      <c r="A1653" s="91">
        <f t="shared" si="25"/>
        <v>516</v>
      </c>
      <c r="B1653" s="53" t="s">
        <v>4440</v>
      </c>
      <c r="C1653" s="91" t="s">
        <v>115</v>
      </c>
      <c r="D1653" s="91">
        <v>512</v>
      </c>
      <c r="E1653" s="269">
        <v>599.04</v>
      </c>
      <c r="F1653" s="268">
        <v>0.36</v>
      </c>
      <c r="G1653" s="91"/>
      <c r="H1653" s="91"/>
    </row>
    <row r="1654" spans="1:8" x14ac:dyDescent="0.25">
      <c r="A1654" s="91">
        <f t="shared" si="25"/>
        <v>516</v>
      </c>
      <c r="B1654" s="53" t="s">
        <v>4440</v>
      </c>
      <c r="C1654" s="91" t="s">
        <v>115</v>
      </c>
      <c r="D1654" s="91">
        <v>128</v>
      </c>
      <c r="E1654" s="269"/>
      <c r="F1654" s="268"/>
      <c r="G1654" s="91"/>
      <c r="H1654" s="91"/>
    </row>
    <row r="1655" spans="1:8" x14ac:dyDescent="0.25">
      <c r="A1655" s="91">
        <f t="shared" si="25"/>
        <v>516</v>
      </c>
      <c r="B1655" s="53" t="s">
        <v>4440</v>
      </c>
      <c r="C1655" s="91" t="s">
        <v>115</v>
      </c>
      <c r="D1655" s="91">
        <v>256</v>
      </c>
      <c r="E1655" s="269"/>
      <c r="F1655" s="268"/>
      <c r="G1655" s="91"/>
      <c r="H1655" s="91"/>
    </row>
    <row r="1656" spans="1:8" x14ac:dyDescent="0.25">
      <c r="A1656" s="91">
        <f t="shared" si="25"/>
        <v>516</v>
      </c>
      <c r="B1656" s="53" t="s">
        <v>4440</v>
      </c>
      <c r="C1656" s="91" t="s">
        <v>115</v>
      </c>
      <c r="D1656" s="91">
        <v>512</v>
      </c>
      <c r="E1656" s="269"/>
      <c r="F1656" s="268"/>
      <c r="G1656" s="91"/>
      <c r="H1656" s="91"/>
    </row>
    <row r="1657" spans="1:8" x14ac:dyDescent="0.25">
      <c r="A1657" s="91">
        <f t="shared" si="25"/>
        <v>516</v>
      </c>
      <c r="B1657" s="53" t="s">
        <v>4440</v>
      </c>
      <c r="C1657" s="91" t="s">
        <v>115</v>
      </c>
      <c r="D1657" s="91">
        <v>128</v>
      </c>
      <c r="E1657" s="269"/>
      <c r="F1657" s="268"/>
      <c r="G1657" s="91"/>
      <c r="H1657" s="91"/>
    </row>
    <row r="1658" spans="1:8" x14ac:dyDescent="0.25">
      <c r="A1658" s="91">
        <f t="shared" si="25"/>
        <v>516</v>
      </c>
      <c r="B1658" s="53" t="s">
        <v>4440</v>
      </c>
      <c r="C1658" s="91" t="s">
        <v>115</v>
      </c>
      <c r="D1658" s="91">
        <v>64</v>
      </c>
      <c r="E1658" s="269"/>
      <c r="F1658" s="268"/>
      <c r="G1658" s="91"/>
      <c r="H1658" s="91"/>
    </row>
    <row r="1659" spans="1:8" x14ac:dyDescent="0.25">
      <c r="A1659" s="91">
        <f t="shared" si="25"/>
        <v>516</v>
      </c>
      <c r="B1659" s="53" t="s">
        <v>4440</v>
      </c>
      <c r="C1659" s="91" t="s">
        <v>115</v>
      </c>
      <c r="D1659" s="91">
        <v>64</v>
      </c>
      <c r="E1659" s="269"/>
      <c r="F1659" s="268"/>
      <c r="G1659" s="91"/>
      <c r="H1659" s="91"/>
    </row>
    <row r="1660" spans="1:8" x14ac:dyDescent="0.25">
      <c r="A1660" s="91">
        <f t="shared" si="25"/>
        <v>517</v>
      </c>
      <c r="B1660" s="53" t="s">
        <v>4484</v>
      </c>
      <c r="C1660" s="91" t="s">
        <v>97</v>
      </c>
      <c r="D1660" s="91">
        <v>100</v>
      </c>
      <c r="E1660" s="269">
        <v>44</v>
      </c>
      <c r="F1660" s="268">
        <v>0.44</v>
      </c>
      <c r="G1660" s="91"/>
      <c r="H1660" s="91"/>
    </row>
    <row r="1661" spans="1:8" x14ac:dyDescent="0.25">
      <c r="A1661" s="91">
        <f t="shared" si="25"/>
        <v>518</v>
      </c>
      <c r="B1661" s="53" t="s">
        <v>4445</v>
      </c>
      <c r="C1661" s="91" t="s">
        <v>115</v>
      </c>
      <c r="D1661" s="91">
        <v>72</v>
      </c>
      <c r="E1661" s="269">
        <v>0</v>
      </c>
      <c r="F1661" s="268"/>
      <c r="G1661" s="91"/>
      <c r="H1661" s="91"/>
    </row>
    <row r="1662" spans="1:8" x14ac:dyDescent="0.25">
      <c r="A1662" s="91">
        <f t="shared" si="25"/>
        <v>519</v>
      </c>
      <c r="B1662" s="53" t="s">
        <v>4447</v>
      </c>
      <c r="C1662" s="91" t="s">
        <v>115</v>
      </c>
      <c r="D1662" s="91">
        <v>72</v>
      </c>
      <c r="E1662" s="269">
        <v>0</v>
      </c>
      <c r="F1662" s="268"/>
      <c r="G1662" s="91"/>
      <c r="H1662" s="91"/>
    </row>
    <row r="1663" spans="1:8" x14ac:dyDescent="0.25">
      <c r="A1663" s="91">
        <f t="shared" si="25"/>
        <v>520</v>
      </c>
      <c r="B1663" s="53" t="s">
        <v>4449</v>
      </c>
      <c r="C1663" s="91" t="s">
        <v>115</v>
      </c>
      <c r="D1663" s="91">
        <v>72</v>
      </c>
      <c r="E1663" s="269">
        <v>0</v>
      </c>
      <c r="F1663" s="268"/>
      <c r="G1663" s="91"/>
      <c r="H1663" s="91"/>
    </row>
    <row r="1664" spans="1:8" x14ac:dyDescent="0.25">
      <c r="A1664" s="91">
        <f t="shared" si="25"/>
        <v>521</v>
      </c>
      <c r="B1664" s="53" t="s">
        <v>4451</v>
      </c>
      <c r="C1664" s="91" t="s">
        <v>115</v>
      </c>
      <c r="D1664" s="91">
        <v>72</v>
      </c>
      <c r="E1664" s="269">
        <v>0</v>
      </c>
      <c r="F1664" s="268"/>
      <c r="G1664" s="91"/>
      <c r="H1664" s="91"/>
    </row>
    <row r="1665" spans="1:8" x14ac:dyDescent="0.25">
      <c r="A1665" s="91">
        <f t="shared" si="25"/>
        <v>522</v>
      </c>
      <c r="B1665" s="53" t="s">
        <v>4453</v>
      </c>
      <c r="C1665" s="91" t="s">
        <v>115</v>
      </c>
      <c r="D1665" s="91">
        <v>72</v>
      </c>
      <c r="E1665" s="269">
        <v>0</v>
      </c>
      <c r="F1665" s="268"/>
      <c r="G1665" s="91"/>
      <c r="H1665" s="91"/>
    </row>
    <row r="1666" spans="1:8" x14ac:dyDescent="0.25">
      <c r="A1666" s="91">
        <f t="shared" si="25"/>
        <v>523</v>
      </c>
      <c r="B1666" s="53" t="s">
        <v>4488</v>
      </c>
      <c r="C1666" s="91" t="s">
        <v>115</v>
      </c>
      <c r="D1666" s="91">
        <v>1200</v>
      </c>
      <c r="E1666" s="269">
        <v>504</v>
      </c>
      <c r="F1666" s="268">
        <v>0.36</v>
      </c>
      <c r="G1666" s="91"/>
      <c r="H1666" s="91"/>
    </row>
    <row r="1667" spans="1:8" x14ac:dyDescent="0.25">
      <c r="A1667" s="91">
        <f t="shared" si="25"/>
        <v>523</v>
      </c>
      <c r="B1667" s="53" t="s">
        <v>4488</v>
      </c>
      <c r="C1667" s="91" t="s">
        <v>115</v>
      </c>
      <c r="D1667" s="91">
        <v>200</v>
      </c>
      <c r="E1667" s="269"/>
      <c r="F1667" s="268"/>
      <c r="G1667" s="91"/>
      <c r="H1667" s="91"/>
    </row>
    <row r="1668" spans="1:8" x14ac:dyDescent="0.25">
      <c r="A1668" s="91">
        <f t="shared" ref="A1668:A1731" si="26">IF(B1668=B1667,A1667,A1667+1)</f>
        <v>524</v>
      </c>
      <c r="B1668" s="53" t="s">
        <v>4490</v>
      </c>
      <c r="C1668" s="91" t="s">
        <v>115</v>
      </c>
      <c r="D1668" s="91">
        <v>400</v>
      </c>
      <c r="E1668" s="269">
        <v>144</v>
      </c>
      <c r="F1668" s="268">
        <v>0.36</v>
      </c>
      <c r="G1668" s="91"/>
      <c r="H1668" s="91"/>
    </row>
    <row r="1669" spans="1:8" x14ac:dyDescent="0.25">
      <c r="A1669" s="91">
        <f t="shared" si="26"/>
        <v>525</v>
      </c>
      <c r="B1669" s="53" t="s">
        <v>4492</v>
      </c>
      <c r="C1669" s="91" t="s">
        <v>115</v>
      </c>
      <c r="D1669" s="91">
        <v>210</v>
      </c>
      <c r="E1669" s="269">
        <v>277.2</v>
      </c>
      <c r="F1669" s="268">
        <v>0.44</v>
      </c>
      <c r="G1669" s="91"/>
      <c r="H1669" s="91"/>
    </row>
    <row r="1670" spans="1:8" x14ac:dyDescent="0.25">
      <c r="A1670" s="91">
        <f t="shared" si="26"/>
        <v>525</v>
      </c>
      <c r="B1670" s="53" t="s">
        <v>4492</v>
      </c>
      <c r="C1670" s="91" t="s">
        <v>115</v>
      </c>
      <c r="D1670" s="91">
        <v>90</v>
      </c>
      <c r="E1670" s="269"/>
      <c r="F1670" s="268"/>
      <c r="G1670" s="91"/>
      <c r="H1670" s="91"/>
    </row>
    <row r="1671" spans="1:8" x14ac:dyDescent="0.25">
      <c r="A1671" s="91">
        <f t="shared" si="26"/>
        <v>525</v>
      </c>
      <c r="B1671" s="53" t="s">
        <v>4492</v>
      </c>
      <c r="C1671" s="91" t="s">
        <v>115</v>
      </c>
      <c r="D1671" s="91">
        <v>150</v>
      </c>
      <c r="E1671" s="269"/>
      <c r="F1671" s="268"/>
      <c r="G1671" s="91"/>
      <c r="H1671" s="91"/>
    </row>
    <row r="1672" spans="1:8" x14ac:dyDescent="0.25">
      <c r="A1672" s="91">
        <f t="shared" si="26"/>
        <v>525</v>
      </c>
      <c r="B1672" s="53" t="s">
        <v>4492</v>
      </c>
      <c r="C1672" s="91" t="s">
        <v>115</v>
      </c>
      <c r="D1672" s="91">
        <v>180</v>
      </c>
      <c r="E1672" s="269"/>
      <c r="F1672" s="268"/>
      <c r="G1672" s="91"/>
      <c r="H1672" s="91"/>
    </row>
    <row r="1673" spans="1:8" x14ac:dyDescent="0.25">
      <c r="A1673" s="91">
        <f t="shared" si="26"/>
        <v>526</v>
      </c>
      <c r="B1673" s="485" t="s">
        <v>4533</v>
      </c>
      <c r="C1673" s="91" t="s">
        <v>115</v>
      </c>
      <c r="D1673" s="91">
        <v>90</v>
      </c>
      <c r="E1673" s="274">
        <v>39.6</v>
      </c>
      <c r="F1673" s="268">
        <v>0.44</v>
      </c>
      <c r="G1673" s="91"/>
      <c r="H1673" s="91"/>
    </row>
    <row r="1674" spans="1:8" x14ac:dyDescent="0.25">
      <c r="A1674" s="91">
        <f t="shared" si="26"/>
        <v>527</v>
      </c>
      <c r="B1674" s="485" t="s">
        <v>4520</v>
      </c>
      <c r="C1674" s="485" t="s">
        <v>115</v>
      </c>
      <c r="D1674" s="486">
        <v>150</v>
      </c>
      <c r="E1674" s="274">
        <v>590.79999999999995</v>
      </c>
      <c r="F1674" s="268">
        <v>0.37157232704402515</v>
      </c>
      <c r="G1674" s="91"/>
      <c r="H1674" s="91"/>
    </row>
    <row r="1675" spans="1:8" x14ac:dyDescent="0.25">
      <c r="A1675" s="91">
        <f t="shared" si="26"/>
        <v>527</v>
      </c>
      <c r="B1675" s="485" t="s">
        <v>4520</v>
      </c>
      <c r="C1675" s="485" t="s">
        <v>115</v>
      </c>
      <c r="D1675" s="486">
        <v>1360</v>
      </c>
      <c r="E1675" s="487"/>
      <c r="F1675" s="268"/>
      <c r="G1675" s="91"/>
      <c r="H1675" s="91"/>
    </row>
    <row r="1676" spans="1:8" x14ac:dyDescent="0.25">
      <c r="A1676" s="91">
        <f t="shared" si="26"/>
        <v>527</v>
      </c>
      <c r="B1676" s="485" t="s">
        <v>4520</v>
      </c>
      <c r="C1676" s="485" t="s">
        <v>115</v>
      </c>
      <c r="D1676" s="486">
        <v>40</v>
      </c>
      <c r="E1676" s="274"/>
      <c r="F1676" s="268"/>
      <c r="G1676" s="91"/>
      <c r="H1676" s="91"/>
    </row>
    <row r="1677" spans="1:8" x14ac:dyDescent="0.25">
      <c r="A1677" s="91">
        <f t="shared" si="26"/>
        <v>527</v>
      </c>
      <c r="B1677" s="485" t="s">
        <v>4520</v>
      </c>
      <c r="C1677" s="485" t="s">
        <v>115</v>
      </c>
      <c r="D1677" s="486">
        <v>40</v>
      </c>
      <c r="E1677" s="274"/>
      <c r="F1677" s="268"/>
      <c r="G1677" s="91"/>
      <c r="H1677" s="91"/>
    </row>
    <row r="1678" spans="1:8" x14ac:dyDescent="0.25">
      <c r="A1678" s="91">
        <f t="shared" si="26"/>
        <v>528</v>
      </c>
      <c r="B1678" s="53" t="s">
        <v>4510</v>
      </c>
      <c r="C1678" s="91" t="s">
        <v>115</v>
      </c>
      <c r="D1678" s="91">
        <v>80</v>
      </c>
      <c r="E1678" s="274">
        <v>44.8</v>
      </c>
      <c r="F1678" s="268">
        <v>0.55999999999999994</v>
      </c>
      <c r="G1678" s="91"/>
      <c r="H1678" s="91"/>
    </row>
    <row r="1679" spans="1:8" x14ac:dyDescent="0.25">
      <c r="A1679" s="91">
        <f t="shared" si="26"/>
        <v>529</v>
      </c>
      <c r="B1679" s="53" t="s">
        <v>4512</v>
      </c>
      <c r="C1679" s="91" t="s">
        <v>115</v>
      </c>
      <c r="D1679" s="91">
        <v>600</v>
      </c>
      <c r="E1679" s="274">
        <v>216</v>
      </c>
      <c r="F1679" s="268">
        <v>0.36</v>
      </c>
      <c r="G1679" s="91"/>
      <c r="H1679" s="91"/>
    </row>
    <row r="1680" spans="1:8" x14ac:dyDescent="0.25">
      <c r="A1680" s="91">
        <f t="shared" si="26"/>
        <v>530</v>
      </c>
      <c r="B1680" s="53" t="s">
        <v>4529</v>
      </c>
      <c r="C1680" s="91" t="s">
        <v>115</v>
      </c>
      <c r="D1680" s="91">
        <v>256</v>
      </c>
      <c r="E1680" s="274">
        <v>216.72</v>
      </c>
      <c r="F1680" s="268">
        <v>0.22575000000000001</v>
      </c>
      <c r="G1680" s="91"/>
      <c r="H1680" s="91"/>
    </row>
    <row r="1681" spans="1:8" x14ac:dyDescent="0.25">
      <c r="A1681" s="91">
        <f t="shared" si="26"/>
        <v>530</v>
      </c>
      <c r="B1681" s="53" t="s">
        <v>4529</v>
      </c>
      <c r="C1681" s="91" t="s">
        <v>115</v>
      </c>
      <c r="D1681" s="91">
        <v>192</v>
      </c>
      <c r="E1681" s="274"/>
      <c r="F1681" s="268"/>
      <c r="G1681" s="91"/>
      <c r="H1681" s="91"/>
    </row>
    <row r="1682" spans="1:8" x14ac:dyDescent="0.25">
      <c r="A1682" s="91">
        <f t="shared" si="26"/>
        <v>530</v>
      </c>
      <c r="B1682" s="53" t="s">
        <v>4529</v>
      </c>
      <c r="C1682" s="91" t="s">
        <v>115</v>
      </c>
      <c r="D1682" s="91">
        <v>320</v>
      </c>
      <c r="E1682" s="274"/>
      <c r="F1682" s="268"/>
      <c r="G1682" s="91"/>
      <c r="H1682" s="91"/>
    </row>
    <row r="1683" spans="1:8" x14ac:dyDescent="0.25">
      <c r="A1683" s="91">
        <f t="shared" si="26"/>
        <v>530</v>
      </c>
      <c r="B1683" s="53" t="s">
        <v>4529</v>
      </c>
      <c r="C1683" s="91" t="s">
        <v>115</v>
      </c>
      <c r="D1683" s="91">
        <v>192</v>
      </c>
      <c r="E1683" s="274"/>
      <c r="F1683" s="268"/>
      <c r="G1683" s="91"/>
      <c r="H1683" s="91"/>
    </row>
    <row r="1684" spans="1:8" x14ac:dyDescent="0.25">
      <c r="A1684" s="91">
        <f t="shared" si="26"/>
        <v>531</v>
      </c>
      <c r="B1684" s="53" t="s">
        <v>4531</v>
      </c>
      <c r="C1684" s="91" t="s">
        <v>115</v>
      </c>
      <c r="D1684" s="91">
        <v>180</v>
      </c>
      <c r="E1684" s="274">
        <v>345.6</v>
      </c>
      <c r="F1684" s="268">
        <v>0.57408637873754154</v>
      </c>
      <c r="G1684" s="91"/>
      <c r="H1684" s="91"/>
    </row>
    <row r="1685" spans="1:8" x14ac:dyDescent="0.25">
      <c r="A1685" s="91">
        <f t="shared" si="26"/>
        <v>531</v>
      </c>
      <c r="B1685" s="53" t="s">
        <v>4531</v>
      </c>
      <c r="C1685" s="91" t="s">
        <v>115</v>
      </c>
      <c r="D1685" s="91">
        <v>152</v>
      </c>
      <c r="E1685" s="269"/>
      <c r="F1685" s="268"/>
      <c r="G1685" s="91"/>
      <c r="H1685" s="91"/>
    </row>
    <row r="1686" spans="1:8" x14ac:dyDescent="0.25">
      <c r="A1686" s="91">
        <f t="shared" si="26"/>
        <v>531</v>
      </c>
      <c r="B1686" s="53" t="s">
        <v>4531</v>
      </c>
      <c r="C1686" s="91" t="s">
        <v>115</v>
      </c>
      <c r="D1686" s="91">
        <v>90</v>
      </c>
      <c r="E1686" s="269"/>
      <c r="F1686" s="268"/>
      <c r="G1686" s="91"/>
      <c r="H1686" s="91"/>
    </row>
    <row r="1687" spans="1:8" x14ac:dyDescent="0.25">
      <c r="A1687" s="91">
        <f t="shared" si="26"/>
        <v>531</v>
      </c>
      <c r="B1687" s="53" t="s">
        <v>4531</v>
      </c>
      <c r="C1687" s="91" t="s">
        <v>115</v>
      </c>
      <c r="D1687" s="91">
        <v>180</v>
      </c>
      <c r="E1687" s="269"/>
      <c r="F1687" s="268"/>
      <c r="G1687" s="91"/>
      <c r="H1687" s="91"/>
    </row>
    <row r="1688" spans="1:8" x14ac:dyDescent="0.25">
      <c r="A1688" s="91">
        <f t="shared" si="26"/>
        <v>532</v>
      </c>
      <c r="B1688" s="53" t="s">
        <v>4593</v>
      </c>
      <c r="C1688" s="91" t="s">
        <v>115</v>
      </c>
      <c r="D1688" s="91">
        <v>192</v>
      </c>
      <c r="E1688" s="11">
        <v>292.32</v>
      </c>
      <c r="F1688" s="12">
        <v>0.47764705882352942</v>
      </c>
    </row>
    <row r="1689" spans="1:8" x14ac:dyDescent="0.25">
      <c r="A1689" s="91">
        <f t="shared" si="26"/>
        <v>532</v>
      </c>
      <c r="B1689" s="53" t="s">
        <v>4593</v>
      </c>
      <c r="C1689" s="91" t="s">
        <v>115</v>
      </c>
      <c r="D1689" s="91">
        <v>360</v>
      </c>
    </row>
    <row r="1690" spans="1:8" x14ac:dyDescent="0.25">
      <c r="A1690" s="91">
        <f t="shared" si="26"/>
        <v>532</v>
      </c>
      <c r="B1690" s="53" t="s">
        <v>4593</v>
      </c>
      <c r="C1690" s="91" t="s">
        <v>115</v>
      </c>
      <c r="D1690" s="91">
        <v>60</v>
      </c>
    </row>
    <row r="1691" spans="1:8" x14ac:dyDescent="0.25">
      <c r="A1691" s="91">
        <f t="shared" si="26"/>
        <v>533</v>
      </c>
      <c r="B1691" s="53" t="s">
        <v>4594</v>
      </c>
      <c r="C1691" s="91" t="s">
        <v>115</v>
      </c>
      <c r="D1691" s="91">
        <v>720</v>
      </c>
      <c r="E1691" s="11">
        <v>673.92</v>
      </c>
      <c r="F1691" s="12">
        <v>0.36</v>
      </c>
    </row>
    <row r="1692" spans="1:8" x14ac:dyDescent="0.25">
      <c r="A1692" s="91">
        <f t="shared" si="26"/>
        <v>533</v>
      </c>
      <c r="B1692" s="53" t="s">
        <v>4594</v>
      </c>
      <c r="C1692" s="91" t="s">
        <v>115</v>
      </c>
      <c r="D1692" s="91">
        <v>576</v>
      </c>
    </row>
    <row r="1693" spans="1:8" x14ac:dyDescent="0.25">
      <c r="A1693" s="91">
        <f t="shared" si="26"/>
        <v>533</v>
      </c>
      <c r="B1693" s="53" t="s">
        <v>4594</v>
      </c>
      <c r="C1693" s="91" t="s">
        <v>115</v>
      </c>
      <c r="D1693" s="91">
        <v>576</v>
      </c>
    </row>
    <row r="1694" spans="1:8" x14ac:dyDescent="0.25">
      <c r="A1694" s="91">
        <f t="shared" si="26"/>
        <v>534</v>
      </c>
      <c r="B1694" s="56" t="s">
        <v>4525</v>
      </c>
      <c r="C1694" s="9" t="s">
        <v>4654</v>
      </c>
      <c r="D1694" s="9">
        <v>153</v>
      </c>
      <c r="E1694" s="11">
        <v>85.68</v>
      </c>
      <c r="F1694" s="12">
        <v>0.56000000000000005</v>
      </c>
    </row>
    <row r="1695" spans="1:8" x14ac:dyDescent="0.25">
      <c r="A1695" s="91">
        <f t="shared" si="26"/>
        <v>535</v>
      </c>
      <c r="B1695" s="56" t="s">
        <v>4527</v>
      </c>
      <c r="C1695" s="9" t="s">
        <v>4654</v>
      </c>
      <c r="D1695" s="9">
        <v>153</v>
      </c>
      <c r="E1695" s="11">
        <v>107.1</v>
      </c>
      <c r="F1695" s="12">
        <v>0.35</v>
      </c>
    </row>
    <row r="1696" spans="1:8" x14ac:dyDescent="0.25">
      <c r="A1696" s="91">
        <f t="shared" si="26"/>
        <v>536</v>
      </c>
      <c r="B1696" s="56" t="s">
        <v>4565</v>
      </c>
      <c r="C1696" s="9" t="s">
        <v>4654</v>
      </c>
      <c r="D1696" s="9">
        <v>1152</v>
      </c>
      <c r="E1696" s="11">
        <v>645.12</v>
      </c>
      <c r="F1696" s="12">
        <v>0.56000000000000005</v>
      </c>
    </row>
    <row r="1697" spans="1:6" x14ac:dyDescent="0.25">
      <c r="A1697" s="91">
        <f t="shared" si="26"/>
        <v>537</v>
      </c>
      <c r="B1697" s="56" t="s">
        <v>4567</v>
      </c>
      <c r="C1697" s="9" t="s">
        <v>4654</v>
      </c>
      <c r="D1697" s="9">
        <v>513</v>
      </c>
      <c r="E1697" s="11">
        <v>287.27999999999997</v>
      </c>
      <c r="F1697" s="12">
        <v>0.55999999999999994</v>
      </c>
    </row>
    <row r="1698" spans="1:6" x14ac:dyDescent="0.25">
      <c r="A1698" s="91">
        <f t="shared" si="26"/>
        <v>538</v>
      </c>
      <c r="B1698" s="56" t="s">
        <v>4608</v>
      </c>
      <c r="C1698" s="9" t="s">
        <v>4654</v>
      </c>
      <c r="D1698" s="9">
        <v>630</v>
      </c>
      <c r="E1698" s="11">
        <v>352.8</v>
      </c>
      <c r="F1698" s="12">
        <v>0.56000000000000005</v>
      </c>
    </row>
    <row r="1699" spans="1:6" x14ac:dyDescent="0.25">
      <c r="A1699" s="91">
        <f t="shared" si="26"/>
        <v>539</v>
      </c>
      <c r="B1699" s="56" t="s">
        <v>4610</v>
      </c>
      <c r="C1699" s="9" t="s">
        <v>4654</v>
      </c>
      <c r="D1699" s="9">
        <v>360</v>
      </c>
      <c r="E1699" s="11">
        <v>201.6</v>
      </c>
      <c r="F1699" s="12">
        <v>0.55999999999999994</v>
      </c>
    </row>
    <row r="1700" spans="1:6" x14ac:dyDescent="0.25">
      <c r="A1700" s="91">
        <f t="shared" si="26"/>
        <v>540</v>
      </c>
      <c r="B1700" s="10" t="s">
        <v>3138</v>
      </c>
      <c r="C1700" s="9" t="s">
        <v>115</v>
      </c>
      <c r="D1700" s="9">
        <v>52</v>
      </c>
      <c r="E1700" s="11">
        <v>0</v>
      </c>
    </row>
    <row r="1701" spans="1:6" x14ac:dyDescent="0.25">
      <c r="A1701" s="91">
        <f t="shared" si="26"/>
        <v>541</v>
      </c>
      <c r="B1701" s="10" t="s">
        <v>3141</v>
      </c>
      <c r="C1701" s="9" t="s">
        <v>115</v>
      </c>
      <c r="D1701" s="9">
        <v>48</v>
      </c>
      <c r="E1701" s="11">
        <v>0</v>
      </c>
    </row>
    <row r="1702" spans="1:6" x14ac:dyDescent="0.25">
      <c r="A1702" s="91">
        <f t="shared" si="26"/>
        <v>542</v>
      </c>
      <c r="B1702" s="10" t="s">
        <v>3143</v>
      </c>
      <c r="C1702" s="9" t="s">
        <v>115</v>
      </c>
      <c r="D1702" s="9">
        <v>52</v>
      </c>
      <c r="E1702" s="11">
        <v>0</v>
      </c>
    </row>
    <row r="1703" spans="1:6" x14ac:dyDescent="0.25">
      <c r="A1703" s="91">
        <f t="shared" si="26"/>
        <v>543</v>
      </c>
      <c r="B1703" s="10" t="s">
        <v>3145</v>
      </c>
      <c r="C1703" s="9" t="s">
        <v>115</v>
      </c>
      <c r="D1703" s="9">
        <v>52</v>
      </c>
      <c r="E1703" s="11">
        <v>0</v>
      </c>
    </row>
    <row r="1704" spans="1:6" x14ac:dyDescent="0.25">
      <c r="A1704" s="91">
        <f t="shared" si="26"/>
        <v>544</v>
      </c>
      <c r="B1704" s="10" t="s">
        <v>3148</v>
      </c>
      <c r="C1704" s="9" t="s">
        <v>115</v>
      </c>
      <c r="D1704" s="9">
        <v>52</v>
      </c>
      <c r="E1704" s="11">
        <v>0</v>
      </c>
    </row>
    <row r="1705" spans="1:6" x14ac:dyDescent="0.25">
      <c r="A1705" s="91">
        <f t="shared" si="26"/>
        <v>545</v>
      </c>
      <c r="B1705" s="10" t="s">
        <v>3167</v>
      </c>
      <c r="C1705" s="9" t="s">
        <v>115</v>
      </c>
      <c r="D1705" s="9">
        <v>80</v>
      </c>
    </row>
    <row r="1706" spans="1:6" x14ac:dyDescent="0.25">
      <c r="A1706" s="91">
        <f t="shared" si="26"/>
        <v>546</v>
      </c>
      <c r="B1706" s="10" t="s">
        <v>3170</v>
      </c>
      <c r="C1706" s="9" t="s">
        <v>115</v>
      </c>
      <c r="D1706" s="9">
        <v>80</v>
      </c>
    </row>
    <row r="1707" spans="1:6" x14ac:dyDescent="0.25">
      <c r="A1707" s="91">
        <f t="shared" si="26"/>
        <v>547</v>
      </c>
      <c r="B1707" s="10" t="s">
        <v>3172</v>
      </c>
      <c r="C1707" s="9" t="s">
        <v>115</v>
      </c>
      <c r="D1707" s="9">
        <v>80</v>
      </c>
    </row>
    <row r="1708" spans="1:6" x14ac:dyDescent="0.25">
      <c r="A1708" s="91">
        <f t="shared" si="26"/>
        <v>548</v>
      </c>
      <c r="B1708" s="10" t="s">
        <v>3175</v>
      </c>
      <c r="C1708" s="9" t="s">
        <v>115</v>
      </c>
      <c r="D1708" s="9">
        <v>80</v>
      </c>
    </row>
    <row r="1709" spans="1:6" x14ac:dyDescent="0.25">
      <c r="A1709" s="91">
        <f t="shared" si="26"/>
        <v>549</v>
      </c>
      <c r="B1709" s="10" t="s">
        <v>3178</v>
      </c>
      <c r="C1709" s="9" t="s">
        <v>115</v>
      </c>
      <c r="D1709" s="9">
        <v>80</v>
      </c>
    </row>
    <row r="1710" spans="1:6" x14ac:dyDescent="0.25">
      <c r="A1710" s="91">
        <f t="shared" si="26"/>
        <v>550</v>
      </c>
      <c r="B1710" s="10" t="s">
        <v>4445</v>
      </c>
      <c r="C1710" s="9" t="s">
        <v>115</v>
      </c>
      <c r="D1710" s="9">
        <v>72</v>
      </c>
    </row>
    <row r="1711" spans="1:6" x14ac:dyDescent="0.25">
      <c r="A1711" s="91">
        <f t="shared" si="26"/>
        <v>551</v>
      </c>
      <c r="B1711" s="10" t="s">
        <v>4447</v>
      </c>
      <c r="C1711" s="9" t="s">
        <v>115</v>
      </c>
      <c r="D1711" s="9">
        <v>72</v>
      </c>
    </row>
    <row r="1712" spans="1:6" x14ac:dyDescent="0.25">
      <c r="A1712" s="91">
        <f t="shared" si="26"/>
        <v>552</v>
      </c>
      <c r="B1712" s="10" t="s">
        <v>4449</v>
      </c>
      <c r="C1712" s="9" t="s">
        <v>115</v>
      </c>
      <c r="D1712" s="9">
        <v>72</v>
      </c>
    </row>
    <row r="1713" spans="1:6" x14ac:dyDescent="0.25">
      <c r="A1713" s="91">
        <f t="shared" si="26"/>
        <v>553</v>
      </c>
      <c r="B1713" s="10" t="s">
        <v>4451</v>
      </c>
      <c r="C1713" s="9" t="s">
        <v>115</v>
      </c>
      <c r="D1713" s="9">
        <v>72</v>
      </c>
    </row>
    <row r="1714" spans="1:6" x14ac:dyDescent="0.25">
      <c r="A1714" s="91">
        <f t="shared" si="26"/>
        <v>554</v>
      </c>
      <c r="B1714" s="10" t="s">
        <v>4453</v>
      </c>
      <c r="C1714" s="9" t="s">
        <v>115</v>
      </c>
      <c r="D1714" s="9">
        <v>72</v>
      </c>
    </row>
    <row r="1715" spans="1:6" x14ac:dyDescent="0.25">
      <c r="A1715" s="91">
        <f t="shared" si="26"/>
        <v>555</v>
      </c>
      <c r="B1715" s="10" t="s">
        <v>4493</v>
      </c>
      <c r="C1715" s="9" t="s">
        <v>97</v>
      </c>
      <c r="D1715" s="9">
        <v>288</v>
      </c>
      <c r="E1715" s="11">
        <v>791.52</v>
      </c>
      <c r="F1715" s="12">
        <v>0.38274661508704061</v>
      </c>
    </row>
    <row r="1716" spans="1:6" x14ac:dyDescent="0.25">
      <c r="A1716" s="91">
        <f t="shared" si="26"/>
        <v>555</v>
      </c>
      <c r="B1716" s="10" t="s">
        <v>4493</v>
      </c>
      <c r="C1716" s="9" t="s">
        <v>97</v>
      </c>
      <c r="D1716" s="9">
        <v>1400</v>
      </c>
    </row>
    <row r="1717" spans="1:6" x14ac:dyDescent="0.25">
      <c r="A1717" s="91">
        <f t="shared" si="26"/>
        <v>555</v>
      </c>
      <c r="B1717" s="10" t="s">
        <v>4493</v>
      </c>
      <c r="C1717" s="9" t="s">
        <v>97</v>
      </c>
      <c r="D1717" s="9">
        <v>80</v>
      </c>
    </row>
    <row r="1718" spans="1:6" x14ac:dyDescent="0.25">
      <c r="A1718" s="91">
        <f t="shared" si="26"/>
        <v>555</v>
      </c>
      <c r="B1718" s="10" t="s">
        <v>4493</v>
      </c>
      <c r="C1718" s="9" t="s">
        <v>97</v>
      </c>
      <c r="D1718" s="9">
        <v>300</v>
      </c>
    </row>
    <row r="1719" spans="1:6" x14ac:dyDescent="0.25">
      <c r="A1719" s="91">
        <f t="shared" si="26"/>
        <v>556</v>
      </c>
      <c r="B1719" s="10" t="s">
        <v>4494</v>
      </c>
      <c r="C1719" s="9" t="s">
        <v>97</v>
      </c>
      <c r="D1719" s="9">
        <v>150</v>
      </c>
      <c r="E1719" s="11">
        <v>222.8</v>
      </c>
      <c r="F1719" s="12">
        <v>0.518139534883721</v>
      </c>
    </row>
    <row r="1720" spans="1:6" x14ac:dyDescent="0.25">
      <c r="A1720" s="91">
        <f t="shared" si="26"/>
        <v>556</v>
      </c>
      <c r="B1720" s="10" t="s">
        <v>4494</v>
      </c>
      <c r="C1720" s="9" t="s">
        <v>97</v>
      </c>
      <c r="D1720" s="9">
        <v>280</v>
      </c>
    </row>
    <row r="1721" spans="1:6" x14ac:dyDescent="0.25">
      <c r="A1721" s="91">
        <f t="shared" si="26"/>
        <v>557</v>
      </c>
      <c r="B1721" s="10" t="s">
        <v>4495</v>
      </c>
      <c r="C1721" s="9" t="s">
        <v>97</v>
      </c>
      <c r="D1721" s="9">
        <v>270</v>
      </c>
      <c r="E1721" s="11">
        <v>118.8</v>
      </c>
      <c r="F1721" s="12">
        <v>0.44</v>
      </c>
    </row>
    <row r="1722" spans="1:6" x14ac:dyDescent="0.25">
      <c r="A1722" s="91">
        <f t="shared" si="26"/>
        <v>558</v>
      </c>
      <c r="B1722" s="10" t="s">
        <v>4497</v>
      </c>
      <c r="C1722" s="9" t="s">
        <v>4202</v>
      </c>
      <c r="D1722" s="9">
        <v>270</v>
      </c>
      <c r="E1722" s="11">
        <v>315</v>
      </c>
      <c r="F1722" s="12">
        <v>0.7</v>
      </c>
    </row>
    <row r="1723" spans="1:6" x14ac:dyDescent="0.25">
      <c r="A1723" s="91">
        <f t="shared" si="26"/>
        <v>558</v>
      </c>
      <c r="B1723" s="10" t="s">
        <v>4497</v>
      </c>
      <c r="C1723" s="9" t="s">
        <v>4202</v>
      </c>
      <c r="D1723" s="9">
        <v>180</v>
      </c>
    </row>
    <row r="1724" spans="1:6" x14ac:dyDescent="0.25">
      <c r="A1724" s="91">
        <f t="shared" si="26"/>
        <v>559</v>
      </c>
      <c r="B1724" s="10" t="s">
        <v>4499</v>
      </c>
      <c r="C1724" s="9" t="s">
        <v>4202</v>
      </c>
      <c r="D1724" s="9">
        <v>234</v>
      </c>
      <c r="E1724" s="11">
        <v>289.8</v>
      </c>
      <c r="F1724" s="12">
        <v>0.70000000000000007</v>
      </c>
    </row>
    <row r="1725" spans="1:6" x14ac:dyDescent="0.25">
      <c r="A1725" s="91">
        <f t="shared" si="26"/>
        <v>559</v>
      </c>
      <c r="B1725" s="10" t="s">
        <v>4499</v>
      </c>
      <c r="C1725" s="9" t="s">
        <v>4202</v>
      </c>
      <c r="D1725" s="9">
        <v>180</v>
      </c>
    </row>
    <row r="1726" spans="1:6" x14ac:dyDescent="0.25">
      <c r="A1726" s="91">
        <f t="shared" si="26"/>
        <v>560</v>
      </c>
      <c r="B1726" s="10" t="s">
        <v>4502</v>
      </c>
      <c r="C1726" s="9" t="s">
        <v>1037</v>
      </c>
      <c r="D1726" s="9">
        <v>160</v>
      </c>
      <c r="E1726" s="11">
        <v>743.68</v>
      </c>
      <c r="F1726" s="12">
        <v>0.55999999999999994</v>
      </c>
    </row>
    <row r="1727" spans="1:6" x14ac:dyDescent="0.25">
      <c r="A1727" s="91">
        <f t="shared" si="26"/>
        <v>560</v>
      </c>
      <c r="B1727" s="10" t="s">
        <v>4502</v>
      </c>
      <c r="C1727" s="9" t="s">
        <v>1037</v>
      </c>
      <c r="D1727" s="9">
        <v>160</v>
      </c>
    </row>
    <row r="1728" spans="1:6" x14ac:dyDescent="0.25">
      <c r="A1728" s="91">
        <f t="shared" si="26"/>
        <v>560</v>
      </c>
      <c r="B1728" s="10" t="s">
        <v>4502</v>
      </c>
      <c r="C1728" s="9" t="s">
        <v>1037</v>
      </c>
      <c r="D1728" s="9">
        <v>448</v>
      </c>
    </row>
    <row r="1729" spans="1:6" x14ac:dyDescent="0.25">
      <c r="A1729" s="91">
        <f t="shared" si="26"/>
        <v>560</v>
      </c>
      <c r="B1729" s="10" t="s">
        <v>4502</v>
      </c>
      <c r="C1729" s="9" t="s">
        <v>1037</v>
      </c>
      <c r="D1729" s="9">
        <v>480</v>
      </c>
    </row>
    <row r="1730" spans="1:6" x14ac:dyDescent="0.25">
      <c r="A1730" s="91">
        <f t="shared" si="26"/>
        <v>560</v>
      </c>
      <c r="B1730" s="10" t="s">
        <v>4502</v>
      </c>
      <c r="C1730" s="9" t="s">
        <v>1037</v>
      </c>
      <c r="D1730" s="9">
        <v>80</v>
      </c>
    </row>
    <row r="1731" spans="1:6" x14ac:dyDescent="0.25">
      <c r="A1731" s="91">
        <f t="shared" si="26"/>
        <v>561</v>
      </c>
      <c r="B1731" s="10" t="s">
        <v>4503</v>
      </c>
      <c r="C1731" s="9" t="s">
        <v>97</v>
      </c>
      <c r="D1731" s="9">
        <v>480</v>
      </c>
      <c r="E1731" s="11">
        <v>692.16</v>
      </c>
      <c r="F1731" s="12">
        <v>0.55999999999999994</v>
      </c>
    </row>
    <row r="1732" spans="1:6" x14ac:dyDescent="0.25">
      <c r="A1732" s="91">
        <f t="shared" ref="A1732:A1795" si="27">IF(B1732=B1731,A1731,A1731+1)</f>
        <v>561</v>
      </c>
      <c r="B1732" s="10" t="s">
        <v>4503</v>
      </c>
      <c r="C1732" s="9" t="s">
        <v>97</v>
      </c>
      <c r="D1732" s="9">
        <v>756</v>
      </c>
    </row>
    <row r="1733" spans="1:6" x14ac:dyDescent="0.25">
      <c r="A1733" s="91">
        <f t="shared" si="27"/>
        <v>562</v>
      </c>
      <c r="B1733" s="10" t="s">
        <v>4504</v>
      </c>
      <c r="C1733" s="9" t="s">
        <v>97</v>
      </c>
      <c r="D1733" s="9">
        <v>252</v>
      </c>
      <c r="E1733" s="11">
        <v>173.52</v>
      </c>
      <c r="F1733" s="12">
        <v>0.68857142857142861</v>
      </c>
    </row>
    <row r="1734" spans="1:6" x14ac:dyDescent="0.25">
      <c r="A1734" s="91">
        <f t="shared" si="27"/>
        <v>563</v>
      </c>
      <c r="B1734" s="10" t="s">
        <v>4508</v>
      </c>
      <c r="C1734" s="9" t="s">
        <v>4202</v>
      </c>
      <c r="D1734" s="9">
        <v>300</v>
      </c>
      <c r="E1734" s="11">
        <v>132</v>
      </c>
      <c r="F1734" s="12">
        <v>0.44</v>
      </c>
    </row>
    <row r="1735" spans="1:6" x14ac:dyDescent="0.25">
      <c r="A1735" s="91">
        <f t="shared" si="27"/>
        <v>564</v>
      </c>
      <c r="B1735" s="10" t="s">
        <v>4513</v>
      </c>
      <c r="C1735" s="9" t="s">
        <v>97</v>
      </c>
      <c r="D1735" s="9">
        <v>1600</v>
      </c>
      <c r="E1735" s="11">
        <v>1250.4000000000001</v>
      </c>
      <c r="F1735" s="12">
        <v>0.37890909090909092</v>
      </c>
    </row>
    <row r="1736" spans="1:6" x14ac:dyDescent="0.25">
      <c r="A1736" s="91">
        <f t="shared" si="27"/>
        <v>564</v>
      </c>
      <c r="B1736" s="10" t="s">
        <v>4513</v>
      </c>
      <c r="C1736" s="9" t="s">
        <v>97</v>
      </c>
      <c r="D1736" s="9">
        <v>200</v>
      </c>
    </row>
    <row r="1737" spans="1:6" x14ac:dyDescent="0.25">
      <c r="A1737" s="91">
        <f t="shared" si="27"/>
        <v>564</v>
      </c>
      <c r="B1737" s="10" t="s">
        <v>4513</v>
      </c>
      <c r="C1737" s="9" t="s">
        <v>97</v>
      </c>
      <c r="D1737" s="9">
        <v>200</v>
      </c>
    </row>
    <row r="1738" spans="1:6" x14ac:dyDescent="0.25">
      <c r="A1738" s="91">
        <f t="shared" si="27"/>
        <v>564</v>
      </c>
      <c r="B1738" s="10" t="s">
        <v>4513</v>
      </c>
      <c r="C1738" s="9" t="s">
        <v>97</v>
      </c>
      <c r="D1738" s="9">
        <v>520</v>
      </c>
    </row>
    <row r="1739" spans="1:6" x14ac:dyDescent="0.25">
      <c r="A1739" s="91">
        <f t="shared" si="27"/>
        <v>564</v>
      </c>
      <c r="B1739" s="10" t="s">
        <v>4513</v>
      </c>
      <c r="C1739" s="9" t="s">
        <v>97</v>
      </c>
      <c r="D1739" s="9">
        <v>210</v>
      </c>
    </row>
    <row r="1740" spans="1:6" x14ac:dyDescent="0.25">
      <c r="A1740" s="91">
        <f t="shared" si="27"/>
        <v>564</v>
      </c>
      <c r="B1740" s="10" t="s">
        <v>4513</v>
      </c>
      <c r="C1740" s="9" t="s">
        <v>97</v>
      </c>
      <c r="D1740" s="9">
        <v>210</v>
      </c>
    </row>
    <row r="1741" spans="1:6" x14ac:dyDescent="0.25">
      <c r="A1741" s="91">
        <f t="shared" si="27"/>
        <v>564</v>
      </c>
      <c r="B1741" s="10" t="s">
        <v>4513</v>
      </c>
      <c r="C1741" s="9" t="s">
        <v>97</v>
      </c>
      <c r="D1741" s="9">
        <v>300</v>
      </c>
    </row>
    <row r="1742" spans="1:6" x14ac:dyDescent="0.25">
      <c r="A1742" s="91">
        <f t="shared" si="27"/>
        <v>564</v>
      </c>
      <c r="B1742" s="10" t="s">
        <v>4513</v>
      </c>
      <c r="C1742" s="9" t="s">
        <v>97</v>
      </c>
      <c r="D1742" s="9">
        <v>60</v>
      </c>
    </row>
    <row r="1743" spans="1:6" x14ac:dyDescent="0.25">
      <c r="A1743" s="91">
        <f t="shared" si="27"/>
        <v>565</v>
      </c>
      <c r="B1743" s="10" t="s">
        <v>4515</v>
      </c>
      <c r="C1743" s="9" t="s">
        <v>97</v>
      </c>
      <c r="D1743" s="9">
        <v>330</v>
      </c>
      <c r="E1743" s="11">
        <v>237.6</v>
      </c>
      <c r="F1743" s="12">
        <v>0.44</v>
      </c>
    </row>
    <row r="1744" spans="1:6" x14ac:dyDescent="0.25">
      <c r="A1744" s="91">
        <f t="shared" si="27"/>
        <v>565</v>
      </c>
      <c r="B1744" s="10" t="s">
        <v>4515</v>
      </c>
      <c r="C1744" s="9" t="s">
        <v>97</v>
      </c>
      <c r="D1744" s="9">
        <v>210</v>
      </c>
    </row>
    <row r="1745" spans="1:6" x14ac:dyDescent="0.25">
      <c r="A1745" s="91">
        <f t="shared" si="27"/>
        <v>566</v>
      </c>
      <c r="B1745" s="10" t="s">
        <v>4516</v>
      </c>
      <c r="C1745" s="9" t="s">
        <v>4202</v>
      </c>
      <c r="D1745" s="9">
        <v>200</v>
      </c>
      <c r="E1745" s="11">
        <v>112</v>
      </c>
      <c r="F1745" s="12">
        <v>0.56000000000000005</v>
      </c>
    </row>
    <row r="1746" spans="1:6" x14ac:dyDescent="0.25">
      <c r="A1746" s="91">
        <f t="shared" si="27"/>
        <v>567</v>
      </c>
      <c r="B1746" s="10" t="s">
        <v>4517</v>
      </c>
      <c r="C1746" s="9" t="s">
        <v>4202</v>
      </c>
      <c r="D1746" s="9">
        <v>120</v>
      </c>
      <c r="E1746" s="11">
        <v>52.8</v>
      </c>
      <c r="F1746" s="12">
        <v>0.44</v>
      </c>
    </row>
    <row r="1747" spans="1:6" x14ac:dyDescent="0.25">
      <c r="A1747" s="91">
        <f t="shared" si="27"/>
        <v>568</v>
      </c>
      <c r="B1747" s="10" t="s">
        <v>4518</v>
      </c>
      <c r="C1747" s="9" t="s">
        <v>4202</v>
      </c>
      <c r="D1747" s="9">
        <v>40</v>
      </c>
      <c r="E1747" s="11">
        <v>28.8</v>
      </c>
      <c r="F1747" s="12">
        <v>0.36</v>
      </c>
    </row>
    <row r="1748" spans="1:6" x14ac:dyDescent="0.25">
      <c r="A1748" s="91">
        <f t="shared" si="27"/>
        <v>568</v>
      </c>
      <c r="B1748" s="10" t="s">
        <v>4518</v>
      </c>
      <c r="C1748" s="9" t="s">
        <v>4202</v>
      </c>
      <c r="D1748" s="9">
        <v>40</v>
      </c>
    </row>
    <row r="1749" spans="1:6" x14ac:dyDescent="0.25">
      <c r="A1749" s="91">
        <f t="shared" si="27"/>
        <v>569</v>
      </c>
      <c r="B1749" s="10" t="s">
        <v>4519</v>
      </c>
      <c r="C1749" s="9" t="s">
        <v>4202</v>
      </c>
      <c r="D1749" s="9">
        <v>100</v>
      </c>
      <c r="E1749" s="11">
        <v>56</v>
      </c>
      <c r="F1749" s="12">
        <v>0.56000000000000005</v>
      </c>
    </row>
    <row r="1750" spans="1:6" x14ac:dyDescent="0.25">
      <c r="A1750" s="91">
        <f t="shared" si="27"/>
        <v>570</v>
      </c>
      <c r="B1750" s="10" t="s">
        <v>4521</v>
      </c>
      <c r="C1750" s="9" t="s">
        <v>97</v>
      </c>
      <c r="D1750" s="9">
        <v>600</v>
      </c>
      <c r="E1750" s="11">
        <v>216</v>
      </c>
      <c r="F1750" s="12">
        <v>0.36</v>
      </c>
    </row>
    <row r="1751" spans="1:6" x14ac:dyDescent="0.25">
      <c r="A1751" s="91">
        <f t="shared" si="27"/>
        <v>571</v>
      </c>
      <c r="B1751" s="10" t="s">
        <v>4522</v>
      </c>
      <c r="C1751" s="9" t="s">
        <v>97</v>
      </c>
      <c r="D1751" s="9">
        <v>300</v>
      </c>
      <c r="E1751" s="11">
        <v>264</v>
      </c>
      <c r="F1751" s="12">
        <v>0.44</v>
      </c>
    </row>
    <row r="1752" spans="1:6" x14ac:dyDescent="0.25">
      <c r="A1752" s="91">
        <f t="shared" si="27"/>
        <v>571</v>
      </c>
      <c r="B1752" s="10" t="s">
        <v>4522</v>
      </c>
      <c r="C1752" s="9" t="s">
        <v>97</v>
      </c>
      <c r="D1752" s="9">
        <v>300</v>
      </c>
    </row>
    <row r="1753" spans="1:6" x14ac:dyDescent="0.25">
      <c r="A1753" s="91">
        <f t="shared" si="27"/>
        <v>572</v>
      </c>
      <c r="B1753" s="10" t="s">
        <v>4523</v>
      </c>
      <c r="C1753" s="9" t="s">
        <v>97</v>
      </c>
      <c r="D1753" s="9">
        <v>480</v>
      </c>
      <c r="E1753" s="11">
        <v>707.6</v>
      </c>
      <c r="F1753" s="12">
        <v>0.53203007518796996</v>
      </c>
    </row>
    <row r="1754" spans="1:6" x14ac:dyDescent="0.25">
      <c r="A1754" s="91">
        <f t="shared" si="27"/>
        <v>572</v>
      </c>
      <c r="B1754" s="10" t="s">
        <v>4523</v>
      </c>
      <c r="C1754" s="9" t="s">
        <v>97</v>
      </c>
      <c r="D1754" s="9">
        <v>600</v>
      </c>
    </row>
    <row r="1755" spans="1:6" x14ac:dyDescent="0.25">
      <c r="A1755" s="91">
        <f t="shared" si="27"/>
        <v>572</v>
      </c>
      <c r="B1755" s="10" t="s">
        <v>4523</v>
      </c>
      <c r="C1755" s="9" t="s">
        <v>97</v>
      </c>
      <c r="D1755" s="9">
        <v>160</v>
      </c>
    </row>
    <row r="1756" spans="1:6" x14ac:dyDescent="0.25">
      <c r="A1756" s="91">
        <f t="shared" si="27"/>
        <v>572</v>
      </c>
      <c r="B1756" s="10" t="s">
        <v>4523</v>
      </c>
      <c r="C1756" s="9" t="s">
        <v>97</v>
      </c>
      <c r="D1756" s="9">
        <v>90</v>
      </c>
    </row>
    <row r="1757" spans="1:6" x14ac:dyDescent="0.25">
      <c r="A1757" s="91">
        <f t="shared" si="27"/>
        <v>573</v>
      </c>
      <c r="B1757" s="10" t="s">
        <v>4524</v>
      </c>
      <c r="C1757" s="9" t="s">
        <v>97</v>
      </c>
      <c r="D1757" s="9">
        <v>120</v>
      </c>
      <c r="E1757" s="11">
        <v>67.2</v>
      </c>
      <c r="F1757" s="12">
        <v>0.56000000000000005</v>
      </c>
    </row>
    <row r="1758" spans="1:6" x14ac:dyDescent="0.25">
      <c r="A1758" s="91">
        <f t="shared" si="27"/>
        <v>574</v>
      </c>
      <c r="B1758" s="10" t="s">
        <v>4527</v>
      </c>
      <c r="C1758" s="9" t="s">
        <v>4202</v>
      </c>
      <c r="D1758" s="9">
        <v>153</v>
      </c>
    </row>
    <row r="1759" spans="1:6" x14ac:dyDescent="0.25">
      <c r="A1759" s="91">
        <f t="shared" si="27"/>
        <v>575</v>
      </c>
      <c r="B1759" s="10" t="s">
        <v>4530</v>
      </c>
      <c r="C1759" s="9" t="s">
        <v>97</v>
      </c>
      <c r="D1759" s="9">
        <v>1280</v>
      </c>
      <c r="E1759" s="11">
        <v>504.8</v>
      </c>
      <c r="F1759" s="12">
        <v>0.36579710144927535</v>
      </c>
    </row>
    <row r="1760" spans="1:6" x14ac:dyDescent="0.25">
      <c r="A1760" s="91">
        <f t="shared" si="27"/>
        <v>575</v>
      </c>
      <c r="B1760" s="10" t="s">
        <v>4530</v>
      </c>
      <c r="C1760" s="9" t="s">
        <v>97</v>
      </c>
      <c r="D1760" s="9">
        <v>100</v>
      </c>
    </row>
    <row r="1761" spans="1:6" x14ac:dyDescent="0.25">
      <c r="A1761" s="91">
        <f t="shared" si="27"/>
        <v>576</v>
      </c>
      <c r="B1761" s="10" t="s">
        <v>4555</v>
      </c>
      <c r="C1761" s="9" t="s">
        <v>97</v>
      </c>
      <c r="D1761" s="9">
        <v>300</v>
      </c>
      <c r="E1761" s="11">
        <v>132</v>
      </c>
      <c r="F1761" s="12">
        <v>0.44</v>
      </c>
    </row>
    <row r="1762" spans="1:6" x14ac:dyDescent="0.25">
      <c r="A1762" s="91">
        <f t="shared" si="27"/>
        <v>577</v>
      </c>
      <c r="B1762" s="10" t="s">
        <v>4557</v>
      </c>
      <c r="C1762" s="9" t="s">
        <v>97</v>
      </c>
      <c r="D1762" s="9">
        <v>300</v>
      </c>
      <c r="E1762" s="11">
        <v>132</v>
      </c>
      <c r="F1762" s="12">
        <v>0.44</v>
      </c>
    </row>
    <row r="1763" spans="1:6" x14ac:dyDescent="0.25">
      <c r="A1763" s="91">
        <f t="shared" si="27"/>
        <v>578</v>
      </c>
      <c r="B1763" s="10" t="s">
        <v>4558</v>
      </c>
      <c r="C1763" s="9" t="s">
        <v>97</v>
      </c>
      <c r="D1763" s="9">
        <v>1200</v>
      </c>
      <c r="E1763" s="11">
        <v>996</v>
      </c>
      <c r="F1763" s="12">
        <v>0.36888888888888888</v>
      </c>
    </row>
    <row r="1764" spans="1:6" x14ac:dyDescent="0.25">
      <c r="A1764" s="91">
        <f t="shared" si="27"/>
        <v>578</v>
      </c>
      <c r="B1764" s="10" t="s">
        <v>4558</v>
      </c>
      <c r="C1764" s="9" t="s">
        <v>97</v>
      </c>
      <c r="D1764" s="9">
        <v>120</v>
      </c>
    </row>
    <row r="1765" spans="1:6" x14ac:dyDescent="0.25">
      <c r="A1765" s="91">
        <f t="shared" si="27"/>
        <v>578</v>
      </c>
      <c r="B1765" s="10" t="s">
        <v>4558</v>
      </c>
      <c r="C1765" s="9" t="s">
        <v>97</v>
      </c>
      <c r="D1765" s="9">
        <v>1000</v>
      </c>
    </row>
    <row r="1766" spans="1:6" x14ac:dyDescent="0.25">
      <c r="A1766" s="91">
        <f t="shared" si="27"/>
        <v>578</v>
      </c>
      <c r="B1766" s="10" t="s">
        <v>4558</v>
      </c>
      <c r="C1766" s="9" t="s">
        <v>97</v>
      </c>
      <c r="D1766" s="9">
        <v>80</v>
      </c>
    </row>
    <row r="1767" spans="1:6" x14ac:dyDescent="0.25">
      <c r="A1767" s="91">
        <f t="shared" si="27"/>
        <v>578</v>
      </c>
      <c r="B1767" s="10" t="s">
        <v>4558</v>
      </c>
      <c r="C1767" s="9" t="s">
        <v>97</v>
      </c>
      <c r="D1767" s="9">
        <v>300</v>
      </c>
    </row>
    <row r="1768" spans="1:6" x14ac:dyDescent="0.25">
      <c r="A1768" s="91">
        <f t="shared" si="27"/>
        <v>579</v>
      </c>
      <c r="B1768" s="10" t="s">
        <v>4560</v>
      </c>
      <c r="C1768" s="9" t="s">
        <v>2411</v>
      </c>
      <c r="D1768" s="9">
        <v>600</v>
      </c>
      <c r="E1768" s="11">
        <v>330</v>
      </c>
      <c r="F1768" s="12">
        <v>0.44</v>
      </c>
    </row>
    <row r="1769" spans="1:6" x14ac:dyDescent="0.25">
      <c r="A1769" s="91">
        <f t="shared" si="27"/>
        <v>579</v>
      </c>
      <c r="B1769" s="10" t="s">
        <v>4560</v>
      </c>
      <c r="C1769" s="9" t="s">
        <v>2411</v>
      </c>
      <c r="D1769" s="9">
        <v>150</v>
      </c>
    </row>
    <row r="1770" spans="1:6" x14ac:dyDescent="0.25">
      <c r="A1770" s="91">
        <f t="shared" si="27"/>
        <v>580</v>
      </c>
      <c r="B1770" s="10" t="s">
        <v>4561</v>
      </c>
      <c r="C1770" s="9" t="s">
        <v>97</v>
      </c>
      <c r="D1770" s="9">
        <v>120</v>
      </c>
      <c r="E1770" s="11">
        <v>67.2</v>
      </c>
      <c r="F1770" s="12">
        <v>0.56000000000000005</v>
      </c>
    </row>
    <row r="1771" spans="1:6" x14ac:dyDescent="0.25">
      <c r="A1771" s="91">
        <f t="shared" si="27"/>
        <v>581</v>
      </c>
      <c r="B1771" s="10" t="s">
        <v>4563</v>
      </c>
      <c r="C1771" s="9" t="s">
        <v>97</v>
      </c>
      <c r="D1771" s="9">
        <v>256</v>
      </c>
      <c r="E1771" s="11">
        <v>112.64</v>
      </c>
      <c r="F1771" s="12">
        <v>0.44</v>
      </c>
    </row>
    <row r="1772" spans="1:6" x14ac:dyDescent="0.25">
      <c r="A1772" s="91">
        <f t="shared" si="27"/>
        <v>582</v>
      </c>
      <c r="B1772" s="10" t="s">
        <v>4569</v>
      </c>
      <c r="C1772" s="9" t="s">
        <v>97</v>
      </c>
      <c r="D1772" s="9">
        <v>36</v>
      </c>
      <c r="E1772" s="11">
        <v>356.16</v>
      </c>
      <c r="F1772" s="12">
        <v>0.56000000000000005</v>
      </c>
    </row>
    <row r="1773" spans="1:6" x14ac:dyDescent="0.25">
      <c r="A1773" s="91">
        <f t="shared" si="27"/>
        <v>582</v>
      </c>
      <c r="B1773" s="10" t="s">
        <v>4569</v>
      </c>
      <c r="C1773" s="9" t="s">
        <v>97</v>
      </c>
      <c r="D1773" s="9">
        <v>600</v>
      </c>
    </row>
    <row r="1774" spans="1:6" x14ac:dyDescent="0.25">
      <c r="A1774" s="91">
        <f t="shared" si="27"/>
        <v>583</v>
      </c>
      <c r="B1774" s="10" t="s">
        <v>4570</v>
      </c>
      <c r="C1774" s="9" t="s">
        <v>115</v>
      </c>
      <c r="D1774" s="9">
        <v>180</v>
      </c>
      <c r="E1774" s="11">
        <v>100.8</v>
      </c>
      <c r="F1774" s="12">
        <v>0.55999999999999994</v>
      </c>
    </row>
    <row r="1775" spans="1:6" x14ac:dyDescent="0.25">
      <c r="A1775" s="91">
        <f t="shared" si="27"/>
        <v>584</v>
      </c>
      <c r="B1775" s="10" t="s">
        <v>4603</v>
      </c>
      <c r="C1775" s="9" t="s">
        <v>97</v>
      </c>
      <c r="D1775" s="9">
        <v>192</v>
      </c>
      <c r="E1775" s="11">
        <v>1045.68</v>
      </c>
      <c r="F1775" s="12">
        <v>0.3785952208544533</v>
      </c>
    </row>
    <row r="1776" spans="1:6" x14ac:dyDescent="0.25">
      <c r="A1776" s="91">
        <f t="shared" si="27"/>
        <v>584</v>
      </c>
      <c r="B1776" s="10" t="s">
        <v>4603</v>
      </c>
      <c r="C1776" s="9" t="s">
        <v>97</v>
      </c>
      <c r="D1776" s="9">
        <v>1200</v>
      </c>
    </row>
    <row r="1777" spans="1:6" x14ac:dyDescent="0.25">
      <c r="A1777" s="91">
        <f t="shared" si="27"/>
        <v>584</v>
      </c>
      <c r="B1777" s="10" t="s">
        <v>4603</v>
      </c>
      <c r="C1777" s="9" t="s">
        <v>97</v>
      </c>
      <c r="D1777" s="9">
        <v>320</v>
      </c>
    </row>
    <row r="1778" spans="1:6" x14ac:dyDescent="0.25">
      <c r="A1778" s="91">
        <f t="shared" si="27"/>
        <v>584</v>
      </c>
      <c r="B1778" s="10" t="s">
        <v>4603</v>
      </c>
      <c r="C1778" s="9" t="s">
        <v>97</v>
      </c>
      <c r="D1778" s="9">
        <v>200</v>
      </c>
    </row>
    <row r="1779" spans="1:6" x14ac:dyDescent="0.25">
      <c r="A1779" s="91">
        <f t="shared" si="27"/>
        <v>584</v>
      </c>
      <c r="B1779" s="10" t="s">
        <v>4603</v>
      </c>
      <c r="C1779" s="9" t="s">
        <v>97</v>
      </c>
      <c r="D1779" s="9">
        <v>400</v>
      </c>
    </row>
    <row r="1780" spans="1:6" x14ac:dyDescent="0.25">
      <c r="A1780" s="91">
        <f t="shared" si="27"/>
        <v>584</v>
      </c>
      <c r="B1780" s="10" t="s">
        <v>4603</v>
      </c>
      <c r="C1780" s="9" t="s">
        <v>97</v>
      </c>
      <c r="D1780" s="9">
        <v>300</v>
      </c>
    </row>
    <row r="1781" spans="1:6" x14ac:dyDescent="0.25">
      <c r="A1781" s="91">
        <f t="shared" si="27"/>
        <v>584</v>
      </c>
      <c r="B1781" s="10" t="s">
        <v>4603</v>
      </c>
      <c r="C1781" s="9" t="s">
        <v>97</v>
      </c>
      <c r="D1781" s="9">
        <v>150</v>
      </c>
    </row>
    <row r="1782" spans="1:6" x14ac:dyDescent="0.25">
      <c r="A1782" s="91">
        <f t="shared" si="27"/>
        <v>585</v>
      </c>
      <c r="B1782" s="10" t="s">
        <v>4604</v>
      </c>
      <c r="C1782" s="9" t="s">
        <v>97</v>
      </c>
      <c r="D1782" s="9">
        <v>450</v>
      </c>
      <c r="E1782" s="11">
        <v>198</v>
      </c>
      <c r="F1782" s="12">
        <v>0.44</v>
      </c>
    </row>
    <row r="1783" spans="1:6" x14ac:dyDescent="0.25">
      <c r="A1783" s="91">
        <f t="shared" si="27"/>
        <v>586</v>
      </c>
      <c r="B1783" s="10" t="s">
        <v>4605</v>
      </c>
      <c r="C1783" s="9" t="s">
        <v>97</v>
      </c>
      <c r="D1783" s="9">
        <v>90</v>
      </c>
      <c r="E1783" s="11">
        <v>39.6</v>
      </c>
      <c r="F1783" s="12">
        <v>0.44</v>
      </c>
    </row>
    <row r="1784" spans="1:6" x14ac:dyDescent="0.25">
      <c r="A1784" s="91">
        <f t="shared" si="27"/>
        <v>587</v>
      </c>
      <c r="B1784" s="10" t="s">
        <v>4606</v>
      </c>
      <c r="C1784" s="9" t="s">
        <v>2411</v>
      </c>
      <c r="D1784" s="9">
        <v>300</v>
      </c>
      <c r="E1784" s="11">
        <v>198</v>
      </c>
      <c r="F1784" s="12">
        <v>0.44</v>
      </c>
    </row>
    <row r="1785" spans="1:6" x14ac:dyDescent="0.25">
      <c r="A1785" s="91">
        <f t="shared" si="27"/>
        <v>587</v>
      </c>
      <c r="B1785" s="10" t="s">
        <v>4606</v>
      </c>
      <c r="C1785" s="9" t="s">
        <v>2411</v>
      </c>
      <c r="D1785" s="9">
        <v>150</v>
      </c>
    </row>
    <row r="1786" spans="1:6" x14ac:dyDescent="0.25">
      <c r="A1786" s="91">
        <f t="shared" si="27"/>
        <v>588</v>
      </c>
      <c r="B1786" s="10" t="s">
        <v>4607</v>
      </c>
      <c r="C1786" s="9" t="s">
        <v>97</v>
      </c>
      <c r="D1786" s="9">
        <v>600</v>
      </c>
      <c r="E1786" s="11">
        <v>396</v>
      </c>
      <c r="F1786" s="12">
        <v>0.44</v>
      </c>
    </row>
    <row r="1787" spans="1:6" x14ac:dyDescent="0.25">
      <c r="A1787" s="91">
        <f t="shared" si="27"/>
        <v>588</v>
      </c>
      <c r="B1787" s="10" t="s">
        <v>4607</v>
      </c>
      <c r="C1787" s="9" t="s">
        <v>97</v>
      </c>
      <c r="D1787" s="9">
        <v>300</v>
      </c>
    </row>
    <row r="1788" spans="1:6" x14ac:dyDescent="0.25">
      <c r="A1788" s="91">
        <f t="shared" si="27"/>
        <v>589</v>
      </c>
      <c r="B1788" s="10" t="s">
        <v>4612</v>
      </c>
      <c r="C1788" s="9" t="s">
        <v>97</v>
      </c>
      <c r="D1788" s="9">
        <v>240</v>
      </c>
      <c r="E1788" s="11">
        <v>575.36</v>
      </c>
      <c r="F1788" s="12">
        <v>0.50293706293706297</v>
      </c>
    </row>
    <row r="1789" spans="1:6" x14ac:dyDescent="0.25">
      <c r="A1789" s="91">
        <f t="shared" si="27"/>
        <v>589</v>
      </c>
      <c r="B1789" s="10" t="s">
        <v>4612</v>
      </c>
      <c r="C1789" s="9" t="s">
        <v>97</v>
      </c>
      <c r="D1789" s="9">
        <v>360</v>
      </c>
    </row>
    <row r="1790" spans="1:6" x14ac:dyDescent="0.25">
      <c r="A1790" s="91">
        <f t="shared" si="27"/>
        <v>589</v>
      </c>
      <c r="B1790" s="10" t="s">
        <v>4612</v>
      </c>
      <c r="C1790" s="9" t="s">
        <v>97</v>
      </c>
      <c r="D1790" s="9">
        <v>256</v>
      </c>
    </row>
    <row r="1791" spans="1:6" x14ac:dyDescent="0.25">
      <c r="A1791" s="91">
        <f t="shared" si="27"/>
        <v>589</v>
      </c>
      <c r="B1791" s="10" t="s">
        <v>4612</v>
      </c>
      <c r="C1791" s="9" t="s">
        <v>97</v>
      </c>
      <c r="D1791" s="9">
        <v>288</v>
      </c>
    </row>
    <row r="1792" spans="1:6" x14ac:dyDescent="0.25">
      <c r="A1792" s="91">
        <f t="shared" si="27"/>
        <v>590</v>
      </c>
      <c r="B1792" s="10" t="s">
        <v>4614</v>
      </c>
      <c r="C1792" s="9" t="s">
        <v>97</v>
      </c>
      <c r="D1792" s="9">
        <v>960</v>
      </c>
      <c r="E1792" s="11">
        <v>389.6</v>
      </c>
      <c r="F1792" s="12">
        <v>0.3675471698113208</v>
      </c>
    </row>
    <row r="1793" spans="1:6" x14ac:dyDescent="0.25">
      <c r="A1793" s="91">
        <f t="shared" si="27"/>
        <v>590</v>
      </c>
      <c r="B1793" s="10" t="s">
        <v>4614</v>
      </c>
      <c r="C1793" s="9" t="s">
        <v>97</v>
      </c>
      <c r="D1793" s="9">
        <v>100</v>
      </c>
    </row>
    <row r="1794" spans="1:6" x14ac:dyDescent="0.25">
      <c r="A1794" s="91">
        <f t="shared" si="27"/>
        <v>591</v>
      </c>
      <c r="B1794" s="10" t="s">
        <v>4615</v>
      </c>
      <c r="C1794" s="9" t="s">
        <v>4202</v>
      </c>
      <c r="D1794" s="9">
        <v>192</v>
      </c>
      <c r="E1794" s="11">
        <v>157.12</v>
      </c>
      <c r="F1794" s="12">
        <v>0.40081632653061228</v>
      </c>
    </row>
    <row r="1795" spans="1:6" x14ac:dyDescent="0.25">
      <c r="A1795" s="91">
        <f t="shared" si="27"/>
        <v>591</v>
      </c>
      <c r="B1795" s="10" t="s">
        <v>4615</v>
      </c>
      <c r="C1795" s="9" t="s">
        <v>4202</v>
      </c>
      <c r="D1795" s="9">
        <v>100</v>
      </c>
    </row>
    <row r="1796" spans="1:6" x14ac:dyDescent="0.25">
      <c r="A1796" s="91">
        <f t="shared" ref="A1796:A1834" si="28">IF(B1796=B1795,A1795,A1795+1)</f>
        <v>591</v>
      </c>
      <c r="B1796" s="10" t="s">
        <v>4615</v>
      </c>
      <c r="C1796" s="9" t="s">
        <v>4202</v>
      </c>
      <c r="D1796" s="9">
        <v>100</v>
      </c>
    </row>
    <row r="1797" spans="1:6" x14ac:dyDescent="0.25">
      <c r="A1797" s="91">
        <f t="shared" si="28"/>
        <v>592</v>
      </c>
      <c r="B1797" s="10" t="s">
        <v>4617</v>
      </c>
      <c r="C1797" s="9" t="s">
        <v>4202</v>
      </c>
      <c r="D1797" s="9">
        <v>180</v>
      </c>
      <c r="E1797" s="11">
        <v>126</v>
      </c>
      <c r="F1797" s="12">
        <v>0.7</v>
      </c>
    </row>
    <row r="1798" spans="1:6" x14ac:dyDescent="0.25">
      <c r="A1798" s="91">
        <f t="shared" si="28"/>
        <v>593</v>
      </c>
      <c r="B1798" s="10" t="s">
        <v>4618</v>
      </c>
      <c r="C1798" s="9" t="s">
        <v>4202</v>
      </c>
      <c r="D1798" s="9">
        <v>216</v>
      </c>
      <c r="E1798" s="11">
        <v>151.19999999999999</v>
      </c>
      <c r="F1798" s="12">
        <v>0.7</v>
      </c>
    </row>
    <row r="1799" spans="1:6" x14ac:dyDescent="0.25">
      <c r="A1799" s="91">
        <f t="shared" si="28"/>
        <v>594</v>
      </c>
      <c r="B1799" s="10" t="s">
        <v>4620</v>
      </c>
      <c r="C1799" s="9" t="s">
        <v>4202</v>
      </c>
      <c r="D1799" s="9">
        <v>60</v>
      </c>
      <c r="E1799" s="11">
        <v>0</v>
      </c>
    </row>
    <row r="1800" spans="1:6" x14ac:dyDescent="0.25">
      <c r="A1800" s="91">
        <f t="shared" si="28"/>
        <v>595</v>
      </c>
      <c r="B1800" s="10" t="s">
        <v>4622</v>
      </c>
      <c r="C1800" s="9" t="s">
        <v>4202</v>
      </c>
      <c r="D1800" s="9">
        <v>60</v>
      </c>
      <c r="E1800" s="11">
        <v>0</v>
      </c>
    </row>
    <row r="1801" spans="1:6" x14ac:dyDescent="0.25">
      <c r="A1801" s="91">
        <f t="shared" si="28"/>
        <v>596</v>
      </c>
      <c r="B1801" s="10" t="s">
        <v>4625</v>
      </c>
      <c r="C1801" s="9" t="s">
        <v>4202</v>
      </c>
      <c r="D1801" s="9">
        <v>60</v>
      </c>
      <c r="E1801" s="11">
        <v>0</v>
      </c>
    </row>
    <row r="1802" spans="1:6" x14ac:dyDescent="0.25">
      <c r="A1802" s="91">
        <f t="shared" si="28"/>
        <v>597</v>
      </c>
      <c r="B1802" s="10" t="s">
        <v>4627</v>
      </c>
      <c r="C1802" s="9" t="s">
        <v>4202</v>
      </c>
      <c r="D1802" s="9">
        <v>60</v>
      </c>
      <c r="E1802" s="11">
        <v>0</v>
      </c>
    </row>
    <row r="1803" spans="1:6" x14ac:dyDescent="0.25">
      <c r="A1803" s="91">
        <f t="shared" si="28"/>
        <v>598</v>
      </c>
      <c r="B1803" s="10" t="s">
        <v>4629</v>
      </c>
      <c r="C1803" s="9" t="s">
        <v>4202</v>
      </c>
      <c r="D1803" s="9">
        <v>60</v>
      </c>
      <c r="E1803" s="11">
        <v>0</v>
      </c>
    </row>
    <row r="1804" spans="1:6" x14ac:dyDescent="0.25">
      <c r="A1804" s="91">
        <f t="shared" si="28"/>
        <v>599</v>
      </c>
      <c r="B1804" s="10" t="s">
        <v>4634</v>
      </c>
      <c r="C1804" s="9" t="s">
        <v>115</v>
      </c>
      <c r="D1804" s="9">
        <v>96</v>
      </c>
      <c r="E1804" s="11">
        <v>71.680000000000007</v>
      </c>
      <c r="F1804" s="12">
        <v>0.56000000000000005</v>
      </c>
    </row>
    <row r="1805" spans="1:6" x14ac:dyDescent="0.25">
      <c r="A1805" s="91">
        <f t="shared" si="28"/>
        <v>599</v>
      </c>
      <c r="B1805" s="10" t="s">
        <v>4634</v>
      </c>
      <c r="C1805" s="9" t="s">
        <v>115</v>
      </c>
      <c r="D1805" s="9">
        <v>32</v>
      </c>
    </row>
    <row r="1806" spans="1:6" x14ac:dyDescent="0.25">
      <c r="A1806" s="91">
        <f t="shared" si="28"/>
        <v>600</v>
      </c>
      <c r="B1806" s="10" t="s">
        <v>4636</v>
      </c>
      <c r="C1806" s="9" t="s">
        <v>4202</v>
      </c>
      <c r="D1806" s="9">
        <v>200</v>
      </c>
      <c r="E1806" s="11">
        <v>112</v>
      </c>
      <c r="F1806" s="12">
        <v>0.56000000000000005</v>
      </c>
    </row>
    <row r="1807" spans="1:6" x14ac:dyDescent="0.25">
      <c r="A1807" s="91">
        <f t="shared" si="28"/>
        <v>601</v>
      </c>
      <c r="B1807" s="10" t="s">
        <v>4639</v>
      </c>
      <c r="C1807" s="9" t="s">
        <v>97</v>
      </c>
      <c r="D1807" s="9">
        <v>800</v>
      </c>
      <c r="E1807" s="11">
        <v>770.4</v>
      </c>
      <c r="F1807" s="12">
        <v>0.36685714285714283</v>
      </c>
    </row>
    <row r="1808" spans="1:6" x14ac:dyDescent="0.25">
      <c r="A1808" s="91">
        <f t="shared" si="28"/>
        <v>601</v>
      </c>
      <c r="B1808" s="10" t="s">
        <v>4639</v>
      </c>
      <c r="C1808" s="9" t="s">
        <v>97</v>
      </c>
      <c r="D1808" s="9">
        <v>600</v>
      </c>
    </row>
    <row r="1809" spans="1:6" x14ac:dyDescent="0.25">
      <c r="A1809" s="91">
        <f t="shared" si="28"/>
        <v>601</v>
      </c>
      <c r="B1809" s="10" t="s">
        <v>4639</v>
      </c>
      <c r="C1809" s="9" t="s">
        <v>97</v>
      </c>
      <c r="D1809" s="9">
        <v>120</v>
      </c>
    </row>
    <row r="1810" spans="1:6" x14ac:dyDescent="0.25">
      <c r="A1810" s="91">
        <f t="shared" si="28"/>
        <v>601</v>
      </c>
      <c r="B1810" s="10" t="s">
        <v>4639</v>
      </c>
      <c r="C1810" s="9" t="s">
        <v>97</v>
      </c>
      <c r="D1810" s="9">
        <v>180</v>
      </c>
    </row>
    <row r="1811" spans="1:6" x14ac:dyDescent="0.25">
      <c r="A1811" s="91">
        <f t="shared" si="28"/>
        <v>601</v>
      </c>
      <c r="B1811" s="10" t="s">
        <v>4639</v>
      </c>
      <c r="C1811" s="9" t="s">
        <v>97</v>
      </c>
      <c r="D1811" s="9">
        <v>200</v>
      </c>
    </row>
    <row r="1812" spans="1:6" x14ac:dyDescent="0.25">
      <c r="A1812" s="91">
        <f t="shared" si="28"/>
        <v>601</v>
      </c>
      <c r="B1812" s="10" t="s">
        <v>4639</v>
      </c>
      <c r="C1812" s="9" t="s">
        <v>97</v>
      </c>
      <c r="D1812" s="9">
        <v>200</v>
      </c>
    </row>
    <row r="1813" spans="1:6" x14ac:dyDescent="0.25">
      <c r="A1813" s="91">
        <f t="shared" si="28"/>
        <v>602</v>
      </c>
      <c r="B1813" s="10" t="s">
        <v>4640</v>
      </c>
      <c r="C1813" s="9" t="s">
        <v>97</v>
      </c>
      <c r="D1813" s="9">
        <v>390</v>
      </c>
      <c r="E1813" s="11">
        <v>501.6</v>
      </c>
      <c r="F1813" s="12">
        <v>0.44</v>
      </c>
    </row>
    <row r="1814" spans="1:6" x14ac:dyDescent="0.25">
      <c r="A1814" s="91">
        <f t="shared" si="28"/>
        <v>602</v>
      </c>
      <c r="B1814" s="10" t="s">
        <v>4640</v>
      </c>
      <c r="C1814" s="9" t="s">
        <v>97</v>
      </c>
      <c r="D1814" s="9">
        <v>150</v>
      </c>
    </row>
    <row r="1815" spans="1:6" x14ac:dyDescent="0.25">
      <c r="A1815" s="91">
        <f t="shared" si="28"/>
        <v>602</v>
      </c>
      <c r="B1815" s="10" t="s">
        <v>4640</v>
      </c>
      <c r="C1815" s="9" t="s">
        <v>97</v>
      </c>
      <c r="D1815" s="9">
        <v>600</v>
      </c>
    </row>
    <row r="1816" spans="1:6" x14ac:dyDescent="0.25">
      <c r="A1816" s="91">
        <f t="shared" si="28"/>
        <v>603</v>
      </c>
      <c r="B1816" s="10" t="s">
        <v>4641</v>
      </c>
      <c r="C1816" s="9" t="s">
        <v>2411</v>
      </c>
      <c r="D1816" s="9">
        <v>340</v>
      </c>
      <c r="E1816" s="11">
        <v>149.6</v>
      </c>
      <c r="F1816" s="12">
        <v>0.44</v>
      </c>
    </row>
    <row r="1817" spans="1:6" x14ac:dyDescent="0.25">
      <c r="A1817" s="91">
        <f t="shared" si="28"/>
        <v>604</v>
      </c>
      <c r="B1817" s="10" t="s">
        <v>4642</v>
      </c>
      <c r="C1817" s="9" t="s">
        <v>115</v>
      </c>
      <c r="D1817" s="9">
        <v>480</v>
      </c>
      <c r="E1817" s="11">
        <v>172.8</v>
      </c>
      <c r="F1817" s="12">
        <v>0.36000000000000004</v>
      </c>
    </row>
    <row r="1818" spans="1:6" x14ac:dyDescent="0.25">
      <c r="A1818" s="91">
        <f t="shared" si="28"/>
        <v>605</v>
      </c>
      <c r="B1818" s="10" t="s">
        <v>4643</v>
      </c>
      <c r="C1818" s="9" t="s">
        <v>1037</v>
      </c>
      <c r="D1818" s="9">
        <v>32</v>
      </c>
      <c r="E1818" s="11">
        <v>277.76</v>
      </c>
      <c r="F1818" s="12">
        <v>0.55999999999999994</v>
      </c>
    </row>
    <row r="1819" spans="1:6" x14ac:dyDescent="0.25">
      <c r="A1819" s="91">
        <f t="shared" si="28"/>
        <v>605</v>
      </c>
      <c r="B1819" s="10" t="s">
        <v>4643</v>
      </c>
      <c r="C1819" s="9" t="s">
        <v>1037</v>
      </c>
      <c r="D1819" s="9">
        <v>96</v>
      </c>
    </row>
    <row r="1820" spans="1:6" x14ac:dyDescent="0.25">
      <c r="A1820" s="91">
        <f t="shared" si="28"/>
        <v>605</v>
      </c>
      <c r="B1820" s="10" t="s">
        <v>4643</v>
      </c>
      <c r="C1820" s="9" t="s">
        <v>1037</v>
      </c>
      <c r="D1820" s="9">
        <v>144</v>
      </c>
    </row>
    <row r="1821" spans="1:6" x14ac:dyDescent="0.25">
      <c r="A1821" s="91">
        <f t="shared" si="28"/>
        <v>605</v>
      </c>
      <c r="B1821" s="10" t="s">
        <v>4643</v>
      </c>
      <c r="C1821" s="9" t="s">
        <v>1037</v>
      </c>
      <c r="D1821" s="9">
        <v>80</v>
      </c>
    </row>
    <row r="1822" spans="1:6" x14ac:dyDescent="0.25">
      <c r="A1822" s="91">
        <f t="shared" si="28"/>
        <v>605</v>
      </c>
      <c r="B1822" s="10" t="s">
        <v>4643</v>
      </c>
      <c r="C1822" s="9" t="s">
        <v>1037</v>
      </c>
      <c r="D1822" s="9">
        <v>48</v>
      </c>
    </row>
    <row r="1823" spans="1:6" x14ac:dyDescent="0.25">
      <c r="A1823" s="91">
        <f t="shared" si="28"/>
        <v>605</v>
      </c>
      <c r="B1823" s="10" t="s">
        <v>4643</v>
      </c>
      <c r="C1823" s="9" t="s">
        <v>1037</v>
      </c>
      <c r="D1823" s="9">
        <v>96</v>
      </c>
    </row>
    <row r="1824" spans="1:6" x14ac:dyDescent="0.25">
      <c r="A1824" s="91">
        <f t="shared" si="28"/>
        <v>606</v>
      </c>
      <c r="B1824" s="10" t="s">
        <v>4644</v>
      </c>
      <c r="C1824" s="9" t="s">
        <v>4202</v>
      </c>
      <c r="D1824" s="9">
        <v>480</v>
      </c>
      <c r="E1824" s="11">
        <v>268.8</v>
      </c>
      <c r="F1824" s="12">
        <v>0.56000000000000005</v>
      </c>
    </row>
    <row r="1825" spans="1:6" x14ac:dyDescent="0.25">
      <c r="A1825" s="91">
        <f t="shared" si="28"/>
        <v>607</v>
      </c>
      <c r="B1825" s="10" t="s">
        <v>4646</v>
      </c>
      <c r="C1825" s="9" t="s">
        <v>97</v>
      </c>
      <c r="D1825" s="9">
        <v>396</v>
      </c>
      <c r="E1825" s="11">
        <v>286.56</v>
      </c>
      <c r="F1825" s="12">
        <v>0.4975</v>
      </c>
    </row>
    <row r="1826" spans="1:6" x14ac:dyDescent="0.25">
      <c r="A1826" s="91">
        <f t="shared" si="28"/>
        <v>607</v>
      </c>
      <c r="B1826" s="10" t="s">
        <v>4646</v>
      </c>
      <c r="C1826" s="9" t="s">
        <v>97</v>
      </c>
      <c r="D1826" s="9">
        <v>90</v>
      </c>
    </row>
    <row r="1827" spans="1:6" x14ac:dyDescent="0.25">
      <c r="A1827" s="91">
        <f t="shared" si="28"/>
        <v>607</v>
      </c>
      <c r="B1827" s="10" t="s">
        <v>4646</v>
      </c>
      <c r="C1827" s="9" t="s">
        <v>97</v>
      </c>
      <c r="D1827" s="9">
        <v>90</v>
      </c>
    </row>
    <row r="1828" spans="1:6" x14ac:dyDescent="0.25">
      <c r="A1828" s="91">
        <f t="shared" si="28"/>
        <v>608</v>
      </c>
      <c r="B1828" s="10" t="s">
        <v>4647</v>
      </c>
      <c r="C1828" s="9" t="s">
        <v>97</v>
      </c>
      <c r="D1828" s="9">
        <v>120</v>
      </c>
      <c r="E1828" s="11">
        <v>84</v>
      </c>
      <c r="F1828" s="12">
        <v>0.7</v>
      </c>
    </row>
    <row r="1829" spans="1:6" x14ac:dyDescent="0.25">
      <c r="A1829" s="91">
        <f t="shared" si="28"/>
        <v>609</v>
      </c>
      <c r="B1829" s="10" t="s">
        <v>4648</v>
      </c>
      <c r="C1829" s="9" t="s">
        <v>4202</v>
      </c>
      <c r="D1829" s="9">
        <v>320</v>
      </c>
      <c r="E1829" s="11">
        <v>140.80000000000001</v>
      </c>
      <c r="F1829" s="12">
        <v>0.44000000000000006</v>
      </c>
    </row>
    <row r="1830" spans="1:6" x14ac:dyDescent="0.25">
      <c r="A1830" s="91">
        <f t="shared" si="28"/>
        <v>610</v>
      </c>
      <c r="B1830" s="10" t="s">
        <v>4649</v>
      </c>
      <c r="C1830" s="9" t="s">
        <v>115</v>
      </c>
      <c r="D1830" s="9">
        <v>90</v>
      </c>
      <c r="E1830" s="11">
        <v>296.64</v>
      </c>
      <c r="F1830" s="12">
        <v>0.36</v>
      </c>
    </row>
    <row r="1831" spans="1:6" x14ac:dyDescent="0.25">
      <c r="A1831" s="91">
        <f t="shared" si="28"/>
        <v>610</v>
      </c>
      <c r="B1831" s="10" t="s">
        <v>4649</v>
      </c>
      <c r="C1831" s="9" t="s">
        <v>115</v>
      </c>
      <c r="D1831" s="9">
        <v>304</v>
      </c>
    </row>
    <row r="1832" spans="1:6" x14ac:dyDescent="0.25">
      <c r="A1832" s="91">
        <f t="shared" si="28"/>
        <v>610</v>
      </c>
      <c r="B1832" s="10" t="s">
        <v>4649</v>
      </c>
      <c r="C1832" s="9" t="s">
        <v>115</v>
      </c>
      <c r="D1832" s="9">
        <v>180</v>
      </c>
    </row>
    <row r="1833" spans="1:6" x14ac:dyDescent="0.25">
      <c r="A1833" s="91">
        <f t="shared" si="28"/>
        <v>610</v>
      </c>
      <c r="B1833" s="10" t="s">
        <v>4649</v>
      </c>
      <c r="C1833" s="9" t="s">
        <v>115</v>
      </c>
      <c r="D1833" s="9">
        <v>70</v>
      </c>
    </row>
    <row r="1834" spans="1:6" x14ac:dyDescent="0.25">
      <c r="A1834" s="91">
        <f t="shared" si="28"/>
        <v>610</v>
      </c>
      <c r="B1834" s="10" t="s">
        <v>4649</v>
      </c>
      <c r="C1834" s="9" t="s">
        <v>115</v>
      </c>
      <c r="D1834" s="9">
        <v>180</v>
      </c>
    </row>
  </sheetData>
  <phoneticPr fontId="25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11</vt:i4>
      </vt:variant>
    </vt:vector>
  </HeadingPairs>
  <TitlesOfParts>
    <vt:vector size="11" baseType="lpstr">
      <vt:lpstr>各仓头程</vt:lpstr>
      <vt:lpstr>单台头程</vt:lpstr>
      <vt:lpstr>入库配置费</vt:lpstr>
      <vt:lpstr>到港数据回填</vt:lpstr>
      <vt:lpstr>货件总箱数统计</vt:lpstr>
      <vt:lpstr>亚马逊头程2026</vt:lpstr>
      <vt:lpstr>海外仓发货</vt:lpstr>
      <vt:lpstr>其他客户头程</vt:lpstr>
      <vt:lpstr>亚马逊头程2025</vt:lpstr>
      <vt:lpstr>SKU 对应关系</vt:lpstr>
      <vt:lpstr>亚马逊入库配置费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Amanda Fan</dc:creator>
  <cp:lastModifiedBy>点 润</cp:lastModifiedBy>
  <cp:lastPrinted>2025-10-08T04:24:00Z</cp:lastPrinted>
  <dcterms:created xsi:type="dcterms:W3CDTF">2006-09-16T00:00:00Z</dcterms:created>
  <dcterms:modified xsi:type="dcterms:W3CDTF">2026-06-24T09:48:06Z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8834714091714770AA5529CBFD5EA5A8</vt:lpwstr>
  </property>
  <property fmtid="{D5CDD505-2E9C-101B-9397-08002B2CF9AE}" pid="3" name="KSOProductBuildVer">
    <vt:lpwstr>2052-12.1.0.24034</vt:lpwstr>
  </property>
  <property fmtid="{D5CDD505-2E9C-101B-9397-08002B2CF9AE}" pid="4" name="KSOReadingLayout">
    <vt:bool>true</vt:bool>
  </property>
  <property fmtid="{D5CDD505-2E9C-101B-9397-08002B2CF9AE}" pid="5" name="CalculationRule">
    <vt:i4>0</vt:i4>
  </property>
</Properties>
</file>